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wmf" ContentType="image/x-wmf"/>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drawings/drawing2.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drawings/drawing3.xml" ContentType="application/vnd.openxmlformats-officedocument.drawing+xml"/>
  <Override PartName="/xl/charts/chart1.xml" ContentType="application/vnd.openxmlformats-officedocument.drawingml.chart+xml"/>
  <Override PartName="/xl/pivotTables/pivotTable7.xml" ContentType="application/vnd.openxmlformats-officedocument.spreadsheetml.pivotTable+xml"/>
  <Override PartName="/xl/drawings/drawing4.xml" ContentType="application/vnd.openxmlformats-officedocument.drawing+xml"/>
  <Override PartName="/xl/drawings/drawing5.xml" ContentType="application/vnd.openxmlformats-officedocument.drawing+xml"/>
  <Override PartName="/xl/charts/chart2.xml" ContentType="application/vnd.openxmlformats-officedocument.drawingml.chart+xml"/>
  <Override PartName="/xl/drawings/drawing6.xml" ContentType="application/vnd.openxmlformats-officedocument.drawingml.chartshapes+xml"/>
  <Override PartName="/xl/charts/chart3.xml" ContentType="application/vnd.openxmlformats-officedocument.drawingml.chart+xml"/>
  <Override PartName="/xl/pivotTables/pivotTable8.xml" ContentType="application/vnd.openxmlformats-officedocument.spreadsheetml.pivotTable+xml"/>
  <Override PartName="/xl/pivotTables/pivotTable9.xml" ContentType="application/vnd.openxmlformats-officedocument.spreadsheetml.pivotTable+xml"/>
  <Override PartName="/xl/drawings/drawing7.xml" ContentType="application/vnd.openxmlformats-officedocument.drawing+xml"/>
  <Override PartName="/xl/activeX/activeX3.xml" ContentType="application/vnd.ms-office.activeX+xml"/>
  <Override PartName="/xl/activeX/activeX3.bin" ContentType="application/vnd.ms-office.activeX"/>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tables/table3.xml" ContentType="application/vnd.openxmlformats-officedocument.spreadsheetml.table+xml"/>
  <Override PartName="/xl/drawings/drawing8.xml" ContentType="application/vnd.openxmlformats-officedocument.drawing+xml"/>
  <Override PartName="/xl/tables/table4.xml" ContentType="application/vnd.openxmlformats-officedocument.spreadsheetml.table+xml"/>
  <Override PartName="/xl/pivotTables/pivotTable10.xml" ContentType="application/vnd.openxmlformats-officedocument.spreadsheetml.pivotTable+xml"/>
  <Override PartName="/xl/pivotTables/pivotTable11.xml" ContentType="application/vnd.openxmlformats-officedocument.spreadsheetml.pivotTable+xml"/>
  <Override PartName="/xl/drawings/drawing9.xml" ContentType="application/vnd.openxmlformats-officedocument.drawing+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pivotTables/pivotTable12.xml" ContentType="application/vnd.openxmlformats-officedocument.spreadsheetml.pivotTable+xml"/>
  <Override PartName="/xl/pivotTables/pivotTable13.xml" ContentType="application/vnd.openxmlformats-officedocument.spreadsheetml.pivotTable+xml"/>
  <Override PartName="/xl/pivotTables/pivotTable14.xml" ContentType="application/vnd.openxmlformats-officedocument.spreadsheetml.pivotTable+xml"/>
  <Override PartName="/xl/drawings/drawing10.xml" ContentType="application/vnd.openxmlformats-officedocument.drawing+xml"/>
  <Override PartName="/xl/charts/chart8.xml" ContentType="application/vnd.openxmlformats-officedocument.drawingml.chart+xml"/>
  <Override PartName="/xl/drawings/drawing11.xml" ContentType="application/vnd.openxmlformats-officedocument.drawingml.chartshapes+xml"/>
  <Override PartName="/xl/charts/chart9.xml" ContentType="application/vnd.openxmlformats-officedocument.drawingml.chart+xml"/>
  <Override PartName="/xl/drawings/drawing12.xml" ContentType="application/vnd.openxmlformats-officedocument.drawingml.chartshapes+xml"/>
  <Override PartName="/xl/pivotTables/pivotTable15.xml" ContentType="application/vnd.openxmlformats-officedocument.spreadsheetml.pivotTable+xml"/>
  <Override PartName="/xl/pivotTables/pivotTable16.xml" ContentType="application/vnd.openxmlformats-officedocument.spreadsheetml.pivotTable+xml"/>
  <Override PartName="/xl/pivotTables/pivotTable17.xml" ContentType="application/vnd.openxmlformats-officedocument.spreadsheetml.pivotTable+xml"/>
  <Override PartName="/xl/drawings/drawing13.xml" ContentType="application/vnd.openxmlformats-officedocument.drawing+xml"/>
  <Override PartName="/xl/activeX/activeX4.xml" ContentType="application/vnd.ms-office.activeX+xml"/>
  <Override PartName="/xl/activeX/activeX4.bin" ContentType="application/vnd.ms-office.activeX"/>
  <Override PartName="/xl/tables/table5.xml" ContentType="application/vnd.openxmlformats-officedocument.spreadsheetml.table+xml"/>
  <Override PartName="/xl/charts/chart10.xml" ContentType="application/vnd.openxmlformats-officedocument.drawingml.chart+xml"/>
  <Override PartName="/xl/charts/chart11.xml" ContentType="application/vnd.openxmlformats-officedocument.drawingml.chart+xml"/>
  <Override PartName="/xl/drawings/drawing14.xml" ContentType="application/vnd.openxmlformats-officedocument.drawing+xml"/>
  <Override PartName="/xl/tables/table6.xml" ContentType="application/vnd.openxmlformats-officedocument.spreadsheetml.table+xml"/>
  <Override PartName="/xl/drawings/drawing15.xml" ContentType="application/vnd.openxmlformats-officedocument.drawing+xml"/>
  <Override PartName="/xl/tables/table7.xml" ContentType="application/vnd.openxmlformats-officedocument.spreadsheetml.table+xml"/>
  <Override PartName="/xl/pivotTables/pivotTable18.xml" ContentType="application/vnd.openxmlformats-officedocument.spreadsheetml.pivotTable+xml"/>
  <Override PartName="/xl/pivotTables/pivotTable19.xml" ContentType="application/vnd.openxmlformats-officedocument.spreadsheetml.pivotTable+xml"/>
  <Override PartName="/xl/drawings/drawing16.xml" ContentType="application/vnd.openxmlformats-officedocument.drawing+xml"/>
  <Override PartName="/xl/charts/chart12.xml" ContentType="application/vnd.openxmlformats-officedocument.drawingml.chart+xml"/>
  <Override PartName="/xl/pivotTables/pivotTable20.xml" ContentType="application/vnd.openxmlformats-officedocument.spreadsheetml.pivotTable+xml"/>
  <Override PartName="/xl/tables/table8.xml" ContentType="application/vnd.openxmlformats-officedocument.spreadsheetml.table+xml"/>
  <Override PartName="/xl/drawings/drawing17.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pivotTables/pivotTable21.xml" ContentType="application/vnd.openxmlformats-officedocument.spreadsheetml.pivotTable+xml"/>
  <Override PartName="/xl/pivotTables/pivotTable22.xml" ContentType="application/vnd.openxmlformats-officedocument.spreadsheetml.pivotTable+xml"/>
  <Override PartName="/xl/pivotTables/pivotTable23.xml" ContentType="application/vnd.openxmlformats-officedocument.spreadsheetml.pivotTable+xml"/>
  <Override PartName="/xl/pivotTables/pivotTable24.xml" ContentType="application/vnd.openxmlformats-officedocument.spreadsheetml.pivot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hidePivotFieldList="1" defaultThemeVersion="124226"/>
  <mc:AlternateContent xmlns:mc="http://schemas.openxmlformats.org/markup-compatibility/2006">
    <mc:Choice Requires="x15">
      <x15ac:absPath xmlns:x15ac="http://schemas.microsoft.com/office/spreadsheetml/2010/11/ac" url="C:\Users\lwint\Documents\"/>
    </mc:Choice>
  </mc:AlternateContent>
  <bookViews>
    <workbookView xWindow="0" yWindow="885" windowWidth="10125" windowHeight="3255" tabRatio="847" activeTab="5"/>
  </bookViews>
  <sheets>
    <sheet name="Home" sheetId="35" r:id="rId1"/>
    <sheet name="Camp List" sheetId="14" r:id="rId2"/>
    <sheet name="DistanceToCamp" sheetId="90" state="hidden" r:id="rId3"/>
    <sheet name="Camp Analysis" sheetId="33" r:id="rId4"/>
    <sheet name="Camp List (printable)" sheetId="91" r:id="rId5"/>
    <sheet name="CCCM Dashboard" sheetId="40" r:id="rId6"/>
    <sheet name="ForGIS" sheetId="87" state="hidden" r:id="rId7"/>
    <sheet name="Shelter Cross Check" sheetId="88" state="hidden" r:id="rId8"/>
    <sheet name="Map" sheetId="66" state="hidden" r:id="rId9"/>
    <sheet name="Shelter Tracking" sheetId="19" r:id="rId10"/>
    <sheet name="Shelter Progress" sheetId="36" r:id="rId11"/>
    <sheet name="Shelter Summary (by Agency)" sheetId="45" r:id="rId12"/>
    <sheet name="Shelter Coverage Camp" sheetId="84" state="hidden" r:id="rId13"/>
    <sheet name="Shelter Coverage &amp; Gaps" sheetId="62" r:id="rId14"/>
    <sheet name="NFI Tracking" sheetId="20" r:id="rId15"/>
    <sheet name="NFI Pipeline" sheetId="30" r:id="rId16"/>
    <sheet name="Sheet2" sheetId="92" state="hidden" r:id="rId17"/>
    <sheet name="NFI Distribution (by Tship)" sheetId="37" r:id="rId18"/>
    <sheet name="Winter Item" sheetId="86" state="hidden" r:id="rId19"/>
    <sheet name="NFI Summary" sheetId="43" r:id="rId20"/>
    <sheet name="Define_TCL" sheetId="69" state="hidden" r:id="rId21"/>
    <sheet name="File_Details" sheetId="77" state="hidden" r:id="rId22"/>
    <sheet name="Definition" sheetId="49" state="hidden" r:id="rId23"/>
  </sheets>
  <externalReferences>
    <externalReference r:id="rId24"/>
  </externalReferences>
  <definedNames>
    <definedName name="_xlnm._FilterDatabase" localSheetId="1" hidden="1">'Camp List'!$A$1:$C$3</definedName>
    <definedName name="_xlnm._FilterDatabase" localSheetId="14" hidden="1">'NFI Tracking'!$A$5:$A$1194</definedName>
    <definedName name="_xlnm._FilterDatabase" localSheetId="9" hidden="1">'Shelter Tracking'!$A$2:$P$3</definedName>
    <definedName name="AllData_Camplist" localSheetId="8">CampList[#All]</definedName>
    <definedName name="AllData_Camplist" localSheetId="13">CampList[#All]</definedName>
    <definedName name="AllData_Camplist">CampList[#All]</definedName>
    <definedName name="Camp_Accessibility">Definition!$Q$2:$Q$4</definedName>
    <definedName name="Camp_List">CampList[#All]</definedName>
    <definedName name="Camp_Status">"Open, Close"</definedName>
    <definedName name="Camplist_HH">'Camp List'!$Q:$Q</definedName>
    <definedName name="Camplist_Popl">'Camp List'!$R:$R</definedName>
    <definedName name="CampList_Status">'Camp List'!$A:$A</definedName>
    <definedName name="Camplist_Township">'Camp List'!$F:$F</definedName>
    <definedName name="Camplist_Type_Of_Acc">'Camp List'!$V:$V</definedName>
    <definedName name="CL">Define_TCL!$G$4:$J$1000</definedName>
    <definedName name="Col_Shelter_org">'Shelter Tracking'!$B:$B</definedName>
    <definedName name="Col_Shelter_Perm_B">'Shelter Tracking'!$N:$N</definedName>
    <definedName name="Col_Shelter_Perm_P">'Shelter Tracking'!$M:$M</definedName>
    <definedName name="Col_Shelter_Perm_U">'Shelter Tracking'!$O:$O</definedName>
    <definedName name="Col_Shelter_State">'Shelter Tracking'!$D:$D</definedName>
    <definedName name="Col_Shelter_Temp_B">'Shelter Tracking'!$K:$K</definedName>
    <definedName name="Col_Shelter_Temp_P">'Shelter Tracking'!$J:$J</definedName>
    <definedName name="Col_Shelter_Temp_U">'Shelter Tracking'!$L:$L</definedName>
    <definedName name="Col_Shelter_Tent_Dist">'Shelter Tracking'!$I:$I</definedName>
    <definedName name="Col_Shelter_Township">'Shelter Tracking'!$E:$E</definedName>
    <definedName name="Kachin">Definition!$L$2:$L$17</definedName>
    <definedName name="Kashin">CampList[#All]</definedName>
    <definedName name="Kyauk_Phyu_G" localSheetId="8">Map!$P$44</definedName>
    <definedName name="Location">"Camp_G,Cluster_G"</definedName>
    <definedName name="NameTSPOP">Define_TCL!$M$4:$Q$2320</definedName>
    <definedName name="NFI">Definition!$A$2:$F$16</definedName>
    <definedName name="NFI_Blanket_Pipeline">'NFI Pipeline'!$V:$V</definedName>
    <definedName name="NFI_Blanket_Stock">'NFI Pipeline'!$U:$U</definedName>
    <definedName name="NFI_Blanket_Track">'NFI Tracking'!$AD:$AD</definedName>
    <definedName name="NFI_Clothes_Pipeline">'NFI Pipeline'!$AB:$AB</definedName>
    <definedName name="NFI_Clothes_Stock">'NFI Pipeline'!$AA:$AA</definedName>
    <definedName name="NFI_Clothes_Track">'NFI Tracking'!$AF:$AF</definedName>
    <definedName name="NFI_Core_Pipeline">'NFI Pipeline'!$J:$J</definedName>
    <definedName name="NFI_Core_Stock">'NFI Pipeline'!$I:$I</definedName>
    <definedName name="NFI_Core_Track">'NFI Tracking'!$Z:$Z</definedName>
    <definedName name="NFI_Expiration">'NFI Tracking'!$I$1</definedName>
    <definedName name="NFI_Hygiene_Pipeline">'NFI Pipeline'!$G:$G</definedName>
    <definedName name="NFI_Hygiene_Stock">'NFI Pipeline'!$F:$F</definedName>
    <definedName name="NFI_Hygiene_Track">'NFI Tracking'!$Y:$Y</definedName>
    <definedName name="NFI_Kitchen_Pipeline">'NFI Pipeline'!$Y:$Y</definedName>
    <definedName name="NFI_Kitchen_Stock">'NFI Pipeline'!$X:$X</definedName>
    <definedName name="NFI_Kitchen_Track">'NFI Tracking'!$AE:$AE</definedName>
    <definedName name="NFI_Monitor_Date">Definition!$B$24</definedName>
    <definedName name="NFI_Month">'NFI Tracking'!$A:$A</definedName>
    <definedName name="NFI_Mosquito_Pipeline">'NFI Pipeline'!$P:$P</definedName>
    <definedName name="NFI_Mosquito_Stock">'NFI Pipeline'!$O:$O</definedName>
    <definedName name="NFI_Mosquito_Track">'NFI Tracking'!$AB:$AB</definedName>
    <definedName name="NFI_Org">'NFI Tracking'!$C:$C</definedName>
    <definedName name="NFI_Pipeline_State">'NFI Pipeline'!$D:$D</definedName>
    <definedName name="NFI_Pipeline_Township">'NFI Pipeline'!$E:$E</definedName>
    <definedName name="NFI_Plastic_Bucket_Pipeline">'NFI Pipeline'!$AE:$AE</definedName>
    <definedName name="NFI_Plastic_Bucket_Stock">'NFI Pipeline'!$AD:$AD</definedName>
    <definedName name="NFI_Plastic_Bucket_Track">'NFI Tracking'!$AG:$AG</definedName>
    <definedName name="NFI_Plastic_Mat_Pipeline">'NFI Pipeline'!$AH:$AH</definedName>
    <definedName name="NFI_Plastic_Mat_Stock">'NFI Pipeline'!$AG:$AG</definedName>
    <definedName name="NFI_Plastic_Mat_Track">'NFI Tracking'!$AH:$AH</definedName>
    <definedName name="NFI_Sanitary_Pipeline">'NFI Pipeline'!$M:$M</definedName>
    <definedName name="NFI_Sanitary_Stock">'NFI Pipeline'!$L:$L</definedName>
    <definedName name="NFI_Sanitary_Track">'NFI Tracking'!$AA:$AA</definedName>
    <definedName name="NFI_State">'NFI Tracking'!$E:$E</definedName>
    <definedName name="NFI_Tarpaulin_Pipeline">'NFI Pipeline'!$S:$S</definedName>
    <definedName name="NFI_Tarpaulin_Stock">'NFI Pipeline'!$R:$R</definedName>
    <definedName name="NFI_Tarpaulin_Track">'NFI Tracking'!$AC:$AC</definedName>
    <definedName name="NFI_Township">'NFI Tracking'!$F:$F</definedName>
    <definedName name="NFI_Winter_Blanket_Pipeline">'NFI Pipeline'!$AW:$AW</definedName>
    <definedName name="NFI_Winter_Blanket_Stock">'NFI Pipeline'!$AV:$AV</definedName>
    <definedName name="NFI_Winter_Blanket_Track">'NFI Tracking'!$AL:$AL</definedName>
    <definedName name="NFI_Winter_Clothes_Adult_Pipeline">'NFI Pipeline'!$AN:$AN</definedName>
    <definedName name="NFI_Winter_Clothes_Adult_Stock">'NFI Pipeline'!$AM:$AM</definedName>
    <definedName name="NFI_Winter_Clothes_Adult_Track">'NFI Tracking'!$AI:$AI</definedName>
    <definedName name="NFI_Winter_Clothes_Children_Pipeline">'NFI Pipeline'!$AQ:$AQ</definedName>
    <definedName name="NFI_Winter_Clothes_Children_Stock">'NFI Pipeline'!$AP:$AP</definedName>
    <definedName name="NFI_Winter_Clothes_Children_Track">'NFI Tracking'!$AJ:$AJ</definedName>
    <definedName name="NFI_Winter_Items_Other_Pipeline">'NFI Pipeline'!$AT:$AT</definedName>
    <definedName name="NFI_Winter_Items_Other_Stock">'NFI Pipeline'!$AS:$AS</definedName>
    <definedName name="NFI_Winter_Items_Other_Track">'NFI Tracking'!$AK:$AK</definedName>
    <definedName name="Pcode_Priority">Table10[[Pcode]:[Priority]]</definedName>
    <definedName name="_xlnm.Print_Area" localSheetId="3">'Camp Analysis'!$A$2:$K$78</definedName>
    <definedName name="_xlnm.Print_Area" localSheetId="1">'Camp List'!$L$4:$R$103</definedName>
    <definedName name="_xlnm.Print_Area" localSheetId="5">'CCCM Dashboard'!$C$4:$T$43</definedName>
    <definedName name="_xlnm.Print_Area" localSheetId="8">Map!$A:$O</definedName>
    <definedName name="_xlnm.Print_Area" localSheetId="17">'NFI Distribution (by Tship)'!$A$2:$Z$28</definedName>
    <definedName name="_xlnm.Print_Area" localSheetId="15">'NFI Pipeline'!$A$5:$AI$6</definedName>
    <definedName name="_xlnm.Print_Area" localSheetId="19">'NFI Summary'!$C$4:$S$39</definedName>
    <definedName name="_xlnm.Print_Area" localSheetId="14">'NFI Tracking'!$A$5:$O$5</definedName>
    <definedName name="_xlnm.Print_Area" localSheetId="13">'Shelter Coverage &amp; Gaps'!$C$4:$O$50</definedName>
    <definedName name="_xlnm.Print_Area" localSheetId="10">'Shelter Progress'!$A$2:$O$98</definedName>
    <definedName name="_xlnm.Print_Area" localSheetId="11">'Shelter Summary (by Agency)'!$A$2:$F$55</definedName>
    <definedName name="_xlnm.Print_Titles" localSheetId="4">'Camp List (printable)'!$7:$7</definedName>
    <definedName name="_xlnm.Print_Titles" localSheetId="7">'Shelter Cross Check'!$3:$3</definedName>
    <definedName name="PriorityCampWin">Table10[[Pcode]:[Priority]]</definedName>
    <definedName name="Rakhine_DB" localSheetId="8">Map!$T$2:$AD$23</definedName>
    <definedName name="Report_Date">Definition!$B$23</definedName>
    <definedName name="Shan_North">Definition!$N$2:$N$7</definedName>
    <definedName name="Shelter_Draw_Ratio">'Shelter Coverage &amp; Gaps'!$T$13</definedName>
    <definedName name="Shelter_HH_Covered">'Shelter Tracking'!$P:$P</definedName>
    <definedName name="Stat01">'Camp Analysis'!$A$56</definedName>
    <definedName name="State">Definition!$J$2:$J$4</definedName>
    <definedName name="TCL_C">Define_TCL!$B$4:$B$1000</definedName>
    <definedName name="TCL_T">Define_TCL!$A$4:$A$1000</definedName>
    <definedName name="TCL_T1">Define_TCL!$A$4</definedName>
    <definedName name="WinAccomo">Define_TCL!$U$4:$V$233</definedName>
  </definedNames>
  <calcPr calcId="152511"/>
  <pivotCaches>
    <pivotCache cacheId="48" r:id="rId25"/>
    <pivotCache cacheId="49" r:id="rId26"/>
    <pivotCache cacheId="64" r:id="rId27"/>
    <pivotCache cacheId="71" r:id="rId28"/>
  </pivotCaches>
</workbook>
</file>

<file path=xl/calcChain.xml><?xml version="1.0" encoding="utf-8"?>
<calcChain xmlns="http://schemas.openxmlformats.org/spreadsheetml/2006/main">
  <c r="A3" i="37" l="1"/>
  <c r="A3" i="30"/>
  <c r="A3" i="20"/>
  <c r="C5" i="62"/>
  <c r="A3" i="45"/>
  <c r="A3" i="36"/>
  <c r="A3" i="19"/>
  <c r="C5" i="40"/>
  <c r="A3" i="91"/>
  <c r="A3" i="33"/>
  <c r="A3" i="14"/>
  <c r="C5" i="35"/>
  <c r="C5" i="43"/>
  <c r="S163" i="14" l="1"/>
  <c r="AI163" i="14"/>
  <c r="AJ163" i="14"/>
  <c r="AK163" i="14" s="1"/>
  <c r="A922" i="20" l="1"/>
  <c r="A923" i="20"/>
  <c r="AM922" i="20"/>
  <c r="AM923" i="20"/>
  <c r="AO922" i="20"/>
  <c r="AP922" i="20" s="1"/>
  <c r="AO923" i="20"/>
  <c r="AP923" i="20" s="1"/>
  <c r="AQ922" i="20"/>
  <c r="AQ923" i="20"/>
  <c r="AS922" i="20"/>
  <c r="AS923" i="20"/>
  <c r="A924" i="20"/>
  <c r="AM924" i="20"/>
  <c r="AO924" i="20"/>
  <c r="AR924" i="20" s="1"/>
  <c r="AQ924" i="20"/>
  <c r="AS924" i="20"/>
  <c r="A921" i="20"/>
  <c r="AM921" i="20"/>
  <c r="AO921" i="20"/>
  <c r="AR921" i="20" s="1"/>
  <c r="AQ921" i="20"/>
  <c r="AS921" i="20"/>
  <c r="AO33" i="20"/>
  <c r="T263" i="19"/>
  <c r="P263" i="19" s="1"/>
  <c r="U263" i="19" s="1"/>
  <c r="S263" i="19"/>
  <c r="AP924" i="20" l="1"/>
  <c r="AR923" i="20"/>
  <c r="AR922" i="20"/>
  <c r="AP921" i="20"/>
  <c r="AQ919" i="20"/>
  <c r="AF107" i="14" l="1"/>
  <c r="B14" i="36" l="1"/>
  <c r="T5" i="62"/>
  <c r="T7" i="62"/>
  <c r="A920" i="20" l="1"/>
  <c r="AM920" i="20"/>
  <c r="AO920" i="20"/>
  <c r="AR920" i="20" s="1"/>
  <c r="AQ920" i="20"/>
  <c r="AS920" i="20"/>
  <c r="AS925" i="20"/>
  <c r="AS293" i="20"/>
  <c r="AS334" i="20"/>
  <c r="AS919" i="20"/>
  <c r="AS177" i="20"/>
  <c r="AS658" i="20"/>
  <c r="A658" i="20"/>
  <c r="AM658" i="20"/>
  <c r="AO658" i="20"/>
  <c r="AR658" i="20" s="1"/>
  <c r="AQ658" i="20"/>
  <c r="A293" i="20"/>
  <c r="A542" i="20"/>
  <c r="A334" i="20"/>
  <c r="AM293" i="20"/>
  <c r="AM542" i="20"/>
  <c r="AM334" i="20"/>
  <c r="AO293" i="20"/>
  <c r="AP293" i="20" s="1"/>
  <c r="AO542" i="20"/>
  <c r="AP542" i="20" s="1"/>
  <c r="AO334" i="20"/>
  <c r="AQ293" i="20"/>
  <c r="AQ542" i="20"/>
  <c r="AQ334" i="20"/>
  <c r="AS542" i="20"/>
  <c r="AR334" i="20" l="1"/>
  <c r="AP334" i="20"/>
  <c r="AP658" i="20"/>
  <c r="AP920" i="20"/>
  <c r="AR542" i="20"/>
  <c r="AR293" i="20"/>
  <c r="S133" i="19"/>
  <c r="T133" i="19"/>
  <c r="P133" i="19" s="1"/>
  <c r="S249" i="19"/>
  <c r="S130" i="19"/>
  <c r="S299" i="19"/>
  <c r="S301" i="19"/>
  <c r="S63" i="19"/>
  <c r="S287" i="19"/>
  <c r="S330" i="19"/>
  <c r="S51" i="19"/>
  <c r="S57" i="19"/>
  <c r="S274" i="19"/>
  <c r="S116" i="19"/>
  <c r="T249" i="19"/>
  <c r="P249" i="19" s="1"/>
  <c r="U249" i="19" s="1"/>
  <c r="T130" i="19"/>
  <c r="P130" i="19" s="1"/>
  <c r="U130" i="19" s="1"/>
  <c r="T299" i="19"/>
  <c r="P299" i="19" s="1"/>
  <c r="U299" i="19" s="1"/>
  <c r="T301" i="19"/>
  <c r="P301" i="19" s="1"/>
  <c r="U301" i="19" s="1"/>
  <c r="T63" i="19"/>
  <c r="P63" i="19" s="1"/>
  <c r="U63" i="19" s="1"/>
  <c r="T287" i="19"/>
  <c r="P287" i="19" s="1"/>
  <c r="U287" i="19" s="1"/>
  <c r="T330" i="19"/>
  <c r="P330" i="19" s="1"/>
  <c r="U330" i="19" s="1"/>
  <c r="T51" i="19"/>
  <c r="P51" i="19" s="1"/>
  <c r="U51" i="19" s="1"/>
  <c r="T57" i="19"/>
  <c r="P57" i="19" s="1"/>
  <c r="U57" i="19" s="1"/>
  <c r="T274" i="19"/>
  <c r="P274" i="19" s="1"/>
  <c r="U274" i="19" s="1"/>
  <c r="T116" i="19"/>
  <c r="P116" i="19" s="1"/>
  <c r="U116" i="19" s="1"/>
  <c r="U133" i="19" l="1"/>
  <c r="S217" i="19" l="1"/>
  <c r="S240" i="19"/>
  <c r="T217" i="19"/>
  <c r="P217" i="19" s="1"/>
  <c r="U217" i="19" s="1"/>
  <c r="T240" i="19"/>
  <c r="P240" i="19" s="1"/>
  <c r="U240" i="19" s="1"/>
  <c r="A1194" i="20" l="1"/>
  <c r="AM1194" i="20"/>
  <c r="AO1194" i="20"/>
  <c r="AR1194" i="20" s="1"/>
  <c r="AQ1194" i="20"/>
  <c r="AS1194" i="20"/>
  <c r="A919" i="20"/>
  <c r="AM919" i="20"/>
  <c r="AO919" i="20"/>
  <c r="AP919" i="20" s="1"/>
  <c r="AS1193" i="20"/>
  <c r="AS1192" i="20"/>
  <c r="AS1191" i="20"/>
  <c r="AS1190" i="20"/>
  <c r="AS1189" i="20"/>
  <c r="AS1188" i="20"/>
  <c r="AS1187" i="20"/>
  <c r="AS1186" i="20"/>
  <c r="AS1185" i="20"/>
  <c r="AS1184" i="20"/>
  <c r="AS1183" i="20"/>
  <c r="AS1182" i="20"/>
  <c r="AS1181" i="20"/>
  <c r="AS1180" i="20"/>
  <c r="AS1179" i="20"/>
  <c r="AS1178" i="20"/>
  <c r="AS1177" i="20"/>
  <c r="AS1176" i="20"/>
  <c r="AS1175" i="20"/>
  <c r="AS1174" i="20"/>
  <c r="AS1173" i="20"/>
  <c r="AS1172" i="20"/>
  <c r="AS1171" i="20"/>
  <c r="AS1170" i="20"/>
  <c r="AS1169" i="20"/>
  <c r="AS1168" i="20"/>
  <c r="AS1167" i="20"/>
  <c r="AS1166" i="20"/>
  <c r="AS1165" i="20"/>
  <c r="AS1164" i="20"/>
  <c r="AS1163" i="20"/>
  <c r="AS1162" i="20"/>
  <c r="AS1161" i="20"/>
  <c r="AS1160" i="20"/>
  <c r="AS1159" i="20"/>
  <c r="AS1158" i="20"/>
  <c r="AS1157" i="20"/>
  <c r="AS1156" i="20"/>
  <c r="AS1155" i="20"/>
  <c r="AS1154" i="20"/>
  <c r="AS1153" i="20"/>
  <c r="AS1152" i="20"/>
  <c r="AS1151" i="20"/>
  <c r="AS1150" i="20"/>
  <c r="AS1149" i="20"/>
  <c r="AS1148" i="20"/>
  <c r="AS1147" i="20"/>
  <c r="AS1146" i="20"/>
  <c r="AS1145" i="20"/>
  <c r="AS1144" i="20"/>
  <c r="AS1143" i="20"/>
  <c r="AS1142" i="20"/>
  <c r="AS1141" i="20"/>
  <c r="AS1140" i="20"/>
  <c r="AS1139" i="20"/>
  <c r="AS1138" i="20"/>
  <c r="AS1137" i="20"/>
  <c r="AS1136" i="20"/>
  <c r="AS1135" i="20"/>
  <c r="AS1134" i="20"/>
  <c r="AS1133" i="20"/>
  <c r="AS1132" i="20"/>
  <c r="AS1131" i="20"/>
  <c r="AS1130" i="20"/>
  <c r="AS1129" i="20"/>
  <c r="AS1128" i="20"/>
  <c r="AS1127" i="20"/>
  <c r="AS1126" i="20"/>
  <c r="AS1125" i="20"/>
  <c r="AS1124" i="20"/>
  <c r="AS1123" i="20"/>
  <c r="AS1122" i="20"/>
  <c r="AS1121" i="20"/>
  <c r="AS1120" i="20"/>
  <c r="AS1119" i="20"/>
  <c r="AS1118" i="20"/>
  <c r="AS1117" i="20"/>
  <c r="AS1116" i="20"/>
  <c r="AS1115" i="20"/>
  <c r="AS1114" i="20"/>
  <c r="AS1113" i="20"/>
  <c r="AS1112" i="20"/>
  <c r="AS1111" i="20"/>
  <c r="AS1110" i="20"/>
  <c r="AS1109" i="20"/>
  <c r="AS1108" i="20"/>
  <c r="AS1107" i="20"/>
  <c r="AS1106" i="20"/>
  <c r="AS1105" i="20"/>
  <c r="AS1104" i="20"/>
  <c r="AS1103" i="20"/>
  <c r="AS1102" i="20"/>
  <c r="AS1101" i="20"/>
  <c r="AS1100" i="20"/>
  <c r="AS1099" i="20"/>
  <c r="AS1098" i="20"/>
  <c r="AS1097" i="20"/>
  <c r="AS1096" i="20"/>
  <c r="AS1095" i="20"/>
  <c r="AS1094" i="20"/>
  <c r="AS1093" i="20"/>
  <c r="AS1092" i="20"/>
  <c r="AS1091" i="20"/>
  <c r="AS1090" i="20"/>
  <c r="AS1089" i="20"/>
  <c r="AS1088" i="20"/>
  <c r="AS1087" i="20"/>
  <c r="AS1086" i="20"/>
  <c r="AS1085" i="20"/>
  <c r="AS1084" i="20"/>
  <c r="AS1083" i="20"/>
  <c r="AS1082" i="20"/>
  <c r="AS1081" i="20"/>
  <c r="AS1080" i="20"/>
  <c r="AS1079" i="20"/>
  <c r="AS1078" i="20"/>
  <c r="AS1077" i="20"/>
  <c r="AS1076" i="20"/>
  <c r="AS1075" i="20"/>
  <c r="AS1074" i="20"/>
  <c r="AS1073" i="20"/>
  <c r="AS1072" i="20"/>
  <c r="AS1071" i="20"/>
  <c r="AS1070" i="20"/>
  <c r="AS1069" i="20"/>
  <c r="AS1068" i="20"/>
  <c r="AS1067" i="20"/>
  <c r="AS1066" i="20"/>
  <c r="AS1065" i="20"/>
  <c r="AS1064" i="20"/>
  <c r="AS1063" i="20"/>
  <c r="AS1062" i="20"/>
  <c r="AS1061" i="20"/>
  <c r="AS1060" i="20"/>
  <c r="AS1059" i="20"/>
  <c r="AS1058" i="20"/>
  <c r="AS1057" i="20"/>
  <c r="AS1056" i="20"/>
  <c r="AS1055" i="20"/>
  <c r="AS1054" i="20"/>
  <c r="AS1053" i="20"/>
  <c r="AS1052" i="20"/>
  <c r="AS1051" i="20"/>
  <c r="AS1050" i="20"/>
  <c r="AS1049" i="20"/>
  <c r="AS1048" i="20"/>
  <c r="AS1047" i="20"/>
  <c r="AS1046" i="20"/>
  <c r="AS1045" i="20"/>
  <c r="AS1044" i="20"/>
  <c r="AS1043" i="20"/>
  <c r="AS1042" i="20"/>
  <c r="AS1041" i="20"/>
  <c r="AS1040" i="20"/>
  <c r="AS1039" i="20"/>
  <c r="AS1038" i="20"/>
  <c r="AS1037" i="20"/>
  <c r="AS1036" i="20"/>
  <c r="AS1035" i="20"/>
  <c r="AS1034" i="20"/>
  <c r="AS1033" i="20"/>
  <c r="AS1032" i="20"/>
  <c r="AS1031" i="20"/>
  <c r="AS1030" i="20"/>
  <c r="AS1029" i="20"/>
  <c r="AS1028" i="20"/>
  <c r="AS1027" i="20"/>
  <c r="AS1026" i="20"/>
  <c r="AS1025" i="20"/>
  <c r="AS1024" i="20"/>
  <c r="AS1023" i="20"/>
  <c r="AS1022" i="20"/>
  <c r="AS1021" i="20"/>
  <c r="AS1020" i="20"/>
  <c r="AS1019" i="20"/>
  <c r="AS1018" i="20"/>
  <c r="AQ1193" i="20"/>
  <c r="AQ1192" i="20"/>
  <c r="AQ1191" i="20"/>
  <c r="AQ1190" i="20"/>
  <c r="AQ1189" i="20"/>
  <c r="AQ1188" i="20"/>
  <c r="AQ1187" i="20"/>
  <c r="AQ1186" i="20"/>
  <c r="AQ1185" i="20"/>
  <c r="AQ1184" i="20"/>
  <c r="AQ1183" i="20"/>
  <c r="AQ1182" i="20"/>
  <c r="AQ1181" i="20"/>
  <c r="AQ1180" i="20"/>
  <c r="AQ1179" i="20"/>
  <c r="AQ1178" i="20"/>
  <c r="AQ1177" i="20"/>
  <c r="AQ1176" i="20"/>
  <c r="AQ1175" i="20"/>
  <c r="AQ1174" i="20"/>
  <c r="AQ1173" i="20"/>
  <c r="AQ1172" i="20"/>
  <c r="AQ1171" i="20"/>
  <c r="AQ1170" i="20"/>
  <c r="AQ1169" i="20"/>
  <c r="AQ1168" i="20"/>
  <c r="AQ1167" i="20"/>
  <c r="AQ1166" i="20"/>
  <c r="AQ1165" i="20"/>
  <c r="AQ1164" i="20"/>
  <c r="AQ1163" i="20"/>
  <c r="AQ1162" i="20"/>
  <c r="AQ1161" i="20"/>
  <c r="AQ1160" i="20"/>
  <c r="AQ1159" i="20"/>
  <c r="AQ1158" i="20"/>
  <c r="AQ1157" i="20"/>
  <c r="AQ1156" i="20"/>
  <c r="AQ1155" i="20"/>
  <c r="AQ1154" i="20"/>
  <c r="AQ1153" i="20"/>
  <c r="AQ1152" i="20"/>
  <c r="AQ1151" i="20"/>
  <c r="AQ1150" i="20"/>
  <c r="AQ1149" i="20"/>
  <c r="AQ1148" i="20"/>
  <c r="AQ1147" i="20"/>
  <c r="AQ1146" i="20"/>
  <c r="AQ1145" i="20"/>
  <c r="AQ1144" i="20"/>
  <c r="AQ1143" i="20"/>
  <c r="AQ1142" i="20"/>
  <c r="AQ1141" i="20"/>
  <c r="AQ1140" i="20"/>
  <c r="AQ1139" i="20"/>
  <c r="AQ1138" i="20"/>
  <c r="AQ1137" i="20"/>
  <c r="AQ1136" i="20"/>
  <c r="AQ1135" i="20"/>
  <c r="AQ1134" i="20"/>
  <c r="AQ1133" i="20"/>
  <c r="AQ1132" i="20"/>
  <c r="AQ1131" i="20"/>
  <c r="AQ1130" i="20"/>
  <c r="AQ1129" i="20"/>
  <c r="AQ1128" i="20"/>
  <c r="AQ1127" i="20"/>
  <c r="AQ1126" i="20"/>
  <c r="AQ1125" i="20"/>
  <c r="AQ1124" i="20"/>
  <c r="AQ1123" i="20"/>
  <c r="AQ1122" i="20"/>
  <c r="AQ1121" i="20"/>
  <c r="AQ1120" i="20"/>
  <c r="AQ1119" i="20"/>
  <c r="AQ1118" i="20"/>
  <c r="AQ1117" i="20"/>
  <c r="AQ1116" i="20"/>
  <c r="AQ1115" i="20"/>
  <c r="AQ1114" i="20"/>
  <c r="AQ1113" i="20"/>
  <c r="AQ1112" i="20"/>
  <c r="AQ1111" i="20"/>
  <c r="AQ1110" i="20"/>
  <c r="AQ1109" i="20"/>
  <c r="AQ1108" i="20"/>
  <c r="AQ1107" i="20"/>
  <c r="AQ1106" i="20"/>
  <c r="AQ1105" i="20"/>
  <c r="AQ1104" i="20"/>
  <c r="AQ1103" i="20"/>
  <c r="AQ1102" i="20"/>
  <c r="AQ1101" i="20"/>
  <c r="AQ1100" i="20"/>
  <c r="AQ1099" i="20"/>
  <c r="AQ1098" i="20"/>
  <c r="AQ1097" i="20"/>
  <c r="AQ1096" i="20"/>
  <c r="AQ1095" i="20"/>
  <c r="AQ1094" i="20"/>
  <c r="AQ1093" i="20"/>
  <c r="AQ1092" i="20"/>
  <c r="AQ1091" i="20"/>
  <c r="AQ1090" i="20"/>
  <c r="AQ1089" i="20"/>
  <c r="AQ1088" i="20"/>
  <c r="AQ1087" i="20"/>
  <c r="AQ1086" i="20"/>
  <c r="AQ1085" i="20"/>
  <c r="AQ1084" i="20"/>
  <c r="AQ1083" i="20"/>
  <c r="AQ1082" i="20"/>
  <c r="AQ1081" i="20"/>
  <c r="AQ1080" i="20"/>
  <c r="AQ1079" i="20"/>
  <c r="AQ1078" i="20"/>
  <c r="AQ1077" i="20"/>
  <c r="AQ1076" i="20"/>
  <c r="AQ1075" i="20"/>
  <c r="AQ1074" i="20"/>
  <c r="AQ1073" i="20"/>
  <c r="AQ1072" i="20"/>
  <c r="AQ1071" i="20"/>
  <c r="AQ1070" i="20"/>
  <c r="AQ1069" i="20"/>
  <c r="AQ1068" i="20"/>
  <c r="AQ1067" i="20"/>
  <c r="AQ1066" i="20"/>
  <c r="AQ1065" i="20"/>
  <c r="AQ1064" i="20"/>
  <c r="AQ1063" i="20"/>
  <c r="AQ1062" i="20"/>
  <c r="AQ1061" i="20"/>
  <c r="AQ1060" i="20"/>
  <c r="AQ1059" i="20"/>
  <c r="AQ1058" i="20"/>
  <c r="AQ1057" i="20"/>
  <c r="AQ1056" i="20"/>
  <c r="AQ1055" i="20"/>
  <c r="AQ1054" i="20"/>
  <c r="AQ1053" i="20"/>
  <c r="AQ1052" i="20"/>
  <c r="AQ1051" i="20"/>
  <c r="AQ1050" i="20"/>
  <c r="AQ1049" i="20"/>
  <c r="AQ1048" i="20"/>
  <c r="AQ1047" i="20"/>
  <c r="AQ1046" i="20"/>
  <c r="AQ1045" i="20"/>
  <c r="AQ1044" i="20"/>
  <c r="AQ1043" i="20"/>
  <c r="AQ1042" i="20"/>
  <c r="AQ1041" i="20"/>
  <c r="AQ1040" i="20"/>
  <c r="AQ1039" i="20"/>
  <c r="AQ1038" i="20"/>
  <c r="AQ1037" i="20"/>
  <c r="AQ1036" i="20"/>
  <c r="AQ1035" i="20"/>
  <c r="AQ1034" i="20"/>
  <c r="AQ1033" i="20"/>
  <c r="AQ1032" i="20"/>
  <c r="AQ1031" i="20"/>
  <c r="AQ1030" i="20"/>
  <c r="AQ1029" i="20"/>
  <c r="AQ1028" i="20"/>
  <c r="AQ1027" i="20"/>
  <c r="AQ1026" i="20"/>
  <c r="AQ1025" i="20"/>
  <c r="AQ1024" i="20"/>
  <c r="AQ1023" i="20"/>
  <c r="AQ1022" i="20"/>
  <c r="AQ1021" i="20"/>
  <c r="AQ1020" i="20"/>
  <c r="AQ1019" i="20"/>
  <c r="AQ1018" i="20"/>
  <c r="AO1193" i="20"/>
  <c r="AO1192" i="20"/>
  <c r="AR1192" i="20" s="1"/>
  <c r="AO1191" i="20"/>
  <c r="AO1190" i="20"/>
  <c r="AO1189" i="20"/>
  <c r="AO1188" i="20"/>
  <c r="AR1188" i="20" s="1"/>
  <c r="AO1187" i="20"/>
  <c r="AO1186" i="20"/>
  <c r="AO1185" i="20"/>
  <c r="AO1184" i="20"/>
  <c r="AR1184" i="20" s="1"/>
  <c r="AO1183" i="20"/>
  <c r="AO1182" i="20"/>
  <c r="AR1182" i="20" s="1"/>
  <c r="AO1181" i="20"/>
  <c r="AO1180" i="20"/>
  <c r="AR1180" i="20" s="1"/>
  <c r="AO1179" i="20"/>
  <c r="AO1178" i="20"/>
  <c r="AO1177" i="20"/>
  <c r="AO1176" i="20"/>
  <c r="AR1176" i="20" s="1"/>
  <c r="AO1175" i="20"/>
  <c r="AO1174" i="20"/>
  <c r="AO1173" i="20"/>
  <c r="AO1172" i="20"/>
  <c r="AR1172" i="20" s="1"/>
  <c r="AO1171" i="20"/>
  <c r="AO1170" i="20"/>
  <c r="AO1169" i="20"/>
  <c r="AO1168" i="20"/>
  <c r="AR1168" i="20" s="1"/>
  <c r="AO1167" i="20"/>
  <c r="AO1166" i="20"/>
  <c r="AP1166" i="20" s="1"/>
  <c r="AO1165" i="20"/>
  <c r="AO1164" i="20"/>
  <c r="AR1164" i="20" s="1"/>
  <c r="AO1163" i="20"/>
  <c r="AO1162" i="20"/>
  <c r="AP1162" i="20" s="1"/>
  <c r="AO1161" i="20"/>
  <c r="AO1160" i="20"/>
  <c r="AR1160" i="20" s="1"/>
  <c r="AO1159" i="20"/>
  <c r="AO1158" i="20"/>
  <c r="AO1157" i="20"/>
  <c r="AO1156" i="20"/>
  <c r="AR1156" i="20" s="1"/>
  <c r="AO1155" i="20"/>
  <c r="AO1154" i="20"/>
  <c r="AO1153" i="20"/>
  <c r="AO1152" i="20"/>
  <c r="AR1152" i="20" s="1"/>
  <c r="AO1151" i="20"/>
  <c r="AO1150" i="20"/>
  <c r="AR1150" i="20" s="1"/>
  <c r="AO1149" i="20"/>
  <c r="AO1148" i="20"/>
  <c r="AR1148" i="20" s="1"/>
  <c r="AO1147" i="20"/>
  <c r="AO1146" i="20"/>
  <c r="AR1146" i="20" s="1"/>
  <c r="AO1145" i="20"/>
  <c r="AO1144" i="20"/>
  <c r="AR1144" i="20" s="1"/>
  <c r="AO1143" i="20"/>
  <c r="AO1142" i="20"/>
  <c r="AO1141" i="20"/>
  <c r="AO1140" i="20"/>
  <c r="AR1140" i="20" s="1"/>
  <c r="AO1139" i="20"/>
  <c r="AO1138" i="20"/>
  <c r="AO1137" i="20"/>
  <c r="AO1136" i="20"/>
  <c r="AR1136" i="20" s="1"/>
  <c r="AO1135" i="20"/>
  <c r="AO1134" i="20"/>
  <c r="AP1134" i="20" s="1"/>
  <c r="AO1133" i="20"/>
  <c r="AO1132" i="20"/>
  <c r="AR1132" i="20" s="1"/>
  <c r="AO1131" i="20"/>
  <c r="AO1130" i="20"/>
  <c r="AO1129" i="20"/>
  <c r="AO1128" i="20"/>
  <c r="AR1128" i="20" s="1"/>
  <c r="AO1127" i="20"/>
  <c r="AO1126" i="20"/>
  <c r="AO1125" i="20"/>
  <c r="AO1124" i="20"/>
  <c r="AR1124" i="20" s="1"/>
  <c r="AO1123" i="20"/>
  <c r="AO1122" i="20"/>
  <c r="AO1121" i="20"/>
  <c r="AO1120" i="20"/>
  <c r="AR1120" i="20" s="1"/>
  <c r="AO1119" i="20"/>
  <c r="AO1118" i="20"/>
  <c r="AR1118" i="20" s="1"/>
  <c r="AO1117" i="20"/>
  <c r="AO1116" i="20"/>
  <c r="AR1116" i="20" s="1"/>
  <c r="AO1115" i="20"/>
  <c r="AO1114" i="20"/>
  <c r="AR1114" i="20" s="1"/>
  <c r="AO1113" i="20"/>
  <c r="AO1112" i="20"/>
  <c r="AR1112" i="20" s="1"/>
  <c r="AO1111" i="20"/>
  <c r="AO1110" i="20"/>
  <c r="AO1109" i="20"/>
  <c r="AO1108" i="20"/>
  <c r="AR1108" i="20" s="1"/>
  <c r="AO1107" i="20"/>
  <c r="AO1106" i="20"/>
  <c r="AO1105" i="20"/>
  <c r="AO1104" i="20"/>
  <c r="AR1104" i="20" s="1"/>
  <c r="AO1103" i="20"/>
  <c r="AO1102" i="20"/>
  <c r="AP1102" i="20" s="1"/>
  <c r="AO1101" i="20"/>
  <c r="AO1100" i="20"/>
  <c r="AR1100" i="20" s="1"/>
  <c r="AO1099" i="20"/>
  <c r="AO1098" i="20"/>
  <c r="AP1098" i="20" s="1"/>
  <c r="AO1097" i="20"/>
  <c r="AO1096" i="20"/>
  <c r="AR1096" i="20" s="1"/>
  <c r="AO1095" i="20"/>
  <c r="AO1094" i="20"/>
  <c r="AO1093" i="20"/>
  <c r="AO1092" i="20"/>
  <c r="AR1092" i="20" s="1"/>
  <c r="AO1091" i="20"/>
  <c r="AO1090" i="20"/>
  <c r="AO1089" i="20"/>
  <c r="AO1088" i="20"/>
  <c r="AR1088" i="20" s="1"/>
  <c r="AO1087" i="20"/>
  <c r="AO1086" i="20"/>
  <c r="AR1086" i="20" s="1"/>
  <c r="AO1085" i="20"/>
  <c r="AO1084" i="20"/>
  <c r="AR1084" i="20" s="1"/>
  <c r="AO1083" i="20"/>
  <c r="AO1082" i="20"/>
  <c r="AR1082" i="20" s="1"/>
  <c r="AO1081" i="20"/>
  <c r="AO1080" i="20"/>
  <c r="AR1080" i="20" s="1"/>
  <c r="AO1079" i="20"/>
  <c r="AO1078" i="20"/>
  <c r="AO1077" i="20"/>
  <c r="AO1076" i="20"/>
  <c r="AR1076" i="20" s="1"/>
  <c r="AO1075" i="20"/>
  <c r="AO1074" i="20"/>
  <c r="AO1073" i="20"/>
  <c r="AO1072" i="20"/>
  <c r="AR1072" i="20" s="1"/>
  <c r="AO1071" i="20"/>
  <c r="AO1070" i="20"/>
  <c r="AP1070" i="20" s="1"/>
  <c r="AO1069" i="20"/>
  <c r="AO1068" i="20"/>
  <c r="AR1068" i="20" s="1"/>
  <c r="AO1067" i="20"/>
  <c r="AO1066" i="20"/>
  <c r="AO1065" i="20"/>
  <c r="AO1064" i="20"/>
  <c r="AR1064" i="20" s="1"/>
  <c r="AO1063" i="20"/>
  <c r="AO1062" i="20"/>
  <c r="AO1061" i="20"/>
  <c r="AO1060" i="20"/>
  <c r="AR1060" i="20" s="1"/>
  <c r="AO1059" i="20"/>
  <c r="AO1058" i="20"/>
  <c r="AO1057" i="20"/>
  <c r="AO1056" i="20"/>
  <c r="AR1056" i="20" s="1"/>
  <c r="AO1055" i="20"/>
  <c r="AO1054" i="20"/>
  <c r="AR1054" i="20" s="1"/>
  <c r="AO1053" i="20"/>
  <c r="AO1052" i="20"/>
  <c r="AR1052" i="20" s="1"/>
  <c r="AO1051" i="20"/>
  <c r="AO1050" i="20"/>
  <c r="AO1049" i="20"/>
  <c r="AO1048" i="20"/>
  <c r="AR1048" i="20" s="1"/>
  <c r="AO1047" i="20"/>
  <c r="AO1046" i="20"/>
  <c r="AO1045" i="20"/>
  <c r="AR1045" i="20" s="1"/>
  <c r="AO1044" i="20"/>
  <c r="AP1044" i="20" s="1"/>
  <c r="AO1043" i="20"/>
  <c r="AO1042" i="20"/>
  <c r="AO1041" i="20"/>
  <c r="AO1040" i="20"/>
  <c r="AR1040" i="20" s="1"/>
  <c r="AO1039" i="20"/>
  <c r="AO1038" i="20"/>
  <c r="AP1038" i="20" s="1"/>
  <c r="AO1037" i="20"/>
  <c r="AO1036" i="20"/>
  <c r="AR1036" i="20" s="1"/>
  <c r="AO1035" i="20"/>
  <c r="AO1034" i="20"/>
  <c r="AP1034" i="20" s="1"/>
  <c r="AO1033" i="20"/>
  <c r="AO1032" i="20"/>
  <c r="AR1032" i="20" s="1"/>
  <c r="AO1031" i="20"/>
  <c r="AO1030" i="20"/>
  <c r="AO1029" i="20"/>
  <c r="AR1029" i="20" s="1"/>
  <c r="AO1028" i="20"/>
  <c r="AP1028" i="20" s="1"/>
  <c r="AO1027" i="20"/>
  <c r="AO1026" i="20"/>
  <c r="AO1025" i="20"/>
  <c r="AO1024" i="20"/>
  <c r="AR1024" i="20" s="1"/>
  <c r="AO1023" i="20"/>
  <c r="AR1023" i="20" s="1"/>
  <c r="AO1022" i="20"/>
  <c r="AO1021" i="20"/>
  <c r="AO1020" i="20"/>
  <c r="AP1020" i="20" s="1"/>
  <c r="AO1019" i="20"/>
  <c r="AO1018" i="20"/>
  <c r="AM1193" i="20"/>
  <c r="AM1192" i="20"/>
  <c r="AM1191" i="20"/>
  <c r="AM1190" i="20"/>
  <c r="AM1189" i="20"/>
  <c r="AM1188" i="20"/>
  <c r="AM1187" i="20"/>
  <c r="AM1186" i="20"/>
  <c r="AM1185" i="20"/>
  <c r="AM1184" i="20"/>
  <c r="AM1183" i="20"/>
  <c r="AM1182" i="20"/>
  <c r="AM1181" i="20"/>
  <c r="AM1180" i="20"/>
  <c r="AM1179" i="20"/>
  <c r="AM1178" i="20"/>
  <c r="AM1177" i="20"/>
  <c r="AM1176" i="20"/>
  <c r="AM1175" i="20"/>
  <c r="AM1174" i="20"/>
  <c r="AM1173" i="20"/>
  <c r="AM1172" i="20"/>
  <c r="AM1171" i="20"/>
  <c r="AM1170" i="20"/>
  <c r="AM1169" i="20"/>
  <c r="AM1168" i="20"/>
  <c r="AM1167" i="20"/>
  <c r="AM1166" i="20"/>
  <c r="AM1165" i="20"/>
  <c r="AM1164" i="20"/>
  <c r="AM1163" i="20"/>
  <c r="AM1162" i="20"/>
  <c r="AM1161" i="20"/>
  <c r="AM1160" i="20"/>
  <c r="AM1159" i="20"/>
  <c r="AM1158" i="20"/>
  <c r="AM1157" i="20"/>
  <c r="AM1156" i="20"/>
  <c r="AM1155" i="20"/>
  <c r="AM1154" i="20"/>
  <c r="AM1153" i="20"/>
  <c r="AM1152" i="20"/>
  <c r="AM1151" i="20"/>
  <c r="AM1150" i="20"/>
  <c r="AM1149" i="20"/>
  <c r="AM1148" i="20"/>
  <c r="AM1147" i="20"/>
  <c r="AM1146" i="20"/>
  <c r="AM1145" i="20"/>
  <c r="AM1144" i="20"/>
  <c r="AM1143" i="20"/>
  <c r="AM1142" i="20"/>
  <c r="AM1141" i="20"/>
  <c r="AM1140" i="20"/>
  <c r="AM1139" i="20"/>
  <c r="AM1138" i="20"/>
  <c r="AM1137" i="20"/>
  <c r="AM1136" i="20"/>
  <c r="AM1135" i="20"/>
  <c r="AM1134" i="20"/>
  <c r="AM1133" i="20"/>
  <c r="AM1132" i="20"/>
  <c r="AM1131" i="20"/>
  <c r="AM1130" i="20"/>
  <c r="AM1129" i="20"/>
  <c r="AM1128" i="20"/>
  <c r="AM1127" i="20"/>
  <c r="AM1126" i="20"/>
  <c r="AM1125" i="20"/>
  <c r="AM1124" i="20"/>
  <c r="AM1123" i="20"/>
  <c r="AM1122" i="20"/>
  <c r="AM1121" i="20"/>
  <c r="AM1120" i="20"/>
  <c r="AM1119" i="20"/>
  <c r="AM1118" i="20"/>
  <c r="AM1117" i="20"/>
  <c r="AM1116" i="20"/>
  <c r="AM1115" i="20"/>
  <c r="AM1114" i="20"/>
  <c r="AM1113" i="20"/>
  <c r="AM1112" i="20"/>
  <c r="AM1111" i="20"/>
  <c r="AM1110" i="20"/>
  <c r="AM1109" i="20"/>
  <c r="AM1108" i="20"/>
  <c r="AM1107" i="20"/>
  <c r="AM1106" i="20"/>
  <c r="AM1105" i="20"/>
  <c r="AM1104" i="20"/>
  <c r="AM1103" i="20"/>
  <c r="AM1102" i="20"/>
  <c r="AM1101" i="20"/>
  <c r="AM1100" i="20"/>
  <c r="AM1099" i="20"/>
  <c r="AM1098" i="20"/>
  <c r="AM1097" i="20"/>
  <c r="AM1096" i="20"/>
  <c r="AM1095" i="20"/>
  <c r="AM1094" i="20"/>
  <c r="AM1093" i="20"/>
  <c r="AM1092" i="20"/>
  <c r="AM1091" i="20"/>
  <c r="AM1090" i="20"/>
  <c r="AM1089" i="20"/>
  <c r="AM1088" i="20"/>
  <c r="AM1087" i="20"/>
  <c r="AM1086" i="20"/>
  <c r="AM1085" i="20"/>
  <c r="AM1084" i="20"/>
  <c r="AM1083" i="20"/>
  <c r="AM1082" i="20"/>
  <c r="AM1081" i="20"/>
  <c r="AM1080" i="20"/>
  <c r="AM1079" i="20"/>
  <c r="AM1078" i="20"/>
  <c r="AM1077" i="20"/>
  <c r="AM1076" i="20"/>
  <c r="AM1075" i="20"/>
  <c r="AM1074" i="20"/>
  <c r="AM1073" i="20"/>
  <c r="AM1072" i="20"/>
  <c r="AM1071" i="20"/>
  <c r="AM1070" i="20"/>
  <c r="AM1069" i="20"/>
  <c r="AM1068" i="20"/>
  <c r="AM1067" i="20"/>
  <c r="AM1066" i="20"/>
  <c r="AM1065" i="20"/>
  <c r="AM1064" i="20"/>
  <c r="AM1063" i="20"/>
  <c r="AM1062" i="20"/>
  <c r="AM1061" i="20"/>
  <c r="AM1060" i="20"/>
  <c r="AM1059" i="20"/>
  <c r="AM1058" i="20"/>
  <c r="AM1057" i="20"/>
  <c r="AM1056" i="20"/>
  <c r="AM1055" i="20"/>
  <c r="AM1054" i="20"/>
  <c r="AM1053" i="20"/>
  <c r="AM1052" i="20"/>
  <c r="AM1051" i="20"/>
  <c r="AM1050" i="20"/>
  <c r="AM1049" i="20"/>
  <c r="AM1048" i="20"/>
  <c r="AM1047" i="20"/>
  <c r="AM1046" i="20"/>
  <c r="AM1045" i="20"/>
  <c r="AM1044" i="20"/>
  <c r="AM1043" i="20"/>
  <c r="AM1042" i="20"/>
  <c r="AM1041" i="20"/>
  <c r="AM1040" i="20"/>
  <c r="AM1039" i="20"/>
  <c r="AM1038" i="20"/>
  <c r="AM1037" i="20"/>
  <c r="AM1036" i="20"/>
  <c r="AM1035" i="20"/>
  <c r="AM1034" i="20"/>
  <c r="AM1033" i="20"/>
  <c r="AM1032" i="20"/>
  <c r="AM1031" i="20"/>
  <c r="AM1030" i="20"/>
  <c r="AM1029" i="20"/>
  <c r="AM1028" i="20"/>
  <c r="AM1027" i="20"/>
  <c r="AM1026" i="20"/>
  <c r="AM1025" i="20"/>
  <c r="AM1024" i="20"/>
  <c r="AM1023" i="20"/>
  <c r="AM1022" i="20"/>
  <c r="AM1021" i="20"/>
  <c r="AM1020" i="20"/>
  <c r="AM1019" i="20"/>
  <c r="AM1018" i="20"/>
  <c r="A1193" i="20"/>
  <c r="A1192" i="20"/>
  <c r="A1191" i="20"/>
  <c r="A1190" i="20"/>
  <c r="A1189" i="20"/>
  <c r="A1188" i="20"/>
  <c r="A1187" i="20"/>
  <c r="A1186" i="20"/>
  <c r="A1185" i="20"/>
  <c r="A1184" i="20"/>
  <c r="A1183" i="20"/>
  <c r="A1182" i="20"/>
  <c r="A1181" i="20"/>
  <c r="A1180" i="20"/>
  <c r="A1179" i="20"/>
  <c r="A1178" i="20"/>
  <c r="A1177" i="20"/>
  <c r="A1176" i="20"/>
  <c r="A1175" i="20"/>
  <c r="A1174" i="20"/>
  <c r="A1173" i="20"/>
  <c r="A1172" i="20"/>
  <c r="A1171" i="20"/>
  <c r="A1170" i="20"/>
  <c r="A1169" i="20"/>
  <c r="A1168" i="20"/>
  <c r="A1167" i="20"/>
  <c r="A1166" i="20"/>
  <c r="A1165" i="20"/>
  <c r="A1164" i="20"/>
  <c r="A1163" i="20"/>
  <c r="A1162" i="20"/>
  <c r="A1161" i="20"/>
  <c r="A1160" i="20"/>
  <c r="A1159" i="20"/>
  <c r="A1158" i="20"/>
  <c r="A1157" i="20"/>
  <c r="A1156" i="20"/>
  <c r="A1155" i="20"/>
  <c r="A1154" i="20"/>
  <c r="A1153" i="20"/>
  <c r="A1152" i="20"/>
  <c r="A1151" i="20"/>
  <c r="A1150" i="20"/>
  <c r="A1149" i="20"/>
  <c r="A1148" i="20"/>
  <c r="A1147" i="20"/>
  <c r="A1146" i="20"/>
  <c r="A1145" i="20"/>
  <c r="A1144" i="20"/>
  <c r="A1143" i="20"/>
  <c r="A1142" i="20"/>
  <c r="A1141" i="20"/>
  <c r="A1140" i="20"/>
  <c r="A1139" i="20"/>
  <c r="A1138" i="20"/>
  <c r="A1137" i="20"/>
  <c r="A1136" i="20"/>
  <c r="A1135" i="20"/>
  <c r="A1134" i="20"/>
  <c r="A1133" i="20"/>
  <c r="A1132" i="20"/>
  <c r="A1131" i="20"/>
  <c r="A1130" i="20"/>
  <c r="A1129" i="20"/>
  <c r="A1128" i="20"/>
  <c r="A1127" i="20"/>
  <c r="A1126" i="20"/>
  <c r="A1125" i="20"/>
  <c r="A1124" i="20"/>
  <c r="A1123" i="20"/>
  <c r="A1122" i="20"/>
  <c r="A1121" i="20"/>
  <c r="A1120" i="20"/>
  <c r="A1119" i="20"/>
  <c r="A1118" i="20"/>
  <c r="A1117" i="20"/>
  <c r="A1116" i="20"/>
  <c r="A1115" i="20"/>
  <c r="A1114" i="20"/>
  <c r="A1113" i="20"/>
  <c r="A1112" i="20"/>
  <c r="A1111" i="20"/>
  <c r="A1110" i="20"/>
  <c r="A1109" i="20"/>
  <c r="A1108" i="20"/>
  <c r="A1107" i="20"/>
  <c r="A1106" i="20"/>
  <c r="A1105" i="20"/>
  <c r="A1104" i="20"/>
  <c r="A1103" i="20"/>
  <c r="A1102" i="20"/>
  <c r="A1101" i="20"/>
  <c r="A1100" i="20"/>
  <c r="A1099" i="20"/>
  <c r="A1098" i="20"/>
  <c r="A1097" i="20"/>
  <c r="A1096" i="20"/>
  <c r="A1095" i="20"/>
  <c r="A1094" i="20"/>
  <c r="A1093" i="20"/>
  <c r="A1092" i="20"/>
  <c r="A1091" i="20"/>
  <c r="A1090" i="20"/>
  <c r="A1089" i="20"/>
  <c r="A1088" i="20"/>
  <c r="A1087" i="20"/>
  <c r="A1086" i="20"/>
  <c r="A1085" i="20"/>
  <c r="A1084" i="20"/>
  <c r="A1083" i="20"/>
  <c r="A1082" i="20"/>
  <c r="A1081" i="20"/>
  <c r="A1080" i="20"/>
  <c r="A1079" i="20"/>
  <c r="A1078" i="20"/>
  <c r="A1077" i="20"/>
  <c r="A1076" i="20"/>
  <c r="A1075" i="20"/>
  <c r="A1074" i="20"/>
  <c r="A1073" i="20"/>
  <c r="A1072" i="20"/>
  <c r="A1071" i="20"/>
  <c r="A1070" i="20"/>
  <c r="A1069" i="20"/>
  <c r="A1068" i="20"/>
  <c r="A1067" i="20"/>
  <c r="A1066" i="20"/>
  <c r="A1065" i="20"/>
  <c r="A1064" i="20"/>
  <c r="A1063" i="20"/>
  <c r="A1062" i="20"/>
  <c r="A1061" i="20"/>
  <c r="A1060" i="20"/>
  <c r="A1059" i="20"/>
  <c r="A1058" i="20"/>
  <c r="A1057" i="20"/>
  <c r="A1056" i="20"/>
  <c r="A1055" i="20"/>
  <c r="A1054" i="20"/>
  <c r="A1053" i="20"/>
  <c r="A1052" i="20"/>
  <c r="A1051" i="20"/>
  <c r="A1050" i="20"/>
  <c r="A1049" i="20"/>
  <c r="A1048" i="20"/>
  <c r="A1047" i="20"/>
  <c r="A1046" i="20"/>
  <c r="A1045" i="20"/>
  <c r="A1044" i="20"/>
  <c r="A1043" i="20"/>
  <c r="A1042" i="20"/>
  <c r="A1041" i="20"/>
  <c r="A1040" i="20"/>
  <c r="A1039" i="20"/>
  <c r="A1038" i="20"/>
  <c r="A1037" i="20"/>
  <c r="A1036" i="20"/>
  <c r="A1035" i="20"/>
  <c r="A1034" i="20"/>
  <c r="A1033" i="20"/>
  <c r="A1032" i="20"/>
  <c r="A1031" i="20"/>
  <c r="A1030" i="20"/>
  <c r="A1029" i="20"/>
  <c r="A1028" i="20"/>
  <c r="A1027" i="20"/>
  <c r="A1026" i="20"/>
  <c r="A1025" i="20"/>
  <c r="A1024" i="20"/>
  <c r="A1023" i="20"/>
  <c r="A1022" i="20"/>
  <c r="A1021" i="20"/>
  <c r="A1020" i="20"/>
  <c r="A1019" i="20"/>
  <c r="A1018" i="20"/>
  <c r="A1001" i="20"/>
  <c r="A1002" i="20"/>
  <c r="A1003" i="20"/>
  <c r="A1004" i="20"/>
  <c r="A1005" i="20"/>
  <c r="A1006" i="20"/>
  <c r="A1007" i="20"/>
  <c r="A1008" i="20"/>
  <c r="A1009" i="20"/>
  <c r="A1010" i="20"/>
  <c r="A1011" i="20"/>
  <c r="A1012" i="20"/>
  <c r="A1013" i="20"/>
  <c r="A1014" i="20"/>
  <c r="A1015" i="20"/>
  <c r="A1016" i="20"/>
  <c r="A1017" i="20"/>
  <c r="AM1001" i="20"/>
  <c r="AM1002" i="20"/>
  <c r="AM1003" i="20"/>
  <c r="AM1004" i="20"/>
  <c r="AM1005" i="20"/>
  <c r="AM1006" i="20"/>
  <c r="AM1007" i="20"/>
  <c r="AM1008" i="20"/>
  <c r="AM1009" i="20"/>
  <c r="AM1010" i="20"/>
  <c r="AM1011" i="20"/>
  <c r="AM1012" i="20"/>
  <c r="AM1013" i="20"/>
  <c r="AM1014" i="20"/>
  <c r="AM1015" i="20"/>
  <c r="AM1016" i="20"/>
  <c r="AM1017" i="20"/>
  <c r="AO1001" i="20"/>
  <c r="AR1001" i="20" s="1"/>
  <c r="AO1002" i="20"/>
  <c r="AR1002" i="20" s="1"/>
  <c r="AO1003" i="20"/>
  <c r="AP1003" i="20" s="1"/>
  <c r="AO1004" i="20"/>
  <c r="AO1005" i="20"/>
  <c r="AR1005" i="20" s="1"/>
  <c r="AO1006" i="20"/>
  <c r="AR1006" i="20" s="1"/>
  <c r="AO1007" i="20"/>
  <c r="AP1007" i="20" s="1"/>
  <c r="AO1008" i="20"/>
  <c r="AO1009" i="20"/>
  <c r="AP1009" i="20" s="1"/>
  <c r="AO1010" i="20"/>
  <c r="AR1010" i="20" s="1"/>
  <c r="AO1011" i="20"/>
  <c r="AP1011" i="20" s="1"/>
  <c r="AO1012" i="20"/>
  <c r="AP1012" i="20" s="1"/>
  <c r="AO1013" i="20"/>
  <c r="AR1013" i="20" s="1"/>
  <c r="AO1014" i="20"/>
  <c r="AR1014" i="20" s="1"/>
  <c r="AO1015" i="20"/>
  <c r="AP1015" i="20" s="1"/>
  <c r="AO1016" i="20"/>
  <c r="AR1016" i="20" s="1"/>
  <c r="AO1017" i="20"/>
  <c r="AR1017" i="20" s="1"/>
  <c r="AQ1001" i="20"/>
  <c r="AQ1002" i="20"/>
  <c r="AQ1003" i="20"/>
  <c r="AQ1004" i="20"/>
  <c r="AQ1005" i="20"/>
  <c r="AQ1006" i="20"/>
  <c r="AQ1007" i="20"/>
  <c r="AQ1008" i="20"/>
  <c r="AQ1009" i="20"/>
  <c r="AQ1010" i="20"/>
  <c r="AQ1011" i="20"/>
  <c r="AQ1012" i="20"/>
  <c r="AQ1013" i="20"/>
  <c r="AQ1014" i="20"/>
  <c r="AQ1015" i="20"/>
  <c r="AQ1016" i="20"/>
  <c r="AQ1017" i="20"/>
  <c r="AS1001" i="20"/>
  <c r="AS1002" i="20"/>
  <c r="AS1003" i="20"/>
  <c r="AS1004" i="20"/>
  <c r="AS1005" i="20"/>
  <c r="AS1006" i="20"/>
  <c r="AS1007" i="20"/>
  <c r="AS1008" i="20"/>
  <c r="AS1009" i="20"/>
  <c r="AS1010" i="20"/>
  <c r="AS1011" i="20"/>
  <c r="AS1012" i="20"/>
  <c r="AS1013" i="20"/>
  <c r="AS1014" i="20"/>
  <c r="AS1015" i="20"/>
  <c r="AS1016" i="20"/>
  <c r="AS1017" i="20"/>
  <c r="A925" i="20"/>
  <c r="AM925" i="20"/>
  <c r="AO925" i="20"/>
  <c r="AR925" i="20" s="1"/>
  <c r="AQ925" i="20"/>
  <c r="AP1002" i="20" l="1"/>
  <c r="AR919" i="20"/>
  <c r="AP1194" i="20"/>
  <c r="AP1016" i="20"/>
  <c r="AP1010" i="20"/>
  <c r="AR1021" i="20"/>
  <c r="AP1021" i="20"/>
  <c r="AR1025" i="20"/>
  <c r="AP1025" i="20"/>
  <c r="AP1066" i="20"/>
  <c r="AR1066" i="20"/>
  <c r="AR1050" i="20"/>
  <c r="AP1050" i="20"/>
  <c r="AP1130" i="20"/>
  <c r="AR1130" i="20"/>
  <c r="AR1178" i="20"/>
  <c r="AP1178" i="20"/>
  <c r="AP1008" i="20"/>
  <c r="AR1008" i="20"/>
  <c r="AP1114" i="20"/>
  <c r="AP1040" i="20"/>
  <c r="AP1004" i="20"/>
  <c r="AR1004" i="20"/>
  <c r="AR1012" i="20"/>
  <c r="AP1022" i="20"/>
  <c r="AR1022" i="20"/>
  <c r="AP1030" i="20"/>
  <c r="AR1030" i="20"/>
  <c r="AP1046" i="20"/>
  <c r="AR1046" i="20"/>
  <c r="AR1062" i="20"/>
  <c r="AP1062" i="20"/>
  <c r="AR1078" i="20"/>
  <c r="AP1078" i="20"/>
  <c r="AR1094" i="20"/>
  <c r="AP1094" i="20"/>
  <c r="AR1110" i="20"/>
  <c r="AP1110" i="20"/>
  <c r="AR1126" i="20"/>
  <c r="AP1126" i="20"/>
  <c r="AR1142" i="20"/>
  <c r="AP1142" i="20"/>
  <c r="AR1158" i="20"/>
  <c r="AP1158" i="20"/>
  <c r="AR1174" i="20"/>
  <c r="AP1174" i="20"/>
  <c r="AR1190" i="20"/>
  <c r="AP1190" i="20"/>
  <c r="AP1054" i="20"/>
  <c r="AP1118" i="20"/>
  <c r="AP1182" i="20"/>
  <c r="AR1070" i="20"/>
  <c r="AR1134" i="20"/>
  <c r="AP1082" i="20"/>
  <c r="AP1146" i="20"/>
  <c r="AR1034" i="20"/>
  <c r="AR1098" i="20"/>
  <c r="AR1162" i="20"/>
  <c r="AP1018" i="20"/>
  <c r="AR1018" i="20"/>
  <c r="AP1026" i="20"/>
  <c r="AR1026" i="20"/>
  <c r="AR1042" i="20"/>
  <c r="AP1042" i="20"/>
  <c r="AR1058" i="20"/>
  <c r="AP1058" i="20"/>
  <c r="AR1074" i="20"/>
  <c r="AP1074" i="20"/>
  <c r="AR1090" i="20"/>
  <c r="AP1090" i="20"/>
  <c r="AR1106" i="20"/>
  <c r="AP1106" i="20"/>
  <c r="AR1122" i="20"/>
  <c r="AP1122" i="20"/>
  <c r="AR1138" i="20"/>
  <c r="AP1138" i="20"/>
  <c r="AR1154" i="20"/>
  <c r="AP1154" i="20"/>
  <c r="AR1170" i="20"/>
  <c r="AP1170" i="20"/>
  <c r="AR1186" i="20"/>
  <c r="AP1186" i="20"/>
  <c r="AP1086" i="20"/>
  <c r="AP1150" i="20"/>
  <c r="AR1038" i="20"/>
  <c r="AR1102" i="20"/>
  <c r="AR1166" i="20"/>
  <c r="AP1032" i="20"/>
  <c r="AP1045" i="20"/>
  <c r="AP1048" i="20"/>
  <c r="AP1005" i="20"/>
  <c r="AP1013" i="20"/>
  <c r="AR1033" i="20"/>
  <c r="AP1033" i="20"/>
  <c r="AR1037" i="20"/>
  <c r="AP1037" i="20"/>
  <c r="AR1041" i="20"/>
  <c r="AP1041" i="20"/>
  <c r="AR1049" i="20"/>
  <c r="AP1049" i="20"/>
  <c r="AR1053" i="20"/>
  <c r="AP1053" i="20"/>
  <c r="AR1057" i="20"/>
  <c r="AP1057" i="20"/>
  <c r="AR1061" i="20"/>
  <c r="AP1061" i="20"/>
  <c r="AR1065" i="20"/>
  <c r="AP1065" i="20"/>
  <c r="AR1069" i="20"/>
  <c r="AP1069" i="20"/>
  <c r="AR1073" i="20"/>
  <c r="AP1073" i="20"/>
  <c r="AR1077" i="20"/>
  <c r="AP1077" i="20"/>
  <c r="AR1081" i="20"/>
  <c r="AP1081" i="20"/>
  <c r="AR1085" i="20"/>
  <c r="AP1085" i="20"/>
  <c r="AR1089" i="20"/>
  <c r="AP1089" i="20"/>
  <c r="AR1093" i="20"/>
  <c r="AP1093" i="20"/>
  <c r="AR1097" i="20"/>
  <c r="AP1097" i="20"/>
  <c r="AR1101" i="20"/>
  <c r="AP1101" i="20"/>
  <c r="AR1105" i="20"/>
  <c r="AP1105" i="20"/>
  <c r="AR1109" i="20"/>
  <c r="AP1109" i="20"/>
  <c r="AR1113" i="20"/>
  <c r="AP1113" i="20"/>
  <c r="AR1117" i="20"/>
  <c r="AP1117" i="20"/>
  <c r="AR1121" i="20"/>
  <c r="AP1121" i="20"/>
  <c r="AR1125" i="20"/>
  <c r="AP1125" i="20"/>
  <c r="AR1129" i="20"/>
  <c r="AP1129" i="20"/>
  <c r="AR1133" i="20"/>
  <c r="AP1133" i="20"/>
  <c r="AR1137" i="20"/>
  <c r="AP1137" i="20"/>
  <c r="AR1141" i="20"/>
  <c r="AP1141" i="20"/>
  <c r="AR1145" i="20"/>
  <c r="AP1145" i="20"/>
  <c r="AR1149" i="20"/>
  <c r="AP1149" i="20"/>
  <c r="AR1153" i="20"/>
  <c r="AP1153" i="20"/>
  <c r="AR1157" i="20"/>
  <c r="AP1157" i="20"/>
  <c r="AR1161" i="20"/>
  <c r="AP1161" i="20"/>
  <c r="AR1165" i="20"/>
  <c r="AP1165" i="20"/>
  <c r="AR1169" i="20"/>
  <c r="AP1169" i="20"/>
  <c r="AR1173" i="20"/>
  <c r="AP1173" i="20"/>
  <c r="AR1177" i="20"/>
  <c r="AP1177" i="20"/>
  <c r="AR1181" i="20"/>
  <c r="AP1181" i="20"/>
  <c r="AR1185" i="20"/>
  <c r="AP1185" i="20"/>
  <c r="AR1189" i="20"/>
  <c r="AP1189" i="20"/>
  <c r="AR1193" i="20"/>
  <c r="AP1193" i="20"/>
  <c r="AP1029" i="20"/>
  <c r="AR1019" i="20"/>
  <c r="AP1019" i="20"/>
  <c r="AR1027" i="20"/>
  <c r="AP1027" i="20"/>
  <c r="AR1031" i="20"/>
  <c r="AP1031" i="20"/>
  <c r="AR1035" i="20"/>
  <c r="AP1035" i="20"/>
  <c r="AR1039" i="20"/>
  <c r="AP1039" i="20"/>
  <c r="AR1043" i="20"/>
  <c r="AP1043" i="20"/>
  <c r="AR1047" i="20"/>
  <c r="AP1047" i="20"/>
  <c r="AR1051" i="20"/>
  <c r="AP1051" i="20"/>
  <c r="AR1055" i="20"/>
  <c r="AP1055" i="20"/>
  <c r="AR1059" i="20"/>
  <c r="AP1059" i="20"/>
  <c r="AR1063" i="20"/>
  <c r="AP1063" i="20"/>
  <c r="AR1067" i="20"/>
  <c r="AP1067" i="20"/>
  <c r="AR1071" i="20"/>
  <c r="AP1071" i="20"/>
  <c r="AR1075" i="20"/>
  <c r="AP1075" i="20"/>
  <c r="AR1079" i="20"/>
  <c r="AP1079" i="20"/>
  <c r="AR1083" i="20"/>
  <c r="AP1083" i="20"/>
  <c r="AR1087" i="20"/>
  <c r="AP1087" i="20"/>
  <c r="AR1091" i="20"/>
  <c r="AP1091" i="20"/>
  <c r="AR1095" i="20"/>
  <c r="AP1095" i="20"/>
  <c r="AR1099" i="20"/>
  <c r="AP1099" i="20"/>
  <c r="AR1103" i="20"/>
  <c r="AP1103" i="20"/>
  <c r="AR1107" i="20"/>
  <c r="AP1107" i="20"/>
  <c r="AR1111" i="20"/>
  <c r="AP1111" i="20"/>
  <c r="AR1115" i="20"/>
  <c r="AP1115" i="20"/>
  <c r="AR1119" i="20"/>
  <c r="AP1119" i="20"/>
  <c r="AR1123" i="20"/>
  <c r="AP1123" i="20"/>
  <c r="AR1127" i="20"/>
  <c r="AP1127" i="20"/>
  <c r="AR1131" i="20"/>
  <c r="AP1131" i="20"/>
  <c r="AR1135" i="20"/>
  <c r="AP1135" i="20"/>
  <c r="AR1139" i="20"/>
  <c r="AP1139" i="20"/>
  <c r="AR1143" i="20"/>
  <c r="AP1143" i="20"/>
  <c r="AR1147" i="20"/>
  <c r="AP1147" i="20"/>
  <c r="AR1151" i="20"/>
  <c r="AP1151" i="20"/>
  <c r="AR1155" i="20"/>
  <c r="AP1155" i="20"/>
  <c r="AR1159" i="20"/>
  <c r="AP1159" i="20"/>
  <c r="AR1163" i="20"/>
  <c r="AP1163" i="20"/>
  <c r="AR1167" i="20"/>
  <c r="AP1167" i="20"/>
  <c r="AR1171" i="20"/>
  <c r="AP1171" i="20"/>
  <c r="AR1175" i="20"/>
  <c r="AP1175" i="20"/>
  <c r="AR1179" i="20"/>
  <c r="AP1179" i="20"/>
  <c r="AR1183" i="20"/>
  <c r="AP1183" i="20"/>
  <c r="AR1187" i="20"/>
  <c r="AP1187" i="20"/>
  <c r="AR1191" i="20"/>
  <c r="AP1191" i="20"/>
  <c r="AP1023" i="20"/>
  <c r="AP1036" i="20"/>
  <c r="AP1052" i="20"/>
  <c r="AP1060" i="20"/>
  <c r="AP1068" i="20"/>
  <c r="AP1076" i="20"/>
  <c r="AP1084" i="20"/>
  <c r="AP1092" i="20"/>
  <c r="AP1100" i="20"/>
  <c r="AP1108" i="20"/>
  <c r="AP1116" i="20"/>
  <c r="AP1124" i="20"/>
  <c r="AP1132" i="20"/>
  <c r="AP1140" i="20"/>
  <c r="AP1148" i="20"/>
  <c r="AP1156" i="20"/>
  <c r="AP1164" i="20"/>
  <c r="AP1172" i="20"/>
  <c r="AP1180" i="20"/>
  <c r="AP1188" i="20"/>
  <c r="AR1020" i="20"/>
  <c r="AR1028" i="20"/>
  <c r="AR1044" i="20"/>
  <c r="AP1024" i="20"/>
  <c r="AP1056" i="20"/>
  <c r="AP1064" i="20"/>
  <c r="AP1072" i="20"/>
  <c r="AP1080" i="20"/>
  <c r="AP1088" i="20"/>
  <c r="AP1096" i="20"/>
  <c r="AP1104" i="20"/>
  <c r="AP1112" i="20"/>
  <c r="AP1120" i="20"/>
  <c r="AP1128" i="20"/>
  <c r="AP1136" i="20"/>
  <c r="AP1144" i="20"/>
  <c r="AP1152" i="20"/>
  <c r="AP1160" i="20"/>
  <c r="AP1168" i="20"/>
  <c r="AP1176" i="20"/>
  <c r="AP1184" i="20"/>
  <c r="AP1192" i="20"/>
  <c r="AP1006" i="20"/>
  <c r="AP1017" i="20"/>
  <c r="AP1001" i="20"/>
  <c r="AR1009" i="20"/>
  <c r="AP1014" i="20"/>
  <c r="AR1011" i="20"/>
  <c r="AR1003" i="20"/>
  <c r="AR1015" i="20"/>
  <c r="AR1007" i="20"/>
  <c r="AP925" i="20"/>
  <c r="A177" i="20"/>
  <c r="T4" i="62"/>
  <c r="W4" i="43" l="1"/>
  <c r="AS119" i="20"/>
  <c r="AS807" i="20"/>
  <c r="AS838" i="20"/>
  <c r="AS825" i="20"/>
  <c r="AS270" i="20"/>
  <c r="AS213" i="20"/>
  <c r="AS552" i="20"/>
  <c r="AS212" i="20"/>
  <c r="AS424" i="20"/>
  <c r="AS266" i="20"/>
  <c r="AS235" i="20"/>
  <c r="AS845" i="20"/>
  <c r="AS806" i="20"/>
  <c r="AS841" i="20"/>
  <c r="AS630" i="20"/>
  <c r="AS899" i="20"/>
  <c r="AS71" i="20"/>
  <c r="AS805" i="20"/>
  <c r="AS211" i="20"/>
  <c r="AS265" i="20"/>
  <c r="AS844" i="20"/>
  <c r="AS770" i="20"/>
  <c r="AS431" i="20"/>
  <c r="AS765" i="20"/>
  <c r="AS915" i="20"/>
  <c r="AS350" i="20"/>
  <c r="AS226" i="20"/>
  <c r="AS189" i="20"/>
  <c r="AS702" i="20"/>
  <c r="AS708" i="20"/>
  <c r="AS150" i="20"/>
  <c r="AS210" i="20"/>
  <c r="AS384" i="20"/>
  <c r="AS837" i="20"/>
  <c r="AS399" i="20"/>
  <c r="AS872" i="20"/>
  <c r="AS857" i="20"/>
  <c r="AS856" i="20"/>
  <c r="AS219" i="20"/>
  <c r="AS383" i="20"/>
  <c r="AS209" i="20"/>
  <c r="AS785" i="20"/>
  <c r="AS611" i="20"/>
  <c r="AS497" i="20"/>
  <c r="AS493" i="20"/>
  <c r="AS398" i="20"/>
  <c r="AS164" i="20"/>
  <c r="AS64" i="20"/>
  <c r="AS14" i="20"/>
  <c r="AS13" i="20"/>
  <c r="AS12" i="20"/>
  <c r="AS597" i="20"/>
  <c r="AS272" i="20"/>
  <c r="AS271" i="20"/>
  <c r="AS227" i="20"/>
  <c r="AS208" i="20"/>
  <c r="AS730" i="20"/>
  <c r="AS729" i="20"/>
  <c r="AS484" i="20"/>
  <c r="AS665" i="20"/>
  <c r="AS664" i="20"/>
  <c r="AS898" i="20"/>
  <c r="AS855" i="20"/>
  <c r="AS701" i="20"/>
  <c r="AS530" i="20"/>
  <c r="AS81" i="20"/>
  <c r="AS751" i="20"/>
  <c r="AS687" i="20"/>
  <c r="AS80" i="20"/>
  <c r="AS33" i="20"/>
  <c r="AS356" i="20"/>
  <c r="AS357" i="20"/>
  <c r="AS764" i="20"/>
  <c r="AS657" i="20"/>
  <c r="AS92" i="20"/>
  <c r="AS256" i="20"/>
  <c r="AS91" i="20"/>
  <c r="AS529" i="20"/>
  <c r="AS801" i="20"/>
  <c r="AS794" i="20"/>
  <c r="AS686" i="20"/>
  <c r="AS220" i="20"/>
  <c r="AS897" i="20"/>
  <c r="AS135" i="20"/>
  <c r="AS728" i="20"/>
  <c r="AS727" i="20"/>
  <c r="AS716" i="20"/>
  <c r="AS551" i="20"/>
  <c r="AS372" i="20"/>
  <c r="AS876" i="20"/>
  <c r="AS800" i="20"/>
  <c r="AS392" i="20"/>
  <c r="AS382" i="20"/>
  <c r="AS793" i="20"/>
  <c r="AS32" i="20"/>
  <c r="AS31" i="20"/>
  <c r="AS824" i="20"/>
  <c r="AS583" i="20"/>
  <c r="AS207" i="20"/>
  <c r="AS804" i="20"/>
  <c r="AS259" i="20"/>
  <c r="AS715" i="20"/>
  <c r="AS750" i="20"/>
  <c r="AS491" i="20"/>
  <c r="AS483" i="20"/>
  <c r="AS528" i="20"/>
  <c r="AS656" i="20"/>
  <c r="AS188" i="20"/>
  <c r="AS586" i="20"/>
  <c r="AS281" i="20"/>
  <c r="AS871" i="20"/>
  <c r="AS854" i="20"/>
  <c r="AS391" i="20"/>
  <c r="AS875" i="20"/>
  <c r="AS621" i="20"/>
  <c r="AS134" i="20"/>
  <c r="AS523" i="20"/>
  <c r="AS822" i="20"/>
  <c r="AS870" i="20"/>
  <c r="AS700" i="20"/>
  <c r="AS349" i="20"/>
  <c r="AS874" i="20"/>
  <c r="AS853" i="20"/>
  <c r="AS726" i="20"/>
  <c r="AS699" i="20"/>
  <c r="AS397" i="20"/>
  <c r="AS149" i="20"/>
  <c r="AS629" i="20"/>
  <c r="AS423" i="20"/>
  <c r="AS269" i="20"/>
  <c r="AS264" i="20"/>
  <c r="AS263" i="20"/>
  <c r="AS234" i="20"/>
  <c r="AS840" i="20"/>
  <c r="AS776" i="20"/>
  <c r="AS655" i="20"/>
  <c r="AS654" i="20"/>
  <c r="AS582" i="20"/>
  <c r="AS511" i="20"/>
  <c r="AS482" i="20"/>
  <c r="AS481" i="20"/>
  <c r="AS443" i="20"/>
  <c r="AS359" i="20"/>
  <c r="AS358" i="20"/>
  <c r="AS333" i="20"/>
  <c r="AS327" i="20"/>
  <c r="AS206" i="20"/>
  <c r="AS187" i="20"/>
  <c r="AS133" i="20"/>
  <c r="AS124" i="20"/>
  <c r="AS121" i="20"/>
  <c r="AS118" i="20"/>
  <c r="AS79" i="20"/>
  <c r="AS566" i="20"/>
  <c r="AS532" i="20"/>
  <c r="AS896" i="20"/>
  <c r="AS831" i="20"/>
  <c r="AS233" i="20"/>
  <c r="AS843" i="20"/>
  <c r="AS775" i="20"/>
  <c r="AS422" i="20"/>
  <c r="AS218" i="20"/>
  <c r="AS602" i="20"/>
  <c r="AS458" i="20"/>
  <c r="AS811" i="20"/>
  <c r="AS238" i="20"/>
  <c r="AS469" i="20"/>
  <c r="AS895" i="20"/>
  <c r="AS581" i="20"/>
  <c r="AS490" i="20"/>
  <c r="AS480" i="20"/>
  <c r="AS421" i="20"/>
  <c r="AS205" i="20"/>
  <c r="AS749" i="20"/>
  <c r="AS894" i="20"/>
  <c r="AS489" i="20"/>
  <c r="AS479" i="20"/>
  <c r="AS420" i="20"/>
  <c r="AS204" i="20"/>
  <c r="AS635" i="20"/>
  <c r="AS763" i="20"/>
  <c r="AS326" i="20"/>
  <c r="AS314" i="20"/>
  <c r="AS307" i="20"/>
  <c r="AS550" i="20"/>
  <c r="AS869" i="20"/>
  <c r="AS381" i="20"/>
  <c r="AS527" i="20"/>
  <c r="AS429" i="20"/>
  <c r="AS110" i="20"/>
  <c r="AS138" i="20"/>
  <c r="AS182" i="20"/>
  <c r="AS248" i="20"/>
  <c r="AS325" i="20"/>
  <c r="AS280" i="20"/>
  <c r="AS887" i="20"/>
  <c r="AS762" i="20"/>
  <c r="AS163" i="20"/>
  <c r="AS162" i="20"/>
  <c r="AS698" i="20"/>
  <c r="AS580" i="20"/>
  <c r="AS803" i="20"/>
  <c r="AS645" i="20"/>
  <c r="AS203" i="20"/>
  <c r="AS161" i="20"/>
  <c r="AS904" i="20"/>
  <c r="AS748" i="20"/>
  <c r="AS747" i="20"/>
  <c r="AS300" i="20"/>
  <c r="AS792" i="20"/>
  <c r="AS644" i="20"/>
  <c r="AS487" i="20"/>
  <c r="AS369" i="20"/>
  <c r="AS695" i="20"/>
  <c r="AS574" i="20"/>
  <c r="AS563" i="20"/>
  <c r="AS562" i="20"/>
  <c r="AS557" i="20"/>
  <c r="AS555" i="20"/>
  <c r="AS534" i="20"/>
  <c r="AS531" i="20"/>
  <c r="AS455" i="20"/>
  <c r="AS442" i="20"/>
  <c r="AS230" i="20"/>
  <c r="AS159" i="20"/>
  <c r="AS889" i="20"/>
  <c r="AS571" i="20"/>
  <c r="AS503" i="20"/>
  <c r="AS114" i="20"/>
  <c r="AS55" i="20"/>
  <c r="AS46" i="20"/>
  <c r="AS45" i="20"/>
  <c r="AS9" i="20"/>
  <c r="AS6" i="20"/>
  <c r="AS917" i="20"/>
  <c r="AS908" i="20"/>
  <c r="AS612" i="20"/>
  <c r="AS610" i="20"/>
  <c r="AS593" i="20"/>
  <c r="AS592" i="20"/>
  <c r="AS495" i="20"/>
  <c r="AS473" i="20"/>
  <c r="AS471" i="20"/>
  <c r="AS291" i="20"/>
  <c r="AS102" i="20"/>
  <c r="AS56" i="20"/>
  <c r="AS42" i="20"/>
  <c r="AS886" i="20"/>
  <c r="AS279" i="20"/>
  <c r="AS247" i="20"/>
  <c r="AS181" i="20"/>
  <c r="AS137" i="20"/>
  <c r="AS109" i="20"/>
  <c r="AS368" i="20"/>
  <c r="AS694" i="20"/>
  <c r="AS388" i="20"/>
  <c r="AS916" i="20"/>
  <c r="AS888" i="20"/>
  <c r="AS880" i="20"/>
  <c r="AS536" i="20"/>
  <c r="AS501" i="20"/>
  <c r="AS494" i="20"/>
  <c r="AS290" i="20"/>
  <c r="AS101" i="20"/>
  <c r="AS100" i="20"/>
  <c r="AS44" i="20"/>
  <c r="AS41" i="20"/>
  <c r="AS734" i="20"/>
  <c r="AS286" i="20"/>
  <c r="AS866" i="20"/>
  <c r="AS367" i="20"/>
  <c r="AS907" i="20"/>
  <c r="AS693" i="20"/>
  <c r="AS609" i="20"/>
  <c r="AS570" i="20"/>
  <c r="AS470" i="20"/>
  <c r="AS108" i="20"/>
  <c r="AS323" i="20"/>
  <c r="AS312" i="20"/>
  <c r="AS305" i="20"/>
  <c r="AS653" i="20"/>
  <c r="AS411" i="20"/>
  <c r="AS410" i="20"/>
  <c r="AS409" i="20"/>
  <c r="AS417" i="20"/>
  <c r="AS408" i="20"/>
  <c r="AS829" i="20"/>
  <c r="AS865" i="20"/>
  <c r="AS828" i="20"/>
  <c r="AS767" i="20"/>
  <c r="AS722" i="20"/>
  <c r="AS706" i="20"/>
  <c r="AS642" i="20"/>
  <c r="AS590" i="20"/>
  <c r="AS578" i="20"/>
  <c r="AS377" i="20"/>
  <c r="AS366" i="20"/>
  <c r="AS268" i="20"/>
  <c r="AS262" i="20"/>
  <c r="AS419" i="20"/>
  <c r="AS365" i="20"/>
  <c r="AS340" i="20"/>
  <c r="AS599" i="20"/>
  <c r="AS573" i="20"/>
  <c r="AS561" i="20"/>
  <c r="AS560" i="20"/>
  <c r="AS556" i="20"/>
  <c r="AS554" i="20"/>
  <c r="AS535" i="20"/>
  <c r="AS533" i="20"/>
  <c r="AS506" i="20"/>
  <c r="AS454" i="20"/>
  <c r="AS231" i="20"/>
  <c r="AS228" i="20"/>
  <c r="AS173" i="20"/>
  <c r="AS553" i="20"/>
  <c r="AS620" i="20"/>
  <c r="AS884" i="20"/>
  <c r="AS245" i="20"/>
  <c r="AS224" i="20"/>
  <c r="AS185" i="20"/>
  <c r="AS679" i="20"/>
  <c r="AS195" i="20"/>
  <c r="AS29" i="20"/>
  <c r="AS745" i="20"/>
  <c r="AS194" i="20"/>
  <c r="AS54" i="20"/>
  <c r="AS322" i="20"/>
  <c r="AS255" i="20"/>
  <c r="AS89" i="20"/>
  <c r="AS466" i="20"/>
  <c r="AS677" i="20"/>
  <c r="AS68" i="20"/>
  <c r="AS619" i="20"/>
  <c r="AS465" i="20"/>
  <c r="AS52" i="20"/>
  <c r="AS931" i="20"/>
  <c r="AS744" i="20"/>
  <c r="AS675" i="20"/>
  <c r="AS449" i="20"/>
  <c r="AS858" i="20"/>
  <c r="AS743" i="20"/>
  <c r="AS172" i="20"/>
  <c r="AS674" i="20"/>
  <c r="AS433" i="20"/>
  <c r="AS51" i="20"/>
  <c r="AS546" i="20"/>
  <c r="AS298" i="20"/>
  <c r="AS171" i="20"/>
  <c r="AS50" i="20"/>
  <c r="AS464" i="20"/>
  <c r="AS741" i="20"/>
  <c r="AS651" i="20"/>
  <c r="AS253" i="20"/>
  <c r="AS132" i="20"/>
  <c r="AS88" i="20"/>
  <c r="AS27" i="20"/>
  <c r="AS739" i="20"/>
  <c r="AS520" i="20"/>
  <c r="AS738" i="20"/>
  <c r="AS737" i="20"/>
  <c r="AS48" i="20"/>
  <c r="AS170" i="20"/>
  <c r="AS24" i="20"/>
  <c r="AS736" i="20"/>
  <c r="AS671" i="20"/>
  <c r="AS250" i="20"/>
  <c r="AS83" i="20"/>
  <c r="AS648" i="20"/>
  <c r="AS127" i="20"/>
  <c r="AS416" i="20"/>
  <c r="AS407" i="20"/>
  <c r="AS545" i="20"/>
  <c r="AS519" i="20"/>
  <c r="AS518" i="20"/>
  <c r="AS444" i="20"/>
  <c r="AS434" i="20"/>
  <c r="AS517" i="20"/>
  <c r="AS460" i="20"/>
  <c r="AS95" i="20"/>
  <c r="AS23" i="20"/>
  <c r="AS559" i="20"/>
  <c r="AS558" i="20"/>
  <c r="AS539" i="20"/>
  <c r="AS538" i="20"/>
  <c r="AS541" i="20"/>
  <c r="AS540" i="20"/>
  <c r="AS817" i="20"/>
  <c r="AS516" i="20"/>
  <c r="AS22" i="20"/>
  <c r="AS21" i="20"/>
  <c r="AS405" i="20"/>
  <c r="AS816" i="20"/>
  <c r="AS544" i="20"/>
  <c r="AS847" i="20"/>
  <c r="AS718" i="20"/>
  <c r="AS477" i="20"/>
  <c r="AS361" i="20"/>
  <c r="AS141" i="20"/>
  <c r="AS105" i="20"/>
  <c r="AS515" i="20"/>
  <c r="AS404" i="20"/>
  <c r="AS403" i="20"/>
  <c r="AS402" i="20"/>
  <c r="AS414" i="20"/>
  <c r="AS401" i="20"/>
  <c r="AS413" i="20"/>
  <c r="AS400" i="20"/>
  <c r="AS513" i="20"/>
  <c r="AS295" i="20"/>
  <c r="AS294" i="20"/>
  <c r="AS882" i="20"/>
  <c r="AS222" i="20"/>
  <c r="AS412" i="20"/>
  <c r="AS319" i="20"/>
  <c r="AS309" i="20"/>
  <c r="AS930" i="20"/>
  <c r="AS690" i="20"/>
  <c r="AS275" i="20"/>
  <c r="AS647" i="20"/>
  <c r="AS94" i="20"/>
  <c r="AS646" i="20"/>
  <c r="AS615" i="20"/>
  <c r="AS891" i="20"/>
  <c r="AS861" i="20"/>
  <c r="AS846" i="20"/>
  <c r="AS834" i="20"/>
  <c r="AS808" i="20"/>
  <c r="AS772" i="20"/>
  <c r="AS755" i="20"/>
  <c r="AS733" i="20"/>
  <c r="AS717" i="20"/>
  <c r="AS709" i="20"/>
  <c r="AS689" i="20"/>
  <c r="AS667" i="20"/>
  <c r="AS640" i="20"/>
  <c r="AS606" i="20"/>
  <c r="AS589" i="20"/>
  <c r="AS576" i="20"/>
  <c r="AS569" i="20"/>
  <c r="AS547" i="20"/>
  <c r="AS500" i="20"/>
  <c r="AS485" i="20"/>
  <c r="AS475" i="20"/>
  <c r="AS375" i="20"/>
  <c r="AS360" i="20"/>
  <c r="AS343" i="20"/>
  <c r="AS289" i="20"/>
  <c r="AS285" i="20"/>
  <c r="AS274" i="20"/>
  <c r="AS214" i="20"/>
  <c r="AS167" i="20"/>
  <c r="AS140" i="20"/>
  <c r="AS126" i="20"/>
  <c r="AS113" i="20"/>
  <c r="AS104" i="20"/>
  <c r="AS99" i="20"/>
  <c r="AS66" i="20"/>
  <c r="AS40" i="20"/>
  <c r="AS36" i="20"/>
  <c r="AS18" i="20"/>
  <c r="AS632" i="20"/>
  <c r="AS318" i="20"/>
  <c r="AS302" i="20"/>
  <c r="AS426" i="20"/>
  <c r="AS47" i="20"/>
  <c r="AS906" i="20"/>
  <c r="AS879" i="20"/>
  <c r="AS753" i="20"/>
  <c r="AS732" i="20"/>
  <c r="AS588" i="20"/>
  <c r="AS568" i="20"/>
  <c r="AS499" i="20"/>
  <c r="AS287" i="20"/>
  <c r="AS283" i="20"/>
  <c r="AS174" i="20"/>
  <c r="AS165" i="20"/>
  <c r="AS111" i="20"/>
  <c r="AS97" i="20"/>
  <c r="AS60" i="20"/>
  <c r="AS38" i="20"/>
  <c r="AS34" i="20"/>
  <c r="AS16" i="20"/>
  <c r="AS7" i="20"/>
  <c r="AS139" i="20"/>
  <c r="AS156" i="20"/>
  <c r="AS199" i="20"/>
  <c r="AS680" i="20"/>
  <c r="AS72" i="20"/>
  <c r="AS910" i="20"/>
  <c r="AS659" i="20"/>
  <c r="AS178" i="20"/>
  <c r="AS151" i="20"/>
  <c r="AS779" i="20"/>
  <c r="AS778" i="20"/>
  <c r="AS603" i="20"/>
  <c r="AS826" i="20"/>
  <c r="AS15" i="20"/>
  <c r="AS136" i="20"/>
  <c r="AS735" i="20"/>
  <c r="AS510" i="20"/>
  <c r="AS508" i="20"/>
  <c r="AS507" i="20"/>
  <c r="AS509" i="20"/>
  <c r="AS638" i="20"/>
  <c r="AS688" i="20"/>
  <c r="AS881" i="20"/>
  <c r="AS243" i="20"/>
  <c r="AS221" i="20"/>
  <c r="AS183" i="20"/>
  <c r="AS575" i="20"/>
  <c r="AS918" i="20"/>
  <c r="AS564" i="20"/>
  <c r="AS374" i="20"/>
  <c r="AS623" i="20"/>
  <c r="AS93" i="20"/>
  <c r="AS622" i="20"/>
  <c r="AS257" i="20"/>
  <c r="AS249" i="20"/>
  <c r="AS96" i="20"/>
  <c r="AS282" i="20"/>
  <c r="AS543" i="20"/>
  <c r="AS624" i="20"/>
  <c r="AS614" i="20"/>
  <c r="AS452" i="20"/>
  <c r="AS352" i="20"/>
  <c r="AS229" i="20"/>
  <c r="AS328" i="20"/>
  <c r="AS316" i="20"/>
  <c r="AS425" i="20"/>
  <c r="AS351" i="20"/>
  <c r="AS329" i="20"/>
  <c r="AS176" i="20"/>
  <c r="AS512" i="20"/>
  <c r="AS315" i="20"/>
  <c r="AS812" i="20"/>
  <c r="AS833" i="20"/>
  <c r="AS236" i="20"/>
  <c r="AS929" i="20"/>
  <c r="AS928" i="20"/>
  <c r="AS927" i="20"/>
  <c r="AS637" i="20"/>
  <c r="AS373" i="20"/>
  <c r="AS926" i="20"/>
  <c r="AS355" i="20"/>
  <c r="AS354" i="20"/>
  <c r="AS353" i="20"/>
  <c r="AS636" i="20"/>
  <c r="AS795" i="20"/>
  <c r="AS787" i="20"/>
  <c r="AS786" i="20"/>
  <c r="AS832" i="20"/>
  <c r="AS459" i="20"/>
  <c r="AQ777" i="20"/>
  <c r="AQ771" i="20"/>
  <c r="AQ432" i="20"/>
  <c r="AQ125" i="20"/>
  <c r="AQ122" i="20"/>
  <c r="AQ119" i="20"/>
  <c r="AQ807" i="20"/>
  <c r="AQ838" i="20"/>
  <c r="AQ825" i="20"/>
  <c r="AQ270" i="20"/>
  <c r="AQ213" i="20"/>
  <c r="AQ552" i="20"/>
  <c r="AQ212" i="20"/>
  <c r="AQ424" i="20"/>
  <c r="AQ266" i="20"/>
  <c r="AQ235" i="20"/>
  <c r="AQ845" i="20"/>
  <c r="AQ806" i="20"/>
  <c r="AQ841" i="20"/>
  <c r="AQ630" i="20"/>
  <c r="AQ899" i="20"/>
  <c r="AQ71" i="20"/>
  <c r="AQ805" i="20"/>
  <c r="AQ211" i="20"/>
  <c r="AQ265" i="20"/>
  <c r="AQ844" i="20"/>
  <c r="AQ770" i="20"/>
  <c r="AQ431" i="20"/>
  <c r="AQ765" i="20"/>
  <c r="AQ915" i="20"/>
  <c r="AQ350" i="20"/>
  <c r="AQ226" i="20"/>
  <c r="AQ189" i="20"/>
  <c r="AQ702" i="20"/>
  <c r="AQ708" i="20"/>
  <c r="AQ150" i="20"/>
  <c r="AQ210" i="20"/>
  <c r="AQ384" i="20"/>
  <c r="AQ837" i="20"/>
  <c r="AQ399" i="20"/>
  <c r="AQ872" i="20"/>
  <c r="AQ857" i="20"/>
  <c r="AQ856" i="20"/>
  <c r="AQ219" i="20"/>
  <c r="AQ383" i="20"/>
  <c r="AQ209" i="20"/>
  <c r="AQ785" i="20"/>
  <c r="AQ611" i="20"/>
  <c r="AQ497" i="20"/>
  <c r="AQ493" i="20"/>
  <c r="AQ398" i="20"/>
  <c r="AQ164" i="20"/>
  <c r="AQ64" i="20"/>
  <c r="AQ14" i="20"/>
  <c r="AQ13" i="20"/>
  <c r="AQ12" i="20"/>
  <c r="AQ597" i="20"/>
  <c r="AQ272" i="20"/>
  <c r="AQ271" i="20"/>
  <c r="AQ227" i="20"/>
  <c r="AQ208" i="20"/>
  <c r="AQ730" i="20"/>
  <c r="AQ729" i="20"/>
  <c r="AQ484" i="20"/>
  <c r="AQ665" i="20"/>
  <c r="AQ664" i="20"/>
  <c r="AQ898" i="20"/>
  <c r="AQ855" i="20"/>
  <c r="AQ701" i="20"/>
  <c r="AQ530" i="20"/>
  <c r="AQ81" i="20"/>
  <c r="AQ751" i="20"/>
  <c r="AQ687" i="20"/>
  <c r="AQ80" i="20"/>
  <c r="AQ33" i="20"/>
  <c r="AQ356" i="20"/>
  <c r="AQ357" i="20"/>
  <c r="AQ764" i="20"/>
  <c r="AQ657" i="20"/>
  <c r="AQ92" i="20"/>
  <c r="AQ256" i="20"/>
  <c r="AQ91" i="20"/>
  <c r="AQ529" i="20"/>
  <c r="AQ801" i="20"/>
  <c r="AQ794" i="20"/>
  <c r="AQ686" i="20"/>
  <c r="AQ220" i="20"/>
  <c r="AQ897" i="20"/>
  <c r="AQ135" i="20"/>
  <c r="AQ728" i="20"/>
  <c r="AQ727" i="20"/>
  <c r="AQ716" i="20"/>
  <c r="AQ551" i="20"/>
  <c r="AQ372" i="20"/>
  <c r="AQ876" i="20"/>
  <c r="AQ800" i="20"/>
  <c r="AQ392" i="20"/>
  <c r="AQ382" i="20"/>
  <c r="AQ793" i="20"/>
  <c r="AQ32" i="20"/>
  <c r="AQ31" i="20"/>
  <c r="AQ824" i="20"/>
  <c r="AQ583" i="20"/>
  <c r="AQ207" i="20"/>
  <c r="AQ804" i="20"/>
  <c r="AQ259" i="20"/>
  <c r="AQ715" i="20"/>
  <c r="AQ750" i="20"/>
  <c r="AQ491" i="20"/>
  <c r="AQ483" i="20"/>
  <c r="AQ528" i="20"/>
  <c r="AQ656" i="20"/>
  <c r="AQ188" i="20"/>
  <c r="AQ586" i="20"/>
  <c r="AQ281" i="20"/>
  <c r="AQ871" i="20"/>
  <c r="AQ854" i="20"/>
  <c r="AQ391" i="20"/>
  <c r="AQ875" i="20"/>
  <c r="AQ621" i="20"/>
  <c r="AQ134" i="20"/>
  <c r="AQ523" i="20"/>
  <c r="AQ822" i="20"/>
  <c r="AQ870" i="20"/>
  <c r="AQ700" i="20"/>
  <c r="AQ349" i="20"/>
  <c r="AQ874" i="20"/>
  <c r="AQ853" i="20"/>
  <c r="AQ726" i="20"/>
  <c r="AQ699" i="20"/>
  <c r="AQ397" i="20"/>
  <c r="AQ149" i="20"/>
  <c r="AQ629" i="20"/>
  <c r="AQ423" i="20"/>
  <c r="AQ269" i="20"/>
  <c r="AQ264" i="20"/>
  <c r="AQ263" i="20"/>
  <c r="AQ234" i="20"/>
  <c r="AQ840" i="20"/>
  <c r="AQ776" i="20"/>
  <c r="AQ655" i="20"/>
  <c r="AQ654" i="20"/>
  <c r="AQ582" i="20"/>
  <c r="AQ511" i="20"/>
  <c r="AQ482" i="20"/>
  <c r="AQ481" i="20"/>
  <c r="AQ443" i="20"/>
  <c r="AQ359" i="20"/>
  <c r="AQ358" i="20"/>
  <c r="AQ333" i="20"/>
  <c r="AQ327" i="20"/>
  <c r="AQ206" i="20"/>
  <c r="AQ187" i="20"/>
  <c r="AQ133" i="20"/>
  <c r="AQ124" i="20"/>
  <c r="AQ121" i="20"/>
  <c r="AQ118" i="20"/>
  <c r="AQ79" i="20"/>
  <c r="AQ566" i="20"/>
  <c r="AQ532" i="20"/>
  <c r="AQ896" i="20"/>
  <c r="AQ831" i="20"/>
  <c r="AQ233" i="20"/>
  <c r="AQ843" i="20"/>
  <c r="AQ775" i="20"/>
  <c r="AQ422" i="20"/>
  <c r="AQ218" i="20"/>
  <c r="AQ602" i="20"/>
  <c r="AQ458" i="20"/>
  <c r="AQ811" i="20"/>
  <c r="AQ238" i="20"/>
  <c r="AQ469" i="20"/>
  <c r="AQ895" i="20"/>
  <c r="AQ581" i="20"/>
  <c r="AQ490" i="20"/>
  <c r="AQ480" i="20"/>
  <c r="AQ421" i="20"/>
  <c r="AQ205" i="20"/>
  <c r="AQ749" i="20"/>
  <c r="AQ894" i="20"/>
  <c r="AQ489" i="20"/>
  <c r="AQ479" i="20"/>
  <c r="AQ420" i="20"/>
  <c r="AQ204" i="20"/>
  <c r="AQ635" i="20"/>
  <c r="AQ763" i="20"/>
  <c r="AQ326" i="20"/>
  <c r="AQ314" i="20"/>
  <c r="AQ307" i="20"/>
  <c r="AQ550" i="20"/>
  <c r="AQ869" i="20"/>
  <c r="AQ381" i="20"/>
  <c r="AQ527" i="20"/>
  <c r="AQ429" i="20"/>
  <c r="AQ110" i="20"/>
  <c r="AQ138" i="20"/>
  <c r="AQ182" i="20"/>
  <c r="AQ248" i="20"/>
  <c r="AQ325" i="20"/>
  <c r="AQ280" i="20"/>
  <c r="AQ887" i="20"/>
  <c r="AQ762" i="20"/>
  <c r="AQ163" i="20"/>
  <c r="AQ162" i="20"/>
  <c r="AQ698" i="20"/>
  <c r="AQ580" i="20"/>
  <c r="AQ803" i="20"/>
  <c r="AQ645" i="20"/>
  <c r="AQ203" i="20"/>
  <c r="AQ161" i="20"/>
  <c r="AQ904" i="20"/>
  <c r="AQ748" i="20"/>
  <c r="AQ747" i="20"/>
  <c r="AQ300" i="20"/>
  <c r="AQ792" i="20"/>
  <c r="AQ644" i="20"/>
  <c r="AQ487" i="20"/>
  <c r="AQ369" i="20"/>
  <c r="AQ695" i="20"/>
  <c r="AQ574" i="20"/>
  <c r="AQ563" i="20"/>
  <c r="AQ562" i="20"/>
  <c r="AQ557" i="20"/>
  <c r="AQ555" i="20"/>
  <c r="AQ534" i="20"/>
  <c r="AQ531" i="20"/>
  <c r="AQ455" i="20"/>
  <c r="AQ442" i="20"/>
  <c r="AQ230" i="20"/>
  <c r="AQ159" i="20"/>
  <c r="AQ889" i="20"/>
  <c r="AQ571" i="20"/>
  <c r="AQ503" i="20"/>
  <c r="AQ114" i="20"/>
  <c r="AQ55" i="20"/>
  <c r="AQ46" i="20"/>
  <c r="AQ45" i="20"/>
  <c r="AQ9" i="20"/>
  <c r="AQ6" i="20"/>
  <c r="AQ917" i="20"/>
  <c r="AQ908" i="20"/>
  <c r="AQ612" i="20"/>
  <c r="AQ610" i="20"/>
  <c r="AQ593" i="20"/>
  <c r="AQ592" i="20"/>
  <c r="AQ495" i="20"/>
  <c r="AQ473" i="20"/>
  <c r="AQ471" i="20"/>
  <c r="AQ291" i="20"/>
  <c r="AQ102" i="20"/>
  <c r="AQ56" i="20"/>
  <c r="AQ42" i="20"/>
  <c r="AQ886" i="20"/>
  <c r="AQ279" i="20"/>
  <c r="AQ247" i="20"/>
  <c r="AQ181" i="20"/>
  <c r="AQ137" i="20"/>
  <c r="AQ109" i="20"/>
  <c r="AQ368" i="20"/>
  <c r="AQ694" i="20"/>
  <c r="AQ388" i="20"/>
  <c r="AQ916" i="20"/>
  <c r="AQ888" i="20"/>
  <c r="AQ880" i="20"/>
  <c r="AQ536" i="20"/>
  <c r="AQ501" i="20"/>
  <c r="AQ494" i="20"/>
  <c r="AQ290" i="20"/>
  <c r="AQ101" i="20"/>
  <c r="AQ100" i="20"/>
  <c r="AQ44" i="20"/>
  <c r="AQ41" i="20"/>
  <c r="AQ734" i="20"/>
  <c r="AQ286" i="20"/>
  <c r="AQ866" i="20"/>
  <c r="AQ367" i="20"/>
  <c r="AQ907" i="20"/>
  <c r="AQ693" i="20"/>
  <c r="AQ609" i="20"/>
  <c r="AQ570" i="20"/>
  <c r="AQ470" i="20"/>
  <c r="AQ108" i="20"/>
  <c r="AQ323" i="20"/>
  <c r="AQ312" i="20"/>
  <c r="AQ305" i="20"/>
  <c r="AQ653" i="20"/>
  <c r="AQ411" i="20"/>
  <c r="AQ410" i="20"/>
  <c r="AQ409" i="20"/>
  <c r="AQ417" i="20"/>
  <c r="AQ408" i="20"/>
  <c r="AQ829" i="20"/>
  <c r="AQ865" i="20"/>
  <c r="AQ828" i="20"/>
  <c r="AQ767" i="20"/>
  <c r="AQ722" i="20"/>
  <c r="AQ706" i="20"/>
  <c r="AQ642" i="20"/>
  <c r="AQ590" i="20"/>
  <c r="AQ578" i="20"/>
  <c r="AQ377" i="20"/>
  <c r="AQ366" i="20"/>
  <c r="AQ268" i="20"/>
  <c r="AQ262" i="20"/>
  <c r="AQ419" i="20"/>
  <c r="AQ365" i="20"/>
  <c r="AQ340" i="20"/>
  <c r="AQ599" i="20"/>
  <c r="AQ573" i="20"/>
  <c r="AQ561" i="20"/>
  <c r="AQ560" i="20"/>
  <c r="AQ556" i="20"/>
  <c r="AQ554" i="20"/>
  <c r="AQ535" i="20"/>
  <c r="AQ533" i="20"/>
  <c r="AQ506" i="20"/>
  <c r="AQ454" i="20"/>
  <c r="AQ231" i="20"/>
  <c r="AQ228" i="20"/>
  <c r="AQ173" i="20"/>
  <c r="AQ553" i="20"/>
  <c r="AQ620" i="20"/>
  <c r="AQ884" i="20"/>
  <c r="AQ245" i="20"/>
  <c r="AQ224" i="20"/>
  <c r="AQ185" i="20"/>
  <c r="AQ679" i="20"/>
  <c r="AQ195" i="20"/>
  <c r="AQ29" i="20"/>
  <c r="AQ745" i="20"/>
  <c r="AQ194" i="20"/>
  <c r="AQ54" i="20"/>
  <c r="AQ322" i="20"/>
  <c r="AQ255" i="20"/>
  <c r="AQ89" i="20"/>
  <c r="AQ466" i="20"/>
  <c r="AQ677" i="20"/>
  <c r="AQ68" i="20"/>
  <c r="AQ619" i="20"/>
  <c r="AQ465" i="20"/>
  <c r="AQ52" i="20"/>
  <c r="AQ931" i="20"/>
  <c r="AQ744" i="20"/>
  <c r="AQ675" i="20"/>
  <c r="AQ449" i="20"/>
  <c r="AQ858" i="20"/>
  <c r="AQ743" i="20"/>
  <c r="AQ172" i="20"/>
  <c r="AQ674" i="20"/>
  <c r="AQ433" i="20"/>
  <c r="AQ51" i="20"/>
  <c r="AQ546" i="20"/>
  <c r="AQ298" i="20"/>
  <c r="AQ171" i="20"/>
  <c r="AQ50" i="20"/>
  <c r="AQ464" i="20"/>
  <c r="AQ741" i="20"/>
  <c r="AQ651" i="20"/>
  <c r="AQ253" i="20"/>
  <c r="AQ132" i="20"/>
  <c r="AQ88" i="20"/>
  <c r="AQ27" i="20"/>
  <c r="AQ739" i="20"/>
  <c r="AQ520" i="20"/>
  <c r="AQ738" i="20"/>
  <c r="AQ737" i="20"/>
  <c r="AQ48" i="20"/>
  <c r="AQ170" i="20"/>
  <c r="AQ24" i="20"/>
  <c r="AQ736" i="20"/>
  <c r="AQ671" i="20"/>
  <c r="AQ250" i="20"/>
  <c r="AQ83" i="20"/>
  <c r="AQ648" i="20"/>
  <c r="AQ127" i="20"/>
  <c r="AQ416" i="20"/>
  <c r="AQ407" i="20"/>
  <c r="AQ545" i="20"/>
  <c r="AQ519" i="20"/>
  <c r="AQ518" i="20"/>
  <c r="AQ444" i="20"/>
  <c r="AQ434" i="20"/>
  <c r="AQ517" i="20"/>
  <c r="AQ460" i="20"/>
  <c r="AQ95" i="20"/>
  <c r="AQ23" i="20"/>
  <c r="AQ559" i="20"/>
  <c r="AQ558" i="20"/>
  <c r="AQ539" i="20"/>
  <c r="AQ538" i="20"/>
  <c r="AQ541" i="20"/>
  <c r="AQ540" i="20"/>
  <c r="AQ817" i="20"/>
  <c r="AQ516" i="20"/>
  <c r="AQ22" i="20"/>
  <c r="AQ21" i="20"/>
  <c r="AQ405" i="20"/>
  <c r="AQ816" i="20"/>
  <c r="AQ544" i="20"/>
  <c r="AQ847" i="20"/>
  <c r="AQ718" i="20"/>
  <c r="AQ477" i="20"/>
  <c r="AQ361" i="20"/>
  <c r="AQ141" i="20"/>
  <c r="AQ105" i="20"/>
  <c r="AQ515" i="20"/>
  <c r="AQ404" i="20"/>
  <c r="AQ403" i="20"/>
  <c r="AQ402" i="20"/>
  <c r="AQ414" i="20"/>
  <c r="AQ401" i="20"/>
  <c r="AQ413" i="20"/>
  <c r="AQ400" i="20"/>
  <c r="AQ513" i="20"/>
  <c r="AQ295" i="20"/>
  <c r="AQ294" i="20"/>
  <c r="AQ882" i="20"/>
  <c r="AQ222" i="20"/>
  <c r="AQ412" i="20"/>
  <c r="AQ319" i="20"/>
  <c r="AQ309" i="20"/>
  <c r="AQ930" i="20"/>
  <c r="AQ690" i="20"/>
  <c r="AQ275" i="20"/>
  <c r="AQ647" i="20"/>
  <c r="AQ94" i="20"/>
  <c r="AQ646" i="20"/>
  <c r="AQ615" i="20"/>
  <c r="AQ891" i="20"/>
  <c r="AQ861" i="20"/>
  <c r="AQ846" i="20"/>
  <c r="AQ834" i="20"/>
  <c r="AQ808" i="20"/>
  <c r="AQ772" i="20"/>
  <c r="AQ755" i="20"/>
  <c r="AQ733" i="20"/>
  <c r="AQ717" i="20"/>
  <c r="AQ709" i="20"/>
  <c r="AQ689" i="20"/>
  <c r="AQ667" i="20"/>
  <c r="AQ640" i="20"/>
  <c r="AQ606" i="20"/>
  <c r="AQ589" i="20"/>
  <c r="AQ576" i="20"/>
  <c r="AQ569" i="20"/>
  <c r="AQ547" i="20"/>
  <c r="AQ500" i="20"/>
  <c r="AQ485" i="20"/>
  <c r="AQ475" i="20"/>
  <c r="AQ375" i="20"/>
  <c r="AQ360" i="20"/>
  <c r="AQ343" i="20"/>
  <c r="AQ289" i="20"/>
  <c r="AQ285" i="20"/>
  <c r="AQ274" i="20"/>
  <c r="AQ214" i="20"/>
  <c r="AQ167" i="20"/>
  <c r="AQ140" i="20"/>
  <c r="AQ126" i="20"/>
  <c r="AQ113" i="20"/>
  <c r="AQ104" i="20"/>
  <c r="AQ99" i="20"/>
  <c r="AQ66" i="20"/>
  <c r="AQ40" i="20"/>
  <c r="AQ36" i="20"/>
  <c r="AQ18" i="20"/>
  <c r="AQ632" i="20"/>
  <c r="AQ318" i="20"/>
  <c r="AQ302" i="20"/>
  <c r="AQ426" i="20"/>
  <c r="AQ47" i="20"/>
  <c r="AQ906" i="20"/>
  <c r="AQ879" i="20"/>
  <c r="AQ753" i="20"/>
  <c r="AQ732" i="20"/>
  <c r="AQ588" i="20"/>
  <c r="AQ568" i="20"/>
  <c r="AQ499" i="20"/>
  <c r="AQ287" i="20"/>
  <c r="AQ283" i="20"/>
  <c r="AQ174" i="20"/>
  <c r="AQ165" i="20"/>
  <c r="AQ111" i="20"/>
  <c r="AQ97" i="20"/>
  <c r="AQ60" i="20"/>
  <c r="AQ38" i="20"/>
  <c r="AQ34" i="20"/>
  <c r="AQ16" i="20"/>
  <c r="AQ7" i="20"/>
  <c r="AQ139" i="20"/>
  <c r="AQ156" i="20"/>
  <c r="AQ199" i="20"/>
  <c r="AQ680" i="20"/>
  <c r="AQ72" i="20"/>
  <c r="AQ910" i="20"/>
  <c r="AQ659" i="20"/>
  <c r="AQ178" i="20"/>
  <c r="AQ151" i="20"/>
  <c r="AQ779" i="20"/>
  <c r="AQ778" i="20"/>
  <c r="AQ603" i="20"/>
  <c r="AQ826" i="20"/>
  <c r="AQ15" i="20"/>
  <c r="AQ136" i="20"/>
  <c r="AQ735" i="20"/>
  <c r="AQ510" i="20"/>
  <c r="AQ508" i="20"/>
  <c r="AQ507" i="20"/>
  <c r="AQ509" i="20"/>
  <c r="AQ638" i="20"/>
  <c r="AQ688" i="20"/>
  <c r="AQ881" i="20"/>
  <c r="AQ243" i="20"/>
  <c r="AQ221" i="20"/>
  <c r="AQ183" i="20"/>
  <c r="AQ575" i="20"/>
  <c r="AQ918" i="20"/>
  <c r="AQ564" i="20"/>
  <c r="AQ374" i="20"/>
  <c r="AQ623" i="20"/>
  <c r="AQ93" i="20"/>
  <c r="AQ622" i="20"/>
  <c r="AQ257" i="20"/>
  <c r="AQ249" i="20"/>
  <c r="AQ96" i="20"/>
  <c r="AQ282" i="20"/>
  <c r="AQ543" i="20"/>
  <c r="AQ624" i="20"/>
  <c r="AQ614" i="20"/>
  <c r="AQ452" i="20"/>
  <c r="AQ352" i="20"/>
  <c r="AQ229" i="20"/>
  <c r="AQ328" i="20"/>
  <c r="AQ316" i="20"/>
  <c r="AQ425" i="20"/>
  <c r="AQ351" i="20"/>
  <c r="AQ329" i="20"/>
  <c r="AQ176" i="20"/>
  <c r="AQ512" i="20"/>
  <c r="AQ315" i="20"/>
  <c r="AQ812" i="20"/>
  <c r="AQ833" i="20"/>
  <c r="AQ236" i="20"/>
  <c r="AQ929" i="20"/>
  <c r="AQ928" i="20"/>
  <c r="AQ927" i="20"/>
  <c r="AQ637" i="20"/>
  <c r="AQ373" i="20"/>
  <c r="AQ926" i="20"/>
  <c r="AQ355" i="20"/>
  <c r="AQ354" i="20"/>
  <c r="AQ353" i="20"/>
  <c r="AQ636" i="20"/>
  <c r="AQ795" i="20"/>
  <c r="AQ787" i="20"/>
  <c r="AQ786" i="20"/>
  <c r="AQ832" i="20"/>
  <c r="AQ459" i="20"/>
  <c r="W5" i="43"/>
  <c r="H14" i="43"/>
  <c r="A354" i="20" l="1"/>
  <c r="A927" i="20"/>
  <c r="A459" i="20"/>
  <c r="A832" i="20"/>
  <c r="A786" i="20"/>
  <c r="A787" i="20"/>
  <c r="A795" i="20"/>
  <c r="A636" i="20"/>
  <c r="A353" i="20"/>
  <c r="A355" i="20"/>
  <c r="A926" i="20"/>
  <c r="A373" i="20"/>
  <c r="A637" i="20"/>
  <c r="A928" i="20"/>
  <c r="A929" i="20"/>
  <c r="A236" i="20"/>
  <c r="A833" i="20"/>
  <c r="A812" i="20"/>
  <c r="A315" i="20"/>
  <c r="A512" i="20"/>
  <c r="A176" i="20"/>
  <c r="A329" i="20"/>
  <c r="A351" i="20"/>
  <c r="A425" i="20"/>
  <c r="A316" i="20"/>
  <c r="A328" i="20"/>
  <c r="A229" i="20"/>
  <c r="A352" i="20"/>
  <c r="A452" i="20"/>
  <c r="A614" i="20"/>
  <c r="A624" i="20"/>
  <c r="A543" i="20"/>
  <c r="A282" i="20"/>
  <c r="A96" i="20"/>
  <c r="A249" i="20"/>
  <c r="A257" i="20"/>
  <c r="A622" i="20"/>
  <c r="A93" i="20"/>
  <c r="A623" i="20"/>
  <c r="A374" i="20"/>
  <c r="A564" i="20"/>
  <c r="A918" i="20"/>
  <c r="A575" i="20"/>
  <c r="A183" i="20"/>
  <c r="A221" i="20"/>
  <c r="A243" i="20"/>
  <c r="A881" i="20"/>
  <c r="A688" i="20"/>
  <c r="A638" i="20"/>
  <c r="A509" i="20"/>
  <c r="A507" i="20"/>
  <c r="A508" i="20"/>
  <c r="A510" i="20"/>
  <c r="A735" i="20"/>
  <c r="A136" i="20"/>
  <c r="A15" i="20"/>
  <c r="A103" i="20"/>
  <c r="A273" i="20"/>
  <c r="A631" i="20"/>
  <c r="A639" i="20"/>
  <c r="A666" i="20"/>
  <c r="A731" i="20"/>
  <c r="A752" i="20"/>
  <c r="A754" i="20"/>
  <c r="A757" i="20"/>
  <c r="A813" i="20"/>
  <c r="A878" i="20"/>
  <c r="A905" i="20"/>
  <c r="A826" i="20"/>
  <c r="A603" i="20"/>
  <c r="A778" i="20"/>
  <c r="A779" i="20"/>
  <c r="A151" i="20"/>
  <c r="A178" i="20"/>
  <c r="A659" i="20"/>
  <c r="A910" i="20"/>
  <c r="A72" i="20"/>
  <c r="A680" i="20"/>
  <c r="A199" i="20"/>
  <c r="A156" i="20"/>
  <c r="A567" i="20"/>
  <c r="A587" i="20"/>
  <c r="A604" i="20"/>
  <c r="A859" i="20"/>
  <c r="A139" i="20"/>
  <c r="A7" i="20"/>
  <c r="A16" i="20"/>
  <c r="A34" i="20"/>
  <c r="A38" i="20"/>
  <c r="A60" i="20"/>
  <c r="A97" i="20"/>
  <c r="A111" i="20"/>
  <c r="A165" i="20"/>
  <c r="A174" i="20"/>
  <c r="A283" i="20"/>
  <c r="A287" i="20"/>
  <c r="A335" i="20"/>
  <c r="A498" i="20"/>
  <c r="A499" i="20"/>
  <c r="A568" i="20"/>
  <c r="A588" i="20"/>
  <c r="A732" i="20"/>
  <c r="A753" i="20"/>
  <c r="A879" i="20"/>
  <c r="A906" i="20"/>
  <c r="A47" i="20"/>
  <c r="A8" i="20"/>
  <c r="A17" i="20"/>
  <c r="A35" i="20"/>
  <c r="A39" i="20"/>
  <c r="A61" i="20"/>
  <c r="A65" i="20"/>
  <c r="A98" i="20"/>
  <c r="A112" i="20"/>
  <c r="A157" i="20"/>
  <c r="A166" i="20"/>
  <c r="A175" i="20"/>
  <c r="A284" i="20"/>
  <c r="A288" i="20"/>
  <c r="A301" i="20"/>
  <c r="A308" i="20"/>
  <c r="A317" i="20"/>
  <c r="A426" i="20"/>
  <c r="A302" i="20"/>
  <c r="A318" i="20"/>
  <c r="A632" i="20"/>
  <c r="A18" i="20"/>
  <c r="A36" i="20"/>
  <c r="A40" i="20"/>
  <c r="A66" i="20"/>
  <c r="A99" i="20"/>
  <c r="A104" i="20"/>
  <c r="A113" i="20"/>
  <c r="A126" i="20"/>
  <c r="A140" i="20"/>
  <c r="A167" i="20"/>
  <c r="A214" i="20"/>
  <c r="A274" i="20"/>
  <c r="A285" i="20"/>
  <c r="A289" i="20"/>
  <c r="A343" i="20"/>
  <c r="A360" i="20"/>
  <c r="A375" i="20"/>
  <c r="A475" i="20"/>
  <c r="A485" i="20"/>
  <c r="A500" i="20"/>
  <c r="A547" i="20"/>
  <c r="A569" i="20"/>
  <c r="A576" i="20"/>
  <c r="A589" i="20"/>
  <c r="A606" i="20"/>
  <c r="A640" i="20"/>
  <c r="A667" i="20"/>
  <c r="A689" i="20"/>
  <c r="A709" i="20"/>
  <c r="A717" i="20"/>
  <c r="A733" i="20"/>
  <c r="A755" i="20"/>
  <c r="A772" i="20"/>
  <c r="A808" i="20"/>
  <c r="A834" i="20"/>
  <c r="A846" i="20"/>
  <c r="A861" i="20"/>
  <c r="A891" i="20"/>
  <c r="A615" i="20"/>
  <c r="A646" i="20"/>
  <c r="A152" i="20"/>
  <c r="A179" i="20"/>
  <c r="A344" i="20"/>
  <c r="A660" i="20"/>
  <c r="A780" i="20"/>
  <c r="A911" i="20"/>
  <c r="A94" i="20"/>
  <c r="A647" i="20"/>
  <c r="A275" i="20"/>
  <c r="A690" i="20"/>
  <c r="A930" i="20"/>
  <c r="A309" i="20"/>
  <c r="A319" i="20"/>
  <c r="A412" i="20"/>
  <c r="A222" i="20"/>
  <c r="A882" i="20"/>
  <c r="A294" i="20"/>
  <c r="A295" i="20"/>
  <c r="A513" i="20"/>
  <c r="A400" i="20"/>
  <c r="A413" i="20"/>
  <c r="A862" i="20"/>
  <c r="A401" i="20"/>
  <c r="A414" i="20"/>
  <c r="A402" i="20"/>
  <c r="A514" i="20"/>
  <c r="A476" i="20"/>
  <c r="A486" i="20"/>
  <c r="A842" i="20"/>
  <c r="A524" i="20"/>
  <c r="A117" i="20"/>
  <c r="A120" i="20"/>
  <c r="A123" i="20"/>
  <c r="A835" i="20"/>
  <c r="A403" i="20"/>
  <c r="A788" i="20"/>
  <c r="A796" i="20"/>
  <c r="A200" i="20"/>
  <c r="A215" i="20"/>
  <c r="A404" i="20"/>
  <c r="A608" i="20"/>
  <c r="A809" i="20"/>
  <c r="A515" i="20"/>
  <c r="A892" i="20"/>
  <c r="A823" i="20"/>
  <c r="A827" i="20"/>
  <c r="A839" i="20"/>
  <c r="A105" i="20"/>
  <c r="A141" i="20"/>
  <c r="A361" i="20"/>
  <c r="A477" i="20"/>
  <c r="A718" i="20"/>
  <c r="A847" i="20"/>
  <c r="A607" i="20"/>
  <c r="A142" i="20"/>
  <c r="A719" i="20"/>
  <c r="A337" i="20"/>
  <c r="A691" i="20"/>
  <c r="A703" i="20"/>
  <c r="A548" i="20"/>
  <c r="A773" i="20"/>
  <c r="A848" i="20"/>
  <c r="A232" i="20"/>
  <c r="A261" i="20"/>
  <c r="A267" i="20"/>
  <c r="A385" i="20"/>
  <c r="A418" i="20"/>
  <c r="A362" i="20"/>
  <c r="A393" i="20"/>
  <c r="A710" i="20"/>
  <c r="A376" i="20"/>
  <c r="A544" i="20"/>
  <c r="A577" i="20"/>
  <c r="A816" i="20"/>
  <c r="A405" i="20"/>
  <c r="A21" i="20"/>
  <c r="A22" i="20"/>
  <c r="A516" i="20"/>
  <c r="A817" i="20"/>
  <c r="A628" i="20"/>
  <c r="A802" i="20"/>
  <c r="A540" i="20"/>
  <c r="A541" i="20"/>
  <c r="A430" i="20"/>
  <c r="A538" i="20"/>
  <c r="A539" i="20"/>
  <c r="A641" i="20"/>
  <c r="A766" i="20"/>
  <c r="A558" i="20"/>
  <c r="A559" i="20"/>
  <c r="A23" i="20"/>
  <c r="A95" i="20"/>
  <c r="A460" i="20"/>
  <c r="A517" i="20"/>
  <c r="A434" i="20"/>
  <c r="A444" i="20"/>
  <c r="A518" i="20"/>
  <c r="A519" i="20"/>
  <c r="A900" i="20"/>
  <c r="A818" i="20"/>
  <c r="A190" i="20"/>
  <c r="A453" i="20"/>
  <c r="A625" i="20"/>
  <c r="A670" i="20"/>
  <c r="A406" i="20"/>
  <c r="A415" i="20"/>
  <c r="A169" i="20"/>
  <c r="A461" i="20"/>
  <c r="A67" i="20"/>
  <c r="A158" i="20"/>
  <c r="A545" i="20"/>
  <c r="A237" i="20"/>
  <c r="A456" i="20"/>
  <c r="A600" i="20"/>
  <c r="A106" i="20"/>
  <c r="A276" i="20"/>
  <c r="A758" i="20"/>
  <c r="A668" i="20"/>
  <c r="A756" i="20"/>
  <c r="A814" i="20"/>
  <c r="A407" i="20"/>
  <c r="A416" i="20"/>
  <c r="A153" i="20"/>
  <c r="A180" i="20"/>
  <c r="A127" i="20"/>
  <c r="A661" i="20"/>
  <c r="A781" i="20"/>
  <c r="A912" i="20"/>
  <c r="A82" i="20"/>
  <c r="A648" i="20"/>
  <c r="A336" i="20"/>
  <c r="A345" i="20"/>
  <c r="A605" i="20"/>
  <c r="A681" i="20"/>
  <c r="A682" i="20"/>
  <c r="A860" i="20"/>
  <c r="A83" i="20"/>
  <c r="A346" i="20"/>
  <c r="A73" i="20"/>
  <c r="A74" i="20"/>
  <c r="A250" i="20"/>
  <c r="A128" i="20"/>
  <c r="A129" i="20"/>
  <c r="A671" i="20"/>
  <c r="A198" i="20"/>
  <c r="A736" i="20"/>
  <c r="A457" i="20"/>
  <c r="A595" i="20"/>
  <c r="A601" i="20"/>
  <c r="A669" i="20"/>
  <c r="A24" i="20"/>
  <c r="A197" i="20"/>
  <c r="A692" i="20"/>
  <c r="A849" i="20"/>
  <c r="A363" i="20"/>
  <c r="A394" i="20"/>
  <c r="A720" i="20"/>
  <c r="A386" i="20"/>
  <c r="A143" i="20"/>
  <c r="A170" i="20"/>
  <c r="A338" i="20"/>
  <c r="A711" i="20"/>
  <c r="A704" i="20"/>
  <c r="A782" i="20"/>
  <c r="A863" i="20"/>
  <c r="A462" i="20"/>
  <c r="A84" i="20"/>
  <c r="A85" i="20"/>
  <c r="A251" i="20"/>
  <c r="A330" i="20"/>
  <c r="A616" i="20"/>
  <c r="A649" i="20"/>
  <c r="A445" i="20"/>
  <c r="A130" i="20"/>
  <c r="A48" i="20"/>
  <c r="A737" i="20"/>
  <c r="A738" i="20"/>
  <c r="A75" i="20"/>
  <c r="A520" i="20"/>
  <c r="A683" i="20"/>
  <c r="A739" i="20"/>
  <c r="A789" i="20"/>
  <c r="A790" i="20"/>
  <c r="A797" i="20"/>
  <c r="A798" i="20"/>
  <c r="A25" i="20"/>
  <c r="A26" i="20"/>
  <c r="A27" i="20"/>
  <c r="A49" i="20"/>
  <c r="A76" i="20"/>
  <c r="A86" i="20"/>
  <c r="A87" i="20"/>
  <c r="A88" i="20"/>
  <c r="A131" i="20"/>
  <c r="A132" i="20"/>
  <c r="A144" i="20"/>
  <c r="A154" i="20"/>
  <c r="A184" i="20"/>
  <c r="A191" i="20"/>
  <c r="A192" i="20"/>
  <c r="A223" i="20"/>
  <c r="A239" i="20"/>
  <c r="A240" i="20"/>
  <c r="A244" i="20"/>
  <c r="A252" i="20"/>
  <c r="A253" i="20"/>
  <c r="A277" i="20"/>
  <c r="A296" i="20"/>
  <c r="A297" i="20"/>
  <c r="A303" i="20"/>
  <c r="A310" i="20"/>
  <c r="A320" i="20"/>
  <c r="A331" i="20"/>
  <c r="A339" i="20"/>
  <c r="A347" i="20"/>
  <c r="A364" i="20"/>
  <c r="A387" i="20"/>
  <c r="A395" i="20"/>
  <c r="A427" i="20"/>
  <c r="A435" i="20"/>
  <c r="A436" i="20"/>
  <c r="A446" i="20"/>
  <c r="A447" i="20"/>
  <c r="A463" i="20"/>
  <c r="A505" i="20"/>
  <c r="A521" i="20"/>
  <c r="A525" i="20"/>
  <c r="A565" i="20"/>
  <c r="A584" i="20"/>
  <c r="A598" i="20"/>
  <c r="A617" i="20"/>
  <c r="A626" i="20"/>
  <c r="A633" i="20"/>
  <c r="A650" i="20"/>
  <c r="A651" i="20"/>
  <c r="A662" i="20"/>
  <c r="A672" i="20"/>
  <c r="A673" i="20"/>
  <c r="A684" i="20"/>
  <c r="A705" i="20"/>
  <c r="A712" i="20"/>
  <c r="A721" i="20"/>
  <c r="A740" i="20"/>
  <c r="A741" i="20"/>
  <c r="A759" i="20"/>
  <c r="A783" i="20"/>
  <c r="A850" i="20"/>
  <c r="A864" i="20"/>
  <c r="A883" i="20"/>
  <c r="A901" i="20"/>
  <c r="A902" i="20"/>
  <c r="A913" i="20"/>
  <c r="A819" i="20"/>
  <c r="A820" i="20"/>
  <c r="A155" i="20"/>
  <c r="A464" i="20"/>
  <c r="A914" i="20"/>
  <c r="A50" i="20"/>
  <c r="A171" i="20"/>
  <c r="A241" i="20"/>
  <c r="A298" i="20"/>
  <c r="A546" i="20"/>
  <c r="A663" i="20"/>
  <c r="A437" i="20"/>
  <c r="A438" i="20"/>
  <c r="A448" i="20"/>
  <c r="A58" i="20"/>
  <c r="A59" i="20"/>
  <c r="A258" i="20"/>
  <c r="A77" i="20"/>
  <c r="A51" i="20"/>
  <c r="A433" i="20"/>
  <c r="A674" i="20"/>
  <c r="A742" i="20"/>
  <c r="A172" i="20"/>
  <c r="A348" i="20"/>
  <c r="A743" i="20"/>
  <c r="A858" i="20"/>
  <c r="A321" i="20"/>
  <c r="A311" i="20"/>
  <c r="A449" i="20"/>
  <c r="A634" i="20"/>
  <c r="A675" i="20"/>
  <c r="A744" i="20"/>
  <c r="A931" i="20"/>
  <c r="A332" i="20"/>
  <c r="A618" i="20"/>
  <c r="A52" i="20"/>
  <c r="A242" i="20"/>
  <c r="A254" i="20"/>
  <c r="A304" i="20"/>
  <c r="A439" i="20"/>
  <c r="A450" i="20"/>
  <c r="A465" i="20"/>
  <c r="A760" i="20"/>
  <c r="A440" i="20"/>
  <c r="A652" i="20"/>
  <c r="A619" i="20"/>
  <c r="A53" i="20"/>
  <c r="A68" i="20"/>
  <c r="A676" i="20"/>
  <c r="A677" i="20"/>
  <c r="A821" i="20"/>
  <c r="A466" i="20"/>
  <c r="A28" i="20"/>
  <c r="A89" i="20"/>
  <c r="A193" i="20"/>
  <c r="A255" i="20"/>
  <c r="A322" i="20"/>
  <c r="A467" i="20"/>
  <c r="A678" i="20"/>
  <c r="A54" i="20"/>
  <c r="A194" i="20"/>
  <c r="A745" i="20"/>
  <c r="A29" i="20"/>
  <c r="A195" i="20"/>
  <c r="A679" i="20"/>
  <c r="A185" i="20"/>
  <c r="A224" i="20"/>
  <c r="A245" i="20"/>
  <c r="A884" i="20"/>
  <c r="A620" i="20"/>
  <c r="A553" i="20"/>
  <c r="A173" i="20"/>
  <c r="A228" i="20"/>
  <c r="A231" i="20"/>
  <c r="A454" i="20"/>
  <c r="A506" i="20"/>
  <c r="A533" i="20"/>
  <c r="A535" i="20"/>
  <c r="A554" i="20"/>
  <c r="A556" i="20"/>
  <c r="A560" i="20"/>
  <c r="A561" i="20"/>
  <c r="A573" i="20"/>
  <c r="A599" i="20"/>
  <c r="A340" i="20"/>
  <c r="A365" i="20"/>
  <c r="A419" i="20"/>
  <c r="A262" i="20"/>
  <c r="A268" i="20"/>
  <c r="A366" i="20"/>
  <c r="A377" i="20"/>
  <c r="A578" i="20"/>
  <c r="A590" i="20"/>
  <c r="A642" i="20"/>
  <c r="A706" i="20"/>
  <c r="A722" i="20"/>
  <c r="A767" i="20"/>
  <c r="A828" i="20"/>
  <c r="A865" i="20"/>
  <c r="A829" i="20"/>
  <c r="A408" i="20"/>
  <c r="A417" i="20"/>
  <c r="A409" i="20"/>
  <c r="A410" i="20"/>
  <c r="A411" i="20"/>
  <c r="A653" i="20"/>
  <c r="A305" i="20"/>
  <c r="A312" i="20"/>
  <c r="A323" i="20"/>
  <c r="A107" i="20"/>
  <c r="A108" i="20"/>
  <c r="A278" i="20"/>
  <c r="A470" i="20"/>
  <c r="A570" i="20"/>
  <c r="A609" i="20"/>
  <c r="A693" i="20"/>
  <c r="A907" i="20"/>
  <c r="A260" i="20"/>
  <c r="A591" i="20"/>
  <c r="A877" i="20"/>
  <c r="A78" i="20"/>
  <c r="A685" i="20"/>
  <c r="A216" i="20"/>
  <c r="A579" i="20"/>
  <c r="A378" i="20"/>
  <c r="A643" i="20"/>
  <c r="A367" i="20"/>
  <c r="A866" i="20"/>
  <c r="A815" i="20"/>
  <c r="A286" i="20"/>
  <c r="A734" i="20"/>
  <c r="A41" i="20"/>
  <c r="A44" i="20"/>
  <c r="A100" i="20"/>
  <c r="A101" i="20"/>
  <c r="A290" i="20"/>
  <c r="A494" i="20"/>
  <c r="A501" i="20"/>
  <c r="A536" i="20"/>
  <c r="A880" i="20"/>
  <c r="A888" i="20"/>
  <c r="A916" i="20"/>
  <c r="A388" i="20"/>
  <c r="A694" i="20"/>
  <c r="A761" i="20"/>
  <c r="A306" i="20"/>
  <c r="A324" i="20"/>
  <c r="A451" i="20"/>
  <c r="A368" i="20"/>
  <c r="A441" i="20"/>
  <c r="A145" i="20"/>
  <c r="A217" i="20"/>
  <c r="A109" i="20"/>
  <c r="A137" i="20"/>
  <c r="A146" i="20"/>
  <c r="A181" i="20"/>
  <c r="A247" i="20"/>
  <c r="A279" i="20"/>
  <c r="A389" i="20"/>
  <c r="A886" i="20"/>
  <c r="A42" i="20"/>
  <c r="A56" i="20"/>
  <c r="A102" i="20"/>
  <c r="A291" i="20"/>
  <c r="A471" i="20"/>
  <c r="A473" i="20"/>
  <c r="A495" i="20"/>
  <c r="A592" i="20"/>
  <c r="A593" i="20"/>
  <c r="A610" i="20"/>
  <c r="A612" i="20"/>
  <c r="A908" i="20"/>
  <c r="A917" i="20"/>
  <c r="A6" i="20"/>
  <c r="A9" i="20"/>
  <c r="A45" i="20"/>
  <c r="A46" i="20"/>
  <c r="A55" i="20"/>
  <c r="A114" i="20"/>
  <c r="A503" i="20"/>
  <c r="A571" i="20"/>
  <c r="A889" i="20"/>
  <c r="A159" i="20"/>
  <c r="A230" i="20"/>
  <c r="A442" i="20"/>
  <c r="A455" i="20"/>
  <c r="A531" i="20"/>
  <c r="A534" i="20"/>
  <c r="A555" i="20"/>
  <c r="A557" i="20"/>
  <c r="A562" i="20"/>
  <c r="A563" i="20"/>
  <c r="A574" i="20"/>
  <c r="A596" i="20"/>
  <c r="A810" i="20"/>
  <c r="A201" i="20"/>
  <c r="A768" i="20"/>
  <c r="A695" i="20"/>
  <c r="A202" i="20"/>
  <c r="A369" i="20"/>
  <c r="A379" i="20"/>
  <c r="A487" i="20"/>
  <c r="A723" i="20"/>
  <c r="A769" i="20"/>
  <c r="A10" i="20"/>
  <c r="A19" i="20"/>
  <c r="A62" i="20"/>
  <c r="A115" i="20"/>
  <c r="A644" i="20"/>
  <c r="A69" i="20"/>
  <c r="A147" i="20"/>
  <c r="A341" i="20"/>
  <c r="A370" i="20"/>
  <c r="A380" i="20"/>
  <c r="A390" i="20"/>
  <c r="A396" i="20"/>
  <c r="A696" i="20"/>
  <c r="A707" i="20"/>
  <c r="A713" i="20"/>
  <c r="A724" i="20"/>
  <c r="A784" i="20"/>
  <c r="A851" i="20"/>
  <c r="A867" i="20"/>
  <c r="A873" i="20"/>
  <c r="A791" i="20"/>
  <c r="A799" i="20"/>
  <c r="A627" i="20"/>
  <c r="A428" i="20"/>
  <c r="A526" i="20"/>
  <c r="A746" i="20"/>
  <c r="A585" i="20"/>
  <c r="A522" i="20"/>
  <c r="A30" i="20"/>
  <c r="A196" i="20"/>
  <c r="A299" i="20"/>
  <c r="A313" i="20"/>
  <c r="A903" i="20"/>
  <c r="A468" i="20"/>
  <c r="A11" i="20"/>
  <c r="A20" i="20"/>
  <c r="A37" i="20"/>
  <c r="A43" i="20"/>
  <c r="A57" i="20"/>
  <c r="A63" i="20"/>
  <c r="A70" i="20"/>
  <c r="A116" i="20"/>
  <c r="A148" i="20"/>
  <c r="A160" i="20"/>
  <c r="A168" i="20"/>
  <c r="A292" i="20"/>
  <c r="A342" i="20"/>
  <c r="A371" i="20"/>
  <c r="A472" i="20"/>
  <c r="A474" i="20"/>
  <c r="A478" i="20"/>
  <c r="A488" i="20"/>
  <c r="A492" i="20"/>
  <c r="A496" i="20"/>
  <c r="A502" i="20"/>
  <c r="A504" i="20"/>
  <c r="A537" i="20"/>
  <c r="A549" i="20"/>
  <c r="A572" i="20"/>
  <c r="A594" i="20"/>
  <c r="A613" i="20"/>
  <c r="A697" i="20"/>
  <c r="A714" i="20"/>
  <c r="A725" i="20"/>
  <c r="A774" i="20"/>
  <c r="A830" i="20"/>
  <c r="A836" i="20"/>
  <c r="A852" i="20"/>
  <c r="A868" i="20"/>
  <c r="A890" i="20"/>
  <c r="A893" i="20"/>
  <c r="A909" i="20"/>
  <c r="A792" i="20"/>
  <c r="A300" i="20"/>
  <c r="A747" i="20"/>
  <c r="A748" i="20"/>
  <c r="A904" i="20"/>
  <c r="A161" i="20"/>
  <c r="A203" i="20"/>
  <c r="A645" i="20"/>
  <c r="A803" i="20"/>
  <c r="A90" i="20"/>
  <c r="A580" i="20"/>
  <c r="A225" i="20"/>
  <c r="A186" i="20"/>
  <c r="A885" i="20"/>
  <c r="A246" i="20"/>
  <c r="A698" i="20"/>
  <c r="A162" i="20"/>
  <c r="A163" i="20"/>
  <c r="A762" i="20"/>
  <c r="A887" i="20"/>
  <c r="A280" i="20"/>
  <c r="A325" i="20"/>
  <c r="A248" i="20"/>
  <c r="A182" i="20"/>
  <c r="A138" i="20"/>
  <c r="A110" i="20"/>
  <c r="A429" i="20"/>
  <c r="A527" i="20"/>
  <c r="A381" i="20"/>
  <c r="A869" i="20"/>
  <c r="A550" i="20"/>
  <c r="A307" i="20"/>
  <c r="A314" i="20"/>
  <c r="A326" i="20"/>
  <c r="A763" i="20"/>
  <c r="A635" i="20"/>
  <c r="A204" i="20"/>
  <c r="A420" i="20"/>
  <c r="A479" i="20"/>
  <c r="A489" i="20"/>
  <c r="A894" i="20"/>
  <c r="A749" i="20"/>
  <c r="A205" i="20"/>
  <c r="A421" i="20"/>
  <c r="A480" i="20"/>
  <c r="A490" i="20"/>
  <c r="A581" i="20"/>
  <c r="A895" i="20"/>
  <c r="A469" i="20"/>
  <c r="A238" i="20"/>
  <c r="A811" i="20"/>
  <c r="A458" i="20"/>
  <c r="A602" i="20"/>
  <c r="A218" i="20"/>
  <c r="A422" i="20"/>
  <c r="A775" i="20"/>
  <c r="A843" i="20"/>
  <c r="A233" i="20"/>
  <c r="A831" i="20"/>
  <c r="A896" i="20"/>
  <c r="A532" i="20"/>
  <c r="A566" i="20"/>
  <c r="A79" i="20"/>
  <c r="A118" i="20"/>
  <c r="A121" i="20"/>
  <c r="A124" i="20"/>
  <c r="A133" i="20"/>
  <c r="A187" i="20"/>
  <c r="A206" i="20"/>
  <c r="A327" i="20"/>
  <c r="A333" i="20"/>
  <c r="A358" i="20"/>
  <c r="A359" i="20"/>
  <c r="A443" i="20"/>
  <c r="A481" i="20"/>
  <c r="A482" i="20"/>
  <c r="A511" i="20"/>
  <c r="A582" i="20"/>
  <c r="A654" i="20"/>
  <c r="A655" i="20"/>
  <c r="A776" i="20"/>
  <c r="A840" i="20"/>
  <c r="A234" i="20"/>
  <c r="A263" i="20"/>
  <c r="A264" i="20"/>
  <c r="A269" i="20"/>
  <c r="A423" i="20"/>
  <c r="A629" i="20"/>
  <c r="A149" i="20"/>
  <c r="A397" i="20"/>
  <c r="A699" i="20"/>
  <c r="A726" i="20"/>
  <c r="A853" i="20"/>
  <c r="A874" i="20"/>
  <c r="A349" i="20"/>
  <c r="A700" i="20"/>
  <c r="A870" i="20"/>
  <c r="A822" i="20"/>
  <c r="A523" i="20"/>
  <c r="A134" i="20"/>
  <c r="A621" i="20"/>
  <c r="A875" i="20"/>
  <c r="A391" i="20"/>
  <c r="A854" i="20"/>
  <c r="A871" i="20"/>
  <c r="A281" i="20"/>
  <c r="A586" i="20"/>
  <c r="A188" i="20"/>
  <c r="A656" i="20"/>
  <c r="A528" i="20"/>
  <c r="A483" i="20"/>
  <c r="A491" i="20"/>
  <c r="A750" i="20"/>
  <c r="A715" i="20"/>
  <c r="A259" i="20"/>
  <c r="A804" i="20"/>
  <c r="A207" i="20"/>
  <c r="A583" i="20"/>
  <c r="A824" i="20"/>
  <c r="A31" i="20"/>
  <c r="A32" i="20"/>
  <c r="A793" i="20"/>
  <c r="A382" i="20"/>
  <c r="A392" i="20"/>
  <c r="A800" i="20"/>
  <c r="A876" i="20"/>
  <c r="A372" i="20"/>
  <c r="A551" i="20"/>
  <c r="A716" i="20"/>
  <c r="A727" i="20"/>
  <c r="A728" i="20"/>
  <c r="A135" i="20"/>
  <c r="A897" i="20"/>
  <c r="A220" i="20"/>
  <c r="A686" i="20"/>
  <c r="A794" i="20"/>
  <c r="A801" i="20"/>
  <c r="A529" i="20"/>
  <c r="A91" i="20"/>
  <c r="A256" i="20"/>
  <c r="A92" i="20"/>
  <c r="A657" i="20"/>
  <c r="A764" i="20"/>
  <c r="A357" i="20"/>
  <c r="A356" i="20"/>
  <c r="A33" i="20"/>
  <c r="A80" i="20"/>
  <c r="A687" i="20"/>
  <c r="A751" i="20"/>
  <c r="A81" i="20"/>
  <c r="A530" i="20"/>
  <c r="A701" i="20"/>
  <c r="A855" i="20"/>
  <c r="A898" i="20"/>
  <c r="A664" i="20"/>
  <c r="A665" i="20"/>
  <c r="A484" i="20"/>
  <c r="A729" i="20"/>
  <c r="A730" i="20"/>
  <c r="A208" i="20"/>
  <c r="A227" i="20"/>
  <c r="A271" i="20"/>
  <c r="A272" i="20"/>
  <c r="A597" i="20"/>
  <c r="A12" i="20"/>
  <c r="A13" i="20"/>
  <c r="A14" i="20"/>
  <c r="A64" i="20"/>
  <c r="A164" i="20"/>
  <c r="A398" i="20"/>
  <c r="A493" i="20"/>
  <c r="A497" i="20"/>
  <c r="A611" i="20"/>
  <c r="A785" i="20"/>
  <c r="A209" i="20"/>
  <c r="A383" i="20"/>
  <c r="A219" i="20"/>
  <c r="A856" i="20"/>
  <c r="A857" i="20"/>
  <c r="A872" i="20"/>
  <c r="A399" i="20"/>
  <c r="A837" i="20"/>
  <c r="A384" i="20"/>
  <c r="A210" i="20"/>
  <c r="A150" i="20"/>
  <c r="A708" i="20"/>
  <c r="A702" i="20"/>
  <c r="A189" i="20"/>
  <c r="A226" i="20"/>
  <c r="A350" i="20"/>
  <c r="A915" i="20"/>
  <c r="A765" i="20"/>
  <c r="A431" i="20"/>
  <c r="A770" i="20"/>
  <c r="A844" i="20"/>
  <c r="A265" i="20"/>
  <c r="A211" i="20"/>
  <c r="A805" i="20"/>
  <c r="A71" i="20"/>
  <c r="A899" i="20"/>
  <c r="A630" i="20"/>
  <c r="A841" i="20"/>
  <c r="A806" i="20"/>
  <c r="A845" i="20"/>
  <c r="A235" i="20"/>
  <c r="A266" i="20"/>
  <c r="A424" i="20"/>
  <c r="A212" i="20"/>
  <c r="A552" i="20"/>
  <c r="A213" i="20"/>
  <c r="A270" i="20"/>
  <c r="A825" i="20"/>
  <c r="A838" i="20"/>
  <c r="A807" i="20"/>
  <c r="A119" i="20"/>
  <c r="A122" i="20"/>
  <c r="A125" i="20"/>
  <c r="A432" i="20"/>
  <c r="A771" i="20"/>
  <c r="A777" i="20"/>
  <c r="A932" i="20"/>
  <c r="A933" i="20"/>
  <c r="A934" i="20"/>
  <c r="A935" i="20"/>
  <c r="A936" i="20"/>
  <c r="A937" i="20"/>
  <c r="A938" i="20"/>
  <c r="A939" i="20"/>
  <c r="A940" i="20"/>
  <c r="A941" i="20"/>
  <c r="A942" i="20"/>
  <c r="A943" i="20"/>
  <c r="A944" i="20"/>
  <c r="A945" i="20"/>
  <c r="A946" i="20"/>
  <c r="A947" i="20"/>
  <c r="A948" i="20"/>
  <c r="A949" i="20"/>
  <c r="A950" i="20"/>
  <c r="A951" i="20"/>
  <c r="A952" i="20"/>
  <c r="A953" i="20"/>
  <c r="A954" i="20"/>
  <c r="A955" i="20"/>
  <c r="A956" i="20"/>
  <c r="A957" i="20"/>
  <c r="A958" i="20"/>
  <c r="A959" i="20"/>
  <c r="A960" i="20"/>
  <c r="A961" i="20"/>
  <c r="A962" i="20"/>
  <c r="A963" i="20"/>
  <c r="A964" i="20"/>
  <c r="A965" i="20"/>
  <c r="A966" i="20"/>
  <c r="A967" i="20"/>
  <c r="A968" i="20"/>
  <c r="A969" i="20"/>
  <c r="A970" i="20"/>
  <c r="A971" i="20"/>
  <c r="A972" i="20"/>
  <c r="A973" i="20"/>
  <c r="A974" i="20"/>
  <c r="A975" i="20"/>
  <c r="A976" i="20"/>
  <c r="A977" i="20"/>
  <c r="A978" i="20"/>
  <c r="A979" i="20"/>
  <c r="A980" i="20"/>
  <c r="A981" i="20"/>
  <c r="A982" i="20"/>
  <c r="A983" i="20"/>
  <c r="A984" i="20"/>
  <c r="A985" i="20"/>
  <c r="A986" i="20"/>
  <c r="A987" i="20"/>
  <c r="A988" i="20"/>
  <c r="A989" i="20"/>
  <c r="A990" i="20"/>
  <c r="A991" i="20"/>
  <c r="A992" i="20"/>
  <c r="A993" i="20"/>
  <c r="A994" i="20"/>
  <c r="A995" i="20"/>
  <c r="A996" i="20"/>
  <c r="A997" i="20"/>
  <c r="A998" i="20"/>
  <c r="A999" i="20"/>
  <c r="A1000" i="20"/>
  <c r="AO787" i="20"/>
  <c r="AO786" i="20"/>
  <c r="AR786" i="20" s="1"/>
  <c r="AO795" i="20"/>
  <c r="AR795" i="20" s="1"/>
  <c r="AO353" i="20"/>
  <c r="AO355" i="20"/>
  <c r="AO352" i="20"/>
  <c r="AR352" i="20" s="1"/>
  <c r="AO354" i="20"/>
  <c r="AR354" i="20" s="1"/>
  <c r="AO316" i="20"/>
  <c r="AO315" i="20"/>
  <c r="AO257" i="20"/>
  <c r="AR257" i="20" s="1"/>
  <c r="AO512" i="20"/>
  <c r="AR512" i="20" s="1"/>
  <c r="AO425" i="20"/>
  <c r="AO351" i="20"/>
  <c r="AO176" i="20"/>
  <c r="AR176" i="20" s="1"/>
  <c r="AO452" i="20"/>
  <c r="AR452" i="20" s="1"/>
  <c r="AO622" i="20"/>
  <c r="AO623" i="20"/>
  <c r="AO614" i="20"/>
  <c r="AR614" i="20" s="1"/>
  <c r="AO624" i="20"/>
  <c r="AR624" i="20" s="1"/>
  <c r="AO93" i="20"/>
  <c r="AO96" i="20"/>
  <c r="AO249" i="20"/>
  <c r="AR249" i="20" s="1"/>
  <c r="AO564" i="20"/>
  <c r="AR564" i="20" s="1"/>
  <c r="AO918" i="20"/>
  <c r="AO329" i="20"/>
  <c r="AO328" i="20"/>
  <c r="AR328" i="20" s="1"/>
  <c r="AO543" i="20"/>
  <c r="AR543" i="20" s="1"/>
  <c r="AO282" i="20"/>
  <c r="AO575" i="20"/>
  <c r="AO688" i="20"/>
  <c r="AR688" i="20" s="1"/>
  <c r="AO229" i="20"/>
  <c r="AR229" i="20" s="1"/>
  <c r="AO509" i="20"/>
  <c r="AO507" i="20"/>
  <c r="AO508" i="20"/>
  <c r="AR508" i="20" s="1"/>
  <c r="AO510" i="20"/>
  <c r="AR510" i="20" s="1"/>
  <c r="AO136" i="20"/>
  <c r="AO15" i="20"/>
  <c r="AO603" i="20"/>
  <c r="AR603" i="20" s="1"/>
  <c r="AO926" i="20"/>
  <c r="AR926" i="20" s="1"/>
  <c r="AO236" i="20"/>
  <c r="AO636" i="20"/>
  <c r="AO927" i="20"/>
  <c r="AR927" i="20" s="1"/>
  <c r="AO928" i="20"/>
  <c r="AR928" i="20" s="1"/>
  <c r="AO994" i="20"/>
  <c r="AP994" i="20" s="1"/>
  <c r="AO995" i="20"/>
  <c r="AP995" i="20" s="1"/>
  <c r="AO996" i="20"/>
  <c r="AP996" i="20" s="1"/>
  <c r="AO997" i="20"/>
  <c r="AP997" i="20" s="1"/>
  <c r="AO998" i="20"/>
  <c r="AP998" i="20" s="1"/>
  <c r="AO999" i="20"/>
  <c r="AR999" i="20" s="1"/>
  <c r="AO1000" i="20"/>
  <c r="AR1000" i="20" s="1"/>
  <c r="AQ994" i="20"/>
  <c r="AQ995" i="20"/>
  <c r="AQ996" i="20"/>
  <c r="AQ997" i="20"/>
  <c r="AQ998" i="20"/>
  <c r="AQ999" i="20"/>
  <c r="AQ1000" i="20"/>
  <c r="AR996" i="20"/>
  <c r="AS994" i="20"/>
  <c r="AS995" i="20"/>
  <c r="AS996" i="20"/>
  <c r="AS997" i="20"/>
  <c r="AS998" i="20"/>
  <c r="AS999" i="20"/>
  <c r="AS1000" i="20"/>
  <c r="AM993" i="20"/>
  <c r="AM994" i="20"/>
  <c r="AM995" i="20"/>
  <c r="AM996" i="20"/>
  <c r="AM997" i="20"/>
  <c r="AM998" i="20"/>
  <c r="AM999" i="20"/>
  <c r="AM1000" i="20"/>
  <c r="AM787" i="20"/>
  <c r="AM786" i="20"/>
  <c r="AM795" i="20"/>
  <c r="AM353" i="20"/>
  <c r="AM355" i="20"/>
  <c r="AM352" i="20"/>
  <c r="AM354" i="20"/>
  <c r="AM316" i="20"/>
  <c r="AM315" i="20"/>
  <c r="AM257" i="20"/>
  <c r="AM512" i="20"/>
  <c r="AM425" i="20"/>
  <c r="AM351" i="20"/>
  <c r="AM176" i="20"/>
  <c r="AM452" i="20"/>
  <c r="AM622" i="20"/>
  <c r="AM623" i="20"/>
  <c r="AM614" i="20"/>
  <c r="AM624" i="20"/>
  <c r="AM93" i="20"/>
  <c r="AM96" i="20"/>
  <c r="AM249" i="20"/>
  <c r="AM564" i="20"/>
  <c r="AM918" i="20"/>
  <c r="AM329" i="20"/>
  <c r="AM328" i="20"/>
  <c r="AM543" i="20"/>
  <c r="AM282" i="20"/>
  <c r="AM575" i="20"/>
  <c r="AM688" i="20"/>
  <c r="AM229" i="20"/>
  <c r="AM509" i="20"/>
  <c r="AM507" i="20"/>
  <c r="AM508" i="20"/>
  <c r="AM510" i="20"/>
  <c r="AM136" i="20"/>
  <c r="AM15" i="20"/>
  <c r="AM603" i="20"/>
  <c r="AM926" i="20"/>
  <c r="AM236" i="20"/>
  <c r="AM636" i="20"/>
  <c r="AM927" i="20"/>
  <c r="AM928" i="20"/>
  <c r="AM812" i="20"/>
  <c r="AM373" i="20"/>
  <c r="AM929" i="20"/>
  <c r="AM637" i="20"/>
  <c r="AM459" i="20"/>
  <c r="AM638" i="20"/>
  <c r="AM374" i="20"/>
  <c r="AM183" i="20"/>
  <c r="AM221" i="20"/>
  <c r="AM243" i="20"/>
  <c r="AM881" i="20"/>
  <c r="AM832" i="20"/>
  <c r="AM833" i="20"/>
  <c r="AM826" i="20"/>
  <c r="AM735" i="20"/>
  <c r="AM778" i="20"/>
  <c r="AM932" i="20"/>
  <c r="AM933" i="20"/>
  <c r="AM934" i="20"/>
  <c r="AM935" i="20"/>
  <c r="AM936" i="20"/>
  <c r="AM937" i="20"/>
  <c r="AM938" i="20"/>
  <c r="AM939" i="20"/>
  <c r="AM940" i="20"/>
  <c r="AM941" i="20"/>
  <c r="AM942" i="20"/>
  <c r="AM943" i="20"/>
  <c r="AM944" i="20"/>
  <c r="AM945" i="20"/>
  <c r="AM946" i="20"/>
  <c r="AM947" i="20"/>
  <c r="AM948" i="20"/>
  <c r="AM949" i="20"/>
  <c r="AM950" i="20"/>
  <c r="AM951" i="20"/>
  <c r="AM952" i="20"/>
  <c r="AM953" i="20"/>
  <c r="AM954" i="20"/>
  <c r="AM955" i="20"/>
  <c r="AM956" i="20"/>
  <c r="AM957" i="20"/>
  <c r="AM958" i="20"/>
  <c r="AM959" i="20"/>
  <c r="AM960" i="20"/>
  <c r="AM961" i="20"/>
  <c r="AM962" i="20"/>
  <c r="AM963" i="20"/>
  <c r="AM964" i="20"/>
  <c r="AM965" i="20"/>
  <c r="AM966" i="20"/>
  <c r="AM967" i="20"/>
  <c r="AM968" i="20"/>
  <c r="AM969" i="20"/>
  <c r="AM970" i="20"/>
  <c r="AM971" i="20"/>
  <c r="AM972" i="20"/>
  <c r="AM973" i="20"/>
  <c r="AM974" i="20"/>
  <c r="AM975" i="20"/>
  <c r="AM976" i="20"/>
  <c r="AM977" i="20"/>
  <c r="AM978" i="20"/>
  <c r="AM979" i="20"/>
  <c r="AM980" i="20"/>
  <c r="AM981" i="20"/>
  <c r="AM982" i="20"/>
  <c r="AM983" i="20"/>
  <c r="AM984" i="20"/>
  <c r="AM985" i="20"/>
  <c r="AM986" i="20"/>
  <c r="AM987" i="20"/>
  <c r="AM988" i="20"/>
  <c r="AM989" i="20"/>
  <c r="AM990" i="20"/>
  <c r="AM991" i="20"/>
  <c r="AM992" i="20"/>
  <c r="AM805" i="20"/>
  <c r="AM71" i="20"/>
  <c r="AM899" i="20"/>
  <c r="AM630" i="20"/>
  <c r="AM841" i="20"/>
  <c r="AM806" i="20"/>
  <c r="AM845" i="20"/>
  <c r="AM235" i="20"/>
  <c r="AM266" i="20"/>
  <c r="AM424" i="20"/>
  <c r="AM212" i="20"/>
  <c r="AM552" i="20"/>
  <c r="AM213" i="20"/>
  <c r="AM270" i="20"/>
  <c r="AM825" i="20"/>
  <c r="AM838" i="20"/>
  <c r="AM807" i="20"/>
  <c r="AM119" i="20"/>
  <c r="AM122" i="20"/>
  <c r="AM125" i="20"/>
  <c r="AM432" i="20"/>
  <c r="AM771" i="20"/>
  <c r="AM777" i="20"/>
  <c r="AO942" i="20"/>
  <c r="AR942" i="20" s="1"/>
  <c r="AO943" i="20"/>
  <c r="AR943" i="20" s="1"/>
  <c r="AO944" i="20"/>
  <c r="AR944" i="20" s="1"/>
  <c r="AO945" i="20"/>
  <c r="AR945" i="20" s="1"/>
  <c r="AO946" i="20"/>
  <c r="AR946" i="20" s="1"/>
  <c r="AO947" i="20"/>
  <c r="AR947" i="20" s="1"/>
  <c r="AO948" i="20"/>
  <c r="AR948" i="20" s="1"/>
  <c r="AO949" i="20"/>
  <c r="AR949" i="20" s="1"/>
  <c r="AO950" i="20"/>
  <c r="AR950" i="20" s="1"/>
  <c r="AO951" i="20"/>
  <c r="AR951" i="20" s="1"/>
  <c r="AO952" i="20"/>
  <c r="AR952" i="20" s="1"/>
  <c r="AO953" i="20"/>
  <c r="AR953" i="20" s="1"/>
  <c r="AO954" i="20"/>
  <c r="AR954" i="20" s="1"/>
  <c r="AO955" i="20"/>
  <c r="AR955" i="20" s="1"/>
  <c r="AO956" i="20"/>
  <c r="AR956" i="20" s="1"/>
  <c r="AO957" i="20"/>
  <c r="AR957" i="20" s="1"/>
  <c r="AO958" i="20"/>
  <c r="AR958" i="20" s="1"/>
  <c r="AO959" i="20"/>
  <c r="AR959" i="20" s="1"/>
  <c r="AO960" i="20"/>
  <c r="AR960" i="20" s="1"/>
  <c r="AO961" i="20"/>
  <c r="AR961" i="20" s="1"/>
  <c r="AO962" i="20"/>
  <c r="AR962" i="20" s="1"/>
  <c r="AO963" i="20"/>
  <c r="AR963" i="20" s="1"/>
  <c r="AO964" i="20"/>
  <c r="AR964" i="20" s="1"/>
  <c r="AO965" i="20"/>
  <c r="AR965" i="20" s="1"/>
  <c r="AO966" i="20"/>
  <c r="AR966" i="20" s="1"/>
  <c r="AO967" i="20"/>
  <c r="AR967" i="20" s="1"/>
  <c r="AO968" i="20"/>
  <c r="AP968" i="20" s="1"/>
  <c r="AO969" i="20"/>
  <c r="AP969" i="20" s="1"/>
  <c r="AO970" i="20"/>
  <c r="AR970" i="20" s="1"/>
  <c r="AO971" i="20"/>
  <c r="AP971" i="20" s="1"/>
  <c r="AO972" i="20"/>
  <c r="AP972" i="20" s="1"/>
  <c r="AO973" i="20"/>
  <c r="AP973" i="20" s="1"/>
  <c r="AO974" i="20"/>
  <c r="AR974" i="20" s="1"/>
  <c r="AO975" i="20"/>
  <c r="AP975" i="20" s="1"/>
  <c r="AO976" i="20"/>
  <c r="AP976" i="20" s="1"/>
  <c r="AO977" i="20"/>
  <c r="AP977" i="20" s="1"/>
  <c r="AO978" i="20"/>
  <c r="AR978" i="20" s="1"/>
  <c r="AO979" i="20"/>
  <c r="AP979" i="20" s="1"/>
  <c r="AO980" i="20"/>
  <c r="AP980" i="20" s="1"/>
  <c r="AO981" i="20"/>
  <c r="AP981" i="20" s="1"/>
  <c r="AO982" i="20"/>
  <c r="AR982" i="20" s="1"/>
  <c r="AO983" i="20"/>
  <c r="AR983" i="20" s="1"/>
  <c r="AO984" i="20"/>
  <c r="AP984" i="20" s="1"/>
  <c r="AO985" i="20"/>
  <c r="AP985" i="20" s="1"/>
  <c r="AO986" i="20"/>
  <c r="AR986" i="20" s="1"/>
  <c r="AO987" i="20"/>
  <c r="AP987" i="20" s="1"/>
  <c r="AO988" i="20"/>
  <c r="AP988" i="20" s="1"/>
  <c r="AO989" i="20"/>
  <c r="AP989" i="20" s="1"/>
  <c r="AO990" i="20"/>
  <c r="AR990" i="20" s="1"/>
  <c r="AO991" i="20"/>
  <c r="AR991" i="20" s="1"/>
  <c r="AO992" i="20"/>
  <c r="AP992" i="20" s="1"/>
  <c r="AO993" i="20"/>
  <c r="AP993" i="20" s="1"/>
  <c r="AP942" i="20"/>
  <c r="AP943" i="20"/>
  <c r="AP944" i="20"/>
  <c r="AP945" i="20"/>
  <c r="AP950" i="20"/>
  <c r="AQ942" i="20"/>
  <c r="AQ943" i="20"/>
  <c r="AQ944" i="20"/>
  <c r="AQ945" i="20"/>
  <c r="AQ946" i="20"/>
  <c r="AQ947" i="20"/>
  <c r="AQ948" i="20"/>
  <c r="AQ949" i="20"/>
  <c r="AQ950" i="20"/>
  <c r="AQ951" i="20"/>
  <c r="AQ952" i="20"/>
  <c r="AQ953" i="20"/>
  <c r="AQ954" i="20"/>
  <c r="AQ955" i="20"/>
  <c r="AQ956" i="20"/>
  <c r="AQ957" i="20"/>
  <c r="AQ958" i="20"/>
  <c r="AQ959" i="20"/>
  <c r="AQ960" i="20"/>
  <c r="AQ961" i="20"/>
  <c r="AQ962" i="20"/>
  <c r="AQ963" i="20"/>
  <c r="AQ964" i="20"/>
  <c r="AQ965" i="20"/>
  <c r="AQ966" i="20"/>
  <c r="AQ967" i="20"/>
  <c r="AQ968" i="20"/>
  <c r="AQ969" i="20"/>
  <c r="AQ970" i="20"/>
  <c r="AQ971" i="20"/>
  <c r="AQ972" i="20"/>
  <c r="AQ973" i="20"/>
  <c r="AQ974" i="20"/>
  <c r="AQ975" i="20"/>
  <c r="AQ976" i="20"/>
  <c r="AQ977" i="20"/>
  <c r="AQ978" i="20"/>
  <c r="AQ979" i="20"/>
  <c r="AQ980" i="20"/>
  <c r="AQ981" i="20"/>
  <c r="AQ982" i="20"/>
  <c r="AQ983" i="20"/>
  <c r="AQ984" i="20"/>
  <c r="AQ985" i="20"/>
  <c r="AQ986" i="20"/>
  <c r="AQ987" i="20"/>
  <c r="AQ988" i="20"/>
  <c r="AQ989" i="20"/>
  <c r="AQ990" i="20"/>
  <c r="AQ991" i="20"/>
  <c r="AQ992" i="20"/>
  <c r="AQ993" i="20"/>
  <c r="AS942" i="20"/>
  <c r="AS943" i="20"/>
  <c r="AS944" i="20"/>
  <c r="AS945" i="20"/>
  <c r="AS946" i="20"/>
  <c r="AS947" i="20"/>
  <c r="AS948" i="20"/>
  <c r="AS949" i="20"/>
  <c r="AS950" i="20"/>
  <c r="AS951" i="20"/>
  <c r="AS952" i="20"/>
  <c r="AS953" i="20"/>
  <c r="AS954" i="20"/>
  <c r="AS955" i="20"/>
  <c r="AS956" i="20"/>
  <c r="AS957" i="20"/>
  <c r="AS958" i="20"/>
  <c r="AS959" i="20"/>
  <c r="AS960" i="20"/>
  <c r="AS961" i="20"/>
  <c r="AS962" i="20"/>
  <c r="AS963" i="20"/>
  <c r="AS964" i="20"/>
  <c r="AS965" i="20"/>
  <c r="AS966" i="20"/>
  <c r="AS967" i="20"/>
  <c r="AS968" i="20"/>
  <c r="AS969" i="20"/>
  <c r="AS970" i="20"/>
  <c r="AS971" i="20"/>
  <c r="AS972" i="20"/>
  <c r="AS973" i="20"/>
  <c r="AS974" i="20"/>
  <c r="AS975" i="20"/>
  <c r="AS976" i="20"/>
  <c r="AS977" i="20"/>
  <c r="AS978" i="20"/>
  <c r="AS979" i="20"/>
  <c r="AS980" i="20"/>
  <c r="AS981" i="20"/>
  <c r="AS982" i="20"/>
  <c r="AS983" i="20"/>
  <c r="AS984" i="20"/>
  <c r="AS985" i="20"/>
  <c r="AS986" i="20"/>
  <c r="AS987" i="20"/>
  <c r="AS988" i="20"/>
  <c r="AS989" i="20"/>
  <c r="AS990" i="20"/>
  <c r="AS991" i="20"/>
  <c r="AS992" i="20"/>
  <c r="AS993" i="20"/>
  <c r="AO932" i="20"/>
  <c r="AP932" i="20" s="1"/>
  <c r="AO933" i="20"/>
  <c r="AP933" i="20" s="1"/>
  <c r="AO934" i="20"/>
  <c r="AP934" i="20" s="1"/>
  <c r="AO935" i="20"/>
  <c r="AR935" i="20" s="1"/>
  <c r="AO936" i="20"/>
  <c r="AP936" i="20" s="1"/>
  <c r="AO937" i="20"/>
  <c r="AP937" i="20" s="1"/>
  <c r="AO938" i="20"/>
  <c r="AP938" i="20" s="1"/>
  <c r="AO939" i="20"/>
  <c r="AR939" i="20" s="1"/>
  <c r="AO940" i="20"/>
  <c r="AP940" i="20" s="1"/>
  <c r="AO941" i="20"/>
  <c r="AP941" i="20" s="1"/>
  <c r="AQ932" i="20"/>
  <c r="AQ933" i="20"/>
  <c r="AQ934" i="20"/>
  <c r="AQ935" i="20"/>
  <c r="AQ936" i="20"/>
  <c r="AQ937" i="20"/>
  <c r="AQ938" i="20"/>
  <c r="AQ939" i="20"/>
  <c r="AQ940" i="20"/>
  <c r="AQ941" i="20"/>
  <c r="AS932" i="20"/>
  <c r="AS933" i="20"/>
  <c r="AS934" i="20"/>
  <c r="AS935" i="20"/>
  <c r="AS936" i="20"/>
  <c r="AS937" i="20"/>
  <c r="AS938" i="20"/>
  <c r="AS939" i="20"/>
  <c r="AS940" i="20"/>
  <c r="AS941" i="20"/>
  <c r="AO812" i="20"/>
  <c r="AR812" i="20" s="1"/>
  <c r="AO373" i="20"/>
  <c r="AR373" i="20" s="1"/>
  <c r="AO929" i="20"/>
  <c r="AR929" i="20" s="1"/>
  <c r="AO637" i="20"/>
  <c r="AR637" i="20" s="1"/>
  <c r="AO459" i="20"/>
  <c r="AO638" i="20"/>
  <c r="AR638" i="20" s="1"/>
  <c r="AO374" i="20"/>
  <c r="AR374" i="20" s="1"/>
  <c r="AO183" i="20"/>
  <c r="AO221" i="20"/>
  <c r="AR221" i="20" s="1"/>
  <c r="AO243" i="20"/>
  <c r="AR243" i="20" s="1"/>
  <c r="AO881" i="20"/>
  <c r="AO832" i="20"/>
  <c r="AR832" i="20" s="1"/>
  <c r="AO833" i="20"/>
  <c r="AO826" i="20"/>
  <c r="AR826" i="20" s="1"/>
  <c r="AO735" i="20"/>
  <c r="AR735" i="20" s="1"/>
  <c r="AO778" i="20"/>
  <c r="AP812" i="20"/>
  <c r="AP373" i="20"/>
  <c r="S234" i="14"/>
  <c r="B12" i="36"/>
  <c r="C11" i="36"/>
  <c r="AP929" i="20" l="1"/>
  <c r="AP952" i="20"/>
  <c r="AP962" i="20"/>
  <c r="AP958" i="20"/>
  <c r="AP954" i="20"/>
  <c r="AP966" i="20"/>
  <c r="AP960" i="20"/>
  <c r="AP964" i="20"/>
  <c r="AP956" i="20"/>
  <c r="AP948" i="20"/>
  <c r="AP963" i="20"/>
  <c r="AP959" i="20"/>
  <c r="AP955" i="20"/>
  <c r="AP951" i="20"/>
  <c r="AP947" i="20"/>
  <c r="AP965" i="20"/>
  <c r="AP961" i="20"/>
  <c r="AP957" i="20"/>
  <c r="AP953" i="20"/>
  <c r="AP949" i="20"/>
  <c r="AP946" i="20"/>
  <c r="AR980" i="20"/>
  <c r="AP967" i="20"/>
  <c r="AP637" i="20"/>
  <c r="AR969" i="20"/>
  <c r="AR993" i="20"/>
  <c r="AR985" i="20"/>
  <c r="AR977" i="20"/>
  <c r="AP236" i="20"/>
  <c r="AR236" i="20"/>
  <c r="AP136" i="20"/>
  <c r="AR136" i="20"/>
  <c r="AP509" i="20"/>
  <c r="AR509" i="20"/>
  <c r="AP282" i="20"/>
  <c r="AR282" i="20"/>
  <c r="AP918" i="20"/>
  <c r="AR918" i="20"/>
  <c r="AP93" i="20"/>
  <c r="AR93" i="20"/>
  <c r="AP622" i="20"/>
  <c r="AR622" i="20"/>
  <c r="AP425" i="20"/>
  <c r="AR425" i="20"/>
  <c r="AP316" i="20"/>
  <c r="AR316" i="20"/>
  <c r="AP353" i="20"/>
  <c r="AR353" i="20"/>
  <c r="AP833" i="20"/>
  <c r="AR833" i="20"/>
  <c r="AP459" i="20"/>
  <c r="AR459" i="20"/>
  <c r="AP778" i="20"/>
  <c r="AR778" i="20"/>
  <c r="AP183" i="20"/>
  <c r="AR183" i="20"/>
  <c r="AP881" i="20"/>
  <c r="AR881" i="20"/>
  <c r="AP636" i="20"/>
  <c r="AR636" i="20"/>
  <c r="AP15" i="20"/>
  <c r="AR15" i="20"/>
  <c r="AP507" i="20"/>
  <c r="AR507" i="20"/>
  <c r="AP575" i="20"/>
  <c r="AR575" i="20"/>
  <c r="AP329" i="20"/>
  <c r="AR329" i="20"/>
  <c r="AP96" i="20"/>
  <c r="AR96" i="20"/>
  <c r="AP623" i="20"/>
  <c r="AR623" i="20"/>
  <c r="AP351" i="20"/>
  <c r="AR351" i="20"/>
  <c r="AP315" i="20"/>
  <c r="AR315" i="20"/>
  <c r="AP355" i="20"/>
  <c r="AR355" i="20"/>
  <c r="AP787" i="20"/>
  <c r="AR787" i="20"/>
  <c r="AR981" i="20"/>
  <c r="AR973" i="20"/>
  <c r="AP983" i="20"/>
  <c r="AR989" i="20"/>
  <c r="AR979" i="20"/>
  <c r="AR975" i="20"/>
  <c r="AP991" i="20"/>
  <c r="AR984" i="20"/>
  <c r="AR988" i="20"/>
  <c r="AR972" i="20"/>
  <c r="AR992" i="20"/>
  <c r="AR987" i="20"/>
  <c r="AR976" i="20"/>
  <c r="AR971" i="20"/>
  <c r="AP990" i="20"/>
  <c r="AP986" i="20"/>
  <c r="AP982" i="20"/>
  <c r="AP978" i="20"/>
  <c r="AP974" i="20"/>
  <c r="AP970" i="20"/>
  <c r="AR995" i="20"/>
  <c r="AR968" i="20"/>
  <c r="AP999" i="20"/>
  <c r="AP1000" i="20"/>
  <c r="AR936" i="20"/>
  <c r="AR940" i="20"/>
  <c r="AR932" i="20"/>
  <c r="AR997" i="20"/>
  <c r="AR998" i="20"/>
  <c r="AR994" i="20"/>
  <c r="AP688" i="20"/>
  <c r="AP176" i="20"/>
  <c r="AP927" i="20"/>
  <c r="AP328" i="20"/>
  <c r="AP257" i="20"/>
  <c r="AP603" i="20"/>
  <c r="AP249" i="20"/>
  <c r="AP352" i="20"/>
  <c r="AP935" i="20"/>
  <c r="AP508" i="20"/>
  <c r="AP614" i="20"/>
  <c r="AP786" i="20"/>
  <c r="AP928" i="20"/>
  <c r="AP926" i="20"/>
  <c r="AP510" i="20"/>
  <c r="AP229" i="20"/>
  <c r="AP543" i="20"/>
  <c r="AP564" i="20"/>
  <c r="AP624" i="20"/>
  <c r="AP452" i="20"/>
  <c r="AP512" i="20"/>
  <c r="AP354" i="20"/>
  <c r="AP795" i="20"/>
  <c r="AP735" i="20"/>
  <c r="AP374" i="20"/>
  <c r="AP832" i="20"/>
  <c r="AP939" i="20"/>
  <c r="AP221" i="20"/>
  <c r="AR938" i="20"/>
  <c r="AR934" i="20"/>
  <c r="AR941" i="20"/>
  <c r="AR937" i="20"/>
  <c r="AR933" i="20"/>
  <c r="AP826" i="20"/>
  <c r="AP243" i="20"/>
  <c r="AP638" i="20"/>
  <c r="AS905" i="20"/>
  <c r="AQ905" i="20"/>
  <c r="AO905" i="20"/>
  <c r="AP905" i="20" s="1"/>
  <c r="AM905" i="20"/>
  <c r="AS878" i="20"/>
  <c r="AQ878" i="20"/>
  <c r="AO878" i="20"/>
  <c r="AP878" i="20" s="1"/>
  <c r="AM878" i="20"/>
  <c r="AS813" i="20"/>
  <c r="AQ813" i="20"/>
  <c r="AO813" i="20"/>
  <c r="AR813" i="20" s="1"/>
  <c r="AM813" i="20"/>
  <c r="AS757" i="20"/>
  <c r="AQ757" i="20"/>
  <c r="AO757" i="20"/>
  <c r="AR757" i="20" s="1"/>
  <c r="AM757" i="20"/>
  <c r="AS754" i="20"/>
  <c r="AQ754" i="20"/>
  <c r="AO754" i="20"/>
  <c r="AP754" i="20" s="1"/>
  <c r="AM754" i="20"/>
  <c r="AS752" i="20"/>
  <c r="AQ752" i="20"/>
  <c r="AO752" i="20"/>
  <c r="AP752" i="20" s="1"/>
  <c r="AM752" i="20"/>
  <c r="AS731" i="20"/>
  <c r="AQ731" i="20"/>
  <c r="AO731" i="20"/>
  <c r="AR731" i="20" s="1"/>
  <c r="AM731" i="20"/>
  <c r="AS666" i="20"/>
  <c r="AQ666" i="20"/>
  <c r="AO666" i="20"/>
  <c r="AP666" i="20" s="1"/>
  <c r="AM666" i="20"/>
  <c r="AS639" i="20"/>
  <c r="AQ639" i="20"/>
  <c r="AO639" i="20"/>
  <c r="AP639" i="20" s="1"/>
  <c r="AM639" i="20"/>
  <c r="AS631" i="20"/>
  <c r="AQ631" i="20"/>
  <c r="AO631" i="20"/>
  <c r="AP631" i="20" s="1"/>
  <c r="AM631" i="20"/>
  <c r="AS273" i="20"/>
  <c r="AQ273" i="20"/>
  <c r="AO273" i="20"/>
  <c r="AP273" i="20" s="1"/>
  <c r="AM273" i="20"/>
  <c r="AS103" i="20"/>
  <c r="AQ103" i="20"/>
  <c r="AO103" i="20"/>
  <c r="AP103" i="20" s="1"/>
  <c r="AM103" i="20"/>
  <c r="AR752" i="20" l="1"/>
  <c r="AR103" i="20"/>
  <c r="AR666" i="20"/>
  <c r="AR754" i="20"/>
  <c r="AR905" i="20"/>
  <c r="AR878" i="20"/>
  <c r="AP813" i="20"/>
  <c r="AP757" i="20"/>
  <c r="AP731" i="20"/>
  <c r="AR639" i="20"/>
  <c r="AR631" i="20"/>
  <c r="AR273" i="20"/>
  <c r="AO515" i="20" l="1"/>
  <c r="AR515" i="20" s="1"/>
  <c r="AM515" i="20"/>
  <c r="AP515" i="20" l="1"/>
  <c r="AM177" i="20" l="1"/>
  <c r="AO177" i="20"/>
  <c r="AR177" i="20" s="1"/>
  <c r="AQ177" i="20"/>
  <c r="AP177" i="20" l="1"/>
  <c r="T218" i="19"/>
  <c r="P218" i="19" s="1"/>
  <c r="U218" i="19" s="1"/>
  <c r="S218" i="19"/>
  <c r="T241" i="19"/>
  <c r="P241" i="19" s="1"/>
  <c r="U241" i="19" s="1"/>
  <c r="S241" i="19"/>
  <c r="T70" i="19" l="1"/>
  <c r="P70" i="19" s="1"/>
  <c r="U70" i="19" s="1"/>
  <c r="S70" i="19"/>
  <c r="T229" i="19"/>
  <c r="P229" i="19" s="1"/>
  <c r="U229" i="19" s="1"/>
  <c r="S229" i="19"/>
  <c r="T268" i="19" l="1"/>
  <c r="P268" i="19" s="1"/>
  <c r="U268" i="19" s="1"/>
  <c r="S268" i="19"/>
  <c r="S190" i="19" l="1"/>
  <c r="T190" i="19"/>
  <c r="P190" i="19" s="1"/>
  <c r="U190" i="19" s="1"/>
  <c r="S197" i="19"/>
  <c r="T197" i="19"/>
  <c r="P197" i="19" s="1"/>
  <c r="U197" i="19" s="1"/>
  <c r="S335" i="19"/>
  <c r="T335" i="19"/>
  <c r="P335" i="19" s="1"/>
  <c r="U335" i="19" s="1"/>
  <c r="S188" i="19"/>
  <c r="T188" i="19"/>
  <c r="P188" i="19" s="1"/>
  <c r="U188" i="19" s="1"/>
  <c r="T200" i="19"/>
  <c r="P200" i="19" s="1"/>
  <c r="U200" i="19" s="1"/>
  <c r="S200" i="19"/>
  <c r="T275" i="19"/>
  <c r="P275" i="19" s="1"/>
  <c r="U275" i="19" s="1"/>
  <c r="S275" i="19"/>
  <c r="T117" i="19"/>
  <c r="P117" i="19" s="1"/>
  <c r="U117" i="19" s="1"/>
  <c r="S117" i="19"/>
  <c r="T58" i="19"/>
  <c r="P58" i="19" s="1"/>
  <c r="U58" i="19" s="1"/>
  <c r="S58" i="19"/>
  <c r="T71" i="19"/>
  <c r="P71" i="19" s="1"/>
  <c r="U71" i="19" s="1"/>
  <c r="S71" i="19"/>
  <c r="T227" i="19"/>
  <c r="P227" i="19" s="1"/>
  <c r="U227" i="19" s="1"/>
  <c r="S227" i="19"/>
  <c r="T8" i="19"/>
  <c r="P8" i="19" s="1"/>
  <c r="U8" i="19" s="1"/>
  <c r="S8" i="19"/>
  <c r="T46" i="19"/>
  <c r="P46" i="19" s="1"/>
  <c r="U46" i="19" s="1"/>
  <c r="S46" i="19"/>
  <c r="S331" i="19"/>
  <c r="T331" i="19"/>
  <c r="P331" i="19" s="1"/>
  <c r="U331" i="19" s="1"/>
  <c r="S288" i="19"/>
  <c r="T288" i="19"/>
  <c r="P288" i="19" s="1"/>
  <c r="U288" i="19" s="1"/>
  <c r="S270" i="19"/>
  <c r="T270" i="19"/>
  <c r="P270" i="19" s="1"/>
  <c r="U270" i="19" s="1"/>
  <c r="T282" i="19"/>
  <c r="P282" i="19" s="1"/>
  <c r="U282" i="19" s="1"/>
  <c r="S282" i="19"/>
  <c r="S90" i="19"/>
  <c r="T90" i="19"/>
  <c r="P90" i="19" s="1"/>
  <c r="U90" i="19" s="1"/>
  <c r="S42" i="19"/>
  <c r="T42" i="19"/>
  <c r="P42" i="19" s="1"/>
  <c r="U42" i="19" s="1"/>
  <c r="T247" i="19"/>
  <c r="P247" i="19" s="1"/>
  <c r="T248" i="19"/>
  <c r="P248" i="19" s="1"/>
  <c r="T250" i="19"/>
  <c r="P250" i="19" s="1"/>
  <c r="T251" i="19"/>
  <c r="P251" i="19" s="1"/>
  <c r="T252" i="19"/>
  <c r="P252" i="19" s="1"/>
  <c r="T253" i="19"/>
  <c r="P253" i="19" s="1"/>
  <c r="T254" i="19"/>
  <c r="P254" i="19" s="1"/>
  <c r="T255" i="19"/>
  <c r="P255" i="19" s="1"/>
  <c r="T256" i="19"/>
  <c r="P256" i="19" s="1"/>
  <c r="T257" i="19"/>
  <c r="P257" i="19" s="1"/>
  <c r="T258" i="19"/>
  <c r="P258" i="19" s="1"/>
  <c r="T259" i="19"/>
  <c r="P259" i="19" s="1"/>
  <c r="T260" i="19"/>
  <c r="P260" i="19" s="1"/>
  <c r="T261" i="19"/>
  <c r="P261" i="19" s="1"/>
  <c r="T262" i="19"/>
  <c r="P262" i="19" s="1"/>
  <c r="T264" i="19"/>
  <c r="P264" i="19" s="1"/>
  <c r="T265" i="19"/>
  <c r="P265" i="19" s="1"/>
  <c r="T266" i="19"/>
  <c r="P266" i="19" s="1"/>
  <c r="T267" i="19"/>
  <c r="P267" i="19" s="1"/>
  <c r="T269" i="19"/>
  <c r="P269" i="19" s="1"/>
  <c r="T271" i="19"/>
  <c r="P271" i="19" s="1"/>
  <c r="T272" i="19"/>
  <c r="P272" i="19" s="1"/>
  <c r="T273" i="19"/>
  <c r="P273" i="19" s="1"/>
  <c r="T276" i="19"/>
  <c r="P276" i="19" s="1"/>
  <c r="T277" i="19"/>
  <c r="P277" i="19" s="1"/>
  <c r="T278" i="19"/>
  <c r="P278" i="19" s="1"/>
  <c r="T279" i="19"/>
  <c r="P279" i="19" s="1"/>
  <c r="T280" i="19"/>
  <c r="P280" i="19" s="1"/>
  <c r="T281" i="19"/>
  <c r="P281" i="19" s="1"/>
  <c r="T283" i="19"/>
  <c r="P283" i="19" s="1"/>
  <c r="T284" i="19"/>
  <c r="P284" i="19" s="1"/>
  <c r="T285" i="19"/>
  <c r="P285" i="19" s="1"/>
  <c r="T286" i="19"/>
  <c r="P286" i="19" s="1"/>
  <c r="T289" i="19"/>
  <c r="P289" i="19" s="1"/>
  <c r="T291" i="19"/>
  <c r="P291" i="19" s="1"/>
  <c r="T292" i="19"/>
  <c r="P292" i="19" s="1"/>
  <c r="T293" i="19"/>
  <c r="P293" i="19" s="1"/>
  <c r="T294" i="19"/>
  <c r="P294" i="19" s="1"/>
  <c r="T295" i="19"/>
  <c r="P295" i="19" s="1"/>
  <c r="T296" i="19"/>
  <c r="P296" i="19" s="1"/>
  <c r="T297" i="19"/>
  <c r="P297" i="19" s="1"/>
  <c r="T298" i="19"/>
  <c r="P298" i="19" s="1"/>
  <c r="T300" i="19"/>
  <c r="P300" i="19" s="1"/>
  <c r="T302" i="19"/>
  <c r="P302" i="19" s="1"/>
  <c r="T303" i="19"/>
  <c r="P303" i="19" s="1"/>
  <c r="T304" i="19"/>
  <c r="P304" i="19" s="1"/>
  <c r="T305" i="19"/>
  <c r="P305" i="19" s="1"/>
  <c r="T306" i="19"/>
  <c r="P306" i="19" s="1"/>
  <c r="T307" i="19"/>
  <c r="P307" i="19" s="1"/>
  <c r="T308" i="19"/>
  <c r="P308" i="19" s="1"/>
  <c r="T309" i="19"/>
  <c r="P309" i="19" s="1"/>
  <c r="T310" i="19"/>
  <c r="P310" i="19" s="1"/>
  <c r="T311" i="19"/>
  <c r="P311" i="19" s="1"/>
  <c r="T312" i="19"/>
  <c r="P312" i="19" s="1"/>
  <c r="T313" i="19"/>
  <c r="P313" i="19" s="1"/>
  <c r="T314" i="19"/>
  <c r="P314" i="19" s="1"/>
  <c r="T315" i="19"/>
  <c r="P315" i="19" s="1"/>
  <c r="T316" i="19"/>
  <c r="P316" i="19" s="1"/>
  <c r="T317" i="19"/>
  <c r="P317" i="19" s="1"/>
  <c r="T318" i="19"/>
  <c r="P318" i="19" s="1"/>
  <c r="T319" i="19"/>
  <c r="P319" i="19" s="1"/>
  <c r="T320" i="19"/>
  <c r="P320" i="19" s="1"/>
  <c r="T321" i="19"/>
  <c r="P321" i="19" s="1"/>
  <c r="T322" i="19"/>
  <c r="P322" i="19" s="1"/>
  <c r="T323" i="19"/>
  <c r="P323" i="19" s="1"/>
  <c r="T324" i="19"/>
  <c r="P324" i="19" s="1"/>
  <c r="T325" i="19"/>
  <c r="P325" i="19" s="1"/>
  <c r="T326" i="19"/>
  <c r="P326" i="19" s="1"/>
  <c r="T327" i="19"/>
  <c r="P327" i="19" s="1"/>
  <c r="T328" i="19"/>
  <c r="P328" i="19" s="1"/>
  <c r="T329" i="19"/>
  <c r="P329" i="19" s="1"/>
  <c r="T332" i="19"/>
  <c r="P332" i="19" s="1"/>
  <c r="T333" i="19"/>
  <c r="P333" i="19" s="1"/>
  <c r="T334" i="19"/>
  <c r="P334" i="19" s="1"/>
  <c r="T336" i="19"/>
  <c r="P336" i="19" s="1"/>
  <c r="T337" i="19"/>
  <c r="P337" i="19" s="1"/>
  <c r="T338" i="19"/>
  <c r="P338" i="19" s="1"/>
  <c r="T339" i="19"/>
  <c r="P339" i="19" s="1"/>
  <c r="T101" i="19" l="1"/>
  <c r="P101" i="19" s="1"/>
  <c r="U101" i="19" s="1"/>
  <c r="S101" i="19"/>
  <c r="T12" i="19"/>
  <c r="P12" i="19" s="1"/>
  <c r="U12" i="19" s="1"/>
  <c r="S12" i="19"/>
  <c r="T290" i="19"/>
  <c r="P290" i="19" s="1"/>
  <c r="U290" i="19" s="1"/>
  <c r="S290" i="19"/>
  <c r="AI48" i="14" l="1"/>
  <c r="AJ48" i="14"/>
  <c r="AK48" i="14" s="1"/>
  <c r="V22" i="62" l="1"/>
  <c r="S219" i="14" l="1"/>
  <c r="AI219" i="14"/>
  <c r="AJ219" i="14"/>
  <c r="AK219" i="14" s="1"/>
  <c r="S75" i="14" l="1"/>
  <c r="AI75" i="14"/>
  <c r="AJ75" i="14"/>
  <c r="AK75" i="14" s="1"/>
  <c r="S9" i="19" l="1"/>
  <c r="U313" i="19" l="1"/>
  <c r="U260" i="19"/>
  <c r="U261" i="19"/>
  <c r="U262" i="19"/>
  <c r="U264" i="19"/>
  <c r="U285" i="19"/>
  <c r="U286" i="19"/>
  <c r="U309" i="19"/>
  <c r="U310" i="19"/>
  <c r="U324" i="19"/>
  <c r="U325" i="19"/>
  <c r="U326" i="19"/>
  <c r="U327" i="19"/>
  <c r="U328" i="19"/>
  <c r="U258" i="19"/>
  <c r="U259" i="19"/>
  <c r="U266" i="19"/>
  <c r="U267" i="19"/>
  <c r="U317" i="19"/>
  <c r="U318" i="19"/>
  <c r="U319" i="19"/>
  <c r="U320" i="19"/>
  <c r="U329" i="19"/>
  <c r="U337" i="19"/>
  <c r="U336" i="19"/>
  <c r="U284" i="19"/>
  <c r="U269" i="19"/>
  <c r="U265" i="19"/>
  <c r="U271" i="19"/>
  <c r="U272" i="19"/>
  <c r="U273" i="19"/>
  <c r="U283" i="19"/>
  <c r="U289" i="19"/>
  <c r="U293" i="19"/>
  <c r="U291" i="19"/>
  <c r="U294" i="19"/>
  <c r="U295" i="19"/>
  <c r="U292" i="19"/>
  <c r="U296" i="19"/>
  <c r="U297" i="19"/>
  <c r="U298" i="19"/>
  <c r="U300" i="19"/>
  <c r="U302" i="19"/>
  <c r="U303" i="19"/>
  <c r="U323" i="19"/>
  <c r="U338" i="19"/>
  <c r="U339" i="19"/>
  <c r="U279" i="19"/>
  <c r="U280" i="19"/>
  <c r="U281" i="19"/>
  <c r="U247" i="19"/>
  <c r="U248" i="19"/>
  <c r="U250" i="19"/>
  <c r="U251" i="19"/>
  <c r="U252" i="19"/>
  <c r="U254" i="19"/>
  <c r="U255" i="19"/>
  <c r="U253" i="19"/>
  <c r="U256" i="19"/>
  <c r="U257" i="19"/>
  <c r="U277" i="19"/>
  <c r="U276" i="19"/>
  <c r="U278" i="19"/>
  <c r="U306" i="19"/>
  <c r="U305" i="19"/>
  <c r="U307" i="19"/>
  <c r="U308" i="19"/>
  <c r="U311" i="19"/>
  <c r="U312" i="19"/>
  <c r="U314" i="19"/>
  <c r="U315" i="19"/>
  <c r="U316" i="19"/>
  <c r="U321" i="19"/>
  <c r="U322" i="19"/>
  <c r="U332" i="19"/>
  <c r="U333" i="19"/>
  <c r="U334" i="19"/>
  <c r="U304" i="19"/>
  <c r="K11" i="36" l="1"/>
  <c r="K12" i="36"/>
  <c r="N12" i="36" s="1"/>
  <c r="AA8" i="66" s="1"/>
  <c r="K14" i="36"/>
  <c r="N14" i="36" s="1"/>
  <c r="AA10" i="66" s="1"/>
  <c r="K26" i="36"/>
  <c r="E8" i="36"/>
  <c r="E9" i="36"/>
  <c r="E10" i="36"/>
  <c r="E11" i="36"/>
  <c r="E12" i="36"/>
  <c r="E13" i="36"/>
  <c r="E14" i="36"/>
  <c r="E15" i="36"/>
  <c r="E16" i="36"/>
  <c r="E17" i="36"/>
  <c r="E18" i="36"/>
  <c r="E19" i="36"/>
  <c r="E20" i="36"/>
  <c r="E21" i="36"/>
  <c r="E22" i="36"/>
  <c r="E23" i="36"/>
  <c r="E24" i="36"/>
  <c r="E25" i="36"/>
  <c r="E26" i="36"/>
  <c r="E27" i="36"/>
  <c r="D27" i="36"/>
  <c r="D22" i="36"/>
  <c r="D23" i="36"/>
  <c r="D24" i="36"/>
  <c r="D25" i="36"/>
  <c r="D26" i="36"/>
  <c r="D8" i="36"/>
  <c r="D9" i="36"/>
  <c r="D10" i="36"/>
  <c r="D11" i="36"/>
  <c r="D12" i="36"/>
  <c r="D13" i="36"/>
  <c r="D14" i="36"/>
  <c r="D15" i="36"/>
  <c r="D16" i="36"/>
  <c r="D17" i="36"/>
  <c r="D18" i="36"/>
  <c r="D19" i="36"/>
  <c r="D20" i="36"/>
  <c r="D21" i="36"/>
  <c r="B7" i="36"/>
  <c r="M28" i="40"/>
  <c r="AJ110" i="14" l="1"/>
  <c r="AK110" i="14" s="1"/>
  <c r="AJ191" i="14"/>
  <c r="AK191" i="14" s="1"/>
  <c r="AJ80" i="14"/>
  <c r="AK80" i="14" s="1"/>
  <c r="AJ78" i="14"/>
  <c r="AK78" i="14" s="1"/>
  <c r="AJ216" i="14"/>
  <c r="AK216" i="14" s="1"/>
  <c r="AJ217" i="14"/>
  <c r="AK217" i="14" s="1"/>
  <c r="AJ221" i="14"/>
  <c r="AK221" i="14" s="1"/>
  <c r="AJ116" i="14"/>
  <c r="AK116" i="14" s="1"/>
  <c r="AJ225" i="14"/>
  <c r="AK225" i="14" s="1"/>
  <c r="AJ214" i="14"/>
  <c r="AK214" i="14" s="1"/>
  <c r="AJ96" i="14"/>
  <c r="AK96" i="14" s="1"/>
  <c r="AJ203" i="14"/>
  <c r="AK203" i="14" s="1"/>
  <c r="AJ145" i="14"/>
  <c r="AK145" i="14" s="1"/>
  <c r="AJ139" i="14"/>
  <c r="AK139" i="14" s="1"/>
  <c r="AJ142" i="14"/>
  <c r="AK142" i="14" s="1"/>
  <c r="AJ8" i="14"/>
  <c r="AK8" i="14" s="1"/>
  <c r="AJ59" i="14"/>
  <c r="AK59" i="14" s="1"/>
  <c r="AJ49" i="14"/>
  <c r="AK49" i="14" s="1"/>
  <c r="AJ33" i="14"/>
  <c r="AK33" i="14" s="1"/>
  <c r="AJ188" i="14"/>
  <c r="AK188" i="14" s="1"/>
  <c r="AJ189" i="14"/>
  <c r="AK189" i="14" s="1"/>
  <c r="AJ208" i="14"/>
  <c r="AK208" i="14" s="1"/>
  <c r="AJ88" i="14"/>
  <c r="AK88" i="14" s="1"/>
  <c r="AJ29" i="14"/>
  <c r="AK29" i="14" s="1"/>
  <c r="AJ79" i="14"/>
  <c r="AK79" i="14" s="1"/>
  <c r="AJ64" i="14"/>
  <c r="AK64" i="14" s="1"/>
  <c r="AJ99" i="14"/>
  <c r="AK99" i="14" s="1"/>
  <c r="AJ172" i="14"/>
  <c r="AK172" i="14" s="1"/>
  <c r="AJ73" i="14"/>
  <c r="AK73" i="14" s="1"/>
  <c r="AJ74" i="14"/>
  <c r="AK74" i="14" s="1"/>
  <c r="AJ54" i="14"/>
  <c r="AK54" i="14" s="1"/>
  <c r="AJ65" i="14"/>
  <c r="AK65" i="14" s="1"/>
  <c r="AJ109" i="14"/>
  <c r="AK109" i="14" s="1"/>
  <c r="AJ227" i="14"/>
  <c r="AK227" i="14" s="1"/>
  <c r="AJ193" i="14"/>
  <c r="AK193" i="14" s="1"/>
  <c r="AJ192" i="14"/>
  <c r="AK192" i="14" s="1"/>
  <c r="AJ202" i="14"/>
  <c r="AK202" i="14" s="1"/>
  <c r="AJ234" i="14"/>
  <c r="AK234" i="14" s="1"/>
  <c r="AJ22" i="14"/>
  <c r="AK22" i="14" s="1"/>
  <c r="AJ112" i="14"/>
  <c r="AK112" i="14" s="1"/>
  <c r="AJ27" i="14"/>
  <c r="AK27" i="14" s="1"/>
  <c r="AJ47" i="14"/>
  <c r="AK47" i="14" s="1"/>
  <c r="AJ151" i="14"/>
  <c r="AK151" i="14" s="1"/>
  <c r="AJ150" i="14"/>
  <c r="AK150" i="14" s="1"/>
  <c r="AJ206" i="14"/>
  <c r="AK206" i="14" s="1"/>
  <c r="AJ108" i="14"/>
  <c r="AK108" i="14" s="1"/>
  <c r="AJ76" i="14"/>
  <c r="AK76" i="14" s="1"/>
  <c r="AJ6" i="14"/>
  <c r="AK6" i="14" s="1"/>
  <c r="AJ102" i="14"/>
  <c r="AK102" i="14" s="1"/>
  <c r="AJ58" i="14"/>
  <c r="AK58" i="14" s="1"/>
  <c r="AJ55" i="14"/>
  <c r="AK55" i="14" s="1"/>
  <c r="AJ247" i="14"/>
  <c r="AK247" i="14" s="1"/>
  <c r="AJ215" i="14"/>
  <c r="AK215" i="14" s="1"/>
  <c r="AJ115" i="14"/>
  <c r="AK115" i="14" s="1"/>
  <c r="S236" i="14" l="1"/>
  <c r="S211" i="14" l="1"/>
  <c r="AI211" i="14"/>
  <c r="AJ211" i="14"/>
  <c r="AK211" i="14" s="1"/>
  <c r="S212" i="14"/>
  <c r="AI212" i="14"/>
  <c r="AJ212" i="14"/>
  <c r="AK212" i="14" s="1"/>
  <c r="S107" i="14" l="1"/>
  <c r="AI107" i="14"/>
  <c r="AJ107" i="14"/>
  <c r="AK107" i="14" s="1"/>
  <c r="AH107" i="14" l="1"/>
  <c r="AP37" i="40" l="1"/>
  <c r="AP38" i="40"/>
  <c r="AP39" i="40"/>
  <c r="AP40" i="40"/>
  <c r="AP41" i="40"/>
  <c r="AP42" i="40"/>
  <c r="AP43" i="40"/>
  <c r="AP44" i="40"/>
  <c r="AP45" i="40"/>
  <c r="AP46" i="40"/>
  <c r="AP47" i="40"/>
  <c r="AP48" i="40"/>
  <c r="AP50" i="40"/>
  <c r="AP51" i="40"/>
  <c r="AP52" i="40"/>
  <c r="AP53" i="40"/>
  <c r="AP54" i="40"/>
  <c r="AP55" i="40"/>
  <c r="AP56" i="40"/>
  <c r="AO37" i="40"/>
  <c r="AO38" i="40"/>
  <c r="AO39" i="40"/>
  <c r="AO40" i="40"/>
  <c r="AO41" i="40"/>
  <c r="AO42" i="40"/>
  <c r="AO43" i="40"/>
  <c r="AO44" i="40"/>
  <c r="AO45" i="40"/>
  <c r="AO46" i="40"/>
  <c r="AO47" i="40"/>
  <c r="AO48" i="40"/>
  <c r="AO49" i="40"/>
  <c r="AO51" i="40"/>
  <c r="AO52" i="40"/>
  <c r="AO53" i="40"/>
  <c r="AO54" i="40"/>
  <c r="AO55" i="40"/>
  <c r="AO56" i="40"/>
  <c r="AN37" i="40"/>
  <c r="AN38" i="40"/>
  <c r="AN39" i="40"/>
  <c r="AN40" i="40"/>
  <c r="AN41" i="40"/>
  <c r="AN42" i="40"/>
  <c r="AN43" i="40"/>
  <c r="AN44" i="40"/>
  <c r="AN45" i="40"/>
  <c r="AN46" i="40"/>
  <c r="AN47" i="40"/>
  <c r="AN48" i="40"/>
  <c r="AN49" i="40"/>
  <c r="AN51" i="40"/>
  <c r="AN52" i="40"/>
  <c r="AN53" i="40"/>
  <c r="AN54" i="40"/>
  <c r="AN55" i="40"/>
  <c r="AN56" i="40"/>
  <c r="AM37" i="40"/>
  <c r="AM38" i="40"/>
  <c r="AM39" i="40"/>
  <c r="AM40" i="40"/>
  <c r="AM41" i="40"/>
  <c r="AM42" i="40"/>
  <c r="AM43" i="40"/>
  <c r="AM44" i="40"/>
  <c r="AM45" i="40"/>
  <c r="AM46" i="40"/>
  <c r="AM47" i="40"/>
  <c r="AM48" i="40"/>
  <c r="AM49" i="40"/>
  <c r="AM51" i="40"/>
  <c r="AM52" i="40"/>
  <c r="AM53" i="40"/>
  <c r="AM54" i="40"/>
  <c r="AM55" i="40"/>
  <c r="AM56" i="40"/>
  <c r="AL51" i="40"/>
  <c r="AL52" i="40"/>
  <c r="AL53" i="40"/>
  <c r="AL54" i="40"/>
  <c r="AL55" i="40"/>
  <c r="AL56" i="40"/>
  <c r="AL37" i="40"/>
  <c r="AL38" i="40"/>
  <c r="AL39" i="40"/>
  <c r="AL40" i="40"/>
  <c r="AL41" i="40"/>
  <c r="AL42" i="40"/>
  <c r="AL43" i="40"/>
  <c r="AL44" i="40"/>
  <c r="AL45" i="40"/>
  <c r="AL46" i="40"/>
  <c r="AL47" i="40"/>
  <c r="AL48" i="40"/>
  <c r="AL49" i="40"/>
  <c r="AM47" i="20" l="1"/>
  <c r="AO47" i="20"/>
  <c r="AP47" i="20" l="1"/>
  <c r="AR47" i="20"/>
  <c r="AM416" i="20"/>
  <c r="AO416" i="20"/>
  <c r="AM671" i="20"/>
  <c r="AO671" i="20"/>
  <c r="AP416" i="20" l="1"/>
  <c r="AR416" i="20"/>
  <c r="AP671" i="20"/>
  <c r="AR671" i="20"/>
  <c r="S182" i="19"/>
  <c r="T182" i="19"/>
  <c r="P182" i="19" s="1"/>
  <c r="U182" i="19" s="1"/>
  <c r="S207" i="19"/>
  <c r="T207" i="19"/>
  <c r="P207" i="19" s="1"/>
  <c r="U207" i="19" s="1"/>
  <c r="S107" i="19"/>
  <c r="T107" i="19"/>
  <c r="P107" i="19" s="1"/>
  <c r="U107" i="19" s="1"/>
  <c r="S41" i="19"/>
  <c r="T41" i="19"/>
  <c r="P41" i="19" s="1"/>
  <c r="U41" i="19" s="1"/>
  <c r="S16" i="19"/>
  <c r="T16" i="19"/>
  <c r="P16" i="19" s="1"/>
  <c r="U16" i="19" s="1"/>
  <c r="S37" i="19"/>
  <c r="T37" i="19"/>
  <c r="P37" i="19" s="1"/>
  <c r="U37" i="19" s="1"/>
  <c r="S248" i="19"/>
  <c r="S256" i="19"/>
  <c r="S296" i="19"/>
  <c r="S148" i="19"/>
  <c r="T148" i="19"/>
  <c r="P148" i="19" s="1"/>
  <c r="U148" i="19" s="1"/>
  <c r="S198" i="19" l="1"/>
  <c r="S76" i="19" l="1"/>
  <c r="T76" i="19"/>
  <c r="P76" i="19" s="1"/>
  <c r="U76" i="19" s="1"/>
  <c r="S216" i="19"/>
  <c r="T216" i="19"/>
  <c r="P216" i="19" s="1"/>
  <c r="U216" i="19" s="1"/>
  <c r="T198" i="19"/>
  <c r="P198" i="19" s="1"/>
  <c r="S109" i="19"/>
  <c r="T109" i="19"/>
  <c r="P109" i="19" s="1"/>
  <c r="U109" i="19" s="1"/>
  <c r="S304" i="19"/>
  <c r="K10" i="36" l="1"/>
  <c r="U198" i="19"/>
  <c r="S7" i="14"/>
  <c r="S18" i="14"/>
  <c r="S6" i="14"/>
  <c r="S22" i="14"/>
  <c r="S8" i="14"/>
  <c r="S23" i="14"/>
  <c r="S9" i="14"/>
  <c r="S12" i="14"/>
  <c r="S24" i="14"/>
  <c r="S25" i="14"/>
  <c r="S10" i="14"/>
  <c r="S30" i="14"/>
  <c r="S27" i="14"/>
  <c r="S29" i="14"/>
  <c r="S33" i="14"/>
  <c r="S31" i="14"/>
  <c r="S32" i="14"/>
  <c r="S41" i="14"/>
  <c r="S34" i="14"/>
  <c r="S40" i="14"/>
  <c r="S56" i="14"/>
  <c r="S42" i="14"/>
  <c r="S19" i="14"/>
  <c r="S48" i="14"/>
  <c r="S53" i="14"/>
  <c r="S55" i="14"/>
  <c r="S58" i="14"/>
  <c r="S47" i="14"/>
  <c r="S54" i="14"/>
  <c r="S49" i="14"/>
  <c r="S59" i="14"/>
  <c r="S60" i="14"/>
  <c r="S46" i="14"/>
  <c r="S43" i="14"/>
  <c r="S51" i="14"/>
  <c r="S50" i="14"/>
  <c r="S52" i="14"/>
  <c r="S45" i="14"/>
  <c r="S61" i="14"/>
  <c r="S63" i="14"/>
  <c r="S64" i="14"/>
  <c r="S65" i="14"/>
  <c r="S74" i="14"/>
  <c r="S73" i="14"/>
  <c r="S68" i="14"/>
  <c r="S69" i="14"/>
  <c r="S70" i="14"/>
  <c r="S67" i="14"/>
  <c r="S66" i="14"/>
  <c r="S89" i="14"/>
  <c r="S81" i="14"/>
  <c r="S76" i="14"/>
  <c r="S88" i="14"/>
  <c r="S87" i="14"/>
  <c r="S78" i="14"/>
  <c r="S80" i="14"/>
  <c r="S83" i="14"/>
  <c r="S85" i="14"/>
  <c r="S82" i="14"/>
  <c r="S84" i="14"/>
  <c r="S86" i="14"/>
  <c r="S92" i="14"/>
  <c r="S93" i="14"/>
  <c r="S94" i="14"/>
  <c r="S99" i="14"/>
  <c r="S96" i="14"/>
  <c r="S95" i="14"/>
  <c r="S98" i="14"/>
  <c r="S100" i="14"/>
  <c r="S97" i="14"/>
  <c r="S102" i="14"/>
  <c r="S101" i="14"/>
  <c r="S106" i="14"/>
  <c r="S103" i="14"/>
  <c r="S115" i="14"/>
  <c r="S108" i="14"/>
  <c r="S112" i="14"/>
  <c r="S227" i="14"/>
  <c r="S109" i="14"/>
  <c r="S142" i="14"/>
  <c r="S139" i="14"/>
  <c r="S145" i="14"/>
  <c r="S116" i="14"/>
  <c r="S110" i="14"/>
  <c r="S117" i="14"/>
  <c r="S118" i="14"/>
  <c r="S114" i="14"/>
  <c r="S136" i="14"/>
  <c r="S128" i="14"/>
  <c r="S111" i="14"/>
  <c r="S177" i="14"/>
  <c r="S146" i="14"/>
  <c r="S127" i="14"/>
  <c r="S133" i="14"/>
  <c r="S149" i="14"/>
  <c r="S137" i="14"/>
  <c r="S150" i="14"/>
  <c r="S151" i="14"/>
  <c r="S141" i="14"/>
  <c r="S153" i="14"/>
  <c r="S156" i="14"/>
  <c r="S157" i="14"/>
  <c r="S161" i="14"/>
  <c r="S155" i="14"/>
  <c r="S170" i="14"/>
  <c r="S168" i="14"/>
  <c r="S169" i="14"/>
  <c r="S192" i="14"/>
  <c r="S172" i="14"/>
  <c r="S189" i="14"/>
  <c r="S188" i="14"/>
  <c r="S191" i="14"/>
  <c r="S174" i="14"/>
  <c r="S167" i="14"/>
  <c r="S190" i="14"/>
  <c r="S158" i="14"/>
  <c r="S186" i="14"/>
  <c r="S187" i="14"/>
  <c r="S173" i="14"/>
  <c r="S176" i="14"/>
  <c r="S182" i="14"/>
  <c r="S183" i="14"/>
  <c r="S179" i="14"/>
  <c r="S180" i="14"/>
  <c r="S171" i="14"/>
  <c r="S198" i="14"/>
  <c r="S196" i="14"/>
  <c r="S199" i="14"/>
  <c r="S197" i="14"/>
  <c r="S195" i="14"/>
  <c r="S201" i="14"/>
  <c r="S200" i="14"/>
  <c r="S202" i="14"/>
  <c r="S203" i="14"/>
  <c r="S205" i="14"/>
  <c r="S206" i="14"/>
  <c r="S208" i="14"/>
  <c r="S209" i="14"/>
  <c r="S210" i="14"/>
  <c r="S213" i="14"/>
  <c r="S230" i="14"/>
  <c r="S215" i="14"/>
  <c r="S247" i="14"/>
  <c r="S79" i="14"/>
  <c r="S214" i="14"/>
  <c r="S225" i="14"/>
  <c r="S221" i="14"/>
  <c r="S217" i="14"/>
  <c r="S216" i="14"/>
  <c r="S222" i="14"/>
  <c r="S226" i="14"/>
  <c r="S229" i="14"/>
  <c r="S239" i="14"/>
  <c r="S238" i="14"/>
  <c r="S242" i="14"/>
  <c r="S244" i="14"/>
  <c r="S228" i="14"/>
  <c r="S245" i="14"/>
  <c r="S243" i="14"/>
  <c r="S224" i="14"/>
  <c r="S235" i="14"/>
  <c r="AI9" i="14"/>
  <c r="AI84" i="14"/>
  <c r="AI88" i="14"/>
  <c r="AI111" i="14"/>
  <c r="AI82" i="14"/>
  <c r="AI127" i="14"/>
  <c r="AI110" i="14"/>
  <c r="AI31" i="14"/>
  <c r="AI224" i="14"/>
  <c r="AI73" i="14"/>
  <c r="AI157" i="14"/>
  <c r="AI197" i="14"/>
  <c r="AI94" i="14"/>
  <c r="AI70" i="14"/>
  <c r="AI32" i="14"/>
  <c r="AI229" i="14"/>
  <c r="AI221" i="14"/>
  <c r="AI225" i="14"/>
  <c r="AI115" i="14"/>
  <c r="AI158" i="14"/>
  <c r="AI193" i="14"/>
  <c r="AI230" i="14"/>
  <c r="AI227" i="14"/>
  <c r="AI162" i="14"/>
  <c r="AI7" i="14"/>
  <c r="AI103" i="14"/>
  <c r="AI96" i="14"/>
  <c r="AI112" i="14"/>
  <c r="AI210" i="14"/>
  <c r="AI139" i="14"/>
  <c r="AJ9" i="14"/>
  <c r="AK9" i="14" s="1"/>
  <c r="AJ84" i="14"/>
  <c r="AK84" i="14" s="1"/>
  <c r="AJ111" i="14"/>
  <c r="AK111" i="14" s="1"/>
  <c r="AJ82" i="14"/>
  <c r="AK82" i="14" s="1"/>
  <c r="AJ127" i="14"/>
  <c r="AK127" i="14" s="1"/>
  <c r="AJ31" i="14"/>
  <c r="AK31" i="14" s="1"/>
  <c r="AJ224" i="14"/>
  <c r="AK224" i="14" s="1"/>
  <c r="AJ157" i="14"/>
  <c r="AK157" i="14" s="1"/>
  <c r="AJ197" i="14"/>
  <c r="AK197" i="14" s="1"/>
  <c r="AJ94" i="14"/>
  <c r="AK94" i="14" s="1"/>
  <c r="AJ70" i="14"/>
  <c r="AK70" i="14" s="1"/>
  <c r="AJ32" i="14"/>
  <c r="AK32" i="14" s="1"/>
  <c r="AJ229" i="14"/>
  <c r="AK229" i="14" s="1"/>
  <c r="AJ158" i="14"/>
  <c r="AK158" i="14" s="1"/>
  <c r="AJ230" i="14"/>
  <c r="AK230" i="14" s="1"/>
  <c r="AJ162" i="14"/>
  <c r="AK162" i="14" s="1"/>
  <c r="AJ7" i="14"/>
  <c r="AK7" i="14" s="1"/>
  <c r="AJ103" i="14"/>
  <c r="AK103" i="14" s="1"/>
  <c r="AJ210" i="14"/>
  <c r="AK210" i="14" s="1"/>
  <c r="AM179" i="20" l="1"/>
  <c r="AO179" i="20"/>
  <c r="AP179" i="20" s="1"/>
  <c r="AQ179" i="20"/>
  <c r="AS179" i="20"/>
  <c r="AM780" i="20"/>
  <c r="AO780" i="20"/>
  <c r="AP780" i="20" s="1"/>
  <c r="AQ780" i="20"/>
  <c r="AS780" i="20"/>
  <c r="AM660" i="20"/>
  <c r="AO660" i="20"/>
  <c r="AP660" i="20" s="1"/>
  <c r="AQ660" i="20"/>
  <c r="AS660" i="20"/>
  <c r="AM152" i="20"/>
  <c r="AO152" i="20"/>
  <c r="AP152" i="20" s="1"/>
  <c r="AQ152" i="20"/>
  <c r="AS152" i="20"/>
  <c r="AM344" i="20"/>
  <c r="AO344" i="20"/>
  <c r="AP344" i="20" s="1"/>
  <c r="AQ344" i="20"/>
  <c r="AS344" i="20"/>
  <c r="AM911" i="20"/>
  <c r="AO911" i="20"/>
  <c r="AP911" i="20" s="1"/>
  <c r="AQ911" i="20"/>
  <c r="AS911" i="20"/>
  <c r="AR179" i="20" l="1"/>
  <c r="AR780" i="20"/>
  <c r="AR152" i="20"/>
  <c r="AR660" i="20"/>
  <c r="AR344" i="20"/>
  <c r="AR911" i="20"/>
  <c r="F10" i="36"/>
  <c r="E12" i="37" l="1"/>
  <c r="E13" i="37"/>
  <c r="C7" i="36"/>
  <c r="P7" i="36" s="1"/>
  <c r="B9" i="36"/>
  <c r="B8" i="36"/>
  <c r="H18" i="43"/>
  <c r="H13" i="43"/>
  <c r="D7" i="36" l="1"/>
  <c r="AI97" i="14" l="1"/>
  <c r="AJ97" i="14"/>
  <c r="AK97" i="14" s="1"/>
  <c r="AF100" i="14"/>
  <c r="AI100" i="14"/>
  <c r="AJ100" i="14"/>
  <c r="AK100" i="14" s="1"/>
  <c r="AH100" i="14" l="1"/>
  <c r="AI203" i="14" l="1"/>
  <c r="AI61" i="14"/>
  <c r="AJ61" i="14"/>
  <c r="AK61" i="14" s="1"/>
  <c r="S155" i="19" l="1"/>
  <c r="T155" i="19"/>
  <c r="P155" i="19" s="1"/>
  <c r="U155" i="19" s="1"/>
  <c r="S183" i="19" l="1"/>
  <c r="T183" i="19"/>
  <c r="P183" i="19" s="1"/>
  <c r="U183" i="19" s="1"/>
  <c r="S98" i="19"/>
  <c r="T98" i="19"/>
  <c r="P98" i="19" s="1"/>
  <c r="U98" i="19" s="1"/>
  <c r="S39" i="19"/>
  <c r="T39" i="19"/>
  <c r="P39" i="19" s="1"/>
  <c r="U39" i="19" s="1"/>
  <c r="S95" i="19"/>
  <c r="T95" i="19"/>
  <c r="P95" i="19" s="1"/>
  <c r="U95" i="19" s="1"/>
  <c r="S253" i="19"/>
  <c r="S292" i="19"/>
  <c r="S163" i="19"/>
  <c r="T163" i="19"/>
  <c r="P163" i="19" s="1"/>
  <c r="U163" i="19" s="1"/>
  <c r="S194" i="19" l="1"/>
  <c r="T194" i="19"/>
  <c r="P194" i="19" s="1"/>
  <c r="U194" i="19" s="1"/>
  <c r="S332" i="19"/>
  <c r="S324" i="19"/>
  <c r="S311" i="19"/>
  <c r="S305" i="19"/>
  <c r="S306" i="19"/>
  <c r="S293" i="19"/>
  <c r="S291" i="19"/>
  <c r="S277" i="19"/>
  <c r="S254" i="19"/>
  <c r="S243" i="19"/>
  <c r="T243" i="19"/>
  <c r="P243" i="19" s="1"/>
  <c r="U243" i="19" s="1"/>
  <c r="S244" i="19" l="1"/>
  <c r="T244" i="19"/>
  <c r="P244" i="19" s="1"/>
  <c r="U244" i="19" s="1"/>
  <c r="S236" i="19"/>
  <c r="T236" i="19"/>
  <c r="P236" i="19" s="1"/>
  <c r="U236" i="19" s="1"/>
  <c r="S233" i="19"/>
  <c r="T233" i="19"/>
  <c r="P233" i="19" s="1"/>
  <c r="U233" i="19" s="1"/>
  <c r="S213" i="19"/>
  <c r="T213" i="19"/>
  <c r="P213" i="19" s="1"/>
  <c r="U213" i="19" s="1"/>
  <c r="S209" i="19"/>
  <c r="T209" i="19"/>
  <c r="P209" i="19" s="1"/>
  <c r="U209" i="19" s="1"/>
  <c r="S170" i="19"/>
  <c r="T170" i="19"/>
  <c r="P170" i="19" s="1"/>
  <c r="U170" i="19" s="1"/>
  <c r="S167" i="19"/>
  <c r="T167" i="19"/>
  <c r="P167" i="19" s="1"/>
  <c r="U167" i="19" s="1"/>
  <c r="S165" i="19"/>
  <c r="T165" i="19"/>
  <c r="P165" i="19" s="1"/>
  <c r="U165" i="19" s="1"/>
  <c r="S158" i="19"/>
  <c r="T158" i="19"/>
  <c r="P158" i="19" s="1"/>
  <c r="U158" i="19" s="1"/>
  <c r="S153" i="19"/>
  <c r="T153" i="19"/>
  <c r="P153" i="19" s="1"/>
  <c r="U153" i="19" s="1"/>
  <c r="S121" i="19"/>
  <c r="T121" i="19"/>
  <c r="P121" i="19" s="1"/>
  <c r="U121" i="19" s="1"/>
  <c r="S103" i="19" l="1"/>
  <c r="T103" i="19"/>
  <c r="P103" i="19" s="1"/>
  <c r="U103" i="19" s="1"/>
  <c r="S97" i="19"/>
  <c r="T97" i="19"/>
  <c r="P97" i="19" s="1"/>
  <c r="U97" i="19" s="1"/>
  <c r="S94" i="19"/>
  <c r="T94" i="19"/>
  <c r="P94" i="19" s="1"/>
  <c r="U94" i="19" s="1"/>
  <c r="S49" i="19"/>
  <c r="T49" i="19"/>
  <c r="P49" i="19" s="1"/>
  <c r="U49" i="19" s="1"/>
  <c r="S33" i="19" l="1"/>
  <c r="T33" i="19"/>
  <c r="P33" i="19" s="1"/>
  <c r="U33" i="19" s="1"/>
  <c r="S26" i="19"/>
  <c r="T26" i="19"/>
  <c r="P26" i="19" s="1"/>
  <c r="U26" i="19" s="1"/>
  <c r="S23" i="19"/>
  <c r="T23" i="19"/>
  <c r="P23" i="19" s="1"/>
  <c r="U23" i="19" s="1"/>
  <c r="S17" i="19"/>
  <c r="T17" i="19"/>
  <c r="P17" i="19" s="1"/>
  <c r="U17" i="19" s="1"/>
  <c r="S13" i="19"/>
  <c r="T13" i="19"/>
  <c r="P13" i="19" s="1"/>
  <c r="U13" i="19" s="1"/>
  <c r="S53" i="19" l="1"/>
  <c r="T53" i="19"/>
  <c r="P53" i="19" s="1"/>
  <c r="U53" i="19" s="1"/>
  <c r="S178" i="19"/>
  <c r="T178" i="19"/>
  <c r="P178" i="19" s="1"/>
  <c r="U178" i="19" s="1"/>
  <c r="AM846" i="20" l="1"/>
  <c r="AO846" i="20"/>
  <c r="AM274" i="20"/>
  <c r="AM36" i="20"/>
  <c r="AM113" i="20"/>
  <c r="AM167" i="20"/>
  <c r="AM733" i="20"/>
  <c r="AM99" i="20"/>
  <c r="AM285" i="20"/>
  <c r="AM66" i="20"/>
  <c r="AM500" i="20"/>
  <c r="AM289" i="20"/>
  <c r="AM40" i="20"/>
  <c r="AM569" i="20"/>
  <c r="AM834" i="20"/>
  <c r="AM547" i="20"/>
  <c r="AM772" i="20"/>
  <c r="AM485" i="20"/>
  <c r="AM475" i="20"/>
  <c r="AM891" i="20"/>
  <c r="AM140" i="20"/>
  <c r="AM689" i="20"/>
  <c r="AM360" i="20"/>
  <c r="AM717" i="20"/>
  <c r="AM606" i="20"/>
  <c r="AM709" i="20"/>
  <c r="AM861" i="20"/>
  <c r="AO274" i="20"/>
  <c r="AO36" i="20"/>
  <c r="AO113" i="20"/>
  <c r="AO167" i="20"/>
  <c r="AO733" i="20"/>
  <c r="AO99" i="20"/>
  <c r="AO285" i="20"/>
  <c r="AO66" i="20"/>
  <c r="AO500" i="20"/>
  <c r="AO289" i="20"/>
  <c r="AO40" i="20"/>
  <c r="AO569" i="20"/>
  <c r="AO834" i="20"/>
  <c r="AO547" i="20"/>
  <c r="AO772" i="20"/>
  <c r="AO485" i="20"/>
  <c r="AO475" i="20"/>
  <c r="AO891" i="20"/>
  <c r="AO140" i="20"/>
  <c r="AO689" i="20"/>
  <c r="AO360" i="20"/>
  <c r="AO717" i="20"/>
  <c r="AO606" i="20"/>
  <c r="AO709" i="20"/>
  <c r="AO861" i="20"/>
  <c r="AM104" i="20"/>
  <c r="AO104" i="20"/>
  <c r="AM375" i="20"/>
  <c r="AO375" i="20"/>
  <c r="AM640" i="20"/>
  <c r="AO640" i="20"/>
  <c r="AM576" i="20"/>
  <c r="AO576" i="20"/>
  <c r="AM214" i="20"/>
  <c r="AO214" i="20"/>
  <c r="AM808" i="20"/>
  <c r="AO808" i="20"/>
  <c r="AM589" i="20"/>
  <c r="AO589" i="20"/>
  <c r="AM18" i="20"/>
  <c r="AO18" i="20"/>
  <c r="AM126" i="20"/>
  <c r="AO126" i="20"/>
  <c r="AM755" i="20"/>
  <c r="AO755" i="20"/>
  <c r="AM667" i="20"/>
  <c r="AO667" i="20"/>
  <c r="AM343" i="20"/>
  <c r="AO343" i="20"/>
  <c r="AP18" i="20" l="1"/>
  <c r="AR18" i="20"/>
  <c r="AP808" i="20"/>
  <c r="AR808" i="20"/>
  <c r="AP576" i="20"/>
  <c r="AR576" i="20"/>
  <c r="AP375" i="20"/>
  <c r="AR375" i="20"/>
  <c r="AP861" i="20"/>
  <c r="AR861" i="20"/>
  <c r="AP360" i="20"/>
  <c r="AR360" i="20"/>
  <c r="AP475" i="20"/>
  <c r="AR475" i="20"/>
  <c r="AP834" i="20"/>
  <c r="AR834" i="20"/>
  <c r="AP500" i="20"/>
  <c r="AR500" i="20"/>
  <c r="AP733" i="20"/>
  <c r="AR733" i="20"/>
  <c r="AP274" i="20"/>
  <c r="AR274" i="20"/>
  <c r="AP343" i="20"/>
  <c r="AR343" i="20"/>
  <c r="AP709" i="20"/>
  <c r="AR709" i="20"/>
  <c r="AP689" i="20"/>
  <c r="AR689" i="20"/>
  <c r="AP485" i="20"/>
  <c r="AR485" i="20"/>
  <c r="AP569" i="20"/>
  <c r="AR569" i="20"/>
  <c r="AP66" i="20"/>
  <c r="AR66" i="20"/>
  <c r="AP167" i="20"/>
  <c r="AR167" i="20"/>
  <c r="AP667" i="20"/>
  <c r="AR667" i="20"/>
  <c r="AP126" i="20"/>
  <c r="AR126" i="20"/>
  <c r="AP640" i="20"/>
  <c r="AR640" i="20"/>
  <c r="AP104" i="20"/>
  <c r="AR104" i="20"/>
  <c r="AP772" i="20"/>
  <c r="AR772" i="20"/>
  <c r="AP40" i="20"/>
  <c r="AR40" i="20"/>
  <c r="AP285" i="20"/>
  <c r="AR285" i="20"/>
  <c r="AP113" i="20"/>
  <c r="AR113" i="20"/>
  <c r="AP846" i="20"/>
  <c r="AR846" i="20"/>
  <c r="AP755" i="20"/>
  <c r="AR755" i="20"/>
  <c r="AP589" i="20"/>
  <c r="AR589" i="20"/>
  <c r="AP214" i="20"/>
  <c r="AR214" i="20"/>
  <c r="AP606" i="20"/>
  <c r="AR606" i="20"/>
  <c r="AP140" i="20"/>
  <c r="AR140" i="20"/>
  <c r="AP717" i="20"/>
  <c r="AR717" i="20"/>
  <c r="AP891" i="20"/>
  <c r="AR891" i="20"/>
  <c r="AP547" i="20"/>
  <c r="AR547" i="20"/>
  <c r="AP289" i="20"/>
  <c r="AR289" i="20"/>
  <c r="AP99" i="20"/>
  <c r="AR99" i="20"/>
  <c r="AP36" i="20"/>
  <c r="AR36" i="20"/>
  <c r="V16" i="40"/>
  <c r="G27" i="36" l="1"/>
  <c r="G25" i="36"/>
  <c r="G22" i="36"/>
  <c r="G19" i="36"/>
  <c r="G17" i="36"/>
  <c r="G16" i="36"/>
  <c r="G15" i="36"/>
  <c r="G13" i="36"/>
  <c r="G9" i="36"/>
  <c r="G8" i="36"/>
  <c r="G7" i="36"/>
  <c r="E7" i="36"/>
  <c r="AL11" i="40" l="1"/>
  <c r="AM11" i="40"/>
  <c r="AN11" i="40"/>
  <c r="AO11" i="40"/>
  <c r="AP36" i="40"/>
  <c r="AO36" i="40"/>
  <c r="AN36" i="40"/>
  <c r="AM36" i="40"/>
  <c r="AL36" i="40"/>
  <c r="AO27" i="40"/>
  <c r="AN27" i="40"/>
  <c r="AM27" i="40"/>
  <c r="AL27" i="40"/>
  <c r="AO26" i="40"/>
  <c r="AN26" i="40"/>
  <c r="AM26" i="40"/>
  <c r="AL26" i="40"/>
  <c r="AO25" i="40"/>
  <c r="AN25" i="40"/>
  <c r="AM25" i="40"/>
  <c r="AL25" i="40"/>
  <c r="AO24" i="40"/>
  <c r="AN24" i="40"/>
  <c r="AM24" i="40"/>
  <c r="AL24" i="40"/>
  <c r="AO23" i="40"/>
  <c r="AN23" i="40"/>
  <c r="AM23" i="40"/>
  <c r="AL23" i="40"/>
  <c r="AO22" i="40"/>
  <c r="AN22" i="40"/>
  <c r="AM22" i="40"/>
  <c r="AL22" i="40"/>
  <c r="AO20" i="40"/>
  <c r="AN20" i="40"/>
  <c r="AM20" i="40"/>
  <c r="AL20" i="40"/>
  <c r="AO19" i="40"/>
  <c r="AN19" i="40"/>
  <c r="AM19" i="40"/>
  <c r="AL19" i="40"/>
  <c r="AO18" i="40"/>
  <c r="AN18" i="40"/>
  <c r="AM18" i="40"/>
  <c r="AL18" i="40"/>
  <c r="AO17" i="40"/>
  <c r="AN17" i="40"/>
  <c r="AM17" i="40"/>
  <c r="AL17" i="40"/>
  <c r="AO16" i="40"/>
  <c r="AN16" i="40"/>
  <c r="AM16" i="40"/>
  <c r="AL16" i="40"/>
  <c r="AO15" i="40"/>
  <c r="AN15" i="40"/>
  <c r="AM15" i="40"/>
  <c r="AL15" i="40"/>
  <c r="AO14" i="40"/>
  <c r="AN14" i="40"/>
  <c r="AM14" i="40"/>
  <c r="AL14" i="40"/>
  <c r="AO13" i="40"/>
  <c r="AN13" i="40"/>
  <c r="AM13" i="40"/>
  <c r="AL13" i="40"/>
  <c r="AO12" i="40"/>
  <c r="AN12" i="40"/>
  <c r="AM12" i="40"/>
  <c r="AL12" i="40"/>
  <c r="AO10" i="40"/>
  <c r="AN10" i="40"/>
  <c r="AM10" i="40"/>
  <c r="AL10" i="40"/>
  <c r="AO9" i="40"/>
  <c r="AN9" i="40"/>
  <c r="AM9" i="40"/>
  <c r="AL9" i="40"/>
  <c r="AO8" i="40"/>
  <c r="AN8" i="40"/>
  <c r="AM8" i="40"/>
  <c r="AL8" i="40"/>
  <c r="AO7" i="40"/>
  <c r="AN7" i="40"/>
  <c r="AM7" i="40"/>
  <c r="AL7" i="40"/>
  <c r="F32" i="40"/>
  <c r="E32" i="40"/>
  <c r="D32" i="40"/>
  <c r="F31" i="40"/>
  <c r="E31" i="40"/>
  <c r="D31" i="40"/>
  <c r="F30" i="40"/>
  <c r="E30" i="40"/>
  <c r="D30" i="40"/>
  <c r="F29" i="40"/>
  <c r="E29" i="40"/>
  <c r="D29" i="40"/>
  <c r="F28" i="40"/>
  <c r="E28" i="40"/>
  <c r="D28" i="40"/>
  <c r="F27" i="40"/>
  <c r="E27" i="40"/>
  <c r="D27" i="40"/>
  <c r="F26" i="40"/>
  <c r="D26" i="40"/>
  <c r="F25" i="40"/>
  <c r="E25" i="40"/>
  <c r="D25" i="40"/>
  <c r="F24" i="40"/>
  <c r="E24" i="40"/>
  <c r="D24" i="40"/>
  <c r="F23" i="40"/>
  <c r="E23" i="40"/>
  <c r="D23" i="40"/>
  <c r="F22" i="40"/>
  <c r="E22" i="40"/>
  <c r="D22" i="40"/>
  <c r="F21" i="40"/>
  <c r="E21" i="40"/>
  <c r="D21" i="40"/>
  <c r="F20" i="40"/>
  <c r="E20" i="40"/>
  <c r="D20" i="40"/>
  <c r="F19" i="40"/>
  <c r="E19" i="40"/>
  <c r="D19" i="40"/>
  <c r="F18" i="40"/>
  <c r="E18" i="40"/>
  <c r="D18" i="40"/>
  <c r="F17" i="40"/>
  <c r="E17" i="40"/>
  <c r="D17" i="40"/>
  <c r="F16" i="40"/>
  <c r="E16" i="40"/>
  <c r="D16" i="40"/>
  <c r="F15" i="40"/>
  <c r="E15" i="40"/>
  <c r="D15" i="40"/>
  <c r="F14" i="40"/>
  <c r="E14" i="40"/>
  <c r="D14" i="40"/>
  <c r="F13" i="40"/>
  <c r="E13" i="40"/>
  <c r="D13" i="40"/>
  <c r="F12" i="40"/>
  <c r="E12" i="40"/>
  <c r="D12" i="40"/>
  <c r="AQ39" i="40" l="1"/>
  <c r="AQ56" i="40"/>
  <c r="AQ52" i="40"/>
  <c r="AQ38" i="40"/>
  <c r="AQ55" i="40"/>
  <c r="AQ48" i="40"/>
  <c r="AQ44" i="40"/>
  <c r="AQ43" i="40"/>
  <c r="AQ49" i="40"/>
  <c r="AQ45" i="40"/>
  <c r="AQ36" i="40"/>
  <c r="AQ47" i="40"/>
  <c r="AQ46" i="40"/>
  <c r="AQ37" i="40"/>
  <c r="AQ54" i="40"/>
  <c r="AQ53" i="40"/>
  <c r="AQ41" i="40"/>
  <c r="AQ40" i="40"/>
  <c r="F33" i="40"/>
  <c r="D33" i="40"/>
  <c r="AQ57" i="40" l="1"/>
  <c r="AM859" i="20" l="1"/>
  <c r="AM604" i="20"/>
  <c r="AM335" i="20"/>
  <c r="AM8" i="20"/>
  <c r="AM17" i="20"/>
  <c r="AM35" i="20"/>
  <c r="AM39" i="20"/>
  <c r="AM61" i="20"/>
  <c r="AM65" i="20"/>
  <c r="AM98" i="20"/>
  <c r="AM112" i="20"/>
  <c r="AM157" i="20"/>
  <c r="AM166" i="20"/>
  <c r="AM175" i="20"/>
  <c r="AM284" i="20"/>
  <c r="AM288" i="20"/>
  <c r="AM498" i="20"/>
  <c r="AM567" i="20"/>
  <c r="AM587" i="20"/>
  <c r="AM301" i="20"/>
  <c r="AM308" i="20"/>
  <c r="AM317" i="20"/>
  <c r="AO859" i="20"/>
  <c r="AP859" i="20" s="1"/>
  <c r="AO604" i="20"/>
  <c r="AP604" i="20" s="1"/>
  <c r="AO335" i="20"/>
  <c r="AP335" i="20" s="1"/>
  <c r="AO8" i="20"/>
  <c r="AP8" i="20" s="1"/>
  <c r="AO17" i="20"/>
  <c r="AP17" i="20" s="1"/>
  <c r="AO35" i="20"/>
  <c r="AP35" i="20" s="1"/>
  <c r="AO39" i="20"/>
  <c r="AP39" i="20" s="1"/>
  <c r="AO61" i="20"/>
  <c r="AP61" i="20" s="1"/>
  <c r="AO65" i="20"/>
  <c r="AP65" i="20" s="1"/>
  <c r="AO98" i="20"/>
  <c r="AP98" i="20" s="1"/>
  <c r="AO112" i="20"/>
  <c r="AP112" i="20" s="1"/>
  <c r="AO157" i="20"/>
  <c r="AP157" i="20" s="1"/>
  <c r="AO166" i="20"/>
  <c r="AP166" i="20" s="1"/>
  <c r="AO175" i="20"/>
  <c r="AP175" i="20" s="1"/>
  <c r="AO284" i="20"/>
  <c r="AP284" i="20" s="1"/>
  <c r="AO288" i="20"/>
  <c r="AP288" i="20" s="1"/>
  <c r="AO498" i="20"/>
  <c r="AP498" i="20" s="1"/>
  <c r="AO567" i="20"/>
  <c r="AP567" i="20" s="1"/>
  <c r="AO587" i="20"/>
  <c r="AP587" i="20" s="1"/>
  <c r="AO301" i="20"/>
  <c r="AP301" i="20" s="1"/>
  <c r="AO308" i="20"/>
  <c r="AP308" i="20" s="1"/>
  <c r="AO317" i="20"/>
  <c r="AP317" i="20" s="1"/>
  <c r="AQ859" i="20"/>
  <c r="AQ604" i="20"/>
  <c r="AQ335" i="20"/>
  <c r="AQ8" i="20"/>
  <c r="AQ17" i="20"/>
  <c r="AQ35" i="20"/>
  <c r="AQ39" i="20"/>
  <c r="AQ61" i="20"/>
  <c r="AQ65" i="20"/>
  <c r="AQ98" i="20"/>
  <c r="AQ112" i="20"/>
  <c r="AQ157" i="20"/>
  <c r="AQ166" i="20"/>
  <c r="AQ175" i="20"/>
  <c r="AQ284" i="20"/>
  <c r="AQ288" i="20"/>
  <c r="AQ498" i="20"/>
  <c r="AQ567" i="20"/>
  <c r="AQ587" i="20"/>
  <c r="AQ301" i="20"/>
  <c r="AQ308" i="20"/>
  <c r="AQ317" i="20"/>
  <c r="AS859" i="20"/>
  <c r="AS604" i="20"/>
  <c r="AS335" i="20"/>
  <c r="AS8" i="20"/>
  <c r="AS17" i="20"/>
  <c r="AS35" i="20"/>
  <c r="AS39" i="20"/>
  <c r="AS61" i="20"/>
  <c r="AS65" i="20"/>
  <c r="AS98" i="20"/>
  <c r="AS112" i="20"/>
  <c r="AS157" i="20"/>
  <c r="AS166" i="20"/>
  <c r="AS175" i="20"/>
  <c r="AS284" i="20"/>
  <c r="AS288" i="20"/>
  <c r="AS498" i="20"/>
  <c r="AS567" i="20"/>
  <c r="AS587" i="20"/>
  <c r="AS301" i="20"/>
  <c r="AS308" i="20"/>
  <c r="AS317" i="20"/>
  <c r="AR308" i="20" l="1"/>
  <c r="AR498" i="20"/>
  <c r="AR17" i="20"/>
  <c r="AR301" i="20"/>
  <c r="AR61" i="20"/>
  <c r="AR859" i="20"/>
  <c r="AR288" i="20"/>
  <c r="AR65" i="20"/>
  <c r="AR166" i="20"/>
  <c r="AR604" i="20"/>
  <c r="AR157" i="20"/>
  <c r="AR8" i="20"/>
  <c r="AR587" i="20"/>
  <c r="AR284" i="20"/>
  <c r="AR112" i="20"/>
  <c r="AR39" i="20"/>
  <c r="AR317" i="20"/>
  <c r="AR567" i="20"/>
  <c r="AR175" i="20"/>
  <c r="AR98" i="20"/>
  <c r="AR35" i="20"/>
  <c r="AR335" i="20"/>
  <c r="AO540" i="20" l="1"/>
  <c r="AM540" i="20"/>
  <c r="AO538" i="20"/>
  <c r="AM538" i="20"/>
  <c r="AO558" i="20"/>
  <c r="AM558" i="20"/>
  <c r="F2" i="86"/>
  <c r="F3" i="86"/>
  <c r="F4" i="86"/>
  <c r="F5" i="86"/>
  <c r="F6" i="86"/>
  <c r="F7" i="86"/>
  <c r="F8" i="86"/>
  <c r="F9" i="86"/>
  <c r="F10" i="86"/>
  <c r="F11" i="86"/>
  <c r="F12" i="86"/>
  <c r="F13" i="86"/>
  <c r="F14" i="86"/>
  <c r="F15" i="86"/>
  <c r="F16" i="86"/>
  <c r="F17" i="86"/>
  <c r="F18" i="86"/>
  <c r="F19" i="86"/>
  <c r="F20" i="86"/>
  <c r="F21" i="86"/>
  <c r="F22" i="86"/>
  <c r="F23" i="86"/>
  <c r="F24" i="86"/>
  <c r="F25" i="86"/>
  <c r="F26" i="86"/>
  <c r="F27" i="86"/>
  <c r="F28" i="86"/>
  <c r="F29" i="86"/>
  <c r="F30" i="86"/>
  <c r="F31" i="86"/>
  <c r="F32" i="86"/>
  <c r="F33" i="86"/>
  <c r="F34" i="86"/>
  <c r="F35" i="86"/>
  <c r="F36" i="86"/>
  <c r="F37" i="86"/>
  <c r="F38" i="86"/>
  <c r="F39" i="86"/>
  <c r="F40" i="86"/>
  <c r="F41" i="86"/>
  <c r="F42" i="86"/>
  <c r="F43" i="86"/>
  <c r="F44" i="86"/>
  <c r="F45" i="86"/>
  <c r="F46" i="86"/>
  <c r="F47" i="86"/>
  <c r="F48" i="86"/>
  <c r="F49" i="86"/>
  <c r="F50" i="86"/>
  <c r="F51" i="86"/>
  <c r="F52" i="86"/>
  <c r="F53" i="86"/>
  <c r="F54" i="86"/>
  <c r="F55" i="86"/>
  <c r="F56" i="86"/>
  <c r="F57" i="86"/>
  <c r="F58" i="86"/>
  <c r="F59" i="86"/>
  <c r="F60" i="86"/>
  <c r="F61" i="86"/>
  <c r="F62" i="86"/>
  <c r="F63" i="86"/>
  <c r="F64" i="86"/>
  <c r="F65" i="86"/>
  <c r="F66" i="86"/>
  <c r="F67" i="86"/>
  <c r="F68" i="86"/>
  <c r="F69" i="86"/>
  <c r="F70" i="86"/>
  <c r="F71" i="86"/>
  <c r="F72" i="86"/>
  <c r="F73" i="86"/>
  <c r="F74" i="86"/>
  <c r="F75" i="86"/>
  <c r="F76" i="86"/>
  <c r="F77" i="86"/>
  <c r="F78" i="86"/>
  <c r="F79" i="86"/>
  <c r="F81" i="86"/>
  <c r="F82" i="86"/>
  <c r="F83" i="86"/>
  <c r="F84" i="86"/>
  <c r="F85" i="86"/>
  <c r="F86" i="86"/>
  <c r="F87" i="86"/>
  <c r="F88" i="86"/>
  <c r="F89" i="86"/>
  <c r="F90" i="86"/>
  <c r="F91" i="86"/>
  <c r="F92" i="86"/>
  <c r="F93" i="86"/>
  <c r="F94" i="86"/>
  <c r="F95" i="86"/>
  <c r="F96" i="86"/>
  <c r="F97" i="86"/>
  <c r="F98" i="86"/>
  <c r="F99" i="86"/>
  <c r="F100" i="86"/>
  <c r="F101" i="86"/>
  <c r="F102" i="86"/>
  <c r="F103" i="86"/>
  <c r="F104" i="86"/>
  <c r="F105" i="86"/>
  <c r="F106" i="86"/>
  <c r="F107" i="86"/>
  <c r="F108" i="86"/>
  <c r="F109" i="86"/>
  <c r="F110" i="86"/>
  <c r="F111" i="86"/>
  <c r="F112" i="86"/>
  <c r="F113" i="86"/>
  <c r="F114" i="86"/>
  <c r="F115" i="86"/>
  <c r="F116" i="86"/>
  <c r="F117" i="86"/>
  <c r="F118" i="86"/>
  <c r="F119" i="86"/>
  <c r="F120" i="86"/>
  <c r="F121" i="86"/>
  <c r="F122" i="86"/>
  <c r="F123" i="86"/>
  <c r="F124" i="86"/>
  <c r="F125" i="86"/>
  <c r="F127" i="86"/>
  <c r="F128" i="86"/>
  <c r="F129" i="86"/>
  <c r="F130" i="86"/>
  <c r="F131" i="86"/>
  <c r="F132" i="86"/>
  <c r="F133" i="86"/>
  <c r="F134" i="86"/>
  <c r="F135" i="86"/>
  <c r="F136" i="86"/>
  <c r="F137" i="86"/>
  <c r="F138" i="86"/>
  <c r="F139" i="86"/>
  <c r="F140" i="86"/>
  <c r="F141" i="86"/>
  <c r="F142" i="86"/>
  <c r="F143" i="86"/>
  <c r="F144" i="86"/>
  <c r="F145" i="86"/>
  <c r="F146" i="86"/>
  <c r="F147" i="86"/>
  <c r="F148" i="86"/>
  <c r="F149" i="86"/>
  <c r="F150" i="86"/>
  <c r="F151" i="86"/>
  <c r="F152" i="86"/>
  <c r="F153" i="86"/>
  <c r="F154" i="86"/>
  <c r="F155" i="86"/>
  <c r="F156" i="86"/>
  <c r="F157" i="86"/>
  <c r="F158" i="86"/>
  <c r="F159" i="86"/>
  <c r="F160" i="86"/>
  <c r="F161" i="86"/>
  <c r="F162" i="86"/>
  <c r="F163" i="86"/>
  <c r="F164" i="86"/>
  <c r="F165" i="86"/>
  <c r="F166" i="86"/>
  <c r="F167" i="86"/>
  <c r="F168" i="86"/>
  <c r="E2" i="86"/>
  <c r="E3" i="86"/>
  <c r="E4" i="86"/>
  <c r="E5" i="86"/>
  <c r="E6" i="86"/>
  <c r="E7" i="86"/>
  <c r="E8" i="86"/>
  <c r="E9" i="86"/>
  <c r="E10" i="86"/>
  <c r="E11" i="86"/>
  <c r="E12" i="86"/>
  <c r="E13" i="86"/>
  <c r="E14" i="86"/>
  <c r="E15" i="86"/>
  <c r="E16" i="86"/>
  <c r="E17" i="86"/>
  <c r="E18" i="86"/>
  <c r="E19" i="86"/>
  <c r="E20" i="86"/>
  <c r="E21" i="86"/>
  <c r="E22" i="86"/>
  <c r="E23" i="86"/>
  <c r="E24" i="86"/>
  <c r="E25" i="86"/>
  <c r="E26" i="86"/>
  <c r="E27" i="86"/>
  <c r="E28" i="86"/>
  <c r="E29" i="86"/>
  <c r="E30" i="86"/>
  <c r="E31" i="86"/>
  <c r="E32" i="86"/>
  <c r="E33" i="86"/>
  <c r="E34" i="86"/>
  <c r="E35" i="86"/>
  <c r="E36" i="86"/>
  <c r="E37" i="86"/>
  <c r="E38" i="86"/>
  <c r="E39" i="86"/>
  <c r="E40" i="86"/>
  <c r="E41" i="86"/>
  <c r="E42" i="86"/>
  <c r="E43" i="86"/>
  <c r="E44" i="86"/>
  <c r="E45" i="86"/>
  <c r="E46" i="86"/>
  <c r="E47" i="86"/>
  <c r="E48" i="86"/>
  <c r="E49" i="86"/>
  <c r="E50" i="86"/>
  <c r="E51" i="86"/>
  <c r="E52" i="86"/>
  <c r="E53" i="86"/>
  <c r="E54" i="86"/>
  <c r="E55" i="86"/>
  <c r="E56" i="86"/>
  <c r="E57" i="86"/>
  <c r="E58" i="86"/>
  <c r="E59" i="86"/>
  <c r="E60" i="86"/>
  <c r="E61" i="86"/>
  <c r="E62" i="86"/>
  <c r="E63" i="86"/>
  <c r="E64" i="86"/>
  <c r="E65" i="86"/>
  <c r="E66" i="86"/>
  <c r="E67" i="86"/>
  <c r="E68" i="86"/>
  <c r="E69" i="86"/>
  <c r="E70" i="86"/>
  <c r="E71" i="86"/>
  <c r="E72" i="86"/>
  <c r="E73" i="86"/>
  <c r="E74" i="86"/>
  <c r="E75" i="86"/>
  <c r="E76" i="86"/>
  <c r="E77" i="86"/>
  <c r="E78" i="86"/>
  <c r="E79" i="86"/>
  <c r="E80" i="86"/>
  <c r="E81" i="86"/>
  <c r="E82" i="86"/>
  <c r="E83" i="86"/>
  <c r="E84" i="86"/>
  <c r="E85" i="86"/>
  <c r="E86" i="86"/>
  <c r="E87" i="86"/>
  <c r="E88" i="86"/>
  <c r="E89" i="86"/>
  <c r="E90" i="86"/>
  <c r="E91" i="86"/>
  <c r="E92" i="86"/>
  <c r="E93" i="86"/>
  <c r="E94" i="86"/>
  <c r="E95" i="86"/>
  <c r="E96" i="86"/>
  <c r="E97" i="86"/>
  <c r="E98" i="86"/>
  <c r="E99" i="86"/>
  <c r="E100" i="86"/>
  <c r="E101" i="86"/>
  <c r="E102" i="86"/>
  <c r="E103" i="86"/>
  <c r="E104" i="86"/>
  <c r="E105" i="86"/>
  <c r="E106" i="86"/>
  <c r="E107" i="86"/>
  <c r="E108" i="86"/>
  <c r="E109" i="86"/>
  <c r="E110" i="86"/>
  <c r="E111" i="86"/>
  <c r="E112" i="86"/>
  <c r="E113" i="86"/>
  <c r="E114" i="86"/>
  <c r="E115" i="86"/>
  <c r="E116" i="86"/>
  <c r="E117" i="86"/>
  <c r="E118" i="86"/>
  <c r="E119" i="86"/>
  <c r="E120" i="86"/>
  <c r="E121" i="86"/>
  <c r="E122" i="86"/>
  <c r="E123" i="86"/>
  <c r="E124" i="86"/>
  <c r="E125" i="86"/>
  <c r="E126" i="86"/>
  <c r="E127" i="86"/>
  <c r="E128" i="86"/>
  <c r="E129" i="86"/>
  <c r="E130" i="86"/>
  <c r="E131" i="86"/>
  <c r="E132" i="86"/>
  <c r="E133" i="86"/>
  <c r="E134" i="86"/>
  <c r="E135" i="86"/>
  <c r="E136" i="86"/>
  <c r="E137" i="86"/>
  <c r="E138" i="86"/>
  <c r="E139" i="86"/>
  <c r="E140" i="86"/>
  <c r="E141" i="86"/>
  <c r="E142" i="86"/>
  <c r="E143" i="86"/>
  <c r="E144" i="86"/>
  <c r="E145" i="86"/>
  <c r="E146" i="86"/>
  <c r="E147" i="86"/>
  <c r="E148" i="86"/>
  <c r="E149" i="86"/>
  <c r="E150" i="86"/>
  <c r="E151" i="86"/>
  <c r="E152" i="86"/>
  <c r="E153" i="86"/>
  <c r="E154" i="86"/>
  <c r="E155" i="86"/>
  <c r="E156" i="86"/>
  <c r="E157" i="86"/>
  <c r="E158" i="86"/>
  <c r="E159" i="86"/>
  <c r="E160" i="86"/>
  <c r="E161" i="86"/>
  <c r="E162" i="86"/>
  <c r="E163" i="86"/>
  <c r="E164" i="86"/>
  <c r="E165" i="86"/>
  <c r="E166" i="86"/>
  <c r="E167" i="86"/>
  <c r="E168" i="86"/>
  <c r="D3" i="86"/>
  <c r="D4" i="86"/>
  <c r="D5" i="86"/>
  <c r="D6" i="86"/>
  <c r="D7" i="86"/>
  <c r="D8" i="86"/>
  <c r="D9" i="86"/>
  <c r="D10" i="86"/>
  <c r="D11" i="86"/>
  <c r="D12" i="86"/>
  <c r="D13" i="86"/>
  <c r="D14" i="86"/>
  <c r="D15" i="86"/>
  <c r="D16" i="86"/>
  <c r="D17" i="86"/>
  <c r="D18" i="86"/>
  <c r="D19" i="86"/>
  <c r="D20" i="86"/>
  <c r="D21" i="86"/>
  <c r="D22" i="86"/>
  <c r="D23" i="86"/>
  <c r="D24" i="86"/>
  <c r="D25" i="86"/>
  <c r="D26" i="86"/>
  <c r="D27" i="86"/>
  <c r="D28" i="86"/>
  <c r="D29" i="86"/>
  <c r="D30" i="86"/>
  <c r="D31" i="86"/>
  <c r="D32" i="86"/>
  <c r="D33" i="86"/>
  <c r="D34" i="86"/>
  <c r="D35" i="86"/>
  <c r="D36" i="86"/>
  <c r="D37" i="86"/>
  <c r="D38" i="86"/>
  <c r="D39" i="86"/>
  <c r="D40" i="86"/>
  <c r="D41" i="86"/>
  <c r="D42" i="86"/>
  <c r="D43" i="86"/>
  <c r="D44" i="86"/>
  <c r="D45" i="86"/>
  <c r="D46" i="86"/>
  <c r="D47" i="86"/>
  <c r="D48" i="86"/>
  <c r="D49" i="86"/>
  <c r="D50" i="86"/>
  <c r="D51" i="86"/>
  <c r="D52" i="86"/>
  <c r="D53" i="86"/>
  <c r="D54" i="86"/>
  <c r="D55" i="86"/>
  <c r="D56" i="86"/>
  <c r="D57" i="86"/>
  <c r="D58" i="86"/>
  <c r="D59" i="86"/>
  <c r="D60" i="86"/>
  <c r="D61" i="86"/>
  <c r="D62" i="86"/>
  <c r="D63" i="86"/>
  <c r="D64" i="86"/>
  <c r="D65" i="86"/>
  <c r="D66" i="86"/>
  <c r="D67" i="86"/>
  <c r="D68" i="86"/>
  <c r="D69" i="86"/>
  <c r="D70" i="86"/>
  <c r="D71" i="86"/>
  <c r="D72" i="86"/>
  <c r="D73" i="86"/>
  <c r="D74" i="86"/>
  <c r="D75" i="86"/>
  <c r="D76" i="86"/>
  <c r="D77" i="86"/>
  <c r="D78" i="86"/>
  <c r="D79" i="86"/>
  <c r="D80" i="86"/>
  <c r="D81" i="86"/>
  <c r="D82" i="86"/>
  <c r="D83" i="86"/>
  <c r="D84" i="86"/>
  <c r="D85" i="86"/>
  <c r="D86" i="86"/>
  <c r="D87" i="86"/>
  <c r="D88" i="86"/>
  <c r="D89" i="86"/>
  <c r="D90" i="86"/>
  <c r="D91" i="86"/>
  <c r="D92" i="86"/>
  <c r="D93" i="86"/>
  <c r="D94" i="86"/>
  <c r="D95" i="86"/>
  <c r="D96" i="86"/>
  <c r="D97" i="86"/>
  <c r="D98" i="86"/>
  <c r="D99" i="86"/>
  <c r="D100" i="86"/>
  <c r="D101" i="86"/>
  <c r="D102" i="86"/>
  <c r="D103" i="86"/>
  <c r="D104" i="86"/>
  <c r="D105" i="86"/>
  <c r="D106" i="86"/>
  <c r="D107" i="86"/>
  <c r="D108" i="86"/>
  <c r="D109" i="86"/>
  <c r="D110" i="86"/>
  <c r="D111" i="86"/>
  <c r="D112" i="86"/>
  <c r="D113" i="86"/>
  <c r="D114" i="86"/>
  <c r="D115" i="86"/>
  <c r="D116" i="86"/>
  <c r="D117" i="86"/>
  <c r="D118" i="86"/>
  <c r="D119" i="86"/>
  <c r="D120" i="86"/>
  <c r="D121" i="86"/>
  <c r="D122" i="86"/>
  <c r="D123" i="86"/>
  <c r="D124" i="86"/>
  <c r="D125" i="86"/>
  <c r="D126" i="86"/>
  <c r="D127" i="86"/>
  <c r="D128" i="86"/>
  <c r="D129" i="86"/>
  <c r="D130" i="86"/>
  <c r="D131" i="86"/>
  <c r="D132" i="86"/>
  <c r="D133" i="86"/>
  <c r="D134" i="86"/>
  <c r="D135" i="86"/>
  <c r="D136" i="86"/>
  <c r="D137" i="86"/>
  <c r="D138" i="86"/>
  <c r="D139" i="86"/>
  <c r="D140" i="86"/>
  <c r="D141" i="86"/>
  <c r="D142" i="86"/>
  <c r="D143" i="86"/>
  <c r="D144" i="86"/>
  <c r="D145" i="86"/>
  <c r="D146" i="86"/>
  <c r="D147" i="86"/>
  <c r="D148" i="86"/>
  <c r="D149" i="86"/>
  <c r="D150" i="86"/>
  <c r="D151" i="86"/>
  <c r="D152" i="86"/>
  <c r="D153" i="86"/>
  <c r="D154" i="86"/>
  <c r="D155" i="86"/>
  <c r="D156" i="86"/>
  <c r="D157" i="86"/>
  <c r="D158" i="86"/>
  <c r="D159" i="86"/>
  <c r="D160" i="86"/>
  <c r="D161" i="86"/>
  <c r="D162" i="86"/>
  <c r="D163" i="86"/>
  <c r="D164" i="86"/>
  <c r="D165" i="86"/>
  <c r="D166" i="86"/>
  <c r="D167" i="86"/>
  <c r="D168" i="86"/>
  <c r="D2" i="86"/>
  <c r="C3" i="86"/>
  <c r="C4" i="86"/>
  <c r="C5" i="86"/>
  <c r="C6" i="86"/>
  <c r="C7" i="86"/>
  <c r="C8" i="86"/>
  <c r="C9" i="86"/>
  <c r="C10" i="86"/>
  <c r="C11" i="86"/>
  <c r="C12" i="86"/>
  <c r="C13" i="86"/>
  <c r="C14" i="86"/>
  <c r="C15" i="86"/>
  <c r="C16" i="86"/>
  <c r="C17" i="86"/>
  <c r="C18" i="86"/>
  <c r="C19" i="86"/>
  <c r="C20" i="86"/>
  <c r="C21" i="86"/>
  <c r="C22" i="86"/>
  <c r="C23" i="86"/>
  <c r="C24" i="86"/>
  <c r="C25" i="86"/>
  <c r="C26" i="86"/>
  <c r="C27" i="86"/>
  <c r="C28" i="86"/>
  <c r="C29" i="86"/>
  <c r="C30" i="86"/>
  <c r="C31" i="86"/>
  <c r="C32" i="86"/>
  <c r="C33" i="86"/>
  <c r="C34" i="86"/>
  <c r="C35" i="86"/>
  <c r="C36" i="86"/>
  <c r="C37" i="86"/>
  <c r="C38" i="86"/>
  <c r="C39" i="86"/>
  <c r="C40" i="86"/>
  <c r="C41" i="86"/>
  <c r="C42" i="86"/>
  <c r="C43" i="86"/>
  <c r="C44" i="86"/>
  <c r="C45" i="86"/>
  <c r="C46" i="86"/>
  <c r="C47" i="86"/>
  <c r="C48" i="86"/>
  <c r="C49" i="86"/>
  <c r="C50" i="86"/>
  <c r="C51" i="86"/>
  <c r="C52" i="86"/>
  <c r="C53" i="86"/>
  <c r="C54" i="86"/>
  <c r="C55" i="86"/>
  <c r="C56" i="86"/>
  <c r="C57" i="86"/>
  <c r="C58" i="86"/>
  <c r="C59" i="86"/>
  <c r="C60" i="86"/>
  <c r="C61" i="86"/>
  <c r="C62" i="86"/>
  <c r="C63" i="86"/>
  <c r="C64" i="86"/>
  <c r="C65" i="86"/>
  <c r="C66" i="86"/>
  <c r="C67" i="86"/>
  <c r="C68" i="86"/>
  <c r="C69" i="86"/>
  <c r="C70" i="86"/>
  <c r="C71" i="86"/>
  <c r="C72" i="86"/>
  <c r="C73" i="86"/>
  <c r="C74" i="86"/>
  <c r="C75" i="86"/>
  <c r="C76" i="86"/>
  <c r="C77" i="86"/>
  <c r="C78" i="86"/>
  <c r="C79" i="86"/>
  <c r="C80" i="86"/>
  <c r="C81" i="86"/>
  <c r="C82" i="86"/>
  <c r="C83" i="86"/>
  <c r="C84" i="86"/>
  <c r="C85" i="86"/>
  <c r="C86" i="86"/>
  <c r="C87" i="86"/>
  <c r="C88" i="86"/>
  <c r="C89" i="86"/>
  <c r="C90" i="86"/>
  <c r="C91" i="86"/>
  <c r="C92" i="86"/>
  <c r="C93" i="86"/>
  <c r="C94" i="86"/>
  <c r="C95" i="86"/>
  <c r="C96" i="86"/>
  <c r="C97" i="86"/>
  <c r="C98" i="86"/>
  <c r="C99" i="86"/>
  <c r="C100" i="86"/>
  <c r="C101" i="86"/>
  <c r="C102" i="86"/>
  <c r="C103" i="86"/>
  <c r="C104" i="86"/>
  <c r="C105" i="86"/>
  <c r="C106" i="86"/>
  <c r="C107" i="86"/>
  <c r="C108" i="86"/>
  <c r="C109" i="86"/>
  <c r="C110" i="86"/>
  <c r="C111" i="86"/>
  <c r="C112" i="86"/>
  <c r="C113" i="86"/>
  <c r="C114" i="86"/>
  <c r="C115" i="86"/>
  <c r="C116" i="86"/>
  <c r="C117" i="86"/>
  <c r="C118" i="86"/>
  <c r="C119" i="86"/>
  <c r="C120" i="86"/>
  <c r="C121" i="86"/>
  <c r="C122" i="86"/>
  <c r="C123" i="86"/>
  <c r="C124" i="86"/>
  <c r="C125" i="86"/>
  <c r="C126" i="86"/>
  <c r="C127" i="86"/>
  <c r="C128" i="86"/>
  <c r="C129" i="86"/>
  <c r="C130" i="86"/>
  <c r="C131" i="86"/>
  <c r="C132" i="86"/>
  <c r="C133" i="86"/>
  <c r="C134" i="86"/>
  <c r="C135" i="86"/>
  <c r="C136" i="86"/>
  <c r="C137" i="86"/>
  <c r="C138" i="86"/>
  <c r="C139" i="86"/>
  <c r="C140" i="86"/>
  <c r="C141" i="86"/>
  <c r="C142" i="86"/>
  <c r="C143" i="86"/>
  <c r="C144" i="86"/>
  <c r="C145" i="86"/>
  <c r="C146" i="86"/>
  <c r="C147" i="86"/>
  <c r="C148" i="86"/>
  <c r="C149" i="86"/>
  <c r="C150" i="86"/>
  <c r="C151" i="86"/>
  <c r="C152" i="86"/>
  <c r="C153" i="86"/>
  <c r="C154" i="86"/>
  <c r="C155" i="86"/>
  <c r="C156" i="86"/>
  <c r="C157" i="86"/>
  <c r="C158" i="86"/>
  <c r="C159" i="86"/>
  <c r="C160" i="86"/>
  <c r="C161" i="86"/>
  <c r="C162" i="86"/>
  <c r="C163" i="86"/>
  <c r="C164" i="86"/>
  <c r="C165" i="86"/>
  <c r="C166" i="86"/>
  <c r="C167" i="86"/>
  <c r="C168" i="86"/>
  <c r="C2" i="86"/>
  <c r="B2" i="86"/>
  <c r="B3" i="86"/>
  <c r="B4" i="86"/>
  <c r="B5" i="86"/>
  <c r="B6" i="86"/>
  <c r="B7" i="86"/>
  <c r="B8" i="86"/>
  <c r="B9" i="86"/>
  <c r="B10" i="86"/>
  <c r="B11" i="86"/>
  <c r="B12" i="86"/>
  <c r="B13" i="86"/>
  <c r="B14" i="86"/>
  <c r="B15" i="86"/>
  <c r="B16" i="86"/>
  <c r="B17" i="86"/>
  <c r="B18" i="86"/>
  <c r="B19" i="86"/>
  <c r="B20" i="86"/>
  <c r="B21" i="86"/>
  <c r="B22" i="86"/>
  <c r="B23" i="86"/>
  <c r="B24" i="86"/>
  <c r="B25" i="86"/>
  <c r="B26" i="86"/>
  <c r="B27" i="86"/>
  <c r="B28" i="86"/>
  <c r="B29" i="86"/>
  <c r="B30" i="86"/>
  <c r="B31" i="86"/>
  <c r="B32" i="86"/>
  <c r="B33" i="86"/>
  <c r="B34" i="86"/>
  <c r="B35" i="86"/>
  <c r="B36" i="86"/>
  <c r="B37" i="86"/>
  <c r="B38" i="86"/>
  <c r="B39" i="86"/>
  <c r="B40" i="86"/>
  <c r="B41" i="86"/>
  <c r="B42" i="86"/>
  <c r="B43" i="86"/>
  <c r="B44" i="86"/>
  <c r="B45" i="86"/>
  <c r="B46" i="86"/>
  <c r="B47" i="86"/>
  <c r="B48" i="86"/>
  <c r="B49" i="86"/>
  <c r="B50" i="86"/>
  <c r="B51" i="86"/>
  <c r="B52" i="86"/>
  <c r="B53" i="86"/>
  <c r="B54" i="86"/>
  <c r="B55" i="86"/>
  <c r="B56" i="86"/>
  <c r="B57" i="86"/>
  <c r="B58" i="86"/>
  <c r="B59" i="86"/>
  <c r="B60" i="86"/>
  <c r="B61" i="86"/>
  <c r="B62" i="86"/>
  <c r="B63" i="86"/>
  <c r="B64" i="86"/>
  <c r="B65" i="86"/>
  <c r="B66" i="86"/>
  <c r="B67" i="86"/>
  <c r="B68" i="86"/>
  <c r="B69" i="86"/>
  <c r="B70" i="86"/>
  <c r="B71" i="86"/>
  <c r="B72" i="86"/>
  <c r="B73" i="86"/>
  <c r="B74" i="86"/>
  <c r="B75" i="86"/>
  <c r="B76" i="86"/>
  <c r="B77" i="86"/>
  <c r="B78" i="86"/>
  <c r="B79" i="86"/>
  <c r="B80" i="86"/>
  <c r="B81" i="86"/>
  <c r="B82" i="86"/>
  <c r="B83" i="86"/>
  <c r="B84" i="86"/>
  <c r="B85" i="86"/>
  <c r="B86" i="86"/>
  <c r="B87" i="86"/>
  <c r="B88" i="86"/>
  <c r="B89" i="86"/>
  <c r="B90" i="86"/>
  <c r="B91" i="86"/>
  <c r="B92" i="86"/>
  <c r="B93" i="86"/>
  <c r="B94" i="86"/>
  <c r="B95" i="86"/>
  <c r="B96" i="86"/>
  <c r="B97" i="86"/>
  <c r="B98" i="86"/>
  <c r="B99" i="86"/>
  <c r="B100" i="86"/>
  <c r="B101" i="86"/>
  <c r="B102" i="86"/>
  <c r="B103" i="86"/>
  <c r="B104" i="86"/>
  <c r="B105" i="86"/>
  <c r="B106" i="86"/>
  <c r="B107" i="86"/>
  <c r="B108" i="86"/>
  <c r="B109" i="86"/>
  <c r="B110" i="86"/>
  <c r="B111" i="86"/>
  <c r="B112" i="86"/>
  <c r="B113" i="86"/>
  <c r="B114" i="86"/>
  <c r="B115" i="86"/>
  <c r="B116" i="86"/>
  <c r="B117" i="86"/>
  <c r="B118" i="86"/>
  <c r="B119" i="86"/>
  <c r="B120" i="86"/>
  <c r="B121" i="86"/>
  <c r="B122" i="86"/>
  <c r="B123" i="86"/>
  <c r="B124" i="86"/>
  <c r="B125" i="86"/>
  <c r="B126" i="86"/>
  <c r="B127" i="86"/>
  <c r="B128" i="86"/>
  <c r="B129" i="86"/>
  <c r="B130" i="86"/>
  <c r="B131" i="86"/>
  <c r="B132" i="86"/>
  <c r="B133" i="86"/>
  <c r="B134" i="86"/>
  <c r="B135" i="86"/>
  <c r="B136" i="86"/>
  <c r="B137" i="86"/>
  <c r="B138" i="86"/>
  <c r="B139" i="86"/>
  <c r="B140" i="86"/>
  <c r="B141" i="86"/>
  <c r="B142" i="86"/>
  <c r="B143" i="86"/>
  <c r="B144" i="86"/>
  <c r="B145" i="86"/>
  <c r="B146" i="86"/>
  <c r="B147" i="86"/>
  <c r="B148" i="86"/>
  <c r="B149" i="86"/>
  <c r="B150" i="86"/>
  <c r="B151" i="86"/>
  <c r="B152" i="86"/>
  <c r="B153" i="86"/>
  <c r="B154" i="86"/>
  <c r="B155" i="86"/>
  <c r="B156" i="86"/>
  <c r="B157" i="86"/>
  <c r="B158" i="86"/>
  <c r="B159" i="86"/>
  <c r="B160" i="86"/>
  <c r="B161" i="86"/>
  <c r="B162" i="86"/>
  <c r="B163" i="86"/>
  <c r="B164" i="86"/>
  <c r="B165" i="86"/>
  <c r="B166" i="86"/>
  <c r="B167" i="86"/>
  <c r="B168" i="86"/>
  <c r="AJ72" i="14"/>
  <c r="AK72" i="14" s="1"/>
  <c r="AJ85" i="14"/>
  <c r="AK85" i="14" s="1"/>
  <c r="AJ136" i="14"/>
  <c r="AK136" i="14" s="1"/>
  <c r="AJ23" i="14"/>
  <c r="AK23" i="14" s="1"/>
  <c r="AJ196" i="14"/>
  <c r="AK196" i="14" s="1"/>
  <c r="AJ12" i="14"/>
  <c r="AK12" i="14" s="1"/>
  <c r="AJ242" i="14"/>
  <c r="AK242" i="14" s="1"/>
  <c r="AJ51" i="14"/>
  <c r="AK51" i="14" s="1"/>
  <c r="AJ24" i="14"/>
  <c r="AK24" i="14" s="1"/>
  <c r="AJ25" i="14"/>
  <c r="AK25" i="14" s="1"/>
  <c r="AJ10" i="14"/>
  <c r="AK10" i="14" s="1"/>
  <c r="AJ5" i="14"/>
  <c r="AK5" i="14" s="1"/>
  <c r="AJ11" i="14"/>
  <c r="AK11" i="14" s="1"/>
  <c r="AJ13" i="14"/>
  <c r="AK13" i="14" s="1"/>
  <c r="AJ14" i="14"/>
  <c r="AK14" i="14" s="1"/>
  <c r="AJ15" i="14"/>
  <c r="AK15" i="14" s="1"/>
  <c r="AJ16" i="14"/>
  <c r="AK16" i="14" s="1"/>
  <c r="AJ17" i="14"/>
  <c r="AK17" i="14" s="1"/>
  <c r="AJ20" i="14"/>
  <c r="AK20" i="14" s="1"/>
  <c r="AJ21" i="14"/>
  <c r="AK21" i="14" s="1"/>
  <c r="AJ26" i="14"/>
  <c r="AK26" i="14" s="1"/>
  <c r="AJ28" i="14"/>
  <c r="AK28" i="14" s="1"/>
  <c r="AJ35" i="14"/>
  <c r="AK35" i="14" s="1"/>
  <c r="AJ36" i="14"/>
  <c r="AK36" i="14" s="1"/>
  <c r="AJ37" i="14"/>
  <c r="AK37" i="14" s="1"/>
  <c r="AJ38" i="14"/>
  <c r="AK38" i="14" s="1"/>
  <c r="AJ44" i="14"/>
  <c r="AK44" i="14" s="1"/>
  <c r="AJ57" i="14"/>
  <c r="AK57" i="14" s="1"/>
  <c r="AJ62" i="14"/>
  <c r="AK62" i="14" s="1"/>
  <c r="AJ71" i="14"/>
  <c r="AK71" i="14" s="1"/>
  <c r="AJ77" i="14"/>
  <c r="AK77" i="14" s="1"/>
  <c r="AJ90" i="14"/>
  <c r="AK90" i="14" s="1"/>
  <c r="AJ104" i="14"/>
  <c r="AK104" i="14" s="1"/>
  <c r="AJ105" i="14"/>
  <c r="AK105" i="14" s="1"/>
  <c r="AJ113" i="14"/>
  <c r="AK113" i="14" s="1"/>
  <c r="AJ119" i="14"/>
  <c r="AK119" i="14" s="1"/>
  <c r="AJ120" i="14"/>
  <c r="AK120" i="14" s="1"/>
  <c r="AJ121" i="14"/>
  <c r="AK121" i="14" s="1"/>
  <c r="AJ122" i="14"/>
  <c r="AK122" i="14" s="1"/>
  <c r="AJ123" i="14"/>
  <c r="AK123" i="14" s="1"/>
  <c r="AJ124" i="14"/>
  <c r="AK124" i="14" s="1"/>
  <c r="AJ125" i="14"/>
  <c r="AK125" i="14" s="1"/>
  <c r="AJ126" i="14"/>
  <c r="AK126" i="14" s="1"/>
  <c r="AJ129" i="14"/>
  <c r="AK129" i="14" s="1"/>
  <c r="AJ130" i="14"/>
  <c r="AK130" i="14" s="1"/>
  <c r="AJ131" i="14"/>
  <c r="AK131" i="14" s="1"/>
  <c r="AJ132" i="14"/>
  <c r="AK132" i="14" s="1"/>
  <c r="AJ134" i="14"/>
  <c r="AK134" i="14" s="1"/>
  <c r="AJ135" i="14"/>
  <c r="AK135" i="14" s="1"/>
  <c r="AJ138" i="14"/>
  <c r="AK138" i="14" s="1"/>
  <c r="AJ140" i="14"/>
  <c r="AK140" i="14" s="1"/>
  <c r="AJ143" i="14"/>
  <c r="AK143" i="14" s="1"/>
  <c r="AJ144" i="14"/>
  <c r="AK144" i="14" s="1"/>
  <c r="AJ147" i="14"/>
  <c r="AK147" i="14" s="1"/>
  <c r="AJ148" i="14"/>
  <c r="AK148" i="14" s="1"/>
  <c r="AJ154" i="14"/>
  <c r="AK154" i="14" s="1"/>
  <c r="AJ159" i="14"/>
  <c r="AK159" i="14" s="1"/>
  <c r="AJ160" i="14"/>
  <c r="AK160" i="14" s="1"/>
  <c r="AJ164" i="14"/>
  <c r="AK164" i="14" s="1"/>
  <c r="AJ165" i="14"/>
  <c r="AK165" i="14" s="1"/>
  <c r="AJ166" i="14"/>
  <c r="AK166" i="14" s="1"/>
  <c r="AJ175" i="14"/>
  <c r="AK175" i="14" s="1"/>
  <c r="AJ181" i="14"/>
  <c r="AK181" i="14" s="1"/>
  <c r="AJ184" i="14"/>
  <c r="AK184" i="14" s="1"/>
  <c r="AJ185" i="14"/>
  <c r="AK185" i="14" s="1"/>
  <c r="AJ194" i="14"/>
  <c r="AK194" i="14" s="1"/>
  <c r="AJ204" i="14"/>
  <c r="AK204" i="14" s="1"/>
  <c r="AJ207" i="14"/>
  <c r="AK207" i="14" s="1"/>
  <c r="AJ218" i="14"/>
  <c r="AK218" i="14" s="1"/>
  <c r="AJ220" i="14"/>
  <c r="AK220" i="14" s="1"/>
  <c r="AJ223" i="14"/>
  <c r="AK223" i="14" s="1"/>
  <c r="AJ231" i="14"/>
  <c r="AK231" i="14" s="1"/>
  <c r="AJ232" i="14"/>
  <c r="AK232" i="14" s="1"/>
  <c r="AJ233" i="14"/>
  <c r="AK233" i="14" s="1"/>
  <c r="AJ237" i="14"/>
  <c r="AK237" i="14" s="1"/>
  <c r="AJ240" i="14"/>
  <c r="AK240" i="14" s="1"/>
  <c r="AJ241" i="14"/>
  <c r="AK241" i="14" s="1"/>
  <c r="AJ246" i="14"/>
  <c r="AK246" i="14" s="1"/>
  <c r="AJ41" i="14"/>
  <c r="AK41" i="14" s="1"/>
  <c r="AJ34" i="14"/>
  <c r="AK34" i="14" s="1"/>
  <c r="AJ40" i="14"/>
  <c r="AK40" i="14" s="1"/>
  <c r="AJ56" i="14"/>
  <c r="AK56" i="14" s="1"/>
  <c r="AJ18" i="14"/>
  <c r="AK18" i="14" s="1"/>
  <c r="AJ42" i="14"/>
  <c r="AK42" i="14" s="1"/>
  <c r="AJ19" i="14"/>
  <c r="AK19" i="14" s="1"/>
  <c r="AJ89" i="14"/>
  <c r="AK89" i="14" s="1"/>
  <c r="AJ81" i="14"/>
  <c r="AK81" i="14" s="1"/>
  <c r="AJ30" i="14"/>
  <c r="AK30" i="14" s="1"/>
  <c r="AJ53" i="14"/>
  <c r="AK53" i="14" s="1"/>
  <c r="AJ170" i="14"/>
  <c r="AK170" i="14" s="1"/>
  <c r="AJ168" i="14"/>
  <c r="AK168" i="14" s="1"/>
  <c r="AJ169" i="14"/>
  <c r="AK169" i="14" s="1"/>
  <c r="AJ39" i="14"/>
  <c r="AK39" i="14" s="1"/>
  <c r="AJ87" i="14"/>
  <c r="AK87" i="14" s="1"/>
  <c r="AJ91" i="14"/>
  <c r="AK91" i="14" s="1"/>
  <c r="AJ174" i="14"/>
  <c r="AK174" i="14" s="1"/>
  <c r="AJ117" i="14"/>
  <c r="AK117" i="14" s="1"/>
  <c r="AJ118" i="14"/>
  <c r="AK118" i="14" s="1"/>
  <c r="AJ83" i="14"/>
  <c r="AK83" i="14" s="1"/>
  <c r="AJ86" i="14"/>
  <c r="AK86" i="14" s="1"/>
  <c r="AJ93" i="14"/>
  <c r="AK93" i="14" s="1"/>
  <c r="AJ95" i="14"/>
  <c r="AK95" i="14" s="1"/>
  <c r="AJ92" i="14"/>
  <c r="AK92" i="14" s="1"/>
  <c r="AJ167" i="14"/>
  <c r="AK167" i="14" s="1"/>
  <c r="AJ60" i="14"/>
  <c r="AK60" i="14" s="1"/>
  <c r="AJ68" i="14"/>
  <c r="AK68" i="14" s="1"/>
  <c r="AJ101" i="14"/>
  <c r="AK101" i="14" s="1"/>
  <c r="AJ141" i="14"/>
  <c r="AK141" i="14" s="1"/>
  <c r="AJ153" i="14"/>
  <c r="AK153" i="14" s="1"/>
  <c r="AJ69" i="14"/>
  <c r="AK69" i="14" s="1"/>
  <c r="AJ156" i="14"/>
  <c r="AK156" i="14" s="1"/>
  <c r="AJ152" i="14"/>
  <c r="AK152" i="14" s="1"/>
  <c r="AJ128" i="14"/>
  <c r="AK128" i="14" s="1"/>
  <c r="AJ198" i="14"/>
  <c r="AK198" i="14" s="1"/>
  <c r="AJ199" i="14"/>
  <c r="AK199" i="14" s="1"/>
  <c r="AJ161" i="14"/>
  <c r="AK161" i="14" s="1"/>
  <c r="AJ155" i="14"/>
  <c r="AK155" i="14" s="1"/>
  <c r="AJ67" i="14"/>
  <c r="AK67" i="14" s="1"/>
  <c r="AJ46" i="14"/>
  <c r="AK46" i="14" s="1"/>
  <c r="AJ201" i="14"/>
  <c r="AK201" i="14" s="1"/>
  <c r="AJ200" i="14"/>
  <c r="AK200" i="14" s="1"/>
  <c r="AJ195" i="14"/>
  <c r="AK195" i="14" s="1"/>
  <c r="AJ43" i="14"/>
  <c r="AK43" i="14" s="1"/>
  <c r="AJ63" i="14"/>
  <c r="AK63" i="14" s="1"/>
  <c r="AJ98" i="14"/>
  <c r="AK98" i="14" s="1"/>
  <c r="AJ178" i="14"/>
  <c r="AK178" i="14" s="1"/>
  <c r="AJ222" i="14"/>
  <c r="AK222" i="14" s="1"/>
  <c r="AJ106" i="14"/>
  <c r="AK106" i="14" s="1"/>
  <c r="AJ177" i="14"/>
  <c r="AK177" i="14" s="1"/>
  <c r="AJ190" i="14"/>
  <c r="AK190" i="14" s="1"/>
  <c r="AJ146" i="14"/>
  <c r="AK146" i="14" s="1"/>
  <c r="AJ226" i="14"/>
  <c r="AK226" i="14" s="1"/>
  <c r="AJ133" i="14"/>
  <c r="AK133" i="14" s="1"/>
  <c r="AJ239" i="14"/>
  <c r="AK239" i="14" s="1"/>
  <c r="AJ238" i="14"/>
  <c r="AK238" i="14" s="1"/>
  <c r="AJ244" i="14"/>
  <c r="AK244" i="14" s="1"/>
  <c r="AJ50" i="14"/>
  <c r="AK50" i="14" s="1"/>
  <c r="AJ149" i="14"/>
  <c r="AK149" i="14" s="1"/>
  <c r="AJ186" i="14"/>
  <c r="AK186" i="14" s="1"/>
  <c r="AJ187" i="14"/>
  <c r="AK187" i="14" s="1"/>
  <c r="AJ228" i="14"/>
  <c r="AK228" i="14" s="1"/>
  <c r="AJ209" i="14"/>
  <c r="AK209" i="14" s="1"/>
  <c r="AJ173" i="14"/>
  <c r="AK173" i="14" s="1"/>
  <c r="AJ213" i="14"/>
  <c r="AK213" i="14" s="1"/>
  <c r="AJ137" i="14"/>
  <c r="AK137" i="14" s="1"/>
  <c r="AJ176" i="14"/>
  <c r="AK176" i="14" s="1"/>
  <c r="AJ182" i="14"/>
  <c r="AK182" i="14" s="1"/>
  <c r="AJ183" i="14"/>
  <c r="AK183" i="14" s="1"/>
  <c r="AJ179" i="14"/>
  <c r="AK179" i="14" s="1"/>
  <c r="AJ180" i="14"/>
  <c r="AK180" i="14" s="1"/>
  <c r="AJ245" i="14"/>
  <c r="AK245" i="14" s="1"/>
  <c r="AJ205" i="14"/>
  <c r="AK205" i="14" s="1"/>
  <c r="AJ243" i="14"/>
  <c r="AK243" i="14" s="1"/>
  <c r="AJ236" i="14"/>
  <c r="AK236" i="14" s="1"/>
  <c r="AJ52" i="14"/>
  <c r="AK52" i="14" s="1"/>
  <c r="AJ171" i="14"/>
  <c r="AK171" i="14" s="1"/>
  <c r="AJ45" i="14"/>
  <c r="AK45" i="14" s="1"/>
  <c r="AJ235" i="14"/>
  <c r="AK235" i="14" s="1"/>
  <c r="AJ66" i="14"/>
  <c r="AK66" i="14" s="1"/>
  <c r="AI72" i="14"/>
  <c r="AI85" i="14"/>
  <c r="AI136" i="14"/>
  <c r="AI23" i="14"/>
  <c r="AI196" i="14"/>
  <c r="AI12" i="14"/>
  <c r="AI242" i="14"/>
  <c r="AI51" i="14"/>
  <c r="AI24" i="14"/>
  <c r="AI25" i="14"/>
  <c r="AI10" i="14"/>
  <c r="AI5" i="14"/>
  <c r="AI11" i="14"/>
  <c r="AI13" i="14"/>
  <c r="AI14" i="14"/>
  <c r="AI15" i="14"/>
  <c r="AI16" i="14"/>
  <c r="AI17" i="14"/>
  <c r="AI20" i="14"/>
  <c r="AI21" i="14"/>
  <c r="AI26" i="14"/>
  <c r="AI28" i="14"/>
  <c r="AI35" i="14"/>
  <c r="AI36" i="14"/>
  <c r="AI37" i="14"/>
  <c r="AI38" i="14"/>
  <c r="AI44" i="14"/>
  <c r="AI57" i="14"/>
  <c r="AI62" i="14"/>
  <c r="AI71" i="14"/>
  <c r="AI77" i="14"/>
  <c r="AI90" i="14"/>
  <c r="AI104" i="14"/>
  <c r="AI105" i="14"/>
  <c r="AI113" i="14"/>
  <c r="AI119" i="14"/>
  <c r="AI120" i="14"/>
  <c r="AI121" i="14"/>
  <c r="AI122" i="14"/>
  <c r="AI123" i="14"/>
  <c r="AI124" i="14"/>
  <c r="AI125" i="14"/>
  <c r="AI126" i="14"/>
  <c r="AI129" i="14"/>
  <c r="AI130" i="14"/>
  <c r="AI131" i="14"/>
  <c r="AI132" i="14"/>
  <c r="AI134" i="14"/>
  <c r="AI135" i="14"/>
  <c r="AI138" i="14"/>
  <c r="AI140" i="14"/>
  <c r="AI143" i="14"/>
  <c r="AI144" i="14"/>
  <c r="AI147" i="14"/>
  <c r="AI148" i="14"/>
  <c r="AI154" i="14"/>
  <c r="AI159" i="14"/>
  <c r="AI160" i="14"/>
  <c r="AI164" i="14"/>
  <c r="AI165" i="14"/>
  <c r="AI166" i="14"/>
  <c r="AI175" i="14"/>
  <c r="AI181" i="14"/>
  <c r="AI184" i="14"/>
  <c r="AI185" i="14"/>
  <c r="AI194" i="14"/>
  <c r="AI204" i="14"/>
  <c r="AI207" i="14"/>
  <c r="AI218" i="14"/>
  <c r="AI220" i="14"/>
  <c r="AI223" i="14"/>
  <c r="AI231" i="14"/>
  <c r="AI232" i="14"/>
  <c r="AI233" i="14"/>
  <c r="AI237" i="14"/>
  <c r="AI240" i="14"/>
  <c r="AI241" i="14"/>
  <c r="AI246" i="14"/>
  <c r="AI41" i="14"/>
  <c r="AI34" i="14"/>
  <c r="AI40" i="14"/>
  <c r="AI56" i="14"/>
  <c r="AI18" i="14"/>
  <c r="AI42" i="14"/>
  <c r="AI19" i="14"/>
  <c r="AI89" i="14"/>
  <c r="AI81" i="14"/>
  <c r="AI30" i="14"/>
  <c r="AI53" i="14"/>
  <c r="AI170" i="14"/>
  <c r="AI168" i="14"/>
  <c r="AI169" i="14"/>
  <c r="AI39" i="14"/>
  <c r="AI215" i="14"/>
  <c r="AI247" i="14"/>
  <c r="AI55" i="14"/>
  <c r="AI58" i="14"/>
  <c r="AI102" i="14"/>
  <c r="AI6" i="14"/>
  <c r="AI76" i="14"/>
  <c r="AI108" i="14"/>
  <c r="AI206" i="14"/>
  <c r="AI150" i="14"/>
  <c r="AI151" i="14"/>
  <c r="AI47" i="14"/>
  <c r="AI27" i="14"/>
  <c r="AI234" i="14"/>
  <c r="AI202" i="14"/>
  <c r="AI192" i="14"/>
  <c r="AI109" i="14"/>
  <c r="AI65" i="14"/>
  <c r="AI74" i="14"/>
  <c r="AI172" i="14"/>
  <c r="AI99" i="14"/>
  <c r="AI64" i="14"/>
  <c r="AI79" i="14"/>
  <c r="AI29" i="14"/>
  <c r="AI208" i="14"/>
  <c r="AI189" i="14"/>
  <c r="AI188" i="14"/>
  <c r="AI49" i="14"/>
  <c r="AI59" i="14"/>
  <c r="AI8" i="14"/>
  <c r="AI142" i="14"/>
  <c r="AI145" i="14"/>
  <c r="AI87" i="14"/>
  <c r="AI91" i="14"/>
  <c r="AI214" i="14"/>
  <c r="AI116" i="14"/>
  <c r="AI217" i="14"/>
  <c r="AI216" i="14"/>
  <c r="AI78" i="14"/>
  <c r="AI80" i="14"/>
  <c r="AI191" i="14"/>
  <c r="AI174" i="14"/>
  <c r="AI117" i="14"/>
  <c r="AI118" i="14"/>
  <c r="AI83" i="14"/>
  <c r="AI86" i="14"/>
  <c r="AI93" i="14"/>
  <c r="AI95" i="14"/>
  <c r="AI92" i="14"/>
  <c r="AI167" i="14"/>
  <c r="AI60" i="14"/>
  <c r="AI68" i="14"/>
  <c r="AI101" i="14"/>
  <c r="AI141" i="14"/>
  <c r="AI153" i="14"/>
  <c r="AI69" i="14"/>
  <c r="AI156" i="14"/>
  <c r="AI152" i="14"/>
  <c r="AI128" i="14"/>
  <c r="AI198" i="14"/>
  <c r="AI199" i="14"/>
  <c r="AI161" i="14"/>
  <c r="AI155" i="14"/>
  <c r="AI67" i="14"/>
  <c r="AI46" i="14"/>
  <c r="AI201" i="14"/>
  <c r="AI200" i="14"/>
  <c r="AI195" i="14"/>
  <c r="AI43" i="14"/>
  <c r="AI63" i="14"/>
  <c r="AI98" i="14"/>
  <c r="AI178" i="14"/>
  <c r="AI222" i="14"/>
  <c r="AI106" i="14"/>
  <c r="AI177" i="14"/>
  <c r="AI190" i="14"/>
  <c r="AI146" i="14"/>
  <c r="AI226" i="14"/>
  <c r="AI133" i="14"/>
  <c r="AI239" i="14"/>
  <c r="AI238" i="14"/>
  <c r="AI244" i="14"/>
  <c r="AI50" i="14"/>
  <c r="AI149" i="14"/>
  <c r="AI186" i="14"/>
  <c r="AI187" i="14"/>
  <c r="AI228" i="14"/>
  <c r="AI209" i="14"/>
  <c r="AI173" i="14"/>
  <c r="AI213" i="14"/>
  <c r="AI137" i="14"/>
  <c r="AI176" i="14"/>
  <c r="AI182" i="14"/>
  <c r="AI183" i="14"/>
  <c r="AI179" i="14"/>
  <c r="AI180" i="14"/>
  <c r="AI245" i="14"/>
  <c r="AI205" i="14"/>
  <c r="AI243" i="14"/>
  <c r="AI236" i="14"/>
  <c r="AI52" i="14"/>
  <c r="AI171" i="14"/>
  <c r="AI45" i="14"/>
  <c r="AI235" i="14"/>
  <c r="AI66" i="14"/>
  <c r="Q15" i="43"/>
  <c r="H16" i="43"/>
  <c r="Q14" i="43"/>
  <c r="H17" i="43"/>
  <c r="Q13" i="43"/>
  <c r="H19" i="43"/>
  <c r="H15" i="43"/>
  <c r="J39" i="40" l="1"/>
  <c r="J38" i="40"/>
  <c r="I39" i="40"/>
  <c r="I38" i="40"/>
  <c r="J32" i="40"/>
  <c r="AP538" i="20"/>
  <c r="AR538" i="20"/>
  <c r="AP558" i="20"/>
  <c r="AR558" i="20"/>
  <c r="AP540" i="20"/>
  <c r="AR540" i="20"/>
  <c r="V23" i="62"/>
  <c r="V24" i="62"/>
  <c r="V25" i="62"/>
  <c r="V26" i="62"/>
  <c r="V27" i="62"/>
  <c r="V28" i="62"/>
  <c r="V29" i="62"/>
  <c r="V30" i="62"/>
  <c r="V31" i="62"/>
  <c r="U22" i="62"/>
  <c r="T22" i="62" s="1"/>
  <c r="U23" i="62"/>
  <c r="U24" i="62"/>
  <c r="U25" i="62"/>
  <c r="U26" i="62"/>
  <c r="U27" i="62"/>
  <c r="U28" i="62"/>
  <c r="U29" i="62"/>
  <c r="U30" i="62"/>
  <c r="U31" i="62"/>
  <c r="S31" i="62"/>
  <c r="S23" i="62"/>
  <c r="S24" i="62"/>
  <c r="S25" i="62"/>
  <c r="S26" i="62"/>
  <c r="S27" i="62"/>
  <c r="S28" i="62"/>
  <c r="S29" i="62"/>
  <c r="S30" i="62"/>
  <c r="S22" i="62"/>
  <c r="S174" i="19"/>
  <c r="S172" i="19"/>
  <c r="S173" i="19"/>
  <c r="S171" i="19"/>
  <c r="S175" i="19"/>
  <c r="S176" i="19"/>
  <c r="S177" i="19"/>
  <c r="S180" i="19"/>
  <c r="S179" i="19"/>
  <c r="S181" i="19"/>
  <c r="S184" i="19"/>
  <c r="S185" i="19"/>
  <c r="S186" i="19"/>
  <c r="S187" i="19"/>
  <c r="S189" i="19"/>
  <c r="S191" i="19"/>
  <c r="S192" i="19"/>
  <c r="S193" i="19"/>
  <c r="S196" i="19"/>
  <c r="S195" i="19"/>
  <c r="S199" i="19"/>
  <c r="S201" i="19"/>
  <c r="S202" i="19"/>
  <c r="S203" i="19"/>
  <c r="S204" i="19"/>
  <c r="S205" i="19"/>
  <c r="S206" i="19"/>
  <c r="S208" i="19"/>
  <c r="S210" i="19"/>
  <c r="S211" i="19"/>
  <c r="S212" i="19"/>
  <c r="S214" i="19"/>
  <c r="S215" i="19"/>
  <c r="S219" i="19"/>
  <c r="S220" i="19"/>
  <c r="S222" i="19"/>
  <c r="S221" i="19"/>
  <c r="S223" i="19"/>
  <c r="S224" i="19"/>
  <c r="S225" i="19"/>
  <c r="S226" i="19"/>
  <c r="S228" i="19"/>
  <c r="S230" i="19"/>
  <c r="S231" i="19"/>
  <c r="S232" i="19"/>
  <c r="S234" i="19"/>
  <c r="S235" i="19"/>
  <c r="S238" i="19"/>
  <c r="S237" i="19"/>
  <c r="S239" i="19"/>
  <c r="S242" i="19"/>
  <c r="S245" i="19"/>
  <c r="S246" i="19"/>
  <c r="S247" i="19"/>
  <c r="S250" i="19"/>
  <c r="S251" i="19"/>
  <c r="S252" i="19"/>
  <c r="S255" i="19"/>
  <c r="S257" i="19"/>
  <c r="S259" i="19"/>
  <c r="S258" i="19"/>
  <c r="S261" i="19"/>
  <c r="S262" i="19"/>
  <c r="S260" i="19"/>
  <c r="S264" i="19"/>
  <c r="S265" i="19"/>
  <c r="S267" i="19"/>
  <c r="S266" i="19"/>
  <c r="S269" i="19"/>
  <c r="S271" i="19"/>
  <c r="S272" i="19"/>
  <c r="S273" i="19"/>
  <c r="S276" i="19"/>
  <c r="S278" i="19"/>
  <c r="S279" i="19"/>
  <c r="S280" i="19"/>
  <c r="S281" i="19"/>
  <c r="S283" i="19"/>
  <c r="S284" i="19"/>
  <c r="S285" i="19"/>
  <c r="S286" i="19"/>
  <c r="S289" i="19"/>
  <c r="S295" i="19"/>
  <c r="S294" i="19"/>
  <c r="S297" i="19"/>
  <c r="S298" i="19"/>
  <c r="S300" i="19"/>
  <c r="S302" i="19"/>
  <c r="S303" i="19"/>
  <c r="S307" i="19"/>
  <c r="S308" i="19"/>
  <c r="S309" i="19"/>
  <c r="S310" i="19"/>
  <c r="S312" i="19"/>
  <c r="S313" i="19"/>
  <c r="S314" i="19"/>
  <c r="S315" i="19"/>
  <c r="S316" i="19"/>
  <c r="S317" i="19"/>
  <c r="S319" i="19"/>
  <c r="S318" i="19"/>
  <c r="S320" i="19"/>
  <c r="S322" i="19"/>
  <c r="S321" i="19"/>
  <c r="S323" i="19"/>
  <c r="S325" i="19"/>
  <c r="S326" i="19"/>
  <c r="S327" i="19"/>
  <c r="S328" i="19"/>
  <c r="S329" i="19"/>
  <c r="S333" i="19"/>
  <c r="S334" i="19"/>
  <c r="S336" i="19"/>
  <c r="S338" i="19"/>
  <c r="S337" i="19"/>
  <c r="S339" i="19"/>
  <c r="T174" i="19"/>
  <c r="P174" i="19" s="1"/>
  <c r="U174" i="19" s="1"/>
  <c r="T172" i="19"/>
  <c r="P172" i="19" s="1"/>
  <c r="U172" i="19" s="1"/>
  <c r="T173" i="19"/>
  <c r="P173" i="19" s="1"/>
  <c r="U173" i="19" s="1"/>
  <c r="T171" i="19"/>
  <c r="P171" i="19" s="1"/>
  <c r="U171" i="19" s="1"/>
  <c r="T175" i="19"/>
  <c r="P175" i="19" s="1"/>
  <c r="U175" i="19" s="1"/>
  <c r="T176" i="19"/>
  <c r="P176" i="19" s="1"/>
  <c r="U176" i="19" s="1"/>
  <c r="T177" i="19"/>
  <c r="P177" i="19" s="1"/>
  <c r="U177" i="19" s="1"/>
  <c r="T180" i="19"/>
  <c r="P180" i="19" s="1"/>
  <c r="U180" i="19" s="1"/>
  <c r="T179" i="19"/>
  <c r="P179" i="19" s="1"/>
  <c r="U179" i="19" s="1"/>
  <c r="T181" i="19"/>
  <c r="P181" i="19" s="1"/>
  <c r="U181" i="19" s="1"/>
  <c r="T184" i="19"/>
  <c r="P184" i="19" s="1"/>
  <c r="U184" i="19" s="1"/>
  <c r="T185" i="19"/>
  <c r="P185" i="19" s="1"/>
  <c r="U185" i="19" s="1"/>
  <c r="T186" i="19"/>
  <c r="P186" i="19" s="1"/>
  <c r="U186" i="19" s="1"/>
  <c r="T187" i="19"/>
  <c r="P187" i="19" s="1"/>
  <c r="U187" i="19" s="1"/>
  <c r="T189" i="19"/>
  <c r="P189" i="19" s="1"/>
  <c r="U189" i="19" s="1"/>
  <c r="T191" i="19"/>
  <c r="P191" i="19" s="1"/>
  <c r="U191" i="19" s="1"/>
  <c r="T192" i="19"/>
  <c r="P192" i="19" s="1"/>
  <c r="U192" i="19" s="1"/>
  <c r="T193" i="19"/>
  <c r="P193" i="19" s="1"/>
  <c r="U193" i="19" s="1"/>
  <c r="T196" i="19"/>
  <c r="P196" i="19" s="1"/>
  <c r="U196" i="19" s="1"/>
  <c r="T195" i="19"/>
  <c r="P195" i="19" s="1"/>
  <c r="U195" i="19" s="1"/>
  <c r="T199" i="19"/>
  <c r="P199" i="19" s="1"/>
  <c r="U199" i="19" s="1"/>
  <c r="T201" i="19"/>
  <c r="P201" i="19" s="1"/>
  <c r="U201" i="19" s="1"/>
  <c r="T202" i="19"/>
  <c r="P202" i="19" s="1"/>
  <c r="U202" i="19" s="1"/>
  <c r="T203" i="19"/>
  <c r="P203" i="19" s="1"/>
  <c r="U203" i="19" s="1"/>
  <c r="T204" i="19"/>
  <c r="P204" i="19" s="1"/>
  <c r="U204" i="19" s="1"/>
  <c r="T205" i="19"/>
  <c r="P205" i="19" s="1"/>
  <c r="U205" i="19" s="1"/>
  <c r="T206" i="19"/>
  <c r="P206" i="19" s="1"/>
  <c r="U206" i="19" s="1"/>
  <c r="T208" i="19"/>
  <c r="P208" i="19" s="1"/>
  <c r="U208" i="19" s="1"/>
  <c r="T210" i="19"/>
  <c r="P210" i="19" s="1"/>
  <c r="U210" i="19" s="1"/>
  <c r="T211" i="19"/>
  <c r="P211" i="19" s="1"/>
  <c r="U211" i="19" s="1"/>
  <c r="T212" i="19"/>
  <c r="P212" i="19" s="1"/>
  <c r="U212" i="19" s="1"/>
  <c r="T214" i="19"/>
  <c r="P214" i="19" s="1"/>
  <c r="U214" i="19" s="1"/>
  <c r="T215" i="19"/>
  <c r="P215" i="19" s="1"/>
  <c r="U215" i="19" s="1"/>
  <c r="T219" i="19"/>
  <c r="P219" i="19" s="1"/>
  <c r="U219" i="19" s="1"/>
  <c r="T220" i="19"/>
  <c r="P220" i="19" s="1"/>
  <c r="U220" i="19" s="1"/>
  <c r="T222" i="19"/>
  <c r="P222" i="19" s="1"/>
  <c r="U222" i="19" s="1"/>
  <c r="T221" i="19"/>
  <c r="P221" i="19" s="1"/>
  <c r="U221" i="19" s="1"/>
  <c r="T223" i="19"/>
  <c r="P223" i="19" s="1"/>
  <c r="U223" i="19" s="1"/>
  <c r="T224" i="19"/>
  <c r="P224" i="19" s="1"/>
  <c r="U224" i="19" s="1"/>
  <c r="T225" i="19"/>
  <c r="P225" i="19" s="1"/>
  <c r="U225" i="19" s="1"/>
  <c r="T226" i="19"/>
  <c r="P226" i="19" s="1"/>
  <c r="U226" i="19" s="1"/>
  <c r="T228" i="19"/>
  <c r="P228" i="19" s="1"/>
  <c r="U228" i="19" s="1"/>
  <c r="T230" i="19"/>
  <c r="P230" i="19" s="1"/>
  <c r="U230" i="19" s="1"/>
  <c r="T231" i="19"/>
  <c r="P231" i="19" s="1"/>
  <c r="U231" i="19" s="1"/>
  <c r="T232" i="19"/>
  <c r="P232" i="19" s="1"/>
  <c r="U232" i="19" s="1"/>
  <c r="T234" i="19"/>
  <c r="P234" i="19" s="1"/>
  <c r="U234" i="19" s="1"/>
  <c r="T235" i="19"/>
  <c r="P235" i="19" s="1"/>
  <c r="U235" i="19" s="1"/>
  <c r="T238" i="19"/>
  <c r="P238" i="19" s="1"/>
  <c r="U238" i="19" s="1"/>
  <c r="T237" i="19"/>
  <c r="P237" i="19" s="1"/>
  <c r="U237" i="19" s="1"/>
  <c r="T239" i="19"/>
  <c r="P239" i="19" s="1"/>
  <c r="U239" i="19" s="1"/>
  <c r="T242" i="19"/>
  <c r="P242" i="19" s="1"/>
  <c r="U242" i="19" s="1"/>
  <c r="T245" i="19"/>
  <c r="P245" i="19" s="1"/>
  <c r="U245" i="19" s="1"/>
  <c r="T246" i="19"/>
  <c r="P246" i="19" s="1"/>
  <c r="U246" i="19" s="1"/>
  <c r="K23" i="36" l="1"/>
  <c r="K18" i="36"/>
  <c r="K22" i="36"/>
  <c r="K20" i="36"/>
  <c r="K24" i="36"/>
  <c r="K25" i="36"/>
  <c r="T30" i="62"/>
  <c r="T26" i="62"/>
  <c r="T29" i="62"/>
  <c r="T25" i="62"/>
  <c r="T28" i="62"/>
  <c r="T24" i="62"/>
  <c r="T31" i="62"/>
  <c r="T27" i="62"/>
  <c r="T23" i="62"/>
  <c r="T5" i="19"/>
  <c r="P5" i="19" s="1"/>
  <c r="U5" i="19" s="1"/>
  <c r="T7" i="19"/>
  <c r="P7" i="19" s="1"/>
  <c r="U7" i="19" s="1"/>
  <c r="T9" i="19"/>
  <c r="P9" i="19" s="1"/>
  <c r="T10" i="19"/>
  <c r="P10" i="19" s="1"/>
  <c r="U10" i="19" s="1"/>
  <c r="T11" i="19"/>
  <c r="P11" i="19" s="1"/>
  <c r="U11" i="19" s="1"/>
  <c r="T15" i="19"/>
  <c r="P15" i="19" s="1"/>
  <c r="U15" i="19" s="1"/>
  <c r="T14" i="19"/>
  <c r="P14" i="19" s="1"/>
  <c r="U14" i="19" s="1"/>
  <c r="T18" i="19"/>
  <c r="P18" i="19" s="1"/>
  <c r="U18" i="19" s="1"/>
  <c r="T19" i="19"/>
  <c r="P19" i="19" s="1"/>
  <c r="U19" i="19" s="1"/>
  <c r="T20" i="19"/>
  <c r="P20" i="19" s="1"/>
  <c r="U20" i="19" s="1"/>
  <c r="T22" i="19"/>
  <c r="P22" i="19" s="1"/>
  <c r="U22" i="19" s="1"/>
  <c r="T21" i="19"/>
  <c r="P21" i="19" s="1"/>
  <c r="U21" i="19" s="1"/>
  <c r="T24" i="19"/>
  <c r="P24" i="19" s="1"/>
  <c r="U24" i="19" s="1"/>
  <c r="T25" i="19"/>
  <c r="P25" i="19" s="1"/>
  <c r="U25" i="19" s="1"/>
  <c r="T27" i="19"/>
  <c r="P27" i="19" s="1"/>
  <c r="U27" i="19" s="1"/>
  <c r="T28" i="19"/>
  <c r="P28" i="19" s="1"/>
  <c r="U28" i="19" s="1"/>
  <c r="T29" i="19"/>
  <c r="P29" i="19" s="1"/>
  <c r="T30" i="19"/>
  <c r="P30" i="19" s="1"/>
  <c r="U30" i="19" s="1"/>
  <c r="T31" i="19"/>
  <c r="P31" i="19" s="1"/>
  <c r="U31" i="19" s="1"/>
  <c r="T32" i="19"/>
  <c r="P32" i="19" s="1"/>
  <c r="U32" i="19" s="1"/>
  <c r="T34" i="19"/>
  <c r="P34" i="19" s="1"/>
  <c r="U34" i="19" s="1"/>
  <c r="T36" i="19"/>
  <c r="P36" i="19" s="1"/>
  <c r="U36" i="19" s="1"/>
  <c r="T35" i="19"/>
  <c r="P35" i="19" s="1"/>
  <c r="U35" i="19" s="1"/>
  <c r="T40" i="19"/>
  <c r="P40" i="19" s="1"/>
  <c r="U40" i="19" s="1"/>
  <c r="T38" i="19"/>
  <c r="P38" i="19" s="1"/>
  <c r="U38" i="19" s="1"/>
  <c r="T43" i="19"/>
  <c r="P43" i="19" s="1"/>
  <c r="U43" i="19" s="1"/>
  <c r="T44" i="19"/>
  <c r="P44" i="19" s="1"/>
  <c r="U44" i="19" s="1"/>
  <c r="T45" i="19"/>
  <c r="P45" i="19" s="1"/>
  <c r="U45" i="19" s="1"/>
  <c r="T47" i="19"/>
  <c r="P47" i="19" s="1"/>
  <c r="U47" i="19" s="1"/>
  <c r="T48" i="19"/>
  <c r="P48" i="19" s="1"/>
  <c r="U48" i="19" s="1"/>
  <c r="T50" i="19"/>
  <c r="P50" i="19" s="1"/>
  <c r="U50" i="19" s="1"/>
  <c r="T52" i="19"/>
  <c r="P52" i="19" s="1"/>
  <c r="U52" i="19" s="1"/>
  <c r="T54" i="19"/>
  <c r="P54" i="19" s="1"/>
  <c r="U54" i="19" s="1"/>
  <c r="T55" i="19"/>
  <c r="P55" i="19" s="1"/>
  <c r="U55" i="19" s="1"/>
  <c r="T56" i="19"/>
  <c r="P56" i="19" s="1"/>
  <c r="U56" i="19" s="1"/>
  <c r="T59" i="19"/>
  <c r="P59" i="19" s="1"/>
  <c r="U59" i="19" s="1"/>
  <c r="T60" i="19"/>
  <c r="P60" i="19" s="1"/>
  <c r="U60" i="19" s="1"/>
  <c r="T61" i="19"/>
  <c r="P61" i="19" s="1"/>
  <c r="U61" i="19" s="1"/>
  <c r="T62" i="19"/>
  <c r="P62" i="19" s="1"/>
  <c r="U62" i="19" s="1"/>
  <c r="T65" i="19"/>
  <c r="P65" i="19" s="1"/>
  <c r="U65" i="19" s="1"/>
  <c r="T66" i="19"/>
  <c r="P66" i="19" s="1"/>
  <c r="U66" i="19" s="1"/>
  <c r="T64" i="19"/>
  <c r="P64" i="19" s="1"/>
  <c r="U64" i="19" s="1"/>
  <c r="T67" i="19"/>
  <c r="P67" i="19" s="1"/>
  <c r="U67" i="19" s="1"/>
  <c r="T68" i="19"/>
  <c r="P68" i="19" s="1"/>
  <c r="U68" i="19" s="1"/>
  <c r="T69" i="19"/>
  <c r="P69" i="19" s="1"/>
  <c r="U69" i="19" s="1"/>
  <c r="T72" i="19"/>
  <c r="P72" i="19" s="1"/>
  <c r="U72" i="19" s="1"/>
  <c r="T73" i="19"/>
  <c r="P73" i="19" s="1"/>
  <c r="U73" i="19" s="1"/>
  <c r="T74" i="19"/>
  <c r="P74" i="19" s="1"/>
  <c r="U74" i="19" s="1"/>
  <c r="T75" i="19"/>
  <c r="P75" i="19" s="1"/>
  <c r="U75" i="19" s="1"/>
  <c r="T77" i="19"/>
  <c r="P77" i="19" s="1"/>
  <c r="U77" i="19" s="1"/>
  <c r="T78" i="19"/>
  <c r="P78" i="19" s="1"/>
  <c r="U78" i="19" s="1"/>
  <c r="T79" i="19"/>
  <c r="P79" i="19" s="1"/>
  <c r="U79" i="19" s="1"/>
  <c r="T80" i="19"/>
  <c r="P80" i="19" s="1"/>
  <c r="U80" i="19" s="1"/>
  <c r="T82" i="19"/>
  <c r="P82" i="19" s="1"/>
  <c r="U82" i="19" s="1"/>
  <c r="T81" i="19"/>
  <c r="P81" i="19" s="1"/>
  <c r="U81" i="19" s="1"/>
  <c r="T84" i="19"/>
  <c r="P84" i="19" s="1"/>
  <c r="U84" i="19" s="1"/>
  <c r="T83" i="19"/>
  <c r="P83" i="19" s="1"/>
  <c r="U83" i="19" s="1"/>
  <c r="T85" i="19"/>
  <c r="P85" i="19" s="1"/>
  <c r="U85" i="19" s="1"/>
  <c r="T86" i="19"/>
  <c r="P86" i="19" s="1"/>
  <c r="U86" i="19" s="1"/>
  <c r="T87" i="19"/>
  <c r="P87" i="19" s="1"/>
  <c r="U87" i="19" s="1"/>
  <c r="T88" i="19"/>
  <c r="P88" i="19" s="1"/>
  <c r="U88" i="19" s="1"/>
  <c r="T89" i="19"/>
  <c r="P89" i="19" s="1"/>
  <c r="U89" i="19" s="1"/>
  <c r="T91" i="19"/>
  <c r="P91" i="19" s="1"/>
  <c r="U91" i="19" s="1"/>
  <c r="T92" i="19"/>
  <c r="P92" i="19" s="1"/>
  <c r="U92" i="19" s="1"/>
  <c r="T93" i="19"/>
  <c r="P93" i="19" s="1"/>
  <c r="U93" i="19" s="1"/>
  <c r="T96" i="19"/>
  <c r="P96" i="19" s="1"/>
  <c r="U96" i="19" s="1"/>
  <c r="T99" i="19"/>
  <c r="P99" i="19" s="1"/>
  <c r="U99" i="19" s="1"/>
  <c r="T100" i="19"/>
  <c r="P100" i="19" s="1"/>
  <c r="U100" i="19" s="1"/>
  <c r="T104" i="19"/>
  <c r="P104" i="19" s="1"/>
  <c r="U104" i="19" s="1"/>
  <c r="T105" i="19"/>
  <c r="P105" i="19" s="1"/>
  <c r="U105" i="19" s="1"/>
  <c r="T102" i="19"/>
  <c r="P102" i="19" s="1"/>
  <c r="U102" i="19" s="1"/>
  <c r="T106" i="19"/>
  <c r="P106" i="19" s="1"/>
  <c r="U106" i="19" s="1"/>
  <c r="T108" i="19"/>
  <c r="P108" i="19" s="1"/>
  <c r="U108" i="19" s="1"/>
  <c r="T111" i="19"/>
  <c r="P111" i="19" s="1"/>
  <c r="U111" i="19" s="1"/>
  <c r="T110" i="19"/>
  <c r="P110" i="19" s="1"/>
  <c r="U110" i="19" s="1"/>
  <c r="T112" i="19"/>
  <c r="P112" i="19" s="1"/>
  <c r="U112" i="19" s="1"/>
  <c r="T114" i="19"/>
  <c r="P114" i="19" s="1"/>
  <c r="U114" i="19" s="1"/>
  <c r="T113" i="19"/>
  <c r="P113" i="19" s="1"/>
  <c r="U113" i="19" s="1"/>
  <c r="T115" i="19"/>
  <c r="P115" i="19" s="1"/>
  <c r="U115" i="19" s="1"/>
  <c r="T118" i="19"/>
  <c r="P118" i="19" s="1"/>
  <c r="U118" i="19" s="1"/>
  <c r="T119" i="19"/>
  <c r="P119" i="19" s="1"/>
  <c r="U119" i="19" s="1"/>
  <c r="T120" i="19"/>
  <c r="P120" i="19" s="1"/>
  <c r="U120" i="19" s="1"/>
  <c r="T122" i="19"/>
  <c r="P122" i="19" s="1"/>
  <c r="U122" i="19" s="1"/>
  <c r="T123" i="19"/>
  <c r="P123" i="19" s="1"/>
  <c r="U123" i="19" s="1"/>
  <c r="T124" i="19"/>
  <c r="P124" i="19" s="1"/>
  <c r="U124" i="19" s="1"/>
  <c r="T125" i="19"/>
  <c r="P125" i="19" s="1"/>
  <c r="U125" i="19" s="1"/>
  <c r="T126" i="19"/>
  <c r="P126" i="19" s="1"/>
  <c r="U126" i="19" s="1"/>
  <c r="T127" i="19"/>
  <c r="P127" i="19" s="1"/>
  <c r="U127" i="19" s="1"/>
  <c r="T128" i="19"/>
  <c r="P128" i="19" s="1"/>
  <c r="U128" i="19" s="1"/>
  <c r="T129" i="19"/>
  <c r="P129" i="19" s="1"/>
  <c r="U129" i="19" s="1"/>
  <c r="T131" i="19"/>
  <c r="P131" i="19" s="1"/>
  <c r="U131" i="19" s="1"/>
  <c r="T132" i="19"/>
  <c r="P132" i="19" s="1"/>
  <c r="U132" i="19" s="1"/>
  <c r="T134" i="19"/>
  <c r="P134" i="19" s="1"/>
  <c r="U134" i="19" s="1"/>
  <c r="T135" i="19"/>
  <c r="P135" i="19" s="1"/>
  <c r="U135" i="19" s="1"/>
  <c r="T136" i="19"/>
  <c r="P136" i="19" s="1"/>
  <c r="U136" i="19" s="1"/>
  <c r="T137" i="19"/>
  <c r="P137" i="19" s="1"/>
  <c r="U137" i="19" s="1"/>
  <c r="T138" i="19"/>
  <c r="P138" i="19" s="1"/>
  <c r="U138" i="19" s="1"/>
  <c r="T139" i="19"/>
  <c r="P139" i="19" s="1"/>
  <c r="U139" i="19" s="1"/>
  <c r="T140" i="19"/>
  <c r="P140" i="19" s="1"/>
  <c r="U140" i="19" s="1"/>
  <c r="T141" i="19"/>
  <c r="P141" i="19" s="1"/>
  <c r="U141" i="19" s="1"/>
  <c r="T142" i="19"/>
  <c r="P142" i="19" s="1"/>
  <c r="U142" i="19" s="1"/>
  <c r="T143" i="19"/>
  <c r="P143" i="19" s="1"/>
  <c r="U143" i="19" s="1"/>
  <c r="T144" i="19"/>
  <c r="P144" i="19" s="1"/>
  <c r="U144" i="19" s="1"/>
  <c r="T145" i="19"/>
  <c r="P145" i="19" s="1"/>
  <c r="U145" i="19" s="1"/>
  <c r="T146" i="19"/>
  <c r="P146" i="19" s="1"/>
  <c r="U146" i="19" s="1"/>
  <c r="T147" i="19"/>
  <c r="P147" i="19" s="1"/>
  <c r="U147" i="19" s="1"/>
  <c r="T149" i="19"/>
  <c r="P149" i="19" s="1"/>
  <c r="U149" i="19" s="1"/>
  <c r="T150" i="19"/>
  <c r="P150" i="19" s="1"/>
  <c r="U150" i="19" s="1"/>
  <c r="T151" i="19"/>
  <c r="P151" i="19" s="1"/>
  <c r="U151" i="19" s="1"/>
  <c r="T152" i="19"/>
  <c r="P152" i="19" s="1"/>
  <c r="U152" i="19" s="1"/>
  <c r="T154" i="19"/>
  <c r="P154" i="19" s="1"/>
  <c r="U154" i="19" s="1"/>
  <c r="T156" i="19"/>
  <c r="P156" i="19" s="1"/>
  <c r="U156" i="19" s="1"/>
  <c r="T157" i="19"/>
  <c r="P157" i="19" s="1"/>
  <c r="U157" i="19" s="1"/>
  <c r="T159" i="19"/>
  <c r="P159" i="19" s="1"/>
  <c r="U159" i="19" s="1"/>
  <c r="T160" i="19"/>
  <c r="P160" i="19" s="1"/>
  <c r="U160" i="19" s="1"/>
  <c r="T161" i="19"/>
  <c r="P161" i="19" s="1"/>
  <c r="U161" i="19" s="1"/>
  <c r="T162" i="19"/>
  <c r="P162" i="19" s="1"/>
  <c r="U162" i="19" s="1"/>
  <c r="T164" i="19"/>
  <c r="P164" i="19" s="1"/>
  <c r="U164" i="19" s="1"/>
  <c r="T166" i="19"/>
  <c r="P166" i="19" s="1"/>
  <c r="U166" i="19" s="1"/>
  <c r="T168" i="19"/>
  <c r="P168" i="19" s="1"/>
  <c r="U168" i="19" s="1"/>
  <c r="T169" i="19"/>
  <c r="P169" i="19" s="1"/>
  <c r="U169" i="19" s="1"/>
  <c r="T6" i="19"/>
  <c r="P6" i="19" s="1"/>
  <c r="U6" i="19" s="1"/>
  <c r="S5" i="19"/>
  <c r="S7" i="19"/>
  <c r="S10" i="19"/>
  <c r="S11" i="19"/>
  <c r="S15" i="19"/>
  <c r="S14" i="19"/>
  <c r="S18" i="19"/>
  <c r="S19" i="19"/>
  <c r="S20" i="19"/>
  <c r="S22" i="19"/>
  <c r="S21" i="19"/>
  <c r="S24" i="19"/>
  <c r="S25" i="19"/>
  <c r="S27" i="19"/>
  <c r="S28" i="19"/>
  <c r="S29" i="19"/>
  <c r="S30" i="19"/>
  <c r="S31" i="19"/>
  <c r="S32" i="19"/>
  <c r="S34" i="19"/>
  <c r="S36" i="19"/>
  <c r="S35" i="19"/>
  <c r="S40" i="19"/>
  <c r="S38" i="19"/>
  <c r="S43" i="19"/>
  <c r="S44" i="19"/>
  <c r="S45" i="19"/>
  <c r="S47" i="19"/>
  <c r="S48" i="19"/>
  <c r="S50" i="19"/>
  <c r="S52" i="19"/>
  <c r="S54" i="19"/>
  <c r="S55" i="19"/>
  <c r="S56" i="19"/>
  <c r="S59" i="19"/>
  <c r="S60" i="19"/>
  <c r="S61" i="19"/>
  <c r="S62" i="19"/>
  <c r="S65" i="19"/>
  <c r="S66" i="19"/>
  <c r="S64" i="19"/>
  <c r="S67" i="19"/>
  <c r="S68" i="19"/>
  <c r="S69" i="19"/>
  <c r="S72" i="19"/>
  <c r="S73" i="19"/>
  <c r="S74" i="19"/>
  <c r="S75" i="19"/>
  <c r="S77" i="19"/>
  <c r="S78" i="19"/>
  <c r="S79" i="19"/>
  <c r="S80" i="19"/>
  <c r="S82" i="19"/>
  <c r="S81" i="19"/>
  <c r="S84" i="19"/>
  <c r="S83" i="19"/>
  <c r="S85" i="19"/>
  <c r="S86" i="19"/>
  <c r="S87" i="19"/>
  <c r="S88" i="19"/>
  <c r="S89" i="19"/>
  <c r="S91" i="19"/>
  <c r="S92" i="19"/>
  <c r="S93" i="19"/>
  <c r="S96" i="19"/>
  <c r="S99" i="19"/>
  <c r="S100" i="19"/>
  <c r="S104" i="19"/>
  <c r="S105" i="19"/>
  <c r="S102" i="19"/>
  <c r="S106" i="19"/>
  <c r="S108" i="19"/>
  <c r="S111" i="19"/>
  <c r="S110" i="19"/>
  <c r="S112" i="19"/>
  <c r="S114" i="19"/>
  <c r="S113" i="19"/>
  <c r="S115" i="19"/>
  <c r="S118" i="19"/>
  <c r="S119" i="19"/>
  <c r="S120" i="19"/>
  <c r="S122" i="19"/>
  <c r="S123" i="19"/>
  <c r="S124" i="19"/>
  <c r="S125" i="19"/>
  <c r="S126" i="19"/>
  <c r="S127" i="19"/>
  <c r="S128" i="19"/>
  <c r="S129" i="19"/>
  <c r="S131" i="19"/>
  <c r="S132" i="19"/>
  <c r="S134" i="19"/>
  <c r="S135" i="19"/>
  <c r="S136" i="19"/>
  <c r="S137" i="19"/>
  <c r="S138" i="19"/>
  <c r="S139" i="19"/>
  <c r="S140" i="19"/>
  <c r="S141" i="19"/>
  <c r="S142" i="19"/>
  <c r="S143" i="19"/>
  <c r="S144" i="19"/>
  <c r="S145" i="19"/>
  <c r="S146" i="19"/>
  <c r="S147" i="19"/>
  <c r="S149" i="19"/>
  <c r="S150" i="19"/>
  <c r="S151" i="19"/>
  <c r="S152" i="19"/>
  <c r="S154" i="19"/>
  <c r="S156" i="19"/>
  <c r="S157" i="19"/>
  <c r="S159" i="19"/>
  <c r="S160" i="19"/>
  <c r="S161" i="19"/>
  <c r="S162" i="19"/>
  <c r="S164" i="19"/>
  <c r="S166" i="19"/>
  <c r="S168" i="19"/>
  <c r="S169" i="19"/>
  <c r="S6" i="19"/>
  <c r="T8" i="62"/>
  <c r="T10" i="62"/>
  <c r="T9" i="62"/>
  <c r="K16" i="36" l="1"/>
  <c r="U9" i="19"/>
  <c r="K7" i="36"/>
  <c r="K15" i="36"/>
  <c r="U29" i="19"/>
  <c r="AF163" i="14"/>
  <c r="AH163" i="14" s="1"/>
  <c r="AF97" i="14"/>
  <c r="AH97" i="14" s="1"/>
  <c r="AF41" i="14"/>
  <c r="AF34" i="14"/>
  <c r="AF7" i="14"/>
  <c r="AH7" i="14" s="1"/>
  <c r="AF219" i="14"/>
  <c r="AH219" i="14" s="1"/>
  <c r="AF75" i="14"/>
  <c r="AH75" i="14" s="1"/>
  <c r="AF96" i="14"/>
  <c r="AH96" i="14" s="1"/>
  <c r="K8" i="36"/>
  <c r="K27" i="36"/>
  <c r="K21" i="36"/>
  <c r="K17" i="36"/>
  <c r="K13" i="36"/>
  <c r="K19" i="36"/>
  <c r="K9" i="36"/>
  <c r="N9" i="36" s="1"/>
  <c r="AA5" i="66" s="1"/>
  <c r="AF211" i="14"/>
  <c r="AF212" i="14"/>
  <c r="AF111" i="14"/>
  <c r="AF31" i="14"/>
  <c r="AF197" i="14"/>
  <c r="AF229" i="14"/>
  <c r="AF158" i="14"/>
  <c r="AF162" i="14"/>
  <c r="AF112" i="14"/>
  <c r="AF193" i="14"/>
  <c r="AF210" i="14"/>
  <c r="AF9" i="14"/>
  <c r="AF82" i="14"/>
  <c r="AF224" i="14"/>
  <c r="AF94" i="14"/>
  <c r="AF221" i="14"/>
  <c r="AF84" i="14"/>
  <c r="AF127" i="14"/>
  <c r="AF73" i="14"/>
  <c r="AF70" i="14"/>
  <c r="AF225" i="14"/>
  <c r="AF230" i="14"/>
  <c r="AF103" i="14"/>
  <c r="AF110" i="14"/>
  <c r="AF32" i="14"/>
  <c r="AF227" i="14"/>
  <c r="AF139" i="14"/>
  <c r="AF88" i="14"/>
  <c r="AF157" i="14"/>
  <c r="AF115" i="14"/>
  <c r="AF203" i="14"/>
  <c r="AF61" i="14"/>
  <c r="AM659" i="20"/>
  <c r="AO659" i="20"/>
  <c r="AM178" i="20"/>
  <c r="AO178" i="20"/>
  <c r="AM680" i="20"/>
  <c r="AO680" i="20"/>
  <c r="AM72" i="20"/>
  <c r="AO72" i="20"/>
  <c r="N7" i="36" l="1"/>
  <c r="AA3" i="66" s="1"/>
  <c r="L7" i="36"/>
  <c r="N8" i="36"/>
  <c r="AA4" i="66" s="1"/>
  <c r="K28" i="36"/>
  <c r="AP680" i="20"/>
  <c r="AR680" i="20"/>
  <c r="AP659" i="20"/>
  <c r="AR659" i="20"/>
  <c r="AP72" i="20"/>
  <c r="AR72" i="20"/>
  <c r="AP178" i="20"/>
  <c r="AR178" i="20"/>
  <c r="AH203" i="14"/>
  <c r="AH139" i="14"/>
  <c r="AH103" i="14"/>
  <c r="AH73" i="14"/>
  <c r="AH94" i="14"/>
  <c r="AH210" i="14"/>
  <c r="AH158" i="14"/>
  <c r="AH111" i="14"/>
  <c r="AH115" i="14"/>
  <c r="AH227" i="14"/>
  <c r="AH230" i="14"/>
  <c r="AH127" i="14"/>
  <c r="AH224" i="14"/>
  <c r="AH193" i="14"/>
  <c r="AH229" i="14"/>
  <c r="AH212" i="14"/>
  <c r="AH157" i="14"/>
  <c r="AH32" i="14"/>
  <c r="AH225" i="14"/>
  <c r="AH84" i="14"/>
  <c r="AH82" i="14"/>
  <c r="AH112" i="14"/>
  <c r="AH197" i="14"/>
  <c r="AH211" i="14"/>
  <c r="AH61" i="14"/>
  <c r="AH88" i="14"/>
  <c r="AH110" i="14"/>
  <c r="AH70" i="14"/>
  <c r="AH221" i="14"/>
  <c r="AH9" i="14"/>
  <c r="AH162" i="14"/>
  <c r="AH31" i="14"/>
  <c r="M7" i="36"/>
  <c r="AF101" i="14"/>
  <c r="AF102" i="14"/>
  <c r="AM457" i="20"/>
  <c r="AM601" i="20"/>
  <c r="AM595" i="20"/>
  <c r="AM669" i="20"/>
  <c r="AM461" i="20"/>
  <c r="AM362" i="20"/>
  <c r="AM376" i="20"/>
  <c r="AM670" i="20"/>
  <c r="AM641" i="20"/>
  <c r="AM106" i="20"/>
  <c r="AM158" i="20"/>
  <c r="AM900" i="20"/>
  <c r="AM758" i="20"/>
  <c r="AM385" i="20"/>
  <c r="AM337" i="20"/>
  <c r="AM818" i="20"/>
  <c r="AM456" i="20"/>
  <c r="AM237" i="20"/>
  <c r="AM892" i="20"/>
  <c r="AM827" i="20"/>
  <c r="AM600" i="20"/>
  <c r="AM719" i="20"/>
  <c r="AM276" i="20"/>
  <c r="AM773" i="20"/>
  <c r="AM232" i="20"/>
  <c r="AM577" i="20"/>
  <c r="AM393" i="20"/>
  <c r="AM190" i="20"/>
  <c r="AM862" i="20"/>
  <c r="AM476" i="20"/>
  <c r="AM486" i="20"/>
  <c r="AM548" i="20"/>
  <c r="AM453" i="20"/>
  <c r="AM625" i="20"/>
  <c r="AM524" i="20"/>
  <c r="AM835" i="20"/>
  <c r="AM418" i="20"/>
  <c r="AM766" i="20"/>
  <c r="AM788" i="20"/>
  <c r="AM796" i="20"/>
  <c r="AM200" i="20"/>
  <c r="AM215" i="20"/>
  <c r="AM839" i="20"/>
  <c r="AM691" i="20"/>
  <c r="AM430" i="20"/>
  <c r="AM802" i="20"/>
  <c r="AM514" i="20"/>
  <c r="AM120" i="20"/>
  <c r="AM123" i="20"/>
  <c r="AM117" i="20"/>
  <c r="AM823" i="20"/>
  <c r="AM142" i="20"/>
  <c r="AM703" i="20"/>
  <c r="AM267" i="20"/>
  <c r="AM710" i="20"/>
  <c r="AM628" i="20"/>
  <c r="AM261" i="20"/>
  <c r="AM842" i="20"/>
  <c r="AM608" i="20"/>
  <c r="AM809" i="20"/>
  <c r="AM607" i="20"/>
  <c r="AM848" i="20"/>
  <c r="AM169" i="20"/>
  <c r="AM406" i="20"/>
  <c r="AM415" i="20"/>
  <c r="AM67" i="20"/>
  <c r="AM814" i="20"/>
  <c r="AM668" i="20"/>
  <c r="AM756" i="20"/>
  <c r="AM260" i="20"/>
  <c r="AM591" i="20"/>
  <c r="AM378" i="20"/>
  <c r="AM877" i="20"/>
  <c r="AM107" i="20"/>
  <c r="AM643" i="20"/>
  <c r="AM278" i="20"/>
  <c r="AM579" i="20"/>
  <c r="AM78" i="20"/>
  <c r="AM685" i="20"/>
  <c r="AM216" i="20"/>
  <c r="AM594" i="20"/>
  <c r="AM371" i="20"/>
  <c r="AM292" i="20"/>
  <c r="AM20" i="20"/>
  <c r="AM63" i="20"/>
  <c r="AM70" i="20"/>
  <c r="AM116" i="20"/>
  <c r="AM37" i="20"/>
  <c r="AM537" i="20"/>
  <c r="AM11" i="20"/>
  <c r="AM43" i="20"/>
  <c r="AM572" i="20"/>
  <c r="AM160" i="20"/>
  <c r="AM634" i="20"/>
  <c r="AM760" i="20"/>
  <c r="AM502" i="20"/>
  <c r="AM909" i="20"/>
  <c r="AM168" i="20"/>
  <c r="AM342" i="20"/>
  <c r="AM321" i="20"/>
  <c r="AM893" i="20"/>
  <c r="AM830" i="20"/>
  <c r="AM439" i="20"/>
  <c r="AM725" i="20"/>
  <c r="AM774" i="20"/>
  <c r="AM681" i="20"/>
  <c r="AM682" i="20"/>
  <c r="AM73" i="20"/>
  <c r="AM74" i="20"/>
  <c r="AM445" i="20"/>
  <c r="AM77" i="20"/>
  <c r="AM311" i="20"/>
  <c r="AM868" i="20"/>
  <c r="AM82" i="20"/>
  <c r="AM549" i="20"/>
  <c r="AM478" i="20"/>
  <c r="AM488" i="20"/>
  <c r="AM128" i="20"/>
  <c r="AM129" i="20"/>
  <c r="AM836" i="20"/>
  <c r="AM697" i="20"/>
  <c r="AM345" i="20"/>
  <c r="AM346" i="20"/>
  <c r="AM148" i="20"/>
  <c r="AM714" i="20"/>
  <c r="AM304" i="20"/>
  <c r="AM852" i="20"/>
  <c r="AM613" i="20"/>
  <c r="AM496" i="20"/>
  <c r="AM57" i="20"/>
  <c r="AM474" i="20"/>
  <c r="AM472" i="20"/>
  <c r="AM492" i="20"/>
  <c r="AM890" i="20"/>
  <c r="AM504" i="20"/>
  <c r="AM239" i="20"/>
  <c r="AM598" i="20"/>
  <c r="AM672" i="20"/>
  <c r="AM505" i="20"/>
  <c r="AM901" i="20"/>
  <c r="AM819" i="20"/>
  <c r="AM435" i="20"/>
  <c r="AM191" i="20"/>
  <c r="AM25" i="20"/>
  <c r="AM446" i="20"/>
  <c r="AM86" i="20"/>
  <c r="AM789" i="20"/>
  <c r="AM797" i="20"/>
  <c r="AM296" i="20"/>
  <c r="AM336" i="20"/>
  <c r="AM605" i="20"/>
  <c r="AM860" i="20"/>
  <c r="AM467" i="20"/>
  <c r="AM379" i="20"/>
  <c r="AM678" i="20"/>
  <c r="AM19" i="20"/>
  <c r="AM62" i="20"/>
  <c r="AM115" i="20"/>
  <c r="AM10" i="20"/>
  <c r="AM389" i="20"/>
  <c r="AM596" i="20"/>
  <c r="AM723" i="20"/>
  <c r="AM193" i="20"/>
  <c r="AM28" i="20"/>
  <c r="AM768" i="20"/>
  <c r="AM769" i="20"/>
  <c r="AM217" i="20"/>
  <c r="AM201" i="20"/>
  <c r="AM202" i="20"/>
  <c r="AM145" i="20"/>
  <c r="AM146" i="20"/>
  <c r="AM815" i="20"/>
  <c r="AM810" i="20"/>
  <c r="AM180" i="20"/>
  <c r="AM153" i="20"/>
  <c r="AM912" i="20"/>
  <c r="AM661" i="20"/>
  <c r="AM781" i="20"/>
  <c r="AM330" i="20"/>
  <c r="AM649" i="20"/>
  <c r="AM616" i="20"/>
  <c r="AM251" i="20"/>
  <c r="AM84" i="20"/>
  <c r="AM85" i="20"/>
  <c r="AM462" i="20"/>
  <c r="AM463" i="20"/>
  <c r="AM468" i="20"/>
  <c r="AM363" i="20"/>
  <c r="AM364" i="20"/>
  <c r="AM240" i="20"/>
  <c r="AM241" i="20"/>
  <c r="AM242" i="20"/>
  <c r="AM673" i="20"/>
  <c r="AM676" i="20"/>
  <c r="AM902" i="20"/>
  <c r="AM633" i="20"/>
  <c r="AM759" i="20"/>
  <c r="AM331" i="20"/>
  <c r="AM332" i="20"/>
  <c r="AM761" i="20"/>
  <c r="AM903" i="20"/>
  <c r="AM386" i="20"/>
  <c r="AM387" i="20"/>
  <c r="AM223" i="20"/>
  <c r="AM225" i="20"/>
  <c r="AM338" i="20"/>
  <c r="AM339" i="20"/>
  <c r="AM820" i="20"/>
  <c r="AM427" i="20"/>
  <c r="AM821" i="20"/>
  <c r="AM428" i="20"/>
  <c r="AM320" i="20"/>
  <c r="AM650" i="20"/>
  <c r="AM617" i="20"/>
  <c r="AM618" i="20"/>
  <c r="AM652" i="20"/>
  <c r="AM324" i="20"/>
  <c r="AM720" i="20"/>
  <c r="AM721" i="20"/>
  <c r="AM436" i="20"/>
  <c r="AM277" i="20"/>
  <c r="AM437" i="20"/>
  <c r="AM438" i="20"/>
  <c r="AM440" i="20"/>
  <c r="AM441" i="20"/>
  <c r="AM394" i="20"/>
  <c r="AM395" i="20"/>
  <c r="AM192" i="20"/>
  <c r="AM154" i="20"/>
  <c r="AM155" i="20"/>
  <c r="AM196" i="20"/>
  <c r="AM863" i="20"/>
  <c r="AM75" i="20"/>
  <c r="AM683" i="20"/>
  <c r="AM864" i="20"/>
  <c r="AM26" i="20"/>
  <c r="AM584" i="20"/>
  <c r="AM310" i="20"/>
  <c r="AM913" i="20"/>
  <c r="AM76" i="20"/>
  <c r="AM447" i="20"/>
  <c r="AM684" i="20"/>
  <c r="AM914" i="20"/>
  <c r="AM448" i="20"/>
  <c r="AM450" i="20"/>
  <c r="AM451" i="20"/>
  <c r="AM585" i="20"/>
  <c r="AM30" i="20"/>
  <c r="AM313" i="20"/>
  <c r="AM626" i="20"/>
  <c r="AM252" i="20"/>
  <c r="AM87" i="20"/>
  <c r="AM254" i="20"/>
  <c r="AM627" i="20"/>
  <c r="AM90" i="20"/>
  <c r="AM49" i="20"/>
  <c r="AM53" i="20"/>
  <c r="AM130" i="20"/>
  <c r="AM525" i="20"/>
  <c r="AM131" i="20"/>
  <c r="AM526" i="20"/>
  <c r="AM692" i="20"/>
  <c r="AM740" i="20"/>
  <c r="AM790" i="20"/>
  <c r="AM798" i="20"/>
  <c r="AM662" i="20"/>
  <c r="AM663" i="20"/>
  <c r="AM742" i="20"/>
  <c r="AM791" i="20"/>
  <c r="AM799" i="20"/>
  <c r="AM746" i="20"/>
  <c r="AM143" i="20"/>
  <c r="AM711" i="20"/>
  <c r="AM704" i="20"/>
  <c r="AM705" i="20"/>
  <c r="AM144" i="20"/>
  <c r="AM712" i="20"/>
  <c r="AM297" i="20"/>
  <c r="AM521" i="20"/>
  <c r="AM883" i="20"/>
  <c r="AM244" i="20"/>
  <c r="AM347" i="20"/>
  <c r="AM184" i="20"/>
  <c r="AM348" i="20"/>
  <c r="AM522" i="20"/>
  <c r="AM299" i="20"/>
  <c r="AM186" i="20"/>
  <c r="AM885" i="20"/>
  <c r="AM246" i="20"/>
  <c r="AM198" i="20"/>
  <c r="AM197" i="20"/>
  <c r="AM849" i="20"/>
  <c r="AM782" i="20"/>
  <c r="AM850" i="20"/>
  <c r="AM783" i="20"/>
  <c r="AM303" i="20"/>
  <c r="AM565" i="20"/>
  <c r="AM258" i="20"/>
  <c r="AM59" i="20"/>
  <c r="AM58" i="20"/>
  <c r="AM306" i="20"/>
  <c r="AM930" i="20"/>
  <c r="AM931" i="20"/>
  <c r="AM553" i="20"/>
  <c r="AM220" i="20"/>
  <c r="AM357" i="20"/>
  <c r="AM356" i="20"/>
  <c r="AM664" i="20"/>
  <c r="AM665" i="20"/>
  <c r="AM227" i="20"/>
  <c r="AM271" i="20"/>
  <c r="AM272" i="20"/>
  <c r="AM597" i="20"/>
  <c r="AM765" i="20"/>
  <c r="AM559" i="20"/>
  <c r="AM541" i="20"/>
  <c r="AM539" i="20"/>
  <c r="AM554" i="20"/>
  <c r="AM555" i="20"/>
  <c r="AM460" i="20"/>
  <c r="AM464" i="20"/>
  <c r="AM465" i="20"/>
  <c r="AM466" i="20"/>
  <c r="AM469" i="20"/>
  <c r="AM588" i="20"/>
  <c r="AM97" i="20"/>
  <c r="AM590" i="20"/>
  <c r="AM100" i="20"/>
  <c r="AM592" i="20"/>
  <c r="AM593" i="20"/>
  <c r="AM361" i="20"/>
  <c r="AM365" i="20"/>
  <c r="AM366" i="20"/>
  <c r="AM367" i="20"/>
  <c r="AM368" i="20"/>
  <c r="AM369" i="20"/>
  <c r="AM372" i="20"/>
  <c r="AM377" i="20"/>
  <c r="AM381" i="20"/>
  <c r="AM382" i="20"/>
  <c r="AM383" i="20"/>
  <c r="AM384" i="20"/>
  <c r="AM599" i="20"/>
  <c r="AM287" i="20"/>
  <c r="AM16" i="20"/>
  <c r="AM60" i="20"/>
  <c r="AM111" i="20"/>
  <c r="AM34" i="20"/>
  <c r="AM7" i="20"/>
  <c r="AM283" i="20"/>
  <c r="AM732" i="20"/>
  <c r="AM753" i="20"/>
  <c r="AM879" i="20"/>
  <c r="AM38" i="20"/>
  <c r="AM568" i="20"/>
  <c r="AM674" i="20"/>
  <c r="AM675" i="20"/>
  <c r="AM677" i="20"/>
  <c r="AM679" i="20"/>
  <c r="AM228" i="20"/>
  <c r="AM506" i="20"/>
  <c r="AM570" i="20"/>
  <c r="AM286" i="20"/>
  <c r="AM734" i="20"/>
  <c r="AM290" i="20"/>
  <c r="AM536" i="20"/>
  <c r="AM880" i="20"/>
  <c r="AM41" i="20"/>
  <c r="AM291" i="20"/>
  <c r="AM42" i="20"/>
  <c r="AM114" i="20"/>
  <c r="AM9" i="20"/>
  <c r="AM571" i="20"/>
  <c r="AM64" i="20"/>
  <c r="AM12" i="20"/>
  <c r="AM13" i="20"/>
  <c r="AM14" i="20"/>
  <c r="AM105" i="20"/>
  <c r="AM231" i="20"/>
  <c r="AM642" i="20"/>
  <c r="AM108" i="20"/>
  <c r="AM109" i="20"/>
  <c r="AM230" i="20"/>
  <c r="AM644" i="20"/>
  <c r="AM645" i="20"/>
  <c r="AM110" i="20"/>
  <c r="AM156" i="20"/>
  <c r="AM544" i="20"/>
  <c r="AM545" i="20"/>
  <c r="AM546" i="20"/>
  <c r="AM159" i="20"/>
  <c r="AM161" i="20"/>
  <c r="AM162" i="20"/>
  <c r="AM163" i="20"/>
  <c r="AM164" i="20"/>
  <c r="AM499" i="20"/>
  <c r="AM906" i="20"/>
  <c r="AM165" i="20"/>
  <c r="AM632" i="20"/>
  <c r="AM609" i="20"/>
  <c r="AM907" i="20"/>
  <c r="AM501" i="20"/>
  <c r="AM610" i="20"/>
  <c r="AM908" i="20"/>
  <c r="AM904" i="20"/>
  <c r="AM762" i="20"/>
  <c r="AM763" i="20"/>
  <c r="AM635" i="20"/>
  <c r="AM333" i="20"/>
  <c r="AM764" i="20"/>
  <c r="AM611" i="20"/>
  <c r="AM531" i="20"/>
  <c r="AM532" i="20"/>
  <c r="AM222" i="20"/>
  <c r="AM224" i="20"/>
  <c r="AM388" i="20"/>
  <c r="AM391" i="20"/>
  <c r="AM392" i="20"/>
  <c r="AM226" i="20"/>
  <c r="AM426" i="20"/>
  <c r="AM816" i="20"/>
  <c r="AM817" i="20"/>
  <c r="AM340" i="20"/>
  <c r="AM181" i="20"/>
  <c r="AM182" i="20"/>
  <c r="AM429" i="20"/>
  <c r="AM238" i="20"/>
  <c r="AM458" i="20"/>
  <c r="AM822" i="20"/>
  <c r="AM318" i="20"/>
  <c r="AM615" i="20"/>
  <c r="AM646" i="20"/>
  <c r="AM647" i="20"/>
  <c r="AM319" i="20"/>
  <c r="AM648" i="20"/>
  <c r="AM651" i="20"/>
  <c r="AM619" i="20"/>
  <c r="AM322" i="20"/>
  <c r="AM620" i="20"/>
  <c r="AM454" i="20"/>
  <c r="AM828" i="20"/>
  <c r="AM829" i="20"/>
  <c r="AM653" i="20"/>
  <c r="AM323" i="20"/>
  <c r="AM455" i="20"/>
  <c r="AM325" i="20"/>
  <c r="AM326" i="20"/>
  <c r="AM894" i="20"/>
  <c r="AM895" i="20"/>
  <c r="AM896" i="20"/>
  <c r="AM831" i="20"/>
  <c r="AM327" i="20"/>
  <c r="AM654" i="20"/>
  <c r="AM655" i="20"/>
  <c r="AM621" i="20"/>
  <c r="AM656" i="20"/>
  <c r="AM897" i="20"/>
  <c r="AM657" i="20"/>
  <c r="AM898" i="20"/>
  <c r="AM602" i="20"/>
  <c r="AM275" i="20"/>
  <c r="AM718" i="20"/>
  <c r="AM434" i="20"/>
  <c r="AM722" i="20"/>
  <c r="AM279" i="20"/>
  <c r="AM442" i="20"/>
  <c r="AM280" i="20"/>
  <c r="AM443" i="20"/>
  <c r="AM726" i="20"/>
  <c r="AM281" i="20"/>
  <c r="AM727" i="20"/>
  <c r="AM728" i="20"/>
  <c r="AM729" i="20"/>
  <c r="AM730" i="20"/>
  <c r="AM578" i="20"/>
  <c r="AM580" i="20"/>
  <c r="AM581" i="20"/>
  <c r="AM775" i="20"/>
  <c r="AM233" i="20"/>
  <c r="AM776" i="20"/>
  <c r="AM582" i="20"/>
  <c r="AM234" i="20"/>
  <c r="AM583" i="20"/>
  <c r="AM151" i="20"/>
  <c r="AM194" i="20"/>
  <c r="AM195" i="20"/>
  <c r="AM556" i="20"/>
  <c r="AM560" i="20"/>
  <c r="AM557" i="20"/>
  <c r="AM563" i="20"/>
  <c r="AM397" i="20"/>
  <c r="AM398" i="20"/>
  <c r="AM399" i="20"/>
  <c r="AM910" i="20"/>
  <c r="AM309" i="20"/>
  <c r="AM21" i="20"/>
  <c r="AM22" i="20"/>
  <c r="AM23" i="20"/>
  <c r="AM444" i="20"/>
  <c r="AM24" i="20"/>
  <c r="AM27" i="20"/>
  <c r="AM449" i="20"/>
  <c r="AM29" i="20"/>
  <c r="AM865" i="20"/>
  <c r="AM312" i="20"/>
  <c r="AM866" i="20"/>
  <c r="AM869" i="20"/>
  <c r="AM314" i="20"/>
  <c r="AM79" i="20"/>
  <c r="AM874" i="20"/>
  <c r="AM870" i="20"/>
  <c r="AM875" i="20"/>
  <c r="AM871" i="20"/>
  <c r="AM586" i="20"/>
  <c r="AM31" i="20"/>
  <c r="AM32" i="20"/>
  <c r="AM876" i="20"/>
  <c r="AM686" i="20"/>
  <c r="AM33" i="20"/>
  <c r="AM80" i="20"/>
  <c r="AM687" i="20"/>
  <c r="AM81" i="20"/>
  <c r="AM872" i="20"/>
  <c r="AM915" i="20"/>
  <c r="AM477" i="20"/>
  <c r="AM83" i="20"/>
  <c r="AM250" i="20"/>
  <c r="AM253" i="20"/>
  <c r="AM88" i="20"/>
  <c r="AM255" i="20"/>
  <c r="AM89" i="20"/>
  <c r="AM487" i="20"/>
  <c r="AM550" i="20"/>
  <c r="AM479" i="20"/>
  <c r="AM489" i="20"/>
  <c r="AM480" i="20"/>
  <c r="AM490" i="20"/>
  <c r="AM481" i="20"/>
  <c r="AM482" i="20"/>
  <c r="AM483" i="20"/>
  <c r="AM491" i="20"/>
  <c r="AM551" i="20"/>
  <c r="AM91" i="20"/>
  <c r="AM256" i="20"/>
  <c r="AM92" i="20"/>
  <c r="AM484" i="20"/>
  <c r="AM48" i="20"/>
  <c r="AM50" i="20"/>
  <c r="AM51" i="20"/>
  <c r="AM52" i="20"/>
  <c r="AM54" i="20"/>
  <c r="AM533" i="20"/>
  <c r="AM535" i="20"/>
  <c r="AM534" i="20"/>
  <c r="AM562" i="20"/>
  <c r="AM127" i="20"/>
  <c r="AM132" i="20"/>
  <c r="AM419" i="20"/>
  <c r="AM767" i="20"/>
  <c r="AM527" i="20"/>
  <c r="AM420" i="20"/>
  <c r="AM421" i="20"/>
  <c r="AM422" i="20"/>
  <c r="AM133" i="20"/>
  <c r="AM423" i="20"/>
  <c r="AM134" i="20"/>
  <c r="AM528" i="20"/>
  <c r="AM135" i="20"/>
  <c r="AM529" i="20"/>
  <c r="AM530" i="20"/>
  <c r="AM837" i="20"/>
  <c r="AM770" i="20"/>
  <c r="AM199" i="20"/>
  <c r="AM690" i="20"/>
  <c r="AM736" i="20"/>
  <c r="AM737" i="20"/>
  <c r="AM738" i="20"/>
  <c r="AM739" i="20"/>
  <c r="AM741" i="20"/>
  <c r="AM743" i="20"/>
  <c r="AM744" i="20"/>
  <c r="AM745" i="20"/>
  <c r="AM693" i="20"/>
  <c r="AM694" i="20"/>
  <c r="AM695" i="20"/>
  <c r="AM747" i="20"/>
  <c r="AM748" i="20"/>
  <c r="AM792" i="20"/>
  <c r="AM203" i="20"/>
  <c r="AM803" i="20"/>
  <c r="AM698" i="20"/>
  <c r="AM204" i="20"/>
  <c r="AM749" i="20"/>
  <c r="AM205" i="20"/>
  <c r="AM218" i="20"/>
  <c r="AM840" i="20"/>
  <c r="AM206" i="20"/>
  <c r="AM699" i="20"/>
  <c r="AM700" i="20"/>
  <c r="AM750" i="20"/>
  <c r="AM804" i="20"/>
  <c r="AM207" i="20"/>
  <c r="AM793" i="20"/>
  <c r="AM800" i="20"/>
  <c r="AM794" i="20"/>
  <c r="AM801" i="20"/>
  <c r="AM751" i="20"/>
  <c r="AM701" i="20"/>
  <c r="AM208" i="20"/>
  <c r="AM209" i="20"/>
  <c r="AM219" i="20"/>
  <c r="AM210" i="20"/>
  <c r="AM702" i="20"/>
  <c r="AM431" i="20"/>
  <c r="AM211" i="20"/>
  <c r="AM139" i="20"/>
  <c r="AM882" i="20"/>
  <c r="AM294" i="20"/>
  <c r="AM295" i="20"/>
  <c r="AM513" i="20"/>
  <c r="AM141" i="20"/>
  <c r="AM516" i="20"/>
  <c r="AM517" i="20"/>
  <c r="AM518" i="20"/>
  <c r="AM519" i="20"/>
  <c r="AM520" i="20"/>
  <c r="AM298" i="20"/>
  <c r="AM245" i="20"/>
  <c r="AM185" i="20"/>
  <c r="AM884" i="20"/>
  <c r="AM268" i="20"/>
  <c r="AM706" i="20"/>
  <c r="AM300" i="20"/>
  <c r="AM121" i="20"/>
  <c r="AM124" i="20"/>
  <c r="AM118" i="20"/>
  <c r="AM187" i="20"/>
  <c r="AM629" i="20"/>
  <c r="AM269" i="20"/>
  <c r="AM149" i="20"/>
  <c r="AM349" i="20"/>
  <c r="AM523" i="20"/>
  <c r="AM188" i="20"/>
  <c r="AM715" i="20"/>
  <c r="AM824" i="20"/>
  <c r="AM716" i="20"/>
  <c r="AM150" i="20"/>
  <c r="AM708" i="20"/>
  <c r="AM350" i="20"/>
  <c r="AM189" i="20"/>
  <c r="AM262" i="20"/>
  <c r="AM263" i="20"/>
  <c r="AM264" i="20"/>
  <c r="AM265" i="20"/>
  <c r="AM779" i="20"/>
  <c r="AM174" i="20"/>
  <c r="AM302" i="20"/>
  <c r="AM94" i="20"/>
  <c r="AM412" i="20"/>
  <c r="AM400" i="20"/>
  <c r="AM413" i="20"/>
  <c r="AM401" i="20"/>
  <c r="AM414" i="20"/>
  <c r="AM402" i="20"/>
  <c r="AM403" i="20"/>
  <c r="AM404" i="20"/>
  <c r="AM847" i="20"/>
  <c r="AM405" i="20"/>
  <c r="AM95" i="20"/>
  <c r="AM407" i="20"/>
  <c r="AM170" i="20"/>
  <c r="AM171" i="20"/>
  <c r="AM433" i="20"/>
  <c r="AM172" i="20"/>
  <c r="AM858" i="20"/>
  <c r="AM68" i="20"/>
  <c r="AM173" i="20"/>
  <c r="AM561" i="20"/>
  <c r="AM573" i="20"/>
  <c r="AM408" i="20"/>
  <c r="AM417" i="20"/>
  <c r="AM409" i="20"/>
  <c r="AM410" i="20"/>
  <c r="AM411" i="20"/>
  <c r="AM305" i="20"/>
  <c r="AM470" i="20"/>
  <c r="AM494" i="20"/>
  <c r="AM101" i="20"/>
  <c r="AM44" i="20"/>
  <c r="AM888" i="20"/>
  <c r="AM916" i="20"/>
  <c r="AM886" i="20"/>
  <c r="AM247" i="20"/>
  <c r="AM137" i="20"/>
  <c r="AM612" i="20"/>
  <c r="AM495" i="20"/>
  <c r="AM102" i="20"/>
  <c r="AM56" i="20"/>
  <c r="AM473" i="20"/>
  <c r="AM471" i="20"/>
  <c r="AM917" i="20"/>
  <c r="AM55" i="20"/>
  <c r="AM6" i="20"/>
  <c r="AM45" i="20"/>
  <c r="AM46" i="20"/>
  <c r="AM889" i="20"/>
  <c r="AM503" i="20"/>
  <c r="AM574" i="20"/>
  <c r="AM887" i="20"/>
  <c r="AM248" i="20"/>
  <c r="AM138" i="20"/>
  <c r="AM307" i="20"/>
  <c r="AM811" i="20"/>
  <c r="AM843" i="20"/>
  <c r="AM566" i="20"/>
  <c r="AM511" i="20"/>
  <c r="AM358" i="20"/>
  <c r="AM359" i="20"/>
  <c r="AM853" i="20"/>
  <c r="AM854" i="20"/>
  <c r="AM259" i="20"/>
  <c r="AM855" i="20"/>
  <c r="AM497" i="20"/>
  <c r="AM493" i="20"/>
  <c r="AM785" i="20"/>
  <c r="AM856" i="20"/>
  <c r="AM857" i="20"/>
  <c r="AM844" i="20"/>
  <c r="AM370" i="20"/>
  <c r="AM380" i="20"/>
  <c r="AM390" i="20"/>
  <c r="AM341" i="20"/>
  <c r="AM724" i="20"/>
  <c r="AM396" i="20"/>
  <c r="AM873" i="20"/>
  <c r="AM867" i="20"/>
  <c r="AM696" i="20"/>
  <c r="AM707" i="20"/>
  <c r="AM147" i="20"/>
  <c r="AM713" i="20"/>
  <c r="AM851" i="20"/>
  <c r="AM784" i="20"/>
  <c r="AM69" i="20"/>
  <c r="AO930" i="20"/>
  <c r="AO931" i="20"/>
  <c r="AO553" i="20"/>
  <c r="AO260" i="20"/>
  <c r="AP260" i="20" s="1"/>
  <c r="AO220" i="20"/>
  <c r="AO357" i="20"/>
  <c r="AO356" i="20"/>
  <c r="AO664" i="20"/>
  <c r="AO665" i="20"/>
  <c r="AO227" i="20"/>
  <c r="AO271" i="20"/>
  <c r="AO272" i="20"/>
  <c r="AO597" i="20"/>
  <c r="AO765" i="20"/>
  <c r="AO71" i="20"/>
  <c r="AO559" i="20"/>
  <c r="AO541" i="20"/>
  <c r="AO539" i="20"/>
  <c r="AO554" i="20"/>
  <c r="AO555" i="20"/>
  <c r="AO460" i="20"/>
  <c r="AO461" i="20"/>
  <c r="AP461" i="20" s="1"/>
  <c r="AO462" i="20"/>
  <c r="AP462" i="20" s="1"/>
  <c r="AO463" i="20"/>
  <c r="AP463" i="20" s="1"/>
  <c r="AO464" i="20"/>
  <c r="AO465" i="20"/>
  <c r="AO466" i="20"/>
  <c r="AO467" i="20"/>
  <c r="AP467" i="20" s="1"/>
  <c r="AO468" i="20"/>
  <c r="AP468" i="20" s="1"/>
  <c r="AO469" i="20"/>
  <c r="AO336" i="20"/>
  <c r="AP336" i="20" s="1"/>
  <c r="AO588" i="20"/>
  <c r="AO97" i="20"/>
  <c r="AO605" i="20"/>
  <c r="AP605" i="20" s="1"/>
  <c r="AO590" i="20"/>
  <c r="AO591" i="20"/>
  <c r="AP591" i="20" s="1"/>
  <c r="AO100" i="20"/>
  <c r="AO592" i="20"/>
  <c r="AO593" i="20"/>
  <c r="AO594" i="20"/>
  <c r="AP594" i="20" s="1"/>
  <c r="AO361" i="20"/>
  <c r="AO362" i="20"/>
  <c r="AP362" i="20" s="1"/>
  <c r="AO363" i="20"/>
  <c r="AP363" i="20" s="1"/>
  <c r="AO364" i="20"/>
  <c r="AP364" i="20" s="1"/>
  <c r="AO365" i="20"/>
  <c r="AO366" i="20"/>
  <c r="AO367" i="20"/>
  <c r="AO368" i="20"/>
  <c r="AO369" i="20"/>
  <c r="AO370" i="20"/>
  <c r="AP370" i="20" s="1"/>
  <c r="AO371" i="20"/>
  <c r="AP371" i="20" s="1"/>
  <c r="AO372" i="20"/>
  <c r="AO376" i="20"/>
  <c r="AP376" i="20" s="1"/>
  <c r="AO377" i="20"/>
  <c r="AO378" i="20"/>
  <c r="AP378" i="20" s="1"/>
  <c r="AO379" i="20"/>
  <c r="AP379" i="20" s="1"/>
  <c r="AO380" i="20"/>
  <c r="AP380" i="20" s="1"/>
  <c r="AO381" i="20"/>
  <c r="AO382" i="20"/>
  <c r="AO383" i="20"/>
  <c r="AO384" i="20"/>
  <c r="AO239" i="20"/>
  <c r="AP239" i="20" s="1"/>
  <c r="AO240" i="20"/>
  <c r="AP240" i="20" s="1"/>
  <c r="AO598" i="20"/>
  <c r="AP598" i="20" s="1"/>
  <c r="AO241" i="20"/>
  <c r="AP241" i="20" s="1"/>
  <c r="AO242" i="20"/>
  <c r="AP242" i="20" s="1"/>
  <c r="AO599" i="20"/>
  <c r="AO287" i="20"/>
  <c r="AO16" i="20"/>
  <c r="AO60" i="20"/>
  <c r="AO111" i="20"/>
  <c r="AO34" i="20"/>
  <c r="AO7" i="20"/>
  <c r="AO283" i="20"/>
  <c r="AO732" i="20"/>
  <c r="AO753" i="20"/>
  <c r="AO879" i="20"/>
  <c r="AO38" i="20"/>
  <c r="AO568" i="20"/>
  <c r="AO670" i="20"/>
  <c r="AP670" i="20" s="1"/>
  <c r="AO672" i="20"/>
  <c r="AP672" i="20" s="1"/>
  <c r="AO673" i="20"/>
  <c r="AP673" i="20" s="1"/>
  <c r="AO505" i="20"/>
  <c r="AP505" i="20" s="1"/>
  <c r="AO674" i="20"/>
  <c r="AO675" i="20"/>
  <c r="AO676" i="20"/>
  <c r="AP676" i="20" s="1"/>
  <c r="AO677" i="20"/>
  <c r="AO678" i="20"/>
  <c r="AP678" i="20" s="1"/>
  <c r="AO679" i="20"/>
  <c r="AO228" i="20"/>
  <c r="AO506" i="20"/>
  <c r="AO570" i="20"/>
  <c r="AO877" i="20"/>
  <c r="AP877" i="20" s="1"/>
  <c r="AO286" i="20"/>
  <c r="AO734" i="20"/>
  <c r="AO290" i="20"/>
  <c r="AO536" i="20"/>
  <c r="AO880" i="20"/>
  <c r="AO41" i="20"/>
  <c r="AO291" i="20"/>
  <c r="AO42" i="20"/>
  <c r="AO114" i="20"/>
  <c r="AO9" i="20"/>
  <c r="AO571" i="20"/>
  <c r="AO19" i="20"/>
  <c r="AP19" i="20" s="1"/>
  <c r="AO62" i="20"/>
  <c r="AP62" i="20" s="1"/>
  <c r="AO115" i="20"/>
  <c r="AP115" i="20" s="1"/>
  <c r="AO10" i="20"/>
  <c r="AP10" i="20" s="1"/>
  <c r="AO292" i="20"/>
  <c r="AP292" i="20" s="1"/>
  <c r="AO20" i="20"/>
  <c r="AP20" i="20" s="1"/>
  <c r="AO63" i="20"/>
  <c r="AP63" i="20" s="1"/>
  <c r="AO70" i="20"/>
  <c r="AP70" i="20" s="1"/>
  <c r="AO116" i="20"/>
  <c r="AP116" i="20" s="1"/>
  <c r="AO37" i="20"/>
  <c r="AP37" i="20" s="1"/>
  <c r="AO537" i="20"/>
  <c r="AP537" i="20" s="1"/>
  <c r="AO11" i="20"/>
  <c r="AP11" i="20" s="1"/>
  <c r="AO43" i="20"/>
  <c r="AP43" i="20" s="1"/>
  <c r="AO572" i="20"/>
  <c r="AP572" i="20" s="1"/>
  <c r="AO64" i="20"/>
  <c r="AO12" i="20"/>
  <c r="AO13" i="20"/>
  <c r="AO14" i="20"/>
  <c r="AO105" i="20"/>
  <c r="AO641" i="20"/>
  <c r="AP641" i="20" s="1"/>
  <c r="AO106" i="20"/>
  <c r="AP106" i="20" s="1"/>
  <c r="AO231" i="20"/>
  <c r="AO642" i="20"/>
  <c r="AO107" i="20"/>
  <c r="AP107" i="20" s="1"/>
  <c r="AO108" i="20"/>
  <c r="AO643" i="20"/>
  <c r="AP643" i="20" s="1"/>
  <c r="AO109" i="20"/>
  <c r="AO230" i="20"/>
  <c r="AO644" i="20"/>
  <c r="AO645" i="20"/>
  <c r="AO110" i="20"/>
  <c r="AO156" i="20"/>
  <c r="AO544" i="20"/>
  <c r="AO158" i="20"/>
  <c r="AP158" i="20" s="1"/>
  <c r="AO545" i="20"/>
  <c r="AO546" i="20"/>
  <c r="AO159" i="20"/>
  <c r="AO160" i="20"/>
  <c r="AP160" i="20" s="1"/>
  <c r="AO161" i="20"/>
  <c r="AO162" i="20"/>
  <c r="AO163" i="20"/>
  <c r="AO164" i="20"/>
  <c r="AO499" i="20"/>
  <c r="AO906" i="20"/>
  <c r="AO165" i="20"/>
  <c r="AO632" i="20"/>
  <c r="AO900" i="20"/>
  <c r="AP900" i="20" s="1"/>
  <c r="AO758" i="20"/>
  <c r="AP758" i="20" s="1"/>
  <c r="AO330" i="20"/>
  <c r="AP330" i="20" s="1"/>
  <c r="AO901" i="20"/>
  <c r="AP901" i="20" s="1"/>
  <c r="AO902" i="20"/>
  <c r="AP902" i="20" s="1"/>
  <c r="AO633" i="20"/>
  <c r="AP633" i="20" s="1"/>
  <c r="AO759" i="20"/>
  <c r="AP759" i="20" s="1"/>
  <c r="AO331" i="20"/>
  <c r="AP331" i="20" s="1"/>
  <c r="AO634" i="20"/>
  <c r="AP634" i="20" s="1"/>
  <c r="AO332" i="20"/>
  <c r="AP332" i="20" s="1"/>
  <c r="AO760" i="20"/>
  <c r="AP760" i="20" s="1"/>
  <c r="AO609" i="20"/>
  <c r="AO907" i="20"/>
  <c r="AO501" i="20"/>
  <c r="AO761" i="20"/>
  <c r="AP761" i="20" s="1"/>
  <c r="AO610" i="20"/>
  <c r="AO908" i="20"/>
  <c r="AO903" i="20"/>
  <c r="AP903" i="20" s="1"/>
  <c r="AO502" i="20"/>
  <c r="AP502" i="20" s="1"/>
  <c r="AO909" i="20"/>
  <c r="AP909" i="20" s="1"/>
  <c r="AO168" i="20"/>
  <c r="AP168" i="20" s="1"/>
  <c r="AO904" i="20"/>
  <c r="AO762" i="20"/>
  <c r="AO763" i="20"/>
  <c r="AO635" i="20"/>
  <c r="AO333" i="20"/>
  <c r="AO764" i="20"/>
  <c r="AO611" i="20"/>
  <c r="AO531" i="20"/>
  <c r="AO532" i="20"/>
  <c r="AO222" i="20"/>
  <c r="AO385" i="20"/>
  <c r="AP385" i="20" s="1"/>
  <c r="AO386" i="20"/>
  <c r="AP386" i="20" s="1"/>
  <c r="AO387" i="20"/>
  <c r="AP387" i="20" s="1"/>
  <c r="AO223" i="20"/>
  <c r="AP223" i="20" s="1"/>
  <c r="AO224" i="20"/>
  <c r="AO388" i="20"/>
  <c r="AO389" i="20"/>
  <c r="AP389" i="20" s="1"/>
  <c r="AO390" i="20"/>
  <c r="AP390" i="20" s="1"/>
  <c r="AO225" i="20"/>
  <c r="AP225" i="20" s="1"/>
  <c r="AO391" i="20"/>
  <c r="AO392" i="20"/>
  <c r="AO226" i="20"/>
  <c r="AO426" i="20"/>
  <c r="AO337" i="20"/>
  <c r="AP337" i="20" s="1"/>
  <c r="AO816" i="20"/>
  <c r="AO817" i="20"/>
  <c r="AO818" i="20"/>
  <c r="AP818" i="20" s="1"/>
  <c r="AO456" i="20"/>
  <c r="AP456" i="20" s="1"/>
  <c r="AO237" i="20"/>
  <c r="AP237" i="20" s="1"/>
  <c r="AO180" i="20"/>
  <c r="AP180" i="20" s="1"/>
  <c r="AO457" i="20"/>
  <c r="AP457" i="20" s="1"/>
  <c r="AO338" i="20"/>
  <c r="AP338" i="20" s="1"/>
  <c r="AO339" i="20"/>
  <c r="AP339" i="20" s="1"/>
  <c r="AO819" i="20"/>
  <c r="AP819" i="20" s="1"/>
  <c r="AO820" i="20"/>
  <c r="AP820" i="20" s="1"/>
  <c r="AO427" i="20"/>
  <c r="AP427" i="20" s="1"/>
  <c r="AO821" i="20"/>
  <c r="AP821" i="20" s="1"/>
  <c r="AO340" i="20"/>
  <c r="AO181" i="20"/>
  <c r="AO341" i="20"/>
  <c r="AP341" i="20" s="1"/>
  <c r="AO428" i="20"/>
  <c r="AP428" i="20" s="1"/>
  <c r="AO342" i="20"/>
  <c r="AP342" i="20" s="1"/>
  <c r="AO182" i="20"/>
  <c r="AO429" i="20"/>
  <c r="AO238" i="20"/>
  <c r="AO458" i="20"/>
  <c r="AO822" i="20"/>
  <c r="AO318" i="20"/>
  <c r="AO615" i="20"/>
  <c r="AO646" i="20"/>
  <c r="AO647" i="20"/>
  <c r="AO319" i="20"/>
  <c r="AO892" i="20"/>
  <c r="AP892" i="20" s="1"/>
  <c r="AO827" i="20"/>
  <c r="AP827" i="20" s="1"/>
  <c r="AO648" i="20"/>
  <c r="AO649" i="20"/>
  <c r="AP649" i="20" s="1"/>
  <c r="AO616" i="20"/>
  <c r="AP616" i="20" s="1"/>
  <c r="AO320" i="20"/>
  <c r="AP320" i="20" s="1"/>
  <c r="AO650" i="20"/>
  <c r="AP650" i="20" s="1"/>
  <c r="AO651" i="20"/>
  <c r="AO617" i="20"/>
  <c r="AP617" i="20" s="1"/>
  <c r="AO321" i="20"/>
  <c r="AP321" i="20" s="1"/>
  <c r="AO618" i="20"/>
  <c r="AP618" i="20" s="1"/>
  <c r="AO652" i="20"/>
  <c r="AP652" i="20" s="1"/>
  <c r="AO619" i="20"/>
  <c r="AO322" i="20"/>
  <c r="AO620" i="20"/>
  <c r="AO454" i="20"/>
  <c r="AO828" i="20"/>
  <c r="AO829" i="20"/>
  <c r="AO653" i="20"/>
  <c r="AO323" i="20"/>
  <c r="AO324" i="20"/>
  <c r="AP324" i="20" s="1"/>
  <c r="AO455" i="20"/>
  <c r="AO893" i="20"/>
  <c r="AP893" i="20" s="1"/>
  <c r="AO830" i="20"/>
  <c r="AP830" i="20" s="1"/>
  <c r="AO325" i="20"/>
  <c r="AO326" i="20"/>
  <c r="AO894" i="20"/>
  <c r="AO895" i="20"/>
  <c r="AO896" i="20"/>
  <c r="AO831" i="20"/>
  <c r="AO327" i="20"/>
  <c r="AO654" i="20"/>
  <c r="AO655" i="20"/>
  <c r="AO621" i="20"/>
  <c r="AO656" i="20"/>
  <c r="AO897" i="20"/>
  <c r="AO657" i="20"/>
  <c r="AO898" i="20"/>
  <c r="AO899" i="20"/>
  <c r="AO600" i="20"/>
  <c r="AP600" i="20" s="1"/>
  <c r="AO601" i="20"/>
  <c r="AP601" i="20" s="1"/>
  <c r="AO595" i="20"/>
  <c r="AP595" i="20" s="1"/>
  <c r="AO596" i="20"/>
  <c r="AP596" i="20" s="1"/>
  <c r="AO602" i="20"/>
  <c r="AO275" i="20"/>
  <c r="AO718" i="20"/>
  <c r="AO719" i="20"/>
  <c r="AP719" i="20" s="1"/>
  <c r="AO434" i="20"/>
  <c r="AO276" i="20"/>
  <c r="AP276" i="20" s="1"/>
  <c r="AO720" i="20"/>
  <c r="AP720" i="20" s="1"/>
  <c r="AO721" i="20"/>
  <c r="AP721" i="20" s="1"/>
  <c r="AO435" i="20"/>
  <c r="AP435" i="20" s="1"/>
  <c r="AO436" i="20"/>
  <c r="AP436" i="20" s="1"/>
  <c r="AO277" i="20"/>
  <c r="AP277" i="20" s="1"/>
  <c r="AO437" i="20"/>
  <c r="AP437" i="20" s="1"/>
  <c r="AO438" i="20"/>
  <c r="AP438" i="20" s="1"/>
  <c r="AO439" i="20"/>
  <c r="AP439" i="20" s="1"/>
  <c r="AO440" i="20"/>
  <c r="AP440" i="20" s="1"/>
  <c r="AO722" i="20"/>
  <c r="AO278" i="20"/>
  <c r="AP278" i="20" s="1"/>
  <c r="AO441" i="20"/>
  <c r="AP441" i="20" s="1"/>
  <c r="AO279" i="20"/>
  <c r="AO442" i="20"/>
  <c r="AO723" i="20"/>
  <c r="AP723" i="20" s="1"/>
  <c r="AO724" i="20"/>
  <c r="AP724" i="20" s="1"/>
  <c r="AO725" i="20"/>
  <c r="AP725" i="20" s="1"/>
  <c r="AO280" i="20"/>
  <c r="AO443" i="20"/>
  <c r="AO726" i="20"/>
  <c r="AO281" i="20"/>
  <c r="AO727" i="20"/>
  <c r="AO728" i="20"/>
  <c r="AO729" i="20"/>
  <c r="AO730" i="20"/>
  <c r="AO773" i="20"/>
  <c r="AP773" i="20" s="1"/>
  <c r="AO232" i="20"/>
  <c r="AP232" i="20" s="1"/>
  <c r="AO577" i="20"/>
  <c r="AP577" i="20" s="1"/>
  <c r="AO578" i="20"/>
  <c r="AO579" i="20"/>
  <c r="AP579" i="20" s="1"/>
  <c r="AO774" i="20"/>
  <c r="AP774" i="20" s="1"/>
  <c r="AO580" i="20"/>
  <c r="AO581" i="20"/>
  <c r="AO775" i="20"/>
  <c r="AO233" i="20"/>
  <c r="AO776" i="20"/>
  <c r="AO582" i="20"/>
  <c r="AO234" i="20"/>
  <c r="AO583" i="20"/>
  <c r="AO235" i="20"/>
  <c r="AO777" i="20"/>
  <c r="AO151" i="20"/>
  <c r="AO393" i="20"/>
  <c r="AP393" i="20" s="1"/>
  <c r="AO190" i="20"/>
  <c r="AP190" i="20" s="1"/>
  <c r="AO153" i="20"/>
  <c r="AP153" i="20" s="1"/>
  <c r="AO394" i="20"/>
  <c r="AP394" i="20" s="1"/>
  <c r="AO395" i="20"/>
  <c r="AP395" i="20" s="1"/>
  <c r="AO191" i="20"/>
  <c r="AP191" i="20" s="1"/>
  <c r="AO192" i="20"/>
  <c r="AP192" i="20" s="1"/>
  <c r="AO154" i="20"/>
  <c r="AP154" i="20" s="1"/>
  <c r="AO155" i="20"/>
  <c r="AP155" i="20" s="1"/>
  <c r="AO193" i="20"/>
  <c r="AP193" i="20" s="1"/>
  <c r="AO194" i="20"/>
  <c r="AO195" i="20"/>
  <c r="AO556" i="20"/>
  <c r="AO560" i="20"/>
  <c r="AO557" i="20"/>
  <c r="AO563" i="20"/>
  <c r="AO396" i="20"/>
  <c r="AP396" i="20" s="1"/>
  <c r="AO196" i="20"/>
  <c r="AP196" i="20" s="1"/>
  <c r="AO397" i="20"/>
  <c r="AO398" i="20"/>
  <c r="AO399" i="20"/>
  <c r="AO910" i="20"/>
  <c r="AO309" i="20"/>
  <c r="AO862" i="20"/>
  <c r="AP862" i="20" s="1"/>
  <c r="AO21" i="20"/>
  <c r="AO22" i="20"/>
  <c r="AO23" i="20"/>
  <c r="AO444" i="20"/>
  <c r="AO912" i="20"/>
  <c r="AP912" i="20" s="1"/>
  <c r="AO681" i="20"/>
  <c r="AP681" i="20" s="1"/>
  <c r="AO682" i="20"/>
  <c r="AP682" i="20" s="1"/>
  <c r="AO73" i="20"/>
  <c r="AP73" i="20" s="1"/>
  <c r="AO74" i="20"/>
  <c r="AP74" i="20" s="1"/>
  <c r="AO24" i="20"/>
  <c r="AO863" i="20"/>
  <c r="AP863" i="20" s="1"/>
  <c r="AO445" i="20"/>
  <c r="AP445" i="20" s="1"/>
  <c r="AO75" i="20"/>
  <c r="AP75" i="20" s="1"/>
  <c r="AO683" i="20"/>
  <c r="AP683" i="20" s="1"/>
  <c r="AO864" i="20"/>
  <c r="AP864" i="20" s="1"/>
  <c r="AO25" i="20"/>
  <c r="AP25" i="20" s="1"/>
  <c r="AO26" i="20"/>
  <c r="AP26" i="20" s="1"/>
  <c r="AO27" i="20"/>
  <c r="AO584" i="20"/>
  <c r="AP584" i="20" s="1"/>
  <c r="AO310" i="20"/>
  <c r="AP310" i="20" s="1"/>
  <c r="AO913" i="20"/>
  <c r="AP913" i="20" s="1"/>
  <c r="AO76" i="20"/>
  <c r="AP76" i="20" s="1"/>
  <c r="AO446" i="20"/>
  <c r="AP446" i="20" s="1"/>
  <c r="AO447" i="20"/>
  <c r="AP447" i="20" s="1"/>
  <c r="AO684" i="20"/>
  <c r="AP684" i="20" s="1"/>
  <c r="AO914" i="20"/>
  <c r="AP914" i="20" s="1"/>
  <c r="AO448" i="20"/>
  <c r="AP448" i="20" s="1"/>
  <c r="AO77" i="20"/>
  <c r="AP77" i="20" s="1"/>
  <c r="AO311" i="20"/>
  <c r="AP311" i="20" s="1"/>
  <c r="AO449" i="20"/>
  <c r="AO450" i="20"/>
  <c r="AP450" i="20" s="1"/>
  <c r="AO28" i="20"/>
  <c r="AP28" i="20" s="1"/>
  <c r="AO29" i="20"/>
  <c r="AO865" i="20"/>
  <c r="AO312" i="20"/>
  <c r="AO78" i="20"/>
  <c r="AP78" i="20" s="1"/>
  <c r="AO685" i="20"/>
  <c r="AP685" i="20" s="1"/>
  <c r="AO866" i="20"/>
  <c r="AO451" i="20"/>
  <c r="AP451" i="20" s="1"/>
  <c r="AO873" i="20"/>
  <c r="AP873" i="20" s="1"/>
  <c r="AO867" i="20"/>
  <c r="AP867" i="20" s="1"/>
  <c r="AO585" i="20"/>
  <c r="AP585" i="20" s="1"/>
  <c r="AO30" i="20"/>
  <c r="AP30" i="20" s="1"/>
  <c r="AO313" i="20"/>
  <c r="AP313" i="20" s="1"/>
  <c r="AO868" i="20"/>
  <c r="AP868" i="20" s="1"/>
  <c r="AO869" i="20"/>
  <c r="AO314" i="20"/>
  <c r="AO79" i="20"/>
  <c r="AO874" i="20"/>
  <c r="AO870" i="20"/>
  <c r="AO875" i="20"/>
  <c r="AO871" i="20"/>
  <c r="AO586" i="20"/>
  <c r="AO31" i="20"/>
  <c r="AO32" i="20"/>
  <c r="AO876" i="20"/>
  <c r="AO686" i="20"/>
  <c r="AO80" i="20"/>
  <c r="AO687" i="20"/>
  <c r="AO81" i="20"/>
  <c r="AO872" i="20"/>
  <c r="AO915" i="20"/>
  <c r="AO476" i="20"/>
  <c r="AP476" i="20" s="1"/>
  <c r="AO486" i="20"/>
  <c r="AP486" i="20" s="1"/>
  <c r="AO477" i="20"/>
  <c r="AO548" i="20"/>
  <c r="AP548" i="20" s="1"/>
  <c r="AO453" i="20"/>
  <c r="AP453" i="20" s="1"/>
  <c r="AO625" i="20"/>
  <c r="AP625" i="20" s="1"/>
  <c r="AO82" i="20"/>
  <c r="AP82" i="20" s="1"/>
  <c r="AO83" i="20"/>
  <c r="AO250" i="20"/>
  <c r="AO251" i="20"/>
  <c r="AP251" i="20" s="1"/>
  <c r="AO84" i="20"/>
  <c r="AP84" i="20" s="1"/>
  <c r="AO85" i="20"/>
  <c r="AP85" i="20" s="1"/>
  <c r="AO626" i="20"/>
  <c r="AP626" i="20" s="1"/>
  <c r="AO252" i="20"/>
  <c r="AP252" i="20" s="1"/>
  <c r="AO253" i="20"/>
  <c r="AO86" i="20"/>
  <c r="AP86" i="20" s="1"/>
  <c r="AO87" i="20"/>
  <c r="AP87" i="20" s="1"/>
  <c r="AO88" i="20"/>
  <c r="AO254" i="20"/>
  <c r="AP254" i="20" s="1"/>
  <c r="AO255" i="20"/>
  <c r="AO89" i="20"/>
  <c r="AO487" i="20"/>
  <c r="AO627" i="20"/>
  <c r="AP627" i="20" s="1"/>
  <c r="AO549" i="20"/>
  <c r="AP549" i="20" s="1"/>
  <c r="AO478" i="20"/>
  <c r="AP478" i="20" s="1"/>
  <c r="AO488" i="20"/>
  <c r="AP488" i="20" s="1"/>
  <c r="AO90" i="20"/>
  <c r="AP90" i="20" s="1"/>
  <c r="AO550" i="20"/>
  <c r="AO479" i="20"/>
  <c r="AO489" i="20"/>
  <c r="AO480" i="20"/>
  <c r="AO490" i="20"/>
  <c r="AO481" i="20"/>
  <c r="AO482" i="20"/>
  <c r="AO483" i="20"/>
  <c r="AO491" i="20"/>
  <c r="AO551" i="20"/>
  <c r="AO91" i="20"/>
  <c r="AO256" i="20"/>
  <c r="AO92" i="20"/>
  <c r="AO484" i="20"/>
  <c r="AO552" i="20"/>
  <c r="AO48" i="20"/>
  <c r="AO49" i="20"/>
  <c r="AP49" i="20" s="1"/>
  <c r="AO50" i="20"/>
  <c r="AO51" i="20"/>
  <c r="AO52" i="20"/>
  <c r="AO53" i="20"/>
  <c r="AP53" i="20" s="1"/>
  <c r="AO54" i="20"/>
  <c r="AO533" i="20"/>
  <c r="AO535" i="20"/>
  <c r="AO534" i="20"/>
  <c r="AO562" i="20"/>
  <c r="AO524" i="20"/>
  <c r="AP524" i="20" s="1"/>
  <c r="AO835" i="20"/>
  <c r="AP835" i="20" s="1"/>
  <c r="AO418" i="20"/>
  <c r="AP418" i="20" s="1"/>
  <c r="AO766" i="20"/>
  <c r="AP766" i="20" s="1"/>
  <c r="AO127" i="20"/>
  <c r="AO128" i="20"/>
  <c r="AP128" i="20" s="1"/>
  <c r="AO129" i="20"/>
  <c r="AP129" i="20" s="1"/>
  <c r="AO130" i="20"/>
  <c r="AP130" i="20" s="1"/>
  <c r="AO525" i="20"/>
  <c r="AP525" i="20" s="1"/>
  <c r="AO131" i="20"/>
  <c r="AP131" i="20" s="1"/>
  <c r="AO132" i="20"/>
  <c r="AO419" i="20"/>
  <c r="AO767" i="20"/>
  <c r="AO768" i="20"/>
  <c r="AP768" i="20" s="1"/>
  <c r="AO769" i="20"/>
  <c r="AP769" i="20" s="1"/>
  <c r="AO526" i="20"/>
  <c r="AP526" i="20" s="1"/>
  <c r="AO836" i="20"/>
  <c r="AP836" i="20" s="1"/>
  <c r="AO527" i="20"/>
  <c r="AO420" i="20"/>
  <c r="AO421" i="20"/>
  <c r="AO422" i="20"/>
  <c r="AO133" i="20"/>
  <c r="AO423" i="20"/>
  <c r="AO134" i="20"/>
  <c r="AO528" i="20"/>
  <c r="AO135" i="20"/>
  <c r="AO529" i="20"/>
  <c r="AO530" i="20"/>
  <c r="AO837" i="20"/>
  <c r="AO770" i="20"/>
  <c r="AO424" i="20"/>
  <c r="AO838" i="20"/>
  <c r="AO771" i="20"/>
  <c r="AO199" i="20"/>
  <c r="AO690" i="20"/>
  <c r="AO788" i="20"/>
  <c r="AP788" i="20" s="1"/>
  <c r="AO796" i="20"/>
  <c r="AP796" i="20" s="1"/>
  <c r="AO200" i="20"/>
  <c r="AP200" i="20" s="1"/>
  <c r="AO215" i="20"/>
  <c r="AP215" i="20" s="1"/>
  <c r="AO839" i="20"/>
  <c r="AP839" i="20" s="1"/>
  <c r="AO691" i="20"/>
  <c r="AP691" i="20" s="1"/>
  <c r="AO430" i="20"/>
  <c r="AP430" i="20" s="1"/>
  <c r="AO802" i="20"/>
  <c r="AP802" i="20" s="1"/>
  <c r="AO661" i="20"/>
  <c r="AP661" i="20" s="1"/>
  <c r="AO736" i="20"/>
  <c r="AO692" i="20"/>
  <c r="AP692" i="20" s="1"/>
  <c r="AO737" i="20"/>
  <c r="AO738" i="20"/>
  <c r="AO739" i="20"/>
  <c r="AO740" i="20"/>
  <c r="AP740" i="20" s="1"/>
  <c r="AO741" i="20"/>
  <c r="AO789" i="20"/>
  <c r="AP789" i="20" s="1"/>
  <c r="AO790" i="20"/>
  <c r="AP790" i="20" s="1"/>
  <c r="AO797" i="20"/>
  <c r="AP797" i="20" s="1"/>
  <c r="AO798" i="20"/>
  <c r="AP798" i="20" s="1"/>
  <c r="AO662" i="20"/>
  <c r="AP662" i="20" s="1"/>
  <c r="AO663" i="20"/>
  <c r="AP663" i="20" s="1"/>
  <c r="AO742" i="20"/>
  <c r="AP742" i="20" s="1"/>
  <c r="AO743" i="20"/>
  <c r="AO744" i="20"/>
  <c r="AO745" i="20"/>
  <c r="AO693" i="20"/>
  <c r="AO216" i="20"/>
  <c r="AP216" i="20" s="1"/>
  <c r="AO694" i="20"/>
  <c r="AO217" i="20"/>
  <c r="AP217" i="20" s="1"/>
  <c r="AO201" i="20"/>
  <c r="AP201" i="20" s="1"/>
  <c r="AO695" i="20"/>
  <c r="AO202" i="20"/>
  <c r="AP202" i="20" s="1"/>
  <c r="AO696" i="20"/>
  <c r="AP696" i="20" s="1"/>
  <c r="AO791" i="20"/>
  <c r="AP791" i="20" s="1"/>
  <c r="AO799" i="20"/>
  <c r="AP799" i="20" s="1"/>
  <c r="AO746" i="20"/>
  <c r="AP746" i="20" s="1"/>
  <c r="AO697" i="20"/>
  <c r="AP697" i="20" s="1"/>
  <c r="AO747" i="20"/>
  <c r="AO748" i="20"/>
  <c r="AO792" i="20"/>
  <c r="AO203" i="20"/>
  <c r="AO803" i="20"/>
  <c r="AO698" i="20"/>
  <c r="AO204" i="20"/>
  <c r="AO749" i="20"/>
  <c r="AO205" i="20"/>
  <c r="AO218" i="20"/>
  <c r="AO840" i="20"/>
  <c r="AO206" i="20"/>
  <c r="AO699" i="20"/>
  <c r="AO700" i="20"/>
  <c r="AO750" i="20"/>
  <c r="AO804" i="20"/>
  <c r="AO207" i="20"/>
  <c r="AO793" i="20"/>
  <c r="AO800" i="20"/>
  <c r="AO794" i="20"/>
  <c r="AO801" i="20"/>
  <c r="AO751" i="20"/>
  <c r="AO701" i="20"/>
  <c r="AO208" i="20"/>
  <c r="AO209" i="20"/>
  <c r="AO219" i="20"/>
  <c r="AO210" i="20"/>
  <c r="AO702" i="20"/>
  <c r="AO431" i="20"/>
  <c r="AO211" i="20"/>
  <c r="AO805" i="20"/>
  <c r="AO841" i="20"/>
  <c r="AO806" i="20"/>
  <c r="AO212" i="20"/>
  <c r="AO807" i="20"/>
  <c r="AO213" i="20"/>
  <c r="AO432" i="20"/>
  <c r="AO139" i="20"/>
  <c r="AO882" i="20"/>
  <c r="AO294" i="20"/>
  <c r="AO295" i="20"/>
  <c r="AO513" i="20"/>
  <c r="AO514" i="20"/>
  <c r="AP514" i="20" s="1"/>
  <c r="AO120" i="20"/>
  <c r="AP120" i="20" s="1"/>
  <c r="AO123" i="20"/>
  <c r="AP123" i="20" s="1"/>
  <c r="AO117" i="20"/>
  <c r="AP117" i="20" s="1"/>
  <c r="AO823" i="20"/>
  <c r="AP823" i="20" s="1"/>
  <c r="AO141" i="20"/>
  <c r="AO142" i="20"/>
  <c r="AP142" i="20" s="1"/>
  <c r="AO703" i="20"/>
  <c r="AP703" i="20" s="1"/>
  <c r="AO267" i="20"/>
  <c r="AP267" i="20" s="1"/>
  <c r="AO710" i="20"/>
  <c r="AP710" i="20" s="1"/>
  <c r="AO516" i="20"/>
  <c r="AO628" i="20"/>
  <c r="AP628" i="20" s="1"/>
  <c r="AO517" i="20"/>
  <c r="AO518" i="20"/>
  <c r="AO519" i="20"/>
  <c r="AO345" i="20"/>
  <c r="AP345" i="20" s="1"/>
  <c r="AO346" i="20"/>
  <c r="AP346" i="20" s="1"/>
  <c r="AO143" i="20"/>
  <c r="AP143" i="20" s="1"/>
  <c r="AO711" i="20"/>
  <c r="AP711" i="20" s="1"/>
  <c r="AO704" i="20"/>
  <c r="AP704" i="20" s="1"/>
  <c r="AO520" i="20"/>
  <c r="AO705" i="20"/>
  <c r="AP705" i="20" s="1"/>
  <c r="AO144" i="20"/>
  <c r="AP144" i="20" s="1"/>
  <c r="AO712" i="20"/>
  <c r="AP712" i="20" s="1"/>
  <c r="AO296" i="20"/>
  <c r="AP296" i="20" s="1"/>
  <c r="AO297" i="20"/>
  <c r="AP297" i="20" s="1"/>
  <c r="AO521" i="20"/>
  <c r="AP521" i="20" s="1"/>
  <c r="AO883" i="20"/>
  <c r="AP883" i="20" s="1"/>
  <c r="AO244" i="20"/>
  <c r="AP244" i="20" s="1"/>
  <c r="AO347" i="20"/>
  <c r="AP347" i="20" s="1"/>
  <c r="AO184" i="20"/>
  <c r="AP184" i="20" s="1"/>
  <c r="AO298" i="20"/>
  <c r="AO348" i="20"/>
  <c r="AP348" i="20" s="1"/>
  <c r="AO245" i="20"/>
  <c r="AO185" i="20"/>
  <c r="AO884" i="20"/>
  <c r="AO268" i="20"/>
  <c r="AO706" i="20"/>
  <c r="AO145" i="20"/>
  <c r="AP145" i="20" s="1"/>
  <c r="AO146" i="20"/>
  <c r="AP146" i="20" s="1"/>
  <c r="AO707" i="20"/>
  <c r="AP707" i="20" s="1"/>
  <c r="AO147" i="20"/>
  <c r="AP147" i="20" s="1"/>
  <c r="AO713" i="20"/>
  <c r="AP713" i="20" s="1"/>
  <c r="AO522" i="20"/>
  <c r="AP522" i="20" s="1"/>
  <c r="AO299" i="20"/>
  <c r="AP299" i="20" s="1"/>
  <c r="AO148" i="20"/>
  <c r="AP148" i="20" s="1"/>
  <c r="AO714" i="20"/>
  <c r="AP714" i="20" s="1"/>
  <c r="AO300" i="20"/>
  <c r="AO186" i="20"/>
  <c r="AP186" i="20" s="1"/>
  <c r="AO885" i="20"/>
  <c r="AP885" i="20" s="1"/>
  <c r="AO246" i="20"/>
  <c r="AP246" i="20" s="1"/>
  <c r="AO121" i="20"/>
  <c r="AO124" i="20"/>
  <c r="AO118" i="20"/>
  <c r="AO187" i="20"/>
  <c r="AO629" i="20"/>
  <c r="AO269" i="20"/>
  <c r="AO149" i="20"/>
  <c r="AO349" i="20"/>
  <c r="AO523" i="20"/>
  <c r="AO188" i="20"/>
  <c r="AO715" i="20"/>
  <c r="AO824" i="20"/>
  <c r="AO716" i="20"/>
  <c r="AO150" i="20"/>
  <c r="AO708" i="20"/>
  <c r="AO350" i="20"/>
  <c r="AO189" i="20"/>
  <c r="AO630" i="20"/>
  <c r="AO825" i="20"/>
  <c r="AO270" i="20"/>
  <c r="AO122" i="20"/>
  <c r="AO125" i="20"/>
  <c r="AO119" i="20"/>
  <c r="AO261" i="20"/>
  <c r="AP261" i="20" s="1"/>
  <c r="AO262" i="20"/>
  <c r="AO263" i="20"/>
  <c r="AO264" i="20"/>
  <c r="AO265" i="20"/>
  <c r="AO266" i="20"/>
  <c r="AO779" i="20"/>
  <c r="AO174" i="20"/>
  <c r="AO302" i="20"/>
  <c r="AO94" i="20"/>
  <c r="AO412" i="20"/>
  <c r="AO400" i="20"/>
  <c r="AO413" i="20"/>
  <c r="AO401" i="20"/>
  <c r="AO414" i="20"/>
  <c r="AO402" i="20"/>
  <c r="AO842" i="20"/>
  <c r="AP842" i="20" s="1"/>
  <c r="AO403" i="20"/>
  <c r="AO404" i="20"/>
  <c r="AO608" i="20"/>
  <c r="AP608" i="20" s="1"/>
  <c r="AO809" i="20"/>
  <c r="AP809" i="20" s="1"/>
  <c r="AO847" i="20"/>
  <c r="AO607" i="20"/>
  <c r="AP607" i="20" s="1"/>
  <c r="AO848" i="20"/>
  <c r="AP848" i="20" s="1"/>
  <c r="AO405" i="20"/>
  <c r="AO95" i="20"/>
  <c r="AO169" i="20"/>
  <c r="AP169" i="20" s="1"/>
  <c r="AO406" i="20"/>
  <c r="AP406" i="20" s="1"/>
  <c r="AO415" i="20"/>
  <c r="AP415" i="20" s="1"/>
  <c r="AO67" i="20"/>
  <c r="AP67" i="20" s="1"/>
  <c r="AO814" i="20"/>
  <c r="AP814" i="20" s="1"/>
  <c r="AO668" i="20"/>
  <c r="AP668" i="20" s="1"/>
  <c r="AO756" i="20"/>
  <c r="AP756" i="20" s="1"/>
  <c r="AO407" i="20"/>
  <c r="AO781" i="20"/>
  <c r="AP781" i="20" s="1"/>
  <c r="AO860" i="20"/>
  <c r="AP860" i="20" s="1"/>
  <c r="AO198" i="20"/>
  <c r="AP198" i="20" s="1"/>
  <c r="AO669" i="20"/>
  <c r="AP669" i="20" s="1"/>
  <c r="AO197" i="20"/>
  <c r="AP197" i="20" s="1"/>
  <c r="AO849" i="20"/>
  <c r="AP849" i="20" s="1"/>
  <c r="AO170" i="20"/>
  <c r="AO782" i="20"/>
  <c r="AP782" i="20" s="1"/>
  <c r="AO850" i="20"/>
  <c r="AP850" i="20" s="1"/>
  <c r="AO783" i="20"/>
  <c r="AP783" i="20" s="1"/>
  <c r="AO303" i="20"/>
  <c r="AP303" i="20" s="1"/>
  <c r="AO565" i="20"/>
  <c r="AP565" i="20" s="1"/>
  <c r="AO171" i="20"/>
  <c r="AO258" i="20"/>
  <c r="AP258" i="20" s="1"/>
  <c r="AO59" i="20"/>
  <c r="AP59" i="20" s="1"/>
  <c r="AO58" i="20"/>
  <c r="AP58" i="20" s="1"/>
  <c r="AO433" i="20"/>
  <c r="AO172" i="20"/>
  <c r="AO858" i="20"/>
  <c r="AO304" i="20"/>
  <c r="AP304" i="20" s="1"/>
  <c r="AO68" i="20"/>
  <c r="AO173" i="20"/>
  <c r="AO561" i="20"/>
  <c r="AO573" i="20"/>
  <c r="AO408" i="20"/>
  <c r="AO417" i="20"/>
  <c r="AO409" i="20"/>
  <c r="AO410" i="20"/>
  <c r="AO411" i="20"/>
  <c r="AO305" i="20"/>
  <c r="AO470" i="20"/>
  <c r="AO815" i="20"/>
  <c r="AP815" i="20" s="1"/>
  <c r="AO494" i="20"/>
  <c r="AO101" i="20"/>
  <c r="AO44" i="20"/>
  <c r="AO888" i="20"/>
  <c r="AO916" i="20"/>
  <c r="AO306" i="20"/>
  <c r="AP306" i="20" s="1"/>
  <c r="AO886" i="20"/>
  <c r="AO247" i="20"/>
  <c r="AO137" i="20"/>
  <c r="AO612" i="20"/>
  <c r="AO495" i="20"/>
  <c r="AO102" i="20"/>
  <c r="AO56" i="20"/>
  <c r="AO473" i="20"/>
  <c r="AO471" i="20"/>
  <c r="AO917" i="20"/>
  <c r="AO55" i="20"/>
  <c r="AO6" i="20"/>
  <c r="AO45" i="20"/>
  <c r="AO46" i="20"/>
  <c r="AO889" i="20"/>
  <c r="AO503" i="20"/>
  <c r="AO574" i="20"/>
  <c r="AO810" i="20"/>
  <c r="AP810" i="20" s="1"/>
  <c r="AO851" i="20"/>
  <c r="AP851" i="20" s="1"/>
  <c r="AO784" i="20"/>
  <c r="AP784" i="20" s="1"/>
  <c r="AO69" i="20"/>
  <c r="AP69" i="20" s="1"/>
  <c r="AO852" i="20"/>
  <c r="AP852" i="20" s="1"/>
  <c r="AO613" i="20"/>
  <c r="AP613" i="20" s="1"/>
  <c r="AO496" i="20"/>
  <c r="AP496" i="20" s="1"/>
  <c r="AO57" i="20"/>
  <c r="AP57" i="20" s="1"/>
  <c r="AO474" i="20"/>
  <c r="AP474" i="20" s="1"/>
  <c r="AO472" i="20"/>
  <c r="AP472" i="20" s="1"/>
  <c r="AO492" i="20"/>
  <c r="AP492" i="20" s="1"/>
  <c r="AO890" i="20"/>
  <c r="AP890" i="20" s="1"/>
  <c r="AO504" i="20"/>
  <c r="AP504" i="20" s="1"/>
  <c r="AO887" i="20"/>
  <c r="AO248" i="20"/>
  <c r="AO138" i="20"/>
  <c r="AO307" i="20"/>
  <c r="AO811" i="20"/>
  <c r="AO843" i="20"/>
  <c r="AO566" i="20"/>
  <c r="AO511" i="20"/>
  <c r="AO358" i="20"/>
  <c r="AO359" i="20"/>
  <c r="AO853" i="20"/>
  <c r="AO854" i="20"/>
  <c r="AO259" i="20"/>
  <c r="AO855" i="20"/>
  <c r="AO497" i="20"/>
  <c r="AO493" i="20"/>
  <c r="AO785" i="20"/>
  <c r="AO856" i="20"/>
  <c r="AO857" i="20"/>
  <c r="AO844" i="20"/>
  <c r="AO845" i="20"/>
  <c r="I1" i="20"/>
  <c r="AQ457" i="20"/>
  <c r="AQ601" i="20"/>
  <c r="AQ595" i="20"/>
  <c r="AQ669" i="20"/>
  <c r="AQ461" i="20"/>
  <c r="AQ362" i="20"/>
  <c r="AQ376" i="20"/>
  <c r="AQ670" i="20"/>
  <c r="AQ641" i="20"/>
  <c r="AQ106" i="20"/>
  <c r="AQ158" i="20"/>
  <c r="AQ900" i="20"/>
  <c r="AQ758" i="20"/>
  <c r="AQ385" i="20"/>
  <c r="AQ337" i="20"/>
  <c r="AQ818" i="20"/>
  <c r="AQ456" i="20"/>
  <c r="AQ237" i="20"/>
  <c r="AQ892" i="20"/>
  <c r="AQ827" i="20"/>
  <c r="AQ600" i="20"/>
  <c r="AQ719" i="20"/>
  <c r="AQ276" i="20"/>
  <c r="AQ773" i="20"/>
  <c r="AQ232" i="20"/>
  <c r="AQ577" i="20"/>
  <c r="AQ393" i="20"/>
  <c r="AQ190" i="20"/>
  <c r="AQ862" i="20"/>
  <c r="AQ476" i="20"/>
  <c r="AQ486" i="20"/>
  <c r="AQ548" i="20"/>
  <c r="AQ625" i="20"/>
  <c r="AQ524" i="20"/>
  <c r="AQ835" i="20"/>
  <c r="AQ418" i="20"/>
  <c r="AQ766" i="20"/>
  <c r="AQ788" i="20"/>
  <c r="AQ796" i="20"/>
  <c r="AQ200" i="20"/>
  <c r="AQ215" i="20"/>
  <c r="AQ839" i="20"/>
  <c r="AQ691" i="20"/>
  <c r="AQ430" i="20"/>
  <c r="AQ802" i="20"/>
  <c r="AQ514" i="20"/>
  <c r="AQ120" i="20"/>
  <c r="AQ123" i="20"/>
  <c r="AQ117" i="20"/>
  <c r="AQ823" i="20"/>
  <c r="AQ142" i="20"/>
  <c r="AQ703" i="20"/>
  <c r="AQ267" i="20"/>
  <c r="AQ710" i="20"/>
  <c r="AQ628" i="20"/>
  <c r="AQ261" i="20"/>
  <c r="AQ842" i="20"/>
  <c r="AQ608" i="20"/>
  <c r="AQ809" i="20"/>
  <c r="AQ607" i="20"/>
  <c r="AQ848" i="20"/>
  <c r="AQ169" i="20"/>
  <c r="AQ406" i="20"/>
  <c r="AQ415" i="20"/>
  <c r="AQ67" i="20"/>
  <c r="AQ814" i="20"/>
  <c r="AQ668" i="20"/>
  <c r="AQ756" i="20"/>
  <c r="AQ260" i="20"/>
  <c r="AQ591" i="20"/>
  <c r="AQ378" i="20"/>
  <c r="AQ877" i="20"/>
  <c r="AQ107" i="20"/>
  <c r="AQ643" i="20"/>
  <c r="AQ278" i="20"/>
  <c r="AQ579" i="20"/>
  <c r="AQ78" i="20"/>
  <c r="AQ685" i="20"/>
  <c r="AQ216" i="20"/>
  <c r="AQ594" i="20"/>
  <c r="AQ371" i="20"/>
  <c r="AQ292" i="20"/>
  <c r="AQ20" i="20"/>
  <c r="AQ63" i="20"/>
  <c r="AQ70" i="20"/>
  <c r="AQ116" i="20"/>
  <c r="AQ37" i="20"/>
  <c r="AQ537" i="20"/>
  <c r="AQ11" i="20"/>
  <c r="AQ43" i="20"/>
  <c r="AQ572" i="20"/>
  <c r="AQ160" i="20"/>
  <c r="AQ634" i="20"/>
  <c r="AQ760" i="20"/>
  <c r="AQ502" i="20"/>
  <c r="AQ909" i="20"/>
  <c r="AQ168" i="20"/>
  <c r="AQ342" i="20"/>
  <c r="AQ321" i="20"/>
  <c r="AQ893" i="20"/>
  <c r="AQ830" i="20"/>
  <c r="AQ439" i="20"/>
  <c r="AQ725" i="20"/>
  <c r="AQ774" i="20"/>
  <c r="AQ681" i="20"/>
  <c r="AQ682" i="20"/>
  <c r="AQ73" i="20"/>
  <c r="AQ74" i="20"/>
  <c r="AQ445" i="20"/>
  <c r="AQ77" i="20"/>
  <c r="AQ311" i="20"/>
  <c r="AQ868" i="20"/>
  <c r="AQ82" i="20"/>
  <c r="AQ549" i="20"/>
  <c r="AQ478" i="20"/>
  <c r="AQ488" i="20"/>
  <c r="AQ128" i="20"/>
  <c r="AQ129" i="20"/>
  <c r="AQ836" i="20"/>
  <c r="AQ697" i="20"/>
  <c r="AQ345" i="20"/>
  <c r="AQ346" i="20"/>
  <c r="AQ148" i="20"/>
  <c r="AQ714" i="20"/>
  <c r="AQ304" i="20"/>
  <c r="AQ852" i="20"/>
  <c r="AQ613" i="20"/>
  <c r="AQ496" i="20"/>
  <c r="AQ57" i="20"/>
  <c r="AQ474" i="20"/>
  <c r="AQ472" i="20"/>
  <c r="AQ492" i="20"/>
  <c r="AQ890" i="20"/>
  <c r="AQ504" i="20"/>
  <c r="AQ239" i="20"/>
  <c r="AQ598" i="20"/>
  <c r="AQ672" i="20"/>
  <c r="AQ505" i="20"/>
  <c r="AQ901" i="20"/>
  <c r="AQ819" i="20"/>
  <c r="AQ435" i="20"/>
  <c r="AQ191" i="20"/>
  <c r="AQ25" i="20"/>
  <c r="AQ446" i="20"/>
  <c r="AQ86" i="20"/>
  <c r="AQ789" i="20"/>
  <c r="AQ797" i="20"/>
  <c r="AQ296" i="20"/>
  <c r="AQ336" i="20"/>
  <c r="AQ605" i="20"/>
  <c r="AQ860" i="20"/>
  <c r="AQ467" i="20"/>
  <c r="AQ379" i="20"/>
  <c r="AQ678" i="20"/>
  <c r="AQ19" i="20"/>
  <c r="AQ62" i="20"/>
  <c r="AQ115" i="20"/>
  <c r="AQ10" i="20"/>
  <c r="AQ389" i="20"/>
  <c r="AQ596" i="20"/>
  <c r="AQ723" i="20"/>
  <c r="AQ193" i="20"/>
  <c r="AQ28" i="20"/>
  <c r="AQ768" i="20"/>
  <c r="AQ769" i="20"/>
  <c r="AQ217" i="20"/>
  <c r="AQ201" i="20"/>
  <c r="AQ202" i="20"/>
  <c r="AQ145" i="20"/>
  <c r="AQ146" i="20"/>
  <c r="AQ815" i="20"/>
  <c r="AQ810" i="20"/>
  <c r="AQ180" i="20"/>
  <c r="AQ153" i="20"/>
  <c r="AQ912" i="20"/>
  <c r="AQ661" i="20"/>
  <c r="AQ781" i="20"/>
  <c r="AQ330" i="20"/>
  <c r="AQ649" i="20"/>
  <c r="AQ616" i="20"/>
  <c r="AQ251" i="20"/>
  <c r="AQ84" i="20"/>
  <c r="AQ85" i="20"/>
  <c r="AQ462" i="20"/>
  <c r="AQ463" i="20"/>
  <c r="AQ468" i="20"/>
  <c r="AQ363" i="20"/>
  <c r="AQ364" i="20"/>
  <c r="AQ240" i="20"/>
  <c r="AQ241" i="20"/>
  <c r="AQ242" i="20"/>
  <c r="AQ673" i="20"/>
  <c r="AQ676" i="20"/>
  <c r="AQ902" i="20"/>
  <c r="AQ633" i="20"/>
  <c r="AQ759" i="20"/>
  <c r="AQ331" i="20"/>
  <c r="AQ332" i="20"/>
  <c r="AQ761" i="20"/>
  <c r="AQ903" i="20"/>
  <c r="AQ386" i="20"/>
  <c r="AQ387" i="20"/>
  <c r="AQ223" i="20"/>
  <c r="AQ225" i="20"/>
  <c r="AQ338" i="20"/>
  <c r="AQ339" i="20"/>
  <c r="AQ820" i="20"/>
  <c r="AQ427" i="20"/>
  <c r="AQ821" i="20"/>
  <c r="AQ428" i="20"/>
  <c r="AQ320" i="20"/>
  <c r="AQ650" i="20"/>
  <c r="AQ617" i="20"/>
  <c r="AQ618" i="20"/>
  <c r="AQ652" i="20"/>
  <c r="AQ324" i="20"/>
  <c r="AQ720" i="20"/>
  <c r="AQ721" i="20"/>
  <c r="AQ436" i="20"/>
  <c r="AQ277" i="20"/>
  <c r="AQ437" i="20"/>
  <c r="AQ438" i="20"/>
  <c r="AQ440" i="20"/>
  <c r="AQ441" i="20"/>
  <c r="AQ394" i="20"/>
  <c r="AQ395" i="20"/>
  <c r="AQ192" i="20"/>
  <c r="AQ154" i="20"/>
  <c r="AQ155" i="20"/>
  <c r="AQ196" i="20"/>
  <c r="AQ863" i="20"/>
  <c r="AQ75" i="20"/>
  <c r="AQ683" i="20"/>
  <c r="AQ864" i="20"/>
  <c r="AQ26" i="20"/>
  <c r="AQ584" i="20"/>
  <c r="AQ310" i="20"/>
  <c r="AQ913" i="20"/>
  <c r="AQ76" i="20"/>
  <c r="AQ447" i="20"/>
  <c r="AQ684" i="20"/>
  <c r="AQ914" i="20"/>
  <c r="AQ448" i="20"/>
  <c r="AQ450" i="20"/>
  <c r="AQ451" i="20"/>
  <c r="AQ585" i="20"/>
  <c r="AQ30" i="20"/>
  <c r="AQ313" i="20"/>
  <c r="AQ626" i="20"/>
  <c r="AQ252" i="20"/>
  <c r="AQ87" i="20"/>
  <c r="AQ254" i="20"/>
  <c r="AQ627" i="20"/>
  <c r="AQ90" i="20"/>
  <c r="AQ130" i="20"/>
  <c r="AQ525" i="20"/>
  <c r="AQ131" i="20"/>
  <c r="AQ526" i="20"/>
  <c r="AQ692" i="20"/>
  <c r="AQ740" i="20"/>
  <c r="AQ790" i="20"/>
  <c r="AQ798" i="20"/>
  <c r="AQ662" i="20"/>
  <c r="AQ663" i="20"/>
  <c r="AQ742" i="20"/>
  <c r="AQ791" i="20"/>
  <c r="AQ799" i="20"/>
  <c r="AQ746" i="20"/>
  <c r="AQ143" i="20"/>
  <c r="AQ711" i="20"/>
  <c r="AQ704" i="20"/>
  <c r="AQ705" i="20"/>
  <c r="AQ144" i="20"/>
  <c r="AQ712" i="20"/>
  <c r="AQ297" i="20"/>
  <c r="AQ521" i="20"/>
  <c r="AQ883" i="20"/>
  <c r="AQ244" i="20"/>
  <c r="AQ347" i="20"/>
  <c r="AQ184" i="20"/>
  <c r="AQ348" i="20"/>
  <c r="AQ522" i="20"/>
  <c r="AQ299" i="20"/>
  <c r="AQ186" i="20"/>
  <c r="AQ885" i="20"/>
  <c r="AQ246" i="20"/>
  <c r="AQ198" i="20"/>
  <c r="AQ197" i="20"/>
  <c r="AQ849" i="20"/>
  <c r="AQ782" i="20"/>
  <c r="AQ850" i="20"/>
  <c r="AQ783" i="20"/>
  <c r="AQ303" i="20"/>
  <c r="AQ565" i="20"/>
  <c r="AQ258" i="20"/>
  <c r="AQ59" i="20"/>
  <c r="AQ58" i="20"/>
  <c r="AQ306" i="20"/>
  <c r="AQ370" i="20"/>
  <c r="AQ380" i="20"/>
  <c r="AQ390" i="20"/>
  <c r="AQ341" i="20"/>
  <c r="AQ724" i="20"/>
  <c r="AQ396" i="20"/>
  <c r="AQ873" i="20"/>
  <c r="AQ867" i="20"/>
  <c r="AQ696" i="20"/>
  <c r="AQ707" i="20"/>
  <c r="AQ147" i="20"/>
  <c r="AQ713" i="20"/>
  <c r="AQ851" i="20"/>
  <c r="AQ784" i="20"/>
  <c r="AQ69" i="20"/>
  <c r="M14" i="43"/>
  <c r="M15" i="43"/>
  <c r="M13" i="43"/>
  <c r="AF28" i="14"/>
  <c r="AF57" i="14"/>
  <c r="AF236" i="14"/>
  <c r="AF29" i="14"/>
  <c r="AF6" i="14"/>
  <c r="AF108" i="14"/>
  <c r="AF133" i="14"/>
  <c r="AF205" i="14"/>
  <c r="AF117" i="14"/>
  <c r="AF128" i="14"/>
  <c r="AF137" i="14"/>
  <c r="AF109" i="14"/>
  <c r="AF86" i="14"/>
  <c r="AF208" i="14"/>
  <c r="AF79" i="14"/>
  <c r="AF76" i="14"/>
  <c r="AF116" i="14"/>
  <c r="AF206" i="14"/>
  <c r="AF118" i="14"/>
  <c r="AF234" i="14"/>
  <c r="AF16" i="14"/>
  <c r="AF202" i="14"/>
  <c r="AF153" i="14"/>
  <c r="AF150" i="14"/>
  <c r="AF155" i="14"/>
  <c r="AF151" i="14"/>
  <c r="AF63" i="14"/>
  <c r="AF200" i="14"/>
  <c r="N12" i="37"/>
  <c r="N13" i="37"/>
  <c r="AS766" i="20"/>
  <c r="AS641" i="20"/>
  <c r="AS802" i="20"/>
  <c r="AS430" i="20"/>
  <c r="AS200" i="20"/>
  <c r="AS215" i="20"/>
  <c r="AS577" i="20"/>
  <c r="AS418" i="20"/>
  <c r="AS261" i="20"/>
  <c r="AS232" i="20"/>
  <c r="AS267" i="20"/>
  <c r="AS773" i="20"/>
  <c r="AS548" i="20"/>
  <c r="AS476" i="20"/>
  <c r="AS486" i="20"/>
  <c r="AS839" i="20"/>
  <c r="AS823" i="20"/>
  <c r="AS892" i="20"/>
  <c r="AS628" i="20"/>
  <c r="AS835" i="20"/>
  <c r="AS120" i="20"/>
  <c r="AS123" i="20"/>
  <c r="AS117" i="20"/>
  <c r="AS842" i="20"/>
  <c r="AS827" i="20"/>
  <c r="AS376" i="20"/>
  <c r="AS393" i="20"/>
  <c r="AS710" i="20"/>
  <c r="AS362" i="20"/>
  <c r="AS385" i="20"/>
  <c r="AS848" i="20"/>
  <c r="AS691" i="20"/>
  <c r="AS337" i="20"/>
  <c r="AS703" i="20"/>
  <c r="AS719" i="20"/>
  <c r="AS142" i="20"/>
  <c r="AS607" i="20"/>
  <c r="AS862" i="20"/>
  <c r="AS796" i="20"/>
  <c r="AS788" i="20"/>
  <c r="AS237" i="20"/>
  <c r="AS456" i="20"/>
  <c r="AS600" i="20"/>
  <c r="AS809" i="20"/>
  <c r="AS608" i="20"/>
  <c r="AS453" i="20"/>
  <c r="AS625" i="20"/>
  <c r="AS524" i="20"/>
  <c r="AS514" i="20"/>
  <c r="AS461" i="20"/>
  <c r="AS169" i="20"/>
  <c r="AS415" i="20"/>
  <c r="AS406" i="20"/>
  <c r="AS670" i="20"/>
  <c r="AS190" i="20"/>
  <c r="AS900" i="20"/>
  <c r="AS818" i="20"/>
  <c r="AS106" i="20"/>
  <c r="AS276" i="20"/>
  <c r="AS668" i="20"/>
  <c r="AS756" i="20"/>
  <c r="AS758" i="20"/>
  <c r="AS814" i="20"/>
  <c r="AS67" i="20"/>
  <c r="AS158" i="20"/>
  <c r="AS336" i="20"/>
  <c r="AS860" i="20"/>
  <c r="AS605" i="20"/>
  <c r="N162" i="86"/>
  <c r="N163" i="86"/>
  <c r="N164" i="86"/>
  <c r="N165" i="86"/>
  <c r="N166" i="86"/>
  <c r="N167" i="86"/>
  <c r="N168" i="86"/>
  <c r="N148" i="86"/>
  <c r="N149" i="86"/>
  <c r="N150" i="86"/>
  <c r="N151" i="86"/>
  <c r="N152" i="86"/>
  <c r="N153" i="86"/>
  <c r="N154" i="86"/>
  <c r="N155" i="86"/>
  <c r="N156" i="86"/>
  <c r="N157" i="86"/>
  <c r="N158" i="86"/>
  <c r="N159" i="86"/>
  <c r="N160" i="86"/>
  <c r="N161" i="86"/>
  <c r="N146" i="86"/>
  <c r="N147" i="86"/>
  <c r="N139" i="86"/>
  <c r="N140" i="86"/>
  <c r="N141" i="86"/>
  <c r="N142" i="86"/>
  <c r="N143" i="86"/>
  <c r="N144" i="86"/>
  <c r="N145" i="86"/>
  <c r="N137" i="86"/>
  <c r="N138" i="86"/>
  <c r="N136" i="86"/>
  <c r="N134" i="86"/>
  <c r="N135" i="86"/>
  <c r="N132" i="86"/>
  <c r="N133" i="86"/>
  <c r="N125" i="86"/>
  <c r="N126" i="86"/>
  <c r="N127" i="86"/>
  <c r="N128" i="86"/>
  <c r="N129" i="86"/>
  <c r="N130" i="86"/>
  <c r="N131" i="86"/>
  <c r="N124" i="86"/>
  <c r="N123" i="86"/>
  <c r="N118" i="86"/>
  <c r="N119" i="86"/>
  <c r="N120" i="86"/>
  <c r="N121" i="86"/>
  <c r="N122" i="86"/>
  <c r="N116" i="86"/>
  <c r="N117" i="86"/>
  <c r="N111" i="86"/>
  <c r="N112" i="86"/>
  <c r="N113" i="86"/>
  <c r="N114" i="86"/>
  <c r="N115" i="86"/>
  <c r="N94" i="86"/>
  <c r="N95" i="86"/>
  <c r="N96" i="86"/>
  <c r="N97" i="86"/>
  <c r="N98" i="86"/>
  <c r="N99" i="86"/>
  <c r="N100" i="86"/>
  <c r="N101" i="86"/>
  <c r="N102" i="86"/>
  <c r="N103" i="86"/>
  <c r="N104" i="86"/>
  <c r="N105" i="86"/>
  <c r="N106" i="86"/>
  <c r="N107" i="86"/>
  <c r="N108" i="86"/>
  <c r="N109" i="86"/>
  <c r="N110" i="86"/>
  <c r="N93" i="86"/>
  <c r="N90" i="86"/>
  <c r="N91" i="86"/>
  <c r="N92" i="86"/>
  <c r="N87" i="86"/>
  <c r="N88" i="86"/>
  <c r="N89" i="86"/>
  <c r="N86" i="86"/>
  <c r="N82" i="86"/>
  <c r="N83" i="86"/>
  <c r="N84" i="86"/>
  <c r="N85" i="86"/>
  <c r="N81" i="86"/>
  <c r="N79" i="86"/>
  <c r="N80" i="86"/>
  <c r="N78" i="86"/>
  <c r="N76" i="86"/>
  <c r="N77" i="86"/>
  <c r="N70" i="86"/>
  <c r="N71" i="86"/>
  <c r="N72" i="86"/>
  <c r="N73" i="86"/>
  <c r="N74" i="86"/>
  <c r="N75" i="86"/>
  <c r="N69" i="86"/>
  <c r="N65" i="86"/>
  <c r="N66" i="86"/>
  <c r="N67" i="86"/>
  <c r="N68" i="86"/>
  <c r="N64" i="86"/>
  <c r="N55" i="86"/>
  <c r="N56" i="86"/>
  <c r="N57" i="86"/>
  <c r="N58" i="86"/>
  <c r="N59" i="86"/>
  <c r="N60" i="86"/>
  <c r="N61" i="86"/>
  <c r="N62" i="86"/>
  <c r="N63" i="86"/>
  <c r="AS704" i="20"/>
  <c r="AS720" i="20"/>
  <c r="AS338" i="20"/>
  <c r="AS143" i="20"/>
  <c r="AS711" i="20"/>
  <c r="AS363" i="20"/>
  <c r="AS692" i="20"/>
  <c r="AS849" i="20"/>
  <c r="AS863" i="20"/>
  <c r="AS394" i="20"/>
  <c r="AS386" i="20"/>
  <c r="AS782" i="20"/>
  <c r="AS742" i="20"/>
  <c r="AS821" i="20"/>
  <c r="AS462" i="20"/>
  <c r="AS914" i="20"/>
  <c r="AS75" i="20"/>
  <c r="AS155" i="20"/>
  <c r="AS348" i="20"/>
  <c r="AS663" i="20"/>
  <c r="AS130" i="20"/>
  <c r="AS652" i="20"/>
  <c r="AS254" i="20"/>
  <c r="AS618" i="20"/>
  <c r="AS450" i="20"/>
  <c r="AS448" i="20"/>
  <c r="AS440" i="20"/>
  <c r="AS438" i="20"/>
  <c r="AS332" i="20"/>
  <c r="AS258" i="20"/>
  <c r="AS683" i="20"/>
  <c r="AS676" i="20"/>
  <c r="AS53" i="20"/>
  <c r="AS242" i="20"/>
  <c r="AS241" i="20"/>
  <c r="AS197" i="20"/>
  <c r="AS59" i="20"/>
  <c r="AS58" i="20"/>
  <c r="AS198" i="20"/>
  <c r="AS437" i="20"/>
  <c r="R1" i="86"/>
  <c r="N2" i="86"/>
  <c r="N3" i="86"/>
  <c r="N4" i="86"/>
  <c r="N5" i="86"/>
  <c r="N6" i="86"/>
  <c r="N7" i="86"/>
  <c r="N8" i="86"/>
  <c r="N9" i="86"/>
  <c r="N10" i="86"/>
  <c r="N11" i="86"/>
  <c r="N12" i="86"/>
  <c r="N13" i="86"/>
  <c r="N14" i="86"/>
  <c r="N15" i="86"/>
  <c r="N16" i="86"/>
  <c r="N17" i="86"/>
  <c r="N18" i="86"/>
  <c r="N19" i="86"/>
  <c r="N20" i="86"/>
  <c r="N21" i="86"/>
  <c r="N22" i="86"/>
  <c r="N23" i="86"/>
  <c r="N24" i="86"/>
  <c r="N25" i="86"/>
  <c r="N26" i="86"/>
  <c r="N27" i="86"/>
  <c r="N28" i="86"/>
  <c r="N29" i="86"/>
  <c r="N30" i="86"/>
  <c r="N31" i="86"/>
  <c r="N32" i="86"/>
  <c r="N33" i="86"/>
  <c r="N34" i="86"/>
  <c r="N35" i="86"/>
  <c r="N36" i="86"/>
  <c r="N37" i="86"/>
  <c r="N38" i="86"/>
  <c r="N39" i="86"/>
  <c r="N40" i="86"/>
  <c r="N41" i="86"/>
  <c r="N42" i="86"/>
  <c r="N43" i="86"/>
  <c r="N44" i="86"/>
  <c r="N45" i="86"/>
  <c r="N46" i="86"/>
  <c r="N47" i="86"/>
  <c r="N48" i="86"/>
  <c r="N49" i="86"/>
  <c r="N50" i="86"/>
  <c r="N51" i="86"/>
  <c r="N52" i="86"/>
  <c r="N53" i="86"/>
  <c r="N54" i="86"/>
  <c r="AS345" i="20"/>
  <c r="AS682" i="20"/>
  <c r="AS74" i="20"/>
  <c r="AS129" i="20"/>
  <c r="AS128" i="20"/>
  <c r="AS73" i="20"/>
  <c r="AS681" i="20"/>
  <c r="AS346" i="20"/>
  <c r="AS82" i="20"/>
  <c r="AS445" i="20"/>
  <c r="AS439" i="20"/>
  <c r="AS77" i="20"/>
  <c r="AS634" i="20"/>
  <c r="AS304" i="20"/>
  <c r="AS311" i="20"/>
  <c r="AS321" i="20"/>
  <c r="AS760" i="20"/>
  <c r="AS260" i="20"/>
  <c r="AS836" i="20"/>
  <c r="AS769" i="20"/>
  <c r="AS768" i="20"/>
  <c r="AS771" i="20"/>
  <c r="AS774" i="20"/>
  <c r="AS777" i="20"/>
  <c r="AS432" i="20"/>
  <c r="AS122" i="20"/>
  <c r="AS125" i="20"/>
  <c r="AS549" i="20"/>
  <c r="AS202" i="20"/>
  <c r="AS201" i="20"/>
  <c r="AS217" i="20"/>
  <c r="AS216" i="20"/>
  <c r="AS478" i="20"/>
  <c r="AS488" i="20"/>
  <c r="AS893" i="20"/>
  <c r="AS830" i="20"/>
  <c r="AS579" i="20"/>
  <c r="AS725" i="20"/>
  <c r="AS723" i="20"/>
  <c r="AS721" i="20"/>
  <c r="AS339" i="20"/>
  <c r="AS342" i="20"/>
  <c r="AS146" i="20"/>
  <c r="AS148" i="20"/>
  <c r="AS144" i="20"/>
  <c r="AS145" i="20"/>
  <c r="AS379" i="20"/>
  <c r="AS378" i="20"/>
  <c r="AS714" i="20"/>
  <c r="AS371" i="20"/>
  <c r="AS697" i="20"/>
  <c r="AS852" i="20"/>
  <c r="AS850" i="20"/>
  <c r="AS868" i="20"/>
  <c r="AS864" i="20"/>
  <c r="AS389" i="20"/>
  <c r="AS783" i="20"/>
  <c r="AS781" i="20"/>
  <c r="AS107" i="20"/>
  <c r="AS180" i="20"/>
  <c r="AS746" i="20"/>
  <c r="AS740" i="20"/>
  <c r="AS299" i="20"/>
  <c r="AS297" i="20"/>
  <c r="AS30" i="20"/>
  <c r="AS26" i="20"/>
  <c r="AS28" i="20"/>
  <c r="AS196" i="20"/>
  <c r="AS192" i="20"/>
  <c r="AS193" i="20"/>
  <c r="AS903" i="20"/>
  <c r="AS902" i="20"/>
  <c r="AS585" i="20"/>
  <c r="AS584" i="20"/>
  <c r="AS820" i="20"/>
  <c r="AS522" i="20"/>
  <c r="AS521" i="20"/>
  <c r="AS526" i="20"/>
  <c r="AS525" i="20"/>
  <c r="AS627" i="20"/>
  <c r="AS626" i="20"/>
  <c r="AS428" i="20"/>
  <c r="AS427" i="20"/>
  <c r="AS468" i="20"/>
  <c r="AS463" i="20"/>
  <c r="AS467" i="20"/>
  <c r="AS791" i="20"/>
  <c r="AS790" i="20"/>
  <c r="AS799" i="20"/>
  <c r="AS798" i="20"/>
  <c r="AS313" i="20"/>
  <c r="AS310" i="20"/>
  <c r="AS324" i="20"/>
  <c r="AS320" i="20"/>
  <c r="AS306" i="20"/>
  <c r="AS303" i="20"/>
  <c r="AS633" i="20"/>
  <c r="AS761" i="20"/>
  <c r="AS759" i="20"/>
  <c r="AS457" i="20"/>
  <c r="AS601" i="20"/>
  <c r="AS810" i="20"/>
  <c r="AS595" i="20"/>
  <c r="AS596" i="20"/>
  <c r="AS613" i="20"/>
  <c r="AS496" i="20"/>
  <c r="AS502" i="20"/>
  <c r="AS57" i="20"/>
  <c r="AS474" i="20"/>
  <c r="AS472" i="20"/>
  <c r="AS594" i="20"/>
  <c r="AS591" i="20"/>
  <c r="AS909" i="20"/>
  <c r="AS492" i="20"/>
  <c r="AS913" i="20"/>
  <c r="AS912" i="20"/>
  <c r="AS78" i="20"/>
  <c r="AS76" i="20"/>
  <c r="AS154" i="20"/>
  <c r="AS153" i="20"/>
  <c r="AS885" i="20"/>
  <c r="AS883" i="20"/>
  <c r="AS246" i="20"/>
  <c r="AS244" i="20"/>
  <c r="AS347" i="20"/>
  <c r="AS661" i="20"/>
  <c r="AS225" i="20"/>
  <c r="AS223" i="20"/>
  <c r="AS186" i="20"/>
  <c r="AS184" i="20"/>
  <c r="AS131" i="20"/>
  <c r="AS650" i="20"/>
  <c r="AS649" i="20"/>
  <c r="AS251" i="20"/>
  <c r="AS252" i="20"/>
  <c r="AS90" i="20"/>
  <c r="AS84" i="20"/>
  <c r="AS85" i="20"/>
  <c r="AS87" i="20"/>
  <c r="AS617" i="20"/>
  <c r="AS616" i="20"/>
  <c r="AS451" i="20"/>
  <c r="AS447" i="20"/>
  <c r="AS441" i="20"/>
  <c r="AS436" i="20"/>
  <c r="AS331" i="20"/>
  <c r="AS330" i="20"/>
  <c r="AS565" i="20"/>
  <c r="AS160" i="20"/>
  <c r="AS685" i="20"/>
  <c r="AS643" i="20"/>
  <c r="AS292" i="20"/>
  <c r="AS20" i="20"/>
  <c r="AS19" i="20"/>
  <c r="AS63" i="20"/>
  <c r="AS62" i="20"/>
  <c r="AS70" i="20"/>
  <c r="AS116" i="20"/>
  <c r="AS115" i="20"/>
  <c r="AS890" i="20"/>
  <c r="AS37" i="20"/>
  <c r="AS537" i="20"/>
  <c r="AS504" i="20"/>
  <c r="AS11" i="20"/>
  <c r="AS10" i="20"/>
  <c r="AS877" i="20"/>
  <c r="AS43" i="20"/>
  <c r="AS168" i="20"/>
  <c r="AS572" i="20"/>
  <c r="AS673" i="20"/>
  <c r="AS678" i="20"/>
  <c r="AS49" i="20"/>
  <c r="AS278" i="20"/>
  <c r="AS277" i="20"/>
  <c r="AS240" i="20"/>
  <c r="AS815" i="20"/>
  <c r="AS669" i="20"/>
  <c r="AS25" i="20"/>
  <c r="AS191" i="20"/>
  <c r="AS296" i="20"/>
  <c r="AS672" i="20"/>
  <c r="AS819" i="20"/>
  <c r="AS901" i="20"/>
  <c r="AS69" i="20"/>
  <c r="AS598" i="20"/>
  <c r="AS505" i="20"/>
  <c r="AS239" i="20"/>
  <c r="AS435" i="20"/>
  <c r="AS446" i="20"/>
  <c r="AS86" i="20"/>
  <c r="AS789" i="20"/>
  <c r="AS797" i="20"/>
  <c r="AS147" i="20"/>
  <c r="AS341" i="20"/>
  <c r="AS370" i="20"/>
  <c r="AS380" i="20"/>
  <c r="AS390" i="20"/>
  <c r="AS396" i="20"/>
  <c r="AS696" i="20"/>
  <c r="AS707" i="20"/>
  <c r="AS713" i="20"/>
  <c r="AS724" i="20"/>
  <c r="AS784" i="20"/>
  <c r="AS851" i="20"/>
  <c r="AS867" i="20"/>
  <c r="AS873" i="20"/>
  <c r="AS364" i="20"/>
  <c r="AS387" i="20"/>
  <c r="AS395" i="20"/>
  <c r="AS662" i="20"/>
  <c r="AS684" i="20"/>
  <c r="AS705" i="20"/>
  <c r="AS712" i="20"/>
  <c r="S231" i="14"/>
  <c r="Z10" i="66"/>
  <c r="AF3" i="66"/>
  <c r="AF4" i="66"/>
  <c r="AF5" i="66"/>
  <c r="AF6" i="66"/>
  <c r="AF7" i="66"/>
  <c r="AF8" i="66"/>
  <c r="AF9" i="66"/>
  <c r="AF10" i="66"/>
  <c r="AF11" i="66"/>
  <c r="AF12" i="66"/>
  <c r="AF13" i="66"/>
  <c r="AF14" i="66"/>
  <c r="AF15" i="66"/>
  <c r="AF16" i="66"/>
  <c r="AF17" i="66"/>
  <c r="AF18" i="66"/>
  <c r="AF19" i="66"/>
  <c r="AF20" i="66"/>
  <c r="AF21" i="66"/>
  <c r="AF22" i="66"/>
  <c r="AF23" i="66"/>
  <c r="AE3" i="66"/>
  <c r="AE4" i="66"/>
  <c r="AE5" i="66"/>
  <c r="AE6" i="66"/>
  <c r="AE7" i="66"/>
  <c r="AE8" i="66"/>
  <c r="AE9" i="66"/>
  <c r="AE10" i="66"/>
  <c r="AE11" i="66"/>
  <c r="AE12" i="66"/>
  <c r="AE13" i="66"/>
  <c r="AE14" i="66"/>
  <c r="AE15" i="66"/>
  <c r="AE16" i="66"/>
  <c r="AE17" i="66"/>
  <c r="AE18" i="66"/>
  <c r="AE19" i="66"/>
  <c r="AE20" i="66"/>
  <c r="AE21" i="66"/>
  <c r="AE22" i="66"/>
  <c r="AE23" i="66"/>
  <c r="M12" i="37"/>
  <c r="M13" i="37"/>
  <c r="L12" i="37"/>
  <c r="L13" i="37"/>
  <c r="K12" i="37"/>
  <c r="K13" i="37"/>
  <c r="C3" i="77"/>
  <c r="C2" i="77" s="1"/>
  <c r="S38" i="14"/>
  <c r="S37" i="14"/>
  <c r="B15" i="37"/>
  <c r="C15" i="37"/>
  <c r="C14" i="36"/>
  <c r="F14" i="36"/>
  <c r="G14" i="36"/>
  <c r="H14" i="36"/>
  <c r="I14" i="36"/>
  <c r="J14" i="36"/>
  <c r="X10" i="66"/>
  <c r="Y10" i="66"/>
  <c r="AG10" i="66"/>
  <c r="S220" i="14"/>
  <c r="S91" i="14"/>
  <c r="S178" i="14"/>
  <c r="S218" i="14"/>
  <c r="S57" i="14"/>
  <c r="S16" i="14"/>
  <c r="S15" i="14"/>
  <c r="S17" i="14"/>
  <c r="S105" i="14"/>
  <c r="S104" i="14"/>
  <c r="S233" i="14"/>
  <c r="S140" i="14"/>
  <c r="S237" i="14"/>
  <c r="S20" i="14"/>
  <c r="S71" i="14"/>
  <c r="S144" i="14"/>
  <c r="S72" i="14"/>
  <c r="S62" i="14"/>
  <c r="S152" i="14"/>
  <c r="S160" i="14"/>
  <c r="S184" i="14"/>
  <c r="S175" i="14"/>
  <c r="S147" i="14"/>
  <c r="S164" i="14"/>
  <c r="S36" i="14"/>
  <c r="S39" i="14"/>
  <c r="S166" i="14"/>
  <c r="S154" i="14"/>
  <c r="S165" i="14"/>
  <c r="S181" i="14"/>
  <c r="S138" i="14"/>
  <c r="S240" i="14"/>
  <c r="S185" i="14"/>
  <c r="S132" i="14"/>
  <c r="S131" i="14"/>
  <c r="S26" i="14"/>
  <c r="S134" i="14"/>
  <c r="S130" i="14"/>
  <c r="S14" i="14"/>
  <c r="S120" i="14"/>
  <c r="S119" i="14"/>
  <c r="S124" i="14"/>
  <c r="S121" i="14"/>
  <c r="S126" i="14"/>
  <c r="S122" i="14"/>
  <c r="S123" i="14"/>
  <c r="S125" i="14"/>
  <c r="S232" i="14"/>
  <c r="S194" i="14"/>
  <c r="S207" i="14"/>
  <c r="S129" i="14"/>
  <c r="S90" i="14"/>
  <c r="S204" i="14"/>
  <c r="S223" i="14"/>
  <c r="S21" i="14"/>
  <c r="S113" i="14"/>
  <c r="S77" i="14"/>
  <c r="S28" i="14"/>
  <c r="S13" i="14"/>
  <c r="S5" i="14"/>
  <c r="S11" i="14"/>
  <c r="S241" i="14"/>
  <c r="S135" i="14"/>
  <c r="S44" i="14"/>
  <c r="S246" i="14"/>
  <c r="S143" i="14"/>
  <c r="S159" i="14"/>
  <c r="D17" i="43"/>
  <c r="D18" i="43"/>
  <c r="D19" i="43"/>
  <c r="X3" i="66"/>
  <c r="Y3" i="66"/>
  <c r="AG3" i="66"/>
  <c r="Z3" i="66" s="1"/>
  <c r="C9" i="37"/>
  <c r="C11" i="37"/>
  <c r="C12" i="37"/>
  <c r="C13" i="37"/>
  <c r="C14" i="37"/>
  <c r="C16" i="37"/>
  <c r="C17" i="37"/>
  <c r="C18" i="37"/>
  <c r="C19" i="37"/>
  <c r="C20" i="37"/>
  <c r="C21" i="37"/>
  <c r="C23" i="37"/>
  <c r="C24" i="37"/>
  <c r="C25" i="37"/>
  <c r="C26" i="37"/>
  <c r="C27" i="37"/>
  <c r="C28" i="37"/>
  <c r="C8" i="37"/>
  <c r="B9" i="37"/>
  <c r="B10" i="37"/>
  <c r="B11" i="37"/>
  <c r="B12" i="37"/>
  <c r="B13" i="37"/>
  <c r="B14" i="37"/>
  <c r="B16" i="37"/>
  <c r="B17" i="37"/>
  <c r="B18" i="37"/>
  <c r="B19" i="37"/>
  <c r="B20" i="37"/>
  <c r="B21" i="37"/>
  <c r="B22" i="37"/>
  <c r="B23" i="37"/>
  <c r="B24" i="37"/>
  <c r="B25" i="37"/>
  <c r="B26" i="37"/>
  <c r="B27" i="37"/>
  <c r="B28" i="37"/>
  <c r="B8" i="37"/>
  <c r="B10" i="36"/>
  <c r="B11" i="36"/>
  <c r="B13" i="36"/>
  <c r="N13" i="36" s="1"/>
  <c r="AA9" i="66" s="1"/>
  <c r="B15" i="36"/>
  <c r="N15" i="36" s="1"/>
  <c r="AA11" i="66" s="1"/>
  <c r="B16" i="36"/>
  <c r="N16" i="36" s="1"/>
  <c r="AA12" i="66" s="1"/>
  <c r="B17" i="36"/>
  <c r="N17" i="36" s="1"/>
  <c r="AA13" i="66" s="1"/>
  <c r="B18" i="36"/>
  <c r="N18" i="36" s="1"/>
  <c r="AA14" i="66" s="1"/>
  <c r="B19" i="36"/>
  <c r="N19" i="36" s="1"/>
  <c r="AA15" i="66" s="1"/>
  <c r="B20" i="36"/>
  <c r="N20" i="36" s="1"/>
  <c r="AA16" i="66" s="1"/>
  <c r="B21" i="36"/>
  <c r="N21" i="36" s="1"/>
  <c r="AA17" i="66" s="1"/>
  <c r="B22" i="36"/>
  <c r="N22" i="36" s="1"/>
  <c r="AA18" i="66" s="1"/>
  <c r="B23" i="36"/>
  <c r="N23" i="36" s="1"/>
  <c r="AA19" i="66" s="1"/>
  <c r="B24" i="36"/>
  <c r="N24" i="36" s="1"/>
  <c r="AA20" i="66" s="1"/>
  <c r="B25" i="36"/>
  <c r="N25" i="36" s="1"/>
  <c r="AA21" i="66" s="1"/>
  <c r="B26" i="36"/>
  <c r="N26" i="36" s="1"/>
  <c r="AA22" i="66" s="1"/>
  <c r="B27" i="36"/>
  <c r="N27" i="36" s="1"/>
  <c r="AA23" i="66" s="1"/>
  <c r="C17" i="36"/>
  <c r="C18" i="36"/>
  <c r="C19" i="36"/>
  <c r="C20" i="36"/>
  <c r="C22" i="36"/>
  <c r="C23" i="36"/>
  <c r="C24" i="36"/>
  <c r="C25" i="36"/>
  <c r="C26" i="36"/>
  <c r="C27" i="36"/>
  <c r="C8" i="36"/>
  <c r="C10" i="36"/>
  <c r="C12" i="36"/>
  <c r="C13" i="36"/>
  <c r="C15" i="36"/>
  <c r="C16" i="36"/>
  <c r="Y4" i="66"/>
  <c r="Y5" i="66"/>
  <c r="Y6" i="66"/>
  <c r="Y7" i="66"/>
  <c r="Y8" i="66"/>
  <c r="Y9" i="66"/>
  <c r="Y11" i="66"/>
  <c r="Y12" i="66"/>
  <c r="Y13" i="66"/>
  <c r="Y14" i="66"/>
  <c r="Y15" i="66"/>
  <c r="Y16" i="66"/>
  <c r="Y18" i="66"/>
  <c r="Y19" i="66"/>
  <c r="Y20" i="66"/>
  <c r="Y21" i="66"/>
  <c r="Y22" i="66"/>
  <c r="Y23" i="66"/>
  <c r="X4" i="66"/>
  <c r="X5" i="66"/>
  <c r="X6" i="66"/>
  <c r="X7" i="66"/>
  <c r="X8" i="66"/>
  <c r="X9" i="66"/>
  <c r="X11" i="66"/>
  <c r="X12" i="66"/>
  <c r="X13" i="66"/>
  <c r="X14" i="66"/>
  <c r="X15" i="66"/>
  <c r="X16" i="66"/>
  <c r="X17" i="66"/>
  <c r="X18" i="66"/>
  <c r="X19" i="66"/>
  <c r="X20" i="66"/>
  <c r="X21" i="66"/>
  <c r="X22" i="66"/>
  <c r="X23" i="66"/>
  <c r="AG4" i="66"/>
  <c r="Z4" i="66" s="1"/>
  <c r="AG5" i="66"/>
  <c r="Z5" i="66" s="1"/>
  <c r="AG6" i="66"/>
  <c r="Z6" i="66" s="1"/>
  <c r="AG7" i="66"/>
  <c r="Z7" i="66" s="1"/>
  <c r="AG8" i="66"/>
  <c r="AG9" i="66"/>
  <c r="Z9" i="66" s="1"/>
  <c r="AG11" i="66"/>
  <c r="Z11" i="66" s="1"/>
  <c r="AG12" i="66"/>
  <c r="Z12" i="66" s="1"/>
  <c r="AG13" i="66"/>
  <c r="Z13" i="66" s="1"/>
  <c r="AG14" i="66"/>
  <c r="Z14" i="66" s="1"/>
  <c r="AG15" i="66"/>
  <c r="Z15" i="66" s="1"/>
  <c r="AG16" i="66"/>
  <c r="Z16" i="66" s="1"/>
  <c r="AG17" i="66"/>
  <c r="Z17" i="66" s="1"/>
  <c r="AG18" i="66"/>
  <c r="Z18" i="66" s="1"/>
  <c r="AG19" i="66"/>
  <c r="Z19" i="66" s="1"/>
  <c r="AG20" i="66"/>
  <c r="Z20" i="66" s="1"/>
  <c r="AG22" i="66"/>
  <c r="Z22" i="66" s="1"/>
  <c r="AG23" i="66"/>
  <c r="Z23" i="66" s="1"/>
  <c r="N53" i="37"/>
  <c r="M53" i="37"/>
  <c r="J53" i="37"/>
  <c r="I53" i="37"/>
  <c r="F53" i="37"/>
  <c r="E53" i="37"/>
  <c r="C53" i="37"/>
  <c r="B53" i="37"/>
  <c r="N52" i="37"/>
  <c r="M52" i="37"/>
  <c r="J52" i="37"/>
  <c r="I52" i="37"/>
  <c r="F52" i="37"/>
  <c r="E52" i="37"/>
  <c r="C52" i="37"/>
  <c r="B52" i="37"/>
  <c r="N51" i="37"/>
  <c r="M51" i="37"/>
  <c r="J51" i="37"/>
  <c r="I51" i="37"/>
  <c r="F51" i="37"/>
  <c r="E51" i="37"/>
  <c r="C51" i="37"/>
  <c r="B51" i="37"/>
  <c r="N50" i="37"/>
  <c r="M50" i="37"/>
  <c r="J50" i="37"/>
  <c r="I50" i="37"/>
  <c r="F50" i="37"/>
  <c r="E50" i="37"/>
  <c r="C50" i="37"/>
  <c r="B50" i="37"/>
  <c r="N49" i="37"/>
  <c r="M49" i="37"/>
  <c r="J49" i="37"/>
  <c r="I49" i="37"/>
  <c r="F49" i="37"/>
  <c r="E49" i="37"/>
  <c r="C49" i="37"/>
  <c r="B49" i="37"/>
  <c r="N48" i="37"/>
  <c r="M48" i="37"/>
  <c r="J48" i="37"/>
  <c r="I48" i="37"/>
  <c r="F48" i="37"/>
  <c r="E48" i="37"/>
  <c r="C48" i="37"/>
  <c r="B48" i="37"/>
  <c r="N47" i="37"/>
  <c r="M47" i="37"/>
  <c r="J47" i="37"/>
  <c r="I47" i="37"/>
  <c r="F47" i="37"/>
  <c r="E47" i="37"/>
  <c r="B47" i="37"/>
  <c r="N46" i="37"/>
  <c r="M46" i="37"/>
  <c r="J46" i="37"/>
  <c r="I46" i="37"/>
  <c r="F46" i="37"/>
  <c r="E46" i="37"/>
  <c r="C46" i="37"/>
  <c r="B46" i="37"/>
  <c r="N45" i="37"/>
  <c r="M45" i="37"/>
  <c r="J45" i="37"/>
  <c r="I45" i="37"/>
  <c r="F45" i="37"/>
  <c r="E45" i="37"/>
  <c r="C45" i="37"/>
  <c r="B45" i="37"/>
  <c r="N44" i="37"/>
  <c r="M44" i="37"/>
  <c r="J44" i="37"/>
  <c r="I44" i="37"/>
  <c r="F44" i="37"/>
  <c r="E44" i="37"/>
  <c r="C44" i="37"/>
  <c r="B44" i="37"/>
  <c r="N43" i="37"/>
  <c r="M43" i="37"/>
  <c r="J43" i="37"/>
  <c r="I43" i="37"/>
  <c r="F43" i="37"/>
  <c r="E43" i="37"/>
  <c r="C43" i="37"/>
  <c r="B43" i="37"/>
  <c r="N42" i="37"/>
  <c r="M42" i="37"/>
  <c r="J42" i="37"/>
  <c r="I42" i="37"/>
  <c r="F42" i="37"/>
  <c r="E42" i="37"/>
  <c r="C42" i="37"/>
  <c r="B42" i="37"/>
  <c r="N41" i="37"/>
  <c r="M41" i="37"/>
  <c r="J41" i="37"/>
  <c r="I41" i="37"/>
  <c r="F41" i="37"/>
  <c r="E41" i="37"/>
  <c r="C41" i="37"/>
  <c r="B41" i="37"/>
  <c r="N40" i="37"/>
  <c r="M40" i="37"/>
  <c r="J40" i="37"/>
  <c r="I40" i="37"/>
  <c r="F40" i="37"/>
  <c r="E40" i="37"/>
  <c r="C40" i="37"/>
  <c r="B40" i="37"/>
  <c r="N39" i="37"/>
  <c r="M39" i="37"/>
  <c r="L39" i="37"/>
  <c r="J39" i="37"/>
  <c r="I39" i="37"/>
  <c r="H39" i="37"/>
  <c r="F39" i="37"/>
  <c r="E39" i="37"/>
  <c r="D39" i="37"/>
  <c r="C39" i="37"/>
  <c r="B39" i="37"/>
  <c r="N38" i="37"/>
  <c r="M38" i="37"/>
  <c r="L38" i="37"/>
  <c r="J38" i="37"/>
  <c r="I38" i="37"/>
  <c r="H38" i="37"/>
  <c r="F38" i="37"/>
  <c r="E38" i="37"/>
  <c r="D38" i="37"/>
  <c r="C38" i="37"/>
  <c r="B38" i="37"/>
  <c r="N37" i="37"/>
  <c r="M37" i="37"/>
  <c r="J37" i="37"/>
  <c r="I37" i="37"/>
  <c r="F37" i="37"/>
  <c r="E37" i="37"/>
  <c r="C37" i="37"/>
  <c r="B37" i="37"/>
  <c r="N36" i="37"/>
  <c r="M36" i="37"/>
  <c r="J36" i="37"/>
  <c r="I36" i="37"/>
  <c r="F36" i="37"/>
  <c r="E36" i="37"/>
  <c r="B36" i="37"/>
  <c r="N35" i="37"/>
  <c r="M35" i="37"/>
  <c r="J35" i="37"/>
  <c r="I35" i="37"/>
  <c r="F35" i="37"/>
  <c r="E35" i="37"/>
  <c r="C35" i="37"/>
  <c r="B35" i="37"/>
  <c r="N34" i="37"/>
  <c r="M34" i="37"/>
  <c r="J34" i="37"/>
  <c r="I34" i="37"/>
  <c r="F34" i="37"/>
  <c r="E34" i="37"/>
  <c r="C34" i="37"/>
  <c r="B34" i="37"/>
  <c r="D12" i="37"/>
  <c r="F12" i="37"/>
  <c r="G12" i="37"/>
  <c r="H12" i="37"/>
  <c r="I12" i="37"/>
  <c r="J12" i="37"/>
  <c r="D13" i="37"/>
  <c r="F13" i="37"/>
  <c r="G13" i="37"/>
  <c r="H13" i="37"/>
  <c r="I13" i="37"/>
  <c r="J13" i="37"/>
  <c r="F8" i="36"/>
  <c r="H8" i="36"/>
  <c r="I8" i="36"/>
  <c r="J8" i="36"/>
  <c r="F9" i="36"/>
  <c r="H9" i="36"/>
  <c r="I9" i="36"/>
  <c r="J9" i="36"/>
  <c r="G10" i="36"/>
  <c r="H10" i="36"/>
  <c r="I10" i="36"/>
  <c r="J10" i="36"/>
  <c r="F11" i="36"/>
  <c r="G11" i="36"/>
  <c r="H11" i="36"/>
  <c r="I11" i="36"/>
  <c r="J11" i="36"/>
  <c r="F12" i="36"/>
  <c r="G12" i="36"/>
  <c r="H12" i="36"/>
  <c r="I12" i="36"/>
  <c r="J12" i="36"/>
  <c r="F13" i="36"/>
  <c r="H13" i="36"/>
  <c r="I13" i="36"/>
  <c r="J13" i="36"/>
  <c r="F15" i="36"/>
  <c r="H15" i="36"/>
  <c r="I15" i="36"/>
  <c r="J15" i="36"/>
  <c r="F16" i="36"/>
  <c r="H16" i="36"/>
  <c r="I16" i="36"/>
  <c r="J16" i="36"/>
  <c r="F17" i="36"/>
  <c r="H17" i="36"/>
  <c r="I17" i="36"/>
  <c r="J17" i="36"/>
  <c r="F18" i="36"/>
  <c r="G18" i="36"/>
  <c r="H18" i="36"/>
  <c r="I18" i="36"/>
  <c r="J18" i="36"/>
  <c r="F19" i="36"/>
  <c r="H19" i="36"/>
  <c r="I19" i="36"/>
  <c r="J19" i="36"/>
  <c r="F20" i="36"/>
  <c r="G20" i="36"/>
  <c r="H20" i="36"/>
  <c r="I20" i="36"/>
  <c r="J20" i="36"/>
  <c r="F21" i="36"/>
  <c r="G21" i="36"/>
  <c r="H21" i="36"/>
  <c r="I21" i="36"/>
  <c r="J21" i="36"/>
  <c r="F22" i="36"/>
  <c r="H22" i="36"/>
  <c r="I22" i="36"/>
  <c r="J22" i="36"/>
  <c r="F23" i="36"/>
  <c r="G23" i="36"/>
  <c r="H23" i="36"/>
  <c r="I23" i="36"/>
  <c r="J23" i="36"/>
  <c r="F24" i="36"/>
  <c r="G24" i="36"/>
  <c r="H24" i="36"/>
  <c r="I24" i="36"/>
  <c r="J24" i="36"/>
  <c r="F25" i="36"/>
  <c r="H25" i="36"/>
  <c r="I25" i="36"/>
  <c r="J25" i="36"/>
  <c r="F26" i="36"/>
  <c r="G26" i="36"/>
  <c r="H26" i="36"/>
  <c r="I26" i="36"/>
  <c r="J26" i="36"/>
  <c r="F27" i="36"/>
  <c r="H27" i="36"/>
  <c r="I27" i="36"/>
  <c r="J27" i="36"/>
  <c r="S148" i="14"/>
  <c r="AQ34" i="40"/>
  <c r="AE24" i="66"/>
  <c r="AF24" i="66"/>
  <c r="D16" i="43"/>
  <c r="D15" i="43"/>
  <c r="D14" i="43"/>
  <c r="E14" i="43" s="1"/>
  <c r="D13" i="43"/>
  <c r="E13" i="43" s="1"/>
  <c r="J7" i="36"/>
  <c r="I7" i="36"/>
  <c r="H7" i="36"/>
  <c r="F7" i="36"/>
  <c r="E38" i="40"/>
  <c r="D37" i="40"/>
  <c r="E37" i="40"/>
  <c r="E39" i="40"/>
  <c r="D39" i="40"/>
  <c r="D38" i="40"/>
  <c r="N11" i="36" l="1"/>
  <c r="AA7" i="66" s="1"/>
  <c r="I13" i="43"/>
  <c r="Z922" i="20"/>
  <c r="AB922" i="20"/>
  <c r="AD922" i="20"/>
  <c r="AF922" i="20"/>
  <c r="AH922" i="20"/>
  <c r="AJ922" i="20"/>
  <c r="AL922" i="20"/>
  <c r="AN922" i="20"/>
  <c r="Z923" i="20"/>
  <c r="AB923" i="20"/>
  <c r="AD923" i="20"/>
  <c r="AF923" i="20"/>
  <c r="AH923" i="20"/>
  <c r="AJ923" i="20"/>
  <c r="AL923" i="20"/>
  <c r="AN923" i="20"/>
  <c r="Y922" i="20"/>
  <c r="AA922" i="20"/>
  <c r="AC922" i="20"/>
  <c r="AE922" i="20"/>
  <c r="AG922" i="20"/>
  <c r="AI922" i="20"/>
  <c r="AK922" i="20"/>
  <c r="Y923" i="20"/>
  <c r="AA923" i="20"/>
  <c r="AC923" i="20"/>
  <c r="AE923" i="20"/>
  <c r="AG923" i="20"/>
  <c r="AI923" i="20"/>
  <c r="AK923" i="20"/>
  <c r="AB924" i="20"/>
  <c r="AF924" i="20"/>
  <c r="AJ924" i="20"/>
  <c r="AN924" i="20"/>
  <c r="AA924" i="20"/>
  <c r="AE924" i="20"/>
  <c r="AI924" i="20"/>
  <c r="Y924" i="20"/>
  <c r="AC924" i="20"/>
  <c r="AG924" i="20"/>
  <c r="AK924" i="20"/>
  <c r="Z924" i="20"/>
  <c r="AD924" i="20"/>
  <c r="AH924" i="20"/>
  <c r="AL924" i="20"/>
  <c r="AB921" i="20"/>
  <c r="AF921" i="20"/>
  <c r="AJ921" i="20"/>
  <c r="AN921" i="20"/>
  <c r="Y921" i="20"/>
  <c r="AC921" i="20"/>
  <c r="AG921" i="20"/>
  <c r="AK921" i="20"/>
  <c r="Z921" i="20"/>
  <c r="AD921" i="20"/>
  <c r="AH921" i="20"/>
  <c r="AL921" i="20"/>
  <c r="AA921" i="20"/>
  <c r="AE921" i="20"/>
  <c r="AI921" i="20"/>
  <c r="N10" i="36"/>
  <c r="AA6" i="66" s="1"/>
  <c r="B28" i="36"/>
  <c r="N28" i="36" s="1"/>
  <c r="G28" i="36"/>
  <c r="AB920" i="20"/>
  <c r="AF920" i="20"/>
  <c r="AJ920" i="20"/>
  <c r="AN920" i="20"/>
  <c r="Y920" i="20"/>
  <c r="AC920" i="20"/>
  <c r="AG920" i="20"/>
  <c r="AK920" i="20"/>
  <c r="Z920" i="20"/>
  <c r="AD920" i="20"/>
  <c r="AH920" i="20"/>
  <c r="AL920" i="20"/>
  <c r="AA920" i="20"/>
  <c r="AE920" i="20"/>
  <c r="AI920" i="20"/>
  <c r="AB658" i="20"/>
  <c r="AF658" i="20"/>
  <c r="AJ658" i="20"/>
  <c r="AN658" i="20"/>
  <c r="Y658" i="20"/>
  <c r="AC658" i="20"/>
  <c r="AG658" i="20"/>
  <c r="AK658" i="20"/>
  <c r="Z658" i="20"/>
  <c r="AD658" i="20"/>
  <c r="AH658" i="20"/>
  <c r="AL658" i="20"/>
  <c r="AA658" i="20"/>
  <c r="AE658" i="20"/>
  <c r="AI658" i="20"/>
  <c r="Y542" i="20"/>
  <c r="Z334" i="20"/>
  <c r="AB293" i="20"/>
  <c r="AC542" i="20"/>
  <c r="AD334" i="20"/>
  <c r="AE334" i="20"/>
  <c r="AF334" i="20"/>
  <c r="AH293" i="20"/>
  <c r="AI542" i="20"/>
  <c r="AJ334" i="20"/>
  <c r="AL293" i="20"/>
  <c r="AN334" i="20"/>
  <c r="Y334" i="20"/>
  <c r="AA293" i="20"/>
  <c r="AB542" i="20"/>
  <c r="AC334" i="20"/>
  <c r="AD177" i="20"/>
  <c r="AE177" i="20"/>
  <c r="AG293" i="20"/>
  <c r="AH542" i="20"/>
  <c r="AI334" i="20"/>
  <c r="AK293" i="20"/>
  <c r="AL542" i="20"/>
  <c r="Z293" i="20"/>
  <c r="AA542" i="20"/>
  <c r="AB334" i="20"/>
  <c r="AD293" i="20"/>
  <c r="AE293" i="20"/>
  <c r="AF293" i="20"/>
  <c r="AG542" i="20"/>
  <c r="AH334" i="20"/>
  <c r="AJ293" i="20"/>
  <c r="AK542" i="20"/>
  <c r="AL334" i="20"/>
  <c r="AN293" i="20"/>
  <c r="Y293" i="20"/>
  <c r="Z542" i="20"/>
  <c r="AA334" i="20"/>
  <c r="AC293" i="20"/>
  <c r="AD542" i="20"/>
  <c r="AE542" i="20"/>
  <c r="AF542" i="20"/>
  <c r="AG334" i="20"/>
  <c r="AI293" i="20"/>
  <c r="AJ542" i="20"/>
  <c r="AK334" i="20"/>
  <c r="AN542" i="20"/>
  <c r="AB1194" i="20"/>
  <c r="AF1194" i="20"/>
  <c r="AJ1194" i="20"/>
  <c r="AN1194" i="20"/>
  <c r="AA919" i="20"/>
  <c r="AF919" i="20"/>
  <c r="AL919" i="20"/>
  <c r="Y1194" i="20"/>
  <c r="AC1194" i="20"/>
  <c r="AG1194" i="20"/>
  <c r="AK1194" i="20"/>
  <c r="AB919" i="20"/>
  <c r="AH919" i="20"/>
  <c r="Z1194" i="20"/>
  <c r="AD1194" i="20"/>
  <c r="AH1194" i="20"/>
  <c r="AL1194" i="20"/>
  <c r="AD919" i="20"/>
  <c r="AI919" i="20"/>
  <c r="AN919" i="20"/>
  <c r="AA1194" i="20"/>
  <c r="AE1194" i="20"/>
  <c r="AI1194" i="20"/>
  <c r="Z919" i="20"/>
  <c r="AE919" i="20"/>
  <c r="AJ919" i="20"/>
  <c r="AK919" i="20"/>
  <c r="Y919" i="20"/>
  <c r="AG919" i="20"/>
  <c r="AC919" i="20"/>
  <c r="AF1081" i="20"/>
  <c r="AC1157" i="20"/>
  <c r="AB1137" i="20"/>
  <c r="AB1067" i="20"/>
  <c r="AA1115" i="20"/>
  <c r="Z1141" i="20"/>
  <c r="Z1057" i="20"/>
  <c r="Y1155" i="20"/>
  <c r="Y1025" i="20"/>
  <c r="Y1003" i="20"/>
  <c r="Y1017" i="20"/>
  <c r="AA1002" i="20"/>
  <c r="AB1002" i="20"/>
  <c r="AB1010" i="20"/>
  <c r="AC1001" i="20"/>
  <c r="AC1017" i="20"/>
  <c r="AE1005" i="20"/>
  <c r="AF1002" i="20"/>
  <c r="AF1010" i="20"/>
  <c r="AG1001" i="20"/>
  <c r="AH1005" i="20"/>
  <c r="AI1005" i="20"/>
  <c r="AJ1003" i="20"/>
  <c r="AJ1009" i="20"/>
  <c r="AJ1014" i="20"/>
  <c r="AK1003" i="20"/>
  <c r="AL1005" i="20"/>
  <c r="AN1001" i="20"/>
  <c r="AN1009" i="20"/>
  <c r="AN1017" i="20"/>
  <c r="Z925" i="20"/>
  <c r="AC1101" i="20"/>
  <c r="AB1131" i="20"/>
  <c r="AB1045" i="20"/>
  <c r="Z1131" i="20"/>
  <c r="Z1041" i="20"/>
  <c r="Y1105" i="20"/>
  <c r="Y1005" i="20"/>
  <c r="AA1005" i="20"/>
  <c r="AB1013" i="20"/>
  <c r="AD1005" i="20"/>
  <c r="AF1005" i="20"/>
  <c r="AG1005" i="20"/>
  <c r="AI1013" i="20"/>
  <c r="AJ1010" i="20"/>
  <c r="AK1005" i="20"/>
  <c r="AN1002" i="20"/>
  <c r="AN1010" i="20"/>
  <c r="AE1193" i="20"/>
  <c r="AA1043" i="20"/>
  <c r="Y1019" i="20"/>
  <c r="Z1005" i="20"/>
  <c r="AB1005" i="20"/>
  <c r="AC1005" i="20"/>
  <c r="AE1010" i="20"/>
  <c r="AF1013" i="20"/>
  <c r="AH1006" i="20"/>
  <c r="AJ1005" i="20"/>
  <c r="AJ1015" i="20"/>
  <c r="AL1006" i="20"/>
  <c r="AL1065" i="20"/>
  <c r="AC1037" i="20"/>
  <c r="AB1021" i="20"/>
  <c r="Z1105" i="20"/>
  <c r="Y1089" i="20"/>
  <c r="Y1010" i="20"/>
  <c r="AA1013" i="20"/>
  <c r="AB1014" i="20"/>
  <c r="AD1006" i="20"/>
  <c r="AF1006" i="20"/>
  <c r="AG1010" i="20"/>
  <c r="AJ1001" i="20"/>
  <c r="AJ1011" i="20"/>
  <c r="AK1015" i="20"/>
  <c r="AN1005" i="20"/>
  <c r="AB1006" i="20"/>
  <c r="AE1013" i="20"/>
  <c r="AH1013" i="20"/>
  <c r="AJ1017" i="20"/>
  <c r="AN1013" i="20"/>
  <c r="AD1113" i="20"/>
  <c r="Y1169" i="20"/>
  <c r="Y1001" i="20"/>
  <c r="Z1013" i="20"/>
  <c r="AB1009" i="20"/>
  <c r="AF1001" i="20"/>
  <c r="AI1002" i="20"/>
  <c r="AJ1177" i="20"/>
  <c r="AC1027" i="20"/>
  <c r="AA1187" i="20"/>
  <c r="Z1077" i="20"/>
  <c r="Y1061" i="20"/>
  <c r="Y1015" i="20"/>
  <c r="AB1001" i="20"/>
  <c r="AB1017" i="20"/>
  <c r="AD1013" i="20"/>
  <c r="AF1009" i="20"/>
  <c r="AG1017" i="20"/>
  <c r="AJ1002" i="20"/>
  <c r="AJ1013" i="20"/>
  <c r="AK1017" i="20"/>
  <c r="AN1006" i="20"/>
  <c r="AD1173" i="20"/>
  <c r="AB1109" i="20"/>
  <c r="Z1185" i="20"/>
  <c r="Y1189" i="20"/>
  <c r="Z1006" i="20"/>
  <c r="AC1011" i="20"/>
  <c r="AF1014" i="20"/>
  <c r="AJ1006" i="20"/>
  <c r="AL1013" i="20"/>
  <c r="AB1073" i="20"/>
  <c r="Z1169" i="20"/>
  <c r="AC1015" i="20"/>
  <c r="AF1017" i="20"/>
  <c r="AJ1007" i="20"/>
  <c r="AK1001" i="20"/>
  <c r="AN1014" i="20"/>
  <c r="Z1014" i="20"/>
  <c r="AG1060" i="20"/>
  <c r="AC1116" i="20"/>
  <c r="AF1172" i="20"/>
  <c r="AG1057" i="20"/>
  <c r="AB1173" i="20"/>
  <c r="AD1076" i="20"/>
  <c r="AG1140" i="20"/>
  <c r="Y1041" i="20"/>
  <c r="Y1153" i="20"/>
  <c r="AD1070" i="20"/>
  <c r="AF1114" i="20"/>
  <c r="AB1012" i="20"/>
  <c r="AG1066" i="20"/>
  <c r="AC1118" i="20"/>
  <c r="AH1166" i="20"/>
  <c r="AF1003" i="20"/>
  <c r="AC1055" i="20"/>
  <c r="AN1079" i="20"/>
  <c r="AN1111" i="20"/>
  <c r="AB1151" i="20"/>
  <c r="AN1016" i="20"/>
  <c r="AN1004" i="20"/>
  <c r="AH1142" i="20"/>
  <c r="AD1178" i="20"/>
  <c r="Z1007" i="20"/>
  <c r="AC1007" i="20"/>
  <c r="AC1051" i="20"/>
  <c r="Z1075" i="20"/>
  <c r="Z1083" i="20"/>
  <c r="Y1115" i="20"/>
  <c r="AL1163" i="20"/>
  <c r="Z1171" i="20"/>
  <c r="Z1043" i="20"/>
  <c r="AB1163" i="20"/>
  <c r="AF1030" i="20"/>
  <c r="AF1098" i="20"/>
  <c r="AG1134" i="20"/>
  <c r="AD1150" i="20"/>
  <c r="Z1011" i="20"/>
  <c r="AB1019" i="20"/>
  <c r="AJ1023" i="20"/>
  <c r="Y1027" i="20"/>
  <c r="AA1067" i="20"/>
  <c r="Z1091" i="20"/>
  <c r="AA1123" i="20"/>
  <c r="AB1139" i="20"/>
  <c r="Z1147" i="20"/>
  <c r="AB1187" i="20"/>
  <c r="AA1139" i="20"/>
  <c r="AD925" i="20"/>
  <c r="AF1015" i="20"/>
  <c r="Y1011" i="20"/>
  <c r="Z1155" i="20"/>
  <c r="AH1098" i="20"/>
  <c r="AJ1012" i="20"/>
  <c r="AC1003" i="20"/>
  <c r="AB1003" i="20"/>
  <c r="Z1067" i="20"/>
  <c r="AA1107" i="20"/>
  <c r="AD1054" i="20"/>
  <c r="AH1014" i="20"/>
  <c r="AI1014" i="20"/>
  <c r="AK1014" i="20"/>
  <c r="AL1010" i="20"/>
  <c r="Y1002" i="20"/>
  <c r="AH1002" i="20"/>
  <c r="Y925" i="20"/>
  <c r="AB925" i="20"/>
  <c r="AE1002" i="20"/>
  <c r="Z1017" i="20"/>
  <c r="AE1017" i="20"/>
  <c r="AC1013" i="20"/>
  <c r="AD1009" i="20"/>
  <c r="AI1009" i="20"/>
  <c r="AE1009" i="20"/>
  <c r="AH1001" i="20"/>
  <c r="AI1001" i="20"/>
  <c r="AG1025" i="20"/>
  <c r="AK1029" i="20"/>
  <c r="AI1029" i="20"/>
  <c r="AH1033" i="20"/>
  <c r="AB1037" i="20"/>
  <c r="AD1041" i="20"/>
  <c r="AC1045" i="20"/>
  <c r="AE1020" i="20"/>
  <c r="AD1068" i="20"/>
  <c r="AD1132" i="20"/>
  <c r="AC1180" i="20"/>
  <c r="AB1085" i="20"/>
  <c r="AC1006" i="20"/>
  <c r="AH1092" i="20"/>
  <c r="AH1156" i="20"/>
  <c r="AA1093" i="20"/>
  <c r="AH1038" i="20"/>
  <c r="AJ1078" i="20"/>
  <c r="AI1122" i="20"/>
  <c r="AG1022" i="20"/>
  <c r="AI1074" i="20"/>
  <c r="AI1130" i="20"/>
  <c r="AG1174" i="20"/>
  <c r="AN1031" i="20"/>
  <c r="AI1063" i="20"/>
  <c r="AA1099" i="20"/>
  <c r="AB1119" i="20"/>
  <c r="AB1167" i="20"/>
  <c r="Y1008" i="20"/>
  <c r="AD1082" i="20"/>
  <c r="AI1178" i="20"/>
  <c r="AF1016" i="20"/>
  <c r="Y1007" i="20"/>
  <c r="AK1007" i="20"/>
  <c r="AA1051" i="20"/>
  <c r="AB1075" i="20"/>
  <c r="AA1083" i="20"/>
  <c r="AJ1115" i="20"/>
  <c r="AA1163" i="20"/>
  <c r="Y1171" i="20"/>
  <c r="Z1099" i="20"/>
  <c r="AG1003" i="20"/>
  <c r="Y1012" i="20"/>
  <c r="AD1030" i="20"/>
  <c r="AD1098" i="20"/>
  <c r="AE1134" i="20"/>
  <c r="AF1012" i="20"/>
  <c r="AN1011" i="20"/>
  <c r="AC1019" i="20"/>
  <c r="AA1027" i="20"/>
  <c r="AL1059" i="20"/>
  <c r="Y1067" i="20"/>
  <c r="Y1091" i="20"/>
  <c r="AA1131" i="20"/>
  <c r="AN1143" i="20"/>
  <c r="Y1147" i="20"/>
  <c r="Y1075" i="20"/>
  <c r="AJ925" i="20"/>
  <c r="AF1007" i="20"/>
  <c r="Y1043" i="20"/>
  <c r="AA1075" i="20"/>
  <c r="AJ1008" i="20"/>
  <c r="AB1015" i="20"/>
  <c r="Y1051" i="20"/>
  <c r="Z1123" i="20"/>
  <c r="AA1179" i="20"/>
  <c r="AE1162" i="20"/>
  <c r="AD1014" i="20"/>
  <c r="AG1014" i="20"/>
  <c r="AH1010" i="20"/>
  <c r="AA1006" i="20"/>
  <c r="AC1002" i="20"/>
  <c r="Z1002" i="20"/>
  <c r="AA925" i="20"/>
  <c r="AH925" i="20"/>
  <c r="AK1010" i="20"/>
  <c r="AC1010" i="20"/>
  <c r="AD1017" i="20"/>
  <c r="AA1017" i="20"/>
  <c r="AG1013" i="20"/>
  <c r="AH1009" i="20"/>
  <c r="Y1009" i="20"/>
  <c r="AK1009" i="20"/>
  <c r="AL1001" i="20"/>
  <c r="AC1021" i="20"/>
  <c r="Z1025" i="20"/>
  <c r="AG1029" i="20"/>
  <c r="AB1029" i="20"/>
  <c r="AG1033" i="20"/>
  <c r="AA1037" i="20"/>
  <c r="AC1041" i="20"/>
  <c r="Y1045" i="20"/>
  <c r="AH1028" i="20"/>
  <c r="AE1148" i="20"/>
  <c r="AA1121" i="20"/>
  <c r="AF1108" i="20"/>
  <c r="Y1125" i="20"/>
  <c r="AG1094" i="20"/>
  <c r="AI1042" i="20"/>
  <c r="AG1146" i="20"/>
  <c r="Z1035" i="20"/>
  <c r="AC1103" i="20"/>
  <c r="Z1187" i="20"/>
  <c r="AI1082" i="20"/>
  <c r="Z1015" i="20"/>
  <c r="AJ1043" i="20"/>
  <c r="AB1083" i="20"/>
  <c r="AJ1155" i="20"/>
  <c r="Z1179" i="20"/>
  <c r="AK1030" i="20"/>
  <c r="AH1126" i="20"/>
  <c r="AF1004" i="20"/>
  <c r="AC1023" i="20"/>
  <c r="Z1059" i="20"/>
  <c r="AB1123" i="20"/>
  <c r="AJ1147" i="20"/>
  <c r="AA1059" i="20"/>
  <c r="AK1011" i="20"/>
  <c r="Y1083" i="20"/>
  <c r="AG1011" i="20"/>
  <c r="Z1019" i="20"/>
  <c r="AC1075" i="20"/>
  <c r="AA1057" i="20"/>
  <c r="AE1014" i="20"/>
  <c r="AD1010" i="20"/>
  <c r="AK1002" i="20"/>
  <c r="AL925" i="20"/>
  <c r="AI1010" i="20"/>
  <c r="AH1017" i="20"/>
  <c r="AK1013" i="20"/>
  <c r="AA1009" i="20"/>
  <c r="AA1001" i="20"/>
  <c r="AB1025" i="20"/>
  <c r="AC1029" i="20"/>
  <c r="AF1041" i="20"/>
  <c r="AD1045" i="20"/>
  <c r="AN1053" i="20"/>
  <c r="AE1057" i="20"/>
  <c r="AG1061" i="20"/>
  <c r="AH1061" i="20"/>
  <c r="AK1065" i="20"/>
  <c r="Y1069" i="20"/>
  <c r="Y1073" i="20"/>
  <c r="AD1077" i="20"/>
  <c r="AB1077" i="20"/>
  <c r="AC1085" i="20"/>
  <c r="AG1089" i="20"/>
  <c r="AB1089" i="20"/>
  <c r="AC1093" i="20"/>
  <c r="AG1097" i="20"/>
  <c r="AA1101" i="20"/>
  <c r="AA1105" i="20"/>
  <c r="AF1109" i="20"/>
  <c r="AG1109" i="20"/>
  <c r="AC1113" i="20"/>
  <c r="AB1121" i="20"/>
  <c r="AC1125" i="20"/>
  <c r="AE1125" i="20"/>
  <c r="AB1133" i="20"/>
  <c r="AN1137" i="20"/>
  <c r="Z1137" i="20"/>
  <c r="AA1141" i="20"/>
  <c r="AG1145" i="20"/>
  <c r="Y1149" i="20"/>
  <c r="Z1153" i="20"/>
  <c r="AH1157" i="20"/>
  <c r="AH1161" i="20"/>
  <c r="AE1161" i="20"/>
  <c r="AB1165" i="20"/>
  <c r="AI1169" i="20"/>
  <c r="AG1173" i="20"/>
  <c r="AF1173" i="20"/>
  <c r="AD1177" i="20"/>
  <c r="AC1185" i="20"/>
  <c r="AE1189" i="20"/>
  <c r="AH1189" i="20"/>
  <c r="AC1193" i="20"/>
  <c r="Y1101" i="20"/>
  <c r="Y1181" i="20"/>
  <c r="Z1093" i="20"/>
  <c r="Z1181" i="20"/>
  <c r="AA1157" i="20"/>
  <c r="AC1089" i="20"/>
  <c r="AH1018" i="20"/>
  <c r="AD1018" i="20"/>
  <c r="AJ1022" i="20"/>
  <c r="AL1022" i="20"/>
  <c r="AE1030" i="20"/>
  <c r="AD1038" i="20"/>
  <c r="AL1046" i="20"/>
  <c r="AH1046" i="20"/>
  <c r="AG1050" i="20"/>
  <c r="AH1054" i="20"/>
  <c r="AF1066" i="20"/>
  <c r="AE1066" i="20"/>
  <c r="AH1070" i="20"/>
  <c r="AL1078" i="20"/>
  <c r="AF1082" i="20"/>
  <c r="AE1086" i="20"/>
  <c r="AD1094" i="20"/>
  <c r="AJ1098" i="20"/>
  <c r="AL1102" i="20"/>
  <c r="AH1114" i="20"/>
  <c r="AD1114" i="20"/>
  <c r="AG1118" i="20"/>
  <c r="AF1126" i="20"/>
  <c r="AF1130" i="20"/>
  <c r="AC1134" i="20"/>
  <c r="AF1142" i="20"/>
  <c r="AE1146" i="20"/>
  <c r="AL1150" i="20"/>
  <c r="AC1150" i="20"/>
  <c r="AG1158" i="20"/>
  <c r="AF1162" i="20"/>
  <c r="AG1166" i="20"/>
  <c r="AL1174" i="20"/>
  <c r="AD1174" i="20"/>
  <c r="AF1178" i="20"/>
  <c r="AF1182" i="20"/>
  <c r="AD1190" i="20"/>
  <c r="AC1190" i="20"/>
  <c r="AD1182" i="20"/>
  <c r="AF1034" i="20"/>
  <c r="AG1034" i="20"/>
  <c r="AH1022" i="20"/>
  <c r="AH1190" i="20"/>
  <c r="AJ1126" i="20"/>
  <c r="AJ1051" i="20"/>
  <c r="AJ1091" i="20"/>
  <c r="AJ1107" i="20"/>
  <c r="AB1183" i="20"/>
  <c r="Y1099" i="20"/>
  <c r="Z1139" i="20"/>
  <c r="AB1107" i="20"/>
  <c r="AC1099" i="20"/>
  <c r="AD1110" i="20"/>
  <c r="AE1102" i="20"/>
  <c r="AF1190" i="20"/>
  <c r="AH1078" i="20"/>
  <c r="AJ1166" i="20"/>
  <c r="AL1024" i="20"/>
  <c r="AN1032" i="20"/>
  <c r="AI1032" i="20"/>
  <c r="AE1032" i="20"/>
  <c r="AJ1040" i="20"/>
  <c r="AL1048" i="20"/>
  <c r="AH1048" i="20"/>
  <c r="AD1048" i="20"/>
  <c r="AJ1056" i="20"/>
  <c r="AK1064" i="20"/>
  <c r="AG1064" i="20"/>
  <c r="AN1072" i="20"/>
  <c r="AI1072" i="20"/>
  <c r="AJ1080" i="20"/>
  <c r="AF1080" i="20"/>
  <c r="AL1088" i="20"/>
  <c r="AN1096" i="20"/>
  <c r="AI1096" i="20"/>
  <c r="AE1096" i="20"/>
  <c r="AK1104" i="20"/>
  <c r="AL1112" i="20"/>
  <c r="AH1112" i="20"/>
  <c r="AG1052" i="20"/>
  <c r="AF1164" i="20"/>
  <c r="AC1129" i="20"/>
  <c r="AC1124" i="20"/>
  <c r="AA1133" i="20"/>
  <c r="AI1106" i="20"/>
  <c r="AI1058" i="20"/>
  <c r="AF1158" i="20"/>
  <c r="AC1039" i="20"/>
  <c r="Z1107" i="20"/>
  <c r="Y1016" i="20"/>
  <c r="AD1142" i="20"/>
  <c r="AN1015" i="20"/>
  <c r="AC1043" i="20"/>
  <c r="AC1083" i="20"/>
  <c r="AB1155" i="20"/>
  <c r="Y1179" i="20"/>
  <c r="AB1004" i="20"/>
  <c r="AE1054" i="20"/>
  <c r="AF1134" i="20"/>
  <c r="Z1003" i="20"/>
  <c r="AB1027" i="20"/>
  <c r="AC1091" i="20"/>
  <c r="AL1131" i="20"/>
  <c r="Y1187" i="20"/>
  <c r="AG1015" i="20"/>
  <c r="Y1131" i="20"/>
  <c r="AB1011" i="20"/>
  <c r="Z1163" i="20"/>
  <c r="AI1035" i="20"/>
  <c r="AL1014" i="20"/>
  <c r="Y1014" i="20"/>
  <c r="AE1006" i="20"/>
  <c r="AD1002" i="20"/>
  <c r="AN925" i="20"/>
  <c r="AG1006" i="20"/>
  <c r="AL1017" i="20"/>
  <c r="Z1009" i="20"/>
  <c r="AC1009" i="20"/>
  <c r="AE1001" i="20"/>
  <c r="AA1025" i="20"/>
  <c r="Y1029" i="20"/>
  <c r="AA1041" i="20"/>
  <c r="Z1045" i="20"/>
  <c r="AA1053" i="20"/>
  <c r="AB1057" i="20"/>
  <c r="AE1061" i="20"/>
  <c r="AB1061" i="20"/>
  <c r="AE1065" i="20"/>
  <c r="AI1073" i="20"/>
  <c r="AA1073" i="20"/>
  <c r="AF1077" i="20"/>
  <c r="AK1081" i="20"/>
  <c r="Y1085" i="20"/>
  <c r="AE1089" i="20"/>
  <c r="AH1093" i="20"/>
  <c r="Y1093" i="20"/>
  <c r="AE1097" i="20"/>
  <c r="AB1101" i="20"/>
  <c r="AC1105" i="20"/>
  <c r="AD1109" i="20"/>
  <c r="AA1109" i="20"/>
  <c r="AA1117" i="20"/>
  <c r="AC1121" i="20"/>
  <c r="AH1125" i="20"/>
  <c r="AA1125" i="20"/>
  <c r="Y1133" i="20"/>
  <c r="AK1137" i="20"/>
  <c r="AA1137" i="20"/>
  <c r="AF1141" i="20"/>
  <c r="AL1145" i="20"/>
  <c r="Z1149" i="20"/>
  <c r="AB1153" i="20"/>
  <c r="AE1157" i="20"/>
  <c r="AC1161" i="20"/>
  <c r="AN1165" i="20"/>
  <c r="AK1169" i="20"/>
  <c r="AD1169" i="20"/>
  <c r="Y1173" i="20"/>
  <c r="AL1177" i="20"/>
  <c r="AC1177" i="20"/>
  <c r="AE1185" i="20"/>
  <c r="Z1189" i="20"/>
  <c r="AC1189" i="20"/>
  <c r="Y1037" i="20"/>
  <c r="Y1117" i="20"/>
  <c r="Z1029" i="20"/>
  <c r="Z1117" i="20"/>
  <c r="AA1021" i="20"/>
  <c r="AA1185" i="20"/>
  <c r="AE1025" i="20"/>
  <c r="AG1018" i="20"/>
  <c r="AI1018" i="20"/>
  <c r="AK1022" i="20"/>
  <c r="AI1030" i="20"/>
  <c r="AJ1034" i="20"/>
  <c r="AG1038" i="20"/>
  <c r="AG1046" i="20"/>
  <c r="AD1046" i="20"/>
  <c r="AF1050" i="20"/>
  <c r="AJ1062" i="20"/>
  <c r="AD1066" i="20"/>
  <c r="AJ1070" i="20"/>
  <c r="AE1070" i="20"/>
  <c r="AD1078" i="20"/>
  <c r="AK1086" i="20"/>
  <c r="AD1086" i="20"/>
  <c r="AI1094" i="20"/>
  <c r="AK1102" i="20"/>
  <c r="AL1110" i="20"/>
  <c r="AI1114" i="20"/>
  <c r="AL1118" i="20"/>
  <c r="AE1118" i="20"/>
  <c r="AE1126" i="20"/>
  <c r="AH1130" i="20"/>
  <c r="AD1134" i="20"/>
  <c r="AE1142" i="20"/>
  <c r="AD1146" i="20"/>
  <c r="AK1150" i="20"/>
  <c r="AJ1158" i="20"/>
  <c r="AC1158" i="20"/>
  <c r="AD1162" i="20"/>
  <c r="AD1166" i="20"/>
  <c r="AE1174" i="20"/>
  <c r="AH1178" i="20"/>
  <c r="AK1182" i="20"/>
  <c r="AI1182" i="20"/>
  <c r="AC1110" i="20"/>
  <c r="AD1102" i="20"/>
  <c r="AE1034" i="20"/>
  <c r="AF1062" i="20"/>
  <c r="AG1078" i="20"/>
  <c r="AH1062" i="20"/>
  <c r="AI1110" i="20"/>
  <c r="AK1038" i="20"/>
  <c r="AN1035" i="20"/>
  <c r="AC1087" i="20"/>
  <c r="AI1099" i="20"/>
  <c r="AL1107" i="20"/>
  <c r="AJ1183" i="20"/>
  <c r="Y1123" i="20"/>
  <c r="AA1091" i="20"/>
  <c r="AB1147" i="20"/>
  <c r="AC1126" i="20"/>
  <c r="AE1022" i="20"/>
  <c r="AE1130" i="20"/>
  <c r="AG1054" i="20"/>
  <c r="AH1162" i="20"/>
  <c r="AK1094" i="20"/>
  <c r="AK1024" i="20"/>
  <c r="AL1032" i="20"/>
  <c r="AH1032" i="20"/>
  <c r="AD1032" i="20"/>
  <c r="AN1040" i="20"/>
  <c r="AK1048" i="20"/>
  <c r="AG1048" i="20"/>
  <c r="AN1056" i="20"/>
  <c r="AI1056" i="20"/>
  <c r="AJ1064" i="20"/>
  <c r="AF1064" i="20"/>
  <c r="AL1072" i="20"/>
  <c r="AN1080" i="20"/>
  <c r="AI1080" i="20"/>
  <c r="AE1080" i="20"/>
  <c r="AK1088" i="20"/>
  <c r="AL1096" i="20"/>
  <c r="AH1096" i="20"/>
  <c r="AD1096" i="20"/>
  <c r="AJ1104" i="20"/>
  <c r="AK1112" i="20"/>
  <c r="AE1084" i="20"/>
  <c r="AF1036" i="20"/>
  <c r="AF1046" i="20"/>
  <c r="AH1086" i="20"/>
  <c r="AC1067" i="20"/>
  <c r="AN1008" i="20"/>
  <c r="AG1007" i="20"/>
  <c r="Z1115" i="20"/>
  <c r="AC1114" i="20"/>
  <c r="AN1012" i="20"/>
  <c r="AF1008" i="20"/>
  <c r="AB1059" i="20"/>
  <c r="AI1143" i="20"/>
  <c r="AB1035" i="20"/>
  <c r="AJ1016" i="20"/>
  <c r="AA1035" i="20"/>
  <c r="AI1006" i="20"/>
  <c r="AE925" i="20"/>
  <c r="AI1017" i="20"/>
  <c r="Z1001" i="20"/>
  <c r="AH1029" i="20"/>
  <c r="AB1041" i="20"/>
  <c r="AB1053" i="20"/>
  <c r="Z1061" i="20"/>
  <c r="AB1069" i="20"/>
  <c r="AD1073" i="20"/>
  <c r="AJ1081" i="20"/>
  <c r="Z1089" i="20"/>
  <c r="AE1093" i="20"/>
  <c r="AF1105" i="20"/>
  <c r="Y1109" i="20"/>
  <c r="AB1117" i="20"/>
  <c r="Z1125" i="20"/>
  <c r="AJ1137" i="20"/>
  <c r="AG1141" i="20"/>
  <c r="AF1145" i="20"/>
  <c r="AE1153" i="20"/>
  <c r="AL1161" i="20"/>
  <c r="AF1169" i="20"/>
  <c r="AA1173" i="20"/>
  <c r="AA1181" i="20"/>
  <c r="AB1189" i="20"/>
  <c r="Y1053" i="20"/>
  <c r="Z1053" i="20"/>
  <c r="AA1045" i="20"/>
  <c r="AK1097" i="20"/>
  <c r="AF1018" i="20"/>
  <c r="AG1030" i="20"/>
  <c r="AF1038" i="20"/>
  <c r="AI1050" i="20"/>
  <c r="AG1062" i="20"/>
  <c r="AG1070" i="20"/>
  <c r="AH1082" i="20"/>
  <c r="AF1094" i="20"/>
  <c r="AJ1102" i="20"/>
  <c r="AG1114" i="20"/>
  <c r="AD1118" i="20"/>
  <c r="AC1130" i="20"/>
  <c r="AH1146" i="20"/>
  <c r="AI1150" i="20"/>
  <c r="AG1162" i="20"/>
  <c r="AE1166" i="20"/>
  <c r="AJ1178" i="20"/>
  <c r="AC1182" i="20"/>
  <c r="AD1130" i="20"/>
  <c r="AF1102" i="20"/>
  <c r="AH1102" i="20"/>
  <c r="AK1166" i="20"/>
  <c r="AK1051" i="20"/>
  <c r="AK1107" i="20"/>
  <c r="Y1059" i="20"/>
  <c r="AB1043" i="20"/>
  <c r="AD1050" i="20"/>
  <c r="AF1150" i="20"/>
  <c r="AJ1071" i="20"/>
  <c r="AN1024" i="20"/>
  <c r="AF1032" i="20"/>
  <c r="AN1048" i="20"/>
  <c r="AE1048" i="20"/>
  <c r="AL1064" i="20"/>
  <c r="AD1064" i="20"/>
  <c r="AK1080" i="20"/>
  <c r="AN1088" i="20"/>
  <c r="AJ1096" i="20"/>
  <c r="AL1104" i="20"/>
  <c r="AI1112" i="20"/>
  <c r="AD1112" i="20"/>
  <c r="AK1120" i="20"/>
  <c r="AL1128" i="20"/>
  <c r="AH1128" i="20"/>
  <c r="AD1128" i="20"/>
  <c r="AK1136" i="20"/>
  <c r="AL1144" i="20"/>
  <c r="AH1144" i="20"/>
  <c r="AD1144" i="20"/>
  <c r="AK1152" i="20"/>
  <c r="AL1160" i="20"/>
  <c r="AH1160" i="20"/>
  <c r="AD1160" i="20"/>
  <c r="AK1168" i="20"/>
  <c r="AL1176" i="20"/>
  <c r="AH1176" i="20"/>
  <c r="AD1176" i="20"/>
  <c r="AK1188" i="20"/>
  <c r="Y1064" i="20"/>
  <c r="Y1192" i="20"/>
  <c r="Z1128" i="20"/>
  <c r="AA1064" i="20"/>
  <c r="AA1160" i="20"/>
  <c r="AB1064" i="20"/>
  <c r="AB1160" i="20"/>
  <c r="AC1080" i="20"/>
  <c r="AD1052" i="20"/>
  <c r="AE1068" i="20"/>
  <c r="AF1020" i="20"/>
  <c r="AF1092" i="20"/>
  <c r="AF1184" i="20"/>
  <c r="AG1100" i="20"/>
  <c r="AH1044" i="20"/>
  <c r="AH1172" i="20"/>
  <c r="AJ1021" i="20"/>
  <c r="AF1021" i="20"/>
  <c r="AJ1025" i="20"/>
  <c r="AL1029" i="20"/>
  <c r="AJ1033" i="20"/>
  <c r="AL1037" i="20"/>
  <c r="AG1037" i="20"/>
  <c r="AN1041" i="20"/>
  <c r="AL1045" i="20"/>
  <c r="AN1049" i="20"/>
  <c r="AL1053" i="20"/>
  <c r="AG1053" i="20"/>
  <c r="AI1053" i="20"/>
  <c r="AH1057" i="20"/>
  <c r="AJ1061" i="20"/>
  <c r="AJ1065" i="20"/>
  <c r="AI1069" i="20"/>
  <c r="AE1069" i="20"/>
  <c r="AN1073" i="20"/>
  <c r="AL1077" i="20"/>
  <c r="AI1077" i="20"/>
  <c r="AL1085" i="20"/>
  <c r="AH1085" i="20"/>
  <c r="AD1085" i="20"/>
  <c r="AH1089" i="20"/>
  <c r="AJ1093" i="20"/>
  <c r="AL1097" i="20"/>
  <c r="AN1101" i="20"/>
  <c r="AE1101" i="20"/>
  <c r="AK1105" i="20"/>
  <c r="AG1105" i="20"/>
  <c r="AN1113" i="20"/>
  <c r="AL1117" i="20"/>
  <c r="AG1117" i="20"/>
  <c r="AC1117" i="20"/>
  <c r="AJ1121" i="20"/>
  <c r="AL1125" i="20"/>
  <c r="AN1129" i="20"/>
  <c r="AL1133" i="20"/>
  <c r="AI1133" i="20"/>
  <c r="AE1133" i="20"/>
  <c r="AH1137" i="20"/>
  <c r="AN1141" i="20"/>
  <c r="AI1145" i="20"/>
  <c r="AJ1149" i="20"/>
  <c r="AG1149" i="20"/>
  <c r="AC1149" i="20"/>
  <c r="AL1153" i="20"/>
  <c r="AL1157" i="20"/>
  <c r="AJ1161" i="20"/>
  <c r="AF1100" i="20"/>
  <c r="AF1044" i="20"/>
  <c r="AE1062" i="20"/>
  <c r="AE1110" i="20"/>
  <c r="AC1071" i="20"/>
  <c r="Y1004" i="20"/>
  <c r="AN1007" i="20"/>
  <c r="AB1115" i="20"/>
  <c r="AF1054" i="20"/>
  <c r="AN1003" i="20"/>
  <c r="AB1091" i="20"/>
  <c r="AL1187" i="20"/>
  <c r="AI925" i="20"/>
  <c r="AE1082" i="20"/>
  <c r="AJ1004" i="20"/>
  <c r="AB1179" i="20"/>
  <c r="AK1006" i="20"/>
  <c r="AA1014" i="20"/>
  <c r="AG1002" i="20"/>
  <c r="Y1013" i="20"/>
  <c r="AD1001" i="20"/>
  <c r="AE1029" i="20"/>
  <c r="AF1045" i="20"/>
  <c r="AC1053" i="20"/>
  <c r="AA1061" i="20"/>
  <c r="AC1069" i="20"/>
  <c r="Z1073" i="20"/>
  <c r="AD1081" i="20"/>
  <c r="AA1089" i="20"/>
  <c r="AH1097" i="20"/>
  <c r="AD1105" i="20"/>
  <c r="Z1109" i="20"/>
  <c r="AI1121" i="20"/>
  <c r="AB1125" i="20"/>
  <c r="AF1137" i="20"/>
  <c r="AD1141" i="20"/>
  <c r="AD1145" i="20"/>
  <c r="AA1153" i="20"/>
  <c r="AI1161" i="20"/>
  <c r="AC1169" i="20"/>
  <c r="Z1173" i="20"/>
  <c r="AB1181" i="20"/>
  <c r="AA1189" i="20"/>
  <c r="Y1077" i="20"/>
  <c r="Z1069" i="20"/>
  <c r="AA1069" i="20"/>
  <c r="AN1022" i="20"/>
  <c r="AH1030" i="20"/>
  <c r="AE1038" i="20"/>
  <c r="AH1050" i="20"/>
  <c r="AD1062" i="20"/>
  <c r="AK1070" i="20"/>
  <c r="AG1082" i="20"/>
  <c r="AH1094" i="20"/>
  <c r="AG1102" i="20"/>
  <c r="AE1114" i="20"/>
  <c r="AK1126" i="20"/>
  <c r="AH1134" i="20"/>
  <c r="AF1146" i="20"/>
  <c r="AJ1150" i="20"/>
  <c r="AI1162" i="20"/>
  <c r="AI1174" i="20"/>
  <c r="AG1178" i="20"/>
  <c r="AI1190" i="20"/>
  <c r="AD1158" i="20"/>
  <c r="AF1174" i="20"/>
  <c r="AH1150" i="20"/>
  <c r="AL1134" i="20"/>
  <c r="AI1087" i="20"/>
  <c r="AB1135" i="20"/>
  <c r="Y1163" i="20"/>
  <c r="AC1035" i="20"/>
  <c r="AE1050" i="20"/>
  <c r="AG1126" i="20"/>
  <c r="AL1054" i="20"/>
  <c r="AK1032" i="20"/>
  <c r="AL1040" i="20"/>
  <c r="AJ1048" i="20"/>
  <c r="AL1056" i="20"/>
  <c r="AI1064" i="20"/>
  <c r="AK1072" i="20"/>
  <c r="AH1080" i="20"/>
  <c r="AJ1088" i="20"/>
  <c r="AG1096" i="20"/>
  <c r="AI1104" i="20"/>
  <c r="AG1112" i="20"/>
  <c r="AC1112" i="20"/>
  <c r="AJ1120" i="20"/>
  <c r="AK1128" i="20"/>
  <c r="AG1128" i="20"/>
  <c r="AC1128" i="20"/>
  <c r="AJ1136" i="20"/>
  <c r="AK1144" i="20"/>
  <c r="AG1144" i="20"/>
  <c r="AC1144" i="20"/>
  <c r="AJ1152" i="20"/>
  <c r="AK1160" i="20"/>
  <c r="AG1160" i="20"/>
  <c r="AC1160" i="20"/>
  <c r="AJ1168" i="20"/>
  <c r="AK1176" i="20"/>
  <c r="AG1176" i="20"/>
  <c r="AC1176" i="20"/>
  <c r="AJ1188" i="20"/>
  <c r="Y1096" i="20"/>
  <c r="Z1048" i="20"/>
  <c r="Z1160" i="20"/>
  <c r="AA1080" i="20"/>
  <c r="AA1176" i="20"/>
  <c r="AB1080" i="20"/>
  <c r="AC1032" i="20"/>
  <c r="AC1096" i="20"/>
  <c r="AD1060" i="20"/>
  <c r="AE1104" i="20"/>
  <c r="AF1028" i="20"/>
  <c r="AF1120" i="20"/>
  <c r="AG1036" i="20"/>
  <c r="AG1136" i="20"/>
  <c r="AH1088" i="20"/>
  <c r="AN1021" i="20"/>
  <c r="AI1021" i="20"/>
  <c r="AE1021" i="20"/>
  <c r="AL1025" i="20"/>
  <c r="AN1029" i="20"/>
  <c r="AI1033" i="20"/>
  <c r="AK1037" i="20"/>
  <c r="AF1037" i="20"/>
  <c r="AL1041" i="20"/>
  <c r="AK1045" i="20"/>
  <c r="AI1049" i="20"/>
  <c r="AK1053" i="20"/>
  <c r="AF1053" i="20"/>
  <c r="AK1057" i="20"/>
  <c r="AN1061" i="20"/>
  <c r="AI1061" i="20"/>
  <c r="AB1192" i="20"/>
  <c r="AI1138" i="20"/>
  <c r="AI1127" i="20"/>
  <c r="AB1051" i="20"/>
  <c r="AE1150" i="20"/>
  <c r="AK1139" i="20"/>
  <c r="AB1016" i="20"/>
  <c r="AB1007" i="20"/>
  <c r="AC1014" i="20"/>
  <c r="AG1009" i="20"/>
  <c r="Z1037" i="20"/>
  <c r="Y1057" i="20"/>
  <c r="AC1073" i="20"/>
  <c r="Z1085" i="20"/>
  <c r="Z1101" i="20"/>
  <c r="AF1113" i="20"/>
  <c r="AE1129" i="20"/>
  <c r="AC1141" i="20"/>
  <c r="Y1157" i="20"/>
  <c r="AB1169" i="20"/>
  <c r="Y1185" i="20"/>
  <c r="Y1165" i="20"/>
  <c r="AC1061" i="20"/>
  <c r="AI1022" i="20"/>
  <c r="AI1046" i="20"/>
  <c r="AI1066" i="20"/>
  <c r="AG1086" i="20"/>
  <c r="AF1110" i="20"/>
  <c r="AG1130" i="20"/>
  <c r="AC1146" i="20"/>
  <c r="AF1166" i="20"/>
  <c r="AH1182" i="20"/>
  <c r="AE1094" i="20"/>
  <c r="AI1146" i="20"/>
  <c r="AL1091" i="20"/>
  <c r="Z1051" i="20"/>
  <c r="AE1078" i="20"/>
  <c r="AL1182" i="20"/>
  <c r="AK1040" i="20"/>
  <c r="AK1056" i="20"/>
  <c r="AJ1072" i="20"/>
  <c r="AI1088" i="20"/>
  <c r="AN1112" i="20"/>
  <c r="AN1120" i="20"/>
  <c r="AJ1128" i="20"/>
  <c r="AN1136" i="20"/>
  <c r="AJ1144" i="20"/>
  <c r="AN1152" i="20"/>
  <c r="AJ1160" i="20"/>
  <c r="AN1168" i="20"/>
  <c r="AJ1176" i="20"/>
  <c r="AN1188" i="20"/>
  <c r="Y1128" i="20"/>
  <c r="Z1192" i="20"/>
  <c r="AA1192" i="20"/>
  <c r="AC1048" i="20"/>
  <c r="AD1116" i="20"/>
  <c r="AF1056" i="20"/>
  <c r="AG1044" i="20"/>
  <c r="AH1108" i="20"/>
  <c r="AH1021" i="20"/>
  <c r="AI1025" i="20"/>
  <c r="AK1033" i="20"/>
  <c r="AE1037" i="20"/>
  <c r="AN1045" i="20"/>
  <c r="AJ1053" i="20"/>
  <c r="AL1057" i="20"/>
  <c r="AN1065" i="20"/>
  <c r="AJ1069" i="20"/>
  <c r="AD1069" i="20"/>
  <c r="AJ1073" i="20"/>
  <c r="AJ1077" i="20"/>
  <c r="AK1085" i="20"/>
  <c r="AF1085" i="20"/>
  <c r="AI1089" i="20"/>
  <c r="AN1097" i="20"/>
  <c r="AK1101" i="20"/>
  <c r="AF1101" i="20"/>
  <c r="AJ1105" i="20"/>
  <c r="AK1109" i="20"/>
  <c r="AJ1113" i="20"/>
  <c r="AF1117" i="20"/>
  <c r="AK1121" i="20"/>
  <c r="AN1125" i="20"/>
  <c r="AI1129" i="20"/>
  <c r="AJ1133" i="20"/>
  <c r="AF1133" i="20"/>
  <c r="AG1137" i="20"/>
  <c r="AJ1141" i="20"/>
  <c r="AK1149" i="20"/>
  <c r="AF1149" i="20"/>
  <c r="AJ1153" i="20"/>
  <c r="AN1157" i="20"/>
  <c r="AK1161" i="20"/>
  <c r="AI1165" i="20"/>
  <c r="AE1165" i="20"/>
  <c r="AL1169" i="20"/>
  <c r="AL1173" i="20"/>
  <c r="AN1177" i="20"/>
  <c r="AK1181" i="20"/>
  <c r="AG1181" i="20"/>
  <c r="AC1181" i="20"/>
  <c r="AL1185" i="20"/>
  <c r="AN1189" i="20"/>
  <c r="AN1193" i="20"/>
  <c r="Y1033" i="20"/>
  <c r="Y1055" i="20"/>
  <c r="Y1076" i="20"/>
  <c r="Y1097" i="20"/>
  <c r="Y1119" i="20"/>
  <c r="Y1140" i="20"/>
  <c r="Y1161" i="20"/>
  <c r="Y1183" i="20"/>
  <c r="Z1028" i="20"/>
  <c r="Z1049" i="20"/>
  <c r="Z1071" i="20"/>
  <c r="Z1092" i="20"/>
  <c r="Z1113" i="20"/>
  <c r="Z1135" i="20"/>
  <c r="Z1156" i="20"/>
  <c r="Z1177" i="20"/>
  <c r="AA1023" i="20"/>
  <c r="AA1044" i="20"/>
  <c r="AA1065" i="20"/>
  <c r="AA1087" i="20"/>
  <c r="AA1108" i="20"/>
  <c r="AA1129" i="20"/>
  <c r="AA1151" i="20"/>
  <c r="AA1172" i="20"/>
  <c r="AA1193" i="20"/>
  <c r="AB1039" i="20"/>
  <c r="AB1060" i="20"/>
  <c r="AB1081" i="20"/>
  <c r="AB1103" i="20"/>
  <c r="AB1129" i="20"/>
  <c r="AB1161" i="20"/>
  <c r="AB1193" i="20"/>
  <c r="AC1049" i="20"/>
  <c r="AC1081" i="20"/>
  <c r="AC1137" i="20"/>
  <c r="AC1188" i="20"/>
  <c r="AD1061" i="20"/>
  <c r="AD1125" i="20"/>
  <c r="AD1168" i="20"/>
  <c r="AE1049" i="20"/>
  <c r="AE1105" i="20"/>
  <c r="AE1156" i="20"/>
  <c r="AF1029" i="20"/>
  <c r="AF1093" i="20"/>
  <c r="AF1157" i="20"/>
  <c r="AG1045" i="20"/>
  <c r="AG1120" i="20"/>
  <c r="AH1045" i="20"/>
  <c r="AH1136" i="20"/>
  <c r="AI1037" i="20"/>
  <c r="AJ1059" i="20"/>
  <c r="AJ1157" i="20"/>
  <c r="AK1041" i="20"/>
  <c r="AN1089" i="20"/>
  <c r="AN1020" i="20"/>
  <c r="AK1028" i="20"/>
  <c r="AL1036" i="20"/>
  <c r="AI1036" i="20"/>
  <c r="AK1044" i="20"/>
  <c r="AL1052" i="20"/>
  <c r="AH1052" i="20"/>
  <c r="AJ1060" i="20"/>
  <c r="AK1068" i="20"/>
  <c r="AN1076" i="20"/>
  <c r="AI1076" i="20"/>
  <c r="AJ1084" i="20"/>
  <c r="AL1092" i="20"/>
  <c r="AN1100" i="20"/>
  <c r="AI1100" i="20"/>
  <c r="AK1108" i="20"/>
  <c r="AL1116" i="20"/>
  <c r="AH1116" i="20"/>
  <c r="AK1124" i="20"/>
  <c r="AL1132" i="20"/>
  <c r="AH1132" i="20"/>
  <c r="AK1140" i="20"/>
  <c r="AL1148" i="20"/>
  <c r="AH1148" i="20"/>
  <c r="AK1156" i="20"/>
  <c r="AL1164" i="20"/>
  <c r="AH1164" i="20"/>
  <c r="AK1172" i="20"/>
  <c r="AL1180" i="20"/>
  <c r="AH1180" i="20"/>
  <c r="AK1184" i="20"/>
  <c r="AL1192" i="20"/>
  <c r="AH1192" i="20"/>
  <c r="AD1192" i="20"/>
  <c r="Y1112" i="20"/>
  <c r="Z1080" i="20"/>
  <c r="AA1048" i="20"/>
  <c r="AB1096" i="20"/>
  <c r="AC1136" i="20"/>
  <c r="AD1180" i="20"/>
  <c r="AE1168" i="20"/>
  <c r="Y1056" i="20"/>
  <c r="Y1120" i="20"/>
  <c r="Y1184" i="20"/>
  <c r="Z1072" i="20"/>
  <c r="Z1136" i="20"/>
  <c r="AA1024" i="20"/>
  <c r="AA1088" i="20"/>
  <c r="AA1152" i="20"/>
  <c r="AB1040" i="20"/>
  <c r="AB1104" i="20"/>
  <c r="AB1168" i="20"/>
  <c r="AC1056" i="20"/>
  <c r="AC1132" i="20"/>
  <c r="AD1028" i="20"/>
  <c r="AD1120" i="20"/>
  <c r="AE1036" i="20"/>
  <c r="AE1108" i="20"/>
  <c r="AF1024" i="20"/>
  <c r="AF1116" i="20"/>
  <c r="AF1188" i="20"/>
  <c r="AG1104" i="20"/>
  <c r="AH1056" i="20"/>
  <c r="AH1184" i="20"/>
  <c r="AK1019" i="20"/>
  <c r="AF1019" i="20"/>
  <c r="AL1023" i="20"/>
  <c r="AG1023" i="20"/>
  <c r="AK1023" i="20"/>
  <c r="AH1027" i="20"/>
  <c r="AD1027" i="20"/>
  <c r="AK1031" i="20"/>
  <c r="AF1031" i="20"/>
  <c r="AK1035" i="20"/>
  <c r="AE1035" i="20"/>
  <c r="AK1039" i="20"/>
  <c r="AF1039" i="20"/>
  <c r="AI1039" i="20"/>
  <c r="AG1043" i="20"/>
  <c r="AL1043" i="20"/>
  <c r="AJ1047" i="20"/>
  <c r="AE1047" i="20"/>
  <c r="AN1051" i="20"/>
  <c r="AF1051" i="20"/>
  <c r="AK1055" i="20"/>
  <c r="AF1055" i="20"/>
  <c r="AJ1055" i="20"/>
  <c r="AG1059" i="20"/>
  <c r="AK1059" i="20"/>
  <c r="AN1063" i="20"/>
  <c r="AE1063" i="20"/>
  <c r="AJ1067" i="20"/>
  <c r="AE1067" i="20"/>
  <c r="AN1071" i="20"/>
  <c r="AG1071" i="20"/>
  <c r="AN1075" i="20"/>
  <c r="AG1075" i="20"/>
  <c r="AK1075" i="20"/>
  <c r="AH1079" i="20"/>
  <c r="AD1079" i="20"/>
  <c r="AG1083" i="20"/>
  <c r="AI1083" i="20"/>
  <c r="AN1087" i="20"/>
  <c r="AE1087" i="20"/>
  <c r="AH1091" i="20"/>
  <c r="AD1091" i="20"/>
  <c r="AJ1095" i="20"/>
  <c r="AE1095" i="20"/>
  <c r="AN1099" i="20"/>
  <c r="AF1099" i="20"/>
  <c r="AN1103" i="20"/>
  <c r="AH1103" i="20"/>
  <c r="AD1103" i="20"/>
  <c r="AH1107" i="20"/>
  <c r="AD1107" i="20"/>
  <c r="AJ1111" i="20"/>
  <c r="AE1111" i="20"/>
  <c r="AN1115" i="20"/>
  <c r="AF1115" i="20"/>
  <c r="AK1115" i="20"/>
  <c r="AH1119" i="20"/>
  <c r="AD1119" i="20"/>
  <c r="AI1123" i="20"/>
  <c r="AE1123" i="20"/>
  <c r="AL1123" i="20"/>
  <c r="AN1127" i="20"/>
  <c r="AE1127" i="20"/>
  <c r="AK1131" i="20"/>
  <c r="AF1131" i="20"/>
  <c r="AI1131" i="20"/>
  <c r="AH1135" i="20"/>
  <c r="AD1135" i="20"/>
  <c r="AI1139" i="20"/>
  <c r="AE1139" i="20"/>
  <c r="AL1143" i="20"/>
  <c r="AG1143" i="20"/>
  <c r="AC1143" i="20"/>
  <c r="AG1147" i="20"/>
  <c r="AC1147" i="20"/>
  <c r="AK1151" i="20"/>
  <c r="AG1151" i="20"/>
  <c r="AC1151" i="20"/>
  <c r="AG1155" i="20"/>
  <c r="AC1155" i="20"/>
  <c r="AK1159" i="20"/>
  <c r="AG1159" i="20"/>
  <c r="AC1159" i="20"/>
  <c r="AH1163" i="20"/>
  <c r="AD1163" i="20"/>
  <c r="AL1167" i="20"/>
  <c r="AG1167" i="20"/>
  <c r="AC1167" i="20"/>
  <c r="AG1171" i="20"/>
  <c r="AC1171" i="20"/>
  <c r="AL1175" i="20"/>
  <c r="AH1175" i="20"/>
  <c r="AD1175" i="20"/>
  <c r="AI1179" i="20"/>
  <c r="AE1179" i="20"/>
  <c r="AL1183" i="20"/>
  <c r="AG1183" i="20"/>
  <c r="AC1183" i="20"/>
  <c r="AH1187" i="20"/>
  <c r="AD1187" i="20"/>
  <c r="AL1191" i="20"/>
  <c r="AN1191" i="20"/>
  <c r="AE1191" i="20"/>
  <c r="Y1031" i="20"/>
  <c r="Y1063" i="20"/>
  <c r="Y1095" i="20"/>
  <c r="Y1127" i="20"/>
  <c r="Y1159" i="20"/>
  <c r="Y1191" i="20"/>
  <c r="Z1047" i="20"/>
  <c r="Z1079" i="20"/>
  <c r="Z1111" i="20"/>
  <c r="Z1143" i="20"/>
  <c r="Z1175" i="20"/>
  <c r="AA1031" i="20"/>
  <c r="AA1063" i="20"/>
  <c r="AA1095" i="20"/>
  <c r="AA1127" i="20"/>
  <c r="AC1025" i="20"/>
  <c r="AC1162" i="20"/>
  <c r="AA1147" i="20"/>
  <c r="AI1051" i="20"/>
  <c r="AA1019" i="20"/>
  <c r="Y1107" i="20"/>
  <c r="AB1008" i="20"/>
  <c r="Y1139" i="20"/>
  <c r="Z1121" i="20"/>
  <c r="Z1010" i="20"/>
  <c r="AA1010" i="20"/>
  <c r="Y1021" i="20"/>
  <c r="AD1049" i="20"/>
  <c r="AH1065" i="20"/>
  <c r="AA1077" i="20"/>
  <c r="AG1093" i="20"/>
  <c r="AB1105" i="20"/>
  <c r="Y1121" i="20"/>
  <c r="AD1137" i="20"/>
  <c r="AA1149" i="20"/>
  <c r="Z1165" i="20"/>
  <c r="AG1177" i="20"/>
  <c r="AH1193" i="20"/>
  <c r="Z1133" i="20"/>
  <c r="AF1022" i="20"/>
  <c r="AE1046" i="20"/>
  <c r="AH1066" i="20"/>
  <c r="AF1086" i="20"/>
  <c r="AH1110" i="20"/>
  <c r="AJ1130" i="20"/>
  <c r="AN1150" i="20"/>
  <c r="AL1166" i="20"/>
  <c r="AG1182" i="20"/>
  <c r="AE1182" i="20"/>
  <c r="AJ1030" i="20"/>
  <c r="AJ1099" i="20"/>
  <c r="AA1155" i="20"/>
  <c r="AE1190" i="20"/>
  <c r="AJ1024" i="20"/>
  <c r="AI1040" i="20"/>
  <c r="AN1064" i="20"/>
  <c r="AL1080" i="20"/>
  <c r="AK1096" i="20"/>
  <c r="AJ1112" i="20"/>
  <c r="AL1120" i="20"/>
  <c r="AI1128" i="20"/>
  <c r="AL1136" i="20"/>
  <c r="AI1144" i="20"/>
  <c r="AL1152" i="20"/>
  <c r="AI1160" i="20"/>
  <c r="AL1168" i="20"/>
  <c r="AI1176" i="20"/>
  <c r="AL1188" i="20"/>
  <c r="Y1160" i="20"/>
  <c r="AA1032" i="20"/>
  <c r="AB1048" i="20"/>
  <c r="AC1064" i="20"/>
  <c r="AD1152" i="20"/>
  <c r="AF1084" i="20"/>
  <c r="AG1072" i="20"/>
  <c r="AH1152" i="20"/>
  <c r="AG1021" i="20"/>
  <c r="AH1025" i="20"/>
  <c r="AN1037" i="20"/>
  <c r="AD1037" i="20"/>
  <c r="AJ1045" i="20"/>
  <c r="AH1053" i="20"/>
  <c r="AJ1057" i="20"/>
  <c r="AI1065" i="20"/>
  <c r="AH1069" i="20"/>
  <c r="AN1069" i="20"/>
  <c r="AH1073" i="20"/>
  <c r="AN1081" i="20"/>
  <c r="AJ1085" i="20"/>
  <c r="AE1085" i="20"/>
  <c r="AN1093" i="20"/>
  <c r="AJ1097" i="20"/>
  <c r="AJ1101" i="20"/>
  <c r="AD1101" i="20"/>
  <c r="AI1105" i="20"/>
  <c r="AN1109" i="20"/>
  <c r="AK1117" i="20"/>
  <c r="AE1117" i="20"/>
  <c r="AN1121" i="20"/>
  <c r="AK1125" i="20"/>
  <c r="AL1129" i="20"/>
  <c r="AN1133" i="20"/>
  <c r="AD1133" i="20"/>
  <c r="AL1141" i="20"/>
  <c r="AN1145" i="20"/>
  <c r="AI1149" i="20"/>
  <c r="AE1149" i="20"/>
  <c r="AN1153" i="20"/>
  <c r="AK1157" i="20"/>
  <c r="AL1165" i="20"/>
  <c r="AH1165" i="20"/>
  <c r="AD1165" i="20"/>
  <c r="AJ1169" i="20"/>
  <c r="AK1173" i="20"/>
  <c r="AK1177" i="20"/>
  <c r="AJ1181" i="20"/>
  <c r="AF1181" i="20"/>
  <c r="AN1181" i="20"/>
  <c r="AI1185" i="20"/>
  <c r="AL1189" i="20"/>
  <c r="AI1193" i="20"/>
  <c r="Y1039" i="20"/>
  <c r="Y1060" i="20"/>
  <c r="Y1081" i="20"/>
  <c r="Y1103" i="20"/>
  <c r="Y1124" i="20"/>
  <c r="Y1145" i="20"/>
  <c r="Y1167" i="20"/>
  <c r="Y1188" i="20"/>
  <c r="Z1033" i="20"/>
  <c r="Z1055" i="20"/>
  <c r="Z1076" i="20"/>
  <c r="Z1097" i="20"/>
  <c r="Z1119" i="20"/>
  <c r="Z1140" i="20"/>
  <c r="Z1161" i="20"/>
  <c r="Z1183" i="20"/>
  <c r="AA1028" i="20"/>
  <c r="AA1049" i="20"/>
  <c r="AA1071" i="20"/>
  <c r="AA1092" i="20"/>
  <c r="AA1113" i="20"/>
  <c r="AA1135" i="20"/>
  <c r="AA1156" i="20"/>
  <c r="AA1177" i="20"/>
  <c r="AB1023" i="20"/>
  <c r="AB1044" i="20"/>
  <c r="AB1065" i="20"/>
  <c r="AB1087" i="20"/>
  <c r="AB1108" i="20"/>
  <c r="AB1140" i="20"/>
  <c r="AB1172" i="20"/>
  <c r="AC1028" i="20"/>
  <c r="AC1060" i="20"/>
  <c r="AC1092" i="20"/>
  <c r="AC1145" i="20"/>
  <c r="AD1025" i="20"/>
  <c r="AD1089" i="20"/>
  <c r="AD1140" i="20"/>
  <c r="AD1189" i="20"/>
  <c r="AE1056" i="20"/>
  <c r="AE1113" i="20"/>
  <c r="AE1169" i="20"/>
  <c r="AF1057" i="20"/>
  <c r="AF1121" i="20"/>
  <c r="AF1185" i="20"/>
  <c r="AG1073" i="20"/>
  <c r="AG1129" i="20"/>
  <c r="AH1072" i="20"/>
  <c r="AH1145" i="20"/>
  <c r="AI1085" i="20"/>
  <c r="AJ1109" i="20"/>
  <c r="AJ1173" i="20"/>
  <c r="AK1113" i="20"/>
  <c r="AL1020" i="20"/>
  <c r="AI1020" i="20"/>
  <c r="AJ1028" i="20"/>
  <c r="AK1036" i="20"/>
  <c r="AH1036" i="20"/>
  <c r="AJ1044" i="20"/>
  <c r="AK1052" i="20"/>
  <c r="AN1060" i="20"/>
  <c r="AI1060" i="20"/>
  <c r="AJ1068" i="20"/>
  <c r="AL1076" i="20"/>
  <c r="AN1084" i="20"/>
  <c r="AI1084" i="20"/>
  <c r="AK1092" i="20"/>
  <c r="AL1100" i="20"/>
  <c r="AH1100" i="20"/>
  <c r="AJ1108" i="20"/>
  <c r="AK1116" i="20"/>
  <c r="AG1116" i="20"/>
  <c r="AJ1124" i="20"/>
  <c r="AK1132" i="20"/>
  <c r="AG1132" i="20"/>
  <c r="AJ1140" i="20"/>
  <c r="AK1148" i="20"/>
  <c r="AG1148" i="20"/>
  <c r="AJ1156" i="20"/>
  <c r="AK1164" i="20"/>
  <c r="AG1164" i="20"/>
  <c r="AJ1172" i="20"/>
  <c r="AK1180" i="20"/>
  <c r="AG1180" i="20"/>
  <c r="AJ1184" i="20"/>
  <c r="AK1192" i="20"/>
  <c r="AG1192" i="20"/>
  <c r="AC1192" i="20"/>
  <c r="Y1144" i="20"/>
  <c r="Z1096" i="20"/>
  <c r="AA1096" i="20"/>
  <c r="AB1144" i="20"/>
  <c r="AD1024" i="20"/>
  <c r="AD1188" i="20"/>
  <c r="Y1072" i="20"/>
  <c r="Y1136" i="20"/>
  <c r="Z1024" i="20"/>
  <c r="Z1088" i="20"/>
  <c r="Z1152" i="20"/>
  <c r="AA1040" i="20"/>
  <c r="AA1104" i="20"/>
  <c r="AA1168" i="20"/>
  <c r="AB1056" i="20"/>
  <c r="AB1120" i="20"/>
  <c r="AB1184" i="20"/>
  <c r="AC1072" i="20"/>
  <c r="AC1140" i="20"/>
  <c r="AD1056" i="20"/>
  <c r="AD1148" i="20"/>
  <c r="AE1044" i="20"/>
  <c r="AE1136" i="20"/>
  <c r="AF1052" i="20"/>
  <c r="AF1124" i="20"/>
  <c r="AG1040" i="20"/>
  <c r="AG1124" i="20"/>
  <c r="AH1076" i="20"/>
  <c r="AI1019" i="20"/>
  <c r="AE1019" i="20"/>
  <c r="AN1023" i="20"/>
  <c r="AF1023" i="20"/>
  <c r="AN1027" i="20"/>
  <c r="AG1027" i="20"/>
  <c r="AL1027" i="20"/>
  <c r="AJ1031" i="20"/>
  <c r="AE1031" i="20"/>
  <c r="AH1035" i="20"/>
  <c r="AD1035" i="20"/>
  <c r="AJ1039" i="20"/>
  <c r="AE1039" i="20"/>
  <c r="AN1043" i="20"/>
  <c r="AF1043" i="20"/>
  <c r="AK1043" i="20"/>
  <c r="AH1047" i="20"/>
  <c r="AD1047" i="20"/>
  <c r="AL1051" i="20"/>
  <c r="AE1051" i="20"/>
  <c r="AN1055" i="20"/>
  <c r="AE1055" i="20"/>
  <c r="AN1059" i="20"/>
  <c r="AF1059" i="20"/>
  <c r="AL1063" i="20"/>
  <c r="AH1063" i="20"/>
  <c r="AD1063" i="20"/>
  <c r="AH1067" i="20"/>
  <c r="AD1067" i="20"/>
  <c r="AL1071" i="20"/>
  <c r="AF1071" i="20"/>
  <c r="AJ1075" i="20"/>
  <c r="AF1075" i="20"/>
  <c r="AL1079" i="20"/>
  <c r="AG1079" i="20"/>
  <c r="AN1083" i="20"/>
  <c r="AF1083" i="20"/>
  <c r="AJ1083" i="20"/>
  <c r="AH1087" i="20"/>
  <c r="AD1087" i="20"/>
  <c r="AG1091" i="20"/>
  <c r="AK1091" i="20"/>
  <c r="AH1095" i="20"/>
  <c r="AD1095" i="20"/>
  <c r="AK1099" i="20"/>
  <c r="AE1099" i="20"/>
  <c r="AL1103" i="20"/>
  <c r="AG1103" i="20"/>
  <c r="AI1103" i="20"/>
  <c r="AG1107" i="20"/>
  <c r="AC1107" i="20"/>
  <c r="AH1111" i="20"/>
  <c r="AD1111" i="20"/>
  <c r="AL1115" i="20"/>
  <c r="AE1115" i="20"/>
  <c r="AL1119" i="20"/>
  <c r="AG1119" i="20"/>
  <c r="AC1119" i="20"/>
  <c r="AH1123" i="20"/>
  <c r="AD1123" i="20"/>
  <c r="AL1127" i="20"/>
  <c r="AH1127" i="20"/>
  <c r="AD1127" i="20"/>
  <c r="AJ1131" i="20"/>
  <c r="AE1131" i="20"/>
  <c r="AN1135" i="20"/>
  <c r="AG1135" i="20"/>
  <c r="AC1135" i="20"/>
  <c r="AH1139" i="20"/>
  <c r="AD1139" i="20"/>
  <c r="AK1143" i="20"/>
  <c r="AF1143" i="20"/>
  <c r="AN1147" i="20"/>
  <c r="AF1147" i="20"/>
  <c r="AK1147" i="20"/>
  <c r="AN1151" i="20"/>
  <c r="AF1151" i="20"/>
  <c r="AJ1151" i="20"/>
  <c r="AF1155" i="20"/>
  <c r="AL1155" i="20"/>
  <c r="AJ1159" i="20"/>
  <c r="AF1159" i="20"/>
  <c r="AN1159" i="20"/>
  <c r="AG1163" i="20"/>
  <c r="AC1163" i="20"/>
  <c r="AK1167" i="20"/>
  <c r="AF1167" i="20"/>
  <c r="AI1167" i="20"/>
  <c r="AF1171" i="20"/>
  <c r="AL1171" i="20"/>
  <c r="AG1184" i="20"/>
  <c r="AC1178" i="20"/>
  <c r="Z1027" i="20"/>
  <c r="AF925" i="20"/>
  <c r="Z1021" i="20"/>
  <c r="AG1065" i="20"/>
  <c r="AB1093" i="20"/>
  <c r="AE1121" i="20"/>
  <c r="AC1153" i="20"/>
  <c r="AF1177" i="20"/>
  <c r="Z1157" i="20"/>
  <c r="AE1018" i="20"/>
  <c r="AK1054" i="20"/>
  <c r="AE1098" i="20"/>
  <c r="AG1142" i="20"/>
  <c r="AH1174" i="20"/>
  <c r="AG1150" i="20"/>
  <c r="Y1035" i="20"/>
  <c r="AI1078" i="20"/>
  <c r="AF1048" i="20"/>
  <c r="AD1080" i="20"/>
  <c r="AE1112" i="20"/>
  <c r="AE1128" i="20"/>
  <c r="AE1144" i="20"/>
  <c r="AE1160" i="20"/>
  <c r="AE1176" i="20"/>
  <c r="Z1112" i="20"/>
  <c r="AB1128" i="20"/>
  <c r="AE1140" i="20"/>
  <c r="AH1024" i="20"/>
  <c r="AN1025" i="20"/>
  <c r="AH1037" i="20"/>
  <c r="AJ1049" i="20"/>
  <c r="AK1061" i="20"/>
  <c r="AF1069" i="20"/>
  <c r="AN1077" i="20"/>
  <c r="AG1085" i="20"/>
  <c r="AK1093" i="20"/>
  <c r="AG1101" i="20"/>
  <c r="AL1109" i="20"/>
  <c r="AH1117" i="20"/>
  <c r="AG1121" i="20"/>
  <c r="AK1133" i="20"/>
  <c r="AL1137" i="20"/>
  <c r="AL1149" i="20"/>
  <c r="AK1153" i="20"/>
  <c r="AN1161" i="20"/>
  <c r="AF1165" i="20"/>
  <c r="AG1169" i="20"/>
  <c r="AL1181" i="20"/>
  <c r="AD1181" i="20"/>
  <c r="AG1185" i="20"/>
  <c r="Y1028" i="20"/>
  <c r="Y1071" i="20"/>
  <c r="Y1113" i="20"/>
  <c r="Y1156" i="20"/>
  <c r="Z1023" i="20"/>
  <c r="Z1065" i="20"/>
  <c r="Z1108" i="20"/>
  <c r="Z1151" i="20"/>
  <c r="Z1193" i="20"/>
  <c r="AA1060" i="20"/>
  <c r="AA1103" i="20"/>
  <c r="AA1145" i="20"/>
  <c r="AA1188" i="20"/>
  <c r="AB1055" i="20"/>
  <c r="AB1097" i="20"/>
  <c r="AB1156" i="20"/>
  <c r="AC1044" i="20"/>
  <c r="AC1109" i="20"/>
  <c r="AD1040" i="20"/>
  <c r="AD1161" i="20"/>
  <c r="AE1092" i="20"/>
  <c r="AE1184" i="20"/>
  <c r="AF1136" i="20"/>
  <c r="AG1088" i="20"/>
  <c r="AH1109" i="20"/>
  <c r="AJ1041" i="20"/>
  <c r="AK1025" i="20"/>
  <c r="AJ1020" i="20"/>
  <c r="AN1028" i="20"/>
  <c r="AL1044" i="20"/>
  <c r="AI1052" i="20"/>
  <c r="AL1068" i="20"/>
  <c r="AJ1076" i="20"/>
  <c r="AN1092" i="20"/>
  <c r="AJ1100" i="20"/>
  <c r="AN1116" i="20"/>
  <c r="AL1124" i="20"/>
  <c r="AI1132" i="20"/>
  <c r="AN1148" i="20"/>
  <c r="AL1156" i="20"/>
  <c r="AI1164" i="20"/>
  <c r="AN1180" i="20"/>
  <c r="AL1184" i="20"/>
  <c r="AI1192" i="20"/>
  <c r="Y1080" i="20"/>
  <c r="Z1176" i="20"/>
  <c r="AC1108" i="20"/>
  <c r="AE1076" i="20"/>
  <c r="Y1088" i="20"/>
  <c r="Z1040" i="20"/>
  <c r="Z1168" i="20"/>
  <c r="AA1120" i="20"/>
  <c r="AB1072" i="20"/>
  <c r="AC1024" i="20"/>
  <c r="AC1168" i="20"/>
  <c r="AD1156" i="20"/>
  <c r="AE1164" i="20"/>
  <c r="AF1152" i="20"/>
  <c r="AG1168" i="20"/>
  <c r="AG1019" i="20"/>
  <c r="AH1023" i="20"/>
  <c r="AI1027" i="20"/>
  <c r="AL1031" i="20"/>
  <c r="AI1031" i="20"/>
  <c r="AL1039" i="20"/>
  <c r="AN1039" i="20"/>
  <c r="AD1043" i="20"/>
  <c r="AF1047" i="20"/>
  <c r="AG1051" i="20"/>
  <c r="AG1055" i="20"/>
  <c r="AH1059" i="20"/>
  <c r="AJ1063" i="20"/>
  <c r="AK1067" i="20"/>
  <c r="AI1067" i="20"/>
  <c r="AD1071" i="20"/>
  <c r="AD1075" i="20"/>
  <c r="AE1079" i="20"/>
  <c r="AD1083" i="20"/>
  <c r="AF1087" i="20"/>
  <c r="AE1091" i="20"/>
  <c r="AF1095" i="20"/>
  <c r="AG1099" i="20"/>
  <c r="AJ1103" i="20"/>
  <c r="AI1107" i="20"/>
  <c r="AK1111" i="20"/>
  <c r="AI1111" i="20"/>
  <c r="AC1115" i="20"/>
  <c r="AE1119" i="20"/>
  <c r="AF1123" i="20"/>
  <c r="AJ1127" i="20"/>
  <c r="AN1131" i="20"/>
  <c r="AC1131" i="20"/>
  <c r="AE1135" i="20"/>
  <c r="AF1139" i="20"/>
  <c r="AH1143" i="20"/>
  <c r="AH1147" i="20"/>
  <c r="AL1151" i="20"/>
  <c r="AD1151" i="20"/>
  <c r="AD1155" i="20"/>
  <c r="AH1159" i="20"/>
  <c r="AK1163" i="20"/>
  <c r="AN1167" i="20"/>
  <c r="AD1167" i="20"/>
  <c r="AD1171" i="20"/>
  <c r="AJ1175" i="20"/>
  <c r="AE1175" i="20"/>
  <c r="AH1179" i="20"/>
  <c r="AC1179" i="20"/>
  <c r="AH1183" i="20"/>
  <c r="AI1183" i="20"/>
  <c r="AF1187" i="20"/>
  <c r="AJ1187" i="20"/>
  <c r="AH1191" i="20"/>
  <c r="AC1191" i="20"/>
  <c r="Y1052" i="20"/>
  <c r="Y1100" i="20"/>
  <c r="Y1143" i="20"/>
  <c r="Y1180" i="20"/>
  <c r="Z1052" i="20"/>
  <c r="Z1095" i="20"/>
  <c r="Z1132" i="20"/>
  <c r="Z1180" i="20"/>
  <c r="AA1047" i="20"/>
  <c r="AA1084" i="20"/>
  <c r="AA1132" i="20"/>
  <c r="AA1164" i="20"/>
  <c r="AB1020" i="20"/>
  <c r="AB1052" i="20"/>
  <c r="AB1084" i="20"/>
  <c r="AB1116" i="20"/>
  <c r="AB1148" i="20"/>
  <c r="AB1180" i="20"/>
  <c r="AC1036" i="20"/>
  <c r="AC1068" i="20"/>
  <c r="AC1100" i="20"/>
  <c r="AC1184" i="20"/>
  <c r="AD1057" i="20"/>
  <c r="AD1100" i="20"/>
  <c r="AD1136" i="20"/>
  <c r="AD1185" i="20"/>
  <c r="AE1052" i="20"/>
  <c r="AE1088" i="20"/>
  <c r="AE1137" i="20"/>
  <c r="AE1180" i="20"/>
  <c r="AF1040" i="20"/>
  <c r="AF1089" i="20"/>
  <c r="AF1132" i="20"/>
  <c r="AF1168" i="20"/>
  <c r="AG1041" i="20"/>
  <c r="AG1084" i="20"/>
  <c r="AG1152" i="20"/>
  <c r="AH1040" i="20"/>
  <c r="AH1104" i="20"/>
  <c r="AH1168" i="20"/>
  <c r="AI1057" i="20"/>
  <c r="AI1115" i="20"/>
  <c r="AJ1087" i="20"/>
  <c r="AK1083" i="20"/>
  <c r="AL1049" i="20"/>
  <c r="AN1057" i="20"/>
  <c r="AL1018" i="20"/>
  <c r="AK1026" i="20"/>
  <c r="AN1034" i="20"/>
  <c r="AI1038" i="20"/>
  <c r="AJ1042" i="20"/>
  <c r="AN1050" i="20"/>
  <c r="AJ1054" i="20"/>
  <c r="AK1058" i="20"/>
  <c r="AN1066" i="20"/>
  <c r="AI1070" i="20"/>
  <c r="AJ1074" i="20"/>
  <c r="AL1082" i="20"/>
  <c r="AI1086" i="20"/>
  <c r="AJ1090" i="20"/>
  <c r="AL1098" i="20"/>
  <c r="AN1106" i="20"/>
  <c r="AN1110" i="20"/>
  <c r="AL1114" i="20"/>
  <c r="AI1118" i="20"/>
  <c r="AJ1122" i="20"/>
  <c r="AL1130" i="20"/>
  <c r="AN1138" i="20"/>
  <c r="AN1142" i="20"/>
  <c r="AK1146" i="20"/>
  <c r="AK1154" i="20"/>
  <c r="AL1158" i="20"/>
  <c r="AK1162" i="20"/>
  <c r="AL1170" i="20"/>
  <c r="AN1174" i="20"/>
  <c r="AL1178" i="20"/>
  <c r="AN1186" i="20"/>
  <c r="AI1186" i="20"/>
  <c r="Y1022" i="20"/>
  <c r="Y1038" i="20"/>
  <c r="Y1054" i="20"/>
  <c r="Y1070" i="20"/>
  <c r="Y1086" i="20"/>
  <c r="Y1102" i="20"/>
  <c r="Y1118" i="20"/>
  <c r="Y1134" i="20"/>
  <c r="Y1150" i="20"/>
  <c r="Y1166" i="20"/>
  <c r="Y1182" i="20"/>
  <c r="Z1022" i="20"/>
  <c r="Z1038" i="20"/>
  <c r="Z1054" i="20"/>
  <c r="Z1070" i="20"/>
  <c r="Z1086" i="20"/>
  <c r="Z1102" i="20"/>
  <c r="Z1118" i="20"/>
  <c r="Z1134" i="20"/>
  <c r="Z1150" i="20"/>
  <c r="Z1166" i="20"/>
  <c r="Z1182" i="20"/>
  <c r="AA1022" i="20"/>
  <c r="AA1038" i="20"/>
  <c r="AA1054" i="20"/>
  <c r="AA1070" i="20"/>
  <c r="AA1086" i="20"/>
  <c r="AA1102" i="20"/>
  <c r="AA1118" i="20"/>
  <c r="AA1134" i="20"/>
  <c r="AA1150" i="20"/>
  <c r="AA1166" i="20"/>
  <c r="AA1182" i="20"/>
  <c r="AB1022" i="20"/>
  <c r="AB1038" i="20"/>
  <c r="AB1054" i="20"/>
  <c r="AB1070" i="20"/>
  <c r="AB1086" i="20"/>
  <c r="AB1102" i="20"/>
  <c r="AB1118" i="20"/>
  <c r="AB1134" i="20"/>
  <c r="AB1150" i="20"/>
  <c r="AB1166" i="20"/>
  <c r="AB1182" i="20"/>
  <c r="AC1022" i="20"/>
  <c r="AC1038" i="20"/>
  <c r="AC1054" i="20"/>
  <c r="AC1070" i="20"/>
  <c r="AC1086" i="20"/>
  <c r="AC1102" i="20"/>
  <c r="AC1154" i="20"/>
  <c r="AD1042" i="20"/>
  <c r="AD1106" i="20"/>
  <c r="AD1170" i="20"/>
  <c r="AE1058" i="20"/>
  <c r="AE1122" i="20"/>
  <c r="AE1186" i="20"/>
  <c r="AF1074" i="20"/>
  <c r="AF1138" i="20"/>
  <c r="AG1026" i="20"/>
  <c r="AG1090" i="20"/>
  <c r="AG1154" i="20"/>
  <c r="AH1042" i="20"/>
  <c r="AH1106" i="20"/>
  <c r="AH1170" i="20"/>
  <c r="AI1062" i="20"/>
  <c r="AJ1038" i="20"/>
  <c r="AJ1114" i="20"/>
  <c r="AJ1190" i="20"/>
  <c r="AK1190" i="20"/>
  <c r="AE1012" i="20"/>
  <c r="AL1016" i="20"/>
  <c r="AI1015" i="20"/>
  <c r="AH1016" i="20"/>
  <c r="AE1015" i="20"/>
  <c r="AD1016" i="20"/>
  <c r="AA1015" i="20"/>
  <c r="Z1016" i="20"/>
  <c r="AI1008" i="20"/>
  <c r="AA1008" i="20"/>
  <c r="AL1007" i="20"/>
  <c r="AK1008" i="20"/>
  <c r="AH1007" i="20"/>
  <c r="AG1008" i="20"/>
  <c r="AD1007" i="20"/>
  <c r="AC1008" i="20"/>
  <c r="AG925" i="20"/>
  <c r="AE1008" i="20"/>
  <c r="AL1012" i="20"/>
  <c r="AI1011" i="20"/>
  <c r="AH1012" i="20"/>
  <c r="AD1012" i="20"/>
  <c r="AA1011" i="20"/>
  <c r="AK1004" i="20"/>
  <c r="AG1004" i="20"/>
  <c r="AC1004" i="20"/>
  <c r="AB1099" i="20"/>
  <c r="Y1006" i="20"/>
  <c r="AC1077" i="20"/>
  <c r="Y1137" i="20"/>
  <c r="AJ1193" i="20"/>
  <c r="AF1078" i="20"/>
  <c r="AE1158" i="20"/>
  <c r="AD1022" i="20"/>
  <c r="AE1064" i="20"/>
  <c r="AN1128" i="20"/>
  <c r="AN1160" i="20"/>
  <c r="Y1032" i="20"/>
  <c r="AC1172" i="20"/>
  <c r="AK1021" i="20"/>
  <c r="AH1041" i="20"/>
  <c r="AK1069" i="20"/>
  <c r="AL1081" i="20"/>
  <c r="AL1105" i="20"/>
  <c r="AI1117" i="20"/>
  <c r="AA1029" i="20"/>
  <c r="AE1178" i="20"/>
  <c r="AK1123" i="20"/>
  <c r="AE1033" i="20"/>
  <c r="AF1073" i="20"/>
  <c r="AI1101" i="20"/>
  <c r="AH1129" i="20"/>
  <c r="AB1157" i="20"/>
  <c r="AB1185" i="20"/>
  <c r="AB1149" i="20"/>
  <c r="AD1034" i="20"/>
  <c r="AF1070" i="20"/>
  <c r="AF1118" i="20"/>
  <c r="AH1158" i="20"/>
  <c r="AC1142" i="20"/>
  <c r="AC1059" i="20"/>
  <c r="AJ1032" i="20"/>
  <c r="AH1064" i="20"/>
  <c r="AF1096" i="20"/>
  <c r="AI1120" i="20"/>
  <c r="AI1136" i="20"/>
  <c r="AI1152" i="20"/>
  <c r="AI1168" i="20"/>
  <c r="AI1188" i="20"/>
  <c r="AA1112" i="20"/>
  <c r="AC1164" i="20"/>
  <c r="AF1148" i="20"/>
  <c r="AL1021" i="20"/>
  <c r="AJ1029" i="20"/>
  <c r="AI1041" i="20"/>
  <c r="AE1053" i="20"/>
  <c r="AL1069" i="20"/>
  <c r="AL1073" i="20"/>
  <c r="AI1081" i="20"/>
  <c r="AK1089" i="20"/>
  <c r="AI1097" i="20"/>
  <c r="AN1105" i="20"/>
  <c r="AI1113" i="20"/>
  <c r="AD1117" i="20"/>
  <c r="AJ1125" i="20"/>
  <c r="AH1133" i="20"/>
  <c r="AK1141" i="20"/>
  <c r="AN1149" i="20"/>
  <c r="AH1153" i="20"/>
  <c r="AK1165" i="20"/>
  <c r="AC1165" i="20"/>
  <c r="AN1173" i="20"/>
  <c r="AI1181" i="20"/>
  <c r="AK1185" i="20"/>
  <c r="AK1189" i="20"/>
  <c r="Y1044" i="20"/>
  <c r="Y1087" i="20"/>
  <c r="Y1129" i="20"/>
  <c r="Y1172" i="20"/>
  <c r="Z1039" i="20"/>
  <c r="Z1081" i="20"/>
  <c r="Z1124" i="20"/>
  <c r="Z1167" i="20"/>
  <c r="AA1033" i="20"/>
  <c r="AA1076" i="20"/>
  <c r="AA1119" i="20"/>
  <c r="AA1161" i="20"/>
  <c r="AB1028" i="20"/>
  <c r="AB1071" i="20"/>
  <c r="AB1113" i="20"/>
  <c r="AB1177" i="20"/>
  <c r="AC1065" i="20"/>
  <c r="AC1152" i="20"/>
  <c r="AD1097" i="20"/>
  <c r="AE1028" i="20"/>
  <c r="AE1120" i="20"/>
  <c r="AF1065" i="20"/>
  <c r="AF1193" i="20"/>
  <c r="AG1157" i="20"/>
  <c r="AH1173" i="20"/>
  <c r="AJ1129" i="20"/>
  <c r="AK1193" i="20"/>
  <c r="AH1020" i="20"/>
  <c r="AJ1036" i="20"/>
  <c r="AI1044" i="20"/>
  <c r="AL1060" i="20"/>
  <c r="AI1068" i="20"/>
  <c r="AL1084" i="20"/>
  <c r="AJ1092" i="20"/>
  <c r="AN1108" i="20"/>
  <c r="AJ1116" i="20"/>
  <c r="AI1124" i="20"/>
  <c r="AN1140" i="20"/>
  <c r="AJ1148" i="20"/>
  <c r="AI1156" i="20"/>
  <c r="AN1172" i="20"/>
  <c r="AJ1180" i="20"/>
  <c r="AI1184" i="20"/>
  <c r="AF1192" i="20"/>
  <c r="Y1176" i="20"/>
  <c r="AA1128" i="20"/>
  <c r="AD1088" i="20"/>
  <c r="Y1104" i="20"/>
  <c r="Z1056" i="20"/>
  <c r="Z1184" i="20"/>
  <c r="AA1136" i="20"/>
  <c r="AB1088" i="20"/>
  <c r="AC1040" i="20"/>
  <c r="AD1020" i="20"/>
  <c r="AD1184" i="20"/>
  <c r="AE1172" i="20"/>
  <c r="AF1180" i="20"/>
  <c r="AG1188" i="20"/>
  <c r="AN1019" i="20"/>
  <c r="AD1019" i="20"/>
  <c r="AE1023" i="20"/>
  <c r="AF1027" i="20"/>
  <c r="AH1031" i="20"/>
  <c r="AG1035" i="20"/>
  <c r="AH1039" i="20"/>
  <c r="AI1043" i="20"/>
  <c r="AL1047" i="20"/>
  <c r="AN1047" i="20"/>
  <c r="AD1051" i="20"/>
  <c r="AD1055" i="20"/>
  <c r="AE1059" i="20"/>
  <c r="AG1063" i="20"/>
  <c r="AG1067" i="20"/>
  <c r="AK1071" i="20"/>
  <c r="AI1075" i="20"/>
  <c r="AK1079" i="20"/>
  <c r="AL1083" i="20"/>
  <c r="AL1087" i="20"/>
  <c r="AN1091" i="20"/>
  <c r="AL1095" i="20"/>
  <c r="AN1095" i="20"/>
  <c r="AD1099" i="20"/>
  <c r="AF1103" i="20"/>
  <c r="AF1107" i="20"/>
  <c r="AG1111" i="20"/>
  <c r="AH1115" i="20"/>
  <c r="AK1119" i="20"/>
  <c r="AI1119" i="20"/>
  <c r="AC1123" i="20"/>
  <c r="AG1127" i="20"/>
  <c r="AH1131" i="20"/>
  <c r="AL1135" i="20"/>
  <c r="AN1139" i="20"/>
  <c r="AC1139" i="20"/>
  <c r="AE1143" i="20"/>
  <c r="AE1147" i="20"/>
  <c r="AI1151" i="20"/>
  <c r="AN1155" i="20"/>
  <c r="AI1155" i="20"/>
  <c r="AE1159" i="20"/>
  <c r="AF1163" i="20"/>
  <c r="AJ1167" i="20"/>
  <c r="AN1171" i="20"/>
  <c r="AJ1171" i="20"/>
  <c r="AI1175" i="20"/>
  <c r="AC1175" i="20"/>
  <c r="AG1179" i="20"/>
  <c r="AJ1179" i="20"/>
  <c r="AF1183" i="20"/>
  <c r="AN1187" i="20"/>
  <c r="AE1187" i="20"/>
  <c r="AK1191" i="20"/>
  <c r="AG1191" i="20"/>
  <c r="Y1020" i="20"/>
  <c r="Y1068" i="20"/>
  <c r="Y1111" i="20"/>
  <c r="Y1148" i="20"/>
  <c r="Z1020" i="20"/>
  <c r="Z1063" i="20"/>
  <c r="Z1100" i="20"/>
  <c r="Z1148" i="20"/>
  <c r="Z1191" i="20"/>
  <c r="AA1052" i="20"/>
  <c r="AA1100" i="20"/>
  <c r="AA1143" i="20"/>
  <c r="AA1175" i="20"/>
  <c r="AB1031" i="20"/>
  <c r="AB1063" i="20"/>
  <c r="AB1095" i="20"/>
  <c r="AB1127" i="20"/>
  <c r="AB1159" i="20"/>
  <c r="AB1191" i="20"/>
  <c r="AC1047" i="20"/>
  <c r="AC1079" i="20"/>
  <c r="AC1120" i="20"/>
  <c r="AD1029" i="20"/>
  <c r="AD1065" i="20"/>
  <c r="AD1108" i="20"/>
  <c r="AD1157" i="20"/>
  <c r="AD1193" i="20"/>
  <c r="AE1060" i="20"/>
  <c r="AE1109" i="20"/>
  <c r="AE1145" i="20"/>
  <c r="AE1188" i="20"/>
  <c r="AF1061" i="20"/>
  <c r="AF1097" i="20"/>
  <c r="AF1140" i="20"/>
  <c r="AF1189" i="20"/>
  <c r="AG1049" i="20"/>
  <c r="AG1092" i="20"/>
  <c r="AG1161" i="20"/>
  <c r="AH1049" i="20"/>
  <c r="AH1113" i="20"/>
  <c r="AH1177" i="20"/>
  <c r="AI1071" i="20"/>
  <c r="AI1153" i="20"/>
  <c r="AJ1119" i="20"/>
  <c r="AK1155" i="20"/>
  <c r="AL1075" i="20"/>
  <c r="AN1117" i="20"/>
  <c r="AJ1018" i="20"/>
  <c r="AJ1026" i="20"/>
  <c r="AL1034" i="20"/>
  <c r="AN1042" i="20"/>
  <c r="AN1046" i="20"/>
  <c r="AL1050" i="20"/>
  <c r="AI1054" i="20"/>
  <c r="AJ1058" i="20"/>
  <c r="AL1066" i="20"/>
  <c r="AN1074" i="20"/>
  <c r="AN1078" i="20"/>
  <c r="AK1082" i="20"/>
  <c r="AN1090" i="20"/>
  <c r="AN1094" i="20"/>
  <c r="AK1098" i="20"/>
  <c r="AL1106" i="20"/>
  <c r="AK1110" i="20"/>
  <c r="AK1114" i="20"/>
  <c r="AN1122" i="20"/>
  <c r="AN1126" i="20"/>
  <c r="AK1130" i="20"/>
  <c r="AL1138" i="20"/>
  <c r="AK1142" i="20"/>
  <c r="AJ1146" i="20"/>
  <c r="AJ1154" i="20"/>
  <c r="AI1158" i="20"/>
  <c r="AN1166" i="20"/>
  <c r="AK1170" i="20"/>
  <c r="AK1174" i="20"/>
  <c r="AK1178" i="20"/>
  <c r="AL1186" i="20"/>
  <c r="AN1190" i="20"/>
  <c r="Y1026" i="20"/>
  <c r="Y1042" i="20"/>
  <c r="Y1058" i="20"/>
  <c r="Y1074" i="20"/>
  <c r="Y1090" i="20"/>
  <c r="Y1106" i="20"/>
  <c r="Y1122" i="20"/>
  <c r="Y1138" i="20"/>
  <c r="Y1154" i="20"/>
  <c r="Y1170" i="20"/>
  <c r="Y1186" i="20"/>
  <c r="Z1026" i="20"/>
  <c r="Z1042" i="20"/>
  <c r="Z1058" i="20"/>
  <c r="Z1074" i="20"/>
  <c r="Z1090" i="20"/>
  <c r="Z1106" i="20"/>
  <c r="Z1122" i="20"/>
  <c r="Z1138" i="20"/>
  <c r="Z1154" i="20"/>
  <c r="Z1170" i="20"/>
  <c r="Z1186" i="20"/>
  <c r="AA1026" i="20"/>
  <c r="AA1042" i="20"/>
  <c r="AA1058" i="20"/>
  <c r="AA1074" i="20"/>
  <c r="AA1090" i="20"/>
  <c r="AA1106" i="20"/>
  <c r="AA1122" i="20"/>
  <c r="AA1138" i="20"/>
  <c r="AA1154" i="20"/>
  <c r="AA1170" i="20"/>
  <c r="AA1186" i="20"/>
  <c r="AB1026" i="20"/>
  <c r="AB1042" i="20"/>
  <c r="AB1058" i="20"/>
  <c r="AB1074" i="20"/>
  <c r="AB1090" i="20"/>
  <c r="AB1106" i="20"/>
  <c r="AB1122" i="20"/>
  <c r="AB1138" i="20"/>
  <c r="AB1154" i="20"/>
  <c r="AB1170" i="20"/>
  <c r="AB1186" i="20"/>
  <c r="AC1026" i="20"/>
  <c r="AC1042" i="20"/>
  <c r="AC1058" i="20"/>
  <c r="AC1074" i="20"/>
  <c r="AC1090" i="20"/>
  <c r="AC1106" i="20"/>
  <c r="AC1170" i="20"/>
  <c r="AD1058" i="20"/>
  <c r="AD1122" i="20"/>
  <c r="AD1186" i="20"/>
  <c r="AE1074" i="20"/>
  <c r="AE1138" i="20"/>
  <c r="AF1026" i="20"/>
  <c r="AF1090" i="20"/>
  <c r="AF1154" i="20"/>
  <c r="AG1042" i="20"/>
  <c r="AG1106" i="20"/>
  <c r="AG1170" i="20"/>
  <c r="AH1058" i="20"/>
  <c r="AH1122" i="20"/>
  <c r="AH1186" i="20"/>
  <c r="AI1090" i="20"/>
  <c r="AJ1066" i="20"/>
  <c r="AJ1134" i="20"/>
  <c r="AK1062" i="20"/>
  <c r="AL1070" i="20"/>
  <c r="AE1011" i="20"/>
  <c r="Z1012" i="20"/>
  <c r="AI1004" i="20"/>
  <c r="AA1004" i="20"/>
  <c r="AL1003" i="20"/>
  <c r="AH1003" i="20"/>
  <c r="AD1003" i="20"/>
  <c r="AC925" i="20"/>
  <c r="AG1190" i="20"/>
  <c r="AB1171" i="20"/>
  <c r="AK1158" i="20"/>
  <c r="AF1049" i="20"/>
  <c r="AI1109" i="20"/>
  <c r="AA1165" i="20"/>
  <c r="AL1038" i="20"/>
  <c r="AH1118" i="20"/>
  <c r="AC1166" i="20"/>
  <c r="AL1035" i="20"/>
  <c r="AG1032" i="20"/>
  <c r="AN1104" i="20"/>
  <c r="AN1144" i="20"/>
  <c r="AN1176" i="20"/>
  <c r="AA1144" i="20"/>
  <c r="AF1156" i="20"/>
  <c r="AN1033" i="20"/>
  <c r="AD1053" i="20"/>
  <c r="AK1073" i="20"/>
  <c r="AJ1089" i="20"/>
  <c r="AL1101" i="20"/>
  <c r="AF1011" i="20"/>
  <c r="AD1126" i="20"/>
  <c r="AC1057" i="20"/>
  <c r="AA1169" i="20"/>
  <c r="AJ1050" i="20"/>
  <c r="AG1110" i="20"/>
  <c r="AI1048" i="20"/>
  <c r="AF1144" i="20"/>
  <c r="AB1112" i="20"/>
  <c r="AJ1037" i="20"/>
  <c r="AK1077" i="20"/>
  <c r="AH1105" i="20"/>
  <c r="AI1125" i="20"/>
  <c r="AI1141" i="20"/>
  <c r="AG1153" i="20"/>
  <c r="AN1169" i="20"/>
  <c r="AH1181" i="20"/>
  <c r="AJ1189" i="20"/>
  <c r="Y1092" i="20"/>
  <c r="Y1177" i="20"/>
  <c r="Z1087" i="20"/>
  <c r="Z1172" i="20"/>
  <c r="AA1081" i="20"/>
  <c r="AA1167" i="20"/>
  <c r="AB1076" i="20"/>
  <c r="AB1188" i="20"/>
  <c r="AC1173" i="20"/>
  <c r="AE1041" i="20"/>
  <c r="AF1072" i="20"/>
  <c r="AG1193" i="20"/>
  <c r="AJ1145" i="20"/>
  <c r="AL1028" i="20"/>
  <c r="AN1052" i="20"/>
  <c r="AH1068" i="20"/>
  <c r="AI1092" i="20"/>
  <c r="AI1116" i="20"/>
  <c r="AL1140" i="20"/>
  <c r="AN1164" i="20"/>
  <c r="AI1180" i="20"/>
  <c r="AE1192" i="20"/>
  <c r="AB1032" i="20"/>
  <c r="Y1168" i="20"/>
  <c r="AA1072" i="20"/>
  <c r="AB1152" i="20"/>
  <c r="AD1092" i="20"/>
  <c r="AF1088" i="20"/>
  <c r="AH1140" i="20"/>
  <c r="AJ1019" i="20"/>
  <c r="AE1027" i="20"/>
  <c r="AF1035" i="20"/>
  <c r="AH1043" i="20"/>
  <c r="AI1047" i="20"/>
  <c r="AI1055" i="20"/>
  <c r="AF1063" i="20"/>
  <c r="AH1071" i="20"/>
  <c r="AJ1079" i="20"/>
  <c r="AK1087" i="20"/>
  <c r="AK1095" i="20"/>
  <c r="AL1099" i="20"/>
  <c r="AE1107" i="20"/>
  <c r="AG1115" i="20"/>
  <c r="AN1123" i="20"/>
  <c r="AF1127" i="20"/>
  <c r="AK1135" i="20"/>
  <c r="AL1139" i="20"/>
  <c r="AD1147" i="20"/>
  <c r="AH1155" i="20"/>
  <c r="AD1159" i="20"/>
  <c r="AH1167" i="20"/>
  <c r="AK1171" i="20"/>
  <c r="AN1179" i="20"/>
  <c r="AK1183" i="20"/>
  <c r="AI1187" i="20"/>
  <c r="AJ1191" i="20"/>
  <c r="Y1036" i="20"/>
  <c r="Y1116" i="20"/>
  <c r="Z1031" i="20"/>
  <c r="Z1116" i="20"/>
  <c r="AA1020" i="20"/>
  <c r="AA1111" i="20"/>
  <c r="AA1180" i="20"/>
  <c r="AB1068" i="20"/>
  <c r="AB1132" i="20"/>
  <c r="AC1020" i="20"/>
  <c r="AC1084" i="20"/>
  <c r="AD1036" i="20"/>
  <c r="AD1121" i="20"/>
  <c r="AE1024" i="20"/>
  <c r="AE1116" i="20"/>
  <c r="AF1025" i="20"/>
  <c r="AF1104" i="20"/>
  <c r="AG1020" i="20"/>
  <c r="AG1108" i="20"/>
  <c r="AH1060" i="20"/>
  <c r="AH1188" i="20"/>
  <c r="AI1171" i="20"/>
  <c r="AK1179" i="20"/>
  <c r="AN1175" i="20"/>
  <c r="AN1030" i="20"/>
  <c r="AL1042" i="20"/>
  <c r="AK1050" i="20"/>
  <c r="AN1062" i="20"/>
  <c r="AL1074" i="20"/>
  <c r="AJ1082" i="20"/>
  <c r="AL1094" i="20"/>
  <c r="AK1106" i="20"/>
  <c r="AN1118" i="20"/>
  <c r="AL1126" i="20"/>
  <c r="AK1138" i="20"/>
  <c r="AN1154" i="20"/>
  <c r="AN1162" i="20"/>
  <c r="AJ1170" i="20"/>
  <c r="AN1182" i="20"/>
  <c r="AL1190" i="20"/>
  <c r="Y1046" i="20"/>
  <c r="Y1078" i="20"/>
  <c r="Y1110" i="20"/>
  <c r="Y1142" i="20"/>
  <c r="Y1174" i="20"/>
  <c r="Z1030" i="20"/>
  <c r="Z1062" i="20"/>
  <c r="Z1094" i="20"/>
  <c r="Z1126" i="20"/>
  <c r="Z1158" i="20"/>
  <c r="Z1190" i="20"/>
  <c r="AA1046" i="20"/>
  <c r="AA1078" i="20"/>
  <c r="AA1110" i="20"/>
  <c r="AA1142" i="20"/>
  <c r="AA1174" i="20"/>
  <c r="AB1030" i="20"/>
  <c r="AB1062" i="20"/>
  <c r="AB1094" i="20"/>
  <c r="AB1126" i="20"/>
  <c r="AB1158" i="20"/>
  <c r="AB1190" i="20"/>
  <c r="AC1046" i="20"/>
  <c r="AC1078" i="20"/>
  <c r="AC1122" i="20"/>
  <c r="AD1074" i="20"/>
  <c r="AE1026" i="20"/>
  <c r="AE1154" i="20"/>
  <c r="AF1106" i="20"/>
  <c r="AG1058" i="20"/>
  <c r="AG1186" i="20"/>
  <c r="AH1138" i="20"/>
  <c r="AI1098" i="20"/>
  <c r="AJ1142" i="20"/>
  <c r="AL1086" i="20"/>
  <c r="AL1008" i="20"/>
  <c r="AH1008" i="20"/>
  <c r="AD1008" i="20"/>
  <c r="Z1008" i="20"/>
  <c r="AI1016" i="20"/>
  <c r="AL1015" i="20"/>
  <c r="AH1015" i="20"/>
  <c r="AD1015" i="20"/>
  <c r="AH1004" i="20"/>
  <c r="Z1004" i="20"/>
  <c r="AI1012" i="20"/>
  <c r="AH1011" i="20"/>
  <c r="AD1011" i="20"/>
  <c r="AI1135" i="20"/>
  <c r="AF1176" i="20"/>
  <c r="AG1156" i="20"/>
  <c r="AL1093" i="20"/>
  <c r="AG1133" i="20"/>
  <c r="AJ1165" i="20"/>
  <c r="AN1185" i="20"/>
  <c r="Y1135" i="20"/>
  <c r="Z1129" i="20"/>
  <c r="AB1033" i="20"/>
  <c r="AC1076" i="20"/>
  <c r="AE1141" i="20"/>
  <c r="AI1024" i="20"/>
  <c r="AN1036" i="20"/>
  <c r="AK1084" i="20"/>
  <c r="AN1132" i="20"/>
  <c r="AL1172" i="20"/>
  <c r="Z1032" i="20"/>
  <c r="Y1040" i="20"/>
  <c r="AB1024" i="20"/>
  <c r="AE1100" i="20"/>
  <c r="AL1019" i="20"/>
  <c r="AG1039" i="20"/>
  <c r="AL1055" i="20"/>
  <c r="AF1067" i="20"/>
  <c r="AH1083" i="20"/>
  <c r="AI1095" i="20"/>
  <c r="AF1111" i="20"/>
  <c r="AN1119" i="20"/>
  <c r="AG1131" i="20"/>
  <c r="AH1151" i="20"/>
  <c r="AE1163" i="20"/>
  <c r="AG1175" i="20"/>
  <c r="AE1183" i="20"/>
  <c r="AF1191" i="20"/>
  <c r="Y1164" i="20"/>
  <c r="Z1068" i="20"/>
  <c r="AA1068" i="20"/>
  <c r="AB1036" i="20"/>
  <c r="AB1164" i="20"/>
  <c r="AC1148" i="20"/>
  <c r="AD1164" i="20"/>
  <c r="AE1152" i="20"/>
  <c r="AF1153" i="20"/>
  <c r="AH1124" i="20"/>
  <c r="AJ1135" i="20"/>
  <c r="AN1026" i="20"/>
  <c r="AK1046" i="20"/>
  <c r="AK1066" i="20"/>
  <c r="AL1090" i="20"/>
  <c r="AJ1110" i="20"/>
  <c r="AN1134" i="20"/>
  <c r="AI1154" i="20"/>
  <c r="AJ1174" i="20"/>
  <c r="Y1030" i="20"/>
  <c r="Y1094" i="20"/>
  <c r="Y1158" i="20"/>
  <c r="Z1046" i="20"/>
  <c r="Z1110" i="20"/>
  <c r="Z1174" i="20"/>
  <c r="AA1094" i="20"/>
  <c r="AA1158" i="20"/>
  <c r="AB1046" i="20"/>
  <c r="AB1110" i="20"/>
  <c r="AB1142" i="20"/>
  <c r="AC1062" i="20"/>
  <c r="AC1186" i="20"/>
  <c r="AE1090" i="20"/>
  <c r="AF1042" i="20"/>
  <c r="AG1122" i="20"/>
  <c r="AI1026" i="20"/>
  <c r="AK1118" i="20"/>
  <c r="AE1004" i="20"/>
  <c r="AE1007" i="20"/>
  <c r="AK1016" i="20"/>
  <c r="AC1016" i="20"/>
  <c r="AL1009" i="20"/>
  <c r="AK1018" i="20"/>
  <c r="AC1174" i="20"/>
  <c r="AF1128" i="20"/>
  <c r="Z1064" i="20"/>
  <c r="AD1021" i="20"/>
  <c r="AH1101" i="20"/>
  <c r="AC1133" i="20"/>
  <c r="AG1165" i="20"/>
  <c r="AH1185" i="20"/>
  <c r="Y1151" i="20"/>
  <c r="Z1145" i="20"/>
  <c r="AA1140" i="20"/>
  <c r="AB1145" i="20"/>
  <c r="AD1153" i="20"/>
  <c r="AG1081" i="20"/>
  <c r="AK1020" i="20"/>
  <c r="AN1068" i="20"/>
  <c r="AI1108" i="20"/>
  <c r="AJ1132" i="20"/>
  <c r="AI1172" i="20"/>
  <c r="Z1144" i="20"/>
  <c r="Y1152" i="20"/>
  <c r="AB1136" i="20"/>
  <c r="AF1060" i="20"/>
  <c r="AH1019" i="20"/>
  <c r="AD1031" i="20"/>
  <c r="AG1047" i="20"/>
  <c r="AK1063" i="20"/>
  <c r="AE1075" i="20"/>
  <c r="AF1091" i="20"/>
  <c r="AN1107" i="20"/>
  <c r="AF1119" i="20"/>
  <c r="AG1139" i="20"/>
  <c r="AE1151" i="20"/>
  <c r="AI1163" i="20"/>
  <c r="AF1175" i="20"/>
  <c r="AD1183" i="20"/>
  <c r="AD1191" i="20"/>
  <c r="Y1175" i="20"/>
  <c r="Z1164" i="20"/>
  <c r="AA1159" i="20"/>
  <c r="AB1111" i="20"/>
  <c r="AC1063" i="20"/>
  <c r="AD1093" i="20"/>
  <c r="AE1173" i="20"/>
  <c r="AF1161" i="20"/>
  <c r="AG1189" i="20"/>
  <c r="AI1093" i="20"/>
  <c r="AL1193" i="20"/>
  <c r="AN1038" i="20"/>
  <c r="AL1058" i="20"/>
  <c r="AN1082" i="20"/>
  <c r="AI1102" i="20"/>
  <c r="AK1122" i="20"/>
  <c r="AL1146" i="20"/>
  <c r="AN1170" i="20"/>
  <c r="AJ1186" i="20"/>
  <c r="Y1066" i="20"/>
  <c r="Y1130" i="20"/>
  <c r="Z1018" i="20"/>
  <c r="Z1082" i="20"/>
  <c r="Z1146" i="20"/>
  <c r="AA1034" i="20"/>
  <c r="AA1098" i="20"/>
  <c r="AB1018" i="20"/>
  <c r="AB1082" i="20"/>
  <c r="AB1146" i="20"/>
  <c r="AC1034" i="20"/>
  <c r="AC1098" i="20"/>
  <c r="AD1026" i="20"/>
  <c r="AE1106" i="20"/>
  <c r="AF1186" i="20"/>
  <c r="AH1090" i="20"/>
  <c r="AJ1094" i="20"/>
  <c r="AI1003" i="20"/>
  <c r="AA1003" i="20"/>
  <c r="AK1012" i="20"/>
  <c r="AG1012" i="20"/>
  <c r="AA1171" i="20"/>
  <c r="AL1002" i="20"/>
  <c r="AA1085" i="20"/>
  <c r="Y1141" i="20"/>
  <c r="AG1098" i="20"/>
  <c r="AG1080" i="20"/>
  <c r="AF1160" i="20"/>
  <c r="AE1132" i="20"/>
  <c r="AK1049" i="20"/>
  <c r="AN1085" i="20"/>
  <c r="AL1113" i="20"/>
  <c r="AK1129" i="20"/>
  <c r="AK1145" i="20"/>
  <c r="AI1157" i="20"/>
  <c r="AH1169" i="20"/>
  <c r="AE1181" i="20"/>
  <c r="Y1023" i="20"/>
  <c r="Y1108" i="20"/>
  <c r="Y1193" i="20"/>
  <c r="Z1103" i="20"/>
  <c r="Z1188" i="20"/>
  <c r="AA1097" i="20"/>
  <c r="AA1183" i="20"/>
  <c r="AB1092" i="20"/>
  <c r="AC1033" i="20"/>
  <c r="AD1033" i="20"/>
  <c r="AE1077" i="20"/>
  <c r="AF1129" i="20"/>
  <c r="AH1081" i="20"/>
  <c r="AJ1185" i="20"/>
  <c r="AI1028" i="20"/>
  <c r="AJ1052" i="20"/>
  <c r="AK1076" i="20"/>
  <c r="AK1100" i="20"/>
  <c r="AN1124" i="20"/>
  <c r="AI1140" i="20"/>
  <c r="AJ1164" i="20"/>
  <c r="AN1184" i="20"/>
  <c r="Y1048" i="20"/>
  <c r="AB1176" i="20"/>
  <c r="Y1024" i="20"/>
  <c r="Z1104" i="20"/>
  <c r="AA1184" i="20"/>
  <c r="AC1088" i="20"/>
  <c r="AE1072" i="20"/>
  <c r="AG1068" i="20"/>
  <c r="AI1023" i="20"/>
  <c r="AJ1027" i="20"/>
  <c r="AJ1035" i="20"/>
  <c r="AE1043" i="20"/>
  <c r="AH1051" i="20"/>
  <c r="AI1059" i="20"/>
  <c r="AN1067" i="20"/>
  <c r="AE1071" i="20"/>
  <c r="AF1079" i="20"/>
  <c r="AG1087" i="20"/>
  <c r="AG1095" i="20"/>
  <c r="AK1103" i="20"/>
  <c r="AL1111" i="20"/>
  <c r="AD1115" i="20"/>
  <c r="AG1123" i="20"/>
  <c r="AC1127" i="20"/>
  <c r="AF1135" i="20"/>
  <c r="AJ1143" i="20"/>
  <c r="AI1147" i="20"/>
  <c r="AE1155" i="20"/>
  <c r="AN1163" i="20"/>
  <c r="AE1167" i="20"/>
  <c r="AK1175" i="20"/>
  <c r="AL1179" i="20"/>
  <c r="AN1183" i="20"/>
  <c r="AG1187" i="20"/>
  <c r="AI1191" i="20"/>
  <c r="Y1047" i="20"/>
  <c r="Y1132" i="20"/>
  <c r="Z1036" i="20"/>
  <c r="Z1127" i="20"/>
  <c r="AA1036" i="20"/>
  <c r="AA1116" i="20"/>
  <c r="AA1191" i="20"/>
  <c r="AB1079" i="20"/>
  <c r="AB1143" i="20"/>
  <c r="AC1031" i="20"/>
  <c r="AC1095" i="20"/>
  <c r="AD1044" i="20"/>
  <c r="AD1129" i="20"/>
  <c r="AE1045" i="20"/>
  <c r="AE1124" i="20"/>
  <c r="AF1033" i="20"/>
  <c r="AF1125" i="20"/>
  <c r="AG1028" i="20"/>
  <c r="AG1125" i="20"/>
  <c r="AH1077" i="20"/>
  <c r="AI1045" i="20"/>
  <c r="AI1189" i="20"/>
  <c r="AL1033" i="20"/>
  <c r="AN1018" i="20"/>
  <c r="AL1030" i="20"/>
  <c r="AK1042" i="20"/>
  <c r="AN1054" i="20"/>
  <c r="AL1062" i="20"/>
  <c r="AK1074" i="20"/>
  <c r="AN1086" i="20"/>
  <c r="AN1098" i="20"/>
  <c r="AJ1106" i="20"/>
  <c r="AJ1118" i="20"/>
  <c r="AN1130" i="20"/>
  <c r="AJ1138" i="20"/>
  <c r="AL1154" i="20"/>
  <c r="AL1162" i="20"/>
  <c r="AI1170" i="20"/>
  <c r="AJ1182" i="20"/>
  <c r="Y1018" i="20"/>
  <c r="Y1050" i="20"/>
  <c r="Y1082" i="20"/>
  <c r="Y1114" i="20"/>
  <c r="Y1146" i="20"/>
  <c r="Y1178" i="20"/>
  <c r="Z1034" i="20"/>
  <c r="Z1066" i="20"/>
  <c r="Z1098" i="20"/>
  <c r="Z1130" i="20"/>
  <c r="Z1162" i="20"/>
  <c r="AA1018" i="20"/>
  <c r="AA1050" i="20"/>
  <c r="AA1082" i="20"/>
  <c r="AA1114" i="20"/>
  <c r="AA1146" i="20"/>
  <c r="AA1178" i="20"/>
  <c r="AB1034" i="20"/>
  <c r="AB1066" i="20"/>
  <c r="AB1098" i="20"/>
  <c r="AB1130" i="20"/>
  <c r="AB1162" i="20"/>
  <c r="AC1018" i="20"/>
  <c r="AC1050" i="20"/>
  <c r="AC1082" i="20"/>
  <c r="AC1138" i="20"/>
  <c r="AD1090" i="20"/>
  <c r="AE1042" i="20"/>
  <c r="AE1170" i="20"/>
  <c r="AF1122" i="20"/>
  <c r="AG1074" i="20"/>
  <c r="AH1026" i="20"/>
  <c r="AH1154" i="20"/>
  <c r="AI1126" i="20"/>
  <c r="AJ1162" i="20"/>
  <c r="AL1142" i="20"/>
  <c r="AL1004" i="20"/>
  <c r="AD1004" i="20"/>
  <c r="AL1011" i="20"/>
  <c r="AK925" i="20"/>
  <c r="AG1113" i="20"/>
  <c r="AI1142" i="20"/>
  <c r="AF1112" i="20"/>
  <c r="AL1061" i="20"/>
  <c r="AJ1117" i="20"/>
  <c r="AH1149" i="20"/>
  <c r="AI1173" i="20"/>
  <c r="Y1049" i="20"/>
  <c r="Z1044" i="20"/>
  <c r="AA1039" i="20"/>
  <c r="AA1124" i="20"/>
  <c r="AB1124" i="20"/>
  <c r="AD1104" i="20"/>
  <c r="AG1024" i="20"/>
  <c r="AL1089" i="20"/>
  <c r="AK1060" i="20"/>
  <c r="AL1108" i="20"/>
  <c r="AI1148" i="20"/>
  <c r="AN1192" i="20"/>
  <c r="AD1124" i="20"/>
  <c r="Z1120" i="20"/>
  <c r="AC1104" i="20"/>
  <c r="AG1076" i="20"/>
  <c r="AD1023" i="20"/>
  <c r="AG1031" i="20"/>
  <c r="AK1047" i="20"/>
  <c r="AD1059" i="20"/>
  <c r="AH1075" i="20"/>
  <c r="AI1091" i="20"/>
  <c r="AE1103" i="20"/>
  <c r="AJ1123" i="20"/>
  <c r="AJ1139" i="20"/>
  <c r="AD1143" i="20"/>
  <c r="AL1159" i="20"/>
  <c r="AH1171" i="20"/>
  <c r="AF1179" i="20"/>
  <c r="AC1187" i="20"/>
  <c r="Y1079" i="20"/>
  <c r="Z1159" i="20"/>
  <c r="AA1148" i="20"/>
  <c r="AB1100" i="20"/>
  <c r="AC1052" i="20"/>
  <c r="AD1072" i="20"/>
  <c r="AE1073" i="20"/>
  <c r="AF1068" i="20"/>
  <c r="AG1056" i="20"/>
  <c r="AG1172" i="20"/>
  <c r="AI1079" i="20"/>
  <c r="AL1121" i="20"/>
  <c r="AK1034" i="20"/>
  <c r="AN1058" i="20"/>
  <c r="AK1078" i="20"/>
  <c r="AN1102" i="20"/>
  <c r="AL1122" i="20"/>
  <c r="AN1146" i="20"/>
  <c r="AI1166" i="20"/>
  <c r="AK1186" i="20"/>
  <c r="Y1062" i="20"/>
  <c r="Y1126" i="20"/>
  <c r="Y1190" i="20"/>
  <c r="Z1078" i="20"/>
  <c r="Z1142" i="20"/>
  <c r="AA1030" i="20"/>
  <c r="AA1062" i="20"/>
  <c r="AA1126" i="20"/>
  <c r="AA1190" i="20"/>
  <c r="AB1078" i="20"/>
  <c r="AB1174" i="20"/>
  <c r="AC1030" i="20"/>
  <c r="AC1094" i="20"/>
  <c r="AD1138" i="20"/>
  <c r="AF1170" i="20"/>
  <c r="AH1074" i="20"/>
  <c r="AJ1086" i="20"/>
  <c r="AI1007" i="20"/>
  <c r="AA1007" i="20"/>
  <c r="AE1016" i="20"/>
  <c r="AG1016" i="20"/>
  <c r="AB1141" i="20"/>
  <c r="AH1034" i="20"/>
  <c r="AG1069" i="20"/>
  <c r="AH1121" i="20"/>
  <c r="AD1149" i="20"/>
  <c r="AI1177" i="20"/>
  <c r="Y1065" i="20"/>
  <c r="Z1060" i="20"/>
  <c r="AA1055" i="20"/>
  <c r="AB1049" i="20"/>
  <c r="AC1097" i="20"/>
  <c r="AE1177" i="20"/>
  <c r="AI1137" i="20"/>
  <c r="AN1044" i="20"/>
  <c r="AH1084" i="20"/>
  <c r="AN1156" i="20"/>
  <c r="AJ1192" i="20"/>
  <c r="AE1040" i="20"/>
  <c r="AA1056" i="20"/>
  <c r="AD1084" i="20"/>
  <c r="AH1120" i="20"/>
  <c r="AK1027" i="20"/>
  <c r="AD1039" i="20"/>
  <c r="AH1055" i="20"/>
  <c r="AL1067" i="20"/>
  <c r="AE1083" i="20"/>
  <c r="AH1099" i="20"/>
  <c r="AC1111" i="20"/>
  <c r="AK1127" i="20"/>
  <c r="AD1131" i="20"/>
  <c r="AL1147" i="20"/>
  <c r="AI1159" i="20"/>
  <c r="AE1171" i="20"/>
  <c r="AD1179" i="20"/>
  <c r="AK1187" i="20"/>
  <c r="Y1084" i="20"/>
  <c r="Z1084" i="20"/>
  <c r="AA1079" i="20"/>
  <c r="AB1047" i="20"/>
  <c r="AB1175" i="20"/>
  <c r="AC1156" i="20"/>
  <c r="AD1172" i="20"/>
  <c r="AE1081" i="20"/>
  <c r="AF1076" i="20"/>
  <c r="AG1077" i="20"/>
  <c r="AH1141" i="20"/>
  <c r="AJ1163" i="20"/>
  <c r="AL1026" i="20"/>
  <c r="AJ1046" i="20"/>
  <c r="AN1070" i="20"/>
  <c r="AK1090" i="20"/>
  <c r="AN1114" i="20"/>
  <c r="AI1134" i="20"/>
  <c r="AN1158" i="20"/>
  <c r="AN1178" i="20"/>
  <c r="Y1034" i="20"/>
  <c r="Y1098" i="20"/>
  <c r="Y1162" i="20"/>
  <c r="Z1050" i="20"/>
  <c r="Z1114" i="20"/>
  <c r="Z1178" i="20"/>
  <c r="AA1066" i="20"/>
  <c r="AA1130" i="20"/>
  <c r="AA1162" i="20"/>
  <c r="AB1050" i="20"/>
  <c r="AB1114" i="20"/>
  <c r="AB1178" i="20"/>
  <c r="AC1066" i="20"/>
  <c r="AD1154" i="20"/>
  <c r="AF1058" i="20"/>
  <c r="AG1138" i="20"/>
  <c r="AI1034" i="20"/>
  <c r="AK1134" i="20"/>
  <c r="AA1012" i="20"/>
  <c r="AE1003" i="20"/>
  <c r="AA1016" i="20"/>
  <c r="AC1012" i="20"/>
  <c r="Z177" i="20"/>
  <c r="AC426" i="20"/>
  <c r="Y177" i="20"/>
  <c r="AP844" i="20"/>
  <c r="AR844" i="20"/>
  <c r="AP493" i="20"/>
  <c r="AR493" i="20"/>
  <c r="AP854" i="20"/>
  <c r="AR854" i="20"/>
  <c r="AP511" i="20"/>
  <c r="AR511" i="20"/>
  <c r="AP307" i="20"/>
  <c r="AR307" i="20"/>
  <c r="AP46" i="20"/>
  <c r="AR46" i="20"/>
  <c r="AP917" i="20"/>
  <c r="AR917" i="20"/>
  <c r="AP102" i="20"/>
  <c r="AR102" i="20"/>
  <c r="AP247" i="20"/>
  <c r="AR247" i="20"/>
  <c r="AP888" i="20"/>
  <c r="AR888" i="20"/>
  <c r="AP410" i="20"/>
  <c r="AR410" i="20"/>
  <c r="AP573" i="20"/>
  <c r="AR573" i="20"/>
  <c r="AP407" i="20"/>
  <c r="AR407" i="20"/>
  <c r="AP95" i="20"/>
  <c r="AR95" i="20"/>
  <c r="AP847" i="20"/>
  <c r="AR847" i="20"/>
  <c r="AP403" i="20"/>
  <c r="AR403" i="20"/>
  <c r="AP401" i="20"/>
  <c r="AR401" i="20"/>
  <c r="AP94" i="20"/>
  <c r="AR94" i="20"/>
  <c r="AP266" i="20"/>
  <c r="AR266" i="20"/>
  <c r="AP262" i="20"/>
  <c r="AR262" i="20"/>
  <c r="AP122" i="20"/>
  <c r="AR122" i="20"/>
  <c r="AP189" i="20"/>
  <c r="AR189" i="20"/>
  <c r="AP716" i="20"/>
  <c r="AR716" i="20"/>
  <c r="AP523" i="20"/>
  <c r="AR523" i="20"/>
  <c r="AP629" i="20"/>
  <c r="AR629" i="20"/>
  <c r="AP121" i="20"/>
  <c r="AR121" i="20"/>
  <c r="AP300" i="20"/>
  <c r="AR300" i="20"/>
  <c r="AP884" i="20"/>
  <c r="AR884" i="20"/>
  <c r="AP298" i="20"/>
  <c r="AR298" i="20"/>
  <c r="AP513" i="20"/>
  <c r="AR513" i="20"/>
  <c r="AP139" i="20"/>
  <c r="AR139" i="20"/>
  <c r="AP212" i="20"/>
  <c r="AR212" i="20"/>
  <c r="AP211" i="20"/>
  <c r="AR211" i="20"/>
  <c r="AP219" i="20"/>
  <c r="AR219" i="20"/>
  <c r="AP751" i="20"/>
  <c r="AR751" i="20"/>
  <c r="AP793" i="20"/>
  <c r="AR793" i="20"/>
  <c r="AP700" i="20"/>
  <c r="AR700" i="20"/>
  <c r="AP218" i="20"/>
  <c r="AR218" i="20"/>
  <c r="AP698" i="20"/>
  <c r="AR698" i="20"/>
  <c r="AP748" i="20"/>
  <c r="AR748" i="20"/>
  <c r="AP695" i="20"/>
  <c r="AR695" i="20"/>
  <c r="AP743" i="20"/>
  <c r="AR743" i="20"/>
  <c r="AP741" i="20"/>
  <c r="AR741" i="20"/>
  <c r="AP737" i="20"/>
  <c r="AR737" i="20"/>
  <c r="AP690" i="20"/>
  <c r="AR690" i="20"/>
  <c r="AP424" i="20"/>
  <c r="AR424" i="20"/>
  <c r="AP529" i="20"/>
  <c r="AR529" i="20"/>
  <c r="AP423" i="20"/>
  <c r="AR423" i="20"/>
  <c r="AP420" i="20"/>
  <c r="AR420" i="20"/>
  <c r="AP132" i="20"/>
  <c r="AR132" i="20"/>
  <c r="AP534" i="20"/>
  <c r="AR534" i="20"/>
  <c r="AP92" i="20"/>
  <c r="AR92" i="20"/>
  <c r="AP491" i="20"/>
  <c r="AR491" i="20"/>
  <c r="AP490" i="20"/>
  <c r="AR490" i="20"/>
  <c r="AP550" i="20"/>
  <c r="AR550" i="20"/>
  <c r="AP255" i="20"/>
  <c r="AR255" i="20"/>
  <c r="AP83" i="20"/>
  <c r="AR83" i="20"/>
  <c r="AP915" i="20"/>
  <c r="AR915" i="20"/>
  <c r="AP80" i="20"/>
  <c r="AR80" i="20"/>
  <c r="AP32" i="20"/>
  <c r="AR32" i="20"/>
  <c r="AP875" i="20"/>
  <c r="AR875" i="20"/>
  <c r="AP314" i="20"/>
  <c r="AR314" i="20"/>
  <c r="AP312" i="20"/>
  <c r="AR312" i="20"/>
  <c r="AP23" i="20"/>
  <c r="AR23" i="20"/>
  <c r="AP309" i="20"/>
  <c r="AR309" i="20"/>
  <c r="AP397" i="20"/>
  <c r="AR397" i="20"/>
  <c r="AP557" i="20"/>
  <c r="AR557" i="20"/>
  <c r="AP194" i="20"/>
  <c r="AR194" i="20"/>
  <c r="AP777" i="20"/>
  <c r="AR777" i="20"/>
  <c r="AP582" i="20"/>
  <c r="AR582" i="20"/>
  <c r="AP581" i="20"/>
  <c r="AR581" i="20"/>
  <c r="AP578" i="20"/>
  <c r="AR578" i="20"/>
  <c r="AP730" i="20"/>
  <c r="AR730" i="20"/>
  <c r="AP281" i="20"/>
  <c r="AR281" i="20"/>
  <c r="AP279" i="20"/>
  <c r="AR279" i="20"/>
  <c r="AP718" i="20"/>
  <c r="AR718" i="20"/>
  <c r="AP898" i="20"/>
  <c r="AR898" i="20"/>
  <c r="AP621" i="20"/>
  <c r="AR621" i="20"/>
  <c r="AP831" i="20"/>
  <c r="AR831" i="20"/>
  <c r="AP326" i="20"/>
  <c r="AR326" i="20"/>
  <c r="AP455" i="20"/>
  <c r="AR455" i="20"/>
  <c r="AP829" i="20"/>
  <c r="AR829" i="20"/>
  <c r="AP322" i="20"/>
  <c r="AR322" i="20"/>
  <c r="AP646" i="20"/>
  <c r="AR646" i="20"/>
  <c r="AP458" i="20"/>
  <c r="AR458" i="20"/>
  <c r="AP340" i="20"/>
  <c r="AR340" i="20"/>
  <c r="AP817" i="20"/>
  <c r="AR817" i="20"/>
  <c r="AP226" i="20"/>
  <c r="AR226" i="20"/>
  <c r="AP222" i="20"/>
  <c r="AR222" i="20"/>
  <c r="AP764" i="20"/>
  <c r="AR764" i="20"/>
  <c r="AP762" i="20"/>
  <c r="AR762" i="20"/>
  <c r="AP165" i="20"/>
  <c r="AR165" i="20"/>
  <c r="AP163" i="20"/>
  <c r="AR163" i="20"/>
  <c r="AP159" i="20"/>
  <c r="AR159" i="20"/>
  <c r="AP544" i="20"/>
  <c r="AR544" i="20"/>
  <c r="AP644" i="20"/>
  <c r="AR644" i="20"/>
  <c r="AP108" i="20"/>
  <c r="AR108" i="20"/>
  <c r="AP13" i="20"/>
  <c r="AR13" i="20"/>
  <c r="AP42" i="20"/>
  <c r="AR42" i="20"/>
  <c r="AP536" i="20"/>
  <c r="AR536" i="20"/>
  <c r="AP679" i="20"/>
  <c r="AR679" i="20"/>
  <c r="AP675" i="20"/>
  <c r="AR675" i="20"/>
  <c r="AP879" i="20"/>
  <c r="AR879" i="20"/>
  <c r="AP7" i="20"/>
  <c r="AR7" i="20"/>
  <c r="AP16" i="20"/>
  <c r="AR16" i="20"/>
  <c r="AP384" i="20"/>
  <c r="AR384" i="20"/>
  <c r="AP369" i="20"/>
  <c r="AR369" i="20"/>
  <c r="AP365" i="20"/>
  <c r="AR365" i="20"/>
  <c r="AP361" i="20"/>
  <c r="AR361" i="20"/>
  <c r="AP100" i="20"/>
  <c r="AR100" i="20"/>
  <c r="AP97" i="20"/>
  <c r="AR97" i="20"/>
  <c r="AP464" i="20"/>
  <c r="AR464" i="20"/>
  <c r="AP460" i="20"/>
  <c r="AR460" i="20"/>
  <c r="AP541" i="20"/>
  <c r="AR541" i="20"/>
  <c r="AP597" i="20"/>
  <c r="AR597" i="20"/>
  <c r="AP665" i="20"/>
  <c r="AR665" i="20"/>
  <c r="AP220" i="20"/>
  <c r="AR220" i="20"/>
  <c r="AP930" i="20"/>
  <c r="AR930" i="20"/>
  <c r="AP853" i="20"/>
  <c r="AR853" i="20"/>
  <c r="AP138" i="20"/>
  <c r="AR138" i="20"/>
  <c r="AP574" i="20"/>
  <c r="AR574" i="20"/>
  <c r="AP471" i="20"/>
  <c r="AR471" i="20"/>
  <c r="AP470" i="20"/>
  <c r="AR470" i="20"/>
  <c r="AP858" i="20"/>
  <c r="AR858" i="20"/>
  <c r="AP170" i="20"/>
  <c r="AR170" i="20"/>
  <c r="AP405" i="20"/>
  <c r="AR405" i="20"/>
  <c r="AP413" i="20"/>
  <c r="AR413" i="20"/>
  <c r="AP302" i="20"/>
  <c r="AR302" i="20"/>
  <c r="AP265" i="20"/>
  <c r="AR265" i="20"/>
  <c r="AP270" i="20"/>
  <c r="AR270" i="20"/>
  <c r="AP350" i="20"/>
  <c r="AR350" i="20"/>
  <c r="AP824" i="20"/>
  <c r="AR824" i="20"/>
  <c r="AP349" i="20"/>
  <c r="AR349" i="20"/>
  <c r="AP187" i="20"/>
  <c r="AR187" i="20"/>
  <c r="AP185" i="20"/>
  <c r="AR185" i="20"/>
  <c r="AP519" i="20"/>
  <c r="AR519" i="20"/>
  <c r="AP516" i="20"/>
  <c r="AR516" i="20"/>
  <c r="AP295" i="20"/>
  <c r="AR295" i="20"/>
  <c r="AP432" i="20"/>
  <c r="AR432" i="20"/>
  <c r="AP806" i="20"/>
  <c r="AR806" i="20"/>
  <c r="AP431" i="20"/>
  <c r="AR431" i="20"/>
  <c r="AP209" i="20"/>
  <c r="AR209" i="20"/>
  <c r="AP801" i="20"/>
  <c r="AR801" i="20"/>
  <c r="AP207" i="20"/>
  <c r="AR207" i="20"/>
  <c r="AP699" i="20"/>
  <c r="AR699" i="20"/>
  <c r="AP205" i="20"/>
  <c r="AR205" i="20"/>
  <c r="AP803" i="20"/>
  <c r="AR803" i="20"/>
  <c r="AP747" i="20"/>
  <c r="AR747" i="20"/>
  <c r="AP693" i="20"/>
  <c r="AR693" i="20"/>
  <c r="AP199" i="20"/>
  <c r="AR199" i="20"/>
  <c r="AP770" i="20"/>
  <c r="AR770" i="20"/>
  <c r="AP135" i="20"/>
  <c r="AR135" i="20"/>
  <c r="AP133" i="20"/>
  <c r="AR133" i="20"/>
  <c r="AP527" i="20"/>
  <c r="AR527" i="20"/>
  <c r="AP535" i="20"/>
  <c r="AR535" i="20"/>
  <c r="AP52" i="20"/>
  <c r="AR52" i="20"/>
  <c r="AP48" i="20"/>
  <c r="AR48" i="20"/>
  <c r="AP256" i="20"/>
  <c r="AR256" i="20"/>
  <c r="AP483" i="20"/>
  <c r="AR483" i="20"/>
  <c r="AP480" i="20"/>
  <c r="AR480" i="20"/>
  <c r="AP253" i="20"/>
  <c r="AR253" i="20"/>
  <c r="AP477" i="20"/>
  <c r="AR477" i="20"/>
  <c r="AP872" i="20"/>
  <c r="AR872" i="20"/>
  <c r="AP33" i="20"/>
  <c r="AR33" i="20"/>
  <c r="AP31" i="20"/>
  <c r="AR31" i="20"/>
  <c r="AP870" i="20"/>
  <c r="AR870" i="20"/>
  <c r="AP869" i="20"/>
  <c r="AR869" i="20"/>
  <c r="AP866" i="20"/>
  <c r="AR866" i="20"/>
  <c r="AP865" i="20"/>
  <c r="AR865" i="20"/>
  <c r="AP449" i="20"/>
  <c r="AR449" i="20"/>
  <c r="AP27" i="20"/>
  <c r="AR27" i="20"/>
  <c r="AP24" i="20"/>
  <c r="AR24" i="20"/>
  <c r="AP22" i="20"/>
  <c r="AR22" i="20"/>
  <c r="AP910" i="20"/>
  <c r="AR910" i="20"/>
  <c r="AP560" i="20"/>
  <c r="AR560" i="20"/>
  <c r="AP235" i="20"/>
  <c r="AR235" i="20"/>
  <c r="AP776" i="20"/>
  <c r="AR776" i="20"/>
  <c r="AP580" i="20"/>
  <c r="AR580" i="20"/>
  <c r="AP729" i="20"/>
  <c r="AR729" i="20"/>
  <c r="AP726" i="20"/>
  <c r="AR726" i="20"/>
  <c r="AP275" i="20"/>
  <c r="AR275" i="20"/>
  <c r="AP657" i="20"/>
  <c r="AR657" i="20"/>
  <c r="AP655" i="20"/>
  <c r="AR655" i="20"/>
  <c r="AP896" i="20"/>
  <c r="AR896" i="20"/>
  <c r="AP325" i="20"/>
  <c r="AR325" i="20"/>
  <c r="AP828" i="20"/>
  <c r="AR828" i="20"/>
  <c r="AP619" i="20"/>
  <c r="AR619" i="20"/>
  <c r="AP615" i="20"/>
  <c r="AR615" i="20"/>
  <c r="AP238" i="20"/>
  <c r="AR238" i="20"/>
  <c r="AP816" i="20"/>
  <c r="AR816" i="20"/>
  <c r="AP392" i="20"/>
  <c r="AR392" i="20"/>
  <c r="AP532" i="20"/>
  <c r="AR532" i="20"/>
  <c r="AP333" i="20"/>
  <c r="AR333" i="20"/>
  <c r="AP904" i="20"/>
  <c r="AR904" i="20"/>
  <c r="AP501" i="20"/>
  <c r="AR501" i="20"/>
  <c r="AP906" i="20"/>
  <c r="AR906" i="20"/>
  <c r="AP162" i="20"/>
  <c r="AR162" i="20"/>
  <c r="AP546" i="20"/>
  <c r="AR546" i="20"/>
  <c r="AP156" i="20"/>
  <c r="AR156" i="20"/>
  <c r="AP230" i="20"/>
  <c r="AR230" i="20"/>
  <c r="AP12" i="20"/>
  <c r="AR12" i="20"/>
  <c r="AP571" i="20"/>
  <c r="AR571" i="20"/>
  <c r="AP291" i="20"/>
  <c r="AR291" i="20"/>
  <c r="AP290" i="20"/>
  <c r="AR290" i="20"/>
  <c r="AP570" i="20"/>
  <c r="AR570" i="20"/>
  <c r="AP674" i="20"/>
  <c r="AR674" i="20"/>
  <c r="AP753" i="20"/>
  <c r="AR753" i="20"/>
  <c r="AP34" i="20"/>
  <c r="AR34" i="20"/>
  <c r="AP287" i="20"/>
  <c r="AR287" i="20"/>
  <c r="AP383" i="20"/>
  <c r="AR383" i="20"/>
  <c r="AP372" i="20"/>
  <c r="AR372" i="20"/>
  <c r="AP368" i="20"/>
  <c r="AR368" i="20"/>
  <c r="AP588" i="20"/>
  <c r="AR588" i="20"/>
  <c r="AP555" i="20"/>
  <c r="AR555" i="20"/>
  <c r="AP559" i="20"/>
  <c r="AR559" i="20"/>
  <c r="AP272" i="20"/>
  <c r="AR272" i="20"/>
  <c r="AP664" i="20"/>
  <c r="AR664" i="20"/>
  <c r="AP857" i="20"/>
  <c r="AR857" i="20"/>
  <c r="AP497" i="20"/>
  <c r="AR497" i="20"/>
  <c r="AP566" i="20"/>
  <c r="AR566" i="20"/>
  <c r="AP886" i="20"/>
  <c r="AR886" i="20"/>
  <c r="AP856" i="20"/>
  <c r="AR856" i="20"/>
  <c r="AP855" i="20"/>
  <c r="AR855" i="20"/>
  <c r="AP359" i="20"/>
  <c r="AR359" i="20"/>
  <c r="AP843" i="20"/>
  <c r="AR843" i="20"/>
  <c r="AP248" i="20"/>
  <c r="AR248" i="20"/>
  <c r="AP503" i="20"/>
  <c r="AR503" i="20"/>
  <c r="AP6" i="20"/>
  <c r="AR6" i="20"/>
  <c r="AP473" i="20"/>
  <c r="AR473" i="20"/>
  <c r="AP612" i="20"/>
  <c r="AR612" i="20"/>
  <c r="AP101" i="20"/>
  <c r="AR101" i="20"/>
  <c r="AP305" i="20"/>
  <c r="AR305" i="20"/>
  <c r="AP417" i="20"/>
  <c r="AR417" i="20"/>
  <c r="AP173" i="20"/>
  <c r="AR173" i="20"/>
  <c r="AP172" i="20"/>
  <c r="AR172" i="20"/>
  <c r="AP402" i="20"/>
  <c r="AR402" i="20"/>
  <c r="AP400" i="20"/>
  <c r="AR400" i="20"/>
  <c r="AP174" i="20"/>
  <c r="AR174" i="20"/>
  <c r="AP264" i="20"/>
  <c r="AR264" i="20"/>
  <c r="AP119" i="20"/>
  <c r="AR119" i="20"/>
  <c r="AP825" i="20"/>
  <c r="AR825" i="20"/>
  <c r="AP708" i="20"/>
  <c r="AR708" i="20"/>
  <c r="AP715" i="20"/>
  <c r="AR715" i="20"/>
  <c r="AP149" i="20"/>
  <c r="AR149" i="20"/>
  <c r="AP118" i="20"/>
  <c r="AR118" i="20"/>
  <c r="AP706" i="20"/>
  <c r="AR706" i="20"/>
  <c r="AP245" i="20"/>
  <c r="AR245" i="20"/>
  <c r="AP518" i="20"/>
  <c r="AR518" i="20"/>
  <c r="AP141" i="20"/>
  <c r="AR141" i="20"/>
  <c r="AP294" i="20"/>
  <c r="AR294" i="20"/>
  <c r="AP213" i="20"/>
  <c r="AR213" i="20"/>
  <c r="AP841" i="20"/>
  <c r="AR841" i="20"/>
  <c r="AP702" i="20"/>
  <c r="AR702" i="20"/>
  <c r="AP208" i="20"/>
  <c r="AR208" i="20"/>
  <c r="AP794" i="20"/>
  <c r="AR794" i="20"/>
  <c r="AP804" i="20"/>
  <c r="AR804" i="20"/>
  <c r="AP206" i="20"/>
  <c r="AR206" i="20"/>
  <c r="AP749" i="20"/>
  <c r="AR749" i="20"/>
  <c r="AP203" i="20"/>
  <c r="AR203" i="20"/>
  <c r="AP745" i="20"/>
  <c r="AR745" i="20"/>
  <c r="AP739" i="20"/>
  <c r="AR739" i="20"/>
  <c r="AP736" i="20"/>
  <c r="AR736" i="20"/>
  <c r="AP771" i="20"/>
  <c r="AR771" i="20"/>
  <c r="AP837" i="20"/>
  <c r="AR837" i="20"/>
  <c r="AP528" i="20"/>
  <c r="AR528" i="20"/>
  <c r="AP422" i="20"/>
  <c r="AR422" i="20"/>
  <c r="AP767" i="20"/>
  <c r="AR767" i="20"/>
  <c r="AP127" i="20"/>
  <c r="AR127" i="20"/>
  <c r="AP533" i="20"/>
  <c r="AR533" i="20"/>
  <c r="AP51" i="20"/>
  <c r="AR51" i="20"/>
  <c r="AP552" i="20"/>
  <c r="AR552" i="20"/>
  <c r="AP91" i="20"/>
  <c r="AR91" i="20"/>
  <c r="AP482" i="20"/>
  <c r="AR482" i="20"/>
  <c r="AP489" i="20"/>
  <c r="AR489" i="20"/>
  <c r="AP487" i="20"/>
  <c r="AR487" i="20"/>
  <c r="AP88" i="20"/>
  <c r="AR88" i="20"/>
  <c r="AP81" i="20"/>
  <c r="AR81" i="20"/>
  <c r="AP686" i="20"/>
  <c r="AR686" i="20"/>
  <c r="AP586" i="20"/>
  <c r="AR586" i="20"/>
  <c r="AP874" i="20"/>
  <c r="AR874" i="20"/>
  <c r="AP29" i="20"/>
  <c r="AR29" i="20"/>
  <c r="AP21" i="20"/>
  <c r="AR21" i="20"/>
  <c r="AP399" i="20"/>
  <c r="AR399" i="20"/>
  <c r="AP556" i="20"/>
  <c r="AR556" i="20"/>
  <c r="AP583" i="20"/>
  <c r="AR583" i="20"/>
  <c r="AP233" i="20"/>
  <c r="AR233" i="20"/>
  <c r="AP728" i="20"/>
  <c r="AR728" i="20"/>
  <c r="AP443" i="20"/>
  <c r="AR443" i="20"/>
  <c r="AP434" i="20"/>
  <c r="AR434" i="20"/>
  <c r="AP602" i="20"/>
  <c r="AR602" i="20"/>
  <c r="AP897" i="20"/>
  <c r="AR897" i="20"/>
  <c r="AP654" i="20"/>
  <c r="AR654" i="20"/>
  <c r="AP895" i="20"/>
  <c r="AR895" i="20"/>
  <c r="AP323" i="20"/>
  <c r="AR323" i="20"/>
  <c r="AP454" i="20"/>
  <c r="AR454" i="20"/>
  <c r="AP651" i="20"/>
  <c r="AR651" i="20"/>
  <c r="AP319" i="20"/>
  <c r="AR319" i="20"/>
  <c r="AP318" i="20"/>
  <c r="AR318" i="20"/>
  <c r="AP429" i="20"/>
  <c r="AR429" i="20"/>
  <c r="AP391" i="20"/>
  <c r="AR391" i="20"/>
  <c r="AP388" i="20"/>
  <c r="AR388" i="20"/>
  <c r="AP531" i="20"/>
  <c r="AR531" i="20"/>
  <c r="AP635" i="20"/>
  <c r="AR635" i="20"/>
  <c r="AP908" i="20"/>
  <c r="AR908" i="20"/>
  <c r="AP907" i="20"/>
  <c r="AR907" i="20"/>
  <c r="AP499" i="20"/>
  <c r="AR499" i="20"/>
  <c r="AP161" i="20"/>
  <c r="AR161" i="20"/>
  <c r="AP545" i="20"/>
  <c r="AR545" i="20"/>
  <c r="AP110" i="20"/>
  <c r="AR110" i="20"/>
  <c r="AP109" i="20"/>
  <c r="AR109" i="20"/>
  <c r="AP642" i="20"/>
  <c r="AR642" i="20"/>
  <c r="AP105" i="20"/>
  <c r="AR105" i="20"/>
  <c r="AP64" i="20"/>
  <c r="AR64" i="20"/>
  <c r="AP9" i="20"/>
  <c r="AR9" i="20"/>
  <c r="AP41" i="20"/>
  <c r="AR41" i="20"/>
  <c r="AP734" i="20"/>
  <c r="AR734" i="20"/>
  <c r="AP506" i="20"/>
  <c r="AR506" i="20"/>
  <c r="AP677" i="20"/>
  <c r="AR677" i="20"/>
  <c r="AP568" i="20"/>
  <c r="AR568" i="20"/>
  <c r="AP732" i="20"/>
  <c r="AR732" i="20"/>
  <c r="AP111" i="20"/>
  <c r="AR111" i="20"/>
  <c r="AP599" i="20"/>
  <c r="AR599" i="20"/>
  <c r="AP382" i="20"/>
  <c r="AR382" i="20"/>
  <c r="AP367" i="20"/>
  <c r="AR367" i="20"/>
  <c r="AP593" i="20"/>
  <c r="AR593" i="20"/>
  <c r="AP590" i="20"/>
  <c r="AR590" i="20"/>
  <c r="AP466" i="20"/>
  <c r="AR466" i="20"/>
  <c r="AP554" i="20"/>
  <c r="AR554" i="20"/>
  <c r="AP71" i="20"/>
  <c r="AR71" i="20"/>
  <c r="AP271" i="20"/>
  <c r="AR271" i="20"/>
  <c r="AP356" i="20"/>
  <c r="AR356" i="20"/>
  <c r="AP553" i="20"/>
  <c r="AR553" i="20"/>
  <c r="AP45" i="20"/>
  <c r="AR45" i="20"/>
  <c r="AP495" i="20"/>
  <c r="AR495" i="20"/>
  <c r="AP44" i="20"/>
  <c r="AR44" i="20"/>
  <c r="AP409" i="20"/>
  <c r="AR409" i="20"/>
  <c r="AP561" i="20"/>
  <c r="AR561" i="20"/>
  <c r="AP845" i="20"/>
  <c r="AR845" i="20"/>
  <c r="AP785" i="20"/>
  <c r="AR785" i="20"/>
  <c r="AP259" i="20"/>
  <c r="AR259" i="20"/>
  <c r="AP358" i="20"/>
  <c r="AR358" i="20"/>
  <c r="AP811" i="20"/>
  <c r="AR811" i="20"/>
  <c r="AP887" i="20"/>
  <c r="AR887" i="20"/>
  <c r="AP889" i="20"/>
  <c r="AR889" i="20"/>
  <c r="AP55" i="20"/>
  <c r="AR55" i="20"/>
  <c r="AP56" i="20"/>
  <c r="AR56" i="20"/>
  <c r="AP137" i="20"/>
  <c r="AR137" i="20"/>
  <c r="AP916" i="20"/>
  <c r="AR916" i="20"/>
  <c r="AP494" i="20"/>
  <c r="AR494" i="20"/>
  <c r="AP411" i="20"/>
  <c r="AR411" i="20"/>
  <c r="AP408" i="20"/>
  <c r="AR408" i="20"/>
  <c r="AP68" i="20"/>
  <c r="AR68" i="20"/>
  <c r="AP433" i="20"/>
  <c r="AR433" i="20"/>
  <c r="AP171" i="20"/>
  <c r="AR171" i="20"/>
  <c r="AP404" i="20"/>
  <c r="AR404" i="20"/>
  <c r="AP414" i="20"/>
  <c r="AR414" i="20"/>
  <c r="AP412" i="20"/>
  <c r="AR412" i="20"/>
  <c r="AP779" i="20"/>
  <c r="AR779" i="20"/>
  <c r="AP263" i="20"/>
  <c r="AR263" i="20"/>
  <c r="AP125" i="20"/>
  <c r="AR125" i="20"/>
  <c r="AP630" i="20"/>
  <c r="AR630" i="20"/>
  <c r="AP150" i="20"/>
  <c r="AR150" i="20"/>
  <c r="AP188" i="20"/>
  <c r="AR188" i="20"/>
  <c r="AP269" i="20"/>
  <c r="AR269" i="20"/>
  <c r="AP124" i="20"/>
  <c r="AR124" i="20"/>
  <c r="AP268" i="20"/>
  <c r="AR268" i="20"/>
  <c r="AP520" i="20"/>
  <c r="AR520" i="20"/>
  <c r="AP517" i="20"/>
  <c r="AR517" i="20"/>
  <c r="AP882" i="20"/>
  <c r="AR882" i="20"/>
  <c r="AP807" i="20"/>
  <c r="AR807" i="20"/>
  <c r="AP805" i="20"/>
  <c r="AR805" i="20"/>
  <c r="AP210" i="20"/>
  <c r="AR210" i="20"/>
  <c r="AP701" i="20"/>
  <c r="AR701" i="20"/>
  <c r="AP800" i="20"/>
  <c r="AR800" i="20"/>
  <c r="AP750" i="20"/>
  <c r="AR750" i="20"/>
  <c r="AP840" i="20"/>
  <c r="AR840" i="20"/>
  <c r="AP204" i="20"/>
  <c r="AR204" i="20"/>
  <c r="AP792" i="20"/>
  <c r="AR792" i="20"/>
  <c r="AP694" i="20"/>
  <c r="AR694" i="20"/>
  <c r="AP744" i="20"/>
  <c r="AR744" i="20"/>
  <c r="AP738" i="20"/>
  <c r="AR738" i="20"/>
  <c r="AP838" i="20"/>
  <c r="AR838" i="20"/>
  <c r="AP530" i="20"/>
  <c r="AR530" i="20"/>
  <c r="AP134" i="20"/>
  <c r="AR134" i="20"/>
  <c r="AP421" i="20"/>
  <c r="AR421" i="20"/>
  <c r="AP419" i="20"/>
  <c r="AR419" i="20"/>
  <c r="AP562" i="20"/>
  <c r="AR562" i="20"/>
  <c r="AP54" i="20"/>
  <c r="AR54" i="20"/>
  <c r="AP50" i="20"/>
  <c r="AR50" i="20"/>
  <c r="AP484" i="20"/>
  <c r="AR484" i="20"/>
  <c r="AP551" i="20"/>
  <c r="AR551" i="20"/>
  <c r="AP481" i="20"/>
  <c r="AR481" i="20"/>
  <c r="AP479" i="20"/>
  <c r="AR479" i="20"/>
  <c r="AP89" i="20"/>
  <c r="AR89" i="20"/>
  <c r="AP250" i="20"/>
  <c r="AR250" i="20"/>
  <c r="AP687" i="20"/>
  <c r="AR687" i="20"/>
  <c r="AP876" i="20"/>
  <c r="AR876" i="20"/>
  <c r="AP871" i="20"/>
  <c r="AR871" i="20"/>
  <c r="AP79" i="20"/>
  <c r="AR79" i="20"/>
  <c r="AP444" i="20"/>
  <c r="AR444" i="20"/>
  <c r="AP398" i="20"/>
  <c r="AR398" i="20"/>
  <c r="AP563" i="20"/>
  <c r="AR563" i="20"/>
  <c r="AP195" i="20"/>
  <c r="AR195" i="20"/>
  <c r="AP151" i="20"/>
  <c r="AR151" i="20"/>
  <c r="AP234" i="20"/>
  <c r="AR234" i="20"/>
  <c r="AP775" i="20"/>
  <c r="AR775" i="20"/>
  <c r="AP727" i="20"/>
  <c r="AR727" i="20"/>
  <c r="AP280" i="20"/>
  <c r="AR280" i="20"/>
  <c r="AP442" i="20"/>
  <c r="AR442" i="20"/>
  <c r="AP722" i="20"/>
  <c r="AR722" i="20"/>
  <c r="AP899" i="20"/>
  <c r="AR899" i="20"/>
  <c r="AP656" i="20"/>
  <c r="AR656" i="20"/>
  <c r="AP327" i="20"/>
  <c r="AR327" i="20"/>
  <c r="AP894" i="20"/>
  <c r="AR894" i="20"/>
  <c r="AP653" i="20"/>
  <c r="AR653" i="20"/>
  <c r="AP620" i="20"/>
  <c r="AR620" i="20"/>
  <c r="AP648" i="20"/>
  <c r="AR648" i="20"/>
  <c r="AP647" i="20"/>
  <c r="AR647" i="20"/>
  <c r="AP822" i="20"/>
  <c r="AR822" i="20"/>
  <c r="AP182" i="20"/>
  <c r="AR182" i="20"/>
  <c r="AP181" i="20"/>
  <c r="AR181" i="20"/>
  <c r="AP426" i="20"/>
  <c r="AR426" i="20"/>
  <c r="AP224" i="20"/>
  <c r="AR224" i="20"/>
  <c r="AP611" i="20"/>
  <c r="AR611" i="20"/>
  <c r="AP763" i="20"/>
  <c r="AR763" i="20"/>
  <c r="AP610" i="20"/>
  <c r="AR610" i="20"/>
  <c r="AP609" i="20"/>
  <c r="AR609" i="20"/>
  <c r="AP632" i="20"/>
  <c r="AR632" i="20"/>
  <c r="AP164" i="20"/>
  <c r="AR164" i="20"/>
  <c r="AP645" i="20"/>
  <c r="AR645" i="20"/>
  <c r="AP231" i="20"/>
  <c r="AR231" i="20"/>
  <c r="AP14" i="20"/>
  <c r="AR14" i="20"/>
  <c r="AP114" i="20"/>
  <c r="AR114" i="20"/>
  <c r="AP880" i="20"/>
  <c r="AR880" i="20"/>
  <c r="AP286" i="20"/>
  <c r="AR286" i="20"/>
  <c r="AP228" i="20"/>
  <c r="AR228" i="20"/>
  <c r="AP38" i="20"/>
  <c r="AR38" i="20"/>
  <c r="AP283" i="20"/>
  <c r="AR283" i="20"/>
  <c r="AP60" i="20"/>
  <c r="AR60" i="20"/>
  <c r="AP381" i="20"/>
  <c r="AR381" i="20"/>
  <c r="AP377" i="20"/>
  <c r="AR377" i="20"/>
  <c r="AP366" i="20"/>
  <c r="AR366" i="20"/>
  <c r="AP592" i="20"/>
  <c r="AR592" i="20"/>
  <c r="AP469" i="20"/>
  <c r="AR469" i="20"/>
  <c r="AP465" i="20"/>
  <c r="AR465" i="20"/>
  <c r="AP539" i="20"/>
  <c r="AR539" i="20"/>
  <c r="AP765" i="20"/>
  <c r="AR765" i="20"/>
  <c r="AP227" i="20"/>
  <c r="AR227" i="20"/>
  <c r="AP357" i="20"/>
  <c r="AR357" i="20"/>
  <c r="AP931" i="20"/>
  <c r="AR931" i="20"/>
  <c r="Z993" i="20"/>
  <c r="AD993" i="20"/>
  <c r="AH993" i="20"/>
  <c r="AL993" i="20"/>
  <c r="Z994" i="20"/>
  <c r="AD994" i="20"/>
  <c r="AH994" i="20"/>
  <c r="AL994" i="20"/>
  <c r="Z995" i="20"/>
  <c r="AD995" i="20"/>
  <c r="AH995" i="20"/>
  <c r="AL995" i="20"/>
  <c r="Z996" i="20"/>
  <c r="AD996" i="20"/>
  <c r="AH996" i="20"/>
  <c r="AL996" i="20"/>
  <c r="Z997" i="20"/>
  <c r="AD997" i="20"/>
  <c r="AH997" i="20"/>
  <c r="AL997" i="20"/>
  <c r="Z998" i="20"/>
  <c r="AD998" i="20"/>
  <c r="AH998" i="20"/>
  <c r="AL998" i="20"/>
  <c r="Z999" i="20"/>
  <c r="AD999" i="20"/>
  <c r="AH999" i="20"/>
  <c r="AL999" i="20"/>
  <c r="Z1000" i="20"/>
  <c r="AD1000" i="20"/>
  <c r="AH1000" i="20"/>
  <c r="AL1000" i="20"/>
  <c r="Z787" i="20"/>
  <c r="AD787" i="20"/>
  <c r="AH787" i="20"/>
  <c r="AL787" i="20"/>
  <c r="Z786" i="20"/>
  <c r="AD786" i="20"/>
  <c r="AH786" i="20"/>
  <c r="AL786" i="20"/>
  <c r="Z795" i="20"/>
  <c r="AD795" i="20"/>
  <c r="AH795" i="20"/>
  <c r="AL795" i="20"/>
  <c r="Z353" i="20"/>
  <c r="AD353" i="20"/>
  <c r="AH353" i="20"/>
  <c r="AL353" i="20"/>
  <c r="Z355" i="20"/>
  <c r="AD355" i="20"/>
  <c r="AH355" i="20"/>
  <c r="AL355" i="20"/>
  <c r="Z352" i="20"/>
  <c r="AD352" i="20"/>
  <c r="AH352" i="20"/>
  <c r="AL352" i="20"/>
  <c r="Z354" i="20"/>
  <c r="AD354" i="20"/>
  <c r="AH354" i="20"/>
  <c r="AL354" i="20"/>
  <c r="Z316" i="20"/>
  <c r="AD316" i="20"/>
  <c r="AH316" i="20"/>
  <c r="AL316" i="20"/>
  <c r="Z315" i="20"/>
  <c r="AD315" i="20"/>
  <c r="AH315" i="20"/>
  <c r="AL315" i="20"/>
  <c r="Z257" i="20"/>
  <c r="AD257" i="20"/>
  <c r="AH257" i="20"/>
  <c r="AL257" i="20"/>
  <c r="Z512" i="20"/>
  <c r="AD512" i="20"/>
  <c r="AH512" i="20"/>
  <c r="AL512" i="20"/>
  <c r="Z425" i="20"/>
  <c r="AD425" i="20"/>
  <c r="AH425" i="20"/>
  <c r="AL425" i="20"/>
  <c r="Z351" i="20"/>
  <c r="AD351" i="20"/>
  <c r="AH351" i="20"/>
  <c r="AL351" i="20"/>
  <c r="Z176" i="20"/>
  <c r="AA993" i="20"/>
  <c r="AE993" i="20"/>
  <c r="AI993" i="20"/>
  <c r="AA994" i="20"/>
  <c r="AE994" i="20"/>
  <c r="AI994" i="20"/>
  <c r="AA995" i="20"/>
  <c r="AE995" i="20"/>
  <c r="AI995" i="20"/>
  <c r="AA996" i="20"/>
  <c r="AE996" i="20"/>
  <c r="AI996" i="20"/>
  <c r="AA997" i="20"/>
  <c r="AE997" i="20"/>
  <c r="AI997" i="20"/>
  <c r="AA998" i="20"/>
  <c r="AE998" i="20"/>
  <c r="AI998" i="20"/>
  <c r="AA999" i="20"/>
  <c r="AE999" i="20"/>
  <c r="AI999" i="20"/>
  <c r="AB993" i="20"/>
  <c r="AF993" i="20"/>
  <c r="AJ993" i="20"/>
  <c r="AN993" i="20"/>
  <c r="AB994" i="20"/>
  <c r="AF994" i="20"/>
  <c r="AJ994" i="20"/>
  <c r="AN994" i="20"/>
  <c r="AB995" i="20"/>
  <c r="AF995" i="20"/>
  <c r="AJ995" i="20"/>
  <c r="AN995" i="20"/>
  <c r="AB996" i="20"/>
  <c r="AF996" i="20"/>
  <c r="AJ996" i="20"/>
  <c r="AN996" i="20"/>
  <c r="AB997" i="20"/>
  <c r="AF997" i="20"/>
  <c r="AJ997" i="20"/>
  <c r="AN997" i="20"/>
  <c r="AB998" i="20"/>
  <c r="AF998" i="20"/>
  <c r="AJ998" i="20"/>
  <c r="AN998" i="20"/>
  <c r="AB999" i="20"/>
  <c r="AF999" i="20"/>
  <c r="AJ999" i="20"/>
  <c r="AN999" i="20"/>
  <c r="AB1000" i="20"/>
  <c r="AF1000" i="20"/>
  <c r="AJ1000" i="20"/>
  <c r="AN1000" i="20"/>
  <c r="AB787" i="20"/>
  <c r="AF787" i="20"/>
  <c r="AJ787" i="20"/>
  <c r="AN787" i="20"/>
  <c r="AB786" i="20"/>
  <c r="AF786" i="20"/>
  <c r="AJ786" i="20"/>
  <c r="AN786" i="20"/>
  <c r="AB795" i="20"/>
  <c r="AF795" i="20"/>
  <c r="AJ795" i="20"/>
  <c r="AN795" i="20"/>
  <c r="AB353" i="20"/>
  <c r="AF353" i="20"/>
  <c r="AJ353" i="20"/>
  <c r="AN353" i="20"/>
  <c r="AB355" i="20"/>
  <c r="AF355" i="20"/>
  <c r="AJ355" i="20"/>
  <c r="AN355" i="20"/>
  <c r="AB352" i="20"/>
  <c r="AF352" i="20"/>
  <c r="AJ352" i="20"/>
  <c r="AN352" i="20"/>
  <c r="AB354" i="20"/>
  <c r="AF354" i="20"/>
  <c r="AJ354" i="20"/>
  <c r="AN354" i="20"/>
  <c r="AB316" i="20"/>
  <c r="AF316" i="20"/>
  <c r="AJ316" i="20"/>
  <c r="AN316" i="20"/>
  <c r="AB315" i="20"/>
  <c r="AF315" i="20"/>
  <c r="AJ315" i="20"/>
  <c r="AN315" i="20"/>
  <c r="AB257" i="20"/>
  <c r="AF257" i="20"/>
  <c r="AJ257" i="20"/>
  <c r="AN257" i="20"/>
  <c r="AB512" i="20"/>
  <c r="AF512" i="20"/>
  <c r="AJ512" i="20"/>
  <c r="AN512" i="20"/>
  <c r="AB425" i="20"/>
  <c r="AF425" i="20"/>
  <c r="AJ425" i="20"/>
  <c r="AN425" i="20"/>
  <c r="AB351" i="20"/>
  <c r="AF351" i="20"/>
  <c r="AJ351" i="20"/>
  <c r="AN351" i="20"/>
  <c r="AB176" i="20"/>
  <c r="Y993" i="20"/>
  <c r="AK994" i="20"/>
  <c r="AG995" i="20"/>
  <c r="AC996" i="20"/>
  <c r="Y997" i="20"/>
  <c r="AK998" i="20"/>
  <c r="AG999" i="20"/>
  <c r="AA1000" i="20"/>
  <c r="AI1000" i="20"/>
  <c r="AA787" i="20"/>
  <c r="AI787" i="20"/>
  <c r="AA786" i="20"/>
  <c r="AI786" i="20"/>
  <c r="AA795" i="20"/>
  <c r="AI795" i="20"/>
  <c r="AA353" i="20"/>
  <c r="AI353" i="20"/>
  <c r="AA355" i="20"/>
  <c r="AI355" i="20"/>
  <c r="AA352" i="20"/>
  <c r="AI352" i="20"/>
  <c r="AA354" i="20"/>
  <c r="AI354" i="20"/>
  <c r="AA316" i="20"/>
  <c r="AI316" i="20"/>
  <c r="AA315" i="20"/>
  <c r="AI315" i="20"/>
  <c r="AA257" i="20"/>
  <c r="AI257" i="20"/>
  <c r="AA512" i="20"/>
  <c r="AI512" i="20"/>
  <c r="AA425" i="20"/>
  <c r="AI425" i="20"/>
  <c r="AA351" i="20"/>
  <c r="AI351" i="20"/>
  <c r="AA176" i="20"/>
  <c r="AF176" i="20"/>
  <c r="AJ176" i="20"/>
  <c r="AN176" i="20"/>
  <c r="AB452" i="20"/>
  <c r="AF452" i="20"/>
  <c r="AJ452" i="20"/>
  <c r="AN452" i="20"/>
  <c r="AB622" i="20"/>
  <c r="AF622" i="20"/>
  <c r="AJ622" i="20"/>
  <c r="AN622" i="20"/>
  <c r="AB623" i="20"/>
  <c r="AF623" i="20"/>
  <c r="AJ623" i="20"/>
  <c r="AN623" i="20"/>
  <c r="AB614" i="20"/>
  <c r="AF614" i="20"/>
  <c r="AJ614" i="20"/>
  <c r="AN614" i="20"/>
  <c r="AB624" i="20"/>
  <c r="AF624" i="20"/>
  <c r="AJ624" i="20"/>
  <c r="AN624" i="20"/>
  <c r="AB93" i="20"/>
  <c r="AF93" i="20"/>
  <c r="AJ93" i="20"/>
  <c r="AN93" i="20"/>
  <c r="AB96" i="20"/>
  <c r="AF96" i="20"/>
  <c r="AJ96" i="20"/>
  <c r="AN96" i="20"/>
  <c r="AB249" i="20"/>
  <c r="AF249" i="20"/>
  <c r="AJ249" i="20"/>
  <c r="AN249" i="20"/>
  <c r="AB564" i="20"/>
  <c r="AF564" i="20"/>
  <c r="AJ564" i="20"/>
  <c r="AN564" i="20"/>
  <c r="AB918" i="20"/>
  <c r="AF918" i="20"/>
  <c r="AJ918" i="20"/>
  <c r="AN918" i="20"/>
  <c r="AB329" i="20"/>
  <c r="AF329" i="20"/>
  <c r="AJ329" i="20"/>
  <c r="AN329" i="20"/>
  <c r="AB328" i="20"/>
  <c r="AF328" i="20"/>
  <c r="AC993" i="20"/>
  <c r="Y994" i="20"/>
  <c r="AK995" i="20"/>
  <c r="AG996" i="20"/>
  <c r="AC997" i="20"/>
  <c r="Y998" i="20"/>
  <c r="AK999" i="20"/>
  <c r="AC1000" i="20"/>
  <c r="AK1000" i="20"/>
  <c r="AC787" i="20"/>
  <c r="AK787" i="20"/>
  <c r="AC786" i="20"/>
  <c r="AK786" i="20"/>
  <c r="AC795" i="20"/>
  <c r="AK795" i="20"/>
  <c r="AC353" i="20"/>
  <c r="AK353" i="20"/>
  <c r="AC355" i="20"/>
  <c r="AK355" i="20"/>
  <c r="AC352" i="20"/>
  <c r="AK352" i="20"/>
  <c r="AC354" i="20"/>
  <c r="AK354" i="20"/>
  <c r="AC316" i="20"/>
  <c r="AK316" i="20"/>
  <c r="AC315" i="20"/>
  <c r="AK315" i="20"/>
  <c r="AC257" i="20"/>
  <c r="AK257" i="20"/>
  <c r="AC512" i="20"/>
  <c r="AK512" i="20"/>
  <c r="AC425" i="20"/>
  <c r="AK425" i="20"/>
  <c r="AC351" i="20"/>
  <c r="AK351" i="20"/>
  <c r="AC176" i="20"/>
  <c r="AG176" i="20"/>
  <c r="AK176" i="20"/>
  <c r="Y452" i="20"/>
  <c r="AC452" i="20"/>
  <c r="AG452" i="20"/>
  <c r="AK452" i="20"/>
  <c r="Y622" i="20"/>
  <c r="AC622" i="20"/>
  <c r="AG622" i="20"/>
  <c r="AK622" i="20"/>
  <c r="Y623" i="20"/>
  <c r="AC623" i="20"/>
  <c r="AG623" i="20"/>
  <c r="AK623" i="20"/>
  <c r="Y614" i="20"/>
  <c r="AC614" i="20"/>
  <c r="AG614" i="20"/>
  <c r="AK614" i="20"/>
  <c r="Y624" i="20"/>
  <c r="AC624" i="20"/>
  <c r="AG624" i="20"/>
  <c r="AK624" i="20"/>
  <c r="Y93" i="20"/>
  <c r="AC93" i="20"/>
  <c r="AG93" i="20"/>
  <c r="AK93" i="20"/>
  <c r="Y96" i="20"/>
  <c r="AC96" i="20"/>
  <c r="AG96" i="20"/>
  <c r="AK96" i="20"/>
  <c r="Y249" i="20"/>
  <c r="AC249" i="20"/>
  <c r="AG249" i="20"/>
  <c r="AK249" i="20"/>
  <c r="Y564" i="20"/>
  <c r="AC564" i="20"/>
  <c r="AG564" i="20"/>
  <c r="AK564" i="20"/>
  <c r="Y918" i="20"/>
  <c r="AC918" i="20"/>
  <c r="AG918" i="20"/>
  <c r="AK918" i="20"/>
  <c r="Y329" i="20"/>
  <c r="AC329" i="20"/>
  <c r="AG329" i="20"/>
  <c r="AK329" i="20"/>
  <c r="Y328" i="20"/>
  <c r="AC328" i="20"/>
  <c r="AG328" i="20"/>
  <c r="AK328" i="20"/>
  <c r="Y543" i="20"/>
  <c r="AC543" i="20"/>
  <c r="AG543" i="20"/>
  <c r="AK543" i="20"/>
  <c r="Y282" i="20"/>
  <c r="AC282" i="20"/>
  <c r="AG282" i="20"/>
  <c r="AK282" i="20"/>
  <c r="Y575" i="20"/>
  <c r="AC575" i="20"/>
  <c r="AG575" i="20"/>
  <c r="AK575" i="20"/>
  <c r="Y688" i="20"/>
  <c r="AC688" i="20"/>
  <c r="AG688" i="20"/>
  <c r="AK688" i="20"/>
  <c r="Y229" i="20"/>
  <c r="AC229" i="20"/>
  <c r="AG229" i="20"/>
  <c r="AK229" i="20"/>
  <c r="Y509" i="20"/>
  <c r="AC509" i="20"/>
  <c r="AG509" i="20"/>
  <c r="AK509" i="20"/>
  <c r="Y507" i="20"/>
  <c r="AC507" i="20"/>
  <c r="AG507" i="20"/>
  <c r="AK507" i="20"/>
  <c r="Y508" i="20"/>
  <c r="AC508" i="20"/>
  <c r="AG508" i="20"/>
  <c r="AK508" i="20"/>
  <c r="Y510" i="20"/>
  <c r="AC510" i="20"/>
  <c r="AG510" i="20"/>
  <c r="AK510" i="20"/>
  <c r="Y136" i="20"/>
  <c r="AC136" i="20"/>
  <c r="AG136" i="20"/>
  <c r="AK136" i="20"/>
  <c r="Y15" i="20"/>
  <c r="AC15" i="20"/>
  <c r="AG15" i="20"/>
  <c r="AK15" i="20"/>
  <c r="Y603" i="20"/>
  <c r="AC603" i="20"/>
  <c r="AG603" i="20"/>
  <c r="AK603" i="20"/>
  <c r="Y926" i="20"/>
  <c r="AC926" i="20"/>
  <c r="AG926" i="20"/>
  <c r="AK926" i="20"/>
  <c r="Y236" i="20"/>
  <c r="AC236" i="20"/>
  <c r="AG236" i="20"/>
  <c r="AK993" i="20"/>
  <c r="AG994" i="20"/>
  <c r="AC995" i="20"/>
  <c r="Y996" i="20"/>
  <c r="AK997" i="20"/>
  <c r="AG998" i="20"/>
  <c r="AC999" i="20"/>
  <c r="Y1000" i="20"/>
  <c r="AG1000" i="20"/>
  <c r="Y787" i="20"/>
  <c r="AG787" i="20"/>
  <c r="Y786" i="20"/>
  <c r="AG786" i="20"/>
  <c r="Y795" i="20"/>
  <c r="AG795" i="20"/>
  <c r="Y353" i="20"/>
  <c r="AG353" i="20"/>
  <c r="Y355" i="20"/>
  <c r="AG355" i="20"/>
  <c r="Y352" i="20"/>
  <c r="AG352" i="20"/>
  <c r="Y354" i="20"/>
  <c r="AG354" i="20"/>
  <c r="Y316" i="20"/>
  <c r="AG316" i="20"/>
  <c r="Y315" i="20"/>
  <c r="AG315" i="20"/>
  <c r="Y257" i="20"/>
  <c r="AG257" i="20"/>
  <c r="Y512" i="20"/>
  <c r="AG512" i="20"/>
  <c r="Y425" i="20"/>
  <c r="AG425" i="20"/>
  <c r="Y351" i="20"/>
  <c r="AG351" i="20"/>
  <c r="Y176" i="20"/>
  <c r="AE176" i="20"/>
  <c r="AI176" i="20"/>
  <c r="AA452" i="20"/>
  <c r="AE452" i="20"/>
  <c r="AI452" i="20"/>
  <c r="AA622" i="20"/>
  <c r="AE622" i="20"/>
  <c r="AI622" i="20"/>
  <c r="AA623" i="20"/>
  <c r="AE623" i="20"/>
  <c r="AI623" i="20"/>
  <c r="AA614" i="20"/>
  <c r="AE614" i="20"/>
  <c r="AI614" i="20"/>
  <c r="AA624" i="20"/>
  <c r="AE624" i="20"/>
  <c r="AI624" i="20"/>
  <c r="AA93" i="20"/>
  <c r="AE93" i="20"/>
  <c r="AI93" i="20"/>
  <c r="AA96" i="20"/>
  <c r="AE96" i="20"/>
  <c r="AI96" i="20"/>
  <c r="AA249" i="20"/>
  <c r="AE249" i="20"/>
  <c r="AI249" i="20"/>
  <c r="AA564" i="20"/>
  <c r="AE564" i="20"/>
  <c r="AI564" i="20"/>
  <c r="AA918" i="20"/>
  <c r="AE918" i="20"/>
  <c r="AI918" i="20"/>
  <c r="AA329" i="20"/>
  <c r="AE329" i="20"/>
  <c r="AI329" i="20"/>
  <c r="AA328" i="20"/>
  <c r="AE328" i="20"/>
  <c r="AI328" i="20"/>
  <c r="AG993" i="20"/>
  <c r="Y995" i="20"/>
  <c r="AG997" i="20"/>
  <c r="Y999" i="20"/>
  <c r="AE787" i="20"/>
  <c r="AE795" i="20"/>
  <c r="AE355" i="20"/>
  <c r="AE354" i="20"/>
  <c r="AE315" i="20"/>
  <c r="AE512" i="20"/>
  <c r="AE351" i="20"/>
  <c r="AL176" i="20"/>
  <c r="AH452" i="20"/>
  <c r="AD622" i="20"/>
  <c r="Z623" i="20"/>
  <c r="AL614" i="20"/>
  <c r="AH624" i="20"/>
  <c r="AD93" i="20"/>
  <c r="Z96" i="20"/>
  <c r="AL249" i="20"/>
  <c r="AH564" i="20"/>
  <c r="AD918" i="20"/>
  <c r="Z329" i="20"/>
  <c r="AJ328" i="20"/>
  <c r="Z543" i="20"/>
  <c r="AE543" i="20"/>
  <c r="AJ543" i="20"/>
  <c r="Z282" i="20"/>
  <c r="AE282" i="20"/>
  <c r="AJ282" i="20"/>
  <c r="Z575" i="20"/>
  <c r="AE575" i="20"/>
  <c r="AJ575" i="20"/>
  <c r="Z688" i="20"/>
  <c r="AE688" i="20"/>
  <c r="AJ688" i="20"/>
  <c r="Z229" i="20"/>
  <c r="AE229" i="20"/>
  <c r="AJ229" i="20"/>
  <c r="Z509" i="20"/>
  <c r="AE509" i="20"/>
  <c r="AJ509" i="20"/>
  <c r="Z507" i="20"/>
  <c r="AE507" i="20"/>
  <c r="AJ507" i="20"/>
  <c r="Z508" i="20"/>
  <c r="AE508" i="20"/>
  <c r="AJ508" i="20"/>
  <c r="Z510" i="20"/>
  <c r="AE510" i="20"/>
  <c r="AJ510" i="20"/>
  <c r="Z136" i="20"/>
  <c r="AE136" i="20"/>
  <c r="AJ136" i="20"/>
  <c r="Z15" i="20"/>
  <c r="AE15" i="20"/>
  <c r="AJ15" i="20"/>
  <c r="Z603" i="20"/>
  <c r="AE603" i="20"/>
  <c r="AJ603" i="20"/>
  <c r="Z926" i="20"/>
  <c r="AE926" i="20"/>
  <c r="AJ926" i="20"/>
  <c r="Z236" i="20"/>
  <c r="AL452" i="20"/>
  <c r="AH622" i="20"/>
  <c r="AD623" i="20"/>
  <c r="Z614" i="20"/>
  <c r="AL624" i="20"/>
  <c r="AH93" i="20"/>
  <c r="AD96" i="20"/>
  <c r="Z249" i="20"/>
  <c r="AL564" i="20"/>
  <c r="AH918" i="20"/>
  <c r="AD329" i="20"/>
  <c r="Z328" i="20"/>
  <c r="AL328" i="20"/>
  <c r="AA543" i="20"/>
  <c r="AF543" i="20"/>
  <c r="AL543" i="20"/>
  <c r="AA282" i="20"/>
  <c r="AF282" i="20"/>
  <c r="AL282" i="20"/>
  <c r="AA575" i="20"/>
  <c r="AF575" i="20"/>
  <c r="AL575" i="20"/>
  <c r="AA688" i="20"/>
  <c r="AF688" i="20"/>
  <c r="AL688" i="20"/>
  <c r="AA229" i="20"/>
  <c r="AF229" i="20"/>
  <c r="AL229" i="20"/>
  <c r="AA509" i="20"/>
  <c r="AF509" i="20"/>
  <c r="AL509" i="20"/>
  <c r="AA507" i="20"/>
  <c r="AF507" i="20"/>
  <c r="AL507" i="20"/>
  <c r="AA508" i="20"/>
  <c r="AF508" i="20"/>
  <c r="AL508" i="20"/>
  <c r="AA510" i="20"/>
  <c r="AF510" i="20"/>
  <c r="AL510" i="20"/>
  <c r="AA136" i="20"/>
  <c r="AF136" i="20"/>
  <c r="AL136" i="20"/>
  <c r="AA15" i="20"/>
  <c r="AF15" i="20"/>
  <c r="AL15" i="20"/>
  <c r="AA603" i="20"/>
  <c r="AF603" i="20"/>
  <c r="AL603" i="20"/>
  <c r="AA926" i="20"/>
  <c r="AF926" i="20"/>
  <c r="AL926" i="20"/>
  <c r="AA236" i="20"/>
  <c r="AF236" i="20"/>
  <c r="AK236" i="20"/>
  <c r="Y636" i="20"/>
  <c r="AC636" i="20"/>
  <c r="AG636" i="20"/>
  <c r="AK636" i="20"/>
  <c r="Y927" i="20"/>
  <c r="AC927" i="20"/>
  <c r="AG927" i="20"/>
  <c r="AK927" i="20"/>
  <c r="Y928" i="20"/>
  <c r="AC928" i="20"/>
  <c r="AG928" i="20"/>
  <c r="AK928" i="20"/>
  <c r="Y812" i="20"/>
  <c r="AC812" i="20"/>
  <c r="AG812" i="20"/>
  <c r="AK812" i="20"/>
  <c r="Y373" i="20"/>
  <c r="AC373" i="20"/>
  <c r="AG373" i="20"/>
  <c r="AK373" i="20"/>
  <c r="Y929" i="20"/>
  <c r="AC929" i="20"/>
  <c r="AG929" i="20"/>
  <c r="AK929" i="20"/>
  <c r="Y637" i="20"/>
  <c r="AC637" i="20"/>
  <c r="AG637" i="20"/>
  <c r="AK637" i="20"/>
  <c r="Y459" i="20"/>
  <c r="AC459" i="20"/>
  <c r="AG459" i="20"/>
  <c r="AK459" i="20"/>
  <c r="Y638" i="20"/>
  <c r="AC638" i="20"/>
  <c r="AG638" i="20"/>
  <c r="AK638" i="20"/>
  <c r="Y374" i="20"/>
  <c r="AC374" i="20"/>
  <c r="AG374" i="20"/>
  <c r="AK374" i="20"/>
  <c r="Y183" i="20"/>
  <c r="AC183" i="20"/>
  <c r="AG183" i="20"/>
  <c r="AK183" i="20"/>
  <c r="Y221" i="20"/>
  <c r="AC221" i="20"/>
  <c r="AG221" i="20"/>
  <c r="AK221" i="20"/>
  <c r="Y243" i="20"/>
  <c r="AC994" i="20"/>
  <c r="AK996" i="20"/>
  <c r="AC998" i="20"/>
  <c r="AE1000" i="20"/>
  <c r="AE786" i="20"/>
  <c r="AE353" i="20"/>
  <c r="AE352" i="20"/>
  <c r="AE316" i="20"/>
  <c r="AE257" i="20"/>
  <c r="AE425" i="20"/>
  <c r="AD176" i="20"/>
  <c r="Z452" i="20"/>
  <c r="AL622" i="20"/>
  <c r="AH623" i="20"/>
  <c r="AD614" i="20"/>
  <c r="Z624" i="20"/>
  <c r="AL93" i="20"/>
  <c r="AH96" i="20"/>
  <c r="AD249" i="20"/>
  <c r="Z564" i="20"/>
  <c r="AL918" i="20"/>
  <c r="AH329" i="20"/>
  <c r="AD328" i="20"/>
  <c r="AB543" i="20"/>
  <c r="AH543" i="20"/>
  <c r="AB282" i="20"/>
  <c r="AH282" i="20"/>
  <c r="AB575" i="20"/>
  <c r="AH575" i="20"/>
  <c r="AB688" i="20"/>
  <c r="AH688" i="20"/>
  <c r="AB229" i="20"/>
  <c r="AH229" i="20"/>
  <c r="AB509" i="20"/>
  <c r="AH509" i="20"/>
  <c r="AB507" i="20"/>
  <c r="AH507" i="20"/>
  <c r="AB508" i="20"/>
  <c r="AH508" i="20"/>
  <c r="AB510" i="20"/>
  <c r="AH510" i="20"/>
  <c r="AB136" i="20"/>
  <c r="AH136" i="20"/>
  <c r="AB15" i="20"/>
  <c r="AH15" i="20"/>
  <c r="AB603" i="20"/>
  <c r="AH603" i="20"/>
  <c r="AB926" i="20"/>
  <c r="AH926" i="20"/>
  <c r="AB236" i="20"/>
  <c r="AH236" i="20"/>
  <c r="AL236" i="20"/>
  <c r="Z636" i="20"/>
  <c r="AD636" i="20"/>
  <c r="AH636" i="20"/>
  <c r="AL636" i="20"/>
  <c r="Z927" i="20"/>
  <c r="AD927" i="20"/>
  <c r="AH927" i="20"/>
  <c r="AL927" i="20"/>
  <c r="Z928" i="20"/>
  <c r="AD928" i="20"/>
  <c r="AH928" i="20"/>
  <c r="AL928" i="20"/>
  <c r="Z812" i="20"/>
  <c r="AD812" i="20"/>
  <c r="AH812" i="20"/>
  <c r="AL812" i="20"/>
  <c r="Z373" i="20"/>
  <c r="AD373" i="20"/>
  <c r="AH373" i="20"/>
  <c r="AL373" i="20"/>
  <c r="Z929" i="20"/>
  <c r="AD929" i="20"/>
  <c r="AH929" i="20"/>
  <c r="AL929" i="20"/>
  <c r="Z637" i="20"/>
  <c r="AD637" i="20"/>
  <c r="AH637" i="20"/>
  <c r="AL637" i="20"/>
  <c r="Z459" i="20"/>
  <c r="AD459" i="20"/>
  <c r="AH459" i="20"/>
  <c r="AL459" i="20"/>
  <c r="Z638" i="20"/>
  <c r="AD543" i="20"/>
  <c r="AD282" i="20"/>
  <c r="AD575" i="20"/>
  <c r="AD688" i="20"/>
  <c r="AD229" i="20"/>
  <c r="AD509" i="20"/>
  <c r="AD507" i="20"/>
  <c r="AD508" i="20"/>
  <c r="AD510" i="20"/>
  <c r="AD136" i="20"/>
  <c r="AD15" i="20"/>
  <c r="AD603" i="20"/>
  <c r="AD926" i="20"/>
  <c r="AD236" i="20"/>
  <c r="AE636" i="20"/>
  <c r="AE927" i="20"/>
  <c r="AE928" i="20"/>
  <c r="AE812" i="20"/>
  <c r="AE373" i="20"/>
  <c r="AE929" i="20"/>
  <c r="AH176" i="20"/>
  <c r="Z622" i="20"/>
  <c r="AH614" i="20"/>
  <c r="Z93" i="20"/>
  <c r="AH249" i="20"/>
  <c r="Z918" i="20"/>
  <c r="AH328" i="20"/>
  <c r="AI543" i="20"/>
  <c r="AI282" i="20"/>
  <c r="AI575" i="20"/>
  <c r="AI688" i="20"/>
  <c r="AI229" i="20"/>
  <c r="AI509" i="20"/>
  <c r="AI507" i="20"/>
  <c r="AI508" i="20"/>
  <c r="AI510" i="20"/>
  <c r="AI136" i="20"/>
  <c r="AI15" i="20"/>
  <c r="AI603" i="20"/>
  <c r="AI926" i="20"/>
  <c r="AE236" i="20"/>
  <c r="AN236" i="20"/>
  <c r="AF636" i="20"/>
  <c r="AN636" i="20"/>
  <c r="AF927" i="20"/>
  <c r="AN927" i="20"/>
  <c r="AF928" i="20"/>
  <c r="AN928" i="20"/>
  <c r="AF812" i="20"/>
  <c r="AN812" i="20"/>
  <c r="AF373" i="20"/>
  <c r="AN373" i="20"/>
  <c r="AF929" i="20"/>
  <c r="AN929" i="20"/>
  <c r="AF637" i="20"/>
  <c r="AN637" i="20"/>
  <c r="AF459" i="20"/>
  <c r="AN459" i="20"/>
  <c r="AE638" i="20"/>
  <c r="AJ638" i="20"/>
  <c r="Z374" i="20"/>
  <c r="AE374" i="20"/>
  <c r="AJ374" i="20"/>
  <c r="Z183" i="20"/>
  <c r="AE183" i="20"/>
  <c r="AJ183" i="20"/>
  <c r="Z221" i="20"/>
  <c r="AE221" i="20"/>
  <c r="AJ221" i="20"/>
  <c r="Z243" i="20"/>
  <c r="AD243" i="20"/>
  <c r="AH243" i="20"/>
  <c r="AL243" i="20"/>
  <c r="Z881" i="20"/>
  <c r="AD881" i="20"/>
  <c r="AH881" i="20"/>
  <c r="AL881" i="20"/>
  <c r="Z832" i="20"/>
  <c r="AD832" i="20"/>
  <c r="AH832" i="20"/>
  <c r="AL832" i="20"/>
  <c r="Z833" i="20"/>
  <c r="AD833" i="20"/>
  <c r="AH833" i="20"/>
  <c r="AL833" i="20"/>
  <c r="Z826" i="20"/>
  <c r="AD826" i="20"/>
  <c r="AH826" i="20"/>
  <c r="AL826" i="20"/>
  <c r="Z735" i="20"/>
  <c r="AD735" i="20"/>
  <c r="AH735" i="20"/>
  <c r="AL735" i="20"/>
  <c r="Z778" i="20"/>
  <c r="AD778" i="20"/>
  <c r="AH778" i="20"/>
  <c r="AL778" i="20"/>
  <c r="Z932" i="20"/>
  <c r="AD932" i="20"/>
  <c r="AH932" i="20"/>
  <c r="AL932" i="20"/>
  <c r="Z933" i="20"/>
  <c r="AD933" i="20"/>
  <c r="AH933" i="20"/>
  <c r="AL933" i="20"/>
  <c r="Z934" i="20"/>
  <c r="AD934" i="20"/>
  <c r="AH934" i="20"/>
  <c r="AL934" i="20"/>
  <c r="Z935" i="20"/>
  <c r="AD935" i="20"/>
  <c r="AH935" i="20"/>
  <c r="AL935" i="20"/>
  <c r="Z936" i="20"/>
  <c r="AD936" i="20"/>
  <c r="AH936" i="20"/>
  <c r="AL936" i="20"/>
  <c r="Z937" i="20"/>
  <c r="AD937" i="20"/>
  <c r="AH937" i="20"/>
  <c r="AL937" i="20"/>
  <c r="Z938" i="20"/>
  <c r="AD938" i="20"/>
  <c r="AH938" i="20"/>
  <c r="AL938" i="20"/>
  <c r="Z939" i="20"/>
  <c r="AD939" i="20"/>
  <c r="AH939" i="20"/>
  <c r="AL939" i="20"/>
  <c r="Z940" i="20"/>
  <c r="AD940" i="20"/>
  <c r="AH940" i="20"/>
  <c r="AL940" i="20"/>
  <c r="Z941" i="20"/>
  <c r="AD941" i="20"/>
  <c r="AH941" i="20"/>
  <c r="AL941" i="20"/>
  <c r="AD452" i="20"/>
  <c r="AL623" i="20"/>
  <c r="AD624" i="20"/>
  <c r="AL96" i="20"/>
  <c r="AD564" i="20"/>
  <c r="AL329" i="20"/>
  <c r="AN328" i="20"/>
  <c r="AN543" i="20"/>
  <c r="AN282" i="20"/>
  <c r="AN575" i="20"/>
  <c r="AN688" i="20"/>
  <c r="AN229" i="20"/>
  <c r="AN509" i="20"/>
  <c r="AN507" i="20"/>
  <c r="AN508" i="20"/>
  <c r="AN510" i="20"/>
  <c r="AN136" i="20"/>
  <c r="AN15" i="20"/>
  <c r="AN603" i="20"/>
  <c r="AN926" i="20"/>
  <c r="AJ236" i="20"/>
  <c r="AB636" i="20"/>
  <c r="AJ636" i="20"/>
  <c r="AB927" i="20"/>
  <c r="AJ927" i="20"/>
  <c r="AB928" i="20"/>
  <c r="AJ928" i="20"/>
  <c r="AB812" i="20"/>
  <c r="AJ812" i="20"/>
  <c r="AB373" i="20"/>
  <c r="AJ373" i="20"/>
  <c r="AB929" i="20"/>
  <c r="AJ929" i="20"/>
  <c r="AB637" i="20"/>
  <c r="AJ637" i="20"/>
  <c r="AB459" i="20"/>
  <c r="AJ459" i="20"/>
  <c r="AB638" i="20"/>
  <c r="AH638" i="20"/>
  <c r="AB374" i="20"/>
  <c r="AH374" i="20"/>
  <c r="AB183" i="20"/>
  <c r="AH183" i="20"/>
  <c r="AB221" i="20"/>
  <c r="AH221" i="20"/>
  <c r="AB243" i="20"/>
  <c r="AF243" i="20"/>
  <c r="AJ243" i="20"/>
  <c r="AN243" i="20"/>
  <c r="AB881" i="20"/>
  <c r="AF881" i="20"/>
  <c r="AJ881" i="20"/>
  <c r="AN881" i="20"/>
  <c r="AB832" i="20"/>
  <c r="AF832" i="20"/>
  <c r="AJ832" i="20"/>
  <c r="AN832" i="20"/>
  <c r="AB833" i="20"/>
  <c r="AF833" i="20"/>
  <c r="AJ833" i="20"/>
  <c r="AN833" i="20"/>
  <c r="AB826" i="20"/>
  <c r="AF826" i="20"/>
  <c r="AJ826" i="20"/>
  <c r="AN826" i="20"/>
  <c r="AB735" i="20"/>
  <c r="AF735" i="20"/>
  <c r="AJ735" i="20"/>
  <c r="AN735" i="20"/>
  <c r="AB778" i="20"/>
  <c r="AF778" i="20"/>
  <c r="AJ778" i="20"/>
  <c r="AN778" i="20"/>
  <c r="AB932" i="20"/>
  <c r="AF932" i="20"/>
  <c r="AJ932" i="20"/>
  <c r="AN932" i="20"/>
  <c r="AB933" i="20"/>
  <c r="AF933" i="20"/>
  <c r="AJ933" i="20"/>
  <c r="AN933" i="20"/>
  <c r="AB934" i="20"/>
  <c r="AF934" i="20"/>
  <c r="AJ934" i="20"/>
  <c r="AN934" i="20"/>
  <c r="AA927" i="20"/>
  <c r="AI928" i="20"/>
  <c r="AA929" i="20"/>
  <c r="AE637" i="20"/>
  <c r="AE459" i="20"/>
  <c r="AD638" i="20"/>
  <c r="AF374" i="20"/>
  <c r="AN374" i="20"/>
  <c r="AI183" i="20"/>
  <c r="AA221" i="20"/>
  <c r="AL221" i="20"/>
  <c r="AC243" i="20"/>
  <c r="AK243" i="20"/>
  <c r="AC881" i="20"/>
  <c r="AK881" i="20"/>
  <c r="AC832" i="20"/>
  <c r="AK832" i="20"/>
  <c r="AC833" i="20"/>
  <c r="AK833" i="20"/>
  <c r="AC826" i="20"/>
  <c r="AK826" i="20"/>
  <c r="AC735" i="20"/>
  <c r="AK735" i="20"/>
  <c r="AC778" i="20"/>
  <c r="AK778" i="20"/>
  <c r="AC932" i="20"/>
  <c r="AK932" i="20"/>
  <c r="AC933" i="20"/>
  <c r="AK933" i="20"/>
  <c r="AC934" i="20"/>
  <c r="AK934" i="20"/>
  <c r="AB935" i="20"/>
  <c r="AG935" i="20"/>
  <c r="AB936" i="20"/>
  <c r="AG936" i="20"/>
  <c r="AB937" i="20"/>
  <c r="AG937" i="20"/>
  <c r="AB938" i="20"/>
  <c r="AG938" i="20"/>
  <c r="AB939" i="20"/>
  <c r="AG939" i="20"/>
  <c r="AB940" i="20"/>
  <c r="AG940" i="20"/>
  <c r="AB941" i="20"/>
  <c r="AG941" i="20"/>
  <c r="AA942" i="20"/>
  <c r="AE942" i="20"/>
  <c r="AI942" i="20"/>
  <c r="AA943" i="20"/>
  <c r="AE943" i="20"/>
  <c r="AI943" i="20"/>
  <c r="AA944" i="20"/>
  <c r="AE944" i="20"/>
  <c r="AI944" i="20"/>
  <c r="AA945" i="20"/>
  <c r="AE945" i="20"/>
  <c r="AI945" i="20"/>
  <c r="AA946" i="20"/>
  <c r="AE946" i="20"/>
  <c r="AI946" i="20"/>
  <c r="AA947" i="20"/>
  <c r="AE947" i="20"/>
  <c r="AI947" i="20"/>
  <c r="AA948" i="20"/>
  <c r="AE948" i="20"/>
  <c r="AI948" i="20"/>
  <c r="AA949" i="20"/>
  <c r="AE949" i="20"/>
  <c r="AI949" i="20"/>
  <c r="AA950" i="20"/>
  <c r="AE950" i="20"/>
  <c r="AI950" i="20"/>
  <c r="AA951" i="20"/>
  <c r="AE951" i="20"/>
  <c r="AI951" i="20"/>
  <c r="AA952" i="20"/>
  <c r="AE952" i="20"/>
  <c r="AI952" i="20"/>
  <c r="AA953" i="20"/>
  <c r="AE953" i="20"/>
  <c r="AI953" i="20"/>
  <c r="AA954" i="20"/>
  <c r="AE954" i="20"/>
  <c r="AI954" i="20"/>
  <c r="AA955" i="20"/>
  <c r="AE955" i="20"/>
  <c r="AI955" i="20"/>
  <c r="AA956" i="20"/>
  <c r="AE956" i="20"/>
  <c r="AI956" i="20"/>
  <c r="AA636" i="20"/>
  <c r="AI927" i="20"/>
  <c r="AA373" i="20"/>
  <c r="AI929" i="20"/>
  <c r="AI637" i="20"/>
  <c r="AI459" i="20"/>
  <c r="AF638" i="20"/>
  <c r="AN638" i="20"/>
  <c r="AI374" i="20"/>
  <c r="AA183" i="20"/>
  <c r="AL183" i="20"/>
  <c r="AD221" i="20"/>
  <c r="AE243" i="20"/>
  <c r="AE881" i="20"/>
  <c r="AE832" i="20"/>
  <c r="AE833" i="20"/>
  <c r="AE826" i="20"/>
  <c r="AE735" i="20"/>
  <c r="AE778" i="20"/>
  <c r="AE932" i="20"/>
  <c r="AE933" i="20"/>
  <c r="AE934" i="20"/>
  <c r="AC935" i="20"/>
  <c r="AI935" i="20"/>
  <c r="AN935" i="20"/>
  <c r="AC936" i="20"/>
  <c r="AI936" i="20"/>
  <c r="AN936" i="20"/>
  <c r="AC937" i="20"/>
  <c r="AI937" i="20"/>
  <c r="AN937" i="20"/>
  <c r="AC938" i="20"/>
  <c r="AI938" i="20"/>
  <c r="AN938" i="20"/>
  <c r="AC939" i="20"/>
  <c r="AI939" i="20"/>
  <c r="AN939" i="20"/>
  <c r="AC940" i="20"/>
  <c r="AI940" i="20"/>
  <c r="AN940" i="20"/>
  <c r="AC941" i="20"/>
  <c r="AI941" i="20"/>
  <c r="AN941" i="20"/>
  <c r="AB942" i="20"/>
  <c r="AF942" i="20"/>
  <c r="AJ942" i="20"/>
  <c r="AN942" i="20"/>
  <c r="AB943" i="20"/>
  <c r="AF943" i="20"/>
  <c r="AJ943" i="20"/>
  <c r="AN943" i="20"/>
  <c r="AB944" i="20"/>
  <c r="AF944" i="20"/>
  <c r="AJ944" i="20"/>
  <c r="AN944" i="20"/>
  <c r="AB945" i="20"/>
  <c r="AF945" i="20"/>
  <c r="AJ945" i="20"/>
  <c r="AN945" i="20"/>
  <c r="AB946" i="20"/>
  <c r="AF946" i="20"/>
  <c r="AJ946" i="20"/>
  <c r="AN946" i="20"/>
  <c r="AB947" i="20"/>
  <c r="AF947" i="20"/>
  <c r="AJ947" i="20"/>
  <c r="AN947" i="20"/>
  <c r="AB948" i="20"/>
  <c r="AF948" i="20"/>
  <c r="AJ948" i="20"/>
  <c r="AN948" i="20"/>
  <c r="AB949" i="20"/>
  <c r="AF949" i="20"/>
  <c r="AJ949" i="20"/>
  <c r="AN949" i="20"/>
  <c r="AB950" i="20"/>
  <c r="AF950" i="20"/>
  <c r="AJ950" i="20"/>
  <c r="AN950" i="20"/>
  <c r="AB951" i="20"/>
  <c r="AF951" i="20"/>
  <c r="AJ951" i="20"/>
  <c r="AN951" i="20"/>
  <c r="AB952" i="20"/>
  <c r="AF952" i="20"/>
  <c r="AJ952" i="20"/>
  <c r="AN952" i="20"/>
  <c r="AB953" i="20"/>
  <c r="AF953" i="20"/>
  <c r="AJ953" i="20"/>
  <c r="AN953" i="20"/>
  <c r="AB954" i="20"/>
  <c r="AF954" i="20"/>
  <c r="AJ954" i="20"/>
  <c r="AN954" i="20"/>
  <c r="AB955" i="20"/>
  <c r="AF955" i="20"/>
  <c r="AJ955" i="20"/>
  <c r="AN955" i="20"/>
  <c r="AB956" i="20"/>
  <c r="AF956" i="20"/>
  <c r="AJ956" i="20"/>
  <c r="AN956" i="20"/>
  <c r="AB957" i="20"/>
  <c r="AF957" i="20"/>
  <c r="AJ957" i="20"/>
  <c r="AN957" i="20"/>
  <c r="AB958" i="20"/>
  <c r="AF958" i="20"/>
  <c r="AJ958" i="20"/>
  <c r="AN958" i="20"/>
  <c r="AB959" i="20"/>
  <c r="AF959" i="20"/>
  <c r="AJ959" i="20"/>
  <c r="AN959" i="20"/>
  <c r="AB960" i="20"/>
  <c r="AF960" i="20"/>
  <c r="AJ960" i="20"/>
  <c r="AN960" i="20"/>
  <c r="AB961" i="20"/>
  <c r="AF961" i="20"/>
  <c r="AJ961" i="20"/>
  <c r="AN961" i="20"/>
  <c r="AB962" i="20"/>
  <c r="AF962" i="20"/>
  <c r="AJ962" i="20"/>
  <c r="AN962" i="20"/>
  <c r="AB963" i="20"/>
  <c r="AF963" i="20"/>
  <c r="AJ963" i="20"/>
  <c r="AN963" i="20"/>
  <c r="AB964" i="20"/>
  <c r="AF964" i="20"/>
  <c r="AJ964" i="20"/>
  <c r="AN964" i="20"/>
  <c r="AB965" i="20"/>
  <c r="AF965" i="20"/>
  <c r="AJ965" i="20"/>
  <c r="AN965" i="20"/>
  <c r="AB966" i="20"/>
  <c r="AF966" i="20"/>
  <c r="AJ966" i="20"/>
  <c r="AN966" i="20"/>
  <c r="AB967" i="20"/>
  <c r="AF967" i="20"/>
  <c r="AJ967" i="20"/>
  <c r="AN967" i="20"/>
  <c r="AI236" i="20"/>
  <c r="AA928" i="20"/>
  <c r="AI812" i="20"/>
  <c r="AA637" i="20"/>
  <c r="AA459" i="20"/>
  <c r="AA638" i="20"/>
  <c r="AL638" i="20"/>
  <c r="AD374" i="20"/>
  <c r="AF183" i="20"/>
  <c r="AN183" i="20"/>
  <c r="AI221" i="20"/>
  <c r="AA243" i="20"/>
  <c r="AI243" i="20"/>
  <c r="AA881" i="20"/>
  <c r="AI881" i="20"/>
  <c r="AA832" i="20"/>
  <c r="AI832" i="20"/>
  <c r="AA833" i="20"/>
  <c r="AI833" i="20"/>
  <c r="AA826" i="20"/>
  <c r="AI826" i="20"/>
  <c r="AA735" i="20"/>
  <c r="AI735" i="20"/>
  <c r="AA778" i="20"/>
  <c r="AI778" i="20"/>
  <c r="AA932" i="20"/>
  <c r="AI932" i="20"/>
  <c r="AA933" i="20"/>
  <c r="AI933" i="20"/>
  <c r="AA934" i="20"/>
  <c r="AI934" i="20"/>
  <c r="AA935" i="20"/>
  <c r="AF935" i="20"/>
  <c r="AK935" i="20"/>
  <c r="AA936" i="20"/>
  <c r="AF936" i="20"/>
  <c r="AK936" i="20"/>
  <c r="AA937" i="20"/>
  <c r="AF937" i="20"/>
  <c r="AK937" i="20"/>
  <c r="AA938" i="20"/>
  <c r="AF938" i="20"/>
  <c r="AK938" i="20"/>
  <c r="AA939" i="20"/>
  <c r="AF939" i="20"/>
  <c r="AK939" i="20"/>
  <c r="AA940" i="20"/>
  <c r="AF940" i="20"/>
  <c r="AK940" i="20"/>
  <c r="AA941" i="20"/>
  <c r="AF941" i="20"/>
  <c r="AK941" i="20"/>
  <c r="Z942" i="20"/>
  <c r="AD942" i="20"/>
  <c r="AH942" i="20"/>
  <c r="AL942" i="20"/>
  <c r="Z943" i="20"/>
  <c r="AD943" i="20"/>
  <c r="AH943" i="20"/>
  <c r="AL943" i="20"/>
  <c r="Z944" i="20"/>
  <c r="AD944" i="20"/>
  <c r="AH944" i="20"/>
  <c r="AL944" i="20"/>
  <c r="Z945" i="20"/>
  <c r="AD945" i="20"/>
  <c r="AH945" i="20"/>
  <c r="AL945" i="20"/>
  <c r="Z946" i="20"/>
  <c r="AD946" i="20"/>
  <c r="AH946" i="20"/>
  <c r="AL946" i="20"/>
  <c r="Z947" i="20"/>
  <c r="AD947" i="20"/>
  <c r="AH947" i="20"/>
  <c r="AL947" i="20"/>
  <c r="Z948" i="20"/>
  <c r="AD948" i="20"/>
  <c r="AH948" i="20"/>
  <c r="AL948" i="20"/>
  <c r="Z949" i="20"/>
  <c r="AD949" i="20"/>
  <c r="AH949" i="20"/>
  <c r="AL949" i="20"/>
  <c r="Z950" i="20"/>
  <c r="AD950" i="20"/>
  <c r="AH950" i="20"/>
  <c r="AL950" i="20"/>
  <c r="Z951" i="20"/>
  <c r="AD951" i="20"/>
  <c r="AH951" i="20"/>
  <c r="AL951" i="20"/>
  <c r="Z952" i="20"/>
  <c r="AD952" i="20"/>
  <c r="AH952" i="20"/>
  <c r="AL952" i="20"/>
  <c r="Z953" i="20"/>
  <c r="AD953" i="20"/>
  <c r="AH953" i="20"/>
  <c r="AL953" i="20"/>
  <c r="Z954" i="20"/>
  <c r="AD954" i="20"/>
  <c r="AH954" i="20"/>
  <c r="AL954" i="20"/>
  <c r="Z955" i="20"/>
  <c r="AD955" i="20"/>
  <c r="AH955" i="20"/>
  <c r="AL955" i="20"/>
  <c r="Z956" i="20"/>
  <c r="AD956" i="20"/>
  <c r="AH956" i="20"/>
  <c r="AL956" i="20"/>
  <c r="Z957" i="20"/>
  <c r="AD957" i="20"/>
  <c r="AH957" i="20"/>
  <c r="AL957" i="20"/>
  <c r="Z958" i="20"/>
  <c r="AD958" i="20"/>
  <c r="AH958" i="20"/>
  <c r="AL958" i="20"/>
  <c r="Z959" i="20"/>
  <c r="AD959" i="20"/>
  <c r="AH959" i="20"/>
  <c r="AL959" i="20"/>
  <c r="Z960" i="20"/>
  <c r="AD960" i="20"/>
  <c r="AH960" i="20"/>
  <c r="AL960" i="20"/>
  <c r="Z961" i="20"/>
  <c r="AD961" i="20"/>
  <c r="AH961" i="20"/>
  <c r="AL961" i="20"/>
  <c r="Z962" i="20"/>
  <c r="AD962" i="20"/>
  <c r="AH962" i="20"/>
  <c r="AL962" i="20"/>
  <c r="Z963" i="20"/>
  <c r="AD963" i="20"/>
  <c r="AH963" i="20"/>
  <c r="AL963" i="20"/>
  <c r="Z964" i="20"/>
  <c r="AD964" i="20"/>
  <c r="AH964" i="20"/>
  <c r="AL964" i="20"/>
  <c r="Z965" i="20"/>
  <c r="AD965" i="20"/>
  <c r="AH965" i="20"/>
  <c r="AL965" i="20"/>
  <c r="Z966" i="20"/>
  <c r="AD966" i="20"/>
  <c r="AH966" i="20"/>
  <c r="AL966" i="20"/>
  <c r="Z967" i="20"/>
  <c r="AD967" i="20"/>
  <c r="AH967" i="20"/>
  <c r="AL967" i="20"/>
  <c r="Z968" i="20"/>
  <c r="AD968" i="20"/>
  <c r="AH968" i="20"/>
  <c r="AL968" i="20"/>
  <c r="Z969" i="20"/>
  <c r="AD969" i="20"/>
  <c r="AH969" i="20"/>
  <c r="AL969" i="20"/>
  <c r="Z970" i="20"/>
  <c r="AD970" i="20"/>
  <c r="AH970" i="20"/>
  <c r="AL970" i="20"/>
  <c r="Z971" i="20"/>
  <c r="AD971" i="20"/>
  <c r="AI636" i="20"/>
  <c r="AA812" i="20"/>
  <c r="AD183" i="20"/>
  <c r="AN221" i="20"/>
  <c r="AG881" i="20"/>
  <c r="Y826" i="20"/>
  <c r="AG735" i="20"/>
  <c r="Y933" i="20"/>
  <c r="AG934" i="20"/>
  <c r="AJ935" i="20"/>
  <c r="AJ936" i="20"/>
  <c r="AJ937" i="20"/>
  <c r="AJ938" i="20"/>
  <c r="AJ939" i="20"/>
  <c r="AJ940" i="20"/>
  <c r="AJ941" i="20"/>
  <c r="AG942" i="20"/>
  <c r="AC943" i="20"/>
  <c r="Y944" i="20"/>
  <c r="AK945" i="20"/>
  <c r="AG946" i="20"/>
  <c r="AC947" i="20"/>
  <c r="Y948" i="20"/>
  <c r="AK949" i="20"/>
  <c r="AG950" i="20"/>
  <c r="AC951" i="20"/>
  <c r="Y952" i="20"/>
  <c r="AK953" i="20"/>
  <c r="AG954" i="20"/>
  <c r="AC955" i="20"/>
  <c r="Y956" i="20"/>
  <c r="AE957" i="20"/>
  <c r="AE958" i="20"/>
  <c r="AE959" i="20"/>
  <c r="AE960" i="20"/>
  <c r="AE961" i="20"/>
  <c r="AE962" i="20"/>
  <c r="AE963" i="20"/>
  <c r="AE964" i="20"/>
  <c r="AE965" i="20"/>
  <c r="AE966" i="20"/>
  <c r="AE967" i="20"/>
  <c r="AC968" i="20"/>
  <c r="AI968" i="20"/>
  <c r="AN968" i="20"/>
  <c r="AC969" i="20"/>
  <c r="AI969" i="20"/>
  <c r="AN969" i="20"/>
  <c r="AC970" i="20"/>
  <c r="AI970" i="20"/>
  <c r="AN970" i="20"/>
  <c r="AC971" i="20"/>
  <c r="AH971" i="20"/>
  <c r="AL971" i="20"/>
  <c r="Z972" i="20"/>
  <c r="AD972" i="20"/>
  <c r="AH972" i="20"/>
  <c r="AL972" i="20"/>
  <c r="Z973" i="20"/>
  <c r="AD973" i="20"/>
  <c r="AH973" i="20"/>
  <c r="AL973" i="20"/>
  <c r="Z974" i="20"/>
  <c r="AD974" i="20"/>
  <c r="AH974" i="20"/>
  <c r="AL974" i="20"/>
  <c r="Z975" i="20"/>
  <c r="AD975" i="20"/>
  <c r="AH975" i="20"/>
  <c r="AL975" i="20"/>
  <c r="Z976" i="20"/>
  <c r="AD976" i="20"/>
  <c r="AH976" i="20"/>
  <c r="AL976" i="20"/>
  <c r="Z977" i="20"/>
  <c r="AD977" i="20"/>
  <c r="AH977" i="20"/>
  <c r="AL977" i="20"/>
  <c r="Z978" i="20"/>
  <c r="AD978" i="20"/>
  <c r="AH978" i="20"/>
  <c r="AL978" i="20"/>
  <c r="Z979" i="20"/>
  <c r="AD979" i="20"/>
  <c r="AH979" i="20"/>
  <c r="AL979" i="20"/>
  <c r="Z980" i="20"/>
  <c r="AD980" i="20"/>
  <c r="AH980" i="20"/>
  <c r="AL980" i="20"/>
  <c r="Z981" i="20"/>
  <c r="AD981" i="20"/>
  <c r="AH981" i="20"/>
  <c r="AL981" i="20"/>
  <c r="Z982" i="20"/>
  <c r="AD982" i="20"/>
  <c r="AH982" i="20"/>
  <c r="AL982" i="20"/>
  <c r="Z983" i="20"/>
  <c r="AD983" i="20"/>
  <c r="AH983" i="20"/>
  <c r="AL983" i="20"/>
  <c r="Z984" i="20"/>
  <c r="AD984" i="20"/>
  <c r="AH984" i="20"/>
  <c r="AL984" i="20"/>
  <c r="Z985" i="20"/>
  <c r="AD985" i="20"/>
  <c r="AH985" i="20"/>
  <c r="AL985" i="20"/>
  <c r="Z986" i="20"/>
  <c r="AD986" i="20"/>
  <c r="AH986" i="20"/>
  <c r="AL986" i="20"/>
  <c r="Z987" i="20"/>
  <c r="AD987" i="20"/>
  <c r="AH987" i="20"/>
  <c r="AL987" i="20"/>
  <c r="Z988" i="20"/>
  <c r="AD988" i="20"/>
  <c r="AH988" i="20"/>
  <c r="AA374" i="20"/>
  <c r="AG243" i="20"/>
  <c r="Y833" i="20"/>
  <c r="AG826" i="20"/>
  <c r="Y932" i="20"/>
  <c r="AG933" i="20"/>
  <c r="AK942" i="20"/>
  <c r="AG943" i="20"/>
  <c r="AC944" i="20"/>
  <c r="Y945" i="20"/>
  <c r="AK946" i="20"/>
  <c r="AG947" i="20"/>
  <c r="AC948" i="20"/>
  <c r="Y949" i="20"/>
  <c r="AK950" i="20"/>
  <c r="AG951" i="20"/>
  <c r="AC952" i="20"/>
  <c r="Y953" i="20"/>
  <c r="AK954" i="20"/>
  <c r="AG955" i="20"/>
  <c r="AC956" i="20"/>
  <c r="Y957" i="20"/>
  <c r="AG957" i="20"/>
  <c r="Y958" i="20"/>
  <c r="AG958" i="20"/>
  <c r="Y959" i="20"/>
  <c r="AG959" i="20"/>
  <c r="Y960" i="20"/>
  <c r="AG960" i="20"/>
  <c r="Y961" i="20"/>
  <c r="AG961" i="20"/>
  <c r="Y962" i="20"/>
  <c r="AG962" i="20"/>
  <c r="Y963" i="20"/>
  <c r="AG963" i="20"/>
  <c r="Y964" i="20"/>
  <c r="AG964" i="20"/>
  <c r="Y965" i="20"/>
  <c r="AG965" i="20"/>
  <c r="Y966" i="20"/>
  <c r="AG966" i="20"/>
  <c r="Y967" i="20"/>
  <c r="AG967" i="20"/>
  <c r="Y968" i="20"/>
  <c r="AE968" i="20"/>
  <c r="AJ968" i="20"/>
  <c r="Y969" i="20"/>
  <c r="AE969" i="20"/>
  <c r="AJ969" i="20"/>
  <c r="Y970" i="20"/>
  <c r="AE970" i="20"/>
  <c r="AJ970" i="20"/>
  <c r="Y971" i="20"/>
  <c r="AE971" i="20"/>
  <c r="AI971" i="20"/>
  <c r="AA972" i="20"/>
  <c r="AE972" i="20"/>
  <c r="AI972" i="20"/>
  <c r="AA973" i="20"/>
  <c r="AE973" i="20"/>
  <c r="AI973" i="20"/>
  <c r="AA974" i="20"/>
  <c r="AE974" i="20"/>
  <c r="AI974" i="20"/>
  <c r="AA975" i="20"/>
  <c r="AE975" i="20"/>
  <c r="AI975" i="20"/>
  <c r="AA976" i="20"/>
  <c r="AE976" i="20"/>
  <c r="AI976" i="20"/>
  <c r="AA977" i="20"/>
  <c r="AE977" i="20"/>
  <c r="AI977" i="20"/>
  <c r="AA978" i="20"/>
  <c r="AE978" i="20"/>
  <c r="AI978" i="20"/>
  <c r="AA979" i="20"/>
  <c r="AE979" i="20"/>
  <c r="AI979" i="20"/>
  <c r="AA980" i="20"/>
  <c r="AE980" i="20"/>
  <c r="AI980" i="20"/>
  <c r="AA981" i="20"/>
  <c r="AE981" i="20"/>
  <c r="AI981" i="20"/>
  <c r="AA982" i="20"/>
  <c r="AE982" i="20"/>
  <c r="AI982" i="20"/>
  <c r="AA983" i="20"/>
  <c r="AE983" i="20"/>
  <c r="AI983" i="20"/>
  <c r="AA984" i="20"/>
  <c r="AE984" i="20"/>
  <c r="AI984" i="20"/>
  <c r="AA985" i="20"/>
  <c r="AE985" i="20"/>
  <c r="AI985" i="20"/>
  <c r="AA986" i="20"/>
  <c r="AE986" i="20"/>
  <c r="AI986" i="20"/>
  <c r="AA987" i="20"/>
  <c r="AE987" i="20"/>
  <c r="AI987" i="20"/>
  <c r="AA988" i="20"/>
  <c r="AE988" i="20"/>
  <c r="AI988" i="20"/>
  <c r="AA989" i="20"/>
  <c r="AE989" i="20"/>
  <c r="AI989" i="20"/>
  <c r="AA990" i="20"/>
  <c r="AE990" i="20"/>
  <c r="AI373" i="20"/>
  <c r="AL374" i="20"/>
  <c r="AF221" i="20"/>
  <c r="Y832" i="20"/>
  <c r="AG833" i="20"/>
  <c r="Y778" i="20"/>
  <c r="AG932" i="20"/>
  <c r="Y935" i="20"/>
  <c r="Y936" i="20"/>
  <c r="Y937" i="20"/>
  <c r="Y938" i="20"/>
  <c r="Y939" i="20"/>
  <c r="Y940" i="20"/>
  <c r="Y941" i="20"/>
  <c r="Y942" i="20"/>
  <c r="AK943" i="20"/>
  <c r="AG944" i="20"/>
  <c r="AC945" i="20"/>
  <c r="Y946" i="20"/>
  <c r="AK947" i="20"/>
  <c r="AG948" i="20"/>
  <c r="AC949" i="20"/>
  <c r="Y950" i="20"/>
  <c r="AK951" i="20"/>
  <c r="AG952" i="20"/>
  <c r="AC953" i="20"/>
  <c r="Y954" i="20"/>
  <c r="AK955" i="20"/>
  <c r="AG956" i="20"/>
  <c r="AA957" i="20"/>
  <c r="AI957" i="20"/>
  <c r="AA958" i="20"/>
  <c r="AI958" i="20"/>
  <c r="AA959" i="20"/>
  <c r="AI959" i="20"/>
  <c r="AA960" i="20"/>
  <c r="AI960" i="20"/>
  <c r="AA961" i="20"/>
  <c r="AI961" i="20"/>
  <c r="AA962" i="20"/>
  <c r="AI962" i="20"/>
  <c r="AA963" i="20"/>
  <c r="AI963" i="20"/>
  <c r="AA964" i="20"/>
  <c r="AI964" i="20"/>
  <c r="AA965" i="20"/>
  <c r="AI965" i="20"/>
  <c r="AA966" i="20"/>
  <c r="AI966" i="20"/>
  <c r="AA967" i="20"/>
  <c r="AI967" i="20"/>
  <c r="AA968" i="20"/>
  <c r="AF968" i="20"/>
  <c r="AK968" i="20"/>
  <c r="AA969" i="20"/>
  <c r="AF969" i="20"/>
  <c r="AK969" i="20"/>
  <c r="AA970" i="20"/>
  <c r="AF970" i="20"/>
  <c r="AK970" i="20"/>
  <c r="AA971" i="20"/>
  <c r="AF971" i="20"/>
  <c r="AJ971" i="20"/>
  <c r="AN971" i="20"/>
  <c r="AB972" i="20"/>
  <c r="AF972" i="20"/>
  <c r="AJ972" i="20"/>
  <c r="AN972" i="20"/>
  <c r="AB973" i="20"/>
  <c r="AF973" i="20"/>
  <c r="AJ973" i="20"/>
  <c r="AN973" i="20"/>
  <c r="AB974" i="20"/>
  <c r="AF974" i="20"/>
  <c r="AJ974" i="20"/>
  <c r="AN974" i="20"/>
  <c r="AB975" i="20"/>
  <c r="AF975" i="20"/>
  <c r="AJ975" i="20"/>
  <c r="AN975" i="20"/>
  <c r="AB976" i="20"/>
  <c r="AF976" i="20"/>
  <c r="AJ976" i="20"/>
  <c r="AN976" i="20"/>
  <c r="AB977" i="20"/>
  <c r="AF977" i="20"/>
  <c r="AJ977" i="20"/>
  <c r="AN977" i="20"/>
  <c r="AB978" i="20"/>
  <c r="AF978" i="20"/>
  <c r="AJ978" i="20"/>
  <c r="AN978" i="20"/>
  <c r="AB979" i="20"/>
  <c r="AF979" i="20"/>
  <c r="AJ979" i="20"/>
  <c r="AN979" i="20"/>
  <c r="AB980" i="20"/>
  <c r="AF980" i="20"/>
  <c r="AJ980" i="20"/>
  <c r="AN980" i="20"/>
  <c r="AB981" i="20"/>
  <c r="AF981" i="20"/>
  <c r="AJ981" i="20"/>
  <c r="AN981" i="20"/>
  <c r="AB982" i="20"/>
  <c r="AF982" i="20"/>
  <c r="AJ982" i="20"/>
  <c r="AN982" i="20"/>
  <c r="AB983" i="20"/>
  <c r="AF983" i="20"/>
  <c r="AJ983" i="20"/>
  <c r="AN983" i="20"/>
  <c r="AB984" i="20"/>
  <c r="AF984" i="20"/>
  <c r="AJ984" i="20"/>
  <c r="AN984" i="20"/>
  <c r="AB985" i="20"/>
  <c r="AF985" i="20"/>
  <c r="AJ985" i="20"/>
  <c r="AN985" i="20"/>
  <c r="AB986" i="20"/>
  <c r="AF986" i="20"/>
  <c r="AJ986" i="20"/>
  <c r="AN986" i="20"/>
  <c r="AB987" i="20"/>
  <c r="AF987" i="20"/>
  <c r="AJ987" i="20"/>
  <c r="AN987" i="20"/>
  <c r="AB988" i="20"/>
  <c r="AF988" i="20"/>
  <c r="AJ988" i="20"/>
  <c r="AN988" i="20"/>
  <c r="AB989" i="20"/>
  <c r="AF989" i="20"/>
  <c r="AJ989" i="20"/>
  <c r="AN989" i="20"/>
  <c r="AB990" i="20"/>
  <c r="AF990" i="20"/>
  <c r="AJ990" i="20"/>
  <c r="AN990" i="20"/>
  <c r="AB991" i="20"/>
  <c r="AF991" i="20"/>
  <c r="AJ991" i="20"/>
  <c r="AN991" i="20"/>
  <c r="AB992" i="20"/>
  <c r="AF992" i="20"/>
  <c r="AJ992" i="20"/>
  <c r="AN992" i="20"/>
  <c r="AB805" i="20"/>
  <c r="AF805" i="20"/>
  <c r="AJ805" i="20"/>
  <c r="AN805" i="20"/>
  <c r="AB71" i="20"/>
  <c r="AF71" i="20"/>
  <c r="AJ71" i="20"/>
  <c r="AN71" i="20"/>
  <c r="AB899" i="20"/>
  <c r="AF899" i="20"/>
  <c r="AJ899" i="20"/>
  <c r="AN899" i="20"/>
  <c r="AB630" i="20"/>
  <c r="AF630" i="20"/>
  <c r="AJ630" i="20"/>
  <c r="AN630" i="20"/>
  <c r="AB841" i="20"/>
  <c r="AF841" i="20"/>
  <c r="AJ841" i="20"/>
  <c r="AN841" i="20"/>
  <c r="AB806" i="20"/>
  <c r="AF806" i="20"/>
  <c r="AI638" i="20"/>
  <c r="AG832" i="20"/>
  <c r="Y735" i="20"/>
  <c r="AE935" i="20"/>
  <c r="AE937" i="20"/>
  <c r="AE939" i="20"/>
  <c r="AE941" i="20"/>
  <c r="Y943" i="20"/>
  <c r="AG945" i="20"/>
  <c r="Y947" i="20"/>
  <c r="AG949" i="20"/>
  <c r="Y951" i="20"/>
  <c r="AG953" i="20"/>
  <c r="Y955" i="20"/>
  <c r="AC957" i="20"/>
  <c r="AK958" i="20"/>
  <c r="AC961" i="20"/>
  <c r="AK962" i="20"/>
  <c r="AC965" i="20"/>
  <c r="AK966" i="20"/>
  <c r="AB969" i="20"/>
  <c r="AG970" i="20"/>
  <c r="AK971" i="20"/>
  <c r="AG972" i="20"/>
  <c r="AC973" i="20"/>
  <c r="Y974" i="20"/>
  <c r="AK975" i="20"/>
  <c r="AG976" i="20"/>
  <c r="AC977" i="20"/>
  <c r="Y978" i="20"/>
  <c r="AK979" i="20"/>
  <c r="AG980" i="20"/>
  <c r="AC981" i="20"/>
  <c r="Y982" i="20"/>
  <c r="AK983" i="20"/>
  <c r="AG984" i="20"/>
  <c r="AC985" i="20"/>
  <c r="Y986" i="20"/>
  <c r="AK987" i="20"/>
  <c r="AG988" i="20"/>
  <c r="Y989" i="20"/>
  <c r="AG989" i="20"/>
  <c r="AD990" i="20"/>
  <c r="AK990" i="20"/>
  <c r="Z991" i="20"/>
  <c r="AE991" i="20"/>
  <c r="AK991" i="20"/>
  <c r="Z992" i="20"/>
  <c r="AE992" i="20"/>
  <c r="AK992" i="20"/>
  <c r="Z805" i="20"/>
  <c r="AE805" i="20"/>
  <c r="AK805" i="20"/>
  <c r="Z71" i="20"/>
  <c r="AE71" i="20"/>
  <c r="AK71" i="20"/>
  <c r="Z899" i="20"/>
  <c r="AE899" i="20"/>
  <c r="AK899" i="20"/>
  <c r="Z630" i="20"/>
  <c r="AE630" i="20"/>
  <c r="AK630" i="20"/>
  <c r="Z841" i="20"/>
  <c r="AE841" i="20"/>
  <c r="AK841" i="20"/>
  <c r="Z806" i="20"/>
  <c r="AE806" i="20"/>
  <c r="AJ806" i="20"/>
  <c r="AN806" i="20"/>
  <c r="AB845" i="20"/>
  <c r="AF845" i="20"/>
  <c r="AJ845" i="20"/>
  <c r="AN845" i="20"/>
  <c r="AB235" i="20"/>
  <c r="AF235" i="20"/>
  <c r="AJ235" i="20"/>
  <c r="AN235" i="20"/>
  <c r="AB266" i="20"/>
  <c r="AF266" i="20"/>
  <c r="AJ266" i="20"/>
  <c r="AN266" i="20"/>
  <c r="AB424" i="20"/>
  <c r="AF424" i="20"/>
  <c r="AJ424" i="20"/>
  <c r="AN424" i="20"/>
  <c r="AB212" i="20"/>
  <c r="AF212" i="20"/>
  <c r="AJ212" i="20"/>
  <c r="AN212" i="20"/>
  <c r="AB552" i="20"/>
  <c r="AF552" i="20"/>
  <c r="AJ552" i="20"/>
  <c r="AN552" i="20"/>
  <c r="AB213" i="20"/>
  <c r="AF213" i="20"/>
  <c r="AJ213" i="20"/>
  <c r="AN213" i="20"/>
  <c r="AB270" i="20"/>
  <c r="AF270" i="20"/>
  <c r="AJ270" i="20"/>
  <c r="AN270" i="20"/>
  <c r="AB825" i="20"/>
  <c r="AF825" i="20"/>
  <c r="AJ825" i="20"/>
  <c r="AN825" i="20"/>
  <c r="AB838" i="20"/>
  <c r="AF838" i="20"/>
  <c r="AJ838" i="20"/>
  <c r="AN838" i="20"/>
  <c r="AB807" i="20"/>
  <c r="AF807" i="20"/>
  <c r="AJ807" i="20"/>
  <c r="AN807" i="20"/>
  <c r="AB119" i="20"/>
  <c r="AF119" i="20"/>
  <c r="AJ119" i="20"/>
  <c r="AN119" i="20"/>
  <c r="AB122" i="20"/>
  <c r="AF122" i="20"/>
  <c r="AJ122" i="20"/>
  <c r="AN122" i="20"/>
  <c r="AB125" i="20"/>
  <c r="AF125" i="20"/>
  <c r="AJ125" i="20"/>
  <c r="AN125" i="20"/>
  <c r="AB432" i="20"/>
  <c r="AF432" i="20"/>
  <c r="AJ432" i="20"/>
  <c r="AN432" i="20"/>
  <c r="AB771" i="20"/>
  <c r="AF771" i="20"/>
  <c r="AJ771" i="20"/>
  <c r="AN771" i="20"/>
  <c r="AB777" i="20"/>
  <c r="AF777" i="20"/>
  <c r="AJ777" i="20"/>
  <c r="AN777" i="20"/>
  <c r="Y972" i="20"/>
  <c r="AC991" i="20"/>
  <c r="AC992" i="20"/>
  <c r="AH992" i="20"/>
  <c r="AH71" i="20"/>
  <c r="AH899" i="20"/>
  <c r="AC630" i="20"/>
  <c r="AH630" i="20"/>
  <c r="AC841" i="20"/>
  <c r="Z235" i="20"/>
  <c r="AK957" i="20"/>
  <c r="AC960" i="20"/>
  <c r="AK961" i="20"/>
  <c r="AC964" i="20"/>
  <c r="AK965" i="20"/>
  <c r="AB968" i="20"/>
  <c r="AG969" i="20"/>
  <c r="AK972" i="20"/>
  <c r="AG973" i="20"/>
  <c r="AC974" i="20"/>
  <c r="Y975" i="20"/>
  <c r="AK976" i="20"/>
  <c r="AG977" i="20"/>
  <c r="AC978" i="20"/>
  <c r="Y979" i="20"/>
  <c r="AK980" i="20"/>
  <c r="AG981" i="20"/>
  <c r="AC982" i="20"/>
  <c r="Y983" i="20"/>
  <c r="AK984" i="20"/>
  <c r="AG985" i="20"/>
  <c r="AC986" i="20"/>
  <c r="Y987" i="20"/>
  <c r="AK988" i="20"/>
  <c r="Z989" i="20"/>
  <c r="AH989" i="20"/>
  <c r="Y990" i="20"/>
  <c r="AG990" i="20"/>
  <c r="AL990" i="20"/>
  <c r="AA991" i="20"/>
  <c r="AG991" i="20"/>
  <c r="AL991" i="20"/>
  <c r="AA992" i="20"/>
  <c r="AG992" i="20"/>
  <c r="AL992" i="20"/>
  <c r="AA805" i="20"/>
  <c r="AG805" i="20"/>
  <c r="AL805" i="20"/>
  <c r="AA71" i="20"/>
  <c r="AG71" i="20"/>
  <c r="AL71" i="20"/>
  <c r="AA899" i="20"/>
  <c r="AG899" i="20"/>
  <c r="AL899" i="20"/>
  <c r="AA630" i="20"/>
  <c r="AG630" i="20"/>
  <c r="AL630" i="20"/>
  <c r="AA841" i="20"/>
  <c r="AG841" i="20"/>
  <c r="AL841" i="20"/>
  <c r="AA806" i="20"/>
  <c r="AG806" i="20"/>
  <c r="AK806" i="20"/>
  <c r="Y845" i="20"/>
  <c r="AC845" i="20"/>
  <c r="AG845" i="20"/>
  <c r="AK845" i="20"/>
  <c r="Y235" i="20"/>
  <c r="AC235" i="20"/>
  <c r="AG235" i="20"/>
  <c r="AK235" i="20"/>
  <c r="Y266" i="20"/>
  <c r="AC266" i="20"/>
  <c r="AG266" i="20"/>
  <c r="AK266" i="20"/>
  <c r="Y424" i="20"/>
  <c r="AC424" i="20"/>
  <c r="AG424" i="20"/>
  <c r="AK424" i="20"/>
  <c r="Y212" i="20"/>
  <c r="AC212" i="20"/>
  <c r="AG212" i="20"/>
  <c r="AK212" i="20"/>
  <c r="Y552" i="20"/>
  <c r="AC552" i="20"/>
  <c r="AG552" i="20"/>
  <c r="AK552" i="20"/>
  <c r="Y213" i="20"/>
  <c r="AC213" i="20"/>
  <c r="AG213" i="20"/>
  <c r="AK213" i="20"/>
  <c r="Y270" i="20"/>
  <c r="AC270" i="20"/>
  <c r="AG270" i="20"/>
  <c r="AK270" i="20"/>
  <c r="Y825" i="20"/>
  <c r="AC825" i="20"/>
  <c r="AG825" i="20"/>
  <c r="AK825" i="20"/>
  <c r="Y838" i="20"/>
  <c r="AC838" i="20"/>
  <c r="AG838" i="20"/>
  <c r="AK838" i="20"/>
  <c r="Y807" i="20"/>
  <c r="AC807" i="20"/>
  <c r="AG807" i="20"/>
  <c r="AK807" i="20"/>
  <c r="Y119" i="20"/>
  <c r="AC119" i="20"/>
  <c r="AG119" i="20"/>
  <c r="AK119" i="20"/>
  <c r="Y122" i="20"/>
  <c r="AC122" i="20"/>
  <c r="AG122" i="20"/>
  <c r="AK122" i="20"/>
  <c r="Y125" i="20"/>
  <c r="AC125" i="20"/>
  <c r="AG125" i="20"/>
  <c r="AK125" i="20"/>
  <c r="Y432" i="20"/>
  <c r="AC432" i="20"/>
  <c r="AG432" i="20"/>
  <c r="AK432" i="20"/>
  <c r="Y771" i="20"/>
  <c r="AC771" i="20"/>
  <c r="AG771" i="20"/>
  <c r="AK771" i="20"/>
  <c r="Y777" i="20"/>
  <c r="AC777" i="20"/>
  <c r="AG777" i="20"/>
  <c r="AK777" i="20"/>
  <c r="Y881" i="20"/>
  <c r="AG778" i="20"/>
  <c r="Y934" i="20"/>
  <c r="AE936" i="20"/>
  <c r="AE938" i="20"/>
  <c r="AE940" i="20"/>
  <c r="AC942" i="20"/>
  <c r="AK944" i="20"/>
  <c r="AC946" i="20"/>
  <c r="AK948" i="20"/>
  <c r="AC950" i="20"/>
  <c r="AK952" i="20"/>
  <c r="AC954" i="20"/>
  <c r="AK956" i="20"/>
  <c r="AC959" i="20"/>
  <c r="AK960" i="20"/>
  <c r="AC963" i="20"/>
  <c r="AK964" i="20"/>
  <c r="AC967" i="20"/>
  <c r="AG968" i="20"/>
  <c r="AK973" i="20"/>
  <c r="AG974" i="20"/>
  <c r="AC975" i="20"/>
  <c r="Y976" i="20"/>
  <c r="AK977" i="20"/>
  <c r="AG978" i="20"/>
  <c r="AC979" i="20"/>
  <c r="Y980" i="20"/>
  <c r="AK981" i="20"/>
  <c r="AG982" i="20"/>
  <c r="AC983" i="20"/>
  <c r="Y984" i="20"/>
  <c r="AK985" i="20"/>
  <c r="AG986" i="20"/>
  <c r="AC987" i="20"/>
  <c r="Y988" i="20"/>
  <c r="AL988" i="20"/>
  <c r="AC989" i="20"/>
  <c r="AK989" i="20"/>
  <c r="Z990" i="20"/>
  <c r="AH990" i="20"/>
  <c r="AH991" i="20"/>
  <c r="AC805" i="20"/>
  <c r="AC899" i="20"/>
  <c r="AH841" i="20"/>
  <c r="AC806" i="20"/>
  <c r="AH806" i="20"/>
  <c r="Z845" i="20"/>
  <c r="AH845" i="20"/>
  <c r="AC958" i="20"/>
  <c r="AK959" i="20"/>
  <c r="AC962" i="20"/>
  <c r="AK963" i="20"/>
  <c r="AC966" i="20"/>
  <c r="AK967" i="20"/>
  <c r="AB970" i="20"/>
  <c r="AG971" i="20"/>
  <c r="AC972" i="20"/>
  <c r="Y973" i="20"/>
  <c r="AK974" i="20"/>
  <c r="AG975" i="20"/>
  <c r="AC976" i="20"/>
  <c r="Y977" i="20"/>
  <c r="AK978" i="20"/>
  <c r="AG979" i="20"/>
  <c r="AC980" i="20"/>
  <c r="Y981" i="20"/>
  <c r="AK982" i="20"/>
  <c r="AG983" i="20"/>
  <c r="AC984" i="20"/>
  <c r="Y985" i="20"/>
  <c r="AK986" i="20"/>
  <c r="AG987" i="20"/>
  <c r="AC988" i="20"/>
  <c r="AD989" i="20"/>
  <c r="AL989" i="20"/>
  <c r="AC990" i="20"/>
  <c r="AI990" i="20"/>
  <c r="Y991" i="20"/>
  <c r="AD991" i="20"/>
  <c r="AI991" i="20"/>
  <c r="Y992" i="20"/>
  <c r="AD992" i="20"/>
  <c r="AI992" i="20"/>
  <c r="Y805" i="20"/>
  <c r="AD805" i="20"/>
  <c r="AI805" i="20"/>
  <c r="Y71" i="20"/>
  <c r="AD71" i="20"/>
  <c r="AI71" i="20"/>
  <c r="Y899" i="20"/>
  <c r="AD899" i="20"/>
  <c r="AI899" i="20"/>
  <c r="Y630" i="20"/>
  <c r="AD630" i="20"/>
  <c r="AI630" i="20"/>
  <c r="Y841" i="20"/>
  <c r="AD841" i="20"/>
  <c r="AI841" i="20"/>
  <c r="Y806" i="20"/>
  <c r="AD806" i="20"/>
  <c r="AI806" i="20"/>
  <c r="AA845" i="20"/>
  <c r="AE845" i="20"/>
  <c r="AI845" i="20"/>
  <c r="AA235" i="20"/>
  <c r="AE235" i="20"/>
  <c r="AI235" i="20"/>
  <c r="AA266" i="20"/>
  <c r="AE266" i="20"/>
  <c r="AI266" i="20"/>
  <c r="AA424" i="20"/>
  <c r="AE424" i="20"/>
  <c r="AI424" i="20"/>
  <c r="AA212" i="20"/>
  <c r="AE212" i="20"/>
  <c r="AI212" i="20"/>
  <c r="AA552" i="20"/>
  <c r="AE552" i="20"/>
  <c r="AI552" i="20"/>
  <c r="AA213" i="20"/>
  <c r="AE213" i="20"/>
  <c r="AI213" i="20"/>
  <c r="AA270" i="20"/>
  <c r="AE270" i="20"/>
  <c r="AI270" i="20"/>
  <c r="AA825" i="20"/>
  <c r="AE825" i="20"/>
  <c r="AI825" i="20"/>
  <c r="AA838" i="20"/>
  <c r="AE838" i="20"/>
  <c r="AI838" i="20"/>
  <c r="AA807" i="20"/>
  <c r="AE807" i="20"/>
  <c r="AI807" i="20"/>
  <c r="AA119" i="20"/>
  <c r="AE119" i="20"/>
  <c r="AI119" i="20"/>
  <c r="AA122" i="20"/>
  <c r="AE122" i="20"/>
  <c r="AI122" i="20"/>
  <c r="AA125" i="20"/>
  <c r="AE125" i="20"/>
  <c r="AI125" i="20"/>
  <c r="AA432" i="20"/>
  <c r="AE432" i="20"/>
  <c r="AI432" i="20"/>
  <c r="AA771" i="20"/>
  <c r="AE771" i="20"/>
  <c r="AI771" i="20"/>
  <c r="AA777" i="20"/>
  <c r="AE777" i="20"/>
  <c r="AI777" i="20"/>
  <c r="AB971" i="20"/>
  <c r="AH805" i="20"/>
  <c r="AC71" i="20"/>
  <c r="AL806" i="20"/>
  <c r="AD845" i="20"/>
  <c r="AL845" i="20"/>
  <c r="AH235" i="20"/>
  <c r="AL235" i="20"/>
  <c r="AH266" i="20"/>
  <c r="AD424" i="20"/>
  <c r="Z212" i="20"/>
  <c r="AL552" i="20"/>
  <c r="AH213" i="20"/>
  <c r="AD270" i="20"/>
  <c r="Z825" i="20"/>
  <c r="AL838" i="20"/>
  <c r="AH807" i="20"/>
  <c r="AD119" i="20"/>
  <c r="Z122" i="20"/>
  <c r="AL125" i="20"/>
  <c r="AH432" i="20"/>
  <c r="AD771" i="20"/>
  <c r="Z777" i="20"/>
  <c r="AD235" i="20"/>
  <c r="AD213" i="20"/>
  <c r="AH838" i="20"/>
  <c r="AL122" i="20"/>
  <c r="Z771" i="20"/>
  <c r="AL266" i="20"/>
  <c r="AH424" i="20"/>
  <c r="AD212" i="20"/>
  <c r="Z552" i="20"/>
  <c r="AL213" i="20"/>
  <c r="AH270" i="20"/>
  <c r="AD825" i="20"/>
  <c r="Z838" i="20"/>
  <c r="AL807" i="20"/>
  <c r="AH119" i="20"/>
  <c r="AD122" i="20"/>
  <c r="Z125" i="20"/>
  <c r="AL432" i="20"/>
  <c r="AH771" i="20"/>
  <c r="AD777" i="20"/>
  <c r="AD266" i="20"/>
  <c r="AH552" i="20"/>
  <c r="Z270" i="20"/>
  <c r="AD807" i="20"/>
  <c r="AH125" i="20"/>
  <c r="Z266" i="20"/>
  <c r="AL424" i="20"/>
  <c r="AH212" i="20"/>
  <c r="AD552" i="20"/>
  <c r="Z213" i="20"/>
  <c r="AL270" i="20"/>
  <c r="AH825" i="20"/>
  <c r="AD838" i="20"/>
  <c r="Z807" i="20"/>
  <c r="AL119" i="20"/>
  <c r="AH122" i="20"/>
  <c r="AD125" i="20"/>
  <c r="Z432" i="20"/>
  <c r="AL771" i="20"/>
  <c r="AH777" i="20"/>
  <c r="Z424" i="20"/>
  <c r="AL212" i="20"/>
  <c r="AL825" i="20"/>
  <c r="Z119" i="20"/>
  <c r="AD432" i="20"/>
  <c r="AL777" i="20"/>
  <c r="AI666" i="20"/>
  <c r="AF273" i="20"/>
  <c r="AJ103" i="20"/>
  <c r="AJ754" i="20"/>
  <c r="AH631" i="20"/>
  <c r="AJ639" i="20"/>
  <c r="AD752" i="20"/>
  <c r="Z666" i="20"/>
  <c r="AD666" i="20"/>
  <c r="AD757" i="20"/>
  <c r="AH666" i="20"/>
  <c r="AN103" i="20"/>
  <c r="AB103" i="20"/>
  <c r="Y639" i="20"/>
  <c r="AL639" i="20"/>
  <c r="AK754" i="20"/>
  <c r="AI754" i="20"/>
  <c r="AH754" i="20"/>
  <c r="AG273" i="20"/>
  <c r="AE273" i="20"/>
  <c r="AD273" i="20"/>
  <c r="AA103" i="20"/>
  <c r="Y103" i="20"/>
  <c r="AG731" i="20"/>
  <c r="AE731" i="20"/>
  <c r="AD731" i="20"/>
  <c r="AJ631" i="20"/>
  <c r="AJ666" i="20"/>
  <c r="AJ752" i="20"/>
  <c r="AJ757" i="20"/>
  <c r="AH813" i="20"/>
  <c r="AJ878" i="20"/>
  <c r="AH905" i="20"/>
  <c r="AG631" i="20"/>
  <c r="AG666" i="20"/>
  <c r="AG752" i="20"/>
  <c r="AG757" i="20"/>
  <c r="AI813" i="20"/>
  <c r="AK878" i="20"/>
  <c r="AB813" i="20"/>
  <c r="AB905" i="20"/>
  <c r="AA631" i="20"/>
  <c r="AA752" i="20"/>
  <c r="Y813" i="20"/>
  <c r="AE878" i="20"/>
  <c r="AJ731" i="20"/>
  <c r="AF754" i="20"/>
  <c r="AD878" i="20"/>
  <c r="AN731" i="20"/>
  <c r="Z752" i="20"/>
  <c r="AB757" i="20"/>
  <c r="Y757" i="20"/>
  <c r="AJ813" i="20"/>
  <c r="AA757" i="20"/>
  <c r="AI757" i="20"/>
  <c r="AI631" i="20"/>
  <c r="AF639" i="20"/>
  <c r="AH878" i="20"/>
  <c r="AB731" i="20"/>
  <c r="AD631" i="20"/>
  <c r="AL631" i="20"/>
  <c r="AL752" i="20"/>
  <c r="AL878" i="20"/>
  <c r="AH757" i="20"/>
  <c r="AL103" i="20"/>
  <c r="AK639" i="20"/>
  <c r="AI639" i="20"/>
  <c r="AH639" i="20"/>
  <c r="AG754" i="20"/>
  <c r="AE754" i="20"/>
  <c r="AD754" i="20"/>
  <c r="AC273" i="20"/>
  <c r="AA273" i="20"/>
  <c r="AJ273" i="20"/>
  <c r="AK103" i="20"/>
  <c r="AF103" i="20"/>
  <c r="AC731" i="20"/>
  <c r="AA731" i="20"/>
  <c r="Z731" i="20"/>
  <c r="AN631" i="20"/>
  <c r="AN666" i="20"/>
  <c r="AN752" i="20"/>
  <c r="AN757" i="20"/>
  <c r="AL813" i="20"/>
  <c r="AN878" i="20"/>
  <c r="AL905" i="20"/>
  <c r="AK631" i="20"/>
  <c r="AK666" i="20"/>
  <c r="AK752" i="20"/>
  <c r="AK757" i="20"/>
  <c r="Y878" i="20"/>
  <c r="AA905" i="20"/>
  <c r="AF813" i="20"/>
  <c r="AF905" i="20"/>
  <c r="AE631" i="20"/>
  <c r="AE752" i="20"/>
  <c r="AC813" i="20"/>
  <c r="Y905" i="20"/>
  <c r="AI752" i="20"/>
  <c r="AB639" i="20"/>
  <c r="AB754" i="20"/>
  <c r="Z103" i="20"/>
  <c r="AB273" i="20"/>
  <c r="AG639" i="20"/>
  <c r="AD639" i="20"/>
  <c r="AA754" i="20"/>
  <c r="Z754" i="20"/>
  <c r="AL273" i="20"/>
  <c r="AG103" i="20"/>
  <c r="Y731" i="20"/>
  <c r="AB631" i="20"/>
  <c r="AB666" i="20"/>
  <c r="AB878" i="20"/>
  <c r="Y666" i="20"/>
  <c r="AA813" i="20"/>
  <c r="AE905" i="20"/>
  <c r="AA666" i="20"/>
  <c r="AC905" i="20"/>
  <c r="AK813" i="20"/>
  <c r="AI878" i="20"/>
  <c r="AK905" i="20"/>
  <c r="Z878" i="20"/>
  <c r="Z631" i="20"/>
  <c r="AH103" i="20"/>
  <c r="AF731" i="20"/>
  <c r="AH752" i="20"/>
  <c r="AL666" i="20"/>
  <c r="AN639" i="20"/>
  <c r="AN754" i="20"/>
  <c r="Z757" i="20"/>
  <c r="AD103" i="20"/>
  <c r="AN273" i="20"/>
  <c r="AC639" i="20"/>
  <c r="AA639" i="20"/>
  <c r="Z639" i="20"/>
  <c r="Y754" i="20"/>
  <c r="AL754" i="20"/>
  <c r="AK273" i="20"/>
  <c r="AI273" i="20"/>
  <c r="AH273" i="20"/>
  <c r="AE103" i="20"/>
  <c r="AC103" i="20"/>
  <c r="AK731" i="20"/>
  <c r="AI731" i="20"/>
  <c r="AH731" i="20"/>
  <c r="AF631" i="20"/>
  <c r="AF666" i="20"/>
  <c r="AF752" i="20"/>
  <c r="AF757" i="20"/>
  <c r="AD813" i="20"/>
  <c r="AF878" i="20"/>
  <c r="AD905" i="20"/>
  <c r="AC631" i="20"/>
  <c r="AC666" i="20"/>
  <c r="AC752" i="20"/>
  <c r="AC757" i="20"/>
  <c r="AE813" i="20"/>
  <c r="AG878" i="20"/>
  <c r="AI905" i="20"/>
  <c r="AN813" i="20"/>
  <c r="AN905" i="20"/>
  <c r="AE666" i="20"/>
  <c r="AE757" i="20"/>
  <c r="AA878" i="20"/>
  <c r="AG905" i="20"/>
  <c r="AL757" i="20"/>
  <c r="AE639" i="20"/>
  <c r="AC754" i="20"/>
  <c r="Y273" i="20"/>
  <c r="AI103" i="20"/>
  <c r="Z273" i="20"/>
  <c r="AL731" i="20"/>
  <c r="AB752" i="20"/>
  <c r="Z813" i="20"/>
  <c r="Z905" i="20"/>
  <c r="Y631" i="20"/>
  <c r="Y752" i="20"/>
  <c r="AC878" i="20"/>
  <c r="AJ905" i="20"/>
  <c r="AG813" i="20"/>
  <c r="AE515" i="20"/>
  <c r="AN515" i="20"/>
  <c r="AG515" i="20"/>
  <c r="AK515" i="20"/>
  <c r="AB515" i="20"/>
  <c r="AF515" i="20"/>
  <c r="AI515" i="20"/>
  <c r="AL515" i="20"/>
  <c r="AC515" i="20"/>
  <c r="AJ515" i="20"/>
  <c r="Y515" i="20"/>
  <c r="AD515" i="20"/>
  <c r="AH515" i="20"/>
  <c r="Z515" i="20"/>
  <c r="AA515" i="20"/>
  <c r="AC177" i="20"/>
  <c r="AA177" i="20"/>
  <c r="AB177" i="20"/>
  <c r="AF177" i="20"/>
  <c r="AJ177" i="20"/>
  <c r="AN177" i="20"/>
  <c r="AG177" i="20"/>
  <c r="AK177" i="20"/>
  <c r="AH177" i="20"/>
  <c r="AL177" i="20"/>
  <c r="AI177" i="20"/>
  <c r="I54" i="37"/>
  <c r="Y559" i="20"/>
  <c r="AC558" i="20"/>
  <c r="AN411" i="20"/>
  <c r="AN47" i="20"/>
  <c r="AN671" i="20"/>
  <c r="AN416" i="20"/>
  <c r="AN911" i="20"/>
  <c r="AN152" i="20"/>
  <c r="AN780" i="20"/>
  <c r="AN660" i="20"/>
  <c r="AN344" i="20"/>
  <c r="AN179" i="20"/>
  <c r="AN755" i="20"/>
  <c r="AN140" i="20"/>
  <c r="AN113" i="20"/>
  <c r="AN717" i="20"/>
  <c r="AN99" i="20"/>
  <c r="AN576" i="20"/>
  <c r="AN834" i="20"/>
  <c r="AN667" i="20"/>
  <c r="AN689" i="20"/>
  <c r="AN167" i="20"/>
  <c r="AN808" i="20"/>
  <c r="AN772" i="20"/>
  <c r="AN126" i="20"/>
  <c r="AN891" i="20"/>
  <c r="AN36" i="20"/>
  <c r="AN861" i="20"/>
  <c r="AN500" i="20"/>
  <c r="AN589" i="20"/>
  <c r="AN485" i="20"/>
  <c r="AN846" i="20"/>
  <c r="AN375" i="20"/>
  <c r="AN40" i="20"/>
  <c r="AN214" i="20"/>
  <c r="AN547" i="20"/>
  <c r="AN343" i="20"/>
  <c r="AN360" i="20"/>
  <c r="AN733" i="20"/>
  <c r="AN640" i="20"/>
  <c r="AN569" i="20"/>
  <c r="AN606" i="20"/>
  <c r="AN285" i="20"/>
  <c r="AN104" i="20"/>
  <c r="AN289" i="20"/>
  <c r="AN18" i="20"/>
  <c r="AN475" i="20"/>
  <c r="AN274" i="20"/>
  <c r="AN709" i="20"/>
  <c r="AN66" i="20"/>
  <c r="AN112" i="20"/>
  <c r="AN317" i="20"/>
  <c r="AN98" i="20"/>
  <c r="AN166" i="20"/>
  <c r="AN288" i="20"/>
  <c r="AN859" i="20"/>
  <c r="AN39" i="20"/>
  <c r="AN35" i="20"/>
  <c r="AN308" i="20"/>
  <c r="AN65" i="20"/>
  <c r="AN157" i="20"/>
  <c r="AN587" i="20"/>
  <c r="AN567" i="20"/>
  <c r="AN335" i="20"/>
  <c r="AN17" i="20"/>
  <c r="AN301" i="20"/>
  <c r="AN61" i="20"/>
  <c r="AN284" i="20"/>
  <c r="AN175" i="20"/>
  <c r="AN498" i="20"/>
  <c r="AN604" i="20"/>
  <c r="AN8" i="20"/>
  <c r="AN540" i="20"/>
  <c r="AN538" i="20"/>
  <c r="AN558" i="20"/>
  <c r="AN539" i="20"/>
  <c r="AN559" i="20"/>
  <c r="AN541" i="20"/>
  <c r="AN702" i="20"/>
  <c r="AN272" i="20"/>
  <c r="AN665" i="20"/>
  <c r="AN91" i="20"/>
  <c r="AN793" i="20"/>
  <c r="AN586" i="20"/>
  <c r="AN699" i="20"/>
  <c r="AN79" i="20"/>
  <c r="AN831" i="20"/>
  <c r="AN205" i="20"/>
  <c r="AN527" i="20"/>
  <c r="AN580" i="20"/>
  <c r="AN150" i="20"/>
  <c r="AN64" i="20"/>
  <c r="AN701" i="20"/>
  <c r="AN794" i="20"/>
  <c r="AN32" i="20"/>
  <c r="AN391" i="20"/>
  <c r="AN853" i="20"/>
  <c r="AN482" i="20"/>
  <c r="AN775" i="20"/>
  <c r="AN894" i="20"/>
  <c r="AN138" i="20"/>
  <c r="AN502" i="20"/>
  <c r="AN384" i="20"/>
  <c r="AN13" i="20"/>
  <c r="AN81" i="20"/>
  <c r="AN686" i="20"/>
  <c r="AN583" i="20"/>
  <c r="AN854" i="20"/>
  <c r="AN423" i="20"/>
  <c r="AN840" i="20"/>
  <c r="AN218" i="20"/>
  <c r="AN489" i="20"/>
  <c r="AN248" i="20"/>
  <c r="AN161" i="20"/>
  <c r="AN211" i="20"/>
  <c r="AN399" i="20"/>
  <c r="AN164" i="20"/>
  <c r="AN356" i="20"/>
  <c r="AN897" i="20"/>
  <c r="AN824" i="20"/>
  <c r="AN621" i="20"/>
  <c r="AN269" i="20"/>
  <c r="AN121" i="20"/>
  <c r="AN458" i="20"/>
  <c r="AN204" i="20"/>
  <c r="AN280" i="20"/>
  <c r="AN893" i="20"/>
  <c r="AN474" i="20"/>
  <c r="AN627" i="20"/>
  <c r="AN784" i="20"/>
  <c r="AN596" i="20"/>
  <c r="AN55" i="20"/>
  <c r="AN816" i="20"/>
  <c r="AN142" i="20"/>
  <c r="AN215" i="20"/>
  <c r="AN862" i="20"/>
  <c r="AN646" i="20"/>
  <c r="AN753" i="20"/>
  <c r="AN708" i="20"/>
  <c r="AN597" i="20"/>
  <c r="AN898" i="20"/>
  <c r="AN529" i="20"/>
  <c r="AN800" i="20"/>
  <c r="AN281" i="20"/>
  <c r="AN149" i="20"/>
  <c r="AN481" i="20"/>
  <c r="AN233" i="20"/>
  <c r="AN749" i="20"/>
  <c r="AN110" i="20"/>
  <c r="AN90" i="20"/>
  <c r="AN116" i="20"/>
  <c r="AN549" i="20"/>
  <c r="AN468" i="20"/>
  <c r="AN390" i="20"/>
  <c r="AN10" i="20"/>
  <c r="AN531" i="20"/>
  <c r="AN503" i="20"/>
  <c r="AN109" i="20"/>
  <c r="AN100" i="20"/>
  <c r="AN643" i="20"/>
  <c r="AN470" i="20"/>
  <c r="AN578" i="20"/>
  <c r="AN556" i="20"/>
  <c r="AN54" i="20"/>
  <c r="AN186" i="20"/>
  <c r="AN20" i="20"/>
  <c r="AN725" i="20"/>
  <c r="AN492" i="20"/>
  <c r="AN791" i="20"/>
  <c r="AN19" i="20"/>
  <c r="AN555" i="20"/>
  <c r="AN516" i="20"/>
  <c r="AN548" i="20"/>
  <c r="AN823" i="20"/>
  <c r="AN476" i="20"/>
  <c r="AN309" i="20"/>
  <c r="AN60" i="20"/>
  <c r="AN199" i="20"/>
  <c r="AN72" i="20"/>
  <c r="AN844" i="20"/>
  <c r="AN219" i="20"/>
  <c r="AN80" i="20"/>
  <c r="AN259" i="20"/>
  <c r="AN264" i="20"/>
  <c r="AN238" i="20"/>
  <c r="AN762" i="20"/>
  <c r="AN857" i="20"/>
  <c r="AN751" i="20"/>
  <c r="AN750" i="20"/>
  <c r="AN327" i="20"/>
  <c r="AN469" i="20"/>
  <c r="AN70" i="20"/>
  <c r="AN852" i="20"/>
  <c r="AN380" i="20"/>
  <c r="AN723" i="20"/>
  <c r="AN574" i="20"/>
  <c r="AN385" i="20"/>
  <c r="AN827" i="20"/>
  <c r="AN514" i="20"/>
  <c r="AN302" i="20"/>
  <c r="AN139" i="20"/>
  <c r="AN178" i="20"/>
  <c r="AN856" i="20"/>
  <c r="AN729" i="20"/>
  <c r="AN220" i="20"/>
  <c r="AN715" i="20"/>
  <c r="AN726" i="20"/>
  <c r="AN206" i="20"/>
  <c r="AN811" i="20"/>
  <c r="AN381" i="20"/>
  <c r="AN203" i="20"/>
  <c r="AN909" i="20"/>
  <c r="AN472" i="20"/>
  <c r="AN873" i="20"/>
  <c r="AN695" i="20"/>
  <c r="AN6" i="20"/>
  <c r="AN247" i="20"/>
  <c r="AN44" i="20"/>
  <c r="AN108" i="20"/>
  <c r="AN706" i="20"/>
  <c r="AN884" i="20"/>
  <c r="AN162" i="20"/>
  <c r="AN37" i="20"/>
  <c r="AN148" i="20"/>
  <c r="AN428" i="20"/>
  <c r="AN644" i="20"/>
  <c r="AN534" i="20"/>
  <c r="AN418" i="20"/>
  <c r="AN404" i="20"/>
  <c r="AN413" i="20"/>
  <c r="AN588" i="20"/>
  <c r="AN265" i="20"/>
  <c r="AN383" i="20"/>
  <c r="AN208" i="20"/>
  <c r="AN357" i="20"/>
  <c r="AN551" i="20"/>
  <c r="AN483" i="20"/>
  <c r="AN700" i="20"/>
  <c r="AN654" i="20"/>
  <c r="AN358" i="20"/>
  <c r="AN895" i="20"/>
  <c r="AN307" i="20"/>
  <c r="AN698" i="20"/>
  <c r="AN594" i="20"/>
  <c r="AN342" i="20"/>
  <c r="AN57" i="20"/>
  <c r="AN526" i="20"/>
  <c r="AN851" i="20"/>
  <c r="AN201" i="20"/>
  <c r="AN571" i="20"/>
  <c r="AN56" i="20"/>
  <c r="AN324" i="20"/>
  <c r="AN916" i="20"/>
  <c r="AN278" i="20"/>
  <c r="AN590" i="20"/>
  <c r="AN554" i="20"/>
  <c r="AN245" i="20"/>
  <c r="AN45" i="20"/>
  <c r="AN917" i="20"/>
  <c r="AN761" i="20"/>
  <c r="AN815" i="20"/>
  <c r="AN609" i="20"/>
  <c r="AN642" i="20"/>
  <c r="AN506" i="20"/>
  <c r="AN195" i="20"/>
  <c r="AN677" i="20"/>
  <c r="AN675" i="20"/>
  <c r="AN59" i="20"/>
  <c r="AN672" i="20"/>
  <c r="AN902" i="20"/>
  <c r="AN192" i="20"/>
  <c r="AN740" i="20"/>
  <c r="AN565" i="20"/>
  <c r="AN330" i="20"/>
  <c r="AN720" i="20"/>
  <c r="AN250" i="20"/>
  <c r="AN153" i="20"/>
  <c r="AN406" i="20"/>
  <c r="AN889" i="20"/>
  <c r="AN146" i="20"/>
  <c r="AN694" i="20"/>
  <c r="AN866" i="20"/>
  <c r="AN693" i="20"/>
  <c r="AN722" i="20"/>
  <c r="AN454" i="20"/>
  <c r="AN194" i="20"/>
  <c r="AN619" i="20"/>
  <c r="AN634" i="20"/>
  <c r="AN437" i="20"/>
  <c r="AN901" i="20"/>
  <c r="AN759" i="20"/>
  <c r="AN864" i="20"/>
  <c r="AN798" i="20"/>
  <c r="AN27" i="20"/>
  <c r="AN616" i="20"/>
  <c r="AN849" i="20"/>
  <c r="AN83" i="20"/>
  <c r="AN814" i="20"/>
  <c r="AN670" i="20"/>
  <c r="AN766" i="20"/>
  <c r="AN450" i="20"/>
  <c r="AN858" i="20"/>
  <c r="AN298" i="20"/>
  <c r="AN789" i="20"/>
  <c r="AN320" i="20"/>
  <c r="AN684" i="20"/>
  <c r="AN883" i="20"/>
  <c r="AN75" i="20"/>
  <c r="AN782" i="20"/>
  <c r="AN669" i="20"/>
  <c r="AN82" i="20"/>
  <c r="AN237" i="20"/>
  <c r="AN518" i="20"/>
  <c r="AN22" i="20"/>
  <c r="AN773" i="20"/>
  <c r="AN839" i="20"/>
  <c r="AN842" i="20"/>
  <c r="AN319" i="20"/>
  <c r="AN16" i="20"/>
  <c r="AN156" i="20"/>
  <c r="AN304" i="20"/>
  <c r="AN743" i="20"/>
  <c r="AN546" i="20"/>
  <c r="AN446" i="20"/>
  <c r="AN820" i="20"/>
  <c r="AN76" i="20"/>
  <c r="AN297" i="20"/>
  <c r="AN739" i="20"/>
  <c r="AN863" i="20"/>
  <c r="AN601" i="20"/>
  <c r="AN605" i="20"/>
  <c r="AN276" i="20"/>
  <c r="AN818" i="20"/>
  <c r="AN21" i="20"/>
  <c r="AN848" i="20"/>
  <c r="AN892" i="20"/>
  <c r="AN486" i="20"/>
  <c r="AN412" i="20"/>
  <c r="AN111" i="20"/>
  <c r="AN151" i="20"/>
  <c r="AN680" i="20"/>
  <c r="AN209" i="20"/>
  <c r="AN764" i="20"/>
  <c r="AN491" i="20"/>
  <c r="AN655" i="20"/>
  <c r="AN581" i="20"/>
  <c r="AN246" i="20"/>
  <c r="AN227" i="20"/>
  <c r="AN92" i="20"/>
  <c r="AN656" i="20"/>
  <c r="AN776" i="20"/>
  <c r="AN490" i="20"/>
  <c r="AN11" i="20"/>
  <c r="AN504" i="20"/>
  <c r="AN396" i="20"/>
  <c r="AN487" i="20"/>
  <c r="AN430" i="20"/>
  <c r="AN261" i="20"/>
  <c r="AN809" i="20"/>
  <c r="AN513" i="20"/>
  <c r="AN287" i="20"/>
  <c r="AN910" i="20"/>
  <c r="AN770" i="20"/>
  <c r="AN785" i="20"/>
  <c r="AN530" i="20"/>
  <c r="AN372" i="20"/>
  <c r="AN528" i="20"/>
  <c r="AN629" i="20"/>
  <c r="AN187" i="20"/>
  <c r="AN480" i="20"/>
  <c r="AN325" i="20"/>
  <c r="AN792" i="20"/>
  <c r="AN830" i="20"/>
  <c r="AN196" i="20"/>
  <c r="AN147" i="20"/>
  <c r="AN810" i="20"/>
  <c r="AN42" i="20"/>
  <c r="AN441" i="20"/>
  <c r="AN734" i="20"/>
  <c r="AN653" i="20"/>
  <c r="AN419" i="20"/>
  <c r="AN679" i="20"/>
  <c r="AN803" i="20"/>
  <c r="AN572" i="20"/>
  <c r="AN496" i="20"/>
  <c r="AN341" i="20"/>
  <c r="AN202" i="20"/>
  <c r="AN9" i="20"/>
  <c r="AN703" i="20"/>
  <c r="AN796" i="20"/>
  <c r="AN222" i="20"/>
  <c r="AN283" i="20"/>
  <c r="AN189" i="20"/>
  <c r="AN271" i="20"/>
  <c r="AN664" i="20"/>
  <c r="AN256" i="20"/>
  <c r="AN392" i="20"/>
  <c r="AN188" i="20"/>
  <c r="AN874" i="20"/>
  <c r="AN582" i="20"/>
  <c r="AN896" i="20"/>
  <c r="AN421" i="20"/>
  <c r="AN429" i="20"/>
  <c r="AN225" i="20"/>
  <c r="AN63" i="20"/>
  <c r="AN774" i="20"/>
  <c r="AN890" i="20"/>
  <c r="AN370" i="20"/>
  <c r="AN62" i="20"/>
  <c r="AN230" i="20"/>
  <c r="AN46" i="20"/>
  <c r="AN389" i="20"/>
  <c r="AN388" i="20"/>
  <c r="AN367" i="20"/>
  <c r="AN907" i="20"/>
  <c r="AN828" i="20"/>
  <c r="AN231" i="20"/>
  <c r="AN29" i="20"/>
  <c r="AN592" i="20"/>
  <c r="AN181" i="20"/>
  <c r="AN290" i="20"/>
  <c r="AN378" i="20"/>
  <c r="AN323" i="20"/>
  <c r="AN865" i="20"/>
  <c r="AN560" i="20"/>
  <c r="AN745" i="20"/>
  <c r="AN440" i="20"/>
  <c r="AN449" i="20"/>
  <c r="AN448" i="20"/>
  <c r="AN435" i="20"/>
  <c r="AN387" i="20"/>
  <c r="AN584" i="20"/>
  <c r="AN705" i="20"/>
  <c r="AN88" i="20"/>
  <c r="AN84" i="20"/>
  <c r="AN197" i="20"/>
  <c r="AN682" i="20"/>
  <c r="AN756" i="20"/>
  <c r="AN453" i="20"/>
  <c r="AN291" i="20"/>
  <c r="AN886" i="20"/>
  <c r="AN880" i="20"/>
  <c r="AN216" i="20"/>
  <c r="AN305" i="20"/>
  <c r="AN268" i="20"/>
  <c r="AN535" i="20"/>
  <c r="AN678" i="20"/>
  <c r="AN439" i="20"/>
  <c r="AN348" i="20"/>
  <c r="AN663" i="20"/>
  <c r="AN25" i="20"/>
  <c r="AN339" i="20"/>
  <c r="AN913" i="20"/>
  <c r="AN712" i="20"/>
  <c r="AN741" i="20"/>
  <c r="AN462" i="20"/>
  <c r="AN457" i="20"/>
  <c r="AN336" i="20"/>
  <c r="AN758" i="20"/>
  <c r="AN900" i="20"/>
  <c r="AN676" i="20"/>
  <c r="AN332" i="20"/>
  <c r="AN433" i="20"/>
  <c r="AN155" i="20"/>
  <c r="AN364" i="20"/>
  <c r="AN436" i="20"/>
  <c r="AN49" i="20"/>
  <c r="AN850" i="20"/>
  <c r="AN738" i="20"/>
  <c r="AN170" i="20"/>
  <c r="AN129" i="20"/>
  <c r="AN781" i="20"/>
  <c r="AN67" i="20"/>
  <c r="AN460" i="20"/>
  <c r="AN376" i="20"/>
  <c r="AN691" i="20"/>
  <c r="AN608" i="20"/>
  <c r="AN402" i="20"/>
  <c r="AN690" i="20"/>
  <c r="AN7" i="20"/>
  <c r="AN779" i="20"/>
  <c r="AN659" i="20"/>
  <c r="AN465" i="20"/>
  <c r="AN674" i="20"/>
  <c r="AN914" i="20"/>
  <c r="AN296" i="20"/>
  <c r="AN617" i="20"/>
  <c r="AN252" i="20"/>
  <c r="AN347" i="20"/>
  <c r="AN48" i="20"/>
  <c r="AN143" i="20"/>
  <c r="AN198" i="20"/>
  <c r="AN912" i="20"/>
  <c r="AN545" i="20"/>
  <c r="AN434" i="20"/>
  <c r="AN544" i="20"/>
  <c r="AN719" i="20"/>
  <c r="AN200" i="20"/>
  <c r="AN414" i="20"/>
  <c r="AN94" i="20"/>
  <c r="AN732" i="20"/>
  <c r="AN765" i="20"/>
  <c r="AN398" i="20"/>
  <c r="AN728" i="20"/>
  <c r="AN523" i="20"/>
  <c r="AN226" i="20"/>
  <c r="AN118" i="20"/>
  <c r="AN748" i="20"/>
  <c r="AN493" i="20"/>
  <c r="AN870" i="20"/>
  <c r="AN314" i="20"/>
  <c r="AN299" i="20"/>
  <c r="AN159" i="20"/>
  <c r="AN337" i="20"/>
  <c r="AN930" i="20"/>
  <c r="AN915" i="20"/>
  <c r="AN687" i="20"/>
  <c r="AN875" i="20"/>
  <c r="AN532" i="20"/>
  <c r="AN163" i="20"/>
  <c r="AN697" i="20"/>
  <c r="AN69" i="20"/>
  <c r="AN495" i="20"/>
  <c r="AN685" i="20"/>
  <c r="AN228" i="20"/>
  <c r="AN904" i="20"/>
  <c r="AN903" i="20"/>
  <c r="AN768" i="20"/>
  <c r="AN361" i="20"/>
  <c r="AN647" i="20"/>
  <c r="AN210" i="20"/>
  <c r="AN855" i="20"/>
  <c r="AN31" i="20"/>
  <c r="AN234" i="20"/>
  <c r="AN422" i="20"/>
  <c r="AN182" i="20"/>
  <c r="AN537" i="20"/>
  <c r="AN313" i="20"/>
  <c r="AN379" i="20"/>
  <c r="AN593" i="20"/>
  <c r="AN536" i="20"/>
  <c r="AN312" i="20"/>
  <c r="AN533" i="20"/>
  <c r="AN610" i="20"/>
  <c r="AN501" i="20"/>
  <c r="AN410" i="20"/>
  <c r="AN561" i="20"/>
  <c r="AN242" i="20"/>
  <c r="AN50" i="20"/>
  <c r="AN427" i="20"/>
  <c r="AN521" i="20"/>
  <c r="AN704" i="20"/>
  <c r="AN860" i="20"/>
  <c r="AN519" i="20"/>
  <c r="AN145" i="20"/>
  <c r="AN591" i="20"/>
  <c r="AN340" i="20"/>
  <c r="AN255" i="20"/>
  <c r="AN742" i="20"/>
  <c r="AN797" i="20"/>
  <c r="AN626" i="20"/>
  <c r="AN520" i="20"/>
  <c r="AN736" i="20"/>
  <c r="AN600" i="20"/>
  <c r="AN68" i="20"/>
  <c r="AN58" i="20"/>
  <c r="AN633" i="20"/>
  <c r="AN790" i="20"/>
  <c r="AN649" i="20"/>
  <c r="AN346" i="20"/>
  <c r="AN415" i="20"/>
  <c r="AN362" i="20"/>
  <c r="AN788" i="20"/>
  <c r="AN615" i="20"/>
  <c r="AN931" i="20"/>
  <c r="AN598" i="20"/>
  <c r="AN395" i="20"/>
  <c r="AN303" i="20"/>
  <c r="AN363" i="20"/>
  <c r="AN180" i="20"/>
  <c r="AN517" i="20"/>
  <c r="AN105" i="20"/>
  <c r="AN295" i="20"/>
  <c r="AN568" i="20"/>
  <c r="AN730" i="20"/>
  <c r="AN359" i="20"/>
  <c r="AN371" i="20"/>
  <c r="AN484" i="20"/>
  <c r="AN397" i="20"/>
  <c r="AN869" i="20"/>
  <c r="AN585" i="20"/>
  <c r="AN557" i="20"/>
  <c r="AN718" i="20"/>
  <c r="AN275" i="20"/>
  <c r="AN837" i="20"/>
  <c r="AN657" i="20"/>
  <c r="AN822" i="20"/>
  <c r="AN843" i="20"/>
  <c r="AN885" i="20"/>
  <c r="AN613" i="20"/>
  <c r="AN769" i="20"/>
  <c r="AN471" i="20"/>
  <c r="AN877" i="20"/>
  <c r="AN173" i="20"/>
  <c r="AN300" i="20"/>
  <c r="AN30" i="20"/>
  <c r="AN455" i="20"/>
  <c r="AN141" i="20"/>
  <c r="AN632" i="20"/>
  <c r="AN872" i="20"/>
  <c r="AN33" i="20"/>
  <c r="AN804" i="20"/>
  <c r="AN263" i="20"/>
  <c r="AN602" i="20"/>
  <c r="AN887" i="20"/>
  <c r="AN160" i="20"/>
  <c r="AN522" i="20"/>
  <c r="AN369" i="20"/>
  <c r="AN908" i="20"/>
  <c r="AN494" i="20"/>
  <c r="AN409" i="20"/>
  <c r="AN573" i="20"/>
  <c r="AN102" i="20"/>
  <c r="AN888" i="20"/>
  <c r="AN829" i="20"/>
  <c r="AN224" i="20"/>
  <c r="AN52" i="20"/>
  <c r="AN464" i="20"/>
  <c r="AN721" i="20"/>
  <c r="AN184" i="20"/>
  <c r="AN711" i="20"/>
  <c r="AN661" i="20"/>
  <c r="AN95" i="20"/>
  <c r="AN451" i="20"/>
  <c r="AN570" i="20"/>
  <c r="AN599" i="20"/>
  <c r="AN821" i="20"/>
  <c r="AN77" i="20"/>
  <c r="AN240" i="20"/>
  <c r="AN525" i="20"/>
  <c r="AN130" i="20"/>
  <c r="AN73" i="20"/>
  <c r="AN461" i="20"/>
  <c r="AN760" i="20"/>
  <c r="AN241" i="20"/>
  <c r="AN223" i="20"/>
  <c r="AN144" i="20"/>
  <c r="AN85" i="20"/>
  <c r="AN345" i="20"/>
  <c r="AN625" i="20"/>
  <c r="AN232" i="20"/>
  <c r="AN120" i="20"/>
  <c r="AN426" i="20"/>
  <c r="AN311" i="20"/>
  <c r="AN819" i="20"/>
  <c r="AN26" i="20"/>
  <c r="AN692" i="20"/>
  <c r="AN668" i="20"/>
  <c r="AN628" i="20"/>
  <c r="AN847" i="20"/>
  <c r="AN174" i="20"/>
  <c r="AN716" i="20"/>
  <c r="AN763" i="20"/>
  <c r="AN431" i="20"/>
  <c r="AN727" i="20"/>
  <c r="AN511" i="20"/>
  <c r="AN868" i="20"/>
  <c r="AN707" i="20"/>
  <c r="AN817" i="20"/>
  <c r="AN835" i="20"/>
  <c r="AN34" i="20"/>
  <c r="AN14" i="20"/>
  <c r="AN876" i="20"/>
  <c r="AN333" i="20"/>
  <c r="AN420" i="20"/>
  <c r="AN292" i="20"/>
  <c r="AN746" i="20"/>
  <c r="AN563" i="20"/>
  <c r="AN306" i="20"/>
  <c r="AN417" i="20"/>
  <c r="AN193" i="20"/>
  <c r="AN168" i="20"/>
  <c r="AN867" i="20"/>
  <c r="AN577" i="20"/>
  <c r="AN123" i="20"/>
  <c r="AN38" i="20"/>
  <c r="AN12" i="20"/>
  <c r="AN801" i="20"/>
  <c r="AN871" i="20"/>
  <c r="AN133" i="20"/>
  <c r="AN479" i="20"/>
  <c r="AN645" i="20"/>
  <c r="AN488" i="20"/>
  <c r="AN724" i="20"/>
  <c r="AN442" i="20"/>
  <c r="AN279" i="20"/>
  <c r="AN579" i="20"/>
  <c r="AN767" i="20"/>
  <c r="AN467" i="20"/>
  <c r="AN137" i="20"/>
  <c r="AN78" i="20"/>
  <c r="AN262" i="20"/>
  <c r="AN28" i="20"/>
  <c r="AN172" i="20"/>
  <c r="AN86" i="20"/>
  <c r="AN447" i="20"/>
  <c r="AN683" i="20"/>
  <c r="AN595" i="20"/>
  <c r="AN456" i="20"/>
  <c r="AN612" i="20"/>
  <c r="AN101" i="20"/>
  <c r="AN408" i="20"/>
  <c r="AN620" i="20"/>
  <c r="AN254" i="20"/>
  <c r="AN171" i="20"/>
  <c r="AN650" i="20"/>
  <c r="AN244" i="20"/>
  <c r="AN338" i="20"/>
  <c r="AN648" i="20"/>
  <c r="AN444" i="20"/>
  <c r="AN744" i="20"/>
  <c r="AN505" i="20"/>
  <c r="AN154" i="20"/>
  <c r="AN651" i="20"/>
  <c r="AN394" i="20"/>
  <c r="AN407" i="20"/>
  <c r="AN641" i="20"/>
  <c r="AN607" i="20"/>
  <c r="AN400" i="20"/>
  <c r="AN879" i="20"/>
  <c r="AN53" i="20"/>
  <c r="AN258" i="20"/>
  <c r="AN673" i="20"/>
  <c r="AN131" i="20"/>
  <c r="AN445" i="20"/>
  <c r="AN74" i="20"/>
  <c r="AN169" i="20"/>
  <c r="AN710" i="20"/>
  <c r="AN403" i="20"/>
  <c r="AN318" i="20"/>
  <c r="AN349" i="20"/>
  <c r="AN550" i="20"/>
  <c r="AN350" i="20"/>
  <c r="AN382" i="20"/>
  <c r="AN566" i="20"/>
  <c r="AN836" i="20"/>
  <c r="AN115" i="20"/>
  <c r="AN405" i="20"/>
  <c r="AN524" i="20"/>
  <c r="AN499" i="20"/>
  <c r="AN497" i="20"/>
  <c r="AN207" i="20"/>
  <c r="AN443" i="20"/>
  <c r="AN326" i="20"/>
  <c r="AN43" i="20"/>
  <c r="AN799" i="20"/>
  <c r="AN114" i="20"/>
  <c r="AN41" i="20"/>
  <c r="AN377" i="20"/>
  <c r="AN89" i="20"/>
  <c r="AN478" i="20"/>
  <c r="AN713" i="20"/>
  <c r="AN393" i="20"/>
  <c r="AN401" i="20"/>
  <c r="AN165" i="20"/>
  <c r="AN611" i="20"/>
  <c r="AN135" i="20"/>
  <c r="AN134" i="20"/>
  <c r="AN124" i="20"/>
  <c r="AN635" i="20"/>
  <c r="AN747" i="20"/>
  <c r="AN714" i="20"/>
  <c r="AN696" i="20"/>
  <c r="AN562" i="20"/>
  <c r="AN217" i="20"/>
  <c r="AN260" i="20"/>
  <c r="AN365" i="20"/>
  <c r="AN322" i="20"/>
  <c r="AN368" i="20"/>
  <c r="AN107" i="20"/>
  <c r="AN553" i="20"/>
  <c r="AN466" i="20"/>
  <c r="AN51" i="20"/>
  <c r="AN463" i="20"/>
  <c r="AN87" i="20"/>
  <c r="AN737" i="20"/>
  <c r="AN128" i="20"/>
  <c r="AN158" i="20"/>
  <c r="AN473" i="20"/>
  <c r="AN286" i="20"/>
  <c r="AN366" i="20"/>
  <c r="AN185" i="20"/>
  <c r="AN618" i="20"/>
  <c r="AN239" i="20"/>
  <c r="AN277" i="20"/>
  <c r="AN783" i="20"/>
  <c r="AN386" i="20"/>
  <c r="AN127" i="20"/>
  <c r="AN23" i="20"/>
  <c r="AN321" i="20"/>
  <c r="AN191" i="20"/>
  <c r="AN310" i="20"/>
  <c r="AN132" i="20"/>
  <c r="AN24" i="20"/>
  <c r="AN106" i="20"/>
  <c r="AN802" i="20"/>
  <c r="AN477" i="20"/>
  <c r="AN294" i="20"/>
  <c r="AN906" i="20"/>
  <c r="AN652" i="20"/>
  <c r="AN438" i="20"/>
  <c r="AN331" i="20"/>
  <c r="AN662" i="20"/>
  <c r="AN251" i="20"/>
  <c r="AN681" i="20"/>
  <c r="AN190" i="20"/>
  <c r="AN267" i="20"/>
  <c r="AN117" i="20"/>
  <c r="AN97" i="20"/>
  <c r="AN253" i="20"/>
  <c r="AN882" i="20"/>
  <c r="AH151" i="14"/>
  <c r="AH202" i="14"/>
  <c r="AH206" i="14"/>
  <c r="AH208" i="14"/>
  <c r="AH128" i="14"/>
  <c r="AH108" i="14"/>
  <c r="AH57" i="14"/>
  <c r="AH155" i="14"/>
  <c r="AH16" i="14"/>
  <c r="AH116" i="14"/>
  <c r="AH86" i="14"/>
  <c r="AH117" i="14"/>
  <c r="AH6" i="14"/>
  <c r="AH28" i="14"/>
  <c r="AH200" i="14"/>
  <c r="AH150" i="14"/>
  <c r="AH234" i="14"/>
  <c r="AH76" i="14"/>
  <c r="AH109" i="14"/>
  <c r="AH205" i="14"/>
  <c r="AH29" i="14"/>
  <c r="AH102" i="14"/>
  <c r="AH63" i="14"/>
  <c r="AH153" i="14"/>
  <c r="AH118" i="14"/>
  <c r="AH79" i="14"/>
  <c r="AH137" i="14"/>
  <c r="AH133" i="14"/>
  <c r="AH236" i="14"/>
  <c r="AH101" i="14"/>
  <c r="J54" i="37"/>
  <c r="N54" i="37"/>
  <c r="Y47" i="20"/>
  <c r="AD47" i="20"/>
  <c r="AB47" i="20"/>
  <c r="AK47" i="20"/>
  <c r="AL47" i="20"/>
  <c r="AJ47" i="20"/>
  <c r="Z47" i="20"/>
  <c r="AG47" i="20"/>
  <c r="AF47" i="20"/>
  <c r="AH47" i="20"/>
  <c r="AA47" i="20"/>
  <c r="AC47" i="20"/>
  <c r="AI47" i="20"/>
  <c r="AE47" i="20"/>
  <c r="Y416" i="20"/>
  <c r="AB416" i="20"/>
  <c r="AA416" i="20"/>
  <c r="Z416" i="20"/>
  <c r="AI671" i="20"/>
  <c r="AK671" i="20"/>
  <c r="AE671" i="20"/>
  <c r="AH671" i="20"/>
  <c r="AJ416" i="20"/>
  <c r="AI416" i="20"/>
  <c r="AH416" i="20"/>
  <c r="AG416" i="20"/>
  <c r="AG671" i="20"/>
  <c r="AA671" i="20"/>
  <c r="Z671" i="20"/>
  <c r="AL416" i="20"/>
  <c r="AK416" i="20"/>
  <c r="AC671" i="20"/>
  <c r="AF671" i="20"/>
  <c r="Y671" i="20"/>
  <c r="AD671" i="20"/>
  <c r="AF416" i="20"/>
  <c r="AE416" i="20"/>
  <c r="AD416" i="20"/>
  <c r="AC416" i="20"/>
  <c r="AB671" i="20"/>
  <c r="AJ671" i="20"/>
  <c r="AL671" i="20"/>
  <c r="Y344" i="20"/>
  <c r="Y911" i="20"/>
  <c r="AA344" i="20"/>
  <c r="AD780" i="20"/>
  <c r="AF780" i="20"/>
  <c r="Z780" i="20"/>
  <c r="AH780" i="20"/>
  <c r="AF179" i="20"/>
  <c r="AF911" i="20"/>
  <c r="AD660" i="20"/>
  <c r="AL152" i="20"/>
  <c r="AB660" i="20"/>
  <c r="AB344" i="20"/>
  <c r="AH660" i="20"/>
  <c r="AA660" i="20"/>
  <c r="AK152" i="20"/>
  <c r="AH344" i="20"/>
  <c r="AG344" i="20"/>
  <c r="AD911" i="20"/>
  <c r="AG911" i="20"/>
  <c r="AK344" i="20"/>
  <c r="AH911" i="20"/>
  <c r="AK911" i="20"/>
  <c r="Y179" i="20"/>
  <c r="Y780" i="20"/>
  <c r="AF660" i="20"/>
  <c r="AD179" i="20"/>
  <c r="AA780" i="20"/>
  <c r="AE179" i="20"/>
  <c r="AB780" i="20"/>
  <c r="Z179" i="20"/>
  <c r="AH152" i="20"/>
  <c r="AE911" i="20"/>
  <c r="AF152" i="20"/>
  <c r="AJ911" i="20"/>
  <c r="AJ152" i="20"/>
  <c r="Z660" i="20"/>
  <c r="AK179" i="20"/>
  <c r="AK780" i="20"/>
  <c r="AK660" i="20"/>
  <c r="AG152" i="20"/>
  <c r="AD344" i="20"/>
  <c r="AC344" i="20"/>
  <c r="Z911" i="20"/>
  <c r="AC911" i="20"/>
  <c r="Y660" i="20"/>
  <c r="AD152" i="20"/>
  <c r="AJ179" i="20"/>
  <c r="AL179" i="20"/>
  <c r="AJ780" i="20"/>
  <c r="AI911" i="20"/>
  <c r="AI179" i="20"/>
  <c r="AI344" i="20"/>
  <c r="AB152" i="20"/>
  <c r="AL344" i="20"/>
  <c r="AA152" i="20"/>
  <c r="AB911" i="20"/>
  <c r="AE152" i="20"/>
  <c r="AH179" i="20"/>
  <c r="AG179" i="20"/>
  <c r="AG780" i="20"/>
  <c r="AI660" i="20"/>
  <c r="AG660" i="20"/>
  <c r="AC152" i="20"/>
  <c r="Z344" i="20"/>
  <c r="AL911" i="20"/>
  <c r="Y152" i="20"/>
  <c r="AI780" i="20"/>
  <c r="AF344" i="20"/>
  <c r="AL780" i="20"/>
  <c r="AE780" i="20"/>
  <c r="AA911" i="20"/>
  <c r="AA179" i="20"/>
  <c r="AI152" i="20"/>
  <c r="AL660" i="20"/>
  <c r="AE344" i="20"/>
  <c r="AJ660" i="20"/>
  <c r="AJ344" i="20"/>
  <c r="Z152" i="20"/>
  <c r="AB179" i="20"/>
  <c r="AC179" i="20"/>
  <c r="AC780" i="20"/>
  <c r="AE660" i="20"/>
  <c r="AC660" i="20"/>
  <c r="F54" i="37"/>
  <c r="M54" i="37"/>
  <c r="E54" i="37"/>
  <c r="N13" i="43"/>
  <c r="E16" i="43"/>
  <c r="Y846" i="20"/>
  <c r="AJ846" i="20"/>
  <c r="AE846" i="20"/>
  <c r="AC846" i="20"/>
  <c r="AL846" i="20"/>
  <c r="AB846" i="20"/>
  <c r="AA846" i="20"/>
  <c r="AF846" i="20"/>
  <c r="AH846" i="20"/>
  <c r="AK846" i="20"/>
  <c r="AD846" i="20"/>
  <c r="Z846" i="20"/>
  <c r="AI846" i="20"/>
  <c r="AG846" i="20"/>
  <c r="AL931" i="20"/>
  <c r="Y113" i="20"/>
  <c r="Y500" i="20"/>
  <c r="Y547" i="20"/>
  <c r="Y140" i="20"/>
  <c r="Y861" i="20"/>
  <c r="Z733" i="20"/>
  <c r="Z289" i="20"/>
  <c r="Z772" i="20"/>
  <c r="Z360" i="20"/>
  <c r="AA274" i="20"/>
  <c r="AA99" i="20"/>
  <c r="AA40" i="20"/>
  <c r="AA475" i="20"/>
  <c r="AA717" i="20"/>
  <c r="AB36" i="20"/>
  <c r="AB99" i="20"/>
  <c r="AB289" i="20"/>
  <c r="AB547" i="20"/>
  <c r="AB891" i="20"/>
  <c r="AB717" i="20"/>
  <c r="AC274" i="20"/>
  <c r="AC99" i="20"/>
  <c r="AC40" i="20"/>
  <c r="AC475" i="20"/>
  <c r="AC717" i="20"/>
  <c r="AD36" i="20"/>
  <c r="AD285" i="20"/>
  <c r="AD834" i="20"/>
  <c r="AD891" i="20"/>
  <c r="AD606" i="20"/>
  <c r="AE113" i="20"/>
  <c r="AE500" i="20"/>
  <c r="AE547" i="20"/>
  <c r="AE140" i="20"/>
  <c r="AE861" i="20"/>
  <c r="AF167" i="20"/>
  <c r="AF66" i="20"/>
  <c r="AF569" i="20"/>
  <c r="AF485" i="20"/>
  <c r="AF689" i="20"/>
  <c r="AF709" i="20"/>
  <c r="AG113" i="20"/>
  <c r="AG500" i="20"/>
  <c r="AG547" i="20"/>
  <c r="AG140" i="20"/>
  <c r="AG861" i="20"/>
  <c r="AH733" i="20"/>
  <c r="AH289" i="20"/>
  <c r="AH772" i="20"/>
  <c r="AH360" i="20"/>
  <c r="AI274" i="20"/>
  <c r="AI99" i="20"/>
  <c r="AI40" i="20"/>
  <c r="AI475" i="20"/>
  <c r="AI717" i="20"/>
  <c r="AJ36" i="20"/>
  <c r="AJ99" i="20"/>
  <c r="AJ289" i="20"/>
  <c r="AJ547" i="20"/>
  <c r="AJ891" i="20"/>
  <c r="AJ717" i="20"/>
  <c r="AK274" i="20"/>
  <c r="AK99" i="20"/>
  <c r="AK40" i="20"/>
  <c r="AK475" i="20"/>
  <c r="AK717" i="20"/>
  <c r="AL36" i="20"/>
  <c r="AL285" i="20"/>
  <c r="AL834" i="20"/>
  <c r="AL891" i="20"/>
  <c r="AL606" i="20"/>
  <c r="Y36" i="20"/>
  <c r="Y289" i="20"/>
  <c r="Y475" i="20"/>
  <c r="Y606" i="20"/>
  <c r="Z99" i="20"/>
  <c r="Z834" i="20"/>
  <c r="Z140" i="20"/>
  <c r="AA36" i="20"/>
  <c r="AA500" i="20"/>
  <c r="AA772" i="20"/>
  <c r="AA606" i="20"/>
  <c r="AB167" i="20"/>
  <c r="AB500" i="20"/>
  <c r="AB772" i="20"/>
  <c r="AB689" i="20"/>
  <c r="AB861" i="20"/>
  <c r="AC285" i="20"/>
  <c r="AC547" i="20"/>
  <c r="AC360" i="20"/>
  <c r="AD113" i="20"/>
  <c r="AD289" i="20"/>
  <c r="AD475" i="20"/>
  <c r="AD861" i="20"/>
  <c r="AE99" i="20"/>
  <c r="AE834" i="20"/>
  <c r="AE360" i="20"/>
  <c r="AF36" i="20"/>
  <c r="AF285" i="20"/>
  <c r="AF834" i="20"/>
  <c r="AF891" i="20"/>
  <c r="AF606" i="20"/>
  <c r="AG733" i="20"/>
  <c r="AG40" i="20"/>
  <c r="AG891" i="20"/>
  <c r="AH274" i="20"/>
  <c r="AH285" i="20"/>
  <c r="AH547" i="20"/>
  <c r="AH717" i="20"/>
  <c r="AI113" i="20"/>
  <c r="AI289" i="20"/>
  <c r="AI891" i="20"/>
  <c r="AI861" i="20"/>
  <c r="AJ733" i="20"/>
  <c r="AJ40" i="20"/>
  <c r="AJ485" i="20"/>
  <c r="AJ360" i="20"/>
  <c r="AK36" i="20"/>
  <c r="AK500" i="20"/>
  <c r="AK772" i="20"/>
  <c r="AK606" i="20"/>
  <c r="AL733" i="20"/>
  <c r="AL40" i="20"/>
  <c r="AL140" i="20"/>
  <c r="AB576" i="20"/>
  <c r="AL589" i="20"/>
  <c r="AA733" i="20"/>
  <c r="Y733" i="20"/>
  <c r="Y40" i="20"/>
  <c r="Y891" i="20"/>
  <c r="Z274" i="20"/>
  <c r="Z285" i="20"/>
  <c r="Z547" i="20"/>
  <c r="Z717" i="20"/>
  <c r="AA113" i="20"/>
  <c r="AA289" i="20"/>
  <c r="AA891" i="20"/>
  <c r="AA861" i="20"/>
  <c r="AB733" i="20"/>
  <c r="AB40" i="20"/>
  <c r="AB485" i="20"/>
  <c r="AB360" i="20"/>
  <c r="AC36" i="20"/>
  <c r="AC500" i="20"/>
  <c r="AC772" i="20"/>
  <c r="AC606" i="20"/>
  <c r="AD733" i="20"/>
  <c r="AD40" i="20"/>
  <c r="AD140" i="20"/>
  <c r="AE274" i="20"/>
  <c r="AE285" i="20"/>
  <c r="AE772" i="20"/>
  <c r="AE717" i="20"/>
  <c r="AF113" i="20"/>
  <c r="AF500" i="20"/>
  <c r="AF547" i="20"/>
  <c r="AF140" i="20"/>
  <c r="AF861" i="20"/>
  <c r="AG99" i="20"/>
  <c r="AG834" i="20"/>
  <c r="AG360" i="20"/>
  <c r="AH36" i="20"/>
  <c r="AH500" i="20"/>
  <c r="AH475" i="20"/>
  <c r="AH606" i="20"/>
  <c r="AI733" i="20"/>
  <c r="AI834" i="20"/>
  <c r="AI140" i="20"/>
  <c r="AJ274" i="20"/>
  <c r="AJ285" i="20"/>
  <c r="AJ569" i="20"/>
  <c r="AJ475" i="20"/>
  <c r="AJ606" i="20"/>
  <c r="AK113" i="20"/>
  <c r="AK289" i="20"/>
  <c r="AK891" i="20"/>
  <c r="AK861" i="20"/>
  <c r="AL99" i="20"/>
  <c r="AL547" i="20"/>
  <c r="AL360" i="20"/>
  <c r="Y274" i="20"/>
  <c r="Y285" i="20"/>
  <c r="Y772" i="20"/>
  <c r="Y717" i="20"/>
  <c r="Z113" i="20"/>
  <c r="Z40" i="20"/>
  <c r="Z891" i="20"/>
  <c r="Z861" i="20"/>
  <c r="AA285" i="20"/>
  <c r="AA547" i="20"/>
  <c r="AA360" i="20"/>
  <c r="AB113" i="20"/>
  <c r="AB66" i="20"/>
  <c r="AB834" i="20"/>
  <c r="AB140" i="20"/>
  <c r="AB709" i="20"/>
  <c r="AC733" i="20"/>
  <c r="AC834" i="20"/>
  <c r="AC140" i="20"/>
  <c r="AD274" i="20"/>
  <c r="AD500" i="20"/>
  <c r="AD772" i="20"/>
  <c r="AD717" i="20"/>
  <c r="AE733" i="20"/>
  <c r="AE40" i="20"/>
  <c r="AE891" i="20"/>
  <c r="AF274" i="20"/>
  <c r="AF99" i="20"/>
  <c r="AF40" i="20"/>
  <c r="AF475" i="20"/>
  <c r="AF717" i="20"/>
  <c r="AG36" i="20"/>
  <c r="AG289" i="20"/>
  <c r="AG475" i="20"/>
  <c r="AG606" i="20"/>
  <c r="AH99" i="20"/>
  <c r="AH834" i="20"/>
  <c r="AH140" i="20"/>
  <c r="AI36" i="20"/>
  <c r="AI500" i="20"/>
  <c r="AI772" i="20"/>
  <c r="AI606" i="20"/>
  <c r="AJ167" i="20"/>
  <c r="AJ500" i="20"/>
  <c r="AJ772" i="20"/>
  <c r="AJ689" i="20"/>
  <c r="AJ861" i="20"/>
  <c r="AK285" i="20"/>
  <c r="AK547" i="20"/>
  <c r="AK360" i="20"/>
  <c r="AL113" i="20"/>
  <c r="AL289" i="20"/>
  <c r="AL475" i="20"/>
  <c r="AL861" i="20"/>
  <c r="AD104" i="20"/>
  <c r="AI104" i="20"/>
  <c r="AE589" i="20"/>
  <c r="AE667" i="20"/>
  <c r="Z104" i="20"/>
  <c r="AE104" i="20"/>
  <c r="AJ104" i="20"/>
  <c r="AJ755" i="20"/>
  <c r="AJ667" i="20"/>
  <c r="AA104" i="20"/>
  <c r="AF104" i="20"/>
  <c r="AL104" i="20"/>
  <c r="AH576" i="20"/>
  <c r="AJ808" i="20"/>
  <c r="Y99" i="20"/>
  <c r="Y834" i="20"/>
  <c r="Y360" i="20"/>
  <c r="Z36" i="20"/>
  <c r="Z500" i="20"/>
  <c r="Z475" i="20"/>
  <c r="Z606" i="20"/>
  <c r="AA834" i="20"/>
  <c r="AA140" i="20"/>
  <c r="AB475" i="20"/>
  <c r="AC891" i="20"/>
  <c r="AD360" i="20"/>
  <c r="AE606" i="20"/>
  <c r="AF360" i="20"/>
  <c r="AG717" i="20"/>
  <c r="AH861" i="20"/>
  <c r="AJ113" i="20"/>
  <c r="AJ709" i="20"/>
  <c r="AL274" i="20"/>
  <c r="AH104" i="20"/>
  <c r="AB667" i="20"/>
  <c r="AB274" i="20"/>
  <c r="AB606" i="20"/>
  <c r="AC861" i="20"/>
  <c r="AE36" i="20"/>
  <c r="AF733" i="20"/>
  <c r="AG274" i="20"/>
  <c r="AH113" i="20"/>
  <c r="AI285" i="20"/>
  <c r="AJ66" i="20"/>
  <c r="AK733" i="20"/>
  <c r="AL500" i="20"/>
  <c r="AB285" i="20"/>
  <c r="AC113" i="20"/>
  <c r="AD99" i="20"/>
  <c r="AE289" i="20"/>
  <c r="AF289" i="20"/>
  <c r="AG285" i="20"/>
  <c r="AH40" i="20"/>
  <c r="AI547" i="20"/>
  <c r="AJ834" i="20"/>
  <c r="AK834" i="20"/>
  <c r="AL772" i="20"/>
  <c r="AB569" i="20"/>
  <c r="AC289" i="20"/>
  <c r="AD547" i="20"/>
  <c r="AE475" i="20"/>
  <c r="AF772" i="20"/>
  <c r="AG772" i="20"/>
  <c r="AH891" i="20"/>
  <c r="AI360" i="20"/>
  <c r="AJ140" i="20"/>
  <c r="AK140" i="20"/>
  <c r="AL717" i="20"/>
  <c r="AB104" i="20"/>
  <c r="AK576" i="20"/>
  <c r="Y589" i="20"/>
  <c r="Y755" i="20"/>
  <c r="Y343" i="20"/>
  <c r="Y485" i="20"/>
  <c r="AI485" i="20"/>
  <c r="AE709" i="20"/>
  <c r="AE66" i="20"/>
  <c r="AA485" i="20"/>
  <c r="AL709" i="20"/>
  <c r="AL66" i="20"/>
  <c r="AH485" i="20"/>
  <c r="AD709" i="20"/>
  <c r="AD66" i="20"/>
  <c r="Z485" i="20"/>
  <c r="AK709" i="20"/>
  <c r="AK66" i="20"/>
  <c r="AG485" i="20"/>
  <c r="AC709" i="20"/>
  <c r="AC66" i="20"/>
  <c r="AC104" i="20"/>
  <c r="AI18" i="20"/>
  <c r="AJ589" i="20"/>
  <c r="Z755" i="20"/>
  <c r="AA589" i="20"/>
  <c r="AE808" i="20"/>
  <c r="AE755" i="20"/>
  <c r="AF576" i="20"/>
  <c r="AA576" i="20"/>
  <c r="AB755" i="20"/>
  <c r="AB589" i="20"/>
  <c r="AI214" i="20"/>
  <c r="AJ640" i="20"/>
  <c r="AE214" i="20"/>
  <c r="AD755" i="20"/>
  <c r="AB808" i="20"/>
  <c r="AJ375" i="20"/>
  <c r="AF343" i="20"/>
  <c r="AH375" i="20"/>
  <c r="AG375" i="20"/>
  <c r="AH640" i="20"/>
  <c r="AK640" i="20"/>
  <c r="AD576" i="20"/>
  <c r="Z214" i="20"/>
  <c r="AL808" i="20"/>
  <c r="AK589" i="20"/>
  <c r="AL18" i="20"/>
  <c r="AK18" i="20"/>
  <c r="AL126" i="20"/>
  <c r="AK126" i="20"/>
  <c r="AA755" i="20"/>
  <c r="Y640" i="20"/>
  <c r="Y214" i="20"/>
  <c r="Y667" i="20"/>
  <c r="Y375" i="20"/>
  <c r="Y569" i="20"/>
  <c r="AI569" i="20"/>
  <c r="AE689" i="20"/>
  <c r="AE167" i="20"/>
  <c r="AA569" i="20"/>
  <c r="AL689" i="20"/>
  <c r="AL167" i="20"/>
  <c r="AH569" i="20"/>
  <c r="AD689" i="20"/>
  <c r="AD167" i="20"/>
  <c r="Z569" i="20"/>
  <c r="AK689" i="20"/>
  <c r="AK167" i="20"/>
  <c r="AG569" i="20"/>
  <c r="AC689" i="20"/>
  <c r="AC167" i="20"/>
  <c r="Y808" i="20"/>
  <c r="AF18" i="20"/>
  <c r="AD589" i="20"/>
  <c r="AJ18" i="20"/>
  <c r="AI808" i="20"/>
  <c r="AF640" i="20"/>
  <c r="AE18" i="20"/>
  <c r="AI640" i="20"/>
  <c r="AA640" i="20"/>
  <c r="AI126" i="20"/>
  <c r="AK808" i="20"/>
  <c r="AA214" i="20"/>
  <c r="AB640" i="20"/>
  <c r="AE375" i="20"/>
  <c r="AJ126" i="20"/>
  <c r="AJ214" i="20"/>
  <c r="AB375" i="20"/>
  <c r="AE343" i="20"/>
  <c r="AD375" i="20"/>
  <c r="AC375" i="20"/>
  <c r="AD640" i="20"/>
  <c r="AG640" i="20"/>
  <c r="Z576" i="20"/>
  <c r="AL214" i="20"/>
  <c r="AK214" i="20"/>
  <c r="AH808" i="20"/>
  <c r="AG589" i="20"/>
  <c r="AH18" i="20"/>
  <c r="AG18" i="20"/>
  <c r="AH126" i="20"/>
  <c r="AG126" i="20"/>
  <c r="AK755" i="20"/>
  <c r="AL667" i="20"/>
  <c r="AK667" i="20"/>
  <c r="AA343" i="20"/>
  <c r="Z343" i="20"/>
  <c r="Y689" i="20"/>
  <c r="Y167" i="20"/>
  <c r="Y126" i="20"/>
  <c r="Y576" i="20"/>
  <c r="Y18" i="20"/>
  <c r="Y709" i="20"/>
  <c r="Y66" i="20"/>
  <c r="AI709" i="20"/>
  <c r="AI66" i="20"/>
  <c r="AE485" i="20"/>
  <c r="AA709" i="20"/>
  <c r="AA66" i="20"/>
  <c r="AL485" i="20"/>
  <c r="AH709" i="20"/>
  <c r="AH66" i="20"/>
  <c r="AD485" i="20"/>
  <c r="Z709" i="20"/>
  <c r="Z66" i="20"/>
  <c r="AK485" i="20"/>
  <c r="AG709" i="20"/>
  <c r="AG66" i="20"/>
  <c r="AC485" i="20"/>
  <c r="AK104" i="20"/>
  <c r="AF667" i="20"/>
  <c r="AF126" i="20"/>
  <c r="AI667" i="20"/>
  <c r="AA18" i="20"/>
  <c r="AF589" i="20"/>
  <c r="AF755" i="20"/>
  <c r="AC808" i="20"/>
  <c r="AF375" i="20"/>
  <c r="AE126" i="20"/>
  <c r="AA126" i="20"/>
  <c r="AF808" i="20"/>
  <c r="AJ576" i="20"/>
  <c r="AI375" i="20"/>
  <c r="AF214" i="20"/>
  <c r="AB126" i="20"/>
  <c r="AB214" i="20"/>
  <c r="AJ343" i="20"/>
  <c r="Z375" i="20"/>
  <c r="Z640" i="20"/>
  <c r="AC640" i="20"/>
  <c r="AG576" i="20"/>
  <c r="AH214" i="20"/>
  <c r="AG214" i="20"/>
  <c r="AD808" i="20"/>
  <c r="AC589" i="20"/>
  <c r="AD18" i="20"/>
  <c r="AC18" i="20"/>
  <c r="AD126" i="20"/>
  <c r="AC126" i="20"/>
  <c r="AG755" i="20"/>
  <c r="AH667" i="20"/>
  <c r="AG667" i="20"/>
  <c r="AL343" i="20"/>
  <c r="AK343" i="20"/>
  <c r="Z808" i="20"/>
  <c r="Y104" i="20"/>
  <c r="AI689" i="20"/>
  <c r="AI167" i="20"/>
  <c r="AE569" i="20"/>
  <c r="AA689" i="20"/>
  <c r="AA167" i="20"/>
  <c r="AL569" i="20"/>
  <c r="AH689" i="20"/>
  <c r="AH167" i="20"/>
  <c r="AD569" i="20"/>
  <c r="Z689" i="20"/>
  <c r="Z167" i="20"/>
  <c r="AK569" i="20"/>
  <c r="AG689" i="20"/>
  <c r="AG167" i="20"/>
  <c r="AC569" i="20"/>
  <c r="AG104" i="20"/>
  <c r="AL755" i="20"/>
  <c r="AB18" i="20"/>
  <c r="AA667" i="20"/>
  <c r="AI589" i="20"/>
  <c r="Z589" i="20"/>
  <c r="AB343" i="20"/>
  <c r="AL576" i="20"/>
  <c r="AI576" i="20"/>
  <c r="AH755" i="20"/>
  <c r="AH589" i="20"/>
  <c r="AA808" i="20"/>
  <c r="AE576" i="20"/>
  <c r="AA375" i="20"/>
  <c r="AI343" i="20"/>
  <c r="AC576" i="20"/>
  <c r="Z126" i="20"/>
  <c r="AD667" i="20"/>
  <c r="AH343" i="20"/>
  <c r="AI755" i="20"/>
  <c r="AL640" i="20"/>
  <c r="Z667" i="20"/>
  <c r="AD343" i="20"/>
  <c r="AG808" i="20"/>
  <c r="AL375" i="20"/>
  <c r="AD214" i="20"/>
  <c r="Z18" i="20"/>
  <c r="AC755" i="20"/>
  <c r="AC667" i="20"/>
  <c r="AG343" i="20"/>
  <c r="AC343" i="20"/>
  <c r="AE640" i="20"/>
  <c r="AK375" i="20"/>
  <c r="AC214" i="20"/>
  <c r="Y61" i="20"/>
  <c r="Z61" i="20"/>
  <c r="AA604" i="20"/>
  <c r="AB157" i="20"/>
  <c r="AC166" i="20"/>
  <c r="AD157" i="20"/>
  <c r="AD301" i="20"/>
  <c r="AE17" i="20"/>
  <c r="AE301" i="20"/>
  <c r="AG17" i="20"/>
  <c r="AG498" i="20"/>
  <c r="AH859" i="20"/>
  <c r="AH157" i="20"/>
  <c r="AH301" i="20"/>
  <c r="AI604" i="20"/>
  <c r="AJ157" i="20"/>
  <c r="AJ308" i="20"/>
  <c r="AK604" i="20"/>
  <c r="AL8" i="20"/>
  <c r="AL166" i="20"/>
  <c r="AL308" i="20"/>
  <c r="Y498" i="20"/>
  <c r="Z859" i="20"/>
  <c r="Z65" i="20"/>
  <c r="Z308" i="20"/>
  <c r="AA61" i="20"/>
  <c r="AB166" i="20"/>
  <c r="AC288" i="20"/>
  <c r="AD8" i="20"/>
  <c r="AD166" i="20"/>
  <c r="AD308" i="20"/>
  <c r="AE61" i="20"/>
  <c r="AE308" i="20"/>
  <c r="AF308" i="20"/>
  <c r="AG61" i="20"/>
  <c r="AG308" i="20"/>
  <c r="AH604" i="20"/>
  <c r="AH288" i="20"/>
  <c r="AH308" i="20"/>
  <c r="AI61" i="20"/>
  <c r="AI301" i="20"/>
  <c r="AJ8" i="20"/>
  <c r="AJ166" i="20"/>
  <c r="AK17" i="20"/>
  <c r="AK301" i="20"/>
  <c r="AL61" i="20"/>
  <c r="AL498" i="20"/>
  <c r="Z604" i="20"/>
  <c r="Z157" i="20"/>
  <c r="AA166" i="20"/>
  <c r="AB8" i="20"/>
  <c r="AC859" i="20"/>
  <c r="AC301" i="20"/>
  <c r="AD61" i="20"/>
  <c r="AD567" i="20"/>
  <c r="AE288" i="20"/>
  <c r="AF335" i="20"/>
  <c r="AG65" i="20"/>
  <c r="AH8" i="20"/>
  <c r="AH498" i="20"/>
  <c r="AI166" i="20"/>
  <c r="AJ17" i="20"/>
  <c r="AJ498" i="20"/>
  <c r="AK65" i="20"/>
  <c r="AL65" i="20"/>
  <c r="Y17" i="20"/>
  <c r="Z8" i="20"/>
  <c r="Z288" i="20"/>
  <c r="AA859" i="20"/>
  <c r="AB17" i="20"/>
  <c r="AC604" i="20"/>
  <c r="AD65" i="20"/>
  <c r="AE498" i="20"/>
  <c r="AF498" i="20"/>
  <c r="AG859" i="20"/>
  <c r="AG288" i="20"/>
  <c r="AH61" i="20"/>
  <c r="AI859" i="20"/>
  <c r="AI498" i="20"/>
  <c r="AJ65" i="20"/>
  <c r="AK859" i="20"/>
  <c r="AK288" i="20"/>
  <c r="AL157" i="20"/>
  <c r="AL301" i="20"/>
  <c r="Y112" i="20"/>
  <c r="AF317" i="20"/>
  <c r="AF98" i="20"/>
  <c r="Y157" i="20"/>
  <c r="AF112" i="20"/>
  <c r="AD175" i="20"/>
  <c r="AD317" i="20"/>
  <c r="Y98" i="20"/>
  <c r="AD35" i="20"/>
  <c r="Y308" i="20"/>
  <c r="AC498" i="20"/>
  <c r="AD498" i="20"/>
  <c r="Y166" i="20"/>
  <c r="AE65" i="20"/>
  <c r="Z17" i="20"/>
  <c r="AI17" i="20"/>
  <c r="Y604" i="20"/>
  <c r="AF604" i="20"/>
  <c r="AK166" i="20"/>
  <c r="AF567" i="20"/>
  <c r="AC308" i="20"/>
  <c r="AL288" i="20"/>
  <c r="AJ288" i="20"/>
  <c r="AG301" i="20"/>
  <c r="AF288" i="20"/>
  <c r="AF859" i="20"/>
  <c r="AD859" i="20"/>
  <c r="AB859" i="20"/>
  <c r="AH112" i="20"/>
  <c r="Z112" i="20"/>
  <c r="AJ112" i="20"/>
  <c r="AH317" i="20"/>
  <c r="AH98" i="20"/>
  <c r="AB112" i="20"/>
  <c r="Z317" i="20"/>
  <c r="Z98" i="20"/>
  <c r="AL587" i="20"/>
  <c r="AJ567" i="20"/>
  <c r="AJ335" i="20"/>
  <c r="AD587" i="20"/>
  <c r="AB567" i="20"/>
  <c r="AB335" i="20"/>
  <c r="AI8" i="20"/>
  <c r="AG157" i="20"/>
  <c r="AA8" i="20"/>
  <c r="AK587" i="20"/>
  <c r="AI587" i="20"/>
  <c r="AG587" i="20"/>
  <c r="AE587" i="20"/>
  <c r="AC587" i="20"/>
  <c r="AA587" i="20"/>
  <c r="Y39" i="20"/>
  <c r="AL35" i="20"/>
  <c r="Y301" i="20"/>
  <c r="AB61" i="20"/>
  <c r="AL567" i="20"/>
  <c r="AF587" i="20"/>
  <c r="AA301" i="20"/>
  <c r="AF284" i="20"/>
  <c r="AL317" i="20"/>
  <c r="AD98" i="20"/>
  <c r="AL335" i="20"/>
  <c r="AB308" i="20"/>
  <c r="AK498" i="20"/>
  <c r="Z166" i="20"/>
  <c r="AE166" i="20"/>
  <c r="AB65" i="20"/>
  <c r="AA17" i="20"/>
  <c r="AL17" i="20"/>
  <c r="AB604" i="20"/>
  <c r="AL175" i="20"/>
  <c r="AH65" i="20"/>
  <c r="AC17" i="20"/>
  <c r="AL859" i="20"/>
  <c r="AJ61" i="20"/>
  <c r="AF157" i="20"/>
  <c r="AC61" i="20"/>
  <c r="AA288" i="20"/>
  <c r="AH39" i="20"/>
  <c r="Z39" i="20"/>
  <c r="AJ39" i="20"/>
  <c r="AH35" i="20"/>
  <c r="AB39" i="20"/>
  <c r="Z35" i="20"/>
  <c r="AH284" i="20"/>
  <c r="AL284" i="20"/>
  <c r="AJ175" i="20"/>
  <c r="AD284" i="20"/>
  <c r="AB175" i="20"/>
  <c r="AG8" i="20"/>
  <c r="AE157" i="20"/>
  <c r="AK284" i="20"/>
  <c r="AI284" i="20"/>
  <c r="AG284" i="20"/>
  <c r="AE284" i="20"/>
  <c r="AC284" i="20"/>
  <c r="AA284" i="20"/>
  <c r="Y587" i="20"/>
  <c r="Y567" i="20"/>
  <c r="Y335" i="20"/>
  <c r="Y8" i="20"/>
  <c r="Z301" i="20"/>
  <c r="AL98" i="20"/>
  <c r="AF175" i="20"/>
  <c r="AA308" i="20"/>
  <c r="AA498" i="20"/>
  <c r="AG166" i="20"/>
  <c r="AF166" i="20"/>
  <c r="AC65" i="20"/>
  <c r="AD17" i="20"/>
  <c r="AF17" i="20"/>
  <c r="AD604" i="20"/>
  <c r="AL604" i="20"/>
  <c r="AJ604" i="20"/>
  <c r="AA65" i="20"/>
  <c r="AK61" i="20"/>
  <c r="AJ859" i="20"/>
  <c r="AF301" i="20"/>
  <c r="AF61" i="20"/>
  <c r="AE859" i="20"/>
  <c r="AB301" i="20"/>
  <c r="Z587" i="20"/>
  <c r="AJ587" i="20"/>
  <c r="AH567" i="20"/>
  <c r="AH335" i="20"/>
  <c r="AB587" i="20"/>
  <c r="Z567" i="20"/>
  <c r="Z335" i="20"/>
  <c r="AL112" i="20"/>
  <c r="AJ317" i="20"/>
  <c r="AJ98" i="20"/>
  <c r="AD112" i="20"/>
  <c r="AB317" i="20"/>
  <c r="AB98" i="20"/>
  <c r="AK157" i="20"/>
  <c r="AE8" i="20"/>
  <c r="AC157" i="20"/>
  <c r="AK112" i="20"/>
  <c r="AI112" i="20"/>
  <c r="AG112" i="20"/>
  <c r="AE112" i="20"/>
  <c r="AC112" i="20"/>
  <c r="AA112" i="20"/>
  <c r="AK317" i="20"/>
  <c r="AK98" i="20"/>
  <c r="AI317" i="20"/>
  <c r="AI98" i="20"/>
  <c r="AG317" i="20"/>
  <c r="AG98" i="20"/>
  <c r="AE317" i="20"/>
  <c r="AE98" i="20"/>
  <c r="AC317" i="20"/>
  <c r="AC98" i="20"/>
  <c r="AA317" i="20"/>
  <c r="AA98" i="20"/>
  <c r="Y284" i="20"/>
  <c r="Y175" i="20"/>
  <c r="Y288" i="20"/>
  <c r="Y859" i="20"/>
  <c r="AF39" i="20"/>
  <c r="Y317" i="20"/>
  <c r="Y35" i="20"/>
  <c r="AF35" i="20"/>
  <c r="AI308" i="20"/>
  <c r="AB498" i="20"/>
  <c r="AH166" i="20"/>
  <c r="Y65" i="20"/>
  <c r="AF65" i="20"/>
  <c r="AH17" i="20"/>
  <c r="AG604" i="20"/>
  <c r="AE604" i="20"/>
  <c r="AK308" i="20"/>
  <c r="AI65" i="20"/>
  <c r="AD335" i="20"/>
  <c r="Z498" i="20"/>
  <c r="AJ301" i="20"/>
  <c r="AI288" i="20"/>
  <c r="AF8" i="20"/>
  <c r="AD288" i="20"/>
  <c r="AB288" i="20"/>
  <c r="AH587" i="20"/>
  <c r="Z284" i="20"/>
  <c r="AJ284" i="20"/>
  <c r="AH175" i="20"/>
  <c r="AB284" i="20"/>
  <c r="Z175" i="20"/>
  <c r="AL39" i="20"/>
  <c r="AJ35" i="20"/>
  <c r="AD39" i="20"/>
  <c r="AB35" i="20"/>
  <c r="AK8" i="20"/>
  <c r="AI157" i="20"/>
  <c r="AC8" i="20"/>
  <c r="AA157" i="20"/>
  <c r="AK39" i="20"/>
  <c r="AI39" i="20"/>
  <c r="AG39" i="20"/>
  <c r="AE39" i="20"/>
  <c r="AC39" i="20"/>
  <c r="AA39" i="20"/>
  <c r="AK35" i="20"/>
  <c r="AI35" i="20"/>
  <c r="AG35" i="20"/>
  <c r="AE35" i="20"/>
  <c r="AC35" i="20"/>
  <c r="AA35" i="20"/>
  <c r="AK567" i="20"/>
  <c r="AK335" i="20"/>
  <c r="AI567" i="20"/>
  <c r="AI335" i="20"/>
  <c r="AG567" i="20"/>
  <c r="AG335" i="20"/>
  <c r="AE567" i="20"/>
  <c r="AE335" i="20"/>
  <c r="AC567" i="20"/>
  <c r="AC335" i="20"/>
  <c r="AA567" i="20"/>
  <c r="AA335" i="20"/>
  <c r="AK175" i="20"/>
  <c r="AI175" i="20"/>
  <c r="AG175" i="20"/>
  <c r="AE175" i="20"/>
  <c r="AC175" i="20"/>
  <c r="AA175" i="20"/>
  <c r="E19" i="43"/>
  <c r="Q1" i="86"/>
  <c r="P14" i="36"/>
  <c r="L14" i="36" s="1"/>
  <c r="M26" i="36"/>
  <c r="P26" i="36"/>
  <c r="L26" i="36" s="1"/>
  <c r="O26" i="36" s="1"/>
  <c r="P24" i="36"/>
  <c r="L24" i="36" s="1"/>
  <c r="P22" i="36"/>
  <c r="L22" i="36" s="1"/>
  <c r="P20" i="36"/>
  <c r="L20" i="36" s="1"/>
  <c r="P18" i="36"/>
  <c r="L18" i="36" s="1"/>
  <c r="M16" i="36"/>
  <c r="P16" i="36"/>
  <c r="L16" i="36" s="1"/>
  <c r="M13" i="36"/>
  <c r="P13" i="36"/>
  <c r="L13" i="36" s="1"/>
  <c r="M11" i="36"/>
  <c r="P11" i="36"/>
  <c r="L11" i="36" s="1"/>
  <c r="M9" i="36"/>
  <c r="P27" i="36"/>
  <c r="L27" i="36" s="1"/>
  <c r="P25" i="36"/>
  <c r="L25" i="36" s="1"/>
  <c r="P23" i="36"/>
  <c r="L23" i="36" s="1"/>
  <c r="P19" i="36"/>
  <c r="L19" i="36" s="1"/>
  <c r="P17" i="36"/>
  <c r="L17" i="36" s="1"/>
  <c r="P15" i="36"/>
  <c r="L15" i="36" s="1"/>
  <c r="P12" i="36"/>
  <c r="L12" i="36" s="1"/>
  <c r="M12" i="36"/>
  <c r="M10" i="36"/>
  <c r="P10" i="36"/>
  <c r="L10" i="36" s="1"/>
  <c r="P8" i="36"/>
  <c r="L8" i="36" s="1"/>
  <c r="M8" i="36"/>
  <c r="E15" i="43"/>
  <c r="AJ540" i="20"/>
  <c r="AF540" i="20"/>
  <c r="AB540" i="20"/>
  <c r="AK538" i="20"/>
  <c r="AG538" i="20"/>
  <c r="AC538" i="20"/>
  <c r="Y538" i="20"/>
  <c r="AL558" i="20"/>
  <c r="AH558" i="20"/>
  <c r="AD558" i="20"/>
  <c r="Z558" i="20"/>
  <c r="AJ558" i="20"/>
  <c r="AI558" i="20"/>
  <c r="AE558" i="20"/>
  <c r="AA558" i="20"/>
  <c r="AI540" i="20"/>
  <c r="AE540" i="20"/>
  <c r="AA540" i="20"/>
  <c r="AJ538" i="20"/>
  <c r="AF538" i="20"/>
  <c r="AB538" i="20"/>
  <c r="AK558" i="20"/>
  <c r="AG558" i="20"/>
  <c r="Y558" i="20"/>
  <c r="AL540" i="20"/>
  <c r="AH540" i="20"/>
  <c r="AD540" i="20"/>
  <c r="Z540" i="20"/>
  <c r="AI538" i="20"/>
  <c r="AE538" i="20"/>
  <c r="AA538" i="20"/>
  <c r="AF558" i="20"/>
  <c r="AB558" i="20"/>
  <c r="AK540" i="20"/>
  <c r="AG540" i="20"/>
  <c r="AC540" i="20"/>
  <c r="Y540" i="20"/>
  <c r="AL538" i="20"/>
  <c r="AH538" i="20"/>
  <c r="AD538" i="20"/>
  <c r="Z538" i="20"/>
  <c r="AG708" i="20"/>
  <c r="AE396" i="20"/>
  <c r="AB643" i="20"/>
  <c r="Z131" i="20"/>
  <c r="Z246" i="20"/>
  <c r="Y428" i="20"/>
  <c r="AK30" i="20"/>
  <c r="Y193" i="20"/>
  <c r="Z347" i="20"/>
  <c r="AC227" i="20"/>
  <c r="Z436" i="20"/>
  <c r="AB216" i="20"/>
  <c r="AE884" i="20"/>
  <c r="AF10" i="20"/>
  <c r="AC677" i="20"/>
  <c r="AD423" i="20"/>
  <c r="AE763" i="20"/>
  <c r="AK91" i="20"/>
  <c r="AF184" i="20"/>
  <c r="AK392" i="20"/>
  <c r="AF728" i="20"/>
  <c r="Y496" i="20"/>
  <c r="AB502" i="20"/>
  <c r="AF768" i="20"/>
  <c r="AB209" i="20"/>
  <c r="AD820" i="20"/>
  <c r="AE644" i="20"/>
  <c r="Z697" i="20"/>
  <c r="Z45" i="20"/>
  <c r="AB463" i="20"/>
  <c r="AD493" i="20"/>
  <c r="AA642" i="20"/>
  <c r="AC854" i="20"/>
  <c r="AB592" i="20"/>
  <c r="AA192" i="20"/>
  <c r="Z442" i="20"/>
  <c r="AD436" i="20"/>
  <c r="AK306" i="20"/>
  <c r="AC699" i="20"/>
  <c r="AA724" i="20"/>
  <c r="AG582" i="20"/>
  <c r="Z163" i="20"/>
  <c r="AK768" i="20"/>
  <c r="AC420" i="20"/>
  <c r="AA654" i="20"/>
  <c r="AB109" i="20"/>
  <c r="AK728" i="20"/>
  <c r="AA776" i="20"/>
  <c r="AE206" i="20"/>
  <c r="Z886" i="20"/>
  <c r="AC327" i="20"/>
  <c r="AD247" i="20"/>
  <c r="AK595" i="20"/>
  <c r="AD116" i="20"/>
  <c r="AD265" i="20"/>
  <c r="AF420" i="20"/>
  <c r="Z11" i="20"/>
  <c r="AB743" i="20"/>
  <c r="Y247" i="20"/>
  <c r="AE535" i="20"/>
  <c r="AD840" i="20"/>
  <c r="AD184" i="20"/>
  <c r="AK80" i="20"/>
  <c r="AF88" i="20"/>
  <c r="AD598" i="20"/>
  <c r="Z324" i="20"/>
  <c r="AC245" i="20"/>
  <c r="AA765" i="20"/>
  <c r="AD643" i="20"/>
  <c r="AF673" i="20"/>
  <c r="AF890" i="20"/>
  <c r="AK664" i="20"/>
  <c r="AC423" i="20"/>
  <c r="AC610" i="20"/>
  <c r="AK797" i="20"/>
  <c r="AG324" i="20"/>
  <c r="AA307" i="20"/>
  <c r="Z877" i="20"/>
  <c r="AD573" i="20"/>
  <c r="AE673" i="20"/>
  <c r="AG28" i="20"/>
  <c r="Y357" i="20"/>
  <c r="Y698" i="20"/>
  <c r="AG797" i="20"/>
  <c r="AG271" i="20"/>
  <c r="AA194" i="20"/>
  <c r="Y557" i="20"/>
  <c r="AF116" i="20"/>
  <c r="AF699" i="20"/>
  <c r="Y108" i="20"/>
  <c r="AG447" i="20"/>
  <c r="Z523" i="20"/>
  <c r="Y49" i="20"/>
  <c r="Y161" i="20"/>
  <c r="AG864" i="20"/>
  <c r="AE429" i="20"/>
  <c r="AK579" i="20"/>
  <c r="AF419" i="20"/>
  <c r="AG182" i="20"/>
  <c r="Z612" i="20"/>
  <c r="AD734" i="20"/>
  <c r="AE675" i="20"/>
  <c r="AK532" i="20"/>
  <c r="AK517" i="20"/>
  <c r="Y84" i="20"/>
  <c r="AA43" i="20"/>
  <c r="AE389" i="20"/>
  <c r="AB897" i="20"/>
  <c r="AG602" i="20"/>
  <c r="Y535" i="20"/>
  <c r="Z740" i="20"/>
  <c r="Z665" i="20"/>
  <c r="AC907" i="20"/>
  <c r="Z135" i="20"/>
  <c r="AB116" i="20"/>
  <c r="Z699" i="20"/>
  <c r="Z286" i="20"/>
  <c r="AF148" i="20"/>
  <c r="AD263" i="20"/>
  <c r="AF160" i="20"/>
  <c r="AC382" i="20"/>
  <c r="AK19" i="20"/>
  <c r="AG227" i="20"/>
  <c r="AG581" i="20"/>
  <c r="AG172" i="20"/>
  <c r="Y723" i="20"/>
  <c r="AF619" i="20"/>
  <c r="AB627" i="20"/>
  <c r="Y447" i="20"/>
  <c r="AE578" i="20"/>
  <c r="Z590" i="20"/>
  <c r="AG725" i="20"/>
  <c r="AA505" i="20"/>
  <c r="AC896" i="20"/>
  <c r="AB504" i="20"/>
  <c r="AB435" i="20"/>
  <c r="AB17" i="43"/>
  <c r="AB18" i="43"/>
  <c r="AB15" i="43"/>
  <c r="AB13" i="43"/>
  <c r="AB16" i="43"/>
  <c r="AB19" i="43"/>
  <c r="AB21" i="43"/>
  <c r="AB20" i="43"/>
  <c r="AB14" i="43"/>
  <c r="AB22" i="43"/>
  <c r="O7" i="36" l="1"/>
  <c r="AG756" i="20"/>
  <c r="AK95" i="20"/>
  <c r="AK24" i="20"/>
  <c r="AE107" i="20"/>
  <c r="AK506" i="20"/>
  <c r="AF455" i="20"/>
  <c r="AB896" i="20"/>
  <c r="AD46" i="20"/>
  <c r="AA785" i="20"/>
  <c r="AC696" i="20"/>
  <c r="AB238" i="20"/>
  <c r="AC883" i="20"/>
  <c r="AB738" i="20"/>
  <c r="AE433" i="20"/>
  <c r="AA388" i="20"/>
  <c r="AA898" i="20"/>
  <c r="AG395" i="20"/>
  <c r="AF442" i="20"/>
  <c r="AB383" i="20"/>
  <c r="AA478" i="20"/>
  <c r="Y396" i="20"/>
  <c r="Y536" i="20"/>
  <c r="AD602" i="20"/>
  <c r="AD855" i="20"/>
  <c r="AF372" i="20"/>
  <c r="AK555" i="20"/>
  <c r="AB836" i="20"/>
  <c r="AD101" i="20"/>
  <c r="AC716" i="20"/>
  <c r="Z768" i="20"/>
  <c r="AF211" i="20"/>
  <c r="AC626" i="20"/>
  <c r="AB792" i="20"/>
  <c r="AE497" i="20"/>
  <c r="Y885" i="20"/>
  <c r="AE820" i="20"/>
  <c r="AB239" i="20"/>
  <c r="Y54" i="20"/>
  <c r="AG101" i="20"/>
  <c r="AB161" i="20"/>
  <c r="AC359" i="20"/>
  <c r="AK483" i="20"/>
  <c r="AC664" i="20"/>
  <c r="Z90" i="20"/>
  <c r="AC830" i="20"/>
  <c r="AE260" i="20"/>
  <c r="Z331" i="20"/>
  <c r="AC851" i="20"/>
  <c r="AD876" i="20"/>
  <c r="AK810" i="20"/>
  <c r="AG739" i="20"/>
  <c r="AC442" i="20"/>
  <c r="AD586" i="20"/>
  <c r="Z702" i="20"/>
  <c r="Z62" i="20"/>
  <c r="Y310" i="20"/>
  <c r="AG741" i="20"/>
  <c r="AB323" i="20"/>
  <c r="Z230" i="20"/>
  <c r="Y776" i="20"/>
  <c r="AF854" i="20"/>
  <c r="Z664" i="20"/>
  <c r="AB844" i="20"/>
  <c r="AE585" i="20"/>
  <c r="AA19" i="20"/>
  <c r="AD292" i="20"/>
  <c r="AB798" i="20"/>
  <c r="AE331" i="20"/>
  <c r="AE903" i="20"/>
  <c r="AA44" i="20"/>
  <c r="AB800" i="20"/>
  <c r="Z769" i="20"/>
  <c r="AC87" i="20"/>
  <c r="AA561" i="20"/>
  <c r="AE580" i="20"/>
  <c r="AG523" i="20"/>
  <c r="AE271" i="20"/>
  <c r="AD196" i="20"/>
  <c r="AG342" i="20"/>
  <c r="AG347" i="20"/>
  <c r="AF341" i="20"/>
  <c r="AK245" i="20"/>
  <c r="AA536" i="20"/>
  <c r="AE698" i="20"/>
  <c r="AK931" i="20"/>
  <c r="Y643" i="20"/>
  <c r="AG331" i="20"/>
  <c r="AG798" i="20"/>
  <c r="AB474" i="20"/>
  <c r="AD19" i="20"/>
  <c r="AG299" i="20"/>
  <c r="AD210" i="20"/>
  <c r="AG80" i="20"/>
  <c r="AE804" i="20"/>
  <c r="AG359" i="20"/>
  <c r="Y182" i="20"/>
  <c r="AA693" i="20"/>
  <c r="Z298" i="20"/>
  <c r="Z850" i="20"/>
  <c r="AE572" i="20"/>
  <c r="Z207" i="20"/>
  <c r="Z102" i="20"/>
  <c r="AC370" i="20"/>
  <c r="Y725" i="20"/>
  <c r="AK149" i="20"/>
  <c r="AB707" i="20"/>
  <c r="AC339" i="20"/>
  <c r="Z216" i="20"/>
  <c r="Z549" i="20"/>
  <c r="AD90" i="20"/>
  <c r="AK210" i="20"/>
  <c r="Z716" i="20"/>
  <c r="AG206" i="20"/>
  <c r="AF45" i="20"/>
  <c r="AA245" i="20"/>
  <c r="AB223" i="20"/>
  <c r="AC193" i="20"/>
  <c r="AA81" i="20"/>
  <c r="Z527" i="20"/>
  <c r="AA598" i="20"/>
  <c r="AA305" i="20"/>
  <c r="AD303" i="20"/>
  <c r="AK474" i="20"/>
  <c r="AA28" i="20"/>
  <c r="AG265" i="20"/>
  <c r="Y256" i="20"/>
  <c r="Z423" i="20"/>
  <c r="Y230" i="20"/>
  <c r="AB590" i="20"/>
  <c r="Z341" i="20"/>
  <c r="AC148" i="20"/>
  <c r="AA582" i="20"/>
  <c r="AG769" i="20"/>
  <c r="AC278" i="20"/>
  <c r="AD227" i="20"/>
  <c r="AF245" i="20"/>
  <c r="AD730" i="20"/>
  <c r="AE769" i="20"/>
  <c r="AA716" i="20"/>
  <c r="AB369" i="20"/>
  <c r="AK88" i="20"/>
  <c r="AC62" i="20"/>
  <c r="AA523" i="20"/>
  <c r="AK546" i="20"/>
  <c r="AK264" i="20"/>
  <c r="Y56" i="20"/>
  <c r="AE62" i="20"/>
  <c r="AC685" i="20"/>
  <c r="AD665" i="20"/>
  <c r="AD29" i="20"/>
  <c r="AD264" i="20"/>
  <c r="AD759" i="20"/>
  <c r="AC149" i="20"/>
  <c r="AK201" i="20"/>
  <c r="Z874" i="20"/>
  <c r="AC267" i="20"/>
  <c r="AF931" i="20"/>
  <c r="AF84" i="20"/>
  <c r="AC303" i="20"/>
  <c r="AF260" i="20"/>
  <c r="AA496" i="20"/>
  <c r="AB768" i="20"/>
  <c r="AK585" i="20"/>
  <c r="AE209" i="20"/>
  <c r="AA256" i="20"/>
  <c r="AB656" i="20"/>
  <c r="AG776" i="20"/>
  <c r="AA369" i="20"/>
  <c r="AK365" i="20"/>
  <c r="AF736" i="20"/>
  <c r="AE310" i="20"/>
  <c r="AD893" i="20"/>
  <c r="AB702" i="20"/>
  <c r="AF263" i="20"/>
  <c r="AA41" i="20"/>
  <c r="AC598" i="20"/>
  <c r="AK428" i="20"/>
  <c r="AE896" i="20"/>
  <c r="AC297" i="20"/>
  <c r="Z49" i="20"/>
  <c r="AG278" i="20"/>
  <c r="AK830" i="20"/>
  <c r="AE13" i="20"/>
  <c r="Z31" i="20"/>
  <c r="Y602" i="20"/>
  <c r="AE473" i="20"/>
  <c r="Z172" i="20"/>
  <c r="AC820" i="20"/>
  <c r="AK799" i="20"/>
  <c r="AB727" i="20"/>
  <c r="AK41" i="20"/>
  <c r="AC650" i="20"/>
  <c r="AE272" i="20"/>
  <c r="Y472" i="20"/>
  <c r="AF525" i="20"/>
  <c r="AK549" i="20"/>
  <c r="AG585" i="20"/>
  <c r="AF219" i="20"/>
  <c r="AB31" i="20"/>
  <c r="AE422" i="20"/>
  <c r="AA45" i="20"/>
  <c r="AC560" i="20"/>
  <c r="AK705" i="20"/>
  <c r="AB714" i="20"/>
  <c r="AG702" i="20"/>
  <c r="AE880" i="20"/>
  <c r="Y687" i="20"/>
  <c r="AE496" i="20"/>
  <c r="Z700" i="20"/>
  <c r="AF873" i="20"/>
  <c r="AF523" i="20"/>
  <c r="AG377" i="20"/>
  <c r="Z854" i="20"/>
  <c r="Y610" i="20"/>
  <c r="AD705" i="20"/>
  <c r="AC196" i="20"/>
  <c r="AE421" i="20"/>
  <c r="Z759" i="20"/>
  <c r="AD368" i="20"/>
  <c r="AA268" i="20"/>
  <c r="AB356" i="20"/>
  <c r="Z871" i="20"/>
  <c r="AF240" i="20"/>
  <c r="Z185" i="20"/>
  <c r="Z195" i="20"/>
  <c r="Z464" i="20"/>
  <c r="AC874" i="20"/>
  <c r="AB931" i="20"/>
  <c r="AG931" i="20"/>
  <c r="AE643" i="20"/>
  <c r="AF643" i="20"/>
  <c r="Z643" i="20"/>
  <c r="AA84" i="20"/>
  <c r="AD84" i="20"/>
  <c r="AG184" i="20"/>
  <c r="AA331" i="20"/>
  <c r="AG303" i="20"/>
  <c r="AB436" i="20"/>
  <c r="Z525" i="20"/>
  <c r="Z798" i="20"/>
  <c r="AD216" i="20"/>
  <c r="Y278" i="20"/>
  <c r="AE116" i="20"/>
  <c r="Y474" i="20"/>
  <c r="AF496" i="20"/>
  <c r="AG697" i="20"/>
  <c r="AB830" i="20"/>
  <c r="AF19" i="20"/>
  <c r="Z379" i="20"/>
  <c r="AD389" i="20"/>
  <c r="AD28" i="20"/>
  <c r="AC90" i="20"/>
  <c r="Z299" i="20"/>
  <c r="AD627" i="20"/>
  <c r="AE265" i="20"/>
  <c r="AG210" i="20"/>
  <c r="AA209" i="20"/>
  <c r="AK13" i="20"/>
  <c r="AD208" i="20"/>
  <c r="AF855" i="20"/>
  <c r="AA357" i="20"/>
  <c r="AB801" i="20"/>
  <c r="Y716" i="20"/>
  <c r="AD31" i="20"/>
  <c r="AC656" i="20"/>
  <c r="AC134" i="20"/>
  <c r="AE423" i="20"/>
  <c r="Z206" i="20"/>
  <c r="AA511" i="20"/>
  <c r="AB422" i="20"/>
  <c r="Z581" i="20"/>
  <c r="AA635" i="20"/>
  <c r="Z698" i="20"/>
  <c r="AC369" i="20"/>
  <c r="Y563" i="20"/>
  <c r="AB473" i="20"/>
  <c r="AF101" i="20"/>
  <c r="AC693" i="20"/>
  <c r="Z767" i="20"/>
  <c r="Z535" i="20"/>
  <c r="AD620" i="20"/>
  <c r="AE677" i="20"/>
  <c r="AG298" i="20"/>
  <c r="Y737" i="20"/>
  <c r="AE127" i="20"/>
  <c r="AF724" i="20"/>
  <c r="AB505" i="20"/>
  <c r="AB705" i="20"/>
  <c r="AA76" i="20"/>
  <c r="AK310" i="20"/>
  <c r="AG740" i="20"/>
  <c r="Y591" i="20"/>
  <c r="AD148" i="20"/>
  <c r="Z478" i="20"/>
  <c r="AE836" i="20"/>
  <c r="AA596" i="20"/>
  <c r="AK196" i="20"/>
  <c r="AB799" i="20"/>
  <c r="AE189" i="20"/>
  <c r="AG14" i="20"/>
  <c r="AG665" i="20"/>
  <c r="AC686" i="20"/>
  <c r="AG207" i="20"/>
  <c r="AK871" i="20"/>
  <c r="AD726" i="20"/>
  <c r="AC124" i="20"/>
  <c r="AA479" i="20"/>
  <c r="AF762" i="20"/>
  <c r="AE571" i="20"/>
  <c r="AG886" i="20"/>
  <c r="AD470" i="20"/>
  <c r="AA553" i="20"/>
  <c r="AC619" i="20"/>
  <c r="AK407" i="20"/>
  <c r="AB296" i="20"/>
  <c r="AC864" i="20"/>
  <c r="Z320" i="20"/>
  <c r="AF685" i="20"/>
  <c r="AG504" i="20"/>
  <c r="AK115" i="20"/>
  <c r="AE313" i="20"/>
  <c r="AE765" i="20"/>
  <c r="AB898" i="20"/>
  <c r="AF875" i="20"/>
  <c r="AG654" i="20"/>
  <c r="AF110" i="20"/>
  <c r="AA908" i="20"/>
  <c r="AA173" i="20"/>
  <c r="AC83" i="20"/>
  <c r="AK154" i="20"/>
  <c r="AA201" i="20"/>
  <c r="AE611" i="20"/>
  <c r="AA325" i="20"/>
  <c r="AB184" i="20"/>
  <c r="AA339" i="20"/>
  <c r="AG49" i="20"/>
  <c r="AA436" i="20"/>
  <c r="AE525" i="20"/>
  <c r="Y798" i="20"/>
  <c r="AE216" i="20"/>
  <c r="AK278" i="20"/>
  <c r="AK43" i="20"/>
  <c r="AF292" i="20"/>
  <c r="Z474" i="20"/>
  <c r="AA549" i="20"/>
  <c r="AE697" i="20"/>
  <c r="AK890" i="20"/>
  <c r="AE379" i="20"/>
  <c r="Z389" i="20"/>
  <c r="AE90" i="20"/>
  <c r="AC585" i="20"/>
  <c r="AC306" i="20"/>
  <c r="Z265" i="20"/>
  <c r="AE210" i="20"/>
  <c r="Y209" i="20"/>
  <c r="AE227" i="20"/>
  <c r="AF664" i="20"/>
  <c r="AA80" i="20"/>
  <c r="AE801" i="20"/>
  <c r="AC392" i="20"/>
  <c r="AK854" i="20"/>
  <c r="AC700" i="20"/>
  <c r="AK234" i="20"/>
  <c r="Y206" i="20"/>
  <c r="AF511" i="20"/>
  <c r="AD422" i="20"/>
  <c r="AE420" i="20"/>
  <c r="AG429" i="20"/>
  <c r="Z369" i="20"/>
  <c r="AF563" i="20"/>
  <c r="AF56" i="20"/>
  <c r="AF536" i="20"/>
  <c r="Y323" i="20"/>
  <c r="AK231" i="20"/>
  <c r="AG245" i="20"/>
  <c r="AB172" i="20"/>
  <c r="AD88" i="20"/>
  <c r="AK341" i="20"/>
  <c r="Z505" i="20"/>
  <c r="Z76" i="20"/>
  <c r="AB192" i="20"/>
  <c r="AG820" i="20"/>
  <c r="AG11" i="20"/>
  <c r="AD502" i="20"/>
  <c r="AB62" i="20"/>
  <c r="Z145" i="20"/>
  <c r="AE746" i="20"/>
  <c r="Y431" i="20"/>
  <c r="AF14" i="20"/>
  <c r="AC665" i="20"/>
  <c r="AG728" i="20"/>
  <c r="Y259" i="20"/>
  <c r="AB726" i="20"/>
  <c r="AA443" i="20"/>
  <c r="AE550" i="20"/>
  <c r="AE487" i="20"/>
  <c r="AK137" i="20"/>
  <c r="AE653" i="20"/>
  <c r="AB29" i="20"/>
  <c r="Z674" i="20"/>
  <c r="Y296" i="20"/>
  <c r="AF87" i="20"/>
  <c r="AK685" i="20"/>
  <c r="AC725" i="20"/>
  <c r="AF30" i="20"/>
  <c r="AE64" i="20"/>
  <c r="AD220" i="20"/>
  <c r="AB149" i="20"/>
  <c r="AA904" i="20"/>
  <c r="AD367" i="20"/>
  <c r="AF253" i="20"/>
  <c r="Z78" i="20"/>
  <c r="AB399" i="20"/>
  <c r="AG501" i="20"/>
  <c r="AB331" i="20"/>
  <c r="AC49" i="20"/>
  <c r="Y525" i="20"/>
  <c r="AD798" i="20"/>
  <c r="AC260" i="20"/>
  <c r="AE43" i="20"/>
  <c r="Y292" i="20"/>
  <c r="AF549" i="20"/>
  <c r="AA697" i="20"/>
  <c r="AB19" i="20"/>
  <c r="AA379" i="20"/>
  <c r="AB28" i="20"/>
  <c r="AA246" i="20"/>
  <c r="AB299" i="20"/>
  <c r="AA627" i="20"/>
  <c r="AF210" i="20"/>
  <c r="Y13" i="20"/>
  <c r="AA208" i="20"/>
  <c r="AE855" i="20"/>
  <c r="AD357" i="20"/>
  <c r="Z897" i="20"/>
  <c r="AD804" i="20"/>
  <c r="AA656" i="20"/>
  <c r="Y700" i="20"/>
  <c r="AB423" i="20"/>
  <c r="AB206" i="20"/>
  <c r="AB233" i="20"/>
  <c r="AD205" i="20"/>
  <c r="AK763" i="20"/>
  <c r="AG887" i="20"/>
  <c r="AF369" i="20"/>
  <c r="AC563" i="20"/>
  <c r="AG610" i="20"/>
  <c r="AB694" i="20"/>
  <c r="AG286" i="20"/>
  <c r="AE323" i="20"/>
  <c r="AF535" i="20"/>
  <c r="AD245" i="20"/>
  <c r="AD677" i="20"/>
  <c r="AE88" i="20"/>
  <c r="Z736" i="20"/>
  <c r="AC873" i="20"/>
  <c r="AD387" i="20"/>
  <c r="AE223" i="20"/>
  <c r="Z192" i="20"/>
  <c r="AF820" i="20"/>
  <c r="Y11" i="20"/>
  <c r="AE502" i="20"/>
  <c r="AG62" i="20"/>
  <c r="AB193" i="20"/>
  <c r="AK324" i="20"/>
  <c r="Z189" i="20"/>
  <c r="AK271" i="20"/>
  <c r="Y91" i="20"/>
  <c r="AG586" i="20"/>
  <c r="Z327" i="20"/>
  <c r="AD550" i="20"/>
  <c r="AG612" i="20"/>
  <c r="AB561" i="20"/>
  <c r="Z370" i="20"/>
  <c r="AD240" i="20"/>
  <c r="AF725" i="20"/>
  <c r="AA64" i="20"/>
  <c r="Y280" i="20"/>
  <c r="Z521" i="20"/>
  <c r="AF331" i="20"/>
  <c r="AK216" i="20"/>
  <c r="AC474" i="20"/>
  <c r="AD379" i="20"/>
  <c r="AF585" i="20"/>
  <c r="AB219" i="20"/>
  <c r="AF801" i="20"/>
  <c r="Y854" i="20"/>
  <c r="AF359" i="20"/>
  <c r="AF429" i="20"/>
  <c r="AK279" i="20"/>
  <c r="AA231" i="20"/>
  <c r="Y341" i="20"/>
  <c r="AC617" i="20"/>
  <c r="AA572" i="20"/>
  <c r="AG196" i="20"/>
  <c r="AC384" i="20"/>
  <c r="AD259" i="20"/>
  <c r="AC550" i="20"/>
  <c r="AK642" i="20"/>
  <c r="AE784" i="20"/>
  <c r="AB594" i="20"/>
  <c r="AB597" i="20"/>
  <c r="AA6" i="20"/>
  <c r="AC219" i="20"/>
  <c r="Y208" i="20"/>
  <c r="AC897" i="20"/>
  <c r="Z483" i="20"/>
  <c r="AK423" i="20"/>
  <c r="AD233" i="20"/>
  <c r="AC763" i="20"/>
  <c r="AC161" i="20"/>
  <c r="AC56" i="20"/>
  <c r="Y101" i="20"/>
  <c r="AB268" i="20"/>
  <c r="Y560" i="20"/>
  <c r="AB433" i="20"/>
  <c r="AA127" i="20"/>
  <c r="AC797" i="20"/>
  <c r="AF617" i="20"/>
  <c r="AA740" i="20"/>
  <c r="AE148" i="20"/>
  <c r="AG893" i="20"/>
  <c r="Z885" i="20"/>
  <c r="AK856" i="20"/>
  <c r="AE356" i="20"/>
  <c r="AA586" i="20"/>
  <c r="AD582" i="20"/>
  <c r="AG203" i="20"/>
  <c r="AD612" i="20"/>
  <c r="AA366" i="20"/>
  <c r="AB675" i="20"/>
  <c r="AA25" i="20"/>
  <c r="AF320" i="20"/>
  <c r="AD371" i="20"/>
  <c r="AE30" i="20"/>
  <c r="Y272" i="20"/>
  <c r="AE875" i="20"/>
  <c r="AD455" i="20"/>
  <c r="AE520" i="20"/>
  <c r="AB551" i="20"/>
  <c r="Z763" i="20"/>
  <c r="AE563" i="20"/>
  <c r="AG108" i="20"/>
  <c r="AA255" i="20"/>
  <c r="AK873" i="20"/>
  <c r="AA447" i="20"/>
  <c r="AD714" i="20"/>
  <c r="AC799" i="20"/>
  <c r="AF271" i="20"/>
  <c r="AD349" i="20"/>
  <c r="AC487" i="20"/>
  <c r="Y675" i="20"/>
  <c r="AA240" i="20"/>
  <c r="Z30" i="20"/>
  <c r="AE281" i="20"/>
  <c r="AG744" i="20"/>
  <c r="Y593" i="20"/>
  <c r="AB271" i="20"/>
  <c r="AK259" i="20"/>
  <c r="AE840" i="20"/>
  <c r="AE203" i="20"/>
  <c r="AD886" i="20"/>
  <c r="AF553" i="20"/>
  <c r="AB250" i="20"/>
  <c r="AB87" i="20"/>
  <c r="AG160" i="20"/>
  <c r="AG467" i="20"/>
  <c r="AG226" i="20"/>
  <c r="AF583" i="20"/>
  <c r="AE888" i="20"/>
  <c r="AB150" i="20"/>
  <c r="AA203" i="20"/>
  <c r="Z553" i="20"/>
  <c r="AB244" i="20"/>
  <c r="AD313" i="20"/>
  <c r="AE528" i="20"/>
  <c r="AD745" i="20"/>
  <c r="AA218" i="20"/>
  <c r="AE800" i="20"/>
  <c r="AD110" i="20"/>
  <c r="Z706" i="20"/>
  <c r="Z633" i="20"/>
  <c r="AG599" i="20"/>
  <c r="Z494" i="20"/>
  <c r="Y427" i="20"/>
  <c r="AD578" i="20"/>
  <c r="AE10" i="20"/>
  <c r="Z465" i="20"/>
  <c r="AD824" i="20"/>
  <c r="AE764" i="20"/>
  <c r="AD599" i="20"/>
  <c r="AG471" i="20"/>
  <c r="AA330" i="20"/>
  <c r="AD518" i="20"/>
  <c r="AC332" i="20"/>
  <c r="AD559" i="20"/>
  <c r="AL220" i="20"/>
  <c r="AL365" i="20"/>
  <c r="AL753" i="20"/>
  <c r="AL10" i="20"/>
  <c r="AL164" i="20"/>
  <c r="AL168" i="20"/>
  <c r="AL816" i="20"/>
  <c r="AL892" i="20"/>
  <c r="AL325" i="20"/>
  <c r="AL719" i="20"/>
  <c r="AL773" i="20"/>
  <c r="AL193" i="20"/>
  <c r="AL73" i="20"/>
  <c r="AL866" i="20"/>
  <c r="AL687" i="20"/>
  <c r="AL627" i="20"/>
  <c r="AL535" i="20"/>
  <c r="AL421" i="20"/>
  <c r="AL839" i="20"/>
  <c r="AL745" i="20"/>
  <c r="AL204" i="20"/>
  <c r="AL208" i="20"/>
  <c r="AL513" i="20"/>
  <c r="AL143" i="20"/>
  <c r="AL884" i="20"/>
  <c r="AL149" i="20"/>
  <c r="AL261" i="20"/>
  <c r="AL403" i="20"/>
  <c r="AL849" i="20"/>
  <c r="AL573" i="20"/>
  <c r="AL612" i="20"/>
  <c r="AL57" i="20"/>
  <c r="AL843" i="20"/>
  <c r="AL856" i="20"/>
  <c r="AJ356" i="20"/>
  <c r="AJ554" i="20"/>
  <c r="AJ469" i="20"/>
  <c r="AJ365" i="20"/>
  <c r="AJ380" i="20"/>
  <c r="AJ16" i="20"/>
  <c r="AJ673" i="20"/>
  <c r="AJ877" i="20"/>
  <c r="AJ62" i="20"/>
  <c r="AJ12" i="20"/>
  <c r="AJ156" i="20"/>
  <c r="AJ499" i="20"/>
  <c r="AJ332" i="20"/>
  <c r="AJ762" i="20"/>
  <c r="AJ387" i="20"/>
  <c r="AJ456" i="20"/>
  <c r="AJ181" i="20"/>
  <c r="AJ647" i="20"/>
  <c r="AJ619" i="20"/>
  <c r="AJ325" i="20"/>
  <c r="AJ897" i="20"/>
  <c r="AJ721" i="20"/>
  <c r="AJ442" i="20"/>
  <c r="AJ773" i="20"/>
  <c r="AJ155" i="20"/>
  <c r="AJ399" i="20"/>
  <c r="AJ445" i="20"/>
  <c r="AJ447" i="20"/>
  <c r="AJ865" i="20"/>
  <c r="AJ874" i="20"/>
  <c r="AJ81" i="20"/>
  <c r="AL464" i="20"/>
  <c r="AL381" i="20"/>
  <c r="AL286" i="20"/>
  <c r="AL231" i="20"/>
  <c r="AL331" i="20"/>
  <c r="AL223" i="20"/>
  <c r="AL181" i="20"/>
  <c r="AL321" i="20"/>
  <c r="AL898" i="20"/>
  <c r="AL279" i="20"/>
  <c r="AL582" i="20"/>
  <c r="AL862" i="20"/>
  <c r="AL446" i="20"/>
  <c r="AL869" i="20"/>
  <c r="AL85" i="20"/>
  <c r="AL491" i="20"/>
  <c r="AL129" i="20"/>
  <c r="AL740" i="20"/>
  <c r="AL696" i="20"/>
  <c r="AL207" i="20"/>
  <c r="AL142" i="20"/>
  <c r="AL883" i="20"/>
  <c r="AL714" i="20"/>
  <c r="AL716" i="20"/>
  <c r="AL400" i="20"/>
  <c r="AL415" i="20"/>
  <c r="AL258" i="20"/>
  <c r="AL44" i="20"/>
  <c r="AL46" i="20"/>
  <c r="AL890" i="20"/>
  <c r="AL854" i="20"/>
  <c r="AJ930" i="20"/>
  <c r="AJ597" i="20"/>
  <c r="AJ466" i="20"/>
  <c r="AJ592" i="20"/>
  <c r="AJ370" i="20"/>
  <c r="AJ241" i="20"/>
  <c r="AJ753" i="20"/>
  <c r="H145" i="86" s="1"/>
  <c r="K145" i="86" s="1"/>
  <c r="AJ676" i="20"/>
  <c r="AJ42" i="20"/>
  <c r="AJ116" i="20"/>
  <c r="AJ231" i="20"/>
  <c r="H43" i="86" s="1"/>
  <c r="K43" i="86" s="1"/>
  <c r="AJ161" i="20"/>
  <c r="AJ330" i="20"/>
  <c r="AJ761" i="20"/>
  <c r="AJ532" i="20"/>
  <c r="AJ391" i="20"/>
  <c r="AJ457" i="20"/>
  <c r="AJ238" i="20"/>
  <c r="AJ616" i="20"/>
  <c r="AJ653" i="20"/>
  <c r="AJ654" i="20"/>
  <c r="AJ596" i="20"/>
  <c r="AJ438" i="20"/>
  <c r="AJ726" i="20"/>
  <c r="AJ775" i="20"/>
  <c r="AJ190" i="20"/>
  <c r="AJ563" i="20"/>
  <c r="H45" i="86" s="1"/>
  <c r="K45" i="86" s="1"/>
  <c r="AJ912" i="20"/>
  <c r="AJ26" i="20"/>
  <c r="AJ28" i="20"/>
  <c r="AJ585" i="20"/>
  <c r="AJ31" i="20"/>
  <c r="AJ625" i="20"/>
  <c r="AJ88" i="20"/>
  <c r="AJ479" i="20"/>
  <c r="AJ48" i="20"/>
  <c r="AJ835" i="20"/>
  <c r="AJ768" i="20"/>
  <c r="AJ837" i="20"/>
  <c r="AJ215" i="20"/>
  <c r="AJ741" i="20"/>
  <c r="AJ217" i="20"/>
  <c r="AJ203" i="20"/>
  <c r="AJ750" i="20"/>
  <c r="AJ211" i="20"/>
  <c r="AJ882" i="20"/>
  <c r="AJ710" i="20"/>
  <c r="AJ144" i="20"/>
  <c r="AJ245" i="20"/>
  <c r="AJ714" i="20"/>
  <c r="AJ188" i="20"/>
  <c r="AB541" i="20"/>
  <c r="AL336" i="20"/>
  <c r="N15" i="37" s="1"/>
  <c r="AL291" i="20"/>
  <c r="AL502" i="20"/>
  <c r="AL342" i="20"/>
  <c r="AL596" i="20"/>
  <c r="AL394" i="20"/>
  <c r="AL77" i="20"/>
  <c r="AL87" i="20"/>
  <c r="AL769" i="20"/>
  <c r="AL797" i="20"/>
  <c r="AL794" i="20"/>
  <c r="AL519" i="20"/>
  <c r="AL885" i="20"/>
  <c r="AL402" i="20"/>
  <c r="AL304" i="20"/>
  <c r="AL810" i="20"/>
  <c r="AL493" i="20"/>
  <c r="AJ541" i="20"/>
  <c r="H119" i="86" s="1"/>
  <c r="K119" i="86" s="1"/>
  <c r="AJ361" i="20"/>
  <c r="AJ242" i="20"/>
  <c r="AJ570" i="20"/>
  <c r="AJ37" i="20"/>
  <c r="AJ162" i="20"/>
  <c r="AJ168" i="20"/>
  <c r="AJ426" i="20"/>
  <c r="AJ615" i="20"/>
  <c r="AJ324" i="20"/>
  <c r="AJ719" i="20"/>
  <c r="AJ728" i="20"/>
  <c r="AJ154" i="20"/>
  <c r="AJ681" i="20"/>
  <c r="AJ29" i="20"/>
  <c r="AJ687" i="20"/>
  <c r="AJ252" i="20"/>
  <c r="AJ482" i="20"/>
  <c r="AJ54" i="20"/>
  <c r="AJ419" i="20"/>
  <c r="AJ770" i="20"/>
  <c r="AJ736" i="20"/>
  <c r="AJ744" i="20"/>
  <c r="AJ204" i="20"/>
  <c r="AJ701" i="20"/>
  <c r="AJ517" i="20"/>
  <c r="AJ521" i="20"/>
  <c r="AJ299" i="20"/>
  <c r="AJ824" i="20"/>
  <c r="AJ779" i="20"/>
  <c r="AJ842" i="20"/>
  <c r="AJ415" i="20"/>
  <c r="AJ849" i="20"/>
  <c r="AJ59" i="20"/>
  <c r="AJ561" i="20"/>
  <c r="AJ101" i="20"/>
  <c r="AJ495" i="20"/>
  <c r="AJ889" i="20"/>
  <c r="AJ57" i="20"/>
  <c r="AJ138" i="20"/>
  <c r="AJ259" i="20"/>
  <c r="AI106" i="20"/>
  <c r="AI664" i="20"/>
  <c r="AI559" i="20"/>
  <c r="G123" i="86" s="1"/>
  <c r="AI465" i="20"/>
  <c r="AI591" i="20"/>
  <c r="AI365" i="20"/>
  <c r="AI379" i="20"/>
  <c r="AI598" i="20"/>
  <c r="AI34" i="20"/>
  <c r="AI505" i="20"/>
  <c r="AI570" i="20"/>
  <c r="AI291" i="20"/>
  <c r="AI63" i="20"/>
  <c r="AI12" i="20"/>
  <c r="AI230" i="20"/>
  <c r="G42" i="86" s="1"/>
  <c r="AI161" i="20"/>
  <c r="AI900" i="20"/>
  <c r="AI332" i="20"/>
  <c r="AI168" i="20"/>
  <c r="AI532" i="20"/>
  <c r="AI388" i="20"/>
  <c r="AI818" i="20"/>
  <c r="AI427" i="20"/>
  <c r="AI458" i="20"/>
  <c r="AI649" i="20"/>
  <c r="AL287" i="20"/>
  <c r="AL330" i="20"/>
  <c r="AL616" i="20"/>
  <c r="AL280" i="20"/>
  <c r="AL27" i="20"/>
  <c r="AL480" i="20"/>
  <c r="AL796" i="20"/>
  <c r="AL205" i="20"/>
  <c r="AL705" i="20"/>
  <c r="AL783" i="20"/>
  <c r="AL474" i="20"/>
  <c r="AJ931" i="20"/>
  <c r="AJ590" i="20"/>
  <c r="AJ34" i="20"/>
  <c r="AJ571" i="20"/>
  <c r="AJ544" i="20"/>
  <c r="AJ635" i="20"/>
  <c r="AJ427" i="20"/>
  <c r="AJ620" i="20"/>
  <c r="AJ436" i="20"/>
  <c r="AJ233" i="20"/>
  <c r="AJ22" i="20"/>
  <c r="AJ873" i="20"/>
  <c r="AJ82" i="20"/>
  <c r="AJ90" i="20"/>
  <c r="AJ524" i="20"/>
  <c r="AJ133" i="20"/>
  <c r="AJ802" i="20"/>
  <c r="AJ695" i="20"/>
  <c r="AJ700" i="20"/>
  <c r="AJ346" i="20"/>
  <c r="AJ706" i="20"/>
  <c r="AJ187" i="20"/>
  <c r="AJ174" i="20"/>
  <c r="H77" i="86" s="1"/>
  <c r="K77" i="86" s="1"/>
  <c r="AJ848" i="20"/>
  <c r="AJ860" i="20"/>
  <c r="AJ433" i="20"/>
  <c r="AJ411" i="20"/>
  <c r="AJ612" i="20"/>
  <c r="AJ574" i="20"/>
  <c r="AJ492" i="20"/>
  <c r="AJ853" i="20"/>
  <c r="AI108" i="20"/>
  <c r="AI597" i="20"/>
  <c r="AI463" i="20"/>
  <c r="AI100" i="20"/>
  <c r="AI370" i="20"/>
  <c r="AI239" i="20"/>
  <c r="AI753" i="20"/>
  <c r="G145" i="86" s="1"/>
  <c r="J145" i="86" s="1"/>
  <c r="AI677" i="20"/>
  <c r="AI41" i="20"/>
  <c r="AI116" i="20"/>
  <c r="AI231" i="20"/>
  <c r="G43" i="86" s="1"/>
  <c r="AI545" i="20"/>
  <c r="AI901" i="20"/>
  <c r="AI610" i="20"/>
  <c r="AI611" i="20"/>
  <c r="AI391" i="20"/>
  <c r="AI457" i="20"/>
  <c r="AI182" i="20"/>
  <c r="AI320" i="20"/>
  <c r="AI620" i="20"/>
  <c r="AI326" i="20"/>
  <c r="AI621" i="20"/>
  <c r="AI596" i="20"/>
  <c r="AI436" i="20"/>
  <c r="AI278" i="20"/>
  <c r="AI725" i="20"/>
  <c r="AI730" i="20"/>
  <c r="AI580" i="20"/>
  <c r="AI583" i="20"/>
  <c r="AI395" i="20"/>
  <c r="AI194" i="20"/>
  <c r="AI196" i="20"/>
  <c r="AI22" i="20"/>
  <c r="AI74" i="20"/>
  <c r="AI864" i="20"/>
  <c r="AI446" i="20"/>
  <c r="AI449" i="20"/>
  <c r="AI685" i="20"/>
  <c r="AI868" i="20"/>
  <c r="AI875" i="20"/>
  <c r="AI33" i="20"/>
  <c r="AI477" i="20"/>
  <c r="AI251" i="20"/>
  <c r="AI86" i="20"/>
  <c r="AI549" i="20"/>
  <c r="AI480" i="20"/>
  <c r="AI91" i="20"/>
  <c r="AI51" i="20"/>
  <c r="AI534" i="20"/>
  <c r="AI128" i="20"/>
  <c r="AI768" i="20"/>
  <c r="AI422" i="20"/>
  <c r="AI529" i="20"/>
  <c r="AI199" i="20"/>
  <c r="AI691" i="20"/>
  <c r="AI738" i="20"/>
  <c r="AI662" i="20"/>
  <c r="AI693" i="20"/>
  <c r="AI696" i="20"/>
  <c r="AI203" i="20"/>
  <c r="AI840" i="20"/>
  <c r="AI207" i="20"/>
  <c r="AI209" i="20"/>
  <c r="AI120" i="20"/>
  <c r="AI703" i="20"/>
  <c r="AI519" i="20"/>
  <c r="AI144" i="20"/>
  <c r="AI347" i="20"/>
  <c r="AI884" i="20"/>
  <c r="AI522" i="20"/>
  <c r="AI246" i="20"/>
  <c r="AI149" i="20"/>
  <c r="AI708" i="20"/>
  <c r="AI265" i="20"/>
  <c r="AI413" i="20"/>
  <c r="AI608" i="20"/>
  <c r="G133" i="86" s="1"/>
  <c r="AI95" i="20"/>
  <c r="AI407" i="20"/>
  <c r="AI170" i="20"/>
  <c r="AI258" i="20"/>
  <c r="AI173" i="20"/>
  <c r="AI410" i="20"/>
  <c r="AI44" i="20"/>
  <c r="AI495" i="20"/>
  <c r="AI6" i="20"/>
  <c r="AI810" i="20"/>
  <c r="AI474" i="20"/>
  <c r="AI138" i="20"/>
  <c r="AI359" i="20"/>
  <c r="AI856" i="20"/>
  <c r="AL554" i="20"/>
  <c r="AL572" i="20"/>
  <c r="AL225" i="20"/>
  <c r="AL831" i="20"/>
  <c r="AL560" i="20"/>
  <c r="AL876" i="20"/>
  <c r="AL835" i="20"/>
  <c r="AL217" i="20"/>
  <c r="AL713" i="20"/>
  <c r="AL95" i="20"/>
  <c r="AL306" i="20"/>
  <c r="AL359" i="20"/>
  <c r="AJ461" i="20"/>
  <c r="AJ378" i="20"/>
  <c r="AJ675" i="20"/>
  <c r="AJ14" i="20"/>
  <c r="AJ759" i="20"/>
  <c r="AJ389" i="20"/>
  <c r="AJ649" i="20"/>
  <c r="AJ656" i="20"/>
  <c r="AJ723" i="20"/>
  <c r="AJ556" i="20"/>
  <c r="AJ913" i="20"/>
  <c r="AJ586" i="20"/>
  <c r="AJ254" i="20"/>
  <c r="AJ256" i="20"/>
  <c r="AJ525" i="20"/>
  <c r="AJ662" i="20"/>
  <c r="AJ748" i="20"/>
  <c r="AJ219" i="20"/>
  <c r="AJ823" i="20"/>
  <c r="AJ297" i="20"/>
  <c r="AJ124" i="20"/>
  <c r="AJ402" i="20"/>
  <c r="AJ756" i="20"/>
  <c r="H7" i="86" s="1"/>
  <c r="K7" i="86" s="1"/>
  <c r="AJ783" i="20"/>
  <c r="AJ173" i="20"/>
  <c r="AJ916" i="20"/>
  <c r="AJ55" i="20"/>
  <c r="AJ69" i="20"/>
  <c r="AJ843" i="20"/>
  <c r="AJ856" i="20"/>
  <c r="AI220" i="20"/>
  <c r="AI555" i="20"/>
  <c r="AI469" i="20"/>
  <c r="AI362" i="20"/>
  <c r="AI380" i="20"/>
  <c r="AI287" i="20"/>
  <c r="AI568" i="20"/>
  <c r="AI877" i="20"/>
  <c r="AI19" i="20"/>
  <c r="AI64" i="20"/>
  <c r="AI110" i="20"/>
  <c r="AI164" i="20"/>
  <c r="AI634" i="20"/>
  <c r="AI904" i="20"/>
  <c r="AI223" i="20"/>
  <c r="AI337" i="20"/>
  <c r="AI340" i="20"/>
  <c r="AI647" i="20"/>
  <c r="AI618" i="20"/>
  <c r="AI323" i="20"/>
  <c r="AI895" i="20"/>
  <c r="AI434" i="20"/>
  <c r="AI438" i="20"/>
  <c r="AI723" i="20"/>
  <c r="AI281" i="20"/>
  <c r="AI577" i="20"/>
  <c r="AI776" i="20"/>
  <c r="AI393" i="20"/>
  <c r="AI192" i="20"/>
  <c r="AI557" i="20"/>
  <c r="AI910" i="20"/>
  <c r="AI912" i="20"/>
  <c r="AI75" i="20"/>
  <c r="AI584" i="20"/>
  <c r="AI914" i="20"/>
  <c r="AI865" i="20"/>
  <c r="AI867" i="20"/>
  <c r="AI314" i="20"/>
  <c r="AI32" i="20"/>
  <c r="AI872" i="20"/>
  <c r="AI625" i="20"/>
  <c r="AI252" i="20"/>
  <c r="AI255" i="20"/>
  <c r="AI90" i="20"/>
  <c r="AI483" i="20"/>
  <c r="AI53" i="20"/>
  <c r="AI418" i="20"/>
  <c r="AI131" i="20"/>
  <c r="AI836" i="20"/>
  <c r="AI528" i="20"/>
  <c r="AI796" i="20"/>
  <c r="AI736" i="20"/>
  <c r="AI789" i="20"/>
  <c r="AI742" i="20"/>
  <c r="AI201" i="20"/>
  <c r="AI697" i="20"/>
  <c r="AI204" i="20"/>
  <c r="AI750" i="20"/>
  <c r="AI801" i="20"/>
  <c r="AI702" i="20"/>
  <c r="AI294" i="20"/>
  <c r="AI117" i="20"/>
  <c r="AI628" i="20"/>
  <c r="AI711" i="20"/>
  <c r="AI297" i="20"/>
  <c r="AI245" i="20"/>
  <c r="AI146" i="20"/>
  <c r="AI714" i="20"/>
  <c r="AI187" i="20"/>
  <c r="AI715" i="20"/>
  <c r="AI189" i="20"/>
  <c r="AI262" i="20"/>
  <c r="AI302" i="20"/>
  <c r="AI402" i="20"/>
  <c r="AI848" i="20"/>
  <c r="AI67" i="20"/>
  <c r="AI198" i="20"/>
  <c r="AI303" i="20"/>
  <c r="AI172" i="20"/>
  <c r="AI573" i="20"/>
  <c r="AI815" i="20"/>
  <c r="AI886" i="20"/>
  <c r="AI473" i="20"/>
  <c r="AI503" i="20"/>
  <c r="AI852" i="20"/>
  <c r="AI890" i="20"/>
  <c r="AI566" i="20"/>
  <c r="AI855" i="20"/>
  <c r="AI844" i="20"/>
  <c r="AF151" i="20"/>
  <c r="AE139" i="20"/>
  <c r="Y139" i="20"/>
  <c r="AC151" i="20"/>
  <c r="AE199" i="20"/>
  <c r="AC139" i="20"/>
  <c r="AD910" i="20"/>
  <c r="Z199" i="20"/>
  <c r="Y156" i="20"/>
  <c r="AB156" i="20"/>
  <c r="AA156" i="20"/>
  <c r="AK779" i="20"/>
  <c r="AB779" i="20"/>
  <c r="Z615" i="20"/>
  <c r="AE318" i="20"/>
  <c r="Z302" i="20"/>
  <c r="AG646" i="20"/>
  <c r="AF632" i="20"/>
  <c r="AB615" i="20"/>
  <c r="AA302" i="20"/>
  <c r="AC632" i="20"/>
  <c r="AF646" i="20"/>
  <c r="AG318" i="20"/>
  <c r="AL644" i="20"/>
  <c r="AL440" i="20"/>
  <c r="AL477" i="20"/>
  <c r="AL792" i="20"/>
  <c r="AL523" i="20"/>
  <c r="AL917" i="20"/>
  <c r="AJ468" i="20"/>
  <c r="AJ536" i="20"/>
  <c r="AJ501" i="20"/>
  <c r="AJ651" i="20"/>
  <c r="AJ579" i="20"/>
  <c r="AJ914" i="20"/>
  <c r="AJ478" i="20"/>
  <c r="AJ527" i="20"/>
  <c r="AJ743" i="20"/>
  <c r="AJ348" i="20"/>
  <c r="AJ261" i="20"/>
  <c r="AJ781" i="20"/>
  <c r="AJ409" i="20"/>
  <c r="AJ6" i="20"/>
  <c r="AJ358" i="20"/>
  <c r="AI665" i="20"/>
  <c r="AI605" i="20"/>
  <c r="G39" i="86" s="1"/>
  <c r="AI381" i="20"/>
  <c r="AI674" i="20"/>
  <c r="AI10" i="20"/>
  <c r="AI158" i="20"/>
  <c r="AI501" i="20"/>
  <c r="AI224" i="20"/>
  <c r="AI342" i="20"/>
  <c r="AI652" i="20"/>
  <c r="AI654" i="20"/>
  <c r="AI720" i="20"/>
  <c r="AI724" i="20"/>
  <c r="AI774" i="20"/>
  <c r="AI190" i="20"/>
  <c r="AI396" i="20"/>
  <c r="AI682" i="20"/>
  <c r="AI913" i="20"/>
  <c r="AI312" i="20"/>
  <c r="AI870" i="20"/>
  <c r="AI915" i="20"/>
  <c r="AI253" i="20"/>
  <c r="AI489" i="20"/>
  <c r="AI48" i="20"/>
  <c r="AI127" i="20"/>
  <c r="AI420" i="20"/>
  <c r="AI692" i="20"/>
  <c r="AI745" i="20"/>
  <c r="AI747" i="20"/>
  <c r="AI804" i="20"/>
  <c r="AI295" i="20"/>
  <c r="AI518" i="20"/>
  <c r="AI883" i="20"/>
  <c r="AI147" i="20"/>
  <c r="AI629" i="20"/>
  <c r="AI94" i="20"/>
  <c r="AI405" i="20"/>
  <c r="AI849" i="20"/>
  <c r="AI858" i="20"/>
  <c r="AI101" i="20"/>
  <c r="AI917" i="20"/>
  <c r="AI496" i="20"/>
  <c r="AI511" i="20"/>
  <c r="AF910" i="20"/>
  <c r="AG151" i="20"/>
  <c r="AG139" i="20"/>
  <c r="Y151" i="20"/>
  <c r="AE910" i="20"/>
  <c r="AD139" i="20"/>
  <c r="AB139" i="20"/>
  <c r="AF199" i="20"/>
  <c r="AG156" i="20"/>
  <c r="AC156" i="20"/>
  <c r="AC779" i="20"/>
  <c r="AD779" i="20"/>
  <c r="AC318" i="20"/>
  <c r="AD318" i="20"/>
  <c r="AB302" i="20"/>
  <c r="AK632" i="20"/>
  <c r="AK318" i="20"/>
  <c r="AG302" i="20"/>
  <c r="AC646" i="20"/>
  <c r="AF615" i="20"/>
  <c r="Y632" i="20"/>
  <c r="AK615" i="20"/>
  <c r="AD426" i="20"/>
  <c r="AG426" i="20"/>
  <c r="Z879" i="20"/>
  <c r="AB60" i="20"/>
  <c r="AC111" i="20"/>
  <c r="AE60" i="20"/>
  <c r="AF165" i="20"/>
  <c r="AG568" i="20"/>
  <c r="Y34" i="20"/>
  <c r="AA34" i="20"/>
  <c r="AB97" i="20"/>
  <c r="AC165" i="20"/>
  <c r="AE111" i="20"/>
  <c r="AF283" i="20"/>
  <c r="AG753" i="20"/>
  <c r="Y38" i="20"/>
  <c r="AA38" i="20"/>
  <c r="AB111" i="20"/>
  <c r="AC499" i="20"/>
  <c r="AE165" i="20"/>
  <c r="AF287" i="20"/>
  <c r="AG879" i="20"/>
  <c r="Y111" i="20"/>
  <c r="AA60" i="20"/>
  <c r="AB165" i="20"/>
  <c r="AC568" i="20"/>
  <c r="AE283" i="20"/>
  <c r="AF499" i="20"/>
  <c r="AK111" i="20"/>
  <c r="Y7" i="20"/>
  <c r="AC174" i="20"/>
  <c r="AD174" i="20"/>
  <c r="Y283" i="20"/>
  <c r="AC7" i="20"/>
  <c r="Z275" i="20"/>
  <c r="AB275" i="20"/>
  <c r="AD275" i="20"/>
  <c r="AF275" i="20"/>
  <c r="AK275" i="20"/>
  <c r="AK97" i="20"/>
  <c r="Y16" i="20"/>
  <c r="Z174" i="20"/>
  <c r="AD588" i="20"/>
  <c r="AK16" i="20"/>
  <c r="AG283" i="20"/>
  <c r="Y906" i="20"/>
  <c r="Z7" i="20"/>
  <c r="Z477" i="20"/>
  <c r="AB477" i="20"/>
  <c r="AD477" i="20"/>
  <c r="AF477" i="20"/>
  <c r="AK477" i="20"/>
  <c r="AK732" i="20"/>
  <c r="Y287" i="20"/>
  <c r="Z287" i="20"/>
  <c r="AD60" i="20"/>
  <c r="Z718" i="20"/>
  <c r="AB718" i="20"/>
  <c r="AD718" i="20"/>
  <c r="AC141" i="20"/>
  <c r="AK361" i="20"/>
  <c r="AB361" i="20"/>
  <c r="AG718" i="20"/>
  <c r="AC361" i="20"/>
  <c r="AG690" i="20"/>
  <c r="AD141" i="20"/>
  <c r="AK141" i="20"/>
  <c r="AK412" i="20"/>
  <c r="AB647" i="20"/>
  <c r="AB412" i="20"/>
  <c r="AC930" i="20"/>
  <c r="AA412" i="20"/>
  <c r="AA930" i="20"/>
  <c r="AD647" i="20"/>
  <c r="AA319" i="20"/>
  <c r="AD94" i="20"/>
  <c r="AL672" i="20"/>
  <c r="AL580" i="20"/>
  <c r="AL135" i="20"/>
  <c r="AL298" i="20"/>
  <c r="AL307" i="20"/>
  <c r="AJ382" i="20"/>
  <c r="AJ758" i="20"/>
  <c r="AJ894" i="20"/>
  <c r="AJ398" i="20"/>
  <c r="AJ84" i="20"/>
  <c r="AJ134" i="20"/>
  <c r="AJ206" i="20"/>
  <c r="AJ143" i="20"/>
  <c r="AJ412" i="20"/>
  <c r="AJ171" i="20"/>
  <c r="AJ56" i="20"/>
  <c r="AJ785" i="20"/>
  <c r="AI460" i="20"/>
  <c r="AI372" i="20"/>
  <c r="AI679" i="20"/>
  <c r="AI13" i="20"/>
  <c r="AI633" i="20"/>
  <c r="AI226" i="20"/>
  <c r="AI319" i="20"/>
  <c r="AI894" i="20"/>
  <c r="AI277" i="20"/>
  <c r="AI728" i="20"/>
  <c r="AI399" i="20"/>
  <c r="AI683" i="20"/>
  <c r="AI450" i="20"/>
  <c r="AI586" i="20"/>
  <c r="AI83" i="20"/>
  <c r="AI488" i="20"/>
  <c r="AI52" i="20"/>
  <c r="AI132" i="20"/>
  <c r="AI770" i="20"/>
  <c r="AI740" i="20"/>
  <c r="AI202" i="20"/>
  <c r="AI206" i="20"/>
  <c r="AI142" i="20"/>
  <c r="AI712" i="20"/>
  <c r="AI148" i="20"/>
  <c r="AI824" i="20"/>
  <c r="AI174" i="20"/>
  <c r="G77" i="86" s="1"/>
  <c r="J77" i="86" s="1"/>
  <c r="AI415" i="20"/>
  <c r="AI565" i="20"/>
  <c r="AI305" i="20"/>
  <c r="AI45" i="20"/>
  <c r="AI248" i="20"/>
  <c r="AI857" i="20"/>
  <c r="Y199" i="20"/>
  <c r="AG199" i="20"/>
  <c r="AE151" i="20"/>
  <c r="AD199" i="20"/>
  <c r="AF139" i="20"/>
  <c r="AA199" i="20"/>
  <c r="AB199" i="20"/>
  <c r="AE156" i="20"/>
  <c r="AE779" i="20"/>
  <c r="AA779" i="20"/>
  <c r="AG632" i="20"/>
  <c r="AF318" i="20"/>
  <c r="AK646" i="20"/>
  <c r="AE632" i="20"/>
  <c r="Y646" i="20"/>
  <c r="AB646" i="20"/>
  <c r="Z632" i="20"/>
  <c r="AF426" i="20"/>
  <c r="AK426" i="20"/>
  <c r="Z165" i="20"/>
  <c r="AB283" i="20"/>
  <c r="AD111" i="20"/>
  <c r="AF38" i="20"/>
  <c r="AK34" i="20"/>
  <c r="Z34" i="20"/>
  <c r="AB16" i="20"/>
  <c r="AC879" i="20"/>
  <c r="AE906" i="20"/>
  <c r="AG111" i="20"/>
  <c r="Y568" i="20"/>
  <c r="AL764" i="20"/>
  <c r="AL23" i="20"/>
  <c r="AL738" i="20"/>
  <c r="AL265" i="20"/>
  <c r="AJ106" i="20"/>
  <c r="AJ879" i="20"/>
  <c r="AJ601" i="20"/>
  <c r="AJ75" i="20"/>
  <c r="AJ483" i="20"/>
  <c r="AJ796" i="20"/>
  <c r="AJ794" i="20"/>
  <c r="AJ147" i="20"/>
  <c r="AJ809" i="20"/>
  <c r="AJ68" i="20"/>
  <c r="AJ784" i="20"/>
  <c r="AJ857" i="20"/>
  <c r="AI468" i="20"/>
  <c r="AI242" i="20"/>
  <c r="AI536" i="20"/>
  <c r="AI643" i="20"/>
  <c r="AI908" i="20"/>
  <c r="AI180" i="20"/>
  <c r="AI650" i="20"/>
  <c r="AI897" i="20"/>
  <c r="AI440" i="20"/>
  <c r="AI232" i="20"/>
  <c r="AI191" i="20"/>
  <c r="AI309" i="20"/>
  <c r="AI27" i="20"/>
  <c r="AI451" i="20"/>
  <c r="AI686" i="20"/>
  <c r="AI84" i="20"/>
  <c r="AI490" i="20"/>
  <c r="AI535" i="20"/>
  <c r="AI769" i="20"/>
  <c r="AI788" i="20"/>
  <c r="AI790" i="20"/>
  <c r="AI746" i="20"/>
  <c r="AI794" i="20"/>
  <c r="AI710" i="20"/>
  <c r="AI184" i="20"/>
  <c r="AI885" i="20"/>
  <c r="AI350" i="20"/>
  <c r="AI401" i="20"/>
  <c r="AI668" i="20"/>
  <c r="AI58" i="20"/>
  <c r="AI306" i="20"/>
  <c r="AI574" i="20"/>
  <c r="AI307" i="20"/>
  <c r="AL819" i="20"/>
  <c r="AJ665" i="20"/>
  <c r="AJ237" i="20"/>
  <c r="AJ868" i="20"/>
  <c r="AJ739" i="20"/>
  <c r="AJ118" i="20"/>
  <c r="AJ470" i="20"/>
  <c r="AI931" i="20"/>
  <c r="AI111" i="20"/>
  <c r="AI162" i="20"/>
  <c r="AI820" i="20"/>
  <c r="AI595" i="20"/>
  <c r="AI581" i="20"/>
  <c r="AI23" i="20"/>
  <c r="AI585" i="20"/>
  <c r="AI254" i="20"/>
  <c r="AI524" i="20"/>
  <c r="AI839" i="20"/>
  <c r="AI803" i="20"/>
  <c r="AI139" i="20"/>
  <c r="AI185" i="20"/>
  <c r="AI860" i="20"/>
  <c r="AI247" i="20"/>
  <c r="AI854" i="20"/>
  <c r="Y910" i="20"/>
  <c r="AK199" i="20"/>
  <c r="AA139" i="20"/>
  <c r="AD156" i="20"/>
  <c r="Z779" i="20"/>
  <c r="Y302" i="20"/>
  <c r="Y615" i="20"/>
  <c r="AD302" i="20"/>
  <c r="AC615" i="20"/>
  <c r="AC302" i="20"/>
  <c r="AB632" i="20"/>
  <c r="Y426" i="20"/>
  <c r="Y165" i="20"/>
  <c r="AA906" i="20"/>
  <c r="AD753" i="20"/>
  <c r="AF879" i="20"/>
  <c r="Y499" i="20"/>
  <c r="AB287" i="20"/>
  <c r="AD879" i="20"/>
  <c r="AF906" i="20"/>
  <c r="Z38" i="20"/>
  <c r="AB34" i="20"/>
  <c r="AD34" i="20"/>
  <c r="AF16" i="20"/>
  <c r="AG165" i="20"/>
  <c r="Y753" i="20"/>
  <c r="AA879" i="20"/>
  <c r="AC38" i="20"/>
  <c r="AE753" i="20"/>
  <c r="AG34" i="20"/>
  <c r="Z906" i="20"/>
  <c r="AC16" i="20"/>
  <c r="AC60" i="20"/>
  <c r="AF7" i="20"/>
  <c r="AA847" i="20"/>
  <c r="AC275" i="20"/>
  <c r="AF847" i="20"/>
  <c r="Z588" i="20"/>
  <c r="AC732" i="20"/>
  <c r="AC906" i="20"/>
  <c r="Z283" i="20"/>
  <c r="AC287" i="20"/>
  <c r="Z732" i="20"/>
  <c r="AK7" i="20"/>
  <c r="AA477" i="20"/>
  <c r="AC105" i="20"/>
  <c r="AF105" i="20"/>
  <c r="Z60" i="20"/>
  <c r="AC97" i="20"/>
  <c r="Y588" i="20"/>
  <c r="Y718" i="20"/>
  <c r="AA690" i="20"/>
  <c r="AE7" i="20"/>
  <c r="AF361" i="20"/>
  <c r="Z361" i="20"/>
  <c r="AK718" i="20"/>
  <c r="AE690" i="20"/>
  <c r="AB141" i="20"/>
  <c r="AD930" i="20"/>
  <c r="AF647" i="20"/>
  <c r="AD309" i="20"/>
  <c r="AB319" i="20"/>
  <c r="AG647" i="20"/>
  <c r="AK94" i="20"/>
  <c r="Z412" i="20"/>
  <c r="AF94" i="20"/>
  <c r="AC94" i="20"/>
  <c r="AE319" i="20"/>
  <c r="Z309" i="20"/>
  <c r="AE412" i="20"/>
  <c r="AD412" i="20"/>
  <c r="Y222" i="20"/>
  <c r="AK222" i="20"/>
  <c r="Y95" i="20"/>
  <c r="AD882" i="20"/>
  <c r="AA222" i="20"/>
  <c r="AC222" i="20"/>
  <c r="AE444" i="20"/>
  <c r="AB95" i="20"/>
  <c r="AK559" i="20"/>
  <c r="I123" i="86" s="1"/>
  <c r="L123" i="86" s="1"/>
  <c r="AA95" i="20"/>
  <c r="Z434" i="20"/>
  <c r="AG444" i="20"/>
  <c r="AA539" i="20"/>
  <c r="AC434" i="20"/>
  <c r="AA541" i="20"/>
  <c r="AF434" i="20"/>
  <c r="AG403" i="20"/>
  <c r="Y403" i="20"/>
  <c r="AG294" i="20"/>
  <c r="AA403" i="20"/>
  <c r="Y295" i="20"/>
  <c r="AB400" i="20"/>
  <c r="AB401" i="20"/>
  <c r="AF294" i="20"/>
  <c r="AE414" i="20"/>
  <c r="AF413" i="20"/>
  <c r="AC414" i="20"/>
  <c r="AG400" i="20"/>
  <c r="AF401" i="20"/>
  <c r="AF513" i="20"/>
  <c r="AF295" i="20"/>
  <c r="AK513" i="20"/>
  <c r="Z295" i="20"/>
  <c r="AE295" i="20"/>
  <c r="Z401" i="20"/>
  <c r="AF403" i="20"/>
  <c r="AD414" i="20"/>
  <c r="AK402" i="20"/>
  <c r="AA404" i="20"/>
  <c r="AG404" i="20"/>
  <c r="Z404" i="20"/>
  <c r="Y376" i="20"/>
  <c r="Y106" i="20"/>
  <c r="Z827" i="20"/>
  <c r="Z818" i="20"/>
  <c r="AA123" i="20"/>
  <c r="AA670" i="20"/>
  <c r="AB476" i="20"/>
  <c r="AB719" i="20"/>
  <c r="AB818" i="20"/>
  <c r="AC823" i="20"/>
  <c r="AC608" i="20"/>
  <c r="AD261" i="20"/>
  <c r="Y766" i="20"/>
  <c r="Y362" i="20"/>
  <c r="Y756" i="20"/>
  <c r="Z376" i="20"/>
  <c r="Z106" i="20"/>
  <c r="AA827" i="20"/>
  <c r="AA818" i="20"/>
  <c r="AB486" i="20"/>
  <c r="AB607" i="20"/>
  <c r="AB106" i="20"/>
  <c r="AC892" i="20"/>
  <c r="AC453" i="20"/>
  <c r="AD232" i="20"/>
  <c r="AD456" i="20"/>
  <c r="AE261" i="20"/>
  <c r="AE237" i="20"/>
  <c r="AF215" i="20"/>
  <c r="AL653" i="20"/>
  <c r="AL117" i="20"/>
  <c r="AJ369" i="20"/>
  <c r="AJ428" i="20"/>
  <c r="AJ476" i="20"/>
  <c r="AJ799" i="20"/>
  <c r="AJ708" i="20"/>
  <c r="AJ306" i="20"/>
  <c r="AI765" i="20"/>
  <c r="AI879" i="20"/>
  <c r="AI632" i="20"/>
  <c r="AI318" i="20"/>
  <c r="AI719" i="20"/>
  <c r="AI582" i="20"/>
  <c r="AI24" i="20"/>
  <c r="AI869" i="20"/>
  <c r="AI487" i="20"/>
  <c r="AI525" i="20"/>
  <c r="AI430" i="20"/>
  <c r="AI205" i="20"/>
  <c r="AI123" i="20"/>
  <c r="AI145" i="20"/>
  <c r="AI264" i="20"/>
  <c r="AI782" i="20"/>
  <c r="AI102" i="20"/>
  <c r="AI497" i="20"/>
  <c r="AB151" i="20"/>
  <c r="AK151" i="20"/>
  <c r="AC910" i="20"/>
  <c r="AA151" i="20"/>
  <c r="Z139" i="20"/>
  <c r="AK156" i="20"/>
  <c r="AG779" i="20"/>
  <c r="AF302" i="20"/>
  <c r="Z646" i="20"/>
  <c r="Z318" i="20"/>
  <c r="AE615" i="20"/>
  <c r="AA615" i="20"/>
  <c r="AD615" i="20"/>
  <c r="AE426" i="20"/>
  <c r="Y879" i="20"/>
  <c r="AB588" i="20"/>
  <c r="AE499" i="20"/>
  <c r="AG38" i="20"/>
  <c r="Z499" i="20"/>
  <c r="AB732" i="20"/>
  <c r="AE568" i="20"/>
  <c r="AK38" i="20"/>
  <c r="Z568" i="20"/>
  <c r="AB499" i="20"/>
  <c r="AD499" i="20"/>
  <c r="AF97" i="20"/>
  <c r="AK60" i="20"/>
  <c r="Z111" i="20"/>
  <c r="AB38" i="20"/>
  <c r="AD38" i="20"/>
  <c r="AF34" i="20"/>
  <c r="AG499" i="20"/>
  <c r="AA97" i="20"/>
  <c r="Y97" i="20"/>
  <c r="Z97" i="20"/>
  <c r="Y847" i="20"/>
  <c r="AA275" i="20"/>
  <c r="AD847" i="20"/>
  <c r="AG847" i="20"/>
  <c r="AA174" i="20"/>
  <c r="Y174" i="20"/>
  <c r="Z16" i="20"/>
  <c r="AA732" i="20"/>
  <c r="Y732" i="20"/>
  <c r="AE97" i="20"/>
  <c r="Y477" i="20"/>
  <c r="AA105" i="20"/>
  <c r="AD105" i="20"/>
  <c r="AG477" i="20"/>
  <c r="AA287" i="20"/>
  <c r="AG60" i="20"/>
  <c r="AE174" i="20"/>
  <c r="Y690" i="20"/>
  <c r="AB690" i="20"/>
  <c r="Y141" i="20"/>
  <c r="AG361" i="20"/>
  <c r="AD361" i="20"/>
  <c r="Y361" i="20"/>
  <c r="AF690" i="20"/>
  <c r="AE141" i="20"/>
  <c r="Z319" i="20"/>
  <c r="AE930" i="20"/>
  <c r="AB94" i="20"/>
  <c r="AD319" i="20"/>
  <c r="AE647" i="20"/>
  <c r="AK309" i="20"/>
  <c r="Y94" i="20"/>
  <c r="AF309" i="20"/>
  <c r="AE309" i="20"/>
  <c r="Y930" i="20"/>
  <c r="AF930" i="20"/>
  <c r="Z94" i="20"/>
  <c r="AF319" i="20"/>
  <c r="AB222" i="20"/>
  <c r="AD222" i="20"/>
  <c r="AF444" i="20"/>
  <c r="AA882" i="20"/>
  <c r="AF882" i="20"/>
  <c r="AB882" i="20"/>
  <c r="Y539" i="20"/>
  <c r="AA434" i="20"/>
  <c r="AD434" i="20"/>
  <c r="Z559" i="20"/>
  <c r="AC95" i="20"/>
  <c r="AF95" i="20"/>
  <c r="AG95" i="20"/>
  <c r="AA444" i="20"/>
  <c r="AC444" i="20"/>
  <c r="Y294" i="20"/>
  <c r="Y400" i="20"/>
  <c r="Z400" i="20"/>
  <c r="AK403" i="20"/>
  <c r="AB294" i="20"/>
  <c r="Y402" i="20"/>
  <c r="AB402" i="20"/>
  <c r="AD295" i="20"/>
  <c r="AA402" i="20"/>
  <c r="Z414" i="20"/>
  <c r="AA513" i="20"/>
  <c r="AE400" i="20"/>
  <c r="AC402" i="20"/>
  <c r="Y513" i="20"/>
  <c r="AA294" i="20"/>
  <c r="AA295" i="20"/>
  <c r="Y413" i="20"/>
  <c r="AE402" i="20"/>
  <c r="AD400" i="20"/>
  <c r="AC401" i="20"/>
  <c r="AG402" i="20"/>
  <c r="AK414" i="20"/>
  <c r="AE413" i="20"/>
  <c r="AF404" i="20"/>
  <c r="Y404" i="20"/>
  <c r="Y200" i="20"/>
  <c r="Y703" i="20"/>
  <c r="Z766" i="20"/>
  <c r="Z337" i="20"/>
  <c r="Z158" i="20"/>
  <c r="AA385" i="20"/>
  <c r="AA758" i="20"/>
  <c r="AB628" i="20"/>
  <c r="AB237" i="20"/>
  <c r="AB758" i="20"/>
  <c r="AC123" i="20"/>
  <c r="AC169" i="20"/>
  <c r="AD823" i="20"/>
  <c r="Y215" i="20"/>
  <c r="Y607" i="20"/>
  <c r="Z641" i="20"/>
  <c r="Z703" i="20"/>
  <c r="AA766" i="20"/>
  <c r="AA337" i="20"/>
  <c r="AA158" i="20"/>
  <c r="AB120" i="20"/>
  <c r="AB456" i="20"/>
  <c r="AB814" i="20"/>
  <c r="AC827" i="20"/>
  <c r="AC406" i="20"/>
  <c r="AD892" i="20"/>
  <c r="AD461" i="20"/>
  <c r="AE823" i="20"/>
  <c r="AE514" i="20"/>
  <c r="AF476" i="20"/>
  <c r="AF453" i="20"/>
  <c r="AG548" i="20"/>
  <c r="AG237" i="20"/>
  <c r="Y261" i="20"/>
  <c r="Z215" i="20"/>
  <c r="AA200" i="20"/>
  <c r="AB641" i="20"/>
  <c r="AB608" i="20"/>
  <c r="AC362" i="20"/>
  <c r="AD123" i="20"/>
  <c r="AE200" i="20"/>
  <c r="AE453" i="20"/>
  <c r="AF827" i="20"/>
  <c r="AG766" i="20"/>
  <c r="AG862" i="20"/>
  <c r="AK267" i="20"/>
  <c r="AK862" i="20"/>
  <c r="AK758" i="20"/>
  <c r="Y453" i="20"/>
  <c r="Z608" i="20"/>
  <c r="AA456" i="20"/>
  <c r="AB393" i="20"/>
  <c r="AC215" i="20"/>
  <c r="AC758" i="20"/>
  <c r="AD406" i="20"/>
  <c r="AE362" i="20"/>
  <c r="AF200" i="20"/>
  <c r="AF514" i="20"/>
  <c r="AG123" i="20"/>
  <c r="AG106" i="20"/>
  <c r="AK120" i="20"/>
  <c r="AK608" i="20"/>
  <c r="I133" i="86" s="1"/>
  <c r="L133" i="86" s="1"/>
  <c r="Y123" i="20"/>
  <c r="AA892" i="20"/>
  <c r="AB670" i="20"/>
  <c r="AD607" i="20"/>
  <c r="AE670" i="20"/>
  <c r="AG261" i="20"/>
  <c r="AK200" i="20"/>
  <c r="AK190" i="20"/>
  <c r="Z607" i="20"/>
  <c r="AB123" i="20"/>
  <c r="AC670" i="20"/>
  <c r="AE123" i="20"/>
  <c r="AF456" i="20"/>
  <c r="AG190" i="20"/>
  <c r="AK514" i="20"/>
  <c r="Z476" i="20"/>
  <c r="AB577" i="20"/>
  <c r="AC607" i="20"/>
  <c r="AE232" i="20"/>
  <c r="AF362" i="20"/>
  <c r="AE120" i="20"/>
  <c r="AK261" i="20"/>
  <c r="AA362" i="20"/>
  <c r="AF756" i="20"/>
  <c r="Y158" i="20"/>
  <c r="Y802" i="20"/>
  <c r="AE456" i="20"/>
  <c r="AK476" i="20"/>
  <c r="AG215" i="20"/>
  <c r="AK839" i="20"/>
  <c r="AF67" i="20"/>
  <c r="AC190" i="20"/>
  <c r="AF190" i="20"/>
  <c r="AB67" i="20"/>
  <c r="Y796" i="20"/>
  <c r="AE668" i="20"/>
  <c r="AD809" i="20"/>
  <c r="Y839" i="20"/>
  <c r="Z117" i="20"/>
  <c r="AA415" i="20"/>
  <c r="Z524" i="20"/>
  <c r="AD835" i="20"/>
  <c r="AA276" i="20"/>
  <c r="AA600" i="20"/>
  <c r="AA393" i="20"/>
  <c r="AA577" i="20"/>
  <c r="AA900" i="20"/>
  <c r="AC142" i="20"/>
  <c r="AD430" i="20"/>
  <c r="AG900" i="20"/>
  <c r="Z814" i="20"/>
  <c r="Z848" i="20"/>
  <c r="AA842" i="20"/>
  <c r="AF430" i="20"/>
  <c r="AC802" i="20"/>
  <c r="AK809" i="20"/>
  <c r="Y600" i="20"/>
  <c r="AF809" i="20"/>
  <c r="AK169" i="20"/>
  <c r="AF628" i="20"/>
  <c r="AB710" i="20"/>
  <c r="AK691" i="20"/>
  <c r="AC809" i="20"/>
  <c r="AG842" i="20"/>
  <c r="Z430" i="20"/>
  <c r="AE142" i="20"/>
  <c r="AC900" i="20"/>
  <c r="AG691" i="20"/>
  <c r="AE67" i="20"/>
  <c r="AE190" i="20"/>
  <c r="AE796" i="20"/>
  <c r="AA628" i="20"/>
  <c r="AA802" i="20"/>
  <c r="AA788" i="20"/>
  <c r="AG719" i="20"/>
  <c r="AF418" i="20"/>
  <c r="AF625" i="20"/>
  <c r="AB900" i="20"/>
  <c r="Y169" i="20"/>
  <c r="AD668" i="20"/>
  <c r="AC773" i="20"/>
  <c r="Z67" i="20"/>
  <c r="AE691" i="20"/>
  <c r="Z719" i="20"/>
  <c r="AD577" i="20"/>
  <c r="Y848" i="20"/>
  <c r="AL371" i="20"/>
  <c r="AL92" i="20"/>
  <c r="AL409" i="20"/>
  <c r="AJ230" i="20"/>
  <c r="H42" i="86" s="1"/>
  <c r="K42" i="86" s="1"/>
  <c r="AJ151" i="20"/>
  <c r="AJ766" i="20"/>
  <c r="AJ141" i="20"/>
  <c r="AJ170" i="20"/>
  <c r="AJ248" i="20"/>
  <c r="AI368" i="20"/>
  <c r="AI537" i="20"/>
  <c r="AI222" i="20"/>
  <c r="AI455" i="20"/>
  <c r="AI726" i="20"/>
  <c r="AI556" i="20"/>
  <c r="AI311" i="20"/>
  <c r="AI548" i="20"/>
  <c r="AI92" i="20"/>
  <c r="AI135" i="20"/>
  <c r="AI694" i="20"/>
  <c r="AI210" i="20"/>
  <c r="AI704" i="20"/>
  <c r="AI523" i="20"/>
  <c r="AI809" i="20"/>
  <c r="AI409" i="20"/>
  <c r="AI492" i="20"/>
  <c r="AL756" i="20"/>
  <c r="AJ295" i="20"/>
  <c r="AI571" i="20"/>
  <c r="AI193" i="20"/>
  <c r="AI133" i="20"/>
  <c r="AI121" i="20"/>
  <c r="AJ70" i="20"/>
  <c r="AJ406" i="20"/>
  <c r="AI635" i="20"/>
  <c r="AI684" i="20"/>
  <c r="AI663" i="20"/>
  <c r="AI403" i="20"/>
  <c r="AC199" i="20"/>
  <c r="AK910" i="20"/>
  <c r="Y779" i="20"/>
  <c r="AE302" i="20"/>
  <c r="AE646" i="20"/>
  <c r="AD646" i="20"/>
  <c r="AA111" i="20"/>
  <c r="AE879" i="20"/>
  <c r="AA165" i="20"/>
  <c r="AF60" i="20"/>
  <c r="AA283" i="20"/>
  <c r="AE34" i="20"/>
  <c r="AK499" i="20"/>
  <c r="AB568" i="20"/>
  <c r="AF111" i="20"/>
  <c r="AK287" i="20"/>
  <c r="AE732" i="20"/>
  <c r="AB847" i="20"/>
  <c r="AG275" i="20"/>
  <c r="AG588" i="20"/>
  <c r="AK174" i="20"/>
  <c r="I77" i="86" s="1"/>
  <c r="L77" i="86" s="1"/>
  <c r="AD283" i="20"/>
  <c r="AB105" i="20"/>
  <c r="AG105" i="20"/>
  <c r="AD97" i="20"/>
  <c r="Z690" i="20"/>
  <c r="AA141" i="20"/>
  <c r="AE718" i="20"/>
  <c r="AB7" i="20"/>
  <c r="Z647" i="20"/>
  <c r="AG94" i="20"/>
  <c r="AG412" i="20"/>
  <c r="AC412" i="20"/>
  <c r="AC309" i="20"/>
  <c r="AC319" i="20"/>
  <c r="Y319" i="20"/>
  <c r="AE882" i="20"/>
  <c r="AE95" i="20"/>
  <c r="AG882" i="20"/>
  <c r="AK541" i="20"/>
  <c r="I119" i="86" s="1"/>
  <c r="L119" i="86" s="1"/>
  <c r="Z444" i="20"/>
  <c r="AD444" i="20"/>
  <c r="AA559" i="20"/>
  <c r="AA413" i="20"/>
  <c r="AB403" i="20"/>
  <c r="AE403" i="20"/>
  <c r="AB513" i="20"/>
  <c r="AD413" i="20"/>
  <c r="AD513" i="20"/>
  <c r="AE513" i="20"/>
  <c r="AK295" i="20"/>
  <c r="AC400" i="20"/>
  <c r="Z294" i="20"/>
  <c r="AF402" i="20"/>
  <c r="AG513" i="20"/>
  <c r="AE404" i="20"/>
  <c r="Y456" i="20"/>
  <c r="Z237" i="20"/>
  <c r="AA862" i="20"/>
  <c r="AB827" i="20"/>
  <c r="AC641" i="20"/>
  <c r="AC106" i="20"/>
  <c r="Y548" i="20"/>
  <c r="Z232" i="20"/>
  <c r="AA261" i="20"/>
  <c r="AB200" i="20"/>
  <c r="AB625" i="20"/>
  <c r="AC337" i="20"/>
  <c r="AD376" i="20"/>
  <c r="AE827" i="20"/>
  <c r="AF123" i="20"/>
  <c r="AF758" i="20"/>
  <c r="AG337" i="20"/>
  <c r="Y827" i="20"/>
  <c r="Z862" i="20"/>
  <c r="AA406" i="20"/>
  <c r="AB190" i="20"/>
  <c r="AC818" i="20"/>
  <c r="AD756" i="20"/>
  <c r="AE106" i="20"/>
  <c r="AF608" i="20"/>
  <c r="AG362" i="20"/>
  <c r="AK892" i="20"/>
  <c r="AK461" i="20"/>
  <c r="Y385" i="20"/>
  <c r="Z756" i="20"/>
  <c r="AB215" i="20"/>
  <c r="AB276" i="20"/>
  <c r="AD548" i="20"/>
  <c r="AE215" i="20"/>
  <c r="AE756" i="20"/>
  <c r="AF106" i="20"/>
  <c r="AG456" i="20"/>
  <c r="AK548" i="20"/>
  <c r="AK406" i="20"/>
  <c r="Z120" i="20"/>
  <c r="AB337" i="20"/>
  <c r="AD818" i="20"/>
  <c r="AF337" i="20"/>
  <c r="AG158" i="20"/>
  <c r="Y577" i="20"/>
  <c r="AA703" i="20"/>
  <c r="AC376" i="20"/>
  <c r="AE608" i="20"/>
  <c r="AG892" i="20"/>
  <c r="AK607" i="20"/>
  <c r="I132" i="86" s="1"/>
  <c r="L132" i="86" s="1"/>
  <c r="Z453" i="20"/>
  <c r="AB461" i="20"/>
  <c r="AD670" i="20"/>
  <c r="Z385" i="20"/>
  <c r="AG823" i="20"/>
  <c r="Y337" i="20"/>
  <c r="AG703" i="20"/>
  <c r="AF892" i="20"/>
  <c r="AD476" i="20"/>
  <c r="AK237" i="20"/>
  <c r="AK641" i="20"/>
  <c r="AK814" i="20"/>
  <c r="AE809" i="20"/>
  <c r="AF117" i="20"/>
  <c r="AB839" i="20"/>
  <c r="AG668" i="20"/>
  <c r="AG710" i="20"/>
  <c r="AG430" i="20"/>
  <c r="AC67" i="20"/>
  <c r="AC691" i="20"/>
  <c r="AA814" i="20"/>
  <c r="AA796" i="20"/>
  <c r="Z267" i="20"/>
  <c r="AC814" i="20"/>
  <c r="AD710" i="20"/>
  <c r="AE835" i="20"/>
  <c r="AC418" i="20"/>
  <c r="Z628" i="20"/>
  <c r="AG802" i="20"/>
  <c r="AF393" i="20"/>
  <c r="AK710" i="20"/>
  <c r="AK625" i="20"/>
  <c r="AC117" i="20"/>
  <c r="AF802" i="20"/>
  <c r="AA773" i="20"/>
  <c r="AG415" i="20"/>
  <c r="AC839" i="20"/>
  <c r="AD117" i="20"/>
  <c r="AG67" i="20"/>
  <c r="AC835" i="20"/>
  <c r="AE814" i="20"/>
  <c r="AE600" i="20"/>
  <c r="AD267" i="20"/>
  <c r="AE788" i="20"/>
  <c r="AK848" i="20"/>
  <c r="AA809" i="20"/>
  <c r="AF486" i="20"/>
  <c r="AE710" i="20"/>
  <c r="AG809" i="20"/>
  <c r="AG393" i="20"/>
  <c r="AG835" i="20"/>
  <c r="Z393" i="20"/>
  <c r="AG848" i="20"/>
  <c r="AK430" i="20"/>
  <c r="Y719" i="20"/>
  <c r="AB835" i="20"/>
  <c r="Z839" i="20"/>
  <c r="AD276" i="20"/>
  <c r="AE418" i="20"/>
  <c r="Y415" i="20"/>
  <c r="Z900" i="20"/>
  <c r="AD628" i="20"/>
  <c r="Y842" i="20"/>
  <c r="AG524" i="20"/>
  <c r="AD719" i="20"/>
  <c r="AK418" i="20"/>
  <c r="Y67" i="20"/>
  <c r="AD625" i="20"/>
  <c r="AC409" i="20"/>
  <c r="Z408" i="20"/>
  <c r="AE410" i="20"/>
  <c r="AA417" i="20"/>
  <c r="AA409" i="20"/>
  <c r="Y411" i="20"/>
  <c r="AF417" i="20"/>
  <c r="AG409" i="20"/>
  <c r="AK411" i="20"/>
  <c r="AB417" i="20"/>
  <c r="AD409" i="20"/>
  <c r="AC417" i="20"/>
  <c r="AF411" i="20"/>
  <c r="Y605" i="20"/>
  <c r="AA605" i="20"/>
  <c r="AD860" i="20"/>
  <c r="Z860" i="20"/>
  <c r="Y336" i="20"/>
  <c r="AK336" i="20"/>
  <c r="M15" i="37" s="1"/>
  <c r="Y860" i="20"/>
  <c r="Y394" i="20"/>
  <c r="Z720" i="20"/>
  <c r="Z242" i="20"/>
  <c r="AA155" i="20"/>
  <c r="AB704" i="20"/>
  <c r="AB652" i="20"/>
  <c r="AC711" i="20"/>
  <c r="AC59" i="20"/>
  <c r="AD332" i="20"/>
  <c r="AE821" i="20"/>
  <c r="AE241" i="20"/>
  <c r="AF75" i="20"/>
  <c r="AF58" i="20"/>
  <c r="AG332" i="20"/>
  <c r="AK130" i="20"/>
  <c r="Y742" i="20"/>
  <c r="Z711" i="20"/>
  <c r="Z59" i="20"/>
  <c r="AA348" i="20"/>
  <c r="AB720" i="20"/>
  <c r="AB254" i="20"/>
  <c r="AC363" i="20"/>
  <c r="AC58" i="20"/>
  <c r="AD258" i="20"/>
  <c r="AE462" i="20"/>
  <c r="AE59" i="20"/>
  <c r="AF155" i="20"/>
  <c r="AF198" i="20"/>
  <c r="AG258" i="20"/>
  <c r="AK652" i="20"/>
  <c r="Y821" i="20"/>
  <c r="Z363" i="20"/>
  <c r="Z58" i="20"/>
  <c r="AA130" i="20"/>
  <c r="AB338" i="20"/>
  <c r="AB450" i="20"/>
  <c r="AC863" i="20"/>
  <c r="AD704" i="20"/>
  <c r="AD53" i="20"/>
  <c r="AE75" i="20"/>
  <c r="AE58" i="20"/>
  <c r="AF348" i="20"/>
  <c r="AG704" i="20"/>
  <c r="AG53" i="20"/>
  <c r="AK450" i="20"/>
  <c r="Y75" i="20"/>
  <c r="Z863" i="20"/>
  <c r="AA704" i="20"/>
  <c r="AA652" i="20"/>
  <c r="AB711" i="20"/>
  <c r="AB448" i="20"/>
  <c r="AC394" i="20"/>
  <c r="AD720" i="20"/>
  <c r="AD242" i="20"/>
  <c r="AE155" i="20"/>
  <c r="AE198" i="20"/>
  <c r="AF130" i="20"/>
  <c r="AG720" i="20"/>
  <c r="AG242" i="20"/>
  <c r="AK448" i="20"/>
  <c r="AF849" i="20"/>
  <c r="Z386" i="20"/>
  <c r="AA438" i="20"/>
  <c r="AK782" i="20"/>
  <c r="AF914" i="20"/>
  <c r="AG618" i="20"/>
  <c r="Z849" i="20"/>
  <c r="AK198" i="20"/>
  <c r="AG462" i="20"/>
  <c r="Y683" i="20"/>
  <c r="AC437" i="20"/>
  <c r="Z438" i="20"/>
  <c r="AE782" i="20"/>
  <c r="AK197" i="20"/>
  <c r="I26" i="86" s="1"/>
  <c r="L26" i="86" s="1"/>
  <c r="AK618" i="20"/>
  <c r="AD849" i="20"/>
  <c r="AK241" i="20"/>
  <c r="AG386" i="20"/>
  <c r="Y440" i="20"/>
  <c r="AE437" i="20"/>
  <c r="Z198" i="20"/>
  <c r="Z692" i="20"/>
  <c r="AA914" i="20"/>
  <c r="AA143" i="20"/>
  <c r="AF143" i="20"/>
  <c r="AA663" i="20"/>
  <c r="AK683" i="20"/>
  <c r="AG692" i="20"/>
  <c r="Y254" i="20"/>
  <c r="AD692" i="20"/>
  <c r="AG197" i="20"/>
  <c r="AD914" i="20"/>
  <c r="Z143" i="20"/>
  <c r="Z676" i="20"/>
  <c r="AK663" i="20"/>
  <c r="AB197" i="20"/>
  <c r="AK386" i="20"/>
  <c r="AC440" i="20"/>
  <c r="Y338" i="20"/>
  <c r="AK437" i="20"/>
  <c r="AE516" i="20"/>
  <c r="AG22" i="20"/>
  <c r="Y22" i="20"/>
  <c r="Z23" i="20"/>
  <c r="AE544" i="20"/>
  <c r="Z817" i="20"/>
  <c r="Z518" i="20"/>
  <c r="Z405" i="20"/>
  <c r="Z519" i="20"/>
  <c r="AF544" i="20"/>
  <c r="AD816" i="20"/>
  <c r="AC460" i="20"/>
  <c r="AK21" i="20"/>
  <c r="AC817" i="20"/>
  <c r="AK518" i="20"/>
  <c r="Y129" i="20"/>
  <c r="AC129" i="20"/>
  <c r="AG129" i="20"/>
  <c r="AD817" i="20"/>
  <c r="AK816" i="20"/>
  <c r="AC816" i="20"/>
  <c r="AG519" i="20"/>
  <c r="AK405" i="20"/>
  <c r="AC517" i="20"/>
  <c r="Y345" i="20"/>
  <c r="AC345" i="20"/>
  <c r="AG345" i="20"/>
  <c r="AF405" i="20"/>
  <c r="Y816" i="20"/>
  <c r="AK460" i="20"/>
  <c r="AE817" i="20"/>
  <c r="AE518" i="20"/>
  <c r="Y682" i="20"/>
  <c r="AC682" i="20"/>
  <c r="AG682" i="20"/>
  <c r="AK544" i="20"/>
  <c r="AA816" i="20"/>
  <c r="AF460" i="20"/>
  <c r="AL30" i="20"/>
  <c r="AJ51" i="20"/>
  <c r="AI361" i="20"/>
  <c r="AI441" i="20"/>
  <c r="AI491" i="20"/>
  <c r="AI143" i="20"/>
  <c r="AI69" i="20"/>
  <c r="AB910" i="20"/>
  <c r="Z151" i="20"/>
  <c r="AF156" i="20"/>
  <c r="AD632" i="20"/>
  <c r="AK302" i="20"/>
  <c r="AA646" i="20"/>
  <c r="Z426" i="20"/>
  <c r="AB906" i="20"/>
  <c r="AK165" i="20"/>
  <c r="AB174" i="20"/>
  <c r="AK283" i="20"/>
  <c r="AB753" i="20"/>
  <c r="AF732" i="20"/>
  <c r="Z753" i="20"/>
  <c r="AD568" i="20"/>
  <c r="AK568" i="20"/>
  <c r="AG906" i="20"/>
  <c r="Y275" i="20"/>
  <c r="AE847" i="20"/>
  <c r="AA16" i="20"/>
  <c r="Y60" i="20"/>
  <c r="AD287" i="20"/>
  <c r="Y105" i="20"/>
  <c r="AE477" i="20"/>
  <c r="AG174" i="20"/>
  <c r="AE16" i="20"/>
  <c r="AC718" i="20"/>
  <c r="AK690" i="20"/>
  <c r="AA361" i="20"/>
  <c r="AF141" i="20"/>
  <c r="AB930" i="20"/>
  <c r="Y309" i="20"/>
  <c r="AG930" i="20"/>
  <c r="AA94" i="20"/>
  <c r="AK647" i="20"/>
  <c r="AA309" i="20"/>
  <c r="AE222" i="20"/>
  <c r="Z222" i="20"/>
  <c r="Z882" i="20"/>
  <c r="Y444" i="20"/>
  <c r="AK444" i="20"/>
  <c r="AE434" i="20"/>
  <c r="Z539" i="20"/>
  <c r="Y434" i="20"/>
  <c r="AA400" i="20"/>
  <c r="AE294" i="20"/>
  <c r="Z403" i="20"/>
  <c r="AK401" i="20"/>
  <c r="AG414" i="20"/>
  <c r="AD401" i="20"/>
  <c r="AB414" i="20"/>
  <c r="AD402" i="20"/>
  <c r="Y414" i="20"/>
  <c r="AC413" i="20"/>
  <c r="AC295" i="20"/>
  <c r="AK404" i="20"/>
  <c r="Y232" i="20"/>
  <c r="Z261" i="20"/>
  <c r="AA215" i="20"/>
  <c r="AB802" i="20"/>
  <c r="AB453" i="20"/>
  <c r="AC385" i="20"/>
  <c r="AD827" i="20"/>
  <c r="Y608" i="20"/>
  <c r="Z456" i="20"/>
  <c r="AA237" i="20"/>
  <c r="AB376" i="20"/>
  <c r="AC200" i="20"/>
  <c r="AC756" i="20"/>
  <c r="AD106" i="20"/>
  <c r="AE818" i="20"/>
  <c r="AF862" i="20"/>
  <c r="AG628" i="20"/>
  <c r="AG670" i="20"/>
  <c r="Y818" i="20"/>
  <c r="AA120" i="20"/>
  <c r="AB117" i="20"/>
  <c r="AC476" i="20"/>
  <c r="AD862" i="20"/>
  <c r="AE376" i="20"/>
  <c r="AF548" i="20"/>
  <c r="AG232" i="20"/>
  <c r="AG818" i="20"/>
  <c r="AK385" i="20"/>
  <c r="Y641" i="20"/>
  <c r="Z548" i="20"/>
  <c r="AA376" i="20"/>
  <c r="AB862" i="20"/>
  <c r="AC703" i="20"/>
  <c r="AD237" i="20"/>
  <c r="AE862" i="20"/>
  <c r="AF376" i="20"/>
  <c r="AG476" i="20"/>
  <c r="AK766" i="20"/>
  <c r="AK337" i="20"/>
  <c r="AK158" i="20"/>
  <c r="AA461" i="20"/>
  <c r="AC237" i="20"/>
  <c r="AE703" i="20"/>
  <c r="AG376" i="20"/>
  <c r="AK362" i="20"/>
  <c r="Z200" i="20"/>
  <c r="AB600" i="20"/>
  <c r="AD453" i="20"/>
  <c r="AF120" i="20"/>
  <c r="AK232" i="20"/>
  <c r="Y823" i="20"/>
  <c r="AA608" i="20"/>
  <c r="AC158" i="20"/>
  <c r="AE406" i="20"/>
  <c r="AC461" i="20"/>
  <c r="AK703" i="20"/>
  <c r="AD608" i="20"/>
  <c r="AK453" i="20"/>
  <c r="I110" i="86" s="1"/>
  <c r="L110" i="86" s="1"/>
  <c r="Z758" i="20"/>
  <c r="AG117" i="20"/>
  <c r="AD158" i="20"/>
  <c r="Y393" i="20"/>
  <c r="AF691" i="20"/>
  <c r="AG796" i="20"/>
  <c r="AB524" i="20"/>
  <c r="AK67" i="20"/>
  <c r="Y809" i="20"/>
  <c r="AD839" i="20"/>
  <c r="AE415" i="20"/>
  <c r="AD900" i="20"/>
  <c r="Z418" i="20"/>
  <c r="AA169" i="20"/>
  <c r="AA848" i="20"/>
  <c r="AG814" i="20"/>
  <c r="AB788" i="20"/>
  <c r="Y430" i="20"/>
  <c r="Y788" i="20"/>
  <c r="Z625" i="20"/>
  <c r="AE842" i="20"/>
  <c r="AK628" i="20"/>
  <c r="AB430" i="20"/>
  <c r="Y276" i="20"/>
  <c r="AF710" i="20"/>
  <c r="AF169" i="20"/>
  <c r="AB809" i="20"/>
  <c r="Y190" i="20"/>
  <c r="AD142" i="20"/>
  <c r="AD773" i="20"/>
  <c r="AC600" i="20"/>
  <c r="AD524" i="20"/>
  <c r="AD418" i="20"/>
  <c r="AE169" i="20"/>
  <c r="AE848" i="20"/>
  <c r="AE577" i="20"/>
  <c r="Y625" i="20"/>
  <c r="AF788" i="20"/>
  <c r="AF814" i="20"/>
  <c r="AB842" i="20"/>
  <c r="AK835" i="20"/>
  <c r="Z842" i="20"/>
  <c r="AC524" i="20"/>
  <c r="Z169" i="20"/>
  <c r="AA486" i="20"/>
  <c r="AK415" i="20"/>
  <c r="AF415" i="20"/>
  <c r="AF267" i="20"/>
  <c r="AC668" i="20"/>
  <c r="AD67" i="20"/>
  <c r="AD393" i="20"/>
  <c r="Y486" i="20"/>
  <c r="AG773" i="20"/>
  <c r="AD190" i="20"/>
  <c r="AK524" i="20"/>
  <c r="AA524" i="20"/>
  <c r="AA67" i="20"/>
  <c r="AD802" i="20"/>
  <c r="AD842" i="20"/>
  <c r="AG418" i="20"/>
  <c r="AG486" i="20"/>
  <c r="AD410" i="20"/>
  <c r="AA408" i="20"/>
  <c r="AD417" i="20"/>
  <c r="AK409" i="20"/>
  <c r="AF410" i="20"/>
  <c r="AB411" i="20"/>
  <c r="AB408" i="20"/>
  <c r="AG410" i="20"/>
  <c r="Y417" i="20"/>
  <c r="AF408" i="20"/>
  <c r="Z410" i="20"/>
  <c r="AE409" i="20"/>
  <c r="AA860" i="20"/>
  <c r="AA336" i="20"/>
  <c r="AK605" i="20"/>
  <c r="I39" i="86" s="1"/>
  <c r="L39" i="86" s="1"/>
  <c r="AG605" i="20"/>
  <c r="AC605" i="20"/>
  <c r="AK860" i="20"/>
  <c r="AD336" i="20"/>
  <c r="F15" i="37" s="1"/>
  <c r="AC860" i="20"/>
  <c r="Y448" i="20"/>
  <c r="Z155" i="20"/>
  <c r="AA692" i="20"/>
  <c r="AA332" i="20"/>
  <c r="AB386" i="20"/>
  <c r="AB53" i="20"/>
  <c r="AC130" i="20"/>
  <c r="AD742" i="20"/>
  <c r="AE338" i="20"/>
  <c r="AE450" i="20"/>
  <c r="AF363" i="20"/>
  <c r="AF440" i="20"/>
  <c r="AG742" i="20"/>
  <c r="AK711" i="20"/>
  <c r="AK59" i="20"/>
  <c r="Y332" i="20"/>
  <c r="Z130" i="20"/>
  <c r="AA863" i="20"/>
  <c r="AA258" i="20"/>
  <c r="AB742" i="20"/>
  <c r="AB242" i="20"/>
  <c r="AC652" i="20"/>
  <c r="AD821" i="20"/>
  <c r="AE711" i="20"/>
  <c r="AE448" i="20"/>
  <c r="AF692" i="20"/>
  <c r="AF332" i="20"/>
  <c r="AG821" i="20"/>
  <c r="AK363" i="20"/>
  <c r="AK58" i="20"/>
  <c r="Y258" i="20"/>
  <c r="Z652" i="20"/>
  <c r="AA394" i="20"/>
  <c r="AA683" i="20"/>
  <c r="AB821" i="20"/>
  <c r="AB241" i="20"/>
  <c r="AC450" i="20"/>
  <c r="AD75" i="20"/>
  <c r="AE363" i="20"/>
  <c r="AE440" i="20"/>
  <c r="AF863" i="20"/>
  <c r="AF258" i="20"/>
  <c r="AG75" i="20"/>
  <c r="AK863" i="20"/>
  <c r="Y704" i="20"/>
  <c r="Y53" i="20"/>
  <c r="Z450" i="20"/>
  <c r="AA386" i="20"/>
  <c r="AA53" i="20"/>
  <c r="AB462" i="20"/>
  <c r="AB59" i="20"/>
  <c r="AC448" i="20"/>
  <c r="AD155" i="20"/>
  <c r="AE692" i="20"/>
  <c r="AE332" i="20"/>
  <c r="AF394" i="20"/>
  <c r="AF683" i="20"/>
  <c r="AG155" i="20"/>
  <c r="AK394" i="20"/>
  <c r="Z437" i="20"/>
  <c r="Z440" i="20"/>
  <c r="AE197" i="20"/>
  <c r="Y438" i="20"/>
  <c r="AD143" i="20"/>
  <c r="AD676" i="20"/>
  <c r="Z663" i="20"/>
  <c r="AB676" i="20"/>
  <c r="AK692" i="20"/>
  <c r="AC254" i="20"/>
  <c r="AD683" i="20"/>
  <c r="AD197" i="20"/>
  <c r="AG914" i="20"/>
  <c r="AG782" i="20"/>
  <c r="AE618" i="20"/>
  <c r="AD663" i="20"/>
  <c r="AB438" i="20"/>
  <c r="AK338" i="20"/>
  <c r="AC348" i="20"/>
  <c r="AD440" i="20"/>
  <c r="AF676" i="20"/>
  <c r="Z254" i="20"/>
  <c r="AC197" i="20"/>
  <c r="AC914" i="20"/>
  <c r="AC143" i="20"/>
  <c r="AC676" i="20"/>
  <c r="AB618" i="20"/>
  <c r="AG198" i="20"/>
  <c r="AC462" i="20"/>
  <c r="AD198" i="20"/>
  <c r="AB437" i="20"/>
  <c r="AC438" i="20"/>
  <c r="AC782" i="20"/>
  <c r="AF438" i="20"/>
  <c r="Y618" i="20"/>
  <c r="AG849" i="20"/>
  <c r="AB143" i="20"/>
  <c r="AG348" i="20"/>
  <c r="Y241" i="20"/>
  <c r="AD348" i="20"/>
  <c r="AG437" i="20"/>
  <c r="Z516" i="20"/>
  <c r="Y544" i="20"/>
  <c r="AD22" i="20"/>
  <c r="Y518" i="20"/>
  <c r="Y817" i="20"/>
  <c r="AK817" i="20"/>
  <c r="Y405" i="20"/>
  <c r="AG516" i="20"/>
  <c r="AF817" i="20"/>
  <c r="AB518" i="20"/>
  <c r="AB516" i="20"/>
  <c r="AA460" i="20"/>
  <c r="AC21" i="20"/>
  <c r="AA23" i="20"/>
  <c r="AD545" i="20"/>
  <c r="AA129" i="20"/>
  <c r="AE129" i="20"/>
  <c r="AB817" i="20"/>
  <c r="AC544" i="20"/>
  <c r="Y460" i="20"/>
  <c r="AK516" i="20"/>
  <c r="Z544" i="20"/>
  <c r="AC405" i="20"/>
  <c r="AG518" i="20"/>
  <c r="AA345" i="20"/>
  <c r="AE345" i="20"/>
  <c r="AF545" i="20"/>
  <c r="AE460" i="20"/>
  <c r="AB460" i="20"/>
  <c r="AE21" i="20"/>
  <c r="AK23" i="20"/>
  <c r="AE545" i="20"/>
  <c r="AA682" i="20"/>
  <c r="AE682" i="20"/>
  <c r="AB544" i="20"/>
  <c r="AE22" i="20"/>
  <c r="AF516" i="20"/>
  <c r="AJ472" i="20"/>
  <c r="AI561" i="20"/>
  <c r="AG910" i="20"/>
  <c r="AK139" i="20"/>
  <c r="AB318" i="20"/>
  <c r="AB426" i="20"/>
  <c r="AF568" i="20"/>
  <c r="AF588" i="20"/>
  <c r="AE588" i="20"/>
  <c r="AB879" i="20"/>
  <c r="AG732" i="20"/>
  <c r="AC847" i="20"/>
  <c r="AD732" i="20"/>
  <c r="AA7" i="20"/>
  <c r="AK105" i="20"/>
  <c r="AA718" i="20"/>
  <c r="AF718" i="20"/>
  <c r="AF412" i="20"/>
  <c r="Y412" i="20"/>
  <c r="AK319" i="20"/>
  <c r="AG222" i="20"/>
  <c r="AB444" i="20"/>
  <c r="AD95" i="20"/>
  <c r="Z95" i="20"/>
  <c r="AC294" i="20"/>
  <c r="AK400" i="20"/>
  <c r="Z402" i="20"/>
  <c r="Z513" i="20"/>
  <c r="AG401" i="20"/>
  <c r="AA414" i="20"/>
  <c r="AD404" i="20"/>
  <c r="Z514" i="20"/>
  <c r="AB385" i="20"/>
  <c r="AD766" i="20"/>
  <c r="Z892" i="20"/>
  <c r="AB232" i="20"/>
  <c r="AC796" i="20"/>
  <c r="AE337" i="20"/>
  <c r="AG200" i="20"/>
  <c r="Y237" i="20"/>
  <c r="AB548" i="20"/>
  <c r="AD215" i="20"/>
  <c r="AF641" i="20"/>
  <c r="AG461" i="20"/>
  <c r="AK818" i="20"/>
  <c r="AA232" i="20"/>
  <c r="AC628" i="20"/>
  <c r="AE892" i="20"/>
  <c r="AG641" i="20"/>
  <c r="AK376" i="20"/>
  <c r="Z406" i="20"/>
  <c r="AE548" i="20"/>
  <c r="AK823" i="20"/>
  <c r="AB766" i="20"/>
  <c r="AF766" i="20"/>
  <c r="AK756" i="20"/>
  <c r="I7" i="86" s="1"/>
  <c r="L7" i="86" s="1"/>
  <c r="AC577" i="20"/>
  <c r="AB892" i="20"/>
  <c r="AB756" i="20"/>
  <c r="AK393" i="20"/>
  <c r="AA756" i="20"/>
  <c r="AF524" i="20"/>
  <c r="AF577" i="20"/>
  <c r="AC415" i="20"/>
  <c r="AG276" i="20"/>
  <c r="Y835" i="20"/>
  <c r="AA719" i="20"/>
  <c r="Y814" i="20"/>
  <c r="AA430" i="20"/>
  <c r="Z802" i="20"/>
  <c r="AB142" i="20"/>
  <c r="AF668" i="20"/>
  <c r="AB668" i="20"/>
  <c r="Y142" i="20"/>
  <c r="AG600" i="20"/>
  <c r="Y418" i="20"/>
  <c r="AE719" i="20"/>
  <c r="AC625" i="20"/>
  <c r="AK719" i="20"/>
  <c r="AK900" i="20"/>
  <c r="AC393" i="20"/>
  <c r="AE628" i="20"/>
  <c r="AK486" i="20"/>
  <c r="AA710" i="20"/>
  <c r="AD600" i="20"/>
  <c r="AC710" i="20"/>
  <c r="AC486" i="20"/>
  <c r="Z835" i="20"/>
  <c r="Z809" i="20"/>
  <c r="AD848" i="20"/>
  <c r="AE417" i="20"/>
  <c r="AK408" i="20"/>
  <c r="AE411" i="20"/>
  <c r="AB409" i="20"/>
  <c r="AG417" i="20"/>
  <c r="Y409" i="20"/>
  <c r="AE605" i="20"/>
  <c r="AB605" i="20"/>
  <c r="Z336" i="20"/>
  <c r="AG336" i="20"/>
  <c r="I15" i="37" s="1"/>
  <c r="Z394" i="20"/>
  <c r="AA254" i="20"/>
  <c r="AB440" i="20"/>
  <c r="AD711" i="20"/>
  <c r="AE348" i="20"/>
  <c r="AF652" i="20"/>
  <c r="AG59" i="20"/>
  <c r="Y130" i="20"/>
  <c r="AA338" i="20"/>
  <c r="AB692" i="20"/>
  <c r="AC821" i="20"/>
  <c r="AD58" i="20"/>
  <c r="AF720" i="20"/>
  <c r="AG363" i="20"/>
  <c r="AK258" i="20"/>
  <c r="Z821" i="20"/>
  <c r="AA448" i="20"/>
  <c r="AB258" i="20"/>
  <c r="AD863" i="20"/>
  <c r="AE652" i="20"/>
  <c r="AF450" i="20"/>
  <c r="AK704" i="20"/>
  <c r="Y450" i="20"/>
  <c r="AA363" i="20"/>
  <c r="AB394" i="20"/>
  <c r="AC155" i="20"/>
  <c r="AE720" i="20"/>
  <c r="AF711" i="20"/>
  <c r="AG394" i="20"/>
  <c r="AK242" i="20"/>
  <c r="Z338" i="20"/>
  <c r="Y782" i="20"/>
  <c r="AC618" i="20"/>
  <c r="AK254" i="20"/>
  <c r="Y462" i="20"/>
  <c r="AG438" i="20"/>
  <c r="AF782" i="20"/>
  <c r="AK849" i="20"/>
  <c r="AC241" i="20"/>
  <c r="AA437" i="20"/>
  <c r="AA198" i="20"/>
  <c r="AK143" i="20"/>
  <c r="AC663" i="20"/>
  <c r="AC683" i="20"/>
  <c r="Y437" i="20"/>
  <c r="AK914" i="20"/>
  <c r="AG676" i="20"/>
  <c r="AB663" i="20"/>
  <c r="AC386" i="20"/>
  <c r="AD437" i="20"/>
  <c r="Y519" i="20"/>
  <c r="Z460" i="20"/>
  <c r="AF517" i="20"/>
  <c r="AB517" i="20"/>
  <c r="AC22" i="20"/>
  <c r="AF519" i="20"/>
  <c r="AG23" i="20"/>
  <c r="Z129" i="20"/>
  <c r="AK129" i="20"/>
  <c r="AA22" i="20"/>
  <c r="AA519" i="20"/>
  <c r="AB23" i="20"/>
  <c r="AD345" i="20"/>
  <c r="AA544" i="20"/>
  <c r="Z21" i="20"/>
  <c r="AC518" i="20"/>
  <c r="AD682" i="20"/>
  <c r="AK22" i="20"/>
  <c r="AF21" i="20"/>
  <c r="AA517" i="20"/>
  <c r="AG545" i="20"/>
  <c r="AB74" i="20"/>
  <c r="AG74" i="20"/>
  <c r="AD128" i="20"/>
  <c r="AB128" i="20"/>
  <c r="AC346" i="20"/>
  <c r="AG128" i="20"/>
  <c r="AG445" i="20"/>
  <c r="Y73" i="20"/>
  <c r="AC445" i="20"/>
  <c r="AG346" i="20"/>
  <c r="Y439" i="20"/>
  <c r="AD73" i="20"/>
  <c r="AB346" i="20"/>
  <c r="AD681" i="20"/>
  <c r="AG439" i="20"/>
  <c r="AK346" i="20"/>
  <c r="AA73" i="20"/>
  <c r="AD82" i="20"/>
  <c r="AD439" i="20"/>
  <c r="AA82" i="20"/>
  <c r="AF311" i="20"/>
  <c r="AC634" i="20"/>
  <c r="AD634" i="20"/>
  <c r="AD321" i="20"/>
  <c r="Y321" i="20"/>
  <c r="AE304" i="20"/>
  <c r="AA311" i="20"/>
  <c r="AK634" i="20"/>
  <c r="AA304" i="20"/>
  <c r="AK321" i="20"/>
  <c r="AB304" i="20"/>
  <c r="AC77" i="20"/>
  <c r="AC311" i="20"/>
  <c r="AG760" i="20"/>
  <c r="Z321" i="20"/>
  <c r="AG601" i="20"/>
  <c r="AA669" i="20"/>
  <c r="AC595" i="20"/>
  <c r="AK669" i="20"/>
  <c r="AD601" i="20"/>
  <c r="AA457" i="20"/>
  <c r="AB595" i="20"/>
  <c r="Z601" i="20"/>
  <c r="AA595" i="20"/>
  <c r="Z669" i="20"/>
  <c r="AC781" i="20"/>
  <c r="AD661" i="20"/>
  <c r="AE180" i="20"/>
  <c r="AK781" i="20"/>
  <c r="AK153" i="20"/>
  <c r="Z912" i="20"/>
  <c r="AB781" i="20"/>
  <c r="AA661" i="20"/>
  <c r="AB912" i="20"/>
  <c r="AA781" i="20"/>
  <c r="AE661" i="20"/>
  <c r="AC912" i="20"/>
  <c r="AA649" i="20"/>
  <c r="AB251" i="20"/>
  <c r="AA85" i="20"/>
  <c r="AE649" i="20"/>
  <c r="AC251" i="20"/>
  <c r="AC330" i="20"/>
  <c r="AK251" i="20"/>
  <c r="AE616" i="20"/>
  <c r="AG330" i="20"/>
  <c r="AK649" i="20"/>
  <c r="AD616" i="20"/>
  <c r="AK85" i="20"/>
  <c r="AC85" i="20"/>
  <c r="AE913" i="20"/>
  <c r="AG783" i="20"/>
  <c r="AK684" i="20"/>
  <c r="Y789" i="20"/>
  <c r="AD446" i="20"/>
  <c r="AC867" i="20"/>
  <c r="AA390" i="20"/>
  <c r="AG147" i="20"/>
  <c r="Y48" i="20"/>
  <c r="AB27" i="20"/>
  <c r="AE171" i="20"/>
  <c r="AK449" i="20"/>
  <c r="AK465" i="20"/>
  <c r="AD89" i="20"/>
  <c r="AF679" i="20"/>
  <c r="Z599" i="20"/>
  <c r="AB913" i="20"/>
  <c r="AG684" i="20"/>
  <c r="AK789" i="20"/>
  <c r="Z191" i="20"/>
  <c r="AA713" i="20"/>
  <c r="Y390" i="20"/>
  <c r="AK648" i="20"/>
  <c r="AG651" i="20"/>
  <c r="AD51" i="20"/>
  <c r="AE465" i="20"/>
  <c r="AF68" i="20"/>
  <c r="AE679" i="20"/>
  <c r="AK599" i="20"/>
  <c r="AC533" i="20"/>
  <c r="AE228" i="20"/>
  <c r="AK340" i="20"/>
  <c r="AC144" i="20"/>
  <c r="AE684" i="20"/>
  <c r="Z446" i="20"/>
  <c r="Z867" i="20"/>
  <c r="AB390" i="20"/>
  <c r="Y648" i="20"/>
  <c r="AB48" i="20"/>
  <c r="AC27" i="20"/>
  <c r="AB51" i="20"/>
  <c r="AE68" i="20"/>
  <c r="AA224" i="20"/>
  <c r="AK556" i="20"/>
  <c r="AE533" i="20"/>
  <c r="AD340" i="20"/>
  <c r="AF578" i="20"/>
  <c r="AF262" i="20"/>
  <c r="AK609" i="20"/>
  <c r="Z866" i="20"/>
  <c r="Z501" i="20"/>
  <c r="AG388" i="20"/>
  <c r="AG247" i="20"/>
  <c r="Z593" i="20"/>
  <c r="AK42" i="20"/>
  <c r="AD9" i="20"/>
  <c r="Y562" i="20"/>
  <c r="AF159" i="20"/>
  <c r="Z747" i="20"/>
  <c r="AK645" i="20"/>
  <c r="AE162" i="20"/>
  <c r="AE138" i="20"/>
  <c r="AG869" i="20"/>
  <c r="AE144" i="20"/>
  <c r="Z684" i="20"/>
  <c r="AG867" i="20"/>
  <c r="AD48" i="20"/>
  <c r="Y449" i="20"/>
  <c r="AC679" i="20"/>
  <c r="AF556" i="20"/>
  <c r="Y578" i="20"/>
  <c r="AB312" i="20"/>
  <c r="AB866" i="20"/>
  <c r="AF501" i="20"/>
  <c r="AC247" i="20"/>
  <c r="AB593" i="20"/>
  <c r="Z471" i="20"/>
  <c r="AB114" i="20"/>
  <c r="Z531" i="20"/>
  <c r="Y644" i="20"/>
  <c r="AE645" i="20"/>
  <c r="AC869" i="20"/>
  <c r="AK894" i="20"/>
  <c r="Y490" i="20"/>
  <c r="AE458" i="20"/>
  <c r="AC218" i="20"/>
  <c r="AF566" i="20"/>
  <c r="AA358" i="20"/>
  <c r="AB187" i="20"/>
  <c r="AA118" i="20"/>
  <c r="AA874" i="20"/>
  <c r="AC397" i="20"/>
  <c r="AC621" i="20"/>
  <c r="AK391" i="20"/>
  <c r="AF750" i="20"/>
  <c r="AA684" i="20"/>
  <c r="AC446" i="20"/>
  <c r="AD390" i="20"/>
  <c r="AK48" i="20"/>
  <c r="AF171" i="20"/>
  <c r="AI829" i="20"/>
  <c r="AD151" i="20"/>
  <c r="Z156" i="20"/>
  <c r="Y318" i="20"/>
  <c r="AA426" i="20"/>
  <c r="AK588" i="20"/>
  <c r="AK753" i="20"/>
  <c r="I145" i="86" s="1"/>
  <c r="L145" i="86" s="1"/>
  <c r="AF174" i="20"/>
  <c r="AE38" i="20"/>
  <c r="AD16" i="20"/>
  <c r="AE275" i="20"/>
  <c r="AE287" i="20"/>
  <c r="Z105" i="20"/>
  <c r="AG16" i="20"/>
  <c r="AC690" i="20"/>
  <c r="AD690" i="20"/>
  <c r="Y647" i="20"/>
  <c r="AG319" i="20"/>
  <c r="AC647" i="20"/>
  <c r="Y882" i="20"/>
  <c r="AK882" i="20"/>
  <c r="AG434" i="20"/>
  <c r="AC403" i="20"/>
  <c r="AB413" i="20"/>
  <c r="AF400" i="20"/>
  <c r="AK294" i="20"/>
  <c r="AD294" i="20"/>
  <c r="AF414" i="20"/>
  <c r="Y892" i="20"/>
  <c r="AA476" i="20"/>
  <c r="AB169" i="20"/>
  <c r="AD337" i="20"/>
  <c r="Z461" i="20"/>
  <c r="AB848" i="20"/>
  <c r="AD641" i="20"/>
  <c r="AE158" i="20"/>
  <c r="AG827" i="20"/>
  <c r="Z123" i="20"/>
  <c r="AB703" i="20"/>
  <c r="AD514" i="20"/>
  <c r="AF703" i="20"/>
  <c r="AK215" i="20"/>
  <c r="Y476" i="20"/>
  <c r="AA106" i="20"/>
  <c r="AC514" i="20"/>
  <c r="AE461" i="20"/>
  <c r="AG385" i="20"/>
  <c r="AK796" i="20"/>
  <c r="AB267" i="20"/>
  <c r="AF232" i="20"/>
  <c r="AK456" i="20"/>
  <c r="AB158" i="20"/>
  <c r="AF158" i="20"/>
  <c r="Y514" i="20"/>
  <c r="AD385" i="20"/>
  <c r="AF237" i="20"/>
  <c r="AE758" i="20"/>
  <c r="AB796" i="20"/>
  <c r="AG608" i="20"/>
  <c r="AF839" i="20"/>
  <c r="AB691" i="20"/>
  <c r="Z142" i="20"/>
  <c r="AC276" i="20"/>
  <c r="AA691" i="20"/>
  <c r="AD486" i="20"/>
  <c r="Z415" i="20"/>
  <c r="Z691" i="20"/>
  <c r="AK142" i="20"/>
  <c r="AA668" i="20"/>
  <c r="AF773" i="20"/>
  <c r="AB773" i="20"/>
  <c r="Z710" i="20"/>
  <c r="AA142" i="20"/>
  <c r="AA839" i="20"/>
  <c r="AE393" i="20"/>
  <c r="AK842" i="20"/>
  <c r="AF848" i="20"/>
  <c r="Y668" i="20"/>
  <c r="AD788" i="20"/>
  <c r="AE802" i="20"/>
  <c r="AF835" i="20"/>
  <c r="AG142" i="20"/>
  <c r="AA267" i="20"/>
  <c r="AE430" i="20"/>
  <c r="AD415" i="20"/>
  <c r="AD169" i="20"/>
  <c r="AE117" i="20"/>
  <c r="Z411" i="20"/>
  <c r="Y410" i="20"/>
  <c r="AF409" i="20"/>
  <c r="Y408" i="20"/>
  <c r="AB410" i="20"/>
  <c r="AC408" i="20"/>
  <c r="AG411" i="20"/>
  <c r="AB860" i="20"/>
  <c r="AE336" i="20"/>
  <c r="G15" i="37" s="1"/>
  <c r="AD605" i="20"/>
  <c r="Y720" i="20"/>
  <c r="Z448" i="20"/>
  <c r="AA242" i="20"/>
  <c r="AB58" i="20"/>
  <c r="AD130" i="20"/>
  <c r="AE258" i="20"/>
  <c r="AF53" i="20"/>
  <c r="AK742" i="20"/>
  <c r="Y59" i="20"/>
  <c r="AA821" i="20"/>
  <c r="AB155" i="20"/>
  <c r="AC258" i="20"/>
  <c r="AE394" i="20"/>
  <c r="AF742" i="20"/>
  <c r="AG652" i="20"/>
  <c r="Y363" i="20"/>
  <c r="Z258" i="20"/>
  <c r="AA59" i="20"/>
  <c r="AC704" i="20"/>
  <c r="AD450" i="20"/>
  <c r="AE53" i="20"/>
  <c r="AF241" i="20"/>
  <c r="AK75" i="20"/>
  <c r="Z704" i="20"/>
  <c r="AA75" i="20"/>
  <c r="AB130" i="20"/>
  <c r="AC242" i="20"/>
  <c r="AE742" i="20"/>
  <c r="AF462" i="20"/>
  <c r="AG448" i="20"/>
  <c r="AF618" i="20"/>
  <c r="Z197" i="20"/>
  <c r="AK676" i="20"/>
  <c r="AA849" i="20"/>
  <c r="AG683" i="20"/>
  <c r="AD462" i="20"/>
  <c r="Y914" i="20"/>
  <c r="Z618" i="20"/>
  <c r="AB782" i="20"/>
  <c r="AC338" i="20"/>
  <c r="AF663" i="20"/>
  <c r="AD438" i="20"/>
  <c r="AF197" i="20"/>
  <c r="AB849" i="20"/>
  <c r="Y198" i="20"/>
  <c r="AA197" i="20"/>
  <c r="AE143" i="20"/>
  <c r="AE663" i="20"/>
  <c r="AK440" i="20"/>
  <c r="Y348" i="20"/>
  <c r="Z816" i="20"/>
  <c r="AF22" i="20"/>
  <c r="AC519" i="20"/>
  <c r="Y23" i="20"/>
  <c r="AE23" i="20"/>
  <c r="AF816" i="20"/>
  <c r="AD21" i="20"/>
  <c r="AD460" i="20"/>
  <c r="AB129" i="20"/>
  <c r="AF518" i="20"/>
  <c r="AB816" i="20"/>
  <c r="AB21" i="20"/>
  <c r="Z545" i="20"/>
  <c r="AF345" i="20"/>
  <c r="AC23" i="20"/>
  <c r="AA21" i="20"/>
  <c r="AK545" i="20"/>
  <c r="AF682" i="20"/>
  <c r="AG816" i="20"/>
  <c r="AE405" i="20"/>
  <c r="AF23" i="20"/>
  <c r="AA74" i="20"/>
  <c r="AF74" i="20"/>
  <c r="Z74" i="20"/>
  <c r="AC681" i="20"/>
  <c r="Z681" i="20"/>
  <c r="AB681" i="20"/>
  <c r="AC73" i="20"/>
  <c r="AA445" i="20"/>
  <c r="Z346" i="20"/>
  <c r="AB73" i="20"/>
  <c r="AE128" i="20"/>
  <c r="Z439" i="20"/>
  <c r="AF346" i="20"/>
  <c r="AF73" i="20"/>
  <c r="AB82" i="20"/>
  <c r="AA439" i="20"/>
  <c r="Y346" i="20"/>
  <c r="AK128" i="20"/>
  <c r="AF445" i="20"/>
  <c r="Y681" i="20"/>
  <c r="AF439" i="20"/>
  <c r="Y760" i="20"/>
  <c r="AB321" i="20"/>
  <c r="AD304" i="20"/>
  <c r="AC321" i="20"/>
  <c r="Y77" i="20"/>
  <c r="AA77" i="20"/>
  <c r="AE321" i="20"/>
  <c r="AG634" i="20"/>
  <c r="AK304" i="20"/>
  <c r="AF760" i="20"/>
  <c r="AF321" i="20"/>
  <c r="AG304" i="20"/>
  <c r="AG321" i="20"/>
  <c r="AK77" i="20"/>
  <c r="Z760" i="20"/>
  <c r="AC601" i="20"/>
  <c r="Z457" i="20"/>
  <c r="AE601" i="20"/>
  <c r="AB457" i="20"/>
  <c r="AD669" i="20"/>
  <c r="AF457" i="20"/>
  <c r="Y595" i="20"/>
  <c r="AF669" i="20"/>
  <c r="AF595" i="20"/>
  <c r="Z595" i="20"/>
  <c r="AF781" i="20"/>
  <c r="AE912" i="20"/>
  <c r="AC180" i="20"/>
  <c r="AA153" i="20"/>
  <c r="AB661" i="20"/>
  <c r="AD912" i="20"/>
  <c r="Y781" i="20"/>
  <c r="AF661" i="20"/>
  <c r="Y912" i="20"/>
  <c r="AG781" i="20"/>
  <c r="AK661" i="20"/>
  <c r="AG912" i="20"/>
  <c r="AF649" i="20"/>
  <c r="AD251" i="20"/>
  <c r="Y330" i="20"/>
  <c r="Z649" i="20"/>
  <c r="AG251" i="20"/>
  <c r="AB330" i="20"/>
  <c r="Y616" i="20"/>
  <c r="Y85" i="20"/>
  <c r="AF330" i="20"/>
  <c r="Z251" i="20"/>
  <c r="AA616" i="20"/>
  <c r="AK330" i="20"/>
  <c r="AD330" i="20"/>
  <c r="AK913" i="20"/>
  <c r="AC783" i="20"/>
  <c r="AC364" i="20"/>
  <c r="AA446" i="20"/>
  <c r="Y191" i="20"/>
  <c r="AE713" i="20"/>
  <c r="AK390" i="20"/>
  <c r="AD648" i="20"/>
  <c r="AG48" i="20"/>
  <c r="Y27" i="20"/>
  <c r="Z51" i="20"/>
  <c r="AB449" i="20"/>
  <c r="AC68" i="20"/>
  <c r="AK89" i="20"/>
  <c r="AD224" i="20"/>
  <c r="Z556" i="20"/>
  <c r="AC913" i="20"/>
  <c r="AE364" i="20"/>
  <c r="AG789" i="20"/>
  <c r="AC191" i="20"/>
  <c r="AB713" i="20"/>
  <c r="AE147" i="20"/>
  <c r="Y24" i="20"/>
  <c r="Z27" i="20"/>
  <c r="AC51" i="20"/>
  <c r="Y465" i="20"/>
  <c r="AE89" i="20"/>
  <c r="AB224" i="20"/>
  <c r="AA556" i="20"/>
  <c r="AG533" i="20"/>
  <c r="AA340" i="20"/>
  <c r="AB722" i="20"/>
  <c r="AA913" i="20"/>
  <c r="AD684" i="20"/>
  <c r="Y446" i="20"/>
  <c r="AK867" i="20"/>
  <c r="Z390" i="20"/>
  <c r="AC648" i="20"/>
  <c r="AA651" i="20"/>
  <c r="Y171" i="20"/>
  <c r="AC449" i="20"/>
  <c r="AB68" i="20"/>
  <c r="Y599" i="20"/>
  <c r="AG556" i="20"/>
  <c r="AC228" i="20"/>
  <c r="AE722" i="20"/>
  <c r="AG578" i="20"/>
  <c r="AD312" i="20"/>
  <c r="AA866" i="20"/>
  <c r="AB916" i="20"/>
  <c r="AE100" i="20"/>
  <c r="Y388" i="20"/>
  <c r="AB917" i="20"/>
  <c r="AA471" i="20"/>
  <c r="AF42" i="20"/>
  <c r="AE9" i="20"/>
  <c r="Y531" i="20"/>
  <c r="AC644" i="20"/>
  <c r="AE747" i="20"/>
  <c r="AF645" i="20"/>
  <c r="AE325" i="20"/>
  <c r="AC138" i="20"/>
  <c r="Z326" i="20"/>
  <c r="Y144" i="20"/>
  <c r="Y364" i="20"/>
  <c r="AG390" i="20"/>
  <c r="AF48" i="20"/>
  <c r="AE449" i="20"/>
  <c r="AA679" i="20"/>
  <c r="AI81" i="20"/>
  <c r="Z910" i="20"/>
  <c r="AG615" i="20"/>
  <c r="AC753" i="20"/>
  <c r="AC34" i="20"/>
  <c r="AK906" i="20"/>
  <c r="AG287" i="20"/>
  <c r="AE105" i="20"/>
  <c r="AD7" i="20"/>
  <c r="AA647" i="20"/>
  <c r="AK930" i="20"/>
  <c r="AB434" i="20"/>
  <c r="AK539" i="20"/>
  <c r="I118" i="86" s="1"/>
  <c r="L118" i="86" s="1"/>
  <c r="AK413" i="20"/>
  <c r="Z413" i="20"/>
  <c r="AB404" i="20"/>
  <c r="AB261" i="20"/>
  <c r="Y406" i="20"/>
  <c r="AC232" i="20"/>
  <c r="AF670" i="20"/>
  <c r="AA607" i="20"/>
  <c r="AE607" i="20"/>
  <c r="AK600" i="20"/>
  <c r="AB514" i="20"/>
  <c r="AF607" i="20"/>
  <c r="Y670" i="20"/>
  <c r="AG453" i="20"/>
  <c r="AE641" i="20"/>
  <c r="AB362" i="20"/>
  <c r="AK276" i="20"/>
  <c r="AG758" i="20"/>
  <c r="AF796" i="20"/>
  <c r="Z773" i="20"/>
  <c r="AA625" i="20"/>
  <c r="AA117" i="20"/>
  <c r="AF276" i="20"/>
  <c r="AF719" i="20"/>
  <c r="AE524" i="20"/>
  <c r="AE625" i="20"/>
  <c r="AF842" i="20"/>
  <c r="AE839" i="20"/>
  <c r="AA835" i="20"/>
  <c r="Y691" i="20"/>
  <c r="AD796" i="20"/>
  <c r="AA418" i="20"/>
  <c r="AD411" i="20"/>
  <c r="AA410" i="20"/>
  <c r="AE408" i="20"/>
  <c r="AF860" i="20"/>
  <c r="Z605" i="20"/>
  <c r="Y242" i="20"/>
  <c r="AB75" i="20"/>
  <c r="AE863" i="20"/>
  <c r="AG130" i="20"/>
  <c r="Z332" i="20"/>
  <c r="AB198" i="20"/>
  <c r="AE683" i="20"/>
  <c r="AK821" i="20"/>
  <c r="AA462" i="20"/>
  <c r="AC53" i="20"/>
  <c r="AF821" i="20"/>
  <c r="Y863" i="20"/>
  <c r="AA58" i="20"/>
  <c r="AD448" i="20"/>
  <c r="AF59" i="20"/>
  <c r="Z348" i="20"/>
  <c r="AA618" i="20"/>
  <c r="AC692" i="20"/>
  <c r="Y143" i="20"/>
  <c r="AG440" i="20"/>
  <c r="Z462" i="20"/>
  <c r="AD618" i="20"/>
  <c r="AD254" i="20"/>
  <c r="AA676" i="20"/>
  <c r="AG338" i="20"/>
  <c r="AD517" i="20"/>
  <c r="Z517" i="20"/>
  <c r="AG544" i="20"/>
  <c r="AG817" i="20"/>
  <c r="AF129" i="20"/>
  <c r="AG460" i="20"/>
  <c r="AB345" i="20"/>
  <c r="AB519" i="20"/>
  <c r="AB682" i="20"/>
  <c r="AK519" i="20"/>
  <c r="AA545" i="20"/>
  <c r="AC74" i="20"/>
  <c r="AC439" i="20"/>
  <c r="AE681" i="20"/>
  <c r="AE439" i="20"/>
  <c r="AC82" i="20"/>
  <c r="Z73" i="20"/>
  <c r="AK73" i="20"/>
  <c r="Z128" i="20"/>
  <c r="AK82" i="20"/>
  <c r="AG82" i="20"/>
  <c r="AB634" i="20"/>
  <c r="Z311" i="20"/>
  <c r="AD77" i="20"/>
  <c r="Z634" i="20"/>
  <c r="AA321" i="20"/>
  <c r="AE77" i="20"/>
  <c r="AA760" i="20"/>
  <c r="AF601" i="20"/>
  <c r="AE595" i="20"/>
  <c r="AD595" i="20"/>
  <c r="AD457" i="20"/>
  <c r="AK457" i="20"/>
  <c r="AE781" i="20"/>
  <c r="Z180" i="20"/>
  <c r="AG153" i="20"/>
  <c r="AK180" i="20"/>
  <c r="AC661" i="20"/>
  <c r="AC153" i="20"/>
  <c r="AF180" i="20"/>
  <c r="AF85" i="20"/>
  <c r="AF251" i="20"/>
  <c r="AE251" i="20"/>
  <c r="AG85" i="20"/>
  <c r="AC616" i="20"/>
  <c r="AF616" i="20"/>
  <c r="Z783" i="20"/>
  <c r="AD789" i="20"/>
  <c r="AK191" i="20"/>
  <c r="AB147" i="20"/>
  <c r="Y651" i="20"/>
  <c r="AE51" i="20"/>
  <c r="AB89" i="20"/>
  <c r="AE599" i="20"/>
  <c r="AA783" i="20"/>
  <c r="AA191" i="20"/>
  <c r="AC390" i="20"/>
  <c r="AA48" i="20"/>
  <c r="AA449" i="20"/>
  <c r="AD679" i="20"/>
  <c r="Y556" i="20"/>
  <c r="AG340" i="20"/>
  <c r="Y913" i="20"/>
  <c r="AA867" i="20"/>
  <c r="AE648" i="20"/>
  <c r="AA27" i="20"/>
  <c r="AG68" i="20"/>
  <c r="AD556" i="20"/>
  <c r="AF228" i="20"/>
  <c r="AK262" i="20"/>
  <c r="AG866" i="20"/>
  <c r="AB388" i="20"/>
  <c r="AE593" i="20"/>
  <c r="AC9" i="20"/>
  <c r="AG159" i="20"/>
  <c r="AF747" i="20"/>
  <c r="Z138" i="20"/>
  <c r="AE894" i="20"/>
  <c r="Z789" i="20"/>
  <c r="Z171" i="20"/>
  <c r="AB599" i="20"/>
  <c r="Y262" i="20"/>
  <c r="AA609" i="20"/>
  <c r="AA916" i="20"/>
  <c r="Z917" i="20"/>
  <c r="AE471" i="20"/>
  <c r="AC114" i="20"/>
  <c r="AK531" i="20"/>
  <c r="I17" i="86" s="1"/>
  <c r="L17" i="86" s="1"/>
  <c r="AK747" i="20"/>
  <c r="Y138" i="20"/>
  <c r="Y204" i="20"/>
  <c r="Z469" i="20"/>
  <c r="AE218" i="20"/>
  <c r="Z655" i="20"/>
  <c r="AC358" i="20"/>
  <c r="AG118" i="20"/>
  <c r="AF874" i="20"/>
  <c r="Z870" i="20"/>
  <c r="AD391" i="20"/>
  <c r="AK750" i="20"/>
  <c r="AF364" i="20"/>
  <c r="AF713" i="20"/>
  <c r="AF651" i="20"/>
  <c r="AD449" i="20"/>
  <c r="AA89" i="20"/>
  <c r="AA533" i="20"/>
  <c r="AF722" i="20"/>
  <c r="AA312" i="20"/>
  <c r="AE866" i="20"/>
  <c r="AE501" i="20"/>
  <c r="AK100" i="20"/>
  <c r="AC917" i="20"/>
  <c r="AC593" i="20"/>
  <c r="AE42" i="20"/>
  <c r="AA9" i="20"/>
  <c r="Y159" i="20"/>
  <c r="AB747" i="20"/>
  <c r="AC162" i="20"/>
  <c r="Z325" i="20"/>
  <c r="AC326" i="20"/>
  <c r="Z204" i="20"/>
  <c r="AA469" i="20"/>
  <c r="AB458" i="20"/>
  <c r="Y218" i="20"/>
  <c r="AA655" i="20"/>
  <c r="AA482" i="20"/>
  <c r="AG358" i="20"/>
  <c r="Z118" i="20"/>
  <c r="AF269" i="20"/>
  <c r="Y397" i="20"/>
  <c r="AC870" i="20"/>
  <c r="AA621" i="20"/>
  <c r="Z750" i="20"/>
  <c r="AA824" i="20"/>
  <c r="AG32" i="20"/>
  <c r="Z551" i="20"/>
  <c r="AD794" i="20"/>
  <c r="Z751" i="20"/>
  <c r="AF33" i="20"/>
  <c r="AK484" i="20"/>
  <c r="AK611" i="20"/>
  <c r="AG164" i="20"/>
  <c r="AE12" i="20"/>
  <c r="AK872" i="20"/>
  <c r="Z150" i="20"/>
  <c r="Z770" i="20"/>
  <c r="AB211" i="20"/>
  <c r="Y441" i="20"/>
  <c r="Y526" i="20"/>
  <c r="AF684" i="20"/>
  <c r="Y147" i="20"/>
  <c r="AK51" i="20"/>
  <c r="AC556" i="20"/>
  <c r="AC262" i="20"/>
  <c r="AK501" i="20"/>
  <c r="AG917" i="20"/>
  <c r="Y9" i="20"/>
  <c r="Z159" i="20"/>
  <c r="AD162" i="20"/>
  <c r="AK869" i="20"/>
  <c r="AE490" i="20"/>
  <c r="Y655" i="20"/>
  <c r="AF187" i="20"/>
  <c r="AA269" i="20"/>
  <c r="AG870" i="20"/>
  <c r="Y188" i="20"/>
  <c r="AK824" i="20"/>
  <c r="AD551" i="20"/>
  <c r="AB764" i="20"/>
  <c r="AC751" i="20"/>
  <c r="Y701" i="20"/>
  <c r="AB398" i="20"/>
  <c r="AA164" i="20"/>
  <c r="AF399" i="20"/>
  <c r="AK150" i="20"/>
  <c r="AD211" i="20"/>
  <c r="Y761" i="20"/>
  <c r="AD522" i="20"/>
  <c r="AA225" i="20"/>
  <c r="AK678" i="20"/>
  <c r="AK146" i="20"/>
  <c r="AK202" i="20"/>
  <c r="AK868" i="20"/>
  <c r="AK774" i="20"/>
  <c r="AB537" i="20"/>
  <c r="AF472" i="20"/>
  <c r="AE168" i="20"/>
  <c r="AD37" i="20"/>
  <c r="AF107" i="20"/>
  <c r="AD378" i="20"/>
  <c r="AF633" i="20"/>
  <c r="AG521" i="20"/>
  <c r="Z26" i="20"/>
  <c r="AK783" i="20"/>
  <c r="AA147" i="20"/>
  <c r="AA171" i="20"/>
  <c r="AE224" i="20"/>
  <c r="Y722" i="20"/>
  <c r="AK866" i="20"/>
  <c r="Z388" i="20"/>
  <c r="Y42" i="20"/>
  <c r="AB159" i="20"/>
  <c r="AF162" i="20"/>
  <c r="AE326" i="20"/>
  <c r="Z490" i="20"/>
  <c r="AD458" i="20"/>
  <c r="AK482" i="20"/>
  <c r="AB118" i="20"/>
  <c r="AG621" i="20"/>
  <c r="AA750" i="20"/>
  <c r="AD32" i="20"/>
  <c r="AG551" i="20"/>
  <c r="AB794" i="20"/>
  <c r="AA751" i="20"/>
  <c r="Y33" i="20"/>
  <c r="AC611" i="20"/>
  <c r="AK12" i="20"/>
  <c r="AE399" i="20"/>
  <c r="Z211" i="20"/>
  <c r="AG526" i="20"/>
  <c r="AA903" i="20"/>
  <c r="Y225" i="20"/>
  <c r="Y815" i="20"/>
  <c r="AB201" i="20"/>
  <c r="Y10" i="20"/>
  <c r="Y868" i="20"/>
  <c r="AE613" i="20"/>
  <c r="AF537" i="20"/>
  <c r="AD472" i="20"/>
  <c r="Z70" i="20"/>
  <c r="AF37" i="20"/>
  <c r="AK78" i="20"/>
  <c r="AK378" i="20"/>
  <c r="AD633" i="20"/>
  <c r="AA427" i="20"/>
  <c r="AA297" i="20"/>
  <c r="AB26" i="20"/>
  <c r="Z277" i="20"/>
  <c r="Y154" i="20"/>
  <c r="AA721" i="20"/>
  <c r="Y662" i="20"/>
  <c r="AK901" i="20"/>
  <c r="AK435" i="20"/>
  <c r="AB851" i="20"/>
  <c r="AA380" i="20"/>
  <c r="Y69" i="20"/>
  <c r="AC170" i="20"/>
  <c r="AF520" i="20"/>
  <c r="Y253" i="20"/>
  <c r="AD50" i="20"/>
  <c r="AE858" i="20"/>
  <c r="AC466" i="20"/>
  <c r="AG745" i="20"/>
  <c r="AD185" i="20"/>
  <c r="Z554" i="20"/>
  <c r="AA364" i="20"/>
  <c r="AG171" i="20"/>
  <c r="AC609" i="20"/>
  <c r="AB42" i="20"/>
  <c r="AD325" i="20"/>
  <c r="AF490" i="20"/>
  <c r="AG482" i="20"/>
  <c r="Y874" i="20"/>
  <c r="Z188" i="20"/>
  <c r="AE551" i="20"/>
  <c r="Z33" i="20"/>
  <c r="AB611" i="20"/>
  <c r="AA150" i="20"/>
  <c r="AA211" i="20"/>
  <c r="AE441" i="20"/>
  <c r="AF903" i="20"/>
  <c r="AB678" i="20"/>
  <c r="Y202" i="20"/>
  <c r="AD868" i="20"/>
  <c r="AA537" i="20"/>
  <c r="AK70" i="20"/>
  <c r="Y378" i="20"/>
  <c r="AB427" i="20"/>
  <c r="AK26" i="20"/>
  <c r="AG154" i="20"/>
  <c r="AD883" i="20"/>
  <c r="AE662" i="20"/>
  <c r="AD435" i="20"/>
  <c r="AD851" i="20"/>
  <c r="AE380" i="20"/>
  <c r="AF83" i="20"/>
  <c r="AE170" i="20"/>
  <c r="AB464" i="20"/>
  <c r="AG50" i="20"/>
  <c r="AB744" i="20"/>
  <c r="Y466" i="20"/>
  <c r="AA185" i="20"/>
  <c r="AD554" i="20"/>
  <c r="AF506" i="20"/>
  <c r="Z865" i="20"/>
  <c r="Y706" i="20"/>
  <c r="Z829" i="20"/>
  <c r="Z570" i="20"/>
  <c r="AG888" i="20"/>
  <c r="Z44" i="20"/>
  <c r="Z368" i="20"/>
  <c r="AK908" i="20"/>
  <c r="AG592" i="20"/>
  <c r="AG889" i="20"/>
  <c r="Y6" i="20"/>
  <c r="AK557" i="20"/>
  <c r="AE904" i="20"/>
  <c r="AF300" i="20"/>
  <c r="AD163" i="20"/>
  <c r="AE280" i="20"/>
  <c r="Y381" i="20"/>
  <c r="AE489" i="20"/>
  <c r="AG749" i="20"/>
  <c r="Z843" i="20"/>
  <c r="AD896" i="20"/>
  <c r="Z481" i="20"/>
  <c r="AK333" i="20"/>
  <c r="AE79" i="20"/>
  <c r="AD853" i="20"/>
  <c r="AD651" i="20"/>
  <c r="Z228" i="20"/>
  <c r="Y866" i="20"/>
  <c r="AC471" i="20"/>
  <c r="Z644" i="20"/>
  <c r="AF894" i="20"/>
  <c r="AE566" i="20"/>
  <c r="AA391" i="20"/>
  <c r="AG382" i="20"/>
  <c r="AC764" i="20"/>
  <c r="AF484" i="20"/>
  <c r="AF12" i="20"/>
  <c r="AF770" i="20"/>
  <c r="AE526" i="20"/>
  <c r="AA678" i="20"/>
  <c r="AD201" i="20"/>
  <c r="Z868" i="20"/>
  <c r="Z492" i="20"/>
  <c r="AB168" i="20"/>
  <c r="AI701" i="20"/>
  <c r="AA632" i="20"/>
  <c r="AA588" i="20"/>
  <c r="AK879" i="20"/>
  <c r="AD906" i="20"/>
  <c r="AG97" i="20"/>
  <c r="AC283" i="20"/>
  <c r="Z141" i="20"/>
  <c r="Z930" i="20"/>
  <c r="AC882" i="20"/>
  <c r="Z541" i="20"/>
  <c r="AD403" i="20"/>
  <c r="AC513" i="20"/>
  <c r="AE401" i="20"/>
  <c r="Y461" i="20"/>
  <c r="AC261" i="20"/>
  <c r="AA823" i="20"/>
  <c r="AD703" i="20"/>
  <c r="AG514" i="20"/>
  <c r="AC766" i="20"/>
  <c r="AF818" i="20"/>
  <c r="Y758" i="20"/>
  <c r="AD362" i="20"/>
  <c r="AG169" i="20"/>
  <c r="AC548" i="20"/>
  <c r="Y862" i="20"/>
  <c r="AG607" i="20"/>
  <c r="AE385" i="20"/>
  <c r="AK123" i="20"/>
  <c r="AK670" i="20"/>
  <c r="AE773" i="20"/>
  <c r="Y900" i="20"/>
  <c r="AE267" i="20"/>
  <c r="Z190" i="20"/>
  <c r="AK773" i="20"/>
  <c r="AK668" i="20"/>
  <c r="Y524" i="20"/>
  <c r="Z577" i="20"/>
  <c r="AC719" i="20"/>
  <c r="Z276" i="20"/>
  <c r="AF600" i="20"/>
  <c r="AE486" i="20"/>
  <c r="AC430" i="20"/>
  <c r="AC788" i="20"/>
  <c r="Z409" i="20"/>
  <c r="AK417" i="20"/>
  <c r="AC411" i="20"/>
  <c r="AF605" i="20"/>
  <c r="AG860" i="20"/>
  <c r="AA720" i="20"/>
  <c r="AC742" i="20"/>
  <c r="AF704" i="20"/>
  <c r="AK332" i="20"/>
  <c r="AA450" i="20"/>
  <c r="AD363" i="20"/>
  <c r="AF254" i="20"/>
  <c r="Y652" i="20"/>
  <c r="AB863" i="20"/>
  <c r="AE704" i="20"/>
  <c r="AG863" i="20"/>
  <c r="Z75" i="20"/>
  <c r="AB683" i="20"/>
  <c r="AE254" i="20"/>
  <c r="AK720" i="20"/>
  <c r="AK438" i="20"/>
  <c r="AC849" i="20"/>
  <c r="AF437" i="20"/>
  <c r="Y663" i="20"/>
  <c r="Y386" i="20"/>
  <c r="Z914" i="20"/>
  <c r="AK462" i="20"/>
  <c r="Y197" i="20"/>
  <c r="AG663" i="20"/>
  <c r="AD241" i="20"/>
  <c r="Z22" i="20"/>
  <c r="AE519" i="20"/>
  <c r="AA516" i="20"/>
  <c r="AD519" i="20"/>
  <c r="AD544" i="20"/>
  <c r="AG405" i="20"/>
  <c r="AE816" i="20"/>
  <c r="AA817" i="20"/>
  <c r="AK682" i="20"/>
  <c r="AA405" i="20"/>
  <c r="AE74" i="20"/>
  <c r="AD74" i="20"/>
  <c r="Z82" i="20"/>
  <c r="AD346" i="20"/>
  <c r="AE346" i="20"/>
  <c r="AB445" i="20"/>
  <c r="AE82" i="20"/>
  <c r="AK445" i="20"/>
  <c r="AG681" i="20"/>
  <c r="Y445" i="20"/>
  <c r="AB77" i="20"/>
  <c r="AF77" i="20"/>
  <c r="AD760" i="20"/>
  <c r="AE634" i="20"/>
  <c r="AG77" i="20"/>
  <c r="AK760" i="20"/>
  <c r="AB311" i="20"/>
  <c r="AE311" i="20"/>
  <c r="AB669" i="20"/>
  <c r="AK601" i="20"/>
  <c r="AE669" i="20"/>
  <c r="AB601" i="20"/>
  <c r="AG595" i="20"/>
  <c r="AB153" i="20"/>
  <c r="AG180" i="20"/>
  <c r="Y661" i="20"/>
  <c r="AE153" i="20"/>
  <c r="AB180" i="20"/>
  <c r="AA912" i="20"/>
  <c r="AG649" i="20"/>
  <c r="Z330" i="20"/>
  <c r="AK616" i="20"/>
  <c r="Z616" i="20"/>
  <c r="AB649" i="20"/>
  <c r="AB85" i="20"/>
  <c r="Z144" i="20"/>
  <c r="Y684" i="20"/>
  <c r="AK446" i="20"/>
  <c r="AD713" i="20"/>
  <c r="AD24" i="20"/>
  <c r="AC171" i="20"/>
  <c r="AF449" i="20"/>
  <c r="AK679" i="20"/>
  <c r="AA144" i="20"/>
  <c r="AB364" i="20"/>
  <c r="Y867" i="20"/>
  <c r="AD147" i="20"/>
  <c r="AF27" i="20"/>
  <c r="AC465" i="20"/>
  <c r="AG224" i="20"/>
  <c r="AD228" i="20"/>
  <c r="AD722" i="20"/>
  <c r="AG364" i="20"/>
  <c r="AC713" i="20"/>
  <c r="AE24" i="20"/>
  <c r="AB171" i="20"/>
  <c r="AG89" i="20"/>
  <c r="Z533" i="20"/>
  <c r="AK722" i="20"/>
  <c r="Z312" i="20"/>
  <c r="AK916" i="20"/>
  <c r="AD388" i="20"/>
  <c r="AF471" i="20"/>
  <c r="AA562" i="20"/>
  <c r="AD644" i="20"/>
  <c r="AB645" i="20"/>
  <c r="AG138" i="20"/>
  <c r="AG913" i="20"/>
  <c r="AF147" i="20"/>
  <c r="AG465" i="20"/>
  <c r="Y533" i="20"/>
  <c r="AD262" i="20"/>
  <c r="AD609" i="20"/>
  <c r="Y100" i="20"/>
  <c r="AF917" i="20"/>
  <c r="AD471" i="20"/>
  <c r="AA114" i="20"/>
  <c r="AK159" i="20"/>
  <c r="AC645" i="20"/>
  <c r="AA326" i="20"/>
  <c r="AK204" i="20"/>
  <c r="AG469" i="20"/>
  <c r="AF218" i="20"/>
  <c r="AD655" i="20"/>
  <c r="AD358" i="20"/>
  <c r="AC269" i="20"/>
  <c r="AG874" i="20"/>
  <c r="AD870" i="20"/>
  <c r="AC391" i="20"/>
  <c r="AF913" i="20"/>
  <c r="AB789" i="20"/>
  <c r="AA648" i="20"/>
  <c r="AD27" i="20"/>
  <c r="AB465" i="20"/>
  <c r="AF224" i="20"/>
  <c r="AK228" i="20"/>
  <c r="I41" i="86" s="1"/>
  <c r="L41" i="86" s="1"/>
  <c r="AG722" i="20"/>
  <c r="AK312" i="20"/>
  <c r="AD866" i="20"/>
  <c r="Y501" i="20"/>
  <c r="AE388" i="20"/>
  <c r="AE917" i="20"/>
  <c r="AB471" i="20"/>
  <c r="Z114" i="20"/>
  <c r="AB562" i="20"/>
  <c r="AD159" i="20"/>
  <c r="AG747" i="20"/>
  <c r="AB162" i="20"/>
  <c r="AA869" i="20"/>
  <c r="AA894" i="20"/>
  <c r="AF204" i="20"/>
  <c r="AF469" i="20"/>
  <c r="Y458" i="20"/>
  <c r="AC566" i="20"/>
  <c r="AF655" i="20"/>
  <c r="Y482" i="20"/>
  <c r="AE187" i="20"/>
  <c r="AF118" i="20"/>
  <c r="AD874" i="20"/>
  <c r="Z397" i="20"/>
  <c r="Y870" i="20"/>
  <c r="Z391" i="20"/>
  <c r="AE750" i="20"/>
  <c r="Y824" i="20"/>
  <c r="AE382" i="20"/>
  <c r="AF551" i="20"/>
  <c r="AC794" i="20"/>
  <c r="AE751" i="20"/>
  <c r="AD701" i="20"/>
  <c r="AA611" i="20"/>
  <c r="AA398" i="20"/>
  <c r="AF164" i="20"/>
  <c r="AA872" i="20"/>
  <c r="Z399" i="20"/>
  <c r="Y150" i="20"/>
  <c r="AE770" i="20"/>
  <c r="AG211" i="20"/>
  <c r="Z441" i="20"/>
  <c r="AK526" i="20"/>
  <c r="AC789" i="20"/>
  <c r="AF24" i="20"/>
  <c r="AA465" i="20"/>
  <c r="AB533" i="20"/>
  <c r="AB262" i="20"/>
  <c r="AG100" i="20"/>
  <c r="Y471" i="20"/>
  <c r="AB9" i="20"/>
  <c r="AG644" i="20"/>
  <c r="AB325" i="20"/>
  <c r="AD894" i="20"/>
  <c r="AK490" i="20"/>
  <c r="AF482" i="20"/>
  <c r="AC187" i="20"/>
  <c r="AB397" i="20"/>
  <c r="AF391" i="20"/>
  <c r="Y750" i="20"/>
  <c r="AE32" i="20"/>
  <c r="AC135" i="20"/>
  <c r="AG764" i="20"/>
  <c r="AE33" i="20"/>
  <c r="AE484" i="20"/>
  <c r="AC398" i="20"/>
  <c r="Y12" i="20"/>
  <c r="AA399" i="20"/>
  <c r="Y350" i="20"/>
  <c r="AG441" i="20"/>
  <c r="AK522" i="20"/>
  <c r="AF225" i="20"/>
  <c r="AE678" i="20"/>
  <c r="Z201" i="20"/>
  <c r="AF202" i="20"/>
  <c r="Z774" i="20"/>
  <c r="AB613" i="20"/>
  <c r="AE492" i="20"/>
  <c r="AC472" i="20"/>
  <c r="AG70" i="20"/>
  <c r="Z107" i="20"/>
  <c r="AB78" i="20"/>
  <c r="AE790" i="20"/>
  <c r="AG633" i="20"/>
  <c r="Z427" i="20"/>
  <c r="AE26" i="20"/>
  <c r="Z364" i="20"/>
  <c r="AG648" i="20"/>
  <c r="AG449" i="20"/>
  <c r="AC599" i="20"/>
  <c r="AC578" i="20"/>
  <c r="AC916" i="20"/>
  <c r="AK247" i="20"/>
  <c r="AG562" i="20"/>
  <c r="AA644" i="20"/>
  <c r="AG325" i="20"/>
  <c r="AD326" i="20"/>
  <c r="AG490" i="20"/>
  <c r="AD218" i="20"/>
  <c r="AA187" i="20"/>
  <c r="AE874" i="20"/>
  <c r="AF621" i="20"/>
  <c r="AB750" i="20"/>
  <c r="AF32" i="20"/>
  <c r="AA551" i="20"/>
  <c r="AG794" i="20"/>
  <c r="AK751" i="20"/>
  <c r="AF701" i="20"/>
  <c r="Y398" i="20"/>
  <c r="AE872" i="20"/>
  <c r="AE150" i="20"/>
  <c r="AE211" i="20"/>
  <c r="AD761" i="20"/>
  <c r="AA522" i="20"/>
  <c r="Y903" i="20"/>
  <c r="AC678" i="20"/>
  <c r="AG815" i="20"/>
  <c r="AC201" i="20"/>
  <c r="Z10" i="20"/>
  <c r="AC868" i="20"/>
  <c r="AK613" i="20"/>
  <c r="AB492" i="20"/>
  <c r="AC168" i="20"/>
  <c r="AB70" i="20"/>
  <c r="AB107" i="20"/>
  <c r="AA378" i="20"/>
  <c r="AB790" i="20"/>
  <c r="AC633" i="20"/>
  <c r="AF427" i="20"/>
  <c r="Y297" i="20"/>
  <c r="AF252" i="20"/>
  <c r="AE277" i="20"/>
  <c r="AD131" i="20"/>
  <c r="AF721" i="20"/>
  <c r="AF662" i="20"/>
  <c r="AE672" i="20"/>
  <c r="AC86" i="20"/>
  <c r="AK851" i="20"/>
  <c r="AK380" i="20"/>
  <c r="AF69" i="20"/>
  <c r="AD170" i="20"/>
  <c r="AG520" i="20"/>
  <c r="AK253" i="20"/>
  <c r="AF50" i="20"/>
  <c r="AA744" i="20"/>
  <c r="Z745" i="20"/>
  <c r="AA195" i="20"/>
  <c r="AC185" i="20"/>
  <c r="AG554" i="20"/>
  <c r="AG191" i="20"/>
  <c r="AB340" i="20"/>
  <c r="AE916" i="20"/>
  <c r="AA318" i="20"/>
  <c r="AA499" i="20"/>
  <c r="AC588" i="20"/>
  <c r="AG141" i="20"/>
  <c r="AF222" i="20"/>
  <c r="Y401" i="20"/>
  <c r="AG413" i="20"/>
  <c r="AC862" i="20"/>
  <c r="AE766" i="20"/>
  <c r="AC456" i="20"/>
  <c r="Z362" i="20"/>
  <c r="AK577" i="20"/>
  <c r="AA641" i="20"/>
  <c r="AF261" i="20"/>
  <c r="Y267" i="20"/>
  <c r="AG788" i="20"/>
  <c r="Z796" i="20"/>
  <c r="Z668" i="20"/>
  <c r="AG625" i="20"/>
  <c r="Z600" i="20"/>
  <c r="Y628" i="20"/>
  <c r="AD814" i="20"/>
  <c r="AG408" i="20"/>
  <c r="AB336" i="20"/>
  <c r="D15" i="37" s="1"/>
  <c r="AA742" i="20"/>
  <c r="AF386" i="20"/>
  <c r="AA241" i="20"/>
  <c r="AF242" i="20"/>
  <c r="AB348" i="20"/>
  <c r="AG450" i="20"/>
  <c r="AC720" i="20"/>
  <c r="AK155" i="20"/>
  <c r="AB914" i="20"/>
  <c r="AE849" i="20"/>
  <c r="AD782" i="20"/>
  <c r="AE914" i="20"/>
  <c r="AD338" i="20"/>
  <c r="Y21" i="20"/>
  <c r="AC545" i="20"/>
  <c r="AG517" i="20"/>
  <c r="AD23" i="20"/>
  <c r="AE517" i="20"/>
  <c r="AK345" i="20"/>
  <c r="AF82" i="20"/>
  <c r="AD445" i="20"/>
  <c r="AE445" i="20"/>
  <c r="AB439" i="20"/>
  <c r="Z77" i="20"/>
  <c r="Z304" i="20"/>
  <c r="Y311" i="20"/>
  <c r="AK311" i="20"/>
  <c r="AG669" i="20"/>
  <c r="Y601" i="20"/>
  <c r="Y153" i="20"/>
  <c r="Z661" i="20"/>
  <c r="Y180" i="20"/>
  <c r="AC649" i="20"/>
  <c r="Z85" i="20"/>
  <c r="Y649" i="20"/>
  <c r="AD144" i="20"/>
  <c r="AF446" i="20"/>
  <c r="Z48" i="20"/>
  <c r="AD465" i="20"/>
  <c r="AG144" i="20"/>
  <c r="AF867" i="20"/>
  <c r="AK171" i="20"/>
  <c r="AA599" i="20"/>
  <c r="AB144" i="20"/>
  <c r="AE390" i="20"/>
  <c r="AA51" i="20"/>
  <c r="AF533" i="20"/>
  <c r="AE609" i="20"/>
  <c r="AA247" i="20"/>
  <c r="AD562" i="20"/>
  <c r="AG162" i="20"/>
  <c r="AF783" i="20"/>
  <c r="Y89" i="20"/>
  <c r="AE262" i="20"/>
  <c r="AC388" i="20"/>
  <c r="Z42" i="20"/>
  <c r="AA159" i="20"/>
  <c r="AG326" i="20"/>
  <c r="Z458" i="20"/>
  <c r="AD482" i="20"/>
  <c r="AD269" i="20"/>
  <c r="AD621" i="20"/>
  <c r="AD783" i="20"/>
  <c r="Z648" i="20"/>
  <c r="Y68" i="20"/>
  <c r="AE340" i="20"/>
  <c r="AB609" i="20"/>
  <c r="AC501" i="20"/>
  <c r="AA593" i="20"/>
  <c r="AF114" i="20"/>
  <c r="AK644" i="20"/>
  <c r="AA162" i="20"/>
  <c r="Z894" i="20"/>
  <c r="AC469" i="20"/>
  <c r="AD566" i="20"/>
  <c r="AC482" i="20"/>
  <c r="AK269" i="20"/>
  <c r="AA870" i="20"/>
  <c r="AE188" i="20"/>
  <c r="AB824" i="20"/>
  <c r="AB135" i="20"/>
  <c r="AG751" i="20"/>
  <c r="AF611" i="20"/>
  <c r="AC12" i="20"/>
  <c r="AG399" i="20"/>
  <c r="AC770" i="20"/>
  <c r="AE761" i="20"/>
  <c r="AF144" i="20"/>
  <c r="AE651" i="20"/>
  <c r="AG228" i="20"/>
  <c r="AE247" i="20"/>
  <c r="AC562" i="20"/>
  <c r="AD138" i="20"/>
  <c r="Y566" i="20"/>
  <c r="AE118" i="20"/>
  <c r="AG391" i="20"/>
  <c r="AK32" i="20"/>
  <c r="AD751" i="20"/>
  <c r="Y484" i="20"/>
  <c r="AB872" i="20"/>
  <c r="AC350" i="20"/>
  <c r="AF441" i="20"/>
  <c r="AC225" i="20"/>
  <c r="AF201" i="20"/>
  <c r="AE774" i="20"/>
  <c r="AK492" i="20"/>
  <c r="AA70" i="20"/>
  <c r="Y78" i="20"/>
  <c r="AK633" i="20"/>
  <c r="AG26" i="20"/>
  <c r="AC48" i="20"/>
  <c r="AD533" i="20"/>
  <c r="AB100" i="20"/>
  <c r="AD531" i="20"/>
  <c r="AB138" i="20"/>
  <c r="AB469" i="20"/>
  <c r="AG187" i="20"/>
  <c r="AA188" i="20"/>
  <c r="AF382" i="20"/>
  <c r="AA764" i="20"/>
  <c r="AK701" i="20"/>
  <c r="AD872" i="20"/>
  <c r="AK211" i="20"/>
  <c r="AF522" i="20"/>
  <c r="AD678" i="20"/>
  <c r="AC202" i="20"/>
  <c r="Y774" i="20"/>
  <c r="AD492" i="20"/>
  <c r="AK37" i="20"/>
  <c r="AF378" i="20"/>
  <c r="AE521" i="20"/>
  <c r="AB297" i="20"/>
  <c r="AB277" i="20"/>
  <c r="AC721" i="20"/>
  <c r="Z672" i="20"/>
  <c r="AE707" i="20"/>
  <c r="Z69" i="20"/>
  <c r="AC520" i="20"/>
  <c r="Z858" i="20"/>
  <c r="AE745" i="20"/>
  <c r="AE573" i="20"/>
  <c r="AF390" i="20"/>
  <c r="AA100" i="20"/>
  <c r="AE159" i="20"/>
  <c r="AK469" i="20"/>
  <c r="AC118" i="20"/>
  <c r="Y391" i="20"/>
  <c r="AK135" i="20"/>
  <c r="AG701" i="20"/>
  <c r="AA12" i="20"/>
  <c r="AA761" i="20"/>
  <c r="AC522" i="20"/>
  <c r="AB815" i="20"/>
  <c r="AK10" i="20"/>
  <c r="AG613" i="20"/>
  <c r="AD107" i="20"/>
  <c r="AA521" i="20"/>
  <c r="AD26" i="20"/>
  <c r="AB131" i="20"/>
  <c r="AB721" i="20"/>
  <c r="AB672" i="20"/>
  <c r="Z851" i="20"/>
  <c r="AG69" i="20"/>
  <c r="Z170" i="20"/>
  <c r="AC464" i="20"/>
  <c r="AB858" i="20"/>
  <c r="AC52" i="20"/>
  <c r="AK185" i="20"/>
  <c r="AA554" i="20"/>
  <c r="AE865" i="20"/>
  <c r="AB377" i="20"/>
  <c r="AC305" i="20"/>
  <c r="Y367" i="20"/>
  <c r="AF44" i="20"/>
  <c r="Y181" i="20"/>
  <c r="AC592" i="20"/>
  <c r="AC55" i="20"/>
  <c r="AF6" i="20"/>
  <c r="Z904" i="20"/>
  <c r="Y803" i="20"/>
  <c r="Z280" i="20"/>
  <c r="Z381" i="20"/>
  <c r="AC489" i="20"/>
  <c r="AC480" i="20"/>
  <c r="AK843" i="20"/>
  <c r="AE481" i="20"/>
  <c r="AD133" i="20"/>
  <c r="AB853" i="20"/>
  <c r="AG51" i="20"/>
  <c r="Z262" i="20"/>
  <c r="AB247" i="20"/>
  <c r="Y645" i="20"/>
  <c r="AE469" i="20"/>
  <c r="AD187" i="20"/>
  <c r="AF135" i="20"/>
  <c r="AB701" i="20"/>
  <c r="AG12" i="20"/>
  <c r="AC211" i="20"/>
  <c r="Z761" i="20"/>
  <c r="Y678" i="20"/>
  <c r="Z202" i="20"/>
  <c r="AC613" i="20"/>
  <c r="Z168" i="20"/>
  <c r="AA78" i="20"/>
  <c r="AD790" i="20"/>
  <c r="Y521" i="20"/>
  <c r="AF277" i="20"/>
  <c r="AK131" i="20"/>
  <c r="Z721" i="20"/>
  <c r="AE901" i="20"/>
  <c r="AF435" i="20"/>
  <c r="Y851" i="20"/>
  <c r="AE69" i="20"/>
  <c r="AB170" i="20"/>
  <c r="Y50" i="20"/>
  <c r="AE744" i="20"/>
  <c r="AF52" i="20"/>
  <c r="AB185" i="20"/>
  <c r="AB554" i="20"/>
  <c r="Y173" i="20"/>
  <c r="Y865" i="20"/>
  <c r="AE377" i="20"/>
  <c r="AG829" i="20"/>
  <c r="AG570" i="20"/>
  <c r="Y888" i="20"/>
  <c r="AB494" i="20"/>
  <c r="AE368" i="20"/>
  <c r="AG181" i="20"/>
  <c r="Z592" i="20"/>
  <c r="AB291" i="20"/>
  <c r="AE889" i="20"/>
  <c r="AG6" i="20"/>
  <c r="AG455" i="20"/>
  <c r="AG695" i="20"/>
  <c r="AK300" i="20"/>
  <c r="AK803" i="20"/>
  <c r="AC280" i="20"/>
  <c r="AA381" i="20"/>
  <c r="AB314" i="20"/>
  <c r="AD749" i="20"/>
  <c r="AG480" i="20"/>
  <c r="AC811" i="20"/>
  <c r="AG896" i="20"/>
  <c r="AA532" i="20"/>
  <c r="AK654" i="20"/>
  <c r="AE333" i="20"/>
  <c r="AB79" i="20"/>
  <c r="AA264" i="20"/>
  <c r="AF149" i="20"/>
  <c r="Y822" i="20"/>
  <c r="AA281" i="20"/>
  <c r="AK528" i="20"/>
  <c r="AD583" i="20"/>
  <c r="AA876" i="20"/>
  <c r="AB372" i="20"/>
  <c r="AE529" i="20"/>
  <c r="AC657" i="20"/>
  <c r="AE687" i="20"/>
  <c r="AK898" i="20"/>
  <c r="AC729" i="20"/>
  <c r="AK272" i="20"/>
  <c r="Z785" i="20"/>
  <c r="AB857" i="20"/>
  <c r="AE708" i="20"/>
  <c r="AC226" i="20"/>
  <c r="AK533" i="20"/>
  <c r="AE531" i="20"/>
  <c r="AE870" i="20"/>
  <c r="AK551" i="20"/>
  <c r="AD611" i="20"/>
  <c r="AA350" i="20"/>
  <c r="AB761" i="20"/>
  <c r="AF146" i="20"/>
  <c r="AA774" i="20"/>
  <c r="AG168" i="20"/>
  <c r="AF790" i="20"/>
  <c r="AA26" i="20"/>
  <c r="AD154" i="20"/>
  <c r="Z901" i="20"/>
  <c r="AE851" i="20"/>
  <c r="Z83" i="20"/>
  <c r="AD253" i="20"/>
  <c r="Y52" i="20"/>
  <c r="Y185" i="20"/>
  <c r="AB173" i="20"/>
  <c r="AF377" i="20"/>
  <c r="AD570" i="20"/>
  <c r="AF888" i="20"/>
  <c r="AF368" i="20"/>
  <c r="AK889" i="20"/>
  <c r="AF557" i="20"/>
  <c r="AC300" i="20"/>
  <c r="AB280" i="20"/>
  <c r="Z749" i="20"/>
  <c r="AD843" i="20"/>
  <c r="AC654" i="20"/>
  <c r="AD79" i="20"/>
  <c r="AG853" i="20"/>
  <c r="AG875" i="20"/>
  <c r="AF715" i="20"/>
  <c r="AG800" i="20"/>
  <c r="AA220" i="20"/>
  <c r="Y529" i="20"/>
  <c r="AF687" i="20"/>
  <c r="AC597" i="20"/>
  <c r="AD785" i="20"/>
  <c r="AK857" i="20"/>
  <c r="AF708" i="20"/>
  <c r="AA451" i="20"/>
  <c r="AF428" i="20"/>
  <c r="AG30" i="20"/>
  <c r="AK186" i="20"/>
  <c r="AD467" i="20"/>
  <c r="AD810" i="20"/>
  <c r="Z115" i="20"/>
  <c r="Z852" i="20"/>
  <c r="AA594" i="20"/>
  <c r="AK504" i="20"/>
  <c r="Y488" i="20"/>
  <c r="Z160" i="20"/>
  <c r="AG20" i="20"/>
  <c r="AE877" i="20"/>
  <c r="AA902" i="20"/>
  <c r="AE626" i="20"/>
  <c r="AG463" i="20"/>
  <c r="AC240" i="20"/>
  <c r="Z565" i="20"/>
  <c r="Y87" i="20"/>
  <c r="AG712" i="20"/>
  <c r="Y819" i="20"/>
  <c r="AA296" i="20"/>
  <c r="AF25" i="20"/>
  <c r="AD696" i="20"/>
  <c r="AC407" i="20"/>
  <c r="AD738" i="20"/>
  <c r="AC739" i="20"/>
  <c r="AF546" i="20"/>
  <c r="AE674" i="20"/>
  <c r="AK743" i="20"/>
  <c r="AG619" i="20"/>
  <c r="AE194" i="20"/>
  <c r="AF29" i="20"/>
  <c r="AK561" i="20"/>
  <c r="AG553" i="20"/>
  <c r="AG419" i="20"/>
  <c r="AB828" i="20"/>
  <c r="AB366" i="20"/>
  <c r="AE907" i="20"/>
  <c r="AC470" i="20"/>
  <c r="AF734" i="20"/>
  <c r="AD290" i="20"/>
  <c r="AA886" i="20"/>
  <c r="AE612" i="20"/>
  <c r="AD495" i="20"/>
  <c r="AB571" i="20"/>
  <c r="AA574" i="20"/>
  <c r="AF555" i="20"/>
  <c r="AB487" i="20"/>
  <c r="AK792" i="20"/>
  <c r="Z580" i="20"/>
  <c r="Z248" i="20"/>
  <c r="Y527" i="20"/>
  <c r="AK307" i="20"/>
  <c r="Y479" i="20"/>
  <c r="AG421" i="20"/>
  <c r="Z775" i="20"/>
  <c r="Z831" i="20"/>
  <c r="AB840" i="20"/>
  <c r="AF443" i="20"/>
  <c r="AK364" i="20"/>
  <c r="Y312" i="20"/>
  <c r="Z869" i="20"/>
  <c r="AD118" i="20"/>
  <c r="AE135" i="20"/>
  <c r="AB164" i="20"/>
  <c r="Z903" i="20"/>
  <c r="AG202" i="20"/>
  <c r="AC537" i="20"/>
  <c r="AA107" i="20"/>
  <c r="AC26" i="20"/>
  <c r="AD721" i="20"/>
  <c r="Z435" i="20"/>
  <c r="AK69" i="20"/>
  <c r="Z253" i="20"/>
  <c r="Z52" i="20"/>
  <c r="AE195" i="20"/>
  <c r="AC554" i="20"/>
  <c r="AC865" i="20"/>
  <c r="AC829" i="20"/>
  <c r="AF367" i="20"/>
  <c r="AA368" i="20"/>
  <c r="AD908" i="20"/>
  <c r="AF291" i="20"/>
  <c r="Z557" i="20"/>
  <c r="Z695" i="20"/>
  <c r="AG300" i="20"/>
  <c r="AK280" i="20"/>
  <c r="AD381" i="20"/>
  <c r="AE749" i="20"/>
  <c r="Z896" i="20"/>
  <c r="AD481" i="20"/>
  <c r="Y133" i="20"/>
  <c r="AC853" i="20"/>
  <c r="AB875" i="20"/>
  <c r="AK281" i="20"/>
  <c r="AD715" i="20"/>
  <c r="Y800" i="20"/>
  <c r="AF220" i="20"/>
  <c r="Z657" i="20"/>
  <c r="AE530" i="20"/>
  <c r="Y898" i="20"/>
  <c r="AA272" i="20"/>
  <c r="AC785" i="20"/>
  <c r="AE837" i="20"/>
  <c r="AC765" i="20"/>
  <c r="Z451" i="20"/>
  <c r="AD428" i="20"/>
  <c r="AA313" i="20"/>
  <c r="AB186" i="20"/>
  <c r="AD217" i="20"/>
  <c r="AC810" i="20"/>
  <c r="AC769" i="20"/>
  <c r="AK909" i="20"/>
  <c r="AG852" i="20"/>
  <c r="Z594" i="20"/>
  <c r="Z488" i="20"/>
  <c r="AB371" i="20"/>
  <c r="AA160" i="20"/>
  <c r="Y20" i="20"/>
  <c r="AF877" i="20"/>
  <c r="AK902" i="20"/>
  <c r="AC759" i="20"/>
  <c r="AE320" i="20"/>
  <c r="AB240" i="20"/>
  <c r="AB565" i="20"/>
  <c r="AG87" i="20"/>
  <c r="AB712" i="20"/>
  <c r="AA819" i="20"/>
  <c r="Y598" i="20"/>
  <c r="AE25" i="20"/>
  <c r="AG784" i="20"/>
  <c r="AF696" i="20"/>
  <c r="AD407" i="20"/>
  <c r="AG250" i="20"/>
  <c r="AB739" i="20"/>
  <c r="Z546" i="20"/>
  <c r="AA674" i="20"/>
  <c r="Y619" i="20"/>
  <c r="Y322" i="20"/>
  <c r="AK29" i="20"/>
  <c r="AG884" i="20"/>
  <c r="AB553" i="20"/>
  <c r="Y419" i="20"/>
  <c r="AD828" i="20"/>
  <c r="AE366" i="20"/>
  <c r="AC653" i="20"/>
  <c r="Z470" i="20"/>
  <c r="AA734" i="20"/>
  <c r="AF290" i="20"/>
  <c r="AK886" i="20"/>
  <c r="AB612" i="20"/>
  <c r="AG495" i="20"/>
  <c r="Z571" i="20"/>
  <c r="AE46" i="20"/>
  <c r="AA555" i="20"/>
  <c r="AA487" i="20"/>
  <c r="AC792" i="20"/>
  <c r="AA580" i="20"/>
  <c r="AB762" i="20"/>
  <c r="AC248" i="20"/>
  <c r="Z550" i="20"/>
  <c r="AF479" i="20"/>
  <c r="Y421" i="20"/>
  <c r="AG238" i="20"/>
  <c r="AK831" i="20"/>
  <c r="AG840" i="20"/>
  <c r="AC582" i="20"/>
  <c r="AK327" i="20"/>
  <c r="Y629" i="20"/>
  <c r="AK726" i="20"/>
  <c r="Y349" i="20"/>
  <c r="AG871" i="20"/>
  <c r="AE491" i="20"/>
  <c r="AF259" i="20"/>
  <c r="AK793" i="20"/>
  <c r="Z727" i="20"/>
  <c r="AF686" i="20"/>
  <c r="AB92" i="20"/>
  <c r="AF356" i="20"/>
  <c r="AK665" i="20"/>
  <c r="AG730" i="20"/>
  <c r="Y271" i="20"/>
  <c r="AA383" i="20"/>
  <c r="AB856" i="20"/>
  <c r="AD384" i="20"/>
  <c r="AF189" i="20"/>
  <c r="AG431" i="20"/>
  <c r="AE27" i="20"/>
  <c r="AC159" i="20"/>
  <c r="AA382" i="20"/>
  <c r="AA815" i="20"/>
  <c r="AB472" i="20"/>
  <c r="Y26" i="20"/>
  <c r="AD662" i="20"/>
  <c r="AD707" i="20"/>
  <c r="AD466" i="20"/>
  <c r="AA865" i="20"/>
  <c r="AD888" i="20"/>
  <c r="AF908" i="20"/>
  <c r="AC455" i="20"/>
  <c r="AF749" i="20"/>
  <c r="AF532" i="20"/>
  <c r="AF264" i="20"/>
  <c r="AA715" i="20"/>
  <c r="AB876" i="20"/>
  <c r="AG687" i="20"/>
  <c r="AD729" i="20"/>
  <c r="AB64" i="20"/>
  <c r="AK226" i="20"/>
  <c r="AC30" i="20"/>
  <c r="AE467" i="20"/>
  <c r="AB769" i="20"/>
  <c r="AB852" i="20"/>
  <c r="Z504" i="20"/>
  <c r="AB63" i="20"/>
  <c r="AE685" i="20"/>
  <c r="Y626" i="20"/>
  <c r="Y240" i="20"/>
  <c r="AF244" i="20"/>
  <c r="AD712" i="20"/>
  <c r="AG819" i="20"/>
  <c r="AB784" i="20"/>
  <c r="Y407" i="20"/>
  <c r="AD739" i="20"/>
  <c r="Y546" i="20"/>
  <c r="AK619" i="20"/>
  <c r="AK194" i="20"/>
  <c r="AB454" i="20"/>
  <c r="AF366" i="20"/>
  <c r="AK880" i="20"/>
  <c r="AE886" i="20"/>
  <c r="AA102" i="20"/>
  <c r="AC574" i="20"/>
  <c r="Z203" i="20"/>
  <c r="AD762" i="20"/>
  <c r="AG527" i="20"/>
  <c r="AK421" i="20"/>
  <c r="AB775" i="20"/>
  <c r="AK582" i="20"/>
  <c r="AK124" i="20"/>
  <c r="AK629" i="20"/>
  <c r="AC523" i="20"/>
  <c r="AK586" i="20"/>
  <c r="Z259" i="20"/>
  <c r="AF793" i="20"/>
  <c r="Y728" i="20"/>
  <c r="AC92" i="20"/>
  <c r="AG356" i="20"/>
  <c r="Y730" i="20"/>
  <c r="AK14" i="20"/>
  <c r="AF856" i="20"/>
  <c r="AF702" i="20"/>
  <c r="AC324" i="20"/>
  <c r="AD799" i="20"/>
  <c r="AB196" i="20"/>
  <c r="AA885" i="20"/>
  <c r="AA193" i="20"/>
  <c r="AE596" i="20"/>
  <c r="AG723" i="20"/>
  <c r="AF893" i="20"/>
  <c r="AA714" i="20"/>
  <c r="AK572" i="20"/>
  <c r="Y502" i="20"/>
  <c r="AF342" i="20"/>
  <c r="Y148" i="20"/>
  <c r="AD11" i="20"/>
  <c r="AG591" i="20"/>
  <c r="Z820" i="20"/>
  <c r="AG584" i="20"/>
  <c r="AD310" i="20"/>
  <c r="Z617" i="20"/>
  <c r="Z223" i="20"/>
  <c r="AF850" i="20"/>
  <c r="AF705" i="20"/>
  <c r="AE797" i="20"/>
  <c r="AK505" i="20"/>
  <c r="AF239" i="20"/>
  <c r="AE724" i="20"/>
  <c r="AF396" i="20"/>
  <c r="AD127" i="20"/>
  <c r="Z737" i="20"/>
  <c r="AA741" i="20"/>
  <c r="AD298" i="20"/>
  <c r="AA433" i="20"/>
  <c r="AG677" i="20"/>
  <c r="Z54" i="20"/>
  <c r="Y245" i="20"/>
  <c r="AF560" i="20"/>
  <c r="AB231" i="20"/>
  <c r="Y767" i="20"/>
  <c r="AC590" i="20"/>
  <c r="AF268" i="20"/>
  <c r="AK693" i="20"/>
  <c r="AC108" i="20"/>
  <c r="AG536" i="20"/>
  <c r="AF694" i="20"/>
  <c r="AC279" i="20"/>
  <c r="AE610" i="20"/>
  <c r="AG473" i="20"/>
  <c r="AK56" i="20"/>
  <c r="AD45" i="20"/>
  <c r="AB563" i="20"/>
  <c r="AG230" i="20"/>
  <c r="AE748" i="20"/>
  <c r="AA568" i="20"/>
  <c r="AF753" i="20"/>
  <c r="AC477" i="20"/>
  <c r="AG309" i="20"/>
  <c r="Y541" i="20"/>
  <c r="AG295" i="20"/>
  <c r="AC404" i="20"/>
  <c r="Y120" i="20"/>
  <c r="AF385" i="20"/>
  <c r="AE476" i="20"/>
  <c r="AB823" i="20"/>
  <c r="AK106" i="20"/>
  <c r="AD120" i="20"/>
  <c r="AG406" i="20"/>
  <c r="AK802" i="20"/>
  <c r="AA190" i="20"/>
  <c r="AF142" i="20"/>
  <c r="Y773" i="20"/>
  <c r="AF900" i="20"/>
  <c r="AC848" i="20"/>
  <c r="AD691" i="20"/>
  <c r="AC410" i="20"/>
  <c r="AA411" i="20"/>
  <c r="AE860" i="20"/>
  <c r="AB363" i="20"/>
  <c r="AG711" i="20"/>
  <c r="AB332" i="20"/>
  <c r="AG58" i="20"/>
  <c r="AC75" i="20"/>
  <c r="AK53" i="20"/>
  <c r="AD394" i="20"/>
  <c r="Z241" i="20"/>
  <c r="AC198" i="20"/>
  <c r="AK348" i="20"/>
  <c r="Y676" i="20"/>
  <c r="AG143" i="20"/>
  <c r="Y516" i="20"/>
  <c r="Y545" i="20"/>
  <c r="AD129" i="20"/>
  <c r="Z345" i="20"/>
  <c r="Z682" i="20"/>
  <c r="AA518" i="20"/>
  <c r="AF128" i="20"/>
  <c r="AK439" i="20"/>
  <c r="Y128" i="20"/>
  <c r="Z445" i="20"/>
  <c r="AC128" i="20"/>
  <c r="AC304" i="20"/>
  <c r="AB760" i="20"/>
  <c r="AA634" i="20"/>
  <c r="AA601" i="20"/>
  <c r="Y457" i="20"/>
  <c r="AE457" i="20"/>
  <c r="AK912" i="20"/>
  <c r="AD180" i="20"/>
  <c r="AD153" i="20"/>
  <c r="AG616" i="20"/>
  <c r="AD649" i="20"/>
  <c r="Y251" i="20"/>
  <c r="AB783" i="20"/>
  <c r="AB191" i="20"/>
  <c r="AB651" i="20"/>
  <c r="AD68" i="20"/>
  <c r="Y783" i="20"/>
  <c r="Z713" i="20"/>
  <c r="Z449" i="20"/>
  <c r="AE556" i="20"/>
  <c r="Z913" i="20"/>
  <c r="AK147" i="20"/>
  <c r="AF465" i="20"/>
  <c r="AB228" i="20"/>
  <c r="AF866" i="20"/>
  <c r="AA917" i="20"/>
  <c r="AG531" i="20"/>
  <c r="AK325" i="20"/>
  <c r="AA789" i="20"/>
  <c r="AC224" i="20"/>
  <c r="AG312" i="20"/>
  <c r="AK388" i="20"/>
  <c r="AA42" i="20"/>
  <c r="AA747" i="20"/>
  <c r="Y894" i="20"/>
  <c r="Z218" i="20"/>
  <c r="AF358" i="20"/>
  <c r="AE269" i="20"/>
  <c r="AB391" i="20"/>
  <c r="AC684" i="20"/>
  <c r="AG24" i="20"/>
  <c r="AA68" i="20"/>
  <c r="AC340" i="20"/>
  <c r="AG609" i="20"/>
  <c r="AF100" i="20"/>
  <c r="AD593" i="20"/>
  <c r="AG9" i="20"/>
  <c r="AD747" i="20"/>
  <c r="AF325" i="20"/>
  <c r="AC894" i="20"/>
  <c r="Y469" i="20"/>
  <c r="AA566" i="20"/>
  <c r="Z358" i="20"/>
  <c r="AB269" i="20"/>
  <c r="AF870" i="20"/>
  <c r="AK188" i="20"/>
  <c r="AB32" i="20"/>
  <c r="Y135" i="20"/>
  <c r="AA33" i="20"/>
  <c r="AG611" i="20"/>
  <c r="AD12" i="20"/>
  <c r="Y399" i="20"/>
  <c r="AG770" i="20"/>
  <c r="AK761" i="20"/>
  <c r="AD913" i="20"/>
  <c r="AK27" i="20"/>
  <c r="AB578" i="20"/>
  <c r="AD917" i="20"/>
  <c r="AB531" i="20"/>
  <c r="AF138" i="20"/>
  <c r="AB655" i="20"/>
  <c r="AG269" i="20"/>
  <c r="AF188" i="20"/>
  <c r="Y382" i="20"/>
  <c r="AF751" i="20"/>
  <c r="Y611" i="20"/>
  <c r="AC872" i="20"/>
  <c r="Y770" i="20"/>
  <c r="AA526" i="20"/>
  <c r="AG225" i="20"/>
  <c r="Y201" i="20"/>
  <c r="AB774" i="20"/>
  <c r="AA472" i="20"/>
  <c r="AC37" i="20"/>
  <c r="AC78" i="20"/>
  <c r="AB521" i="20"/>
  <c r="AC252" i="20"/>
  <c r="AK651" i="20"/>
  <c r="Y340" i="20"/>
  <c r="AF388" i="20"/>
  <c r="AC531" i="20"/>
  <c r="AF869" i="20"/>
  <c r="AD469" i="20"/>
  <c r="AK118" i="20"/>
  <c r="AC188" i="20"/>
  <c r="Z382" i="20"/>
  <c r="AD764" i="20"/>
  <c r="AG484" i="20"/>
  <c r="Z872" i="20"/>
  <c r="AG522" i="20"/>
  <c r="Z815" i="20"/>
  <c r="AD202" i="20"/>
  <c r="AC774" i="20"/>
  <c r="Z472" i="20"/>
  <c r="AB37" i="20"/>
  <c r="AG378" i="20"/>
  <c r="AK521" i="20"/>
  <c r="AF26" i="20"/>
  <c r="AB154" i="20"/>
  <c r="Y721" i="20"/>
  <c r="AA435" i="20"/>
  <c r="Z707" i="20"/>
  <c r="AA83" i="20"/>
  <c r="AB253" i="20"/>
  <c r="AF858" i="20"/>
  <c r="AC745" i="20"/>
  <c r="Z573" i="20"/>
  <c r="AC24" i="20"/>
  <c r="AK593" i="20"/>
  <c r="AE869" i="20"/>
  <c r="AC458" i="20"/>
  <c r="Z269" i="20"/>
  <c r="AG824" i="20"/>
  <c r="Y794" i="20"/>
  <c r="AB484" i="20"/>
  <c r="AD150" i="20"/>
  <c r="AG761" i="20"/>
  <c r="AE225" i="20"/>
  <c r="AG146" i="20"/>
  <c r="AB10" i="20"/>
  <c r="Y492" i="20"/>
  <c r="AK107" i="20"/>
  <c r="AC521" i="20"/>
  <c r="Z252" i="20"/>
  <c r="AG131" i="20"/>
  <c r="AK721" i="20"/>
  <c r="AG435" i="20"/>
  <c r="AC707" i="20"/>
  <c r="AC69" i="20"/>
  <c r="Y520" i="20"/>
  <c r="Z50" i="20"/>
  <c r="AD744" i="20"/>
  <c r="Z466" i="20"/>
  <c r="Y573" i="20"/>
  <c r="AG506" i="20"/>
  <c r="AA706" i="20"/>
  <c r="AD377" i="20"/>
  <c r="Y570" i="20"/>
  <c r="AE494" i="20"/>
  <c r="AB368" i="20"/>
  <c r="AE908" i="20"/>
  <c r="AK291" i="20"/>
  <c r="AD55" i="20"/>
  <c r="AB557" i="20"/>
  <c r="AG904" i="20"/>
  <c r="AC803" i="20"/>
  <c r="AF280" i="20"/>
  <c r="AE314" i="20"/>
  <c r="Y489" i="20"/>
  <c r="AE811" i="20"/>
  <c r="AB532" i="20"/>
  <c r="AG481" i="20"/>
  <c r="AC133" i="20"/>
  <c r="AE783" i="20"/>
  <c r="AF89" i="20"/>
  <c r="AC312" i="20"/>
  <c r="AD114" i="20"/>
  <c r="AA138" i="20"/>
  <c r="AF458" i="20"/>
  <c r="AD750" i="20"/>
  <c r="AE794" i="20"/>
  <c r="Z484" i="20"/>
  <c r="AD399" i="20"/>
  <c r="AK441" i="20"/>
  <c r="AC815" i="20"/>
  <c r="AB202" i="20"/>
  <c r="AK537" i="20"/>
  <c r="AF70" i="20"/>
  <c r="AG78" i="20"/>
  <c r="AE633" i="20"/>
  <c r="AK297" i="20"/>
  <c r="AA277" i="20"/>
  <c r="AB883" i="20"/>
  <c r="AG721" i="20"/>
  <c r="AD901" i="20"/>
  <c r="AA86" i="20"/>
  <c r="AA707" i="20"/>
  <c r="AB69" i="20"/>
  <c r="AG253" i="20"/>
  <c r="AA50" i="20"/>
  <c r="AK744" i="20"/>
  <c r="AF466" i="20"/>
  <c r="AG185" i="20"/>
  <c r="Y554" i="20"/>
  <c r="Z173" i="20"/>
  <c r="AK865" i="20"/>
  <c r="AK377" i="20"/>
  <c r="AB305" i="20"/>
  <c r="AA570" i="20"/>
  <c r="Z888" i="20"/>
  <c r="Y494" i="20"/>
  <c r="Z181" i="20"/>
  <c r="AB908" i="20"/>
  <c r="Y592" i="20"/>
  <c r="Y889" i="20"/>
  <c r="AK55" i="20"/>
  <c r="AD557" i="20"/>
  <c r="AK455" i="20"/>
  <c r="AF904" i="20"/>
  <c r="Z803" i="20"/>
  <c r="AK163" i="20"/>
  <c r="AG280" i="20"/>
  <c r="AF381" i="20"/>
  <c r="AD314" i="20"/>
  <c r="AK749" i="20"/>
  <c r="AK480" i="20"/>
  <c r="AF843" i="20"/>
  <c r="Y896" i="20"/>
  <c r="AC532" i="20"/>
  <c r="AF481" i="20"/>
  <c r="AA133" i="20"/>
  <c r="Y79" i="20"/>
  <c r="AE853" i="20"/>
  <c r="AG149" i="20"/>
  <c r="Z875" i="20"/>
  <c r="AA528" i="20"/>
  <c r="AB715" i="20"/>
  <c r="AC583" i="20"/>
  <c r="AF876" i="20"/>
  <c r="Y372" i="20"/>
  <c r="AK529" i="20"/>
  <c r="AD657" i="20"/>
  <c r="AD530" i="20"/>
  <c r="AA729" i="20"/>
  <c r="AA597" i="20"/>
  <c r="AC64" i="20"/>
  <c r="AE785" i="20"/>
  <c r="AG857" i="20"/>
  <c r="AK708" i="20"/>
  <c r="AD226" i="20"/>
  <c r="AE867" i="20"/>
  <c r="Z578" i="20"/>
  <c r="AC325" i="20"/>
  <c r="AE391" i="20"/>
  <c r="AG135" i="20"/>
  <c r="AC164" i="20"/>
  <c r="AK770" i="20"/>
  <c r="AG903" i="20"/>
  <c r="AG201" i="20"/>
  <c r="Z613" i="20"/>
  <c r="AD70" i="20"/>
  <c r="Y633" i="20"/>
  <c r="AD252" i="20"/>
  <c r="AC131" i="20"/>
  <c r="AF672" i="20"/>
  <c r="Y707" i="20"/>
  <c r="Y170" i="20"/>
  <c r="AF464" i="20"/>
  <c r="AB466" i="20"/>
  <c r="AG573" i="20"/>
  <c r="AD865" i="20"/>
  <c r="Y377" i="20"/>
  <c r="AA367" i="20"/>
  <c r="AD494" i="20"/>
  <c r="AC368" i="20"/>
  <c r="AC6" i="20"/>
  <c r="AA455" i="20"/>
  <c r="AA803" i="20"/>
  <c r="AE110" i="20"/>
  <c r="AC749" i="20"/>
  <c r="AB843" i="20"/>
  <c r="Y333" i="20"/>
  <c r="AC264" i="20"/>
  <c r="Z149" i="20"/>
  <c r="Y281" i="20"/>
  <c r="AE583" i="20"/>
  <c r="Y876" i="20"/>
  <c r="AC220" i="20"/>
  <c r="AB657" i="20"/>
  <c r="AF530" i="20"/>
  <c r="Z272" i="20"/>
  <c r="AF785" i="20"/>
  <c r="AD837" i="20"/>
  <c r="Z708" i="20"/>
  <c r="AE791" i="20"/>
  <c r="AG428" i="20"/>
  <c r="Z313" i="20"/>
  <c r="AA467" i="20"/>
  <c r="AA217" i="20"/>
  <c r="AD769" i="20"/>
  <c r="AA115" i="20"/>
  <c r="Y852" i="20"/>
  <c r="AF594" i="20"/>
  <c r="AE504" i="20"/>
  <c r="AE371" i="20"/>
  <c r="AB160" i="20"/>
  <c r="AF20" i="20"/>
  <c r="Y685" i="20"/>
  <c r="Y902" i="20"/>
  <c r="AK626" i="20"/>
  <c r="AC463" i="20"/>
  <c r="AE650" i="20"/>
  <c r="AF565" i="20"/>
  <c r="AE864" i="20"/>
  <c r="Y395" i="20"/>
  <c r="AE598" i="20"/>
  <c r="AG296" i="20"/>
  <c r="Z25" i="20"/>
  <c r="Y696" i="20"/>
  <c r="AG407" i="20"/>
  <c r="AK738" i="20"/>
  <c r="Y739" i="20"/>
  <c r="AC546" i="20"/>
  <c r="Z743" i="20"/>
  <c r="AK675" i="20"/>
  <c r="AE322" i="20"/>
  <c r="AC194" i="20"/>
  <c r="Z884" i="20"/>
  <c r="AF561" i="20"/>
  <c r="AC553" i="20"/>
  <c r="AE419" i="20"/>
  <c r="Y642" i="20"/>
  <c r="AG366" i="20"/>
  <c r="AK907" i="20"/>
  <c r="AG470" i="20"/>
  <c r="AG880" i="20"/>
  <c r="AE290" i="20"/>
  <c r="AF886" i="20"/>
  <c r="AA495" i="20"/>
  <c r="AB102" i="20"/>
  <c r="AC46" i="20"/>
  <c r="AG574" i="20"/>
  <c r="AG442" i="20"/>
  <c r="AA792" i="20"/>
  <c r="AB203" i="20"/>
  <c r="Y580" i="20"/>
  <c r="AE248" i="20"/>
  <c r="AG550" i="20"/>
  <c r="Z479" i="20"/>
  <c r="Z895" i="20"/>
  <c r="AA421" i="20"/>
  <c r="AE775" i="20"/>
  <c r="AG831" i="20"/>
  <c r="AE582" i="20"/>
  <c r="AB327" i="20"/>
  <c r="Z147" i="20"/>
  <c r="Y916" i="20"/>
  <c r="AE204" i="20"/>
  <c r="Z621" i="20"/>
  <c r="AA701" i="20"/>
  <c r="Y872" i="20"/>
  <c r="AB225" i="20"/>
  <c r="AD10" i="20"/>
  <c r="AF492" i="20"/>
  <c r="AD78" i="20"/>
  <c r="AE252" i="20"/>
  <c r="AB901" i="20"/>
  <c r="AF851" i="20"/>
  <c r="Y83" i="20"/>
  <c r="AK464" i="20"/>
  <c r="AE52" i="20"/>
  <c r="AE185" i="20"/>
  <c r="Z506" i="20"/>
  <c r="AA377" i="20"/>
  <c r="AD305" i="20"/>
  <c r="AC367" i="20"/>
  <c r="AG368" i="20"/>
  <c r="AE592" i="20"/>
  <c r="AF889" i="20"/>
  <c r="AC557" i="20"/>
  <c r="AD904" i="20"/>
  <c r="AG803" i="20"/>
  <c r="Z110" i="20"/>
  <c r="Z314" i="20"/>
  <c r="Y749" i="20"/>
  <c r="Y532" i="20"/>
  <c r="AC481" i="20"/>
  <c r="AC79" i="20"/>
  <c r="Y149" i="20"/>
  <c r="AC875" i="20"/>
  <c r="AB528" i="20"/>
  <c r="Z715" i="20"/>
  <c r="AC876" i="20"/>
  <c r="AB529" i="20"/>
  <c r="AG657" i="20"/>
  <c r="Y530" i="20"/>
  <c r="Y729" i="20"/>
  <c r="AG272" i="20"/>
  <c r="AE857" i="20"/>
  <c r="Y708" i="20"/>
  <c r="AB451" i="20"/>
  <c r="AC428" i="20"/>
  <c r="AF313" i="20"/>
  <c r="AG186" i="20"/>
  <c r="AK217" i="20"/>
  <c r="AG810" i="20"/>
  <c r="AG115" i="20"/>
  <c r="AA852" i="20"/>
  <c r="AB725" i="20"/>
  <c r="AC504" i="20"/>
  <c r="AE488" i="20"/>
  <c r="Y371" i="20"/>
  <c r="AC63" i="20"/>
  <c r="Z20" i="20"/>
  <c r="AG685" i="20"/>
  <c r="AA759" i="20"/>
  <c r="AB626" i="20"/>
  <c r="AK320" i="20"/>
  <c r="AB650" i="20"/>
  <c r="AE244" i="20"/>
  <c r="AK87" i="20"/>
  <c r="AK712" i="20"/>
  <c r="AK819" i="20"/>
  <c r="AG598" i="20"/>
  <c r="AD25" i="20"/>
  <c r="AF784" i="20"/>
  <c r="Z696" i="20"/>
  <c r="AA407" i="20"/>
  <c r="AK250" i="20"/>
  <c r="AF739" i="20"/>
  <c r="AE546" i="20"/>
  <c r="AF743" i="20"/>
  <c r="Z619" i="20"/>
  <c r="AB194" i="20"/>
  <c r="AA884" i="20"/>
  <c r="Y561" i="20"/>
  <c r="AD454" i="20"/>
  <c r="Z419" i="20"/>
  <c r="AC828" i="20"/>
  <c r="AK366" i="20"/>
  <c r="Y653" i="20"/>
  <c r="Y470" i="20"/>
  <c r="Y880" i="20"/>
  <c r="AG41" i="20"/>
  <c r="Z137" i="20"/>
  <c r="Y612" i="20"/>
  <c r="AE102" i="20"/>
  <c r="AF571" i="20"/>
  <c r="AB574" i="20"/>
  <c r="AE555" i="20"/>
  <c r="Y487" i="20"/>
  <c r="AD203" i="20"/>
  <c r="AF580" i="20"/>
  <c r="Y762" i="20"/>
  <c r="AE527" i="20"/>
  <c r="AB307" i="20"/>
  <c r="AE895" i="20"/>
  <c r="Z421" i="20"/>
  <c r="AC775" i="20"/>
  <c r="Y831" i="20"/>
  <c r="AC840" i="20"/>
  <c r="AG443" i="20"/>
  <c r="Y124" i="20"/>
  <c r="AG263" i="20"/>
  <c r="AA349" i="20"/>
  <c r="AB523" i="20"/>
  <c r="AE586" i="20"/>
  <c r="AC491" i="20"/>
  <c r="AA207" i="20"/>
  <c r="AA727" i="20"/>
  <c r="AB728" i="20"/>
  <c r="AC91" i="20"/>
  <c r="AA92" i="20"/>
  <c r="AD81" i="20"/>
  <c r="AA730" i="20"/>
  <c r="AB497" i="20"/>
  <c r="AC14" i="20"/>
  <c r="AF383" i="20"/>
  <c r="Y856" i="20"/>
  <c r="AE702" i="20"/>
  <c r="AC189" i="20"/>
  <c r="AF431" i="20"/>
  <c r="Y228" i="20"/>
  <c r="AK138" i="20"/>
  <c r="AF794" i="20"/>
  <c r="AE201" i="20"/>
  <c r="AE70" i="20"/>
  <c r="AG277" i="20"/>
  <c r="AA672" i="20"/>
  <c r="AK170" i="20"/>
  <c r="AD195" i="20"/>
  <c r="AB706" i="20"/>
  <c r="AG494" i="20"/>
  <c r="Y55" i="20"/>
  <c r="AD695" i="20"/>
  <c r="AA811" i="20"/>
  <c r="Z654" i="20"/>
  <c r="AE149" i="20"/>
  <c r="AK715" i="20"/>
  <c r="AE372" i="20"/>
  <c r="AA530" i="20"/>
  <c r="AE597" i="20"/>
  <c r="Y785" i="20"/>
  <c r="AB765" i="20"/>
  <c r="AF451" i="20"/>
  <c r="AB313" i="20"/>
  <c r="AK467" i="20"/>
  <c r="AD115" i="20"/>
  <c r="AD852" i="20"/>
  <c r="AC371" i="20"/>
  <c r="AK20" i="20"/>
  <c r="AE902" i="20"/>
  <c r="AA320" i="20"/>
  <c r="Z650" i="20"/>
  <c r="AG244" i="20"/>
  <c r="AA395" i="20"/>
  <c r="Z598" i="20"/>
  <c r="AG696" i="20"/>
  <c r="AA250" i="20"/>
  <c r="AK739" i="20"/>
  <c r="AG674" i="20"/>
  <c r="AE619" i="20"/>
  <c r="AE29" i="20"/>
  <c r="AK419" i="20"/>
  <c r="Y366" i="20"/>
  <c r="AB880" i="20"/>
  <c r="Y886" i="20"/>
  <c r="AC102" i="20"/>
  <c r="AB555" i="20"/>
  <c r="AK203" i="20"/>
  <c r="AD248" i="20"/>
  <c r="AB550" i="20"/>
  <c r="AB421" i="20"/>
  <c r="AF831" i="20"/>
  <c r="AD443" i="20"/>
  <c r="AE124" i="20"/>
  <c r="Z263" i="20"/>
  <c r="AA871" i="20"/>
  <c r="AD491" i="20"/>
  <c r="AE259" i="20"/>
  <c r="Y793" i="20"/>
  <c r="AK686" i="20"/>
  <c r="AG92" i="20"/>
  <c r="AF81" i="20"/>
  <c r="AC497" i="20"/>
  <c r="AA14" i="20"/>
  <c r="AC856" i="20"/>
  <c r="Z431" i="20"/>
  <c r="AA799" i="20"/>
  <c r="AA746" i="20"/>
  <c r="AF196" i="20"/>
  <c r="AF885" i="20"/>
  <c r="AG193" i="20"/>
  <c r="AK596" i="20"/>
  <c r="I129" i="86" s="1"/>
  <c r="L129" i="86" s="1"/>
  <c r="AK723" i="20"/>
  <c r="AK893" i="20"/>
  <c r="AF714" i="20"/>
  <c r="AB572" i="20"/>
  <c r="AD478" i="20"/>
  <c r="AC342" i="20"/>
  <c r="Z57" i="20"/>
  <c r="AA11" i="20"/>
  <c r="AB579" i="20"/>
  <c r="AD740" i="20"/>
  <c r="AK447" i="20"/>
  <c r="AD192" i="20"/>
  <c r="AB347" i="20"/>
  <c r="AE76" i="20"/>
  <c r="AG850" i="20"/>
  <c r="Z705" i="20"/>
  <c r="AD797" i="20"/>
  <c r="AF505" i="20"/>
  <c r="Z239" i="20"/>
  <c r="Z724" i="20"/>
  <c r="AD396" i="20"/>
  <c r="AC127" i="20"/>
  <c r="AE737" i="20"/>
  <c r="Y741" i="20"/>
  <c r="AC298" i="20"/>
  <c r="AK172" i="20"/>
  <c r="AA677" i="20"/>
  <c r="AF54" i="20"/>
  <c r="Z245" i="20"/>
  <c r="AA535" i="20"/>
  <c r="AG231" i="20"/>
  <c r="AE767" i="20"/>
  <c r="Y590" i="20"/>
  <c r="Z323" i="20"/>
  <c r="Z108" i="20"/>
  <c r="AK286" i="20"/>
  <c r="AE101" i="20"/>
  <c r="AC694" i="20"/>
  <c r="AA279" i="20"/>
  <c r="AK610" i="20"/>
  <c r="AK473" i="20"/>
  <c r="AG503" i="20"/>
  <c r="AB45" i="20"/>
  <c r="Y534" i="20"/>
  <c r="AE369" i="20"/>
  <c r="AG748" i="20"/>
  <c r="AD698" i="20"/>
  <c r="Z182" i="20"/>
  <c r="AB429" i="20"/>
  <c r="Y763" i="20"/>
  <c r="Z420" i="20"/>
  <c r="AA205" i="20"/>
  <c r="Z422" i="20"/>
  <c r="AE114" i="20"/>
  <c r="AK870" i="20"/>
  <c r="AE164" i="20"/>
  <c r="AG678" i="20"/>
  <c r="AA492" i="20"/>
  <c r="AF154" i="20"/>
  <c r="Y380" i="20"/>
  <c r="Z744" i="20"/>
  <c r="AB573" i="20"/>
  <c r="AE829" i="20"/>
  <c r="AA494" i="20"/>
  <c r="AG291" i="20"/>
  <c r="AF695" i="20"/>
  <c r="AA280" i="20"/>
  <c r="AG811" i="20"/>
  <c r="AJ441" i="20"/>
  <c r="AF779" i="20"/>
  <c r="AA753" i="20"/>
  <c r="AK847" i="20"/>
  <c r="AE361" i="20"/>
  <c r="AB309" i="20"/>
  <c r="AK434" i="20"/>
  <c r="AA401" i="20"/>
  <c r="AA453" i="20"/>
  <c r="AB406" i="20"/>
  <c r="Z670" i="20"/>
  <c r="AK827" i="20"/>
  <c r="AF823" i="20"/>
  <c r="AF406" i="20"/>
  <c r="AA548" i="20"/>
  <c r="AF461" i="20"/>
  <c r="AC842" i="20"/>
  <c r="AG839" i="20"/>
  <c r="AG577" i="20"/>
  <c r="AE276" i="20"/>
  <c r="Y710" i="20"/>
  <c r="AG267" i="20"/>
  <c r="Z486" i="20"/>
  <c r="AK410" i="20"/>
  <c r="AF336" i="20"/>
  <c r="H15" i="37" s="1"/>
  <c r="Y155" i="20"/>
  <c r="AD59" i="20"/>
  <c r="Z742" i="20"/>
  <c r="AE130" i="20"/>
  <c r="AA711" i="20"/>
  <c r="AF338" i="20"/>
  <c r="AA440" i="20"/>
  <c r="AF448" i="20"/>
  <c r="AE676" i="20"/>
  <c r="Z782" i="20"/>
  <c r="Z683" i="20"/>
  <c r="Y692" i="20"/>
  <c r="AG241" i="20"/>
  <c r="Y517" i="20"/>
  <c r="AG21" i="20"/>
  <c r="AD516" i="20"/>
  <c r="AC516" i="20"/>
  <c r="AB405" i="20"/>
  <c r="Y74" i="20"/>
  <c r="Y82" i="20"/>
  <c r="AK681" i="20"/>
  <c r="AA128" i="20"/>
  <c r="AG73" i="20"/>
  <c r="Y304" i="20"/>
  <c r="AF304" i="20"/>
  <c r="AG311" i="20"/>
  <c r="AE760" i="20"/>
  <c r="AG457" i="20"/>
  <c r="AC457" i="20"/>
  <c r="Z781" i="20"/>
  <c r="AF153" i="20"/>
  <c r="AG661" i="20"/>
  <c r="AA180" i="20"/>
  <c r="AA251" i="20"/>
  <c r="AE85" i="20"/>
  <c r="AE330" i="20"/>
  <c r="AE789" i="20"/>
  <c r="AC147" i="20"/>
  <c r="AF51" i="20"/>
  <c r="AK224" i="20"/>
  <c r="AB446" i="20"/>
  <c r="AB24" i="20"/>
  <c r="Y679" i="20"/>
  <c r="AF340" i="20"/>
  <c r="AF191" i="20"/>
  <c r="Z651" i="20"/>
  <c r="AF599" i="20"/>
  <c r="AK578" i="20"/>
  <c r="AC100" i="20"/>
  <c r="AG114" i="20"/>
  <c r="AC747" i="20"/>
  <c r="Y326" i="20"/>
  <c r="AC651" i="20"/>
  <c r="AC722" i="20"/>
  <c r="AF916" i="20"/>
  <c r="AG593" i="20"/>
  <c r="AF9" i="20"/>
  <c r="Y325" i="20"/>
  <c r="AB490" i="20"/>
  <c r="AB566" i="20"/>
  <c r="AK187" i="20"/>
  <c r="AE397" i="20"/>
  <c r="AD188" i="20"/>
  <c r="AD191" i="20"/>
  <c r="Y51" i="20"/>
  <c r="AB556" i="20"/>
  <c r="AA262" i="20"/>
  <c r="AG916" i="20"/>
  <c r="AF247" i="20"/>
  <c r="AC42" i="20"/>
  <c r="AA531" i="20"/>
  <c r="AA645" i="20"/>
  <c r="AB326" i="20"/>
  <c r="AC490" i="20"/>
  <c r="AB218" i="20"/>
  <c r="AG655" i="20"/>
  <c r="Y118" i="20"/>
  <c r="AF397" i="20"/>
  <c r="AE621" i="20"/>
  <c r="AC750" i="20"/>
  <c r="Y551" i="20"/>
  <c r="AK764" i="20"/>
  <c r="AD484" i="20"/>
  <c r="AD398" i="20"/>
  <c r="AG872" i="20"/>
  <c r="Z350" i="20"/>
  <c r="AB526" i="20"/>
  <c r="AB867" i="20"/>
  <c r="Z224" i="20"/>
  <c r="AA501" i="20"/>
  <c r="AK114" i="20"/>
  <c r="Y747" i="20"/>
  <c r="AA204" i="20"/>
  <c r="AK358" i="20"/>
  <c r="AB870" i="20"/>
  <c r="AF824" i="20"/>
  <c r="AK794" i="20"/>
  <c r="AE701" i="20"/>
  <c r="AK164" i="20"/>
  <c r="AF150" i="20"/>
  <c r="AF761" i="20"/>
  <c r="AC903" i="20"/>
  <c r="AE146" i="20"/>
  <c r="AE868" i="20"/>
  <c r="AG537" i="20"/>
  <c r="AK168" i="20"/>
  <c r="AC107" i="20"/>
  <c r="AA633" i="20"/>
  <c r="AD297" i="20"/>
  <c r="AK713" i="20"/>
  <c r="Z89" i="20"/>
  <c r="Z609" i="20"/>
  <c r="AF593" i="20"/>
  <c r="Y162" i="20"/>
  <c r="AB204" i="20"/>
  <c r="Z566" i="20"/>
  <c r="AA397" i="20"/>
  <c r="AC824" i="20"/>
  <c r="AD135" i="20"/>
  <c r="AB33" i="20"/>
  <c r="AD164" i="20"/>
  <c r="AF350" i="20"/>
  <c r="AA441" i="20"/>
  <c r="Z225" i="20"/>
  <c r="Y146" i="20"/>
  <c r="AB868" i="20"/>
  <c r="Z537" i="20"/>
  <c r="Y70" i="20"/>
  <c r="AE78" i="20"/>
  <c r="AC790" i="20"/>
  <c r="AD427" i="20"/>
  <c r="AG252" i="20"/>
  <c r="AK883" i="20"/>
  <c r="AF901" i="20"/>
  <c r="AG86" i="20"/>
  <c r="AD380" i="20"/>
  <c r="AA520" i="20"/>
  <c r="Y464" i="20"/>
  <c r="AE466" i="20"/>
  <c r="AB195" i="20"/>
  <c r="AK144" i="20"/>
  <c r="AE312" i="20"/>
  <c r="Z562" i="20"/>
  <c r="AD204" i="20"/>
  <c r="Y358" i="20"/>
  <c r="Y621" i="20"/>
  <c r="AC551" i="20"/>
  <c r="AG33" i="20"/>
  <c r="AK398" i="20"/>
  <c r="AB770" i="20"/>
  <c r="AB522" i="20"/>
  <c r="Z678" i="20"/>
  <c r="AA202" i="20"/>
  <c r="AF613" i="20"/>
  <c r="AA168" i="20"/>
  <c r="Z790" i="20"/>
  <c r="AF297" i="20"/>
  <c r="AA154" i="20"/>
  <c r="Z883" i="20"/>
  <c r="AG901" i="20"/>
  <c r="AA851" i="20"/>
  <c r="AG380" i="20"/>
  <c r="AD83" i="20"/>
  <c r="AC253" i="20"/>
  <c r="AA858" i="20"/>
  <c r="AG52" i="20"/>
  <c r="AG195" i="20"/>
  <c r="AF554" i="20"/>
  <c r="AG173" i="20"/>
  <c r="AC706" i="20"/>
  <c r="AE305" i="20"/>
  <c r="AB367" i="20"/>
  <c r="Y44" i="20"/>
  <c r="AB181" i="20"/>
  <c r="AF592" i="20"/>
  <c r="AE291" i="20"/>
  <c r="Z6" i="20"/>
  <c r="AK695" i="20"/>
  <c r="AA300" i="20"/>
  <c r="AF163" i="20"/>
  <c r="AG110" i="20"/>
  <c r="Z489" i="20"/>
  <c r="AF480" i="20"/>
  <c r="AG843" i="20"/>
  <c r="AE654" i="20"/>
  <c r="AA333" i="20"/>
  <c r="Z264" i="20"/>
  <c r="AB648" i="20"/>
  <c r="Z722" i="20"/>
  <c r="Z100" i="20"/>
  <c r="AF531" i="20"/>
  <c r="AG204" i="20"/>
  <c r="AB358" i="20"/>
  <c r="Y32" i="20"/>
  <c r="Y751" i="20"/>
  <c r="Z164" i="20"/>
  <c r="AD770" i="20"/>
  <c r="Y522" i="20"/>
  <c r="Z146" i="20"/>
  <c r="AA613" i="20"/>
  <c r="AK472" i="20"/>
  <c r="AE37" i="20"/>
  <c r="Z378" i="20"/>
  <c r="AF521" i="20"/>
  <c r="AK252" i="20"/>
  <c r="AA131" i="20"/>
  <c r="AE721" i="20"/>
  <c r="AC662" i="20"/>
  <c r="Y672" i="20"/>
  <c r="Y86" i="20"/>
  <c r="AC380" i="20"/>
  <c r="AG170" i="20"/>
  <c r="AD464" i="20"/>
  <c r="AC858" i="20"/>
  <c r="AA52" i="20"/>
  <c r="AK195" i="20"/>
  <c r="AK573" i="20"/>
  <c r="Y506" i="20"/>
  <c r="AB865" i="20"/>
  <c r="AD706" i="20"/>
  <c r="AF829" i="20"/>
  <c r="Z305" i="20"/>
  <c r="AK367" i="20"/>
  <c r="AB888" i="20"/>
  <c r="AG44" i="20"/>
  <c r="AC181" i="20"/>
  <c r="AC908" i="20"/>
  <c r="AD291" i="20"/>
  <c r="AB889" i="20"/>
  <c r="AE55" i="20"/>
  <c r="Z455" i="20"/>
  <c r="AB695" i="20"/>
  <c r="AD300" i="20"/>
  <c r="AB803" i="20"/>
  <c r="AE163" i="20"/>
  <c r="AK110" i="20"/>
  <c r="AG381" i="20"/>
  <c r="AG489" i="20"/>
  <c r="AE480" i="20"/>
  <c r="Y811" i="20"/>
  <c r="AA896" i="20"/>
  <c r="AE532" i="20"/>
  <c r="Y654" i="20"/>
  <c r="AD333" i="20"/>
  <c r="AG133" i="20"/>
  <c r="AG264" i="20"/>
  <c r="AA149" i="20"/>
  <c r="AB822" i="20"/>
  <c r="AD281" i="20"/>
  <c r="AG528" i="20"/>
  <c r="AC715" i="20"/>
  <c r="AK800" i="20"/>
  <c r="AK876" i="20"/>
  <c r="Y220" i="20"/>
  <c r="AF657" i="20"/>
  <c r="AA687" i="20"/>
  <c r="AD898" i="20"/>
  <c r="AG729" i="20"/>
  <c r="AF272" i="20"/>
  <c r="AF64" i="20"/>
  <c r="AB785" i="20"/>
  <c r="AK837" i="20"/>
  <c r="AF226" i="20"/>
  <c r="AF765" i="20"/>
  <c r="AK68" i="20"/>
  <c r="Y114" i="20"/>
  <c r="AK655" i="20"/>
  <c r="AC32" i="20"/>
  <c r="AC701" i="20"/>
  <c r="AK399" i="20"/>
  <c r="AD815" i="20"/>
  <c r="AA868" i="20"/>
  <c r="AG492" i="20"/>
  <c r="AE378" i="20"/>
  <c r="Z297" i="20"/>
  <c r="AE154" i="20"/>
  <c r="AA901" i="20"/>
  <c r="AK86" i="20"/>
  <c r="AD69" i="20"/>
  <c r="AK520" i="20"/>
  <c r="AC744" i="20"/>
  <c r="AF745" i="20"/>
  <c r="AK173" i="20"/>
  <c r="AK706" i="20"/>
  <c r="AK305" i="20"/>
  <c r="AK888" i="20"/>
  <c r="AB44" i="20"/>
  <c r="Y291" i="20"/>
  <c r="AG557" i="20"/>
  <c r="Z300" i="20"/>
  <c r="AD280" i="20"/>
  <c r="Y314" i="20"/>
  <c r="AD811" i="20"/>
  <c r="AF896" i="20"/>
  <c r="Z133" i="20"/>
  <c r="AF853" i="20"/>
  <c r="AA875" i="20"/>
  <c r="AD528" i="20"/>
  <c r="AF800" i="20"/>
  <c r="AG372" i="20"/>
  <c r="Z529" i="20"/>
  <c r="AC687" i="20"/>
  <c r="AK729" i="20"/>
  <c r="AK64" i="20"/>
  <c r="AF857" i="20"/>
  <c r="AC837" i="20"/>
  <c r="AG765" i="20"/>
  <c r="AG451" i="20"/>
  <c r="AA428" i="20"/>
  <c r="AA30" i="20"/>
  <c r="AE186" i="20"/>
  <c r="AC467" i="20"/>
  <c r="Z810" i="20"/>
  <c r="Y115" i="20"/>
  <c r="Y909" i="20"/>
  <c r="AK725" i="20"/>
  <c r="AK594" i="20"/>
  <c r="AB488" i="20"/>
  <c r="Y160" i="20"/>
  <c r="AF63" i="20"/>
  <c r="AD877" i="20"/>
  <c r="AB685" i="20"/>
  <c r="AK759" i="20"/>
  <c r="AF463" i="20"/>
  <c r="Y320" i="20"/>
  <c r="Y565" i="20"/>
  <c r="AD244" i="20"/>
  <c r="AA712" i="20"/>
  <c r="AK395" i="20"/>
  <c r="AF598" i="20"/>
  <c r="Y25" i="20"/>
  <c r="AE696" i="20"/>
  <c r="AK370" i="20"/>
  <c r="AD250" i="20"/>
  <c r="AE739" i="20"/>
  <c r="AG132" i="20"/>
  <c r="AD674" i="20"/>
  <c r="AG743" i="20"/>
  <c r="AA675" i="20"/>
  <c r="Z194" i="20"/>
  <c r="AA29" i="20"/>
  <c r="AE561" i="20"/>
  <c r="AE553" i="20"/>
  <c r="Y454" i="20"/>
  <c r="Z828" i="20"/>
  <c r="AB642" i="20"/>
  <c r="AD653" i="20"/>
  <c r="AF470" i="20"/>
  <c r="AB734" i="20"/>
  <c r="AC290" i="20"/>
  <c r="Z41" i="20"/>
  <c r="AB137" i="20"/>
  <c r="AC495" i="20"/>
  <c r="AG571" i="20"/>
  <c r="AF46" i="20"/>
  <c r="AG555" i="20"/>
  <c r="AD487" i="20"/>
  <c r="AG792" i="20"/>
  <c r="Y203" i="20"/>
  <c r="AC762" i="20"/>
  <c r="AB527" i="20"/>
  <c r="AE307" i="20"/>
  <c r="AC479" i="20"/>
  <c r="AD895" i="20"/>
  <c r="AK238" i="20"/>
  <c r="Y775" i="20"/>
  <c r="AF840" i="20"/>
  <c r="Z443" i="20"/>
  <c r="AG124" i="20"/>
  <c r="Z340" i="20"/>
  <c r="AK162" i="20"/>
  <c r="AB482" i="20"/>
  <c r="AD382" i="20"/>
  <c r="AG398" i="20"/>
  <c r="AK350" i="20"/>
  <c r="AC526" i="20"/>
  <c r="AD146" i="20"/>
  <c r="AF774" i="20"/>
  <c r="Y37" i="20"/>
  <c r="AG297" i="20"/>
  <c r="AF131" i="20"/>
  <c r="AE435" i="20"/>
  <c r="AA69" i="20"/>
  <c r="AE253" i="20"/>
  <c r="AK858" i="20"/>
  <c r="AB745" i="20"/>
  <c r="AC573" i="20"/>
  <c r="AF173" i="20"/>
  <c r="AB829" i="20"/>
  <c r="AE570" i="20"/>
  <c r="AD44" i="20"/>
  <c r="AF181" i="20"/>
  <c r="Z291" i="20"/>
  <c r="AD6" i="20"/>
  <c r="AE455" i="20"/>
  <c r="AE300" i="20"/>
  <c r="AA163" i="20"/>
  <c r="AB381" i="20"/>
  <c r="AK489" i="20"/>
  <c r="Z811" i="20"/>
  <c r="AD654" i="20"/>
  <c r="AF333" i="20"/>
  <c r="AA853" i="20"/>
  <c r="AG822" i="20"/>
  <c r="AB281" i="20"/>
  <c r="AE715" i="20"/>
  <c r="Z583" i="20"/>
  <c r="AG7" i="20"/>
  <c r="Z823" i="20"/>
  <c r="AD758" i="20"/>
  <c r="AK788" i="20"/>
  <c r="AB418" i="20"/>
  <c r="AD408" i="20"/>
  <c r="AD652" i="20"/>
  <c r="AE242" i="20"/>
  <c r="AG254" i="20"/>
  <c r="AB545" i="20"/>
  <c r="AA346" i="20"/>
  <c r="AF634" i="20"/>
  <c r="AC669" i="20"/>
  <c r="Z153" i="20"/>
  <c r="AD85" i="20"/>
  <c r="AB679" i="20"/>
  <c r="AA228" i="20"/>
  <c r="AA578" i="20"/>
  <c r="AB869" i="20"/>
  <c r="AK917" i="20"/>
  <c r="AK566" i="20"/>
  <c r="AE191" i="20"/>
  <c r="AC866" i="20"/>
  <c r="Z645" i="20"/>
  <c r="AC655" i="20"/>
  <c r="AG750" i="20"/>
  <c r="AE398" i="20"/>
  <c r="Y609" i="20"/>
  <c r="AE358" i="20"/>
  <c r="AK33" i="20"/>
  <c r="AD613" i="20"/>
  <c r="AG427" i="20"/>
  <c r="Y917" i="20"/>
  <c r="AK874" i="20"/>
  <c r="Y164" i="20"/>
  <c r="AK903" i="20"/>
  <c r="AD168" i="20"/>
  <c r="Y252" i="20"/>
  <c r="AF380" i="20"/>
  <c r="Y195" i="20"/>
  <c r="AK326" i="20"/>
  <c r="AF764" i="20"/>
  <c r="AD526" i="20"/>
  <c r="Y168" i="20"/>
  <c r="AA883" i="20"/>
  <c r="AG83" i="20"/>
  <c r="Y745" i="20"/>
  <c r="AD829" i="20"/>
  <c r="AA592" i="20"/>
  <c r="AK904" i="20"/>
  <c r="AA749" i="20"/>
  <c r="Y264" i="20"/>
  <c r="AE562" i="20"/>
  <c r="Z794" i="20"/>
  <c r="Z526" i="20"/>
  <c r="AG37" i="20"/>
  <c r="AC154" i="20"/>
  <c r="Z86" i="20"/>
  <c r="AD858" i="20"/>
  <c r="AE506" i="20"/>
  <c r="Y305" i="20"/>
  <c r="AE181" i="20"/>
  <c r="AB55" i="20"/>
  <c r="AE803" i="20"/>
  <c r="AB489" i="20"/>
  <c r="Z532" i="20"/>
  <c r="AK79" i="20"/>
  <c r="AF528" i="20"/>
  <c r="AB220" i="20"/>
  <c r="AF729" i="20"/>
  <c r="AF837" i="20"/>
  <c r="AE48" i="20"/>
  <c r="Y764" i="20"/>
  <c r="AE202" i="20"/>
  <c r="AC277" i="20"/>
  <c r="AF170" i="20"/>
  <c r="AE706" i="20"/>
  <c r="Z908" i="20"/>
  <c r="Y110" i="20"/>
  <c r="AE264" i="20"/>
  <c r="AA372" i="20"/>
  <c r="AB272" i="20"/>
  <c r="AK791" i="20"/>
  <c r="AF217" i="20"/>
  <c r="AG594" i="20"/>
  <c r="AC877" i="20"/>
  <c r="AB320" i="20"/>
  <c r="AB395" i="20"/>
  <c r="AA370" i="20"/>
  <c r="AC674" i="20"/>
  <c r="AG194" i="20"/>
  <c r="AE828" i="20"/>
  <c r="AK734" i="20"/>
  <c r="AF495" i="20"/>
  <c r="AE442" i="20"/>
  <c r="AG248" i="20"/>
  <c r="AE238" i="20"/>
  <c r="AD327" i="20"/>
  <c r="AG188" i="20"/>
  <c r="AE815" i="20"/>
  <c r="Z154" i="20"/>
  <c r="AC50" i="20"/>
  <c r="AC377" i="20"/>
  <c r="AK592" i="20"/>
  <c r="AG163" i="20"/>
  <c r="AG532" i="20"/>
  <c r="Z281" i="20"/>
  <c r="Z220" i="20"/>
  <c r="AB687" i="20"/>
  <c r="Y597" i="20"/>
  <c r="Y857" i="20"/>
  <c r="Y791" i="20"/>
  <c r="Y313" i="20"/>
  <c r="AF810" i="20"/>
  <c r="AE909" i="20"/>
  <c r="AD594" i="20"/>
  <c r="AG488" i="20"/>
  <c r="AA63" i="20"/>
  <c r="AD902" i="20"/>
  <c r="AD463" i="20"/>
  <c r="AG565" i="20"/>
  <c r="AD864" i="20"/>
  <c r="AD819" i="20"/>
  <c r="AA784" i="20"/>
  <c r="AG370" i="20"/>
  <c r="AF738" i="20"/>
  <c r="AK674" i="20"/>
  <c r="AB322" i="20"/>
  <c r="AC884" i="20"/>
  <c r="AG454" i="20"/>
  <c r="AF642" i="20"/>
  <c r="AG907" i="20"/>
  <c r="AK290" i="20"/>
  <c r="AG137" i="20"/>
  <c r="Y571" i="20"/>
  <c r="AD555" i="20"/>
  <c r="AD792" i="20"/>
  <c r="AD580" i="20"/>
  <c r="Y550" i="20"/>
  <c r="Y895" i="20"/>
  <c r="AE831" i="20"/>
  <c r="Y582" i="20"/>
  <c r="AA629" i="20"/>
  <c r="AC349" i="20"/>
  <c r="Z491" i="20"/>
  <c r="AE793" i="20"/>
  <c r="AG686" i="20"/>
  <c r="AA356" i="20"/>
  <c r="AC730" i="20"/>
  <c r="AB14" i="20"/>
  <c r="Z384" i="20"/>
  <c r="AA431" i="20"/>
  <c r="AB874" i="20"/>
  <c r="AB903" i="20"/>
  <c r="AE427" i="20"/>
  <c r="AG851" i="20"/>
  <c r="AC506" i="20"/>
  <c r="AD181" i="20"/>
  <c r="AF314" i="20"/>
  <c r="AG79" i="20"/>
  <c r="Z800" i="20"/>
  <c r="AC898" i="20"/>
  <c r="AA708" i="20"/>
  <c r="Z186" i="20"/>
  <c r="AC909" i="20"/>
  <c r="Y63" i="20"/>
  <c r="Y759" i="20"/>
  <c r="AE565" i="20"/>
  <c r="AC819" i="20"/>
  <c r="Z407" i="20"/>
  <c r="Y132" i="20"/>
  <c r="AD194" i="20"/>
  <c r="AC642" i="20"/>
  <c r="AE41" i="20"/>
  <c r="AE574" i="20"/>
  <c r="AG580" i="20"/>
  <c r="AA895" i="20"/>
  <c r="Y840" i="20"/>
  <c r="AF629" i="20"/>
  <c r="Y586" i="20"/>
  <c r="AF207" i="20"/>
  <c r="AF91" i="20"/>
  <c r="Y665" i="20"/>
  <c r="AD383" i="20"/>
  <c r="AE324" i="20"/>
  <c r="AK746" i="20"/>
  <c r="AG885" i="20"/>
  <c r="AF723" i="20"/>
  <c r="AK836" i="20"/>
  <c r="Z502" i="20"/>
  <c r="AB148" i="20"/>
  <c r="AF591" i="20"/>
  <c r="Z584" i="20"/>
  <c r="Y617" i="20"/>
  <c r="AA850" i="20"/>
  <c r="AK387" i="20"/>
  <c r="AC239" i="20"/>
  <c r="AK396" i="20"/>
  <c r="AK736" i="20"/>
  <c r="Y88" i="20"/>
  <c r="AA172" i="20"/>
  <c r="AB245" i="20"/>
  <c r="AC231" i="20"/>
  <c r="AF590" i="20"/>
  <c r="AE693" i="20"/>
  <c r="AA286" i="20"/>
  <c r="AB279" i="20"/>
  <c r="AF473" i="20"/>
  <c r="AC45" i="20"/>
  <c r="AB230" i="20"/>
  <c r="AK161" i="20"/>
  <c r="AC887" i="20"/>
  <c r="Y429" i="20"/>
  <c r="AK635" i="20"/>
  <c r="AG205" i="20"/>
  <c r="AG713" i="20"/>
  <c r="AG894" i="20"/>
  <c r="AA484" i="20"/>
  <c r="AC146" i="20"/>
  <c r="AE297" i="20"/>
  <c r="AG672" i="20"/>
  <c r="AK52" i="20"/>
  <c r="AG865" i="20"/>
  <c r="Z367" i="20"/>
  <c r="AD889" i="20"/>
  <c r="Y300" i="20"/>
  <c r="AG314" i="20"/>
  <c r="AB333" i="20"/>
  <c r="AD149" i="20"/>
  <c r="AF281" i="20"/>
  <c r="AD800" i="20"/>
  <c r="AD529" i="20"/>
  <c r="Z729" i="20"/>
  <c r="AA857" i="20"/>
  <c r="AB226" i="20"/>
  <c r="Z791" i="20"/>
  <c r="AD186" i="20"/>
  <c r="Y810" i="20"/>
  <c r="AF909" i="20"/>
  <c r="AA488" i="20"/>
  <c r="AE160" i="20"/>
  <c r="AG877" i="20"/>
  <c r="AC902" i="20"/>
  <c r="AE463" i="20"/>
  <c r="AE240" i="20"/>
  <c r="AC244" i="20"/>
  <c r="AE712" i="20"/>
  <c r="AB819" i="20"/>
  <c r="AK784" i="20"/>
  <c r="AB407" i="20"/>
  <c r="AC132" i="20"/>
  <c r="AC743" i="20"/>
  <c r="AC322" i="20"/>
  <c r="AD884" i="20"/>
  <c r="AF454" i="20"/>
  <c r="AK828" i="20"/>
  <c r="AB653" i="20"/>
  <c r="AK470" i="20"/>
  <c r="AA290" i="20"/>
  <c r="AA137" i="20"/>
  <c r="AK495" i="20"/>
  <c r="AG46" i="20"/>
  <c r="Y555" i="20"/>
  <c r="AE792" i="20"/>
  <c r="AK762" i="20"/>
  <c r="AF550" i="20"/>
  <c r="AF895" i="20"/>
  <c r="AA831" i="20"/>
  <c r="AE443" i="20"/>
  <c r="AE629" i="20"/>
  <c r="AF726" i="20"/>
  <c r="AB871" i="20"/>
  <c r="AA491" i="20"/>
  <c r="AB207" i="20"/>
  <c r="AD686" i="20"/>
  <c r="AD92" i="20"/>
  <c r="AE81" i="20"/>
  <c r="AF665" i="20"/>
  <c r="AC271" i="20"/>
  <c r="AE856" i="20"/>
  <c r="AK384" i="20"/>
  <c r="AB431" i="20"/>
  <c r="Z799" i="20"/>
  <c r="Z196" i="20"/>
  <c r="AB468" i="20"/>
  <c r="AD193" i="20"/>
  <c r="AG145" i="20"/>
  <c r="AD723" i="20"/>
  <c r="Z893" i="20"/>
  <c r="AA836" i="20"/>
  <c r="AC572" i="20"/>
  <c r="AC502" i="20"/>
  <c r="Z342" i="20"/>
  <c r="AA57" i="20"/>
  <c r="AK11" i="20"/>
  <c r="AK591" i="20"/>
  <c r="AB820" i="20"/>
  <c r="AA584" i="20"/>
  <c r="AD447" i="20"/>
  <c r="AG310" i="20"/>
  <c r="AC192" i="20"/>
  <c r="AK347" i="20"/>
  <c r="AC223" i="20"/>
  <c r="AK850" i="20"/>
  <c r="AA387" i="20"/>
  <c r="Z797" i="20"/>
  <c r="Y239" i="20"/>
  <c r="AB724" i="20"/>
  <c r="AB341" i="20"/>
  <c r="AG127" i="20"/>
  <c r="AF737" i="20"/>
  <c r="AB88" i="20"/>
  <c r="Y298" i="20"/>
  <c r="AC172" i="20"/>
  <c r="AB677" i="20"/>
  <c r="AC54" i="20"/>
  <c r="Z620" i="20"/>
  <c r="AB535" i="20"/>
  <c r="AA365" i="20"/>
  <c r="AG767" i="20"/>
  <c r="AC268" i="20"/>
  <c r="AF323" i="20"/>
  <c r="AD693" i="20"/>
  <c r="AD286" i="20"/>
  <c r="AE536" i="20"/>
  <c r="Z694" i="20"/>
  <c r="Y279" i="20"/>
  <c r="AK109" i="20"/>
  <c r="AC473" i="20"/>
  <c r="Z503" i="20"/>
  <c r="AG563" i="20"/>
  <c r="AA230" i="20"/>
  <c r="AF748" i="20"/>
  <c r="AE161" i="20"/>
  <c r="AK698" i="20"/>
  <c r="AF182" i="20"/>
  <c r="AA763" i="20"/>
  <c r="AB635" i="20"/>
  <c r="AE581" i="20"/>
  <c r="AF205" i="20"/>
  <c r="AA422" i="20"/>
  <c r="Z776" i="20"/>
  <c r="AB511" i="20"/>
  <c r="AD206" i="20"/>
  <c r="Z121" i="20"/>
  <c r="AF423" i="20"/>
  <c r="AA700" i="20"/>
  <c r="AB134" i="20"/>
  <c r="AE656" i="20"/>
  <c r="AG483" i="20"/>
  <c r="AK804" i="20"/>
  <c r="Y392" i="20"/>
  <c r="AG716" i="20"/>
  <c r="AD801" i="20"/>
  <c r="Z357" i="20"/>
  <c r="AB80" i="20"/>
  <c r="AD664" i="20"/>
  <c r="AE208" i="20"/>
  <c r="AF227" i="20"/>
  <c r="AA13" i="20"/>
  <c r="AA219" i="20"/>
  <c r="AC210" i="20"/>
  <c r="AE844" i="20"/>
  <c r="AF265" i="20"/>
  <c r="AF326" i="20"/>
  <c r="Z37" i="20"/>
  <c r="AE86" i="20"/>
  <c r="AF195" i="20"/>
  <c r="AG908" i="20"/>
  <c r="AB300" i="20"/>
  <c r="AA481" i="20"/>
  <c r="AA583" i="20"/>
  <c r="AB530" i="20"/>
  <c r="AE226" i="20"/>
  <c r="Y467" i="20"/>
  <c r="AD909" i="20"/>
  <c r="AG63" i="20"/>
  <c r="Y463" i="20"/>
  <c r="Z244" i="20"/>
  <c r="AB598" i="20"/>
  <c r="AF370" i="20"/>
  <c r="AB546" i="20"/>
  <c r="AG322" i="20"/>
  <c r="Y553" i="20"/>
  <c r="AK653" i="20"/>
  <c r="AB41" i="20"/>
  <c r="Y46" i="20"/>
  <c r="AG762" i="20"/>
  <c r="AA238" i="20"/>
  <c r="Z582" i="20"/>
  <c r="AG726" i="20"/>
  <c r="AD871" i="20"/>
  <c r="AA793" i="20"/>
  <c r="Z686" i="20"/>
  <c r="AA665" i="20"/>
  <c r="Z14" i="20"/>
  <c r="AB189" i="20"/>
  <c r="AG746" i="20"/>
  <c r="AE885" i="20"/>
  <c r="Y145" i="20"/>
  <c r="AA893" i="20"/>
  <c r="AK714" i="20"/>
  <c r="AA148" i="20"/>
  <c r="AE591" i="20"/>
  <c r="AC740" i="20"/>
  <c r="Z310" i="20"/>
  <c r="AF347" i="20"/>
  <c r="AA705" i="20"/>
  <c r="AE505" i="20"/>
  <c r="Z396" i="20"/>
  <c r="AB736" i="20"/>
  <c r="Z88" i="20"/>
  <c r="AD54" i="20"/>
  <c r="AK560" i="20"/>
  <c r="I52" i="86" s="1"/>
  <c r="L52" i="86" s="1"/>
  <c r="AB365" i="20"/>
  <c r="Z268" i="20"/>
  <c r="AK536" i="20"/>
  <c r="AK694" i="20"/>
  <c r="AD610" i="20"/>
  <c r="AF503" i="20"/>
  <c r="AF230" i="20"/>
  <c r="AF887" i="20"/>
  <c r="AD635" i="20"/>
  <c r="AK205" i="20"/>
  <c r="Y233" i="20"/>
  <c r="Z511" i="20"/>
  <c r="AA206" i="20"/>
  <c r="Y234" i="20"/>
  <c r="AE700" i="20"/>
  <c r="AK134" i="20"/>
  <c r="Y656" i="20"/>
  <c r="AA31" i="20"/>
  <c r="AA392" i="20"/>
  <c r="AD897" i="20"/>
  <c r="AG256" i="20"/>
  <c r="AA855" i="20"/>
  <c r="AF208" i="20"/>
  <c r="Z13" i="20"/>
  <c r="Y210" i="20"/>
  <c r="AA844" i="20"/>
  <c r="AG306" i="20"/>
  <c r="AC627" i="20"/>
  <c r="AK299" i="20"/>
  <c r="AB246" i="20"/>
  <c r="AF389" i="20"/>
  <c r="AC768" i="20"/>
  <c r="AC890" i="20"/>
  <c r="AG830" i="20"/>
  <c r="AG549" i="20"/>
  <c r="AA474" i="20"/>
  <c r="AK292" i="20"/>
  <c r="AA116" i="20"/>
  <c r="AE278" i="20"/>
  <c r="AG260" i="20"/>
  <c r="AC798" i="20"/>
  <c r="AB525" i="20"/>
  <c r="AE303" i="20"/>
  <c r="AF49" i="20"/>
  <c r="AK339" i="20"/>
  <c r="AF609" i="20"/>
  <c r="AB751" i="20"/>
  <c r="AA10" i="20"/>
  <c r="AF883" i="20"/>
  <c r="AK50" i="20"/>
  <c r="AF494" i="20"/>
  <c r="AC695" i="20"/>
  <c r="AB749" i="20"/>
  <c r="Y853" i="20"/>
  <c r="AK372" i="20"/>
  <c r="AB729" i="20"/>
  <c r="Z226" i="20"/>
  <c r="AK313" i="20"/>
  <c r="AA910" i="20"/>
  <c r="AE94" i="20"/>
  <c r="AA514" i="20"/>
  <c r="AD200" i="20"/>
  <c r="AE900" i="20"/>
  <c r="AB415" i="20"/>
  <c r="AC336" i="20"/>
  <c r="E15" i="37" s="1"/>
  <c r="Y58" i="20"/>
  <c r="AA782" i="20"/>
  <c r="Y849" i="20"/>
  <c r="AB22" i="20"/>
  <c r="AE73" i="20"/>
  <c r="AC760" i="20"/>
  <c r="Y669" i="20"/>
  <c r="AF912" i="20"/>
  <c r="AB684" i="20"/>
  <c r="AD364" i="20"/>
  <c r="AF789" i="20"/>
  <c r="AD501" i="20"/>
  <c r="AA24" i="20"/>
  <c r="Z9" i="20"/>
  <c r="Y187" i="20"/>
  <c r="AG27" i="20"/>
  <c r="Z247" i="20"/>
  <c r="Y869" i="20"/>
  <c r="Z187" i="20"/>
  <c r="AK382" i="20"/>
  <c r="AF872" i="20"/>
  <c r="AB441" i="20"/>
  <c r="AD42" i="20"/>
  <c r="AG397" i="20"/>
  <c r="Z398" i="20"/>
  <c r="AD903" i="20"/>
  <c r="AG472" i="20"/>
  <c r="AE446" i="20"/>
  <c r="AG645" i="20"/>
  <c r="AE824" i="20"/>
  <c r="AG150" i="20"/>
  <c r="AB146" i="20"/>
  <c r="AG107" i="20"/>
  <c r="AE883" i="20"/>
  <c r="AA170" i="20"/>
  <c r="AK554" i="20"/>
  <c r="AG566" i="20"/>
  <c r="AF398" i="20"/>
  <c r="AK225" i="20"/>
  <c r="AF78" i="20"/>
  <c r="AB662" i="20"/>
  <c r="AA253" i="20"/>
  <c r="AF573" i="20"/>
  <c r="AB570" i="20"/>
  <c r="AA291" i="20"/>
  <c r="AC163" i="20"/>
  <c r="AE843" i="20"/>
  <c r="AD867" i="20"/>
  <c r="AD869" i="20"/>
  <c r="Z611" i="20"/>
  <c r="AF815" i="20"/>
  <c r="AB378" i="20"/>
  <c r="AG883" i="20"/>
  <c r="AG707" i="20"/>
  <c r="AD52" i="20"/>
  <c r="AE173" i="20"/>
  <c r="AE367" i="20"/>
  <c r="Y908" i="20"/>
  <c r="AE557" i="20"/>
  <c r="AB163" i="20"/>
  <c r="Z480" i="20"/>
  <c r="AB654" i="20"/>
  <c r="AK853" i="20"/>
  <c r="Y715" i="20"/>
  <c r="AA657" i="20"/>
  <c r="AG597" i="20"/>
  <c r="AA226" i="20"/>
  <c r="AD100" i="20"/>
  <c r="AB12" i="20"/>
  <c r="AE537" i="20"/>
  <c r="Y883" i="20"/>
  <c r="AG858" i="20"/>
  <c r="Y829" i="20"/>
  <c r="AB6" i="20"/>
  <c r="AA480" i="20"/>
  <c r="AC822" i="20"/>
  <c r="AA529" i="20"/>
  <c r="AK785" i="20"/>
  <c r="Z428" i="20"/>
  <c r="AK769" i="20"/>
  <c r="AA504" i="20"/>
  <c r="Z685" i="20"/>
  <c r="AK650" i="20"/>
  <c r="AK598" i="20"/>
  <c r="AF407" i="20"/>
  <c r="AE743" i="20"/>
  <c r="Y884" i="20"/>
  <c r="Z642" i="20"/>
  <c r="AF880" i="20"/>
  <c r="AG102" i="20"/>
  <c r="AF792" i="20"/>
  <c r="AA550" i="20"/>
  <c r="AF775" i="20"/>
  <c r="Y224" i="20"/>
  <c r="AC484" i="20"/>
  <c r="AG868" i="20"/>
  <c r="AC672" i="20"/>
  <c r="AG466" i="20"/>
  <c r="AC570" i="20"/>
  <c r="AG55" i="20"/>
  <c r="AC110" i="20"/>
  <c r="Z333" i="20"/>
  <c r="Z528" i="20"/>
  <c r="AC529" i="20"/>
  <c r="AC530" i="20"/>
  <c r="Y64" i="20"/>
  <c r="AC708" i="20"/>
  <c r="AD30" i="20"/>
  <c r="Z467" i="20"/>
  <c r="AA769" i="20"/>
  <c r="AF852" i="20"/>
  <c r="AD504" i="20"/>
  <c r="AK371" i="20"/>
  <c r="AB20" i="20"/>
  <c r="AF759" i="20"/>
  <c r="Z240" i="20"/>
  <c r="AK244" i="20"/>
  <c r="AE395" i="20"/>
  <c r="AD296" i="20"/>
  <c r="AD784" i="20"/>
  <c r="AE407" i="20"/>
  <c r="AE132" i="20"/>
  <c r="AC675" i="20"/>
  <c r="Y194" i="20"/>
  <c r="AG561" i="20"/>
  <c r="AA419" i="20"/>
  <c r="AA653" i="20"/>
  <c r="AC734" i="20"/>
  <c r="AF41" i="20"/>
  <c r="AK612" i="20"/>
  <c r="AK46" i="20"/>
  <c r="Y442" i="20"/>
  <c r="AC203" i="20"/>
  <c r="Z762" i="20"/>
  <c r="Y307" i="20"/>
  <c r="AF421" i="20"/>
  <c r="Z840" i="20"/>
  <c r="AB443" i="20"/>
  <c r="AA263" i="20"/>
  <c r="AD523" i="20"/>
  <c r="Y491" i="20"/>
  <c r="AF727" i="20"/>
  <c r="AD91" i="20"/>
  <c r="Z81" i="20"/>
  <c r="Y497" i="20"/>
  <c r="AG383" i="20"/>
  <c r="AC702" i="20"/>
  <c r="Z916" i="20"/>
  <c r="AC33" i="20"/>
  <c r="AF868" i="20"/>
  <c r="AE131" i="20"/>
  <c r="Z520" i="20"/>
  <c r="Z377" i="20"/>
  <c r="AK6" i="20"/>
  <c r="AA843" i="20"/>
  <c r="AK822" i="20"/>
  <c r="AD372" i="20"/>
  <c r="AD272" i="20"/>
  <c r="AD791" i="20"/>
  <c r="AE217" i="20"/>
  <c r="Z725" i="20"/>
  <c r="AA20" i="20"/>
  <c r="AC320" i="20"/>
  <c r="Z87" i="20"/>
  <c r="AE296" i="20"/>
  <c r="AE250" i="20"/>
  <c r="AB674" i="20"/>
  <c r="AG29" i="20"/>
  <c r="Y907" i="20"/>
  <c r="Y137" i="20"/>
  <c r="AB442" i="20"/>
  <c r="AB248" i="20"/>
  <c r="Z238" i="20"/>
  <c r="AA327" i="20"/>
  <c r="Y726" i="20"/>
  <c r="AB491" i="20"/>
  <c r="Y727" i="20"/>
  <c r="AD356" i="20"/>
  <c r="Z271" i="20"/>
  <c r="AE384" i="20"/>
  <c r="AF799" i="20"/>
  <c r="AE468" i="20"/>
  <c r="AD145" i="20"/>
  <c r="AK62" i="20"/>
  <c r="AC714" i="20"/>
  <c r="AK478" i="20"/>
  <c r="AD57" i="20"/>
  <c r="AD579" i="20"/>
  <c r="AE447" i="20"/>
  <c r="Y347" i="20"/>
  <c r="AC850" i="20"/>
  <c r="Y797" i="20"/>
  <c r="AB873" i="20"/>
  <c r="AC341" i="20"/>
  <c r="AG737" i="20"/>
  <c r="Z433" i="20"/>
  <c r="AF255" i="20"/>
  <c r="AG620" i="20"/>
  <c r="Z365" i="20"/>
  <c r="AK268" i="20"/>
  <c r="AE108" i="20"/>
  <c r="AK101" i="20"/>
  <c r="AF109" i="20"/>
  <c r="AB56" i="20"/>
  <c r="Z563" i="20"/>
  <c r="AK369" i="20"/>
  <c r="AA161" i="20"/>
  <c r="AE182" i="20"/>
  <c r="AK429" i="20"/>
  <c r="Y420" i="20"/>
  <c r="AE602" i="20"/>
  <c r="AC89" i="20"/>
  <c r="AG218" i="20"/>
  <c r="Y211" i="20"/>
  <c r="AC10" i="20"/>
  <c r="AA252" i="20"/>
  <c r="AK83" i="20"/>
  <c r="AA745" i="20"/>
  <c r="AG706" i="20"/>
  <c r="AK44" i="20"/>
  <c r="AE6" i="20"/>
  <c r="Y163" i="20"/>
  <c r="AD532" i="20"/>
  <c r="AA79" i="20"/>
  <c r="AF822" i="20"/>
  <c r="Y528" i="20"/>
  <c r="Z876" i="20"/>
  <c r="Y657" i="20"/>
  <c r="AK597" i="20"/>
  <c r="AD857" i="20"/>
  <c r="AD765" i="20"/>
  <c r="AE428" i="20"/>
  <c r="Z217" i="20"/>
  <c r="AF769" i="20"/>
  <c r="AG909" i="20"/>
  <c r="AF488" i="20"/>
  <c r="Z63" i="20"/>
  <c r="AA877" i="20"/>
  <c r="AB759" i="20"/>
  <c r="AK463" i="20"/>
  <c r="AG650" i="20"/>
  <c r="AA87" i="20"/>
  <c r="AC712" i="20"/>
  <c r="AK296" i="20"/>
  <c r="AB696" i="20"/>
  <c r="Z250" i="20"/>
  <c r="AA546" i="20"/>
  <c r="Z675" i="20"/>
  <c r="Z29" i="20"/>
  <c r="Z561" i="20"/>
  <c r="AE454" i="20"/>
  <c r="AD642" i="20"/>
  <c r="AG653" i="20"/>
  <c r="Z734" i="20"/>
  <c r="AD41" i="20"/>
  <c r="AC137" i="20"/>
  <c r="AF102" i="20"/>
  <c r="AA46" i="20"/>
  <c r="AK442" i="20"/>
  <c r="Z792" i="20"/>
  <c r="AA527" i="20"/>
  <c r="Z307" i="20"/>
  <c r="AC895" i="20"/>
  <c r="AA840" i="20"/>
  <c r="AF327" i="20"/>
  <c r="AB629" i="20"/>
  <c r="Z726" i="20"/>
  <c r="AC871" i="20"/>
  <c r="AK491" i="20"/>
  <c r="AG793" i="20"/>
  <c r="AA686" i="20"/>
  <c r="AE92" i="20"/>
  <c r="Y81" i="20"/>
  <c r="AA497" i="20"/>
  <c r="Y14" i="20"/>
  <c r="AD856" i="20"/>
  <c r="Y702" i="20"/>
  <c r="AG799" i="20"/>
  <c r="AE196" i="20"/>
  <c r="AG468" i="20"/>
  <c r="AK193" i="20"/>
  <c r="AC145" i="20"/>
  <c r="AC723" i="20"/>
  <c r="AE893" i="20"/>
  <c r="AF836" i="20"/>
  <c r="AD572" i="20"/>
  <c r="AG502" i="20"/>
  <c r="Y342" i="20"/>
  <c r="AF57" i="20"/>
  <c r="AB11" i="20"/>
  <c r="AE579" i="20"/>
  <c r="AK820" i="20"/>
  <c r="AK584" i="20"/>
  <c r="AB447" i="20"/>
  <c r="AC310" i="20"/>
  <c r="AG617" i="20"/>
  <c r="AA223" i="20"/>
  <c r="AB76" i="20"/>
  <c r="AE705" i="20"/>
  <c r="AG387" i="20"/>
  <c r="Y505" i="20"/>
  <c r="AA873" i="20"/>
  <c r="AG724" i="20"/>
  <c r="AG341" i="20"/>
  <c r="AK127" i="20"/>
  <c r="AB737" i="20"/>
  <c r="AG88" i="20"/>
  <c r="AK298" i="20"/>
  <c r="AD172" i="20"/>
  <c r="Y255" i="20"/>
  <c r="AE245" i="20"/>
  <c r="AF620" i="20"/>
  <c r="AK535" i="20"/>
  <c r="AF365" i="20"/>
  <c r="AK767" i="20"/>
  <c r="AD268" i="20"/>
  <c r="AC323" i="20"/>
  <c r="AF108" i="20"/>
  <c r="AB286" i="20"/>
  <c r="AB101" i="20"/>
  <c r="AD694" i="20"/>
  <c r="Z109" i="20"/>
  <c r="AB610" i="20"/>
  <c r="AE56" i="20"/>
  <c r="AA503" i="20"/>
  <c r="AA563" i="20"/>
  <c r="AK230" i="20"/>
  <c r="I42" i="86" s="1"/>
  <c r="L42" i="86" s="1"/>
  <c r="AK748" i="20"/>
  <c r="AA698" i="20"/>
  <c r="AA887" i="20"/>
  <c r="AK182" i="20"/>
  <c r="AF763" i="20"/>
  <c r="Y635" i="20"/>
  <c r="AK581" i="20"/>
  <c r="AB602" i="20"/>
  <c r="AC233" i="20"/>
  <c r="AE776" i="20"/>
  <c r="Y511" i="20"/>
  <c r="AC206" i="20"/>
  <c r="AF121" i="20"/>
  <c r="AG234" i="20"/>
  <c r="AF700" i="20"/>
  <c r="Y134" i="20"/>
  <c r="AK656" i="20"/>
  <c r="AC483" i="20"/>
  <c r="AF31" i="20"/>
  <c r="Z392" i="20"/>
  <c r="AK716" i="20"/>
  <c r="AK801" i="20"/>
  <c r="AE357" i="20"/>
  <c r="Y80" i="20"/>
  <c r="AB664" i="20"/>
  <c r="AB493" i="20"/>
  <c r="AB227" i="20"/>
  <c r="Z209" i="20"/>
  <c r="Y219" i="20"/>
  <c r="AE915" i="20"/>
  <c r="AC844" i="20"/>
  <c r="AA770" i="20"/>
  <c r="AB633" i="20"/>
  <c r="Z380" i="20"/>
  <c r="AF865" i="20"/>
  <c r="AC889" i="20"/>
  <c r="AF489" i="20"/>
  <c r="AK133" i="20"/>
  <c r="AC800" i="20"/>
  <c r="AF898" i="20"/>
  <c r="AK765" i="20"/>
  <c r="AE451" i="20"/>
  <c r="AE810" i="20"/>
  <c r="AA725" i="20"/>
  <c r="AD20" i="20"/>
  <c r="AG320" i="20"/>
  <c r="AE87" i="20"/>
  <c r="Z296" i="20"/>
  <c r="Z738" i="20"/>
  <c r="AF674" i="20"/>
  <c r="AF194" i="20"/>
  <c r="AA828" i="20"/>
  <c r="AD907" i="20"/>
  <c r="AD137" i="20"/>
  <c r="Y574" i="20"/>
  <c r="AK248" i="20"/>
  <c r="AA775" i="20"/>
  <c r="AD124" i="20"/>
  <c r="Z349" i="20"/>
  <c r="AC586" i="20"/>
  <c r="AD793" i="20"/>
  <c r="AG91" i="20"/>
  <c r="AE730" i="20"/>
  <c r="AA856" i="20"/>
  <c r="AD431" i="20"/>
  <c r="AA196" i="20"/>
  <c r="AK885" i="20"/>
  <c r="AG596" i="20"/>
  <c r="AB893" i="20"/>
  <c r="Z572" i="20"/>
  <c r="AG148" i="20"/>
  <c r="AC591" i="20"/>
  <c r="AF584" i="20"/>
  <c r="AF192" i="20"/>
  <c r="AD347" i="20"/>
  <c r="Y387" i="20"/>
  <c r="AK239" i="20"/>
  <c r="AA341" i="20"/>
  <c r="AD737" i="20"/>
  <c r="Y172" i="20"/>
  <c r="AG54" i="20"/>
  <c r="AD535" i="20"/>
  <c r="AD365" i="20"/>
  <c r="AE268" i="20"/>
  <c r="AB536" i="20"/>
  <c r="AG279" i="20"/>
  <c r="AA56" i="20"/>
  <c r="AD563" i="20"/>
  <c r="Y369" i="20"/>
  <c r="AD182" i="20"/>
  <c r="AD420" i="20"/>
  <c r="AB205" i="20"/>
  <c r="AF233" i="20"/>
  <c r="AD511" i="20"/>
  <c r="AD121" i="20"/>
  <c r="AD234" i="20"/>
  <c r="AD700" i="20"/>
  <c r="AE854" i="20"/>
  <c r="Y483" i="20"/>
  <c r="AG31" i="20"/>
  <c r="AB716" i="20"/>
  <c r="AG897" i="20"/>
  <c r="AC256" i="20"/>
  <c r="AA664" i="20"/>
  <c r="AF493" i="20"/>
  <c r="Z219" i="20"/>
  <c r="AA915" i="20"/>
  <c r="AK844" i="20"/>
  <c r="Z306" i="20"/>
  <c r="AB585" i="20"/>
  <c r="AB90" i="20"/>
  <c r="Y246" i="20"/>
  <c r="AK389" i="20"/>
  <c r="AB379" i="20"/>
  <c r="AD890" i="20"/>
  <c r="AF830" i="20"/>
  <c r="AE549" i="20"/>
  <c r="AF474" i="20"/>
  <c r="AB292" i="20"/>
  <c r="AC43" i="20"/>
  <c r="AA278" i="20"/>
  <c r="AF216" i="20"/>
  <c r="Y673" i="20"/>
  <c r="AD525" i="20"/>
  <c r="AK303" i="20"/>
  <c r="AK331" i="20"/>
  <c r="AE184" i="20"/>
  <c r="AF562" i="20"/>
  <c r="Z12" i="20"/>
  <c r="AC492" i="20"/>
  <c r="Y901" i="20"/>
  <c r="AA466" i="20"/>
  <c r="AK368" i="20"/>
  <c r="AD803" i="20"/>
  <c r="AK811" i="20"/>
  <c r="Z822" i="20"/>
  <c r="AF529" i="20"/>
  <c r="AF597" i="20"/>
  <c r="AA791" i="20"/>
  <c r="Y186" i="20"/>
  <c r="Y594" i="20"/>
  <c r="AB877" i="20"/>
  <c r="AF650" i="20"/>
  <c r="Y712" i="20"/>
  <c r="AF250" i="20"/>
  <c r="AA743" i="20"/>
  <c r="AC419" i="20"/>
  <c r="AB470" i="20"/>
  <c r="Y495" i="20"/>
  <c r="Z487" i="20"/>
  <c r="AC307" i="20"/>
  <c r="AK775" i="20"/>
  <c r="AB124" i="20"/>
  <c r="AK349" i="20"/>
  <c r="AF491" i="20"/>
  <c r="AK727" i="20"/>
  <c r="Z356" i="20"/>
  <c r="AB730" i="20"/>
  <c r="Z847" i="20"/>
  <c r="AB295" i="20"/>
  <c r="AG120" i="20"/>
  <c r="AC120" i="20"/>
  <c r="Z788" i="20"/>
  <c r="Z417" i="20"/>
  <c r="Y711" i="20"/>
  <c r="Z53" i="20"/>
  <c r="AD386" i="20"/>
  <c r="AD405" i="20"/>
  <c r="AK74" i="20"/>
  <c r="AA681" i="20"/>
  <c r="AD311" i="20"/>
  <c r="AD781" i="20"/>
  <c r="AB616" i="20"/>
  <c r="AD171" i="20"/>
  <c r="Z68" i="20"/>
  <c r="AG679" i="20"/>
  <c r="AF644" i="20"/>
  <c r="AD916" i="20"/>
  <c r="AA490" i="20"/>
  <c r="AB188" i="20"/>
  <c r="AG262" i="20"/>
  <c r="AK562" i="20"/>
  <c r="I31" i="86" s="1"/>
  <c r="L31" i="86" s="1"/>
  <c r="AK458" i="20"/>
  <c r="AK621" i="20"/>
  <c r="Z701" i="20"/>
  <c r="Z679" i="20"/>
  <c r="AC204" i="20"/>
  <c r="AA794" i="20"/>
  <c r="AG10" i="20"/>
  <c r="AK790" i="20"/>
  <c r="AF312" i="20"/>
  <c r="AK218" i="20"/>
  <c r="AD33" i="20"/>
  <c r="AD441" i="20"/>
  <c r="Y537" i="20"/>
  <c r="AC427" i="20"/>
  <c r="AB86" i="20"/>
  <c r="Y744" i="20"/>
  <c r="AK9" i="20"/>
  <c r="AB382" i="20"/>
  <c r="AD774" i="20"/>
  <c r="Y277" i="20"/>
  <c r="AF707" i="20"/>
  <c r="AF744" i="20"/>
  <c r="AF706" i="20"/>
  <c r="Y368" i="20"/>
  <c r="AE695" i="20"/>
  <c r="AK314" i="20"/>
  <c r="AB481" i="20"/>
  <c r="AB501" i="20"/>
  <c r="Z32" i="20"/>
  <c r="AE472" i="20"/>
  <c r="AB252" i="20"/>
  <c r="AK672" i="20"/>
  <c r="AA464" i="20"/>
  <c r="AA573" i="20"/>
  <c r="AA829" i="20"/>
  <c r="AK494" i="20"/>
  <c r="Z889" i="20"/>
  <c r="AC904" i="20"/>
  <c r="AC381" i="20"/>
  <c r="AC843" i="20"/>
  <c r="AF133" i="20"/>
  <c r="AD875" i="20"/>
  <c r="AG876" i="20"/>
  <c r="AK530" i="20"/>
  <c r="AG785" i="20"/>
  <c r="Z824" i="20"/>
  <c r="AD225" i="20"/>
  <c r="AD521" i="20"/>
  <c r="AB380" i="20"/>
  <c r="AA506" i="20"/>
  <c r="AC44" i="20"/>
  <c r="AF803" i="20"/>
  <c r="AB133" i="20"/>
  <c r="Y583" i="20"/>
  <c r="AG898" i="20"/>
  <c r="Z765" i="20"/>
  <c r="AF467" i="20"/>
  <c r="AE725" i="20"/>
  <c r="AK63" i="20"/>
  <c r="AA463" i="20"/>
  <c r="AK864" i="20"/>
  <c r="Y784" i="20"/>
  <c r="AB132" i="20"/>
  <c r="Z322" i="20"/>
  <c r="AA454" i="20"/>
  <c r="AA470" i="20"/>
  <c r="AF137" i="20"/>
  <c r="AC555" i="20"/>
  <c r="AE762" i="20"/>
  <c r="AG895" i="20"/>
  <c r="Y443" i="20"/>
  <c r="AA458" i="20"/>
  <c r="AC441" i="20"/>
  <c r="AC378" i="20"/>
  <c r="AB520" i="20"/>
  <c r="AD506" i="20"/>
  <c r="AA181" i="20"/>
  <c r="AB904" i="20"/>
  <c r="Y480" i="20"/>
  <c r="AA822" i="20"/>
  <c r="AC372" i="20"/>
  <c r="Z687" i="20"/>
  <c r="Z597" i="20"/>
  <c r="Z857" i="20"/>
  <c r="AB791" i="20"/>
  <c r="AC313" i="20"/>
  <c r="AA810" i="20"/>
  <c r="AF115" i="20"/>
  <c r="AD725" i="20"/>
  <c r="AC488" i="20"/>
  <c r="AD63" i="20"/>
  <c r="AA685" i="20"/>
  <c r="AD626" i="20"/>
  <c r="Y650" i="20"/>
  <c r="AB864" i="20"/>
  <c r="AF819" i="20"/>
  <c r="AC25" i="20"/>
  <c r="AB370" i="20"/>
  <c r="AA738" i="20"/>
  <c r="AG546" i="20"/>
  <c r="AA619" i="20"/>
  <c r="AF884" i="20"/>
  <c r="AK454" i="20"/>
  <c r="AG642" i="20"/>
  <c r="AB907" i="20"/>
  <c r="Z880" i="20"/>
  <c r="AE137" i="20"/>
  <c r="AK102" i="20"/>
  <c r="AK574" i="20"/>
  <c r="AK487" i="20"/>
  <c r="AC580" i="20"/>
  <c r="AK527" i="20"/>
  <c r="AK895" i="20"/>
  <c r="AG775" i="20"/>
  <c r="AB582" i="20"/>
  <c r="Z124" i="20"/>
  <c r="AF349" i="20"/>
  <c r="AB586" i="20"/>
  <c r="AC207" i="20"/>
  <c r="AD728" i="20"/>
  <c r="AK92" i="20"/>
  <c r="AF730" i="20"/>
  <c r="AD14" i="20"/>
  <c r="Z856" i="20"/>
  <c r="AD189" i="20"/>
  <c r="AE482" i="20"/>
  <c r="AF526" i="20"/>
  <c r="AG790" i="20"/>
  <c r="Y435" i="20"/>
  <c r="AE554" i="20"/>
  <c r="AE44" i="20"/>
  <c r="AE381" i="20"/>
  <c r="AG333" i="20"/>
  <c r="AG583" i="20"/>
  <c r="Z530" i="20"/>
  <c r="AA837" i="20"/>
  <c r="AG313" i="20"/>
  <c r="AA909" i="20"/>
  <c r="AD160" i="20"/>
  <c r="AF902" i="20"/>
  <c r="AC565" i="20"/>
  <c r="AF395" i="20"/>
  <c r="AD370" i="20"/>
  <c r="AF132" i="20"/>
  <c r="AD322" i="20"/>
  <c r="AF828" i="20"/>
  <c r="AC41" i="20"/>
  <c r="AK571" i="20"/>
  <c r="AB580" i="20"/>
  <c r="AG307" i="20"/>
  <c r="AC831" i="20"/>
  <c r="AD629" i="20"/>
  <c r="Y871" i="20"/>
  <c r="AD207" i="20"/>
  <c r="AB91" i="20"/>
  <c r="AC81" i="20"/>
  <c r="AE383" i="20"/>
  <c r="AK431" i="20"/>
  <c r="Y746" i="20"/>
  <c r="AC885" i="20"/>
  <c r="AA723" i="20"/>
  <c r="AD836" i="20"/>
  <c r="AF572" i="20"/>
  <c r="AD342" i="20"/>
  <c r="AA591" i="20"/>
  <c r="AB740" i="20"/>
  <c r="AK192" i="20"/>
  <c r="AK76" i="20"/>
  <c r="AB387" i="20"/>
  <c r="AD505" i="20"/>
  <c r="AA396" i="20"/>
  <c r="AD736" i="20"/>
  <c r="AK741" i="20"/>
  <c r="AE172" i="20"/>
  <c r="AB54" i="20"/>
  <c r="AG535" i="20"/>
  <c r="AA590" i="20"/>
  <c r="AD323" i="20"/>
  <c r="AE286" i="20"/>
  <c r="Y694" i="20"/>
  <c r="AA473" i="20"/>
  <c r="AE503" i="20"/>
  <c r="AG534" i="20"/>
  <c r="AB748" i="20"/>
  <c r="AD887" i="20"/>
  <c r="AB182" i="20"/>
  <c r="AE635" i="20"/>
  <c r="Y581" i="20"/>
  <c r="Y422" i="20"/>
  <c r="AD645" i="20"/>
  <c r="Z764" i="20"/>
  <c r="Z522" i="20"/>
  <c r="AA37" i="20"/>
  <c r="AC901" i="20"/>
  <c r="AE50" i="20"/>
  <c r="AD173" i="20"/>
  <c r="AF570" i="20"/>
  <c r="AK181" i="20"/>
  <c r="Y904" i="20"/>
  <c r="AK381" i="20"/>
  <c r="Y481" i="20"/>
  <c r="Z853" i="20"/>
  <c r="Y875" i="20"/>
  <c r="AA800" i="20"/>
  <c r="AE220" i="20"/>
  <c r="AE729" i="20"/>
  <c r="Z64" i="20"/>
  <c r="AD708" i="20"/>
  <c r="AK451" i="20"/>
  <c r="Y30" i="20"/>
  <c r="AB810" i="20"/>
  <c r="AB115" i="20"/>
  <c r="Y504" i="20"/>
  <c r="AC160" i="20"/>
  <c r="AE20" i="20"/>
  <c r="Z902" i="20"/>
  <c r="Z626" i="20"/>
  <c r="AD320" i="20"/>
  <c r="AA244" i="20"/>
  <c r="Z864" i="20"/>
  <c r="AD395" i="20"/>
  <c r="AC784" i="20"/>
  <c r="Y370" i="20"/>
  <c r="AA132" i="20"/>
  <c r="AD743" i="20"/>
  <c r="AB619" i="20"/>
  <c r="AB884" i="20"/>
  <c r="AK553" i="20"/>
  <c r="Y828" i="20"/>
  <c r="AC366" i="20"/>
  <c r="AE470" i="20"/>
  <c r="AG290" i="20"/>
  <c r="AC886" i="20"/>
  <c r="AE495" i="20"/>
  <c r="AA571" i="20"/>
  <c r="Z555" i="20"/>
  <c r="AF487" i="20"/>
  <c r="AF203" i="20"/>
  <c r="AK550" i="20"/>
  <c r="AK479" i="20"/>
  <c r="AD238" i="20"/>
  <c r="AC443" i="20"/>
  <c r="AF124" i="20"/>
  <c r="AE263" i="20"/>
  <c r="Y523" i="20"/>
  <c r="Z586" i="20"/>
  <c r="AE207" i="20"/>
  <c r="Y686" i="20"/>
  <c r="AF92" i="20"/>
  <c r="AK356" i="20"/>
  <c r="AE665" i="20"/>
  <c r="AA271" i="20"/>
  <c r="Z383" i="20"/>
  <c r="AF384" i="20"/>
  <c r="Y189" i="20"/>
  <c r="Y324" i="20"/>
  <c r="AC746" i="20"/>
  <c r="Y196" i="20"/>
  <c r="AD885" i="20"/>
  <c r="AF145" i="20"/>
  <c r="Y596" i="20"/>
  <c r="AD62" i="20"/>
  <c r="AC893" i="20"/>
  <c r="Y714" i="20"/>
  <c r="AF502" i="20"/>
  <c r="Y478" i="20"/>
  <c r="Z148" i="20"/>
  <c r="Y57" i="20"/>
  <c r="AD591" i="20"/>
  <c r="AA820" i="20"/>
  <c r="Y740" i="20"/>
  <c r="AC447" i="20"/>
  <c r="AF310" i="20"/>
  <c r="Y192" i="20"/>
  <c r="AE347" i="20"/>
  <c r="AG223" i="20"/>
  <c r="AD850" i="20"/>
  <c r="AC705" i="20"/>
  <c r="AF797" i="20"/>
  <c r="AD239" i="20"/>
  <c r="AC724" i="20"/>
  <c r="AE341" i="20"/>
  <c r="AF127" i="20"/>
  <c r="Y736" i="20"/>
  <c r="AB741" i="20"/>
  <c r="AA298" i="20"/>
  <c r="AK433" i="20"/>
  <c r="Z677" i="20"/>
  <c r="AC255" i="20"/>
  <c r="Y620" i="20"/>
  <c r="AG560" i="20"/>
  <c r="Z231" i="20"/>
  <c r="AG365" i="20"/>
  <c r="AG590" i="20"/>
  <c r="AA323" i="20"/>
  <c r="AB693" i="20"/>
  <c r="AC286" i="20"/>
  <c r="Z536" i="20"/>
  <c r="Z101" i="20"/>
  <c r="AE279" i="20"/>
  <c r="AG109" i="20"/>
  <c r="AD473" i="20"/>
  <c r="Y503" i="20"/>
  <c r="AE45" i="20"/>
  <c r="AF534" i="20"/>
  <c r="AD369" i="20"/>
  <c r="AD161" i="20"/>
  <c r="AG698" i="20"/>
  <c r="AB887" i="20"/>
  <c r="AC429" i="20"/>
  <c r="AG763" i="20"/>
  <c r="AA420" i="20"/>
  <c r="Z205" i="20"/>
  <c r="AG422" i="20"/>
  <c r="AE233" i="20"/>
  <c r="AK776" i="20"/>
  <c r="AK359" i="20"/>
  <c r="Y121" i="20"/>
  <c r="AA423" i="20"/>
  <c r="AE699" i="20"/>
  <c r="AK700" i="20"/>
  <c r="AG854" i="20"/>
  <c r="AE483" i="20"/>
  <c r="AG804" i="20"/>
  <c r="AF392" i="20"/>
  <c r="AF716" i="20"/>
  <c r="AF897" i="20"/>
  <c r="AK256" i="20"/>
  <c r="AC357" i="20"/>
  <c r="AC855" i="20"/>
  <c r="Z208" i="20"/>
  <c r="AK493" i="20"/>
  <c r="AD13" i="20"/>
  <c r="AG209" i="20"/>
  <c r="AB210" i="20"/>
  <c r="Z844" i="20"/>
  <c r="AK265" i="20"/>
  <c r="AG42" i="20"/>
  <c r="AD537" i="20"/>
  <c r="AK662" i="20"/>
  <c r="AB52" i="20"/>
  <c r="AK570" i="20"/>
  <c r="AA695" i="20"/>
  <c r="AK896" i="20"/>
  <c r="AK875" i="20"/>
  <c r="AG220" i="20"/>
  <c r="AG64" i="20"/>
  <c r="AC186" i="20"/>
  <c r="AE115" i="20"/>
  <c r="AK488" i="20"/>
  <c r="AF626" i="20"/>
  <c r="AK565" i="20"/>
  <c r="Z819" i="20"/>
  <c r="AK696" i="20"/>
  <c r="Z132" i="20"/>
  <c r="AD619" i="20"/>
  <c r="AC561" i="20"/>
  <c r="Z366" i="20"/>
  <c r="AD880" i="20"/>
  <c r="AD102" i="20"/>
  <c r="AA442" i="20"/>
  <c r="AF307" i="20"/>
  <c r="AK840" i="20"/>
  <c r="AB263" i="20"/>
  <c r="AE871" i="20"/>
  <c r="Y207" i="20"/>
  <c r="Z728" i="20"/>
  <c r="AC356" i="20"/>
  <c r="AK497" i="20"/>
  <c r="AD702" i="20"/>
  <c r="Z746" i="20"/>
  <c r="Z468" i="20"/>
  <c r="AF193" i="20"/>
  <c r="AA62" i="20"/>
  <c r="AE714" i="20"/>
  <c r="AG478" i="20"/>
  <c r="AG57" i="20"/>
  <c r="AG579" i="20"/>
  <c r="AB310" i="20"/>
  <c r="AE617" i="20"/>
  <c r="Y76" i="20"/>
  <c r="AB797" i="20"/>
  <c r="Y724" i="20"/>
  <c r="AB127" i="20"/>
  <c r="AE741" i="20"/>
  <c r="Z255" i="20"/>
  <c r="AA620" i="20"/>
  <c r="AF231" i="20"/>
  <c r="AK590" i="20"/>
  <c r="Y286" i="20"/>
  <c r="AE694" i="20"/>
  <c r="Y109" i="20"/>
  <c r="AK503" i="20"/>
  <c r="AC534" i="20"/>
  <c r="AB698" i="20"/>
  <c r="Z429" i="20"/>
  <c r="AC581" i="20"/>
  <c r="AC422" i="20"/>
  <c r="AE511" i="20"/>
  <c r="Z359" i="20"/>
  <c r="AG423" i="20"/>
  <c r="AG699" i="20"/>
  <c r="AF134" i="20"/>
  <c r="AF656" i="20"/>
  <c r="AF804" i="20"/>
  <c r="AD392" i="20"/>
  <c r="AE897" i="20"/>
  <c r="Z801" i="20"/>
  <c r="AC80" i="20"/>
  <c r="AC208" i="20"/>
  <c r="Y227" i="20"/>
  <c r="AA210" i="20"/>
  <c r="AC915" i="20"/>
  <c r="AB265" i="20"/>
  <c r="AF306" i="20"/>
  <c r="Y627" i="20"/>
  <c r="AD299" i="20"/>
  <c r="AK90" i="20"/>
  <c r="AF28" i="20"/>
  <c r="AG768" i="20"/>
  <c r="AG19" i="20"/>
  <c r="AA830" i="20"/>
  <c r="AD697" i="20"/>
  <c r="AC496" i="20"/>
  <c r="AD474" i="20"/>
  <c r="AG116" i="20"/>
  <c r="Z278" i="20"/>
  <c r="AA260" i="20"/>
  <c r="AE798" i="20"/>
  <c r="AA673" i="20"/>
  <c r="AF436" i="20"/>
  <c r="AK49" i="20"/>
  <c r="AD339" i="20"/>
  <c r="Z24" i="20"/>
  <c r="AA32" i="20"/>
  <c r="AF678" i="20"/>
  <c r="AD277" i="20"/>
  <c r="AD520" i="20"/>
  <c r="AB506" i="20"/>
  <c r="AA889" i="20"/>
  <c r="AA314" i="20"/>
  <c r="AF79" i="20"/>
  <c r="AE876" i="20"/>
  <c r="AG530" i="20"/>
  <c r="AB837" i="20"/>
  <c r="AB30" i="20"/>
  <c r="AE852" i="20"/>
  <c r="AA371" i="20"/>
  <c r="Z463" i="20"/>
  <c r="Y244" i="20"/>
  <c r="Z784" i="20"/>
  <c r="AD132" i="20"/>
  <c r="AK322" i="20"/>
  <c r="AD366" i="20"/>
  <c r="AB290" i="20"/>
  <c r="Z46" i="20"/>
  <c r="AK580" i="20"/>
  <c r="AC421" i="20"/>
  <c r="AK443" i="20"/>
  <c r="AA726" i="20"/>
  <c r="AF871" i="20"/>
  <c r="AB793" i="20"/>
  <c r="AE686" i="20"/>
  <c r="AG81" i="20"/>
  <c r="AD497" i="20"/>
  <c r="AG384" i="20"/>
  <c r="AF324" i="20"/>
  <c r="AB885" i="20"/>
  <c r="AF596" i="20"/>
  <c r="AF62" i="20"/>
  <c r="AG714" i="20"/>
  <c r="AF478" i="20"/>
  <c r="Z591" i="20"/>
  <c r="AE740" i="20"/>
  <c r="AF447" i="20"/>
  <c r="AB617" i="20"/>
  <c r="AD76" i="20"/>
  <c r="AA797" i="20"/>
  <c r="AE873" i="20"/>
  <c r="AB396" i="20"/>
  <c r="AA737" i="20"/>
  <c r="AE298" i="20"/>
  <c r="AF172" i="20"/>
  <c r="AA54" i="20"/>
  <c r="AB620" i="20"/>
  <c r="Y231" i="20"/>
  <c r="AD590" i="20"/>
  <c r="AG693" i="20"/>
  <c r="AD536" i="20"/>
  <c r="AG694" i="20"/>
  <c r="AF610" i="20"/>
  <c r="Y45" i="20"/>
  <c r="AB534" i="20"/>
  <c r="AG369" i="20"/>
  <c r="Z887" i="20"/>
  <c r="AD429" i="20"/>
  <c r="AG635" i="20"/>
  <c r="AA602" i="20"/>
  <c r="AG233" i="20"/>
  <c r="AA359" i="20"/>
  <c r="AC121" i="20"/>
  <c r="AC234" i="20"/>
  <c r="AK699" i="20"/>
  <c r="AB854" i="20"/>
  <c r="AG656" i="20"/>
  <c r="Y804" i="20"/>
  <c r="AE392" i="20"/>
  <c r="Z256" i="20"/>
  <c r="AB357" i="20"/>
  <c r="Y855" i="20"/>
  <c r="AG208" i="20"/>
  <c r="AA227" i="20"/>
  <c r="AF209" i="20"/>
  <c r="Y915" i="20"/>
  <c r="AA265" i="20"/>
  <c r="AE306" i="20"/>
  <c r="AA585" i="20"/>
  <c r="AF90" i="20"/>
  <c r="AF246" i="20"/>
  <c r="Y28" i="20"/>
  <c r="AD768" i="20"/>
  <c r="AC379" i="20"/>
  <c r="AE19" i="20"/>
  <c r="Z830" i="20"/>
  <c r="Y697" i="20"/>
  <c r="AK496" i="20"/>
  <c r="Z292" i="20"/>
  <c r="AG43" i="20"/>
  <c r="Z260" i="20"/>
  <c r="AA216" i="20"/>
  <c r="AC673" i="20"/>
  <c r="AC525" i="20"/>
  <c r="Z303" i="20"/>
  <c r="AB49" i="20"/>
  <c r="AB339" i="20"/>
  <c r="Z184" i="20"/>
  <c r="AD397" i="20"/>
  <c r="AE522" i="20"/>
  <c r="AK427" i="20"/>
  <c r="AB83" i="20"/>
  <c r="AC173" i="20"/>
  <c r="AD592" i="20"/>
  <c r="AC314" i="20"/>
  <c r="Z79" i="20"/>
  <c r="AK583" i="20"/>
  <c r="AD687" i="20"/>
  <c r="AC857" i="20"/>
  <c r="AF791" i="20"/>
  <c r="AB467" i="20"/>
  <c r="AC594" i="20"/>
  <c r="Y877" i="20"/>
  <c r="AK240" i="20"/>
  <c r="AF712" i="20"/>
  <c r="AB25" i="20"/>
  <c r="AD546" i="20"/>
  <c r="AA322" i="20"/>
  <c r="AD561" i="20"/>
  <c r="AF907" i="20"/>
  <c r="AB886" i="20"/>
  <c r="Z574" i="20"/>
  <c r="AA762" i="20"/>
  <c r="AD307" i="20"/>
  <c r="AF582" i="20"/>
  <c r="AG629" i="20"/>
  <c r="AG349" i="20"/>
  <c r="AA259" i="20"/>
  <c r="AE728" i="20"/>
  <c r="Y92" i="20"/>
  <c r="AF497" i="20"/>
  <c r="Y383" i="20"/>
  <c r="AK189" i="20"/>
  <c r="AD324" i="20"/>
  <c r="AB746" i="20"/>
  <c r="AB145" i="20"/>
  <c r="Z723" i="20"/>
  <c r="Y836" i="20"/>
  <c r="AB478" i="20"/>
  <c r="AK148" i="20"/>
  <c r="AC579" i="20"/>
  <c r="AD584" i="20"/>
  <c r="AD617" i="20"/>
  <c r="AK223" i="20"/>
  <c r="AF387" i="20"/>
  <c r="Y873" i="20"/>
  <c r="Y127" i="20"/>
  <c r="AA88" i="20"/>
  <c r="AF433" i="20"/>
  <c r="AG255" i="20"/>
  <c r="AK620" i="20"/>
  <c r="AC535" i="20"/>
  <c r="Y268" i="20"/>
  <c r="AD108" i="20"/>
  <c r="Z279" i="20"/>
  <c r="Z473" i="20"/>
  <c r="AG45" i="20"/>
  <c r="AA534" i="20"/>
  <c r="AD748" i="20"/>
  <c r="AA429" i="20"/>
  <c r="Z635" i="20"/>
  <c r="AD581" i="20"/>
  <c r="AF422" i="20"/>
  <c r="AF776" i="20"/>
  <c r="Y359" i="20"/>
  <c r="AE121" i="20"/>
  <c r="AA234" i="20"/>
  <c r="AB700" i="20"/>
  <c r="AD134" i="20"/>
  <c r="AB483" i="20"/>
  <c r="AG392" i="20"/>
  <c r="AK897" i="20"/>
  <c r="AD256" i="20"/>
  <c r="AB855" i="20"/>
  <c r="AK208" i="20"/>
  <c r="Z493" i="20"/>
  <c r="AF13" i="20"/>
  <c r="AG219" i="20"/>
  <c r="AB915" i="20"/>
  <c r="AF844" i="20"/>
  <c r="AD306" i="20"/>
  <c r="Z585" i="20"/>
  <c r="AA299" i="20"/>
  <c r="AE246" i="20"/>
  <c r="AK28" i="20"/>
  <c r="AA768" i="20"/>
  <c r="Y19" i="20"/>
  <c r="AD931" i="20"/>
  <c r="AE931" i="20"/>
  <c r="AA931" i="20"/>
  <c r="AK643" i="20"/>
  <c r="AC643" i="20"/>
  <c r="AC84" i="20"/>
  <c r="AG84" i="20"/>
  <c r="AE84" i="20"/>
  <c r="AA184" i="20"/>
  <c r="AE49" i="20"/>
  <c r="AF303" i="20"/>
  <c r="AC436" i="20"/>
  <c r="AB673" i="20"/>
  <c r="AF798" i="20"/>
  <c r="AB260" i="20"/>
  <c r="Z43" i="20"/>
  <c r="AC116" i="20"/>
  <c r="Z496" i="20"/>
  <c r="AD549" i="20"/>
  <c r="AD830" i="20"/>
  <c r="Z890" i="20"/>
  <c r="AC19" i="20"/>
  <c r="Y768" i="20"/>
  <c r="AB389" i="20"/>
  <c r="AD246" i="20"/>
  <c r="AC299" i="20"/>
  <c r="AD585" i="20"/>
  <c r="Y306" i="20"/>
  <c r="Y265" i="20"/>
  <c r="AK219" i="20"/>
  <c r="AD209" i="20"/>
  <c r="Z227" i="20"/>
  <c r="Y664" i="20"/>
  <c r="Z80" i="20"/>
  <c r="AB256" i="20"/>
  <c r="Y897" i="20"/>
  <c r="AK31" i="20"/>
  <c r="AF483" i="20"/>
  <c r="AD854" i="20"/>
  <c r="Y699" i="20"/>
  <c r="AK121" i="20"/>
  <c r="AB359" i="20"/>
  <c r="AA233" i="20"/>
  <c r="AF602" i="20"/>
  <c r="AK420" i="20"/>
  <c r="AK887" i="20"/>
  <c r="AC748" i="20"/>
  <c r="AD230" i="20"/>
  <c r="AC503" i="20"/>
  <c r="AA610" i="20"/>
  <c r="AC536" i="20"/>
  <c r="AG268" i="20"/>
  <c r="AE365" i="20"/>
  <c r="AA560" i="20"/>
  <c r="AE54" i="20"/>
  <c r="AG433" i="20"/>
  <c r="AC88" i="20"/>
  <c r="AE736" i="20"/>
  <c r="AG396" i="20"/>
  <c r="AD873" i="20"/>
  <c r="AC387" i="20"/>
  <c r="AB850" i="20"/>
  <c r="AA617" i="20"/>
  <c r="AC584" i="20"/>
  <c r="Y820" i="20"/>
  <c r="AK57" i="20"/>
  <c r="AB342" i="20"/>
  <c r="AG572" i="20"/>
  <c r="AB723" i="20"/>
  <c r="Y468" i="20"/>
  <c r="AF746" i="20"/>
  <c r="AA324" i="20"/>
  <c r="AG856" i="20"/>
  <c r="Z497" i="20"/>
  <c r="AB81" i="20"/>
  <c r="AD727" i="20"/>
  <c r="AG259" i="20"/>
  <c r="AE523" i="20"/>
  <c r="AC629" i="20"/>
  <c r="Y238" i="20"/>
  <c r="AD527" i="20"/>
  <c r="AG487" i="20"/>
  <c r="AB495" i="20"/>
  <c r="Z290" i="20"/>
  <c r="AG828" i="20"/>
  <c r="Y29" i="20"/>
  <c r="AG738" i="20"/>
  <c r="AA696" i="20"/>
  <c r="AE819" i="20"/>
  <c r="AD650" i="20"/>
  <c r="AA626" i="20"/>
  <c r="AC20" i="20"/>
  <c r="AK852" i="20"/>
  <c r="Y217" i="20"/>
  <c r="AC791" i="20"/>
  <c r="Z837" i="20"/>
  <c r="AG715" i="20"/>
  <c r="AB264" i="20"/>
  <c r="AB480" i="20"/>
  <c r="Y455" i="20"/>
  <c r="AC888" i="20"/>
  <c r="AK745" i="20"/>
  <c r="AC435" i="20"/>
  <c r="AA790" i="20"/>
  <c r="AB621" i="20"/>
  <c r="AC184" i="20"/>
  <c r="AG339" i="20"/>
  <c r="AD331" i="20"/>
  <c r="Y303" i="20"/>
  <c r="Y436" i="20"/>
  <c r="AG673" i="20"/>
  <c r="AC216" i="20"/>
  <c r="AK260" i="20"/>
  <c r="AF43" i="20"/>
  <c r="Z116" i="20"/>
  <c r="AC292" i="20"/>
  <c r="AB496" i="20"/>
  <c r="Y549" i="20"/>
  <c r="AE890" i="20"/>
  <c r="Z19" i="20"/>
  <c r="AC389" i="20"/>
  <c r="AE28" i="20"/>
  <c r="AF299" i="20"/>
  <c r="AK627" i="20"/>
  <c r="AD844" i="20"/>
  <c r="Z210" i="20"/>
  <c r="AG13" i="20"/>
  <c r="AE493" i="20"/>
  <c r="AG855" i="20"/>
  <c r="AE256" i="20"/>
  <c r="AD716" i="20"/>
  <c r="AB804" i="20"/>
  <c r="Z134" i="20"/>
  <c r="AD699" i="20"/>
  <c r="Y423" i="20"/>
  <c r="AE359" i="20"/>
  <c r="AD776" i="20"/>
  <c r="AE205" i="20"/>
  <c r="AD763" i="20"/>
  <c r="AF161" i="20"/>
  <c r="AC230" i="20"/>
  <c r="AB503" i="20"/>
  <c r="Z610" i="20"/>
  <c r="AK108" i="20"/>
  <c r="AF767" i="20"/>
  <c r="AB560" i="20"/>
  <c r="AK54" i="20"/>
  <c r="AD433" i="20"/>
  <c r="Z741" i="20"/>
  <c r="Z873" i="20"/>
  <c r="AG705" i="20"/>
  <c r="AC347" i="20"/>
  <c r="Z447" i="20"/>
  <c r="AA579" i="20"/>
  <c r="AK342" i="20"/>
  <c r="Y572" i="20"/>
  <c r="AE723" i="20"/>
  <c r="Z193" i="20"/>
  <c r="AE799" i="20"/>
  <c r="AA702" i="20"/>
  <c r="AD271" i="20"/>
  <c r="AA91" i="20"/>
  <c r="Z793" i="20"/>
  <c r="AK523" i="20"/>
  <c r="AA124" i="20"/>
  <c r="AC238" i="20"/>
  <c r="AA248" i="20"/>
  <c r="AD571" i="20"/>
  <c r="Y290" i="20"/>
  <c r="AD419" i="20"/>
  <c r="AF675" i="20"/>
  <c r="AC738" i="20"/>
  <c r="AC395" i="20"/>
  <c r="AG626" i="20"/>
  <c r="AF371" i="20"/>
  <c r="AB217" i="20"/>
  <c r="AC451" i="20"/>
  <c r="Y226" i="20"/>
  <c r="Z898" i="20"/>
  <c r="AG281" i="20"/>
  <c r="Y843" i="20"/>
  <c r="Z55" i="20"/>
  <c r="AK466" i="20"/>
  <c r="AD672" i="20"/>
  <c r="AA146" i="20"/>
  <c r="AG458" i="20"/>
  <c r="Z339" i="20"/>
  <c r="Y331" i="20"/>
  <c r="AE436" i="20"/>
  <c r="AA525" i="20"/>
  <c r="Y216" i="20"/>
  <c r="AF278" i="20"/>
  <c r="AK116" i="20"/>
  <c r="AE474" i="20"/>
  <c r="AC697" i="20"/>
  <c r="AE830" i="20"/>
  <c r="AG379" i="20"/>
  <c r="Y389" i="20"/>
  <c r="AK246" i="20"/>
  <c r="Y90" i="20"/>
  <c r="AG627" i="20"/>
  <c r="AG844" i="20"/>
  <c r="AD219" i="20"/>
  <c r="AC493" i="20"/>
  <c r="AE664" i="20"/>
  <c r="AF80" i="20"/>
  <c r="AC801" i="20"/>
  <c r="AE31" i="20"/>
  <c r="AA483" i="20"/>
  <c r="AG134" i="20"/>
  <c r="AB234" i="20"/>
  <c r="AB121" i="20"/>
  <c r="AC511" i="20"/>
  <c r="AK422" i="20"/>
  <c r="AB420" i="20"/>
  <c r="AC182" i="20"/>
  <c r="AG161" i="20"/>
  <c r="AE230" i="20"/>
  <c r="AD503" i="20"/>
  <c r="AD109" i="20"/>
  <c r="AA101" i="20"/>
  <c r="AF693" i="20"/>
  <c r="AB767" i="20"/>
  <c r="AE560" i="20"/>
  <c r="AK255" i="20"/>
  <c r="AC433" i="20"/>
  <c r="AF741" i="20"/>
  <c r="AD724" i="20"/>
  <c r="AG505" i="20"/>
  <c r="Y850" i="20"/>
  <c r="AK617" i="20"/>
  <c r="Y584" i="20"/>
  <c r="Z579" i="20"/>
  <c r="AE478" i="20"/>
  <c r="AC836" i="20"/>
  <c r="AD596" i="20"/>
  <c r="AC468" i="20"/>
  <c r="AA384" i="20"/>
  <c r="AB665" i="20"/>
  <c r="AE727" i="20"/>
  <c r="AC726" i="20"/>
  <c r="AF238" i="20"/>
  <c r="AF574" i="20"/>
  <c r="AA907" i="20"/>
  <c r="Y674" i="20"/>
  <c r="AA864" i="20"/>
  <c r="AK160" i="20"/>
  <c r="AB428" i="20"/>
  <c r="AC528" i="20"/>
  <c r="AF185" i="20"/>
  <c r="Y269" i="20"/>
  <c r="AG436" i="20"/>
  <c r="AD43" i="20"/>
  <c r="AB697" i="20"/>
  <c r="AC246" i="20"/>
  <c r="AA306" i="20"/>
  <c r="AC265" i="20"/>
  <c r="AG664" i="20"/>
  <c r="AB392" i="20"/>
  <c r="AB699" i="20"/>
  <c r="Z602" i="20"/>
  <c r="AE534" i="20"/>
  <c r="Y693" i="20"/>
  <c r="AK677" i="20"/>
  <c r="Z387" i="20"/>
  <c r="AF579" i="20"/>
  <c r="Y62" i="20"/>
  <c r="Z92" i="20"/>
  <c r="Y263" i="20"/>
  <c r="AF612" i="20"/>
  <c r="AG675" i="20"/>
  <c r="AA650" i="20"/>
  <c r="AG791" i="20"/>
  <c r="AE822" i="20"/>
  <c r="AG464" i="20"/>
  <c r="Y844" i="20"/>
  <c r="AC13" i="20"/>
  <c r="AG357" i="20"/>
  <c r="AC31" i="20"/>
  <c r="AG700" i="20"/>
  <c r="AD359" i="20"/>
  <c r="Y205" i="20"/>
  <c r="Y887" i="20"/>
  <c r="AD534" i="20"/>
  <c r="AE109" i="20"/>
  <c r="AB108" i="20"/>
  <c r="AC365" i="20"/>
  <c r="AE255" i="20"/>
  <c r="AD741" i="20"/>
  <c r="AG873" i="20"/>
  <c r="AG76" i="20"/>
  <c r="AA310" i="20"/>
  <c r="AF11" i="20"/>
  <c r="AA502" i="20"/>
  <c r="AB596" i="20"/>
  <c r="AD746" i="20"/>
  <c r="AG497" i="20"/>
  <c r="AC728" i="20"/>
  <c r="AC263" i="20"/>
  <c r="AD479" i="20"/>
  <c r="AD574" i="20"/>
  <c r="F24" i="37" s="1"/>
  <c r="AA880" i="20"/>
  <c r="AD553" i="20"/>
  <c r="Y738" i="20"/>
  <c r="AD87" i="20"/>
  <c r="AD685" i="20"/>
  <c r="AC115" i="20"/>
  <c r="Y765" i="20"/>
  <c r="Z372" i="20"/>
  <c r="AF654" i="20"/>
  <c r="AF305" i="20"/>
  <c r="AG774" i="20"/>
  <c r="AK602" i="20"/>
  <c r="AC698" i="20"/>
  <c r="AC109" i="20"/>
  <c r="Y365" i="20"/>
  <c r="AC737" i="20"/>
  <c r="Y705" i="20"/>
  <c r="AC11" i="20"/>
  <c r="AK145" i="20"/>
  <c r="AA728" i="20"/>
  <c r="AD775" i="20"/>
  <c r="Y734" i="20"/>
  <c r="AG25" i="20"/>
  <c r="AE594" i="20"/>
  <c r="AC272" i="20"/>
  <c r="AA557" i="20"/>
  <c r="Y613" i="20"/>
  <c r="AA189" i="20"/>
  <c r="Z91" i="20"/>
  <c r="AE726" i="20"/>
  <c r="AB479" i="20"/>
  <c r="AB46" i="20"/>
  <c r="AF653" i="20"/>
  <c r="AD675" i="20"/>
  <c r="AC296" i="20"/>
  <c r="AG759" i="20"/>
  <c r="AC852" i="20"/>
  <c r="Y451" i="20"/>
  <c r="AE898" i="20"/>
  <c r="AD489" i="20"/>
  <c r="AK707" i="20"/>
  <c r="AD831" i="20"/>
  <c r="Y41" i="20"/>
  <c r="Z739" i="20"/>
  <c r="Z371" i="20"/>
  <c r="Y837" i="20"/>
  <c r="Y695" i="20"/>
  <c r="Y107" i="20"/>
  <c r="AD64" i="20"/>
  <c r="AC333" i="20"/>
  <c r="AC291" i="20"/>
  <c r="AE83" i="20"/>
  <c r="AB350" i="20"/>
  <c r="AA110" i="20"/>
  <c r="AB50" i="20"/>
  <c r="AG350" i="20"/>
  <c r="Z662" i="20"/>
  <c r="AA135" i="20"/>
  <c r="AK815" i="20"/>
  <c r="AG446" i="20"/>
  <c r="AD490" i="20"/>
  <c r="Z162" i="20"/>
  <c r="AF648" i="20"/>
  <c r="Y634" i="20"/>
  <c r="AE438" i="20"/>
  <c r="Y117" i="20"/>
  <c r="AD165" i="20"/>
  <c r="AC931" i="20"/>
  <c r="Z931" i="20"/>
  <c r="Y931" i="20"/>
  <c r="AG643" i="20"/>
  <c r="AA643" i="20"/>
  <c r="Z84" i="20"/>
  <c r="AK84" i="20"/>
  <c r="AB84" i="20"/>
  <c r="AE339" i="20"/>
  <c r="AD49" i="20"/>
  <c r="AA303" i="20"/>
  <c r="AG525" i="20"/>
  <c r="AK673" i="20"/>
  <c r="AA798" i="20"/>
  <c r="AB278" i="20"/>
  <c r="Y43" i="20"/>
  <c r="AG292" i="20"/>
  <c r="AG496" i="20"/>
  <c r="AC549" i="20"/>
  <c r="Y830" i="20"/>
  <c r="Y890" i="20"/>
  <c r="Y379" i="20"/>
  <c r="AE768" i="20"/>
  <c r="AC28" i="20"/>
  <c r="AG90" i="20"/>
  <c r="AE299" i="20"/>
  <c r="Z627" i="20"/>
  <c r="AB306" i="20"/>
  <c r="AF915" i="20"/>
  <c r="AE219" i="20"/>
  <c r="AB13" i="20"/>
  <c r="AG493" i="20"/>
  <c r="Z855" i="20"/>
  <c r="AE80" i="20"/>
  <c r="AG801" i="20"/>
  <c r="AA897" i="20"/>
  <c r="Y31" i="20"/>
  <c r="AD483" i="20"/>
  <c r="AA854" i="20"/>
  <c r="Z234" i="20"/>
  <c r="AF206" i="20"/>
  <c r="AG511" i="20"/>
  <c r="Z233" i="20"/>
  <c r="AC205" i="20"/>
  <c r="AC635" i="20"/>
  <c r="AE887" i="20"/>
  <c r="AA748" i="20"/>
  <c r="AK534" i="20"/>
  <c r="AD56" i="20"/>
  <c r="AC101" i="20"/>
  <c r="AA108" i="20"/>
  <c r="AC767" i="20"/>
  <c r="AD231" i="20"/>
  <c r="Z560" i="20"/>
  <c r="AD255" i="20"/>
  <c r="Y433" i="20"/>
  <c r="AC741" i="20"/>
  <c r="Z127" i="20"/>
  <c r="AC396" i="20"/>
  <c r="AG239" i="20"/>
  <c r="AE387" i="20"/>
  <c r="AC76" i="20"/>
  <c r="AE192" i="20"/>
  <c r="AE584" i="20"/>
  <c r="Y579" i="20"/>
  <c r="AE57" i="20"/>
  <c r="AC478" i="20"/>
  <c r="AG836" i="20"/>
  <c r="AC596" i="20"/>
  <c r="AF468" i="20"/>
  <c r="Y799" i="20"/>
  <c r="AG189" i="20"/>
  <c r="AC383" i="20"/>
  <c r="AK730" i="20"/>
  <c r="AE91" i="20"/>
  <c r="AC793" i="20"/>
  <c r="AF586" i="20"/>
  <c r="AB349" i="20"/>
  <c r="Z629" i="20"/>
  <c r="AB895" i="20"/>
  <c r="Y248" i="20"/>
  <c r="AD442" i="20"/>
  <c r="AA612" i="20"/>
  <c r="AC880" i="20"/>
  <c r="AC454" i="20"/>
  <c r="AF322" i="20"/>
  <c r="Y250" i="20"/>
  <c r="AK25" i="20"/>
  <c r="Z712" i="20"/>
  <c r="AG240" i="20"/>
  <c r="AG902" i="20"/>
  <c r="AG371" i="20"/>
  <c r="Z909" i="20"/>
  <c r="AF186" i="20"/>
  <c r="AD451" i="20"/>
  <c r="AD597" i="20"/>
  <c r="AC281" i="20"/>
  <c r="AE133" i="20"/>
  <c r="AA489" i="20"/>
  <c r="AA55" i="20"/>
  <c r="AG305" i="20"/>
  <c r="AE464" i="20"/>
  <c r="AA662" i="20"/>
  <c r="AC70" i="20"/>
  <c r="AC150" i="20"/>
  <c r="AE655" i="20"/>
  <c r="Y184" i="20"/>
  <c r="AF339" i="20"/>
  <c r="AC331" i="20"/>
  <c r="AB303" i="20"/>
  <c r="AK525" i="20"/>
  <c r="AK798" i="20"/>
  <c r="AG216" i="20"/>
  <c r="AD260" i="20"/>
  <c r="AB43" i="20"/>
  <c r="Y116" i="20"/>
  <c r="AG474" i="20"/>
  <c r="AB549" i="20"/>
  <c r="AK697" i="20"/>
  <c r="AA890" i="20"/>
  <c r="AK379" i="20"/>
  <c r="AG389" i="20"/>
  <c r="Z28" i="20"/>
  <c r="Y585" i="20"/>
  <c r="AE627" i="20"/>
  <c r="AG915" i="20"/>
  <c r="AK209" i="20"/>
  <c r="AK227" i="20"/>
  <c r="AB208" i="20"/>
  <c r="AD80" i="20"/>
  <c r="Y801" i="20"/>
  <c r="AE716" i="20"/>
  <c r="AD656" i="20"/>
  <c r="AE134" i="20"/>
  <c r="AA699" i="20"/>
  <c r="AG121" i="20"/>
  <c r="AK511" i="20"/>
  <c r="AK233" i="20"/>
  <c r="AF581" i="20"/>
  <c r="AB763" i="20"/>
  <c r="Z161" i="20"/>
  <c r="Z534" i="20"/>
  <c r="Z56" i="20"/>
  <c r="AA109" i="20"/>
  <c r="Z693" i="20"/>
  <c r="AD767" i="20"/>
  <c r="AE620" i="20"/>
  <c r="AF677" i="20"/>
  <c r="AF298" i="20"/>
  <c r="AG736" i="20"/>
  <c r="AA239" i="20"/>
  <c r="AE850" i="20"/>
  <c r="AA347" i="20"/>
  <c r="AF740" i="20"/>
  <c r="AE11" i="20"/>
  <c r="AE342" i="20"/>
  <c r="Y893" i="20"/>
  <c r="Z596" i="20"/>
  <c r="AD468" i="20"/>
  <c r="AB384" i="20"/>
  <c r="Z730" i="20"/>
  <c r="AB686" i="20"/>
  <c r="AK207" i="20"/>
  <c r="AE349" i="20"/>
  <c r="Y327" i="20"/>
  <c r="AD421" i="20"/>
  <c r="Y792" i="20"/>
  <c r="AC612" i="20"/>
  <c r="AE734" i="20"/>
  <c r="AK884" i="20"/>
  <c r="Y743" i="20"/>
  <c r="AC250" i="20"/>
  <c r="AF864" i="20"/>
  <c r="AB902" i="20"/>
  <c r="AD488" i="20"/>
  <c r="AA186" i="20"/>
  <c r="AB708" i="20"/>
  <c r="AG529" i="20"/>
  <c r="AD822" i="20"/>
  <c r="AD480" i="20"/>
  <c r="AC494" i="20"/>
  <c r="Y858" i="20"/>
  <c r="AK277" i="20"/>
  <c r="AB644" i="20"/>
  <c r="Y339" i="20"/>
  <c r="AA49" i="20"/>
  <c r="AK436" i="20"/>
  <c r="AD673" i="20"/>
  <c r="Y260" i="20"/>
  <c r="AD278" i="20"/>
  <c r="AA292" i="20"/>
  <c r="AD496" i="20"/>
  <c r="AF697" i="20"/>
  <c r="AG890" i="20"/>
  <c r="AF379" i="20"/>
  <c r="AA389" i="20"/>
  <c r="AG246" i="20"/>
  <c r="Y299" i="20"/>
  <c r="AF627" i="20"/>
  <c r="AK915" i="20"/>
  <c r="AC209" i="20"/>
  <c r="AA493" i="20"/>
  <c r="AK855" i="20"/>
  <c r="AF357" i="20"/>
  <c r="AA801" i="20"/>
  <c r="AC804" i="20"/>
  <c r="Z656" i="20"/>
  <c r="AA134" i="20"/>
  <c r="AF234" i="20"/>
  <c r="AK206" i="20"/>
  <c r="AC776" i="20"/>
  <c r="AC602" i="20"/>
  <c r="AF635" i="20"/>
  <c r="AA182" i="20"/>
  <c r="Y748" i="20"/>
  <c r="AK563" i="20"/>
  <c r="I45" i="86" s="1"/>
  <c r="L45" i="86" s="1"/>
  <c r="Y473" i="20"/>
  <c r="AF279" i="20"/>
  <c r="AF286" i="20"/>
  <c r="AK323" i="20"/>
  <c r="AA767" i="20"/>
  <c r="AC620" i="20"/>
  <c r="AB255" i="20"/>
  <c r="AB298" i="20"/>
  <c r="AC736" i="20"/>
  <c r="AK724" i="20"/>
  <c r="AC505" i="20"/>
  <c r="AF76" i="20"/>
  <c r="AG192" i="20"/>
  <c r="AK740" i="20"/>
  <c r="AB591" i="20"/>
  <c r="AK502" i="20"/>
  <c r="Z836" i="20"/>
  <c r="AE145" i="20"/>
  <c r="AA468" i="20"/>
  <c r="AE431" i="20"/>
  <c r="AE14" i="20"/>
  <c r="Y356" i="20"/>
  <c r="AB259" i="20"/>
  <c r="AK263" i="20"/>
  <c r="AG479" i="20"/>
  <c r="AC571" i="20"/>
  <c r="AE642" i="20"/>
  <c r="AE738" i="20"/>
  <c r="AA565" i="20"/>
  <c r="AF504" i="20"/>
  <c r="AK481" i="20"/>
  <c r="AD86" i="20"/>
  <c r="AK184" i="20"/>
  <c r="Z673" i="20"/>
  <c r="AE292" i="20"/>
  <c r="AB890" i="20"/>
  <c r="AA90" i="20"/>
  <c r="AD915" i="20"/>
  <c r="AK357" i="20"/>
  <c r="Z804" i="20"/>
  <c r="AA121" i="20"/>
  <c r="AA581" i="20"/>
  <c r="AG56" i="20"/>
  <c r="AE590" i="20"/>
  <c r="AK737" i="20"/>
  <c r="Y223" i="20"/>
  <c r="AB57" i="20"/>
  <c r="AE193" i="20"/>
  <c r="AC431" i="20"/>
  <c r="AC727" i="20"/>
  <c r="AB831" i="20"/>
  <c r="AG734" i="20"/>
  <c r="AA739" i="20"/>
  <c r="AE759" i="20"/>
  <c r="AF811" i="20"/>
  <c r="Y131" i="20"/>
  <c r="Z915" i="20"/>
  <c r="Y493" i="20"/>
  <c r="AF256" i="20"/>
  <c r="AA804" i="20"/>
  <c r="AE234" i="20"/>
  <c r="AB776" i="20"/>
  <c r="AG420" i="20"/>
  <c r="AF698" i="20"/>
  <c r="AK45" i="20"/>
  <c r="AD279" i="20"/>
  <c r="AG323" i="20"/>
  <c r="AE231" i="20"/>
  <c r="Y677" i="20"/>
  <c r="AA736" i="20"/>
  <c r="AE239" i="20"/>
  <c r="AF223" i="20"/>
  <c r="AB584" i="20"/>
  <c r="AC57" i="20"/>
  <c r="Z714" i="20"/>
  <c r="AA145" i="20"/>
  <c r="AB324" i="20"/>
  <c r="AK702" i="20"/>
  <c r="AK81" i="20"/>
  <c r="AC259" i="20"/>
  <c r="AG327" i="20"/>
  <c r="AC527" i="20"/>
  <c r="Y102" i="20"/>
  <c r="Z907" i="20"/>
  <c r="AC29" i="20"/>
  <c r="AE370" i="20"/>
  <c r="AD565" i="20"/>
  <c r="AE63" i="20"/>
  <c r="AC217" i="20"/>
  <c r="AG837" i="20"/>
  <c r="AB583" i="20"/>
  <c r="AB110" i="20"/>
  <c r="AC195" i="20"/>
  <c r="AC761" i="20"/>
  <c r="AB581" i="20"/>
  <c r="Z748" i="20"/>
  <c r="AA694" i="20"/>
  <c r="AD560" i="20"/>
  <c r="AD341" i="20"/>
  <c r="AD223" i="20"/>
  <c r="AA342" i="20"/>
  <c r="AK468" i="20"/>
  <c r="Y384" i="20"/>
  <c r="AG491" i="20"/>
  <c r="AF527" i="20"/>
  <c r="Z454" i="20"/>
  <c r="Y864" i="20"/>
  <c r="AG217" i="20"/>
  <c r="AK220" i="20"/>
  <c r="AK829" i="20"/>
  <c r="AD350" i="20"/>
  <c r="AK383" i="20"/>
  <c r="AG727" i="20"/>
  <c r="AE327" i="20"/>
  <c r="AF248" i="20"/>
  <c r="Z495" i="20"/>
  <c r="AB419" i="20"/>
  <c r="AK132" i="20"/>
  <c r="Z395" i="20"/>
  <c r="AK877" i="20"/>
  <c r="Y769" i="20"/>
  <c r="AE657" i="20"/>
  <c r="AB455" i="20"/>
  <c r="AF168" i="20"/>
  <c r="AE479" i="20"/>
  <c r="Z653" i="20"/>
  <c r="AF296" i="20"/>
  <c r="AB909" i="20"/>
  <c r="AK657" i="20"/>
  <c r="AG367" i="20"/>
  <c r="AK687" i="20"/>
  <c r="AB811" i="20"/>
  <c r="AA888" i="20"/>
  <c r="AG662" i="20"/>
  <c r="Z482" i="20"/>
  <c r="AF55" i="20"/>
  <c r="AF86" i="20"/>
  <c r="AK397" i="20"/>
  <c r="Y790" i="20"/>
  <c r="AB894" i="20"/>
  <c r="AC399" i="20"/>
  <c r="AE350" i="20"/>
  <c r="AK471" i="20"/>
  <c r="AA722" i="20"/>
  <c r="Y713" i="20"/>
  <c r="AF681" i="20"/>
  <c r="AE386" i="20"/>
  <c r="AK117" i="20"/>
  <c r="N14" i="43"/>
  <c r="R14" i="43" s="1"/>
  <c r="E18" i="43"/>
  <c r="I18" i="43" s="1"/>
  <c r="E17" i="43"/>
  <c r="I17" i="43" s="1"/>
  <c r="M23" i="36"/>
  <c r="AR299" i="20"/>
  <c r="AR902" i="20"/>
  <c r="AR650" i="20"/>
  <c r="AR168" i="20"/>
  <c r="N15" i="43"/>
  <c r="AC22" i="43" s="1"/>
  <c r="G39" i="37"/>
  <c r="O12" i="36"/>
  <c r="O24" i="36"/>
  <c r="AR223" i="20"/>
  <c r="AH661" i="20"/>
  <c r="AB659" i="20"/>
  <c r="AK659" i="20"/>
  <c r="AB178" i="20"/>
  <c r="AH178" i="20"/>
  <c r="AD680" i="20"/>
  <c r="AI680" i="20"/>
  <c r="Y72" i="20"/>
  <c r="AE72" i="20"/>
  <c r="AJ72" i="20"/>
  <c r="AH659" i="20"/>
  <c r="AJ659" i="20"/>
  <c r="AB680" i="20"/>
  <c r="AH680" i="20"/>
  <c r="AC72" i="20"/>
  <c r="AI72" i="20"/>
  <c r="AF659" i="20"/>
  <c r="AL659" i="20"/>
  <c r="AD178" i="20"/>
  <c r="AI178" i="20"/>
  <c r="Z680" i="20"/>
  <c r="AE680" i="20"/>
  <c r="AJ680" i="20"/>
  <c r="AA72" i="20"/>
  <c r="AF72" i="20"/>
  <c r="AK72" i="20"/>
  <c r="Z178" i="20"/>
  <c r="AE178" i="20"/>
  <c r="AJ178" i="20"/>
  <c r="AA680" i="20"/>
  <c r="AF680" i="20"/>
  <c r="AL680" i="20"/>
  <c r="AB72" i="20"/>
  <c r="AG72" i="20"/>
  <c r="AA178" i="20"/>
  <c r="AF178" i="20"/>
  <c r="AL178" i="20"/>
  <c r="AI659" i="20"/>
  <c r="Z659" i="20"/>
  <c r="AC178" i="20"/>
  <c r="AC680" i="20"/>
  <c r="AH72" i="20"/>
  <c r="AH457" i="20"/>
  <c r="AH595" i="20"/>
  <c r="AH461" i="20"/>
  <c r="AH376" i="20"/>
  <c r="AH641" i="20"/>
  <c r="AH158" i="20"/>
  <c r="AH758" i="20"/>
  <c r="AH337" i="20"/>
  <c r="AH456" i="20"/>
  <c r="AH892" i="20"/>
  <c r="AH600" i="20"/>
  <c r="AH276" i="20"/>
  <c r="AH232" i="20"/>
  <c r="AH393" i="20"/>
  <c r="AH862" i="20"/>
  <c r="AH486" i="20"/>
  <c r="AH453" i="20"/>
  <c r="AH524" i="20"/>
  <c r="AH418" i="20"/>
  <c r="AH788" i="20"/>
  <c r="AH200" i="20"/>
  <c r="AH839" i="20"/>
  <c r="AH430" i="20"/>
  <c r="AH514" i="20"/>
  <c r="AH123" i="20"/>
  <c r="AH823" i="20"/>
  <c r="AH703" i="20"/>
  <c r="AH710" i="20"/>
  <c r="AH261" i="20"/>
  <c r="AH608" i="20"/>
  <c r="AH607" i="20"/>
  <c r="AH169" i="20"/>
  <c r="AH415" i="20"/>
  <c r="AH814" i="20"/>
  <c r="AH756" i="20"/>
  <c r="AH591" i="20"/>
  <c r="AH877" i="20"/>
  <c r="AH643" i="20"/>
  <c r="AH579" i="20"/>
  <c r="AH685" i="20"/>
  <c r="AH594" i="20"/>
  <c r="AH292" i="20"/>
  <c r="AH63" i="20"/>
  <c r="AH116" i="20"/>
  <c r="AH537" i="20"/>
  <c r="AH43" i="20"/>
  <c r="AH160" i="20"/>
  <c r="AH760" i="20"/>
  <c r="AH909" i="20"/>
  <c r="AH342" i="20"/>
  <c r="AH893" i="20"/>
  <c r="AH439" i="20"/>
  <c r="AH774" i="20"/>
  <c r="AH682" i="20"/>
  <c r="AH74" i="20"/>
  <c r="AH77" i="20"/>
  <c r="AH868" i="20"/>
  <c r="AH549" i="20"/>
  <c r="AH488" i="20"/>
  <c r="AH129" i="20"/>
  <c r="AH697" i="20"/>
  <c r="AH346" i="20"/>
  <c r="AH714" i="20"/>
  <c r="AH852" i="20"/>
  <c r="AH496" i="20"/>
  <c r="Y178" i="20"/>
  <c r="AE659" i="20"/>
  <c r="AG659" i="20"/>
  <c r="AD72" i="20"/>
  <c r="AA659" i="20"/>
  <c r="AK178" i="20"/>
  <c r="AG680" i="20"/>
  <c r="AH669" i="20"/>
  <c r="AH900" i="20"/>
  <c r="AH827" i="20"/>
  <c r="AH190" i="20"/>
  <c r="AH835" i="20"/>
  <c r="AH691" i="20"/>
  <c r="AH142" i="20"/>
  <c r="AH809" i="20"/>
  <c r="AH668" i="20"/>
  <c r="AH278" i="20"/>
  <c r="AH20" i="20"/>
  <c r="AH572" i="20"/>
  <c r="AH321" i="20"/>
  <c r="AH73" i="20"/>
  <c r="AH478" i="20"/>
  <c r="AH148" i="20"/>
  <c r="Y680" i="20"/>
  <c r="AD659" i="20"/>
  <c r="AG178" i="20"/>
  <c r="AH601" i="20"/>
  <c r="AH106" i="20"/>
  <c r="AH237" i="20"/>
  <c r="AH577" i="20"/>
  <c r="AH625" i="20"/>
  <c r="AH215" i="20"/>
  <c r="AH117" i="20"/>
  <c r="AH842" i="20"/>
  <c r="AH67" i="20"/>
  <c r="AH107" i="20"/>
  <c r="AH371" i="20"/>
  <c r="AH11" i="20"/>
  <c r="AH168" i="20"/>
  <c r="AH681" i="20"/>
  <c r="AH82" i="20"/>
  <c r="AH345" i="20"/>
  <c r="AH57" i="20"/>
  <c r="AH472" i="20"/>
  <c r="AH890" i="20"/>
  <c r="AH239" i="20"/>
  <c r="AH672" i="20"/>
  <c r="AH901" i="20"/>
  <c r="AH435" i="20"/>
  <c r="AH25" i="20"/>
  <c r="AH86" i="20"/>
  <c r="AH797" i="20"/>
  <c r="AH336" i="20"/>
  <c r="J15" i="37" s="1"/>
  <c r="AH860" i="20"/>
  <c r="AH379" i="20"/>
  <c r="AH19" i="20"/>
  <c r="AH115" i="20"/>
  <c r="AH389" i="20"/>
  <c r="AH723" i="20"/>
  <c r="AH28" i="20"/>
  <c r="AH769" i="20"/>
  <c r="AH201" i="20"/>
  <c r="AH145" i="20"/>
  <c r="AH815" i="20"/>
  <c r="AH180" i="20"/>
  <c r="AH912" i="20"/>
  <c r="AH781" i="20"/>
  <c r="AH649" i="20"/>
  <c r="AH251" i="20"/>
  <c r="AH85" i="20"/>
  <c r="AH463" i="20"/>
  <c r="AH363" i="20"/>
  <c r="AH240" i="20"/>
  <c r="AH242" i="20"/>
  <c r="AH676" i="20"/>
  <c r="AH633" i="20"/>
  <c r="AH331" i="20"/>
  <c r="AH761" i="20"/>
  <c r="AH386" i="20"/>
  <c r="AH223" i="20"/>
  <c r="AH338" i="20"/>
  <c r="AH820" i="20"/>
  <c r="AH821" i="20"/>
  <c r="AH320" i="20"/>
  <c r="AH617" i="20"/>
  <c r="AH652" i="20"/>
  <c r="AH720" i="20"/>
  <c r="AH436" i="20"/>
  <c r="AH437" i="20"/>
  <c r="AH440" i="20"/>
  <c r="AH394" i="20"/>
  <c r="AH192" i="20"/>
  <c r="AH155" i="20"/>
  <c r="AH863" i="20"/>
  <c r="AH683" i="20"/>
  <c r="AH26" i="20"/>
  <c r="AH310" i="20"/>
  <c r="AH76" i="20"/>
  <c r="AH684" i="20"/>
  <c r="AH448" i="20"/>
  <c r="AH451" i="20"/>
  <c r="Z72" i="20"/>
  <c r="Y659" i="20"/>
  <c r="AL72" i="20"/>
  <c r="AH670" i="20"/>
  <c r="AH773" i="20"/>
  <c r="AH796" i="20"/>
  <c r="AH628" i="20"/>
  <c r="AH378" i="20"/>
  <c r="AH37" i="20"/>
  <c r="AH725" i="20"/>
  <c r="AH836" i="20"/>
  <c r="AH504" i="20"/>
  <c r="AH191" i="20"/>
  <c r="AH605" i="20"/>
  <c r="AH10" i="20"/>
  <c r="AH217" i="20"/>
  <c r="AH153" i="20"/>
  <c r="AH84" i="20"/>
  <c r="AH241" i="20"/>
  <c r="AH332" i="20"/>
  <c r="AH339" i="20"/>
  <c r="AH618" i="20"/>
  <c r="AH438" i="20"/>
  <c r="AH196" i="20"/>
  <c r="AH913" i="20"/>
  <c r="AH585" i="20"/>
  <c r="AH313" i="20"/>
  <c r="AH252" i="20"/>
  <c r="AH254" i="20"/>
  <c r="AH90" i="20"/>
  <c r="AH53" i="20"/>
  <c r="AH525" i="20"/>
  <c r="AH526" i="20"/>
  <c r="AH740" i="20"/>
  <c r="AH798" i="20"/>
  <c r="AH663" i="20"/>
  <c r="AH791" i="20"/>
  <c r="AH746" i="20"/>
  <c r="AH711" i="20"/>
  <c r="AH705" i="20"/>
  <c r="AH712" i="20"/>
  <c r="AH521" i="20"/>
  <c r="AH244" i="20"/>
  <c r="AH184" i="20"/>
  <c r="AH522" i="20"/>
  <c r="AH186" i="20"/>
  <c r="AH246" i="20"/>
  <c r="AH197" i="20"/>
  <c r="AH782" i="20"/>
  <c r="AH783" i="20"/>
  <c r="AH565" i="20"/>
  <c r="AH59" i="20"/>
  <c r="AH306" i="20"/>
  <c r="AH931" i="20"/>
  <c r="AH220" i="20"/>
  <c r="AH356" i="20"/>
  <c r="AH665" i="20"/>
  <c r="AH271" i="20"/>
  <c r="AH597" i="20"/>
  <c r="AH554" i="20"/>
  <c r="AH460" i="20"/>
  <c r="AH465" i="20"/>
  <c r="AH469" i="20"/>
  <c r="AH97" i="20"/>
  <c r="AH100" i="20"/>
  <c r="AH593" i="20"/>
  <c r="AH365" i="20"/>
  <c r="AH367" i="20"/>
  <c r="AH369" i="20"/>
  <c r="AH377" i="20"/>
  <c r="AH382" i="20"/>
  <c r="AH384" i="20"/>
  <c r="AH16" i="20"/>
  <c r="AH111" i="20"/>
  <c r="AH7" i="20"/>
  <c r="AH732" i="20"/>
  <c r="AH879" i="20"/>
  <c r="AH568" i="20"/>
  <c r="AH675" i="20"/>
  <c r="AH679" i="20"/>
  <c r="AH506" i="20"/>
  <c r="AH286" i="20"/>
  <c r="AH290" i="20"/>
  <c r="AH880" i="20"/>
  <c r="AH291" i="20"/>
  <c r="AH114" i="20"/>
  <c r="AH571" i="20"/>
  <c r="AH12" i="20"/>
  <c r="AH14" i="20"/>
  <c r="AH105" i="20"/>
  <c r="AH642" i="20"/>
  <c r="AH109" i="20"/>
  <c r="AH644" i="20"/>
  <c r="AH110" i="20"/>
  <c r="AH544" i="20"/>
  <c r="AH546" i="20"/>
  <c r="AH161" i="20"/>
  <c r="AH163" i="20"/>
  <c r="AH499" i="20"/>
  <c r="AH165" i="20"/>
  <c r="AH609" i="20"/>
  <c r="AH501" i="20"/>
  <c r="AH908" i="20"/>
  <c r="AH762" i="20"/>
  <c r="AH635" i="20"/>
  <c r="AH764" i="20"/>
  <c r="AH531" i="20"/>
  <c r="AH224" i="20"/>
  <c r="AH391" i="20"/>
  <c r="AH226" i="20"/>
  <c r="AH816" i="20"/>
  <c r="AH340" i="20"/>
  <c r="AH182" i="20"/>
  <c r="AH238" i="20"/>
  <c r="AH822" i="20"/>
  <c r="AH615" i="20"/>
  <c r="AH647" i="20"/>
  <c r="AH648" i="20"/>
  <c r="AH619" i="20"/>
  <c r="AH620" i="20"/>
  <c r="AH828" i="20"/>
  <c r="AH653" i="20"/>
  <c r="AH455" i="20"/>
  <c r="AH326" i="20"/>
  <c r="AH895" i="20"/>
  <c r="AH831" i="20"/>
  <c r="AH654" i="20"/>
  <c r="AH621" i="20"/>
  <c r="AH897" i="20"/>
  <c r="AH898" i="20"/>
  <c r="AH602" i="20"/>
  <c r="AH718" i="20"/>
  <c r="AH722" i="20"/>
  <c r="AH442" i="20"/>
  <c r="AH443" i="20"/>
  <c r="AH281" i="20"/>
  <c r="AH728" i="20"/>
  <c r="AH730" i="20"/>
  <c r="AH580" i="20"/>
  <c r="AH775" i="20"/>
  <c r="AH776" i="20"/>
  <c r="AH234" i="20"/>
  <c r="AH151" i="20"/>
  <c r="AH195" i="20"/>
  <c r="AH560" i="20"/>
  <c r="AH563" i="20"/>
  <c r="AH398" i="20"/>
  <c r="AH910" i="20"/>
  <c r="AH21" i="20"/>
  <c r="AH23" i="20"/>
  <c r="AH24" i="20"/>
  <c r="AH449" i="20"/>
  <c r="AH865" i="20"/>
  <c r="AH866" i="20"/>
  <c r="AH314" i="20"/>
  <c r="AH874" i="20"/>
  <c r="AH875" i="20"/>
  <c r="AH586" i="20"/>
  <c r="AH32" i="20"/>
  <c r="AH686" i="20"/>
  <c r="AH80" i="20"/>
  <c r="AH81" i="20"/>
  <c r="AH915" i="20"/>
  <c r="AH83" i="20"/>
  <c r="AH253" i="20"/>
  <c r="AK680" i="20"/>
  <c r="AH362" i="20"/>
  <c r="AH719" i="20"/>
  <c r="AH766" i="20"/>
  <c r="AH267" i="20"/>
  <c r="AH260" i="20"/>
  <c r="AH70" i="20"/>
  <c r="AH830" i="20"/>
  <c r="AH128" i="20"/>
  <c r="AH492" i="20"/>
  <c r="AH819" i="20"/>
  <c r="AH296" i="20"/>
  <c r="AH62" i="20"/>
  <c r="AH768" i="20"/>
  <c r="AH810" i="20"/>
  <c r="AH616" i="20"/>
  <c r="AH364" i="20"/>
  <c r="AH759" i="20"/>
  <c r="AH225" i="20"/>
  <c r="AH650" i="20"/>
  <c r="AH277" i="20"/>
  <c r="AH154" i="20"/>
  <c r="AH584" i="20"/>
  <c r="AH450" i="20"/>
  <c r="AC659" i="20"/>
  <c r="AH385" i="20"/>
  <c r="AH802" i="20"/>
  <c r="AH78" i="20"/>
  <c r="AH445" i="20"/>
  <c r="AH598" i="20"/>
  <c r="AH467" i="20"/>
  <c r="AH202" i="20"/>
  <c r="AH462" i="20"/>
  <c r="AH903" i="20"/>
  <c r="AH324" i="20"/>
  <c r="AH75" i="20"/>
  <c r="AH627" i="20"/>
  <c r="AH692" i="20"/>
  <c r="AH799" i="20"/>
  <c r="AH297" i="20"/>
  <c r="AH299" i="20"/>
  <c r="AH850" i="20"/>
  <c r="AH930" i="20"/>
  <c r="AH227" i="20"/>
  <c r="AH555" i="20"/>
  <c r="AH590" i="20"/>
  <c r="AH368" i="20"/>
  <c r="AH599" i="20"/>
  <c r="AH283" i="20"/>
  <c r="AH677" i="20"/>
  <c r="AH536" i="20"/>
  <c r="AH64" i="20"/>
  <c r="AH108" i="20"/>
  <c r="AH545" i="20"/>
  <c r="AH906" i="20"/>
  <c r="AH904" i="20"/>
  <c r="AH532" i="20"/>
  <c r="AH426" i="20"/>
  <c r="AH458" i="20"/>
  <c r="AH651" i="20"/>
  <c r="AH323" i="20"/>
  <c r="AH327" i="20"/>
  <c r="AH280" i="20"/>
  <c r="AH578" i="20"/>
  <c r="AH583" i="20"/>
  <c r="AH557" i="20"/>
  <c r="AH22" i="20"/>
  <c r="AH312" i="20"/>
  <c r="AH871" i="20"/>
  <c r="AH687" i="20"/>
  <c r="AH88" i="20"/>
  <c r="AH89" i="20"/>
  <c r="AH550" i="20"/>
  <c r="AH489" i="20"/>
  <c r="AH490" i="20"/>
  <c r="AH482" i="20"/>
  <c r="AH491" i="20"/>
  <c r="AH91" i="20"/>
  <c r="AH92" i="20"/>
  <c r="AH50" i="20"/>
  <c r="AH52" i="20"/>
  <c r="AH533" i="20"/>
  <c r="AH534" i="20"/>
  <c r="AH127" i="20"/>
  <c r="AH419" i="20"/>
  <c r="AH527" i="20"/>
  <c r="AH421" i="20"/>
  <c r="AH133" i="20"/>
  <c r="AH134" i="20"/>
  <c r="AH135" i="20"/>
  <c r="AH530" i="20"/>
  <c r="AH770" i="20"/>
  <c r="AH690" i="20"/>
  <c r="AH737" i="20"/>
  <c r="AH739" i="20"/>
  <c r="AH743" i="20"/>
  <c r="AH745" i="20"/>
  <c r="AH694" i="20"/>
  <c r="AH747" i="20"/>
  <c r="AH792" i="20"/>
  <c r="AH803" i="20"/>
  <c r="AH204" i="20"/>
  <c r="AH205" i="20"/>
  <c r="AH840" i="20"/>
  <c r="AH699" i="20"/>
  <c r="AH548" i="20"/>
  <c r="AH848" i="20"/>
  <c r="AH216" i="20"/>
  <c r="AH789" i="20"/>
  <c r="AH596" i="20"/>
  <c r="AH146" i="20"/>
  <c r="AH428" i="20"/>
  <c r="AH441" i="20"/>
  <c r="AH864" i="20"/>
  <c r="AH30" i="20"/>
  <c r="AH742" i="20"/>
  <c r="AH704" i="20"/>
  <c r="AH883" i="20"/>
  <c r="AH58" i="20"/>
  <c r="AH357" i="20"/>
  <c r="AH272" i="20"/>
  <c r="AH366" i="20"/>
  <c r="AH381" i="20"/>
  <c r="AH287" i="20"/>
  <c r="AH734" i="20"/>
  <c r="AH42" i="20"/>
  <c r="AH13" i="20"/>
  <c r="AH164" i="20"/>
  <c r="AH907" i="20"/>
  <c r="AH763" i="20"/>
  <c r="AH429" i="20"/>
  <c r="AH646" i="20"/>
  <c r="AH322" i="20"/>
  <c r="AH657" i="20"/>
  <c r="AH434" i="20"/>
  <c r="AH726" i="20"/>
  <c r="AH556" i="20"/>
  <c r="AH399" i="20"/>
  <c r="AH444" i="20"/>
  <c r="AH33" i="20"/>
  <c r="AH477" i="20"/>
  <c r="AH480" i="20"/>
  <c r="AH256" i="20"/>
  <c r="AH54" i="20"/>
  <c r="AH767" i="20"/>
  <c r="AH528" i="20"/>
  <c r="AH741" i="20"/>
  <c r="AH748" i="20"/>
  <c r="AH218" i="20"/>
  <c r="AH750" i="20"/>
  <c r="AH207" i="20"/>
  <c r="AH800" i="20"/>
  <c r="AH801" i="20"/>
  <c r="AH701" i="20"/>
  <c r="AH209" i="20"/>
  <c r="AH210" i="20"/>
  <c r="AH431" i="20"/>
  <c r="AH139" i="20"/>
  <c r="AH294" i="20"/>
  <c r="AH513" i="20"/>
  <c r="AH516" i="20"/>
  <c r="AH518" i="20"/>
  <c r="AH520" i="20"/>
  <c r="AH245" i="20"/>
  <c r="AH884" i="20"/>
  <c r="AH706" i="20"/>
  <c r="AH121" i="20"/>
  <c r="AH118" i="20"/>
  <c r="AH629" i="20"/>
  <c r="AH149" i="20"/>
  <c r="AH523" i="20"/>
  <c r="AH715" i="20"/>
  <c r="AH716" i="20"/>
  <c r="AH708" i="20"/>
  <c r="AH189" i="20"/>
  <c r="AH263" i="20"/>
  <c r="AH265" i="20"/>
  <c r="AH779" i="20"/>
  <c r="AH302" i="20"/>
  <c r="AH412" i="20"/>
  <c r="AH413" i="20"/>
  <c r="AH414" i="20"/>
  <c r="AH403" i="20"/>
  <c r="AH847" i="20"/>
  <c r="AH95" i="20"/>
  <c r="AH170" i="20"/>
  <c r="AH433" i="20"/>
  <c r="AH858" i="20"/>
  <c r="AH173" i="20"/>
  <c r="AH573" i="20"/>
  <c r="AH417" i="20"/>
  <c r="AH410" i="20"/>
  <c r="AH305" i="20"/>
  <c r="AH494" i="20"/>
  <c r="AH44" i="20"/>
  <c r="AH916" i="20"/>
  <c r="AH247" i="20"/>
  <c r="AH612" i="20"/>
  <c r="AH102" i="20"/>
  <c r="AH473" i="20"/>
  <c r="AH917" i="20"/>
  <c r="AH6" i="20"/>
  <c r="AH46" i="20"/>
  <c r="AH503" i="20"/>
  <c r="AH887" i="20"/>
  <c r="AH138" i="20"/>
  <c r="AH811" i="20"/>
  <c r="AH566" i="20"/>
  <c r="AH358" i="20"/>
  <c r="AH853" i="20"/>
  <c r="AH259" i="20"/>
  <c r="AH497" i="20"/>
  <c r="AH785" i="20"/>
  <c r="AH857" i="20"/>
  <c r="AH380" i="20"/>
  <c r="AH341" i="20"/>
  <c r="AH396" i="20"/>
  <c r="AH867" i="20"/>
  <c r="AH707" i="20"/>
  <c r="AH713" i="20"/>
  <c r="AH784" i="20"/>
  <c r="AG539" i="20"/>
  <c r="AE559" i="20"/>
  <c r="AD541" i="20"/>
  <c r="AC539" i="20"/>
  <c r="AL106" i="20"/>
  <c r="AL260" i="20"/>
  <c r="AL664" i="20"/>
  <c r="AL272" i="20"/>
  <c r="AL559" i="20"/>
  <c r="AL555" i="20"/>
  <c r="AL463" i="20"/>
  <c r="AL467" i="20"/>
  <c r="AL588" i="20"/>
  <c r="AL591" i="20"/>
  <c r="AL594" i="20"/>
  <c r="AL364" i="20"/>
  <c r="AL368" i="20"/>
  <c r="AL372" i="20"/>
  <c r="AL379" i="20"/>
  <c r="AL383" i="20"/>
  <c r="AL598" i="20"/>
  <c r="AL111" i="20"/>
  <c r="AL732" i="20"/>
  <c r="AL568" i="20"/>
  <c r="AL505" i="20"/>
  <c r="AL677" i="20"/>
  <c r="AL506" i="20"/>
  <c r="AL734" i="20"/>
  <c r="AL41" i="20"/>
  <c r="AL9" i="20"/>
  <c r="AL115" i="20"/>
  <c r="AL63" i="20"/>
  <c r="AL537" i="20"/>
  <c r="AL64" i="20"/>
  <c r="AL107" i="20"/>
  <c r="AL230" i="20"/>
  <c r="AL156" i="20"/>
  <c r="AL546" i="20"/>
  <c r="AL162" i="20"/>
  <c r="AL906" i="20"/>
  <c r="AL758" i="20"/>
  <c r="AL633" i="20"/>
  <c r="AH559" i="20"/>
  <c r="AH818" i="20"/>
  <c r="AH613" i="20"/>
  <c r="AH474" i="20"/>
  <c r="AH446" i="20"/>
  <c r="AH193" i="20"/>
  <c r="AH721" i="20"/>
  <c r="AH447" i="20"/>
  <c r="AH143" i="20"/>
  <c r="AH347" i="20"/>
  <c r="AH885" i="20"/>
  <c r="AH539" i="20"/>
  <c r="AH466" i="20"/>
  <c r="AH592" i="20"/>
  <c r="AH674" i="20"/>
  <c r="AH570" i="20"/>
  <c r="AH9" i="20"/>
  <c r="AH632" i="20"/>
  <c r="AH333" i="20"/>
  <c r="AH222" i="20"/>
  <c r="AH829" i="20"/>
  <c r="AH894" i="20"/>
  <c r="AH655" i="20"/>
  <c r="AH582" i="20"/>
  <c r="AH194" i="20"/>
  <c r="AH309" i="20"/>
  <c r="AH872" i="20"/>
  <c r="AH487" i="20"/>
  <c r="AH481" i="20"/>
  <c r="AH132" i="20"/>
  <c r="AH422" i="20"/>
  <c r="AH529" i="20"/>
  <c r="AH695" i="20"/>
  <c r="AH698" i="20"/>
  <c r="AH206" i="20"/>
  <c r="AH794" i="20"/>
  <c r="AH702" i="20"/>
  <c r="AH295" i="20"/>
  <c r="AH298" i="20"/>
  <c r="AH124" i="20"/>
  <c r="AH188" i="20"/>
  <c r="AH264" i="20"/>
  <c r="AH400" i="20"/>
  <c r="AH405" i="20"/>
  <c r="AH68" i="20"/>
  <c r="AH411" i="20"/>
  <c r="AH886" i="20"/>
  <c r="AH471" i="20"/>
  <c r="AH574" i="20"/>
  <c r="AH511" i="20"/>
  <c r="AH493" i="20"/>
  <c r="AH390" i="20"/>
  <c r="AH147" i="20"/>
  <c r="AF559" i="20"/>
  <c r="AE539" i="20"/>
  <c r="AC541" i="20"/>
  <c r="AL930" i="20"/>
  <c r="AL357" i="20"/>
  <c r="AL271" i="20"/>
  <c r="AL541" i="20"/>
  <c r="AL461" i="20"/>
  <c r="AL466" i="20"/>
  <c r="AL97" i="20"/>
  <c r="AL592" i="20"/>
  <c r="AL363" i="20"/>
  <c r="AL369" i="20"/>
  <c r="AL377" i="20"/>
  <c r="AL382" i="20"/>
  <c r="AL241" i="20"/>
  <c r="AL16" i="20"/>
  <c r="AL283" i="20"/>
  <c r="AL670" i="20"/>
  <c r="AL675" i="20"/>
  <c r="AL228" i="20"/>
  <c r="AL290" i="20"/>
  <c r="AL42" i="20"/>
  <c r="AL62" i="20"/>
  <c r="AL70" i="20"/>
  <c r="AL43" i="20"/>
  <c r="AL14" i="20"/>
  <c r="AL108" i="20"/>
  <c r="AL645" i="20"/>
  <c r="AL545" i="20"/>
  <c r="AL163" i="20"/>
  <c r="AL632" i="20"/>
  <c r="AL902" i="20"/>
  <c r="AL332" i="20"/>
  <c r="AL501" i="20"/>
  <c r="AL903" i="20"/>
  <c r="AL904" i="20"/>
  <c r="AL333" i="20"/>
  <c r="AL532" i="20"/>
  <c r="AL386" i="20"/>
  <c r="AL388" i="20"/>
  <c r="AL391" i="20"/>
  <c r="AL337" i="20"/>
  <c r="AL456" i="20"/>
  <c r="AL338" i="20"/>
  <c r="AL427" i="20"/>
  <c r="AL341" i="20"/>
  <c r="AL429" i="20"/>
  <c r="AL318" i="20"/>
  <c r="AL319" i="20"/>
  <c r="AL649" i="20"/>
  <c r="AL651" i="20"/>
  <c r="AL652" i="20"/>
  <c r="AL454" i="20"/>
  <c r="AL323" i="20"/>
  <c r="AL830" i="20"/>
  <c r="AL895" i="20"/>
  <c r="AL654" i="20"/>
  <c r="AL897" i="20"/>
  <c r="AL600" i="20"/>
  <c r="AL602" i="20"/>
  <c r="AL434" i="20"/>
  <c r="AL435" i="20"/>
  <c r="AL438" i="20"/>
  <c r="AL278" i="20"/>
  <c r="AL723" i="20"/>
  <c r="AL443" i="20"/>
  <c r="AL728" i="20"/>
  <c r="AL232" i="20"/>
  <c r="AL774" i="20"/>
  <c r="AL233" i="20"/>
  <c r="AL583" i="20"/>
  <c r="AL393" i="20"/>
  <c r="AL395" i="20"/>
  <c r="AL155" i="20"/>
  <c r="AL556" i="20"/>
  <c r="AL396" i="20"/>
  <c r="AL399" i="20"/>
  <c r="AL21" i="20"/>
  <c r="AL912" i="20"/>
  <c r="AL74" i="20"/>
  <c r="AL75" i="20"/>
  <c r="AL26" i="20"/>
  <c r="AL913" i="20"/>
  <c r="AL684" i="20"/>
  <c r="AL311" i="20"/>
  <c r="AL29" i="20"/>
  <c r="AL685" i="20"/>
  <c r="AL867" i="20"/>
  <c r="AL868" i="20"/>
  <c r="AL874" i="20"/>
  <c r="AL586" i="20"/>
  <c r="AL686" i="20"/>
  <c r="AL81" i="20"/>
  <c r="AL486" i="20"/>
  <c r="AL625" i="20"/>
  <c r="AL251" i="20"/>
  <c r="AL252" i="20"/>
  <c r="AL88" i="20"/>
  <c r="AL487" i="20"/>
  <c r="AL488" i="20"/>
  <c r="AL489" i="20"/>
  <c r="AL482" i="20"/>
  <c r="AL91" i="20"/>
  <c r="AL51" i="20"/>
  <c r="AL533" i="20"/>
  <c r="AL524" i="20"/>
  <c r="AL127" i="20"/>
  <c r="AL525" i="20"/>
  <c r="AL767" i="20"/>
  <c r="AL836" i="20"/>
  <c r="AL422" i="20"/>
  <c r="AL528" i="20"/>
  <c r="AL837" i="20"/>
  <c r="AH502" i="20"/>
  <c r="AH304" i="20"/>
  <c r="AH505" i="20"/>
  <c r="AH902" i="20"/>
  <c r="AH427" i="20"/>
  <c r="AH395" i="20"/>
  <c r="AH131" i="20"/>
  <c r="AH662" i="20"/>
  <c r="AH144" i="20"/>
  <c r="AH553" i="20"/>
  <c r="AH765" i="20"/>
  <c r="AH464" i="20"/>
  <c r="AH34" i="20"/>
  <c r="AH38" i="20"/>
  <c r="AH228" i="20"/>
  <c r="AH156" i="20"/>
  <c r="AH162" i="20"/>
  <c r="AH610" i="20"/>
  <c r="AH318" i="20"/>
  <c r="AH454" i="20"/>
  <c r="AH325" i="20"/>
  <c r="AH729" i="20"/>
  <c r="AH233" i="20"/>
  <c r="AH870" i="20"/>
  <c r="AH876" i="20"/>
  <c r="AH250" i="20"/>
  <c r="AH255" i="20"/>
  <c r="AH51" i="20"/>
  <c r="AH562" i="20"/>
  <c r="AH420" i="20"/>
  <c r="AH738" i="20"/>
  <c r="AH693" i="20"/>
  <c r="AH203" i="20"/>
  <c r="AH793" i="20"/>
  <c r="AH219" i="20"/>
  <c r="AH882" i="20"/>
  <c r="AH519" i="20"/>
  <c r="AH300" i="20"/>
  <c r="AH349" i="20"/>
  <c r="AH350" i="20"/>
  <c r="AH262" i="20"/>
  <c r="AH94" i="20"/>
  <c r="AH404" i="20"/>
  <c r="AH172" i="20"/>
  <c r="AH409" i="20"/>
  <c r="AH888" i="20"/>
  <c r="AH56" i="20"/>
  <c r="AH889" i="20"/>
  <c r="AH843" i="20"/>
  <c r="AH855" i="20"/>
  <c r="AH370" i="20"/>
  <c r="AH696" i="20"/>
  <c r="AH120" i="20"/>
  <c r="AH634" i="20"/>
  <c r="AH311" i="20"/>
  <c r="AH330" i="20"/>
  <c r="AH673" i="20"/>
  <c r="AH387" i="20"/>
  <c r="AH87" i="20"/>
  <c r="AH130" i="20"/>
  <c r="AH790" i="20"/>
  <c r="AH849" i="20"/>
  <c r="AH258" i="20"/>
  <c r="AH664" i="20"/>
  <c r="AH372" i="20"/>
  <c r="AH60" i="20"/>
  <c r="AH753" i="20"/>
  <c r="AH231" i="20"/>
  <c r="AH645" i="20"/>
  <c r="AH159" i="20"/>
  <c r="AH392" i="20"/>
  <c r="AH181" i="20"/>
  <c r="AH319" i="20"/>
  <c r="AH275" i="20"/>
  <c r="AH727" i="20"/>
  <c r="AH581" i="20"/>
  <c r="AH29" i="20"/>
  <c r="AH79" i="20"/>
  <c r="AH31" i="20"/>
  <c r="AH551" i="20"/>
  <c r="AH48" i="20"/>
  <c r="AH535" i="20"/>
  <c r="AH736" i="20"/>
  <c r="AH744" i="20"/>
  <c r="AH804" i="20"/>
  <c r="AH208" i="20"/>
  <c r="AH517" i="20"/>
  <c r="AH268" i="20"/>
  <c r="AH269" i="20"/>
  <c r="AH150" i="20"/>
  <c r="AH174" i="20"/>
  <c r="AH402" i="20"/>
  <c r="AH171" i="20"/>
  <c r="AH408" i="20"/>
  <c r="AH101" i="20"/>
  <c r="AH495" i="20"/>
  <c r="AH45" i="20"/>
  <c r="AH307" i="20"/>
  <c r="AH854" i="20"/>
  <c r="AH844" i="20"/>
  <c r="AH873" i="20"/>
  <c r="AH69" i="20"/>
  <c r="AH406" i="20"/>
  <c r="AH678" i="20"/>
  <c r="AH383" i="20"/>
  <c r="AH611" i="20"/>
  <c r="AH869" i="20"/>
  <c r="AH479" i="20"/>
  <c r="AH824" i="20"/>
  <c r="AH407" i="20"/>
  <c r="AH55" i="20"/>
  <c r="AH724" i="20"/>
  <c r="AH476" i="20"/>
  <c r="AH303" i="20"/>
  <c r="AH361" i="20"/>
  <c r="AH41" i="20"/>
  <c r="AH279" i="20"/>
  <c r="AH27" i="20"/>
  <c r="AH199" i="20"/>
  <c r="AH700" i="20"/>
  <c r="AH141" i="20"/>
  <c r="AH561" i="20"/>
  <c r="AH248" i="20"/>
  <c r="AH851" i="20"/>
  <c r="AF541" i="20"/>
  <c r="AD539" i="20"/>
  <c r="AB539" i="20"/>
  <c r="AL105" i="20"/>
  <c r="AL356" i="20"/>
  <c r="AL765" i="20"/>
  <c r="AL460" i="20"/>
  <c r="AL468" i="20"/>
  <c r="AL590" i="20"/>
  <c r="AL362" i="20"/>
  <c r="AL370" i="20"/>
  <c r="AL380" i="20"/>
  <c r="AL240" i="20"/>
  <c r="AL60" i="20"/>
  <c r="AL879" i="20"/>
  <c r="AL674" i="20"/>
  <c r="AL570" i="20"/>
  <c r="AL880" i="20"/>
  <c r="AL19" i="20"/>
  <c r="AL116" i="20"/>
  <c r="AL12" i="20"/>
  <c r="AL642" i="20"/>
  <c r="AL110" i="20"/>
  <c r="AL160" i="20"/>
  <c r="AL165" i="20"/>
  <c r="AL759" i="20"/>
  <c r="AL609" i="20"/>
  <c r="AL908" i="20"/>
  <c r="AL762" i="20"/>
  <c r="AL611" i="20"/>
  <c r="AL385" i="20"/>
  <c r="AL389" i="20"/>
  <c r="AL226" i="20"/>
  <c r="AL818" i="20"/>
  <c r="AL339" i="20"/>
  <c r="AL340" i="20"/>
  <c r="AL182" i="20"/>
  <c r="AL615" i="20"/>
  <c r="AL827" i="20"/>
  <c r="AL650" i="20"/>
  <c r="AL619" i="20"/>
  <c r="AL829" i="20"/>
  <c r="AL893" i="20"/>
  <c r="AL896" i="20"/>
  <c r="AL621" i="20"/>
  <c r="AL275" i="20"/>
  <c r="AL720" i="20"/>
  <c r="AL437" i="20"/>
  <c r="AL441" i="20"/>
  <c r="AL725" i="20"/>
  <c r="AL727" i="20"/>
  <c r="AL577" i="20"/>
  <c r="AL581" i="20"/>
  <c r="AL234" i="20"/>
  <c r="AL190" i="20"/>
  <c r="AL192" i="20"/>
  <c r="AL195" i="20"/>
  <c r="AL196" i="20"/>
  <c r="AL309" i="20"/>
  <c r="AL444" i="20"/>
  <c r="AL24" i="20"/>
  <c r="AL864" i="20"/>
  <c r="AL310" i="20"/>
  <c r="AL914" i="20"/>
  <c r="AL450" i="20"/>
  <c r="AL78" i="20"/>
  <c r="AL585" i="20"/>
  <c r="AL314" i="20"/>
  <c r="AL871" i="20"/>
  <c r="AL33" i="20"/>
  <c r="AL915" i="20"/>
  <c r="AL453" i="20"/>
  <c r="AL84" i="20"/>
  <c r="AL86" i="20"/>
  <c r="AL89" i="20"/>
  <c r="AL90" i="20"/>
  <c r="AL490" i="20"/>
  <c r="AL551" i="20"/>
  <c r="AL48" i="20"/>
  <c r="AL53" i="20"/>
  <c r="AL562" i="20"/>
  <c r="AL128" i="20"/>
  <c r="AL132" i="20"/>
  <c r="AL526" i="20"/>
  <c r="AL133" i="20"/>
  <c r="AL529" i="20"/>
  <c r="AL690" i="20"/>
  <c r="AL215" i="20"/>
  <c r="AL802" i="20"/>
  <c r="AL737" i="20"/>
  <c r="AL741" i="20"/>
  <c r="AL798" i="20"/>
  <c r="AL743" i="20"/>
  <c r="AL216" i="20"/>
  <c r="AL695" i="20"/>
  <c r="AL799" i="20"/>
  <c r="AL748" i="20"/>
  <c r="AL698" i="20"/>
  <c r="AL218" i="20"/>
  <c r="AL700" i="20"/>
  <c r="AL793" i="20"/>
  <c r="AL751" i="20"/>
  <c r="AL219" i="20"/>
  <c r="AL211" i="20"/>
  <c r="AL882" i="20"/>
  <c r="AL514" i="20"/>
  <c r="AL823" i="20"/>
  <c r="AL267" i="20"/>
  <c r="AL517" i="20"/>
  <c r="AL346" i="20"/>
  <c r="AL520" i="20"/>
  <c r="AL296" i="20"/>
  <c r="AL244" i="20"/>
  <c r="AL348" i="20"/>
  <c r="AL268" i="20"/>
  <c r="AL707" i="20"/>
  <c r="AL299" i="20"/>
  <c r="AL186" i="20"/>
  <c r="AL124" i="20"/>
  <c r="AL269" i="20"/>
  <c r="AL188" i="20"/>
  <c r="AL150" i="20"/>
  <c r="AL263" i="20"/>
  <c r="AL779" i="20"/>
  <c r="AL412" i="20"/>
  <c r="AL414" i="20"/>
  <c r="AL404" i="20"/>
  <c r="AL607" i="20"/>
  <c r="AL169" i="20"/>
  <c r="AL814" i="20"/>
  <c r="AL781" i="20"/>
  <c r="AL197" i="20"/>
  <c r="AL850" i="20"/>
  <c r="AL171" i="20"/>
  <c r="AL433" i="20"/>
  <c r="AL68" i="20"/>
  <c r="AL408" i="20"/>
  <c r="AL411" i="20"/>
  <c r="AL494" i="20"/>
  <c r="AL916" i="20"/>
  <c r="AL137" i="20"/>
  <c r="AL56" i="20"/>
  <c r="AL55" i="20"/>
  <c r="AL889" i="20"/>
  <c r="AL851" i="20"/>
  <c r="AL613" i="20"/>
  <c r="AL472" i="20"/>
  <c r="AL887" i="20"/>
  <c r="AL811" i="20"/>
  <c r="AL358" i="20"/>
  <c r="AL259" i="20"/>
  <c r="AL785" i="20"/>
  <c r="AJ108" i="20"/>
  <c r="AJ260" i="20"/>
  <c r="AJ664" i="20"/>
  <c r="AJ272" i="20"/>
  <c r="AJ559" i="20"/>
  <c r="H123" i="86" s="1"/>
  <c r="K123" i="86" s="1"/>
  <c r="AJ555" i="20"/>
  <c r="AJ463" i="20"/>
  <c r="AJ467" i="20"/>
  <c r="AJ588" i="20"/>
  <c r="AJ591" i="20"/>
  <c r="AJ594" i="20"/>
  <c r="AJ364" i="20"/>
  <c r="AJ368" i="20"/>
  <c r="AJ372" i="20"/>
  <c r="AJ379" i="20"/>
  <c r="AJ383" i="20"/>
  <c r="AJ598" i="20"/>
  <c r="AJ111" i="20"/>
  <c r="AJ732" i="20"/>
  <c r="AJ568" i="20"/>
  <c r="AJ505" i="20"/>
  <c r="AJ677" i="20"/>
  <c r="AJ506" i="20"/>
  <c r="AJ734" i="20"/>
  <c r="AJ41" i="20"/>
  <c r="AJ9" i="20"/>
  <c r="AJ115" i="20"/>
  <c r="AJ63" i="20"/>
  <c r="AJ537" i="20"/>
  <c r="AJ64" i="20"/>
  <c r="AJ643" i="20"/>
  <c r="AJ645" i="20"/>
  <c r="AJ158" i="20"/>
  <c r="AJ160" i="20"/>
  <c r="AJ164" i="20"/>
  <c r="AJ632" i="20"/>
  <c r="AJ901" i="20"/>
  <c r="AJ331" i="20"/>
  <c r="AJ609" i="20"/>
  <c r="AJ610" i="20"/>
  <c r="AJ909" i="20"/>
  <c r="AJ763" i="20"/>
  <c r="AJ611" i="20"/>
  <c r="AJ222" i="20"/>
  <c r="AJ223" i="20"/>
  <c r="AJ390" i="20"/>
  <c r="AJ226" i="20"/>
  <c r="AJ817" i="20"/>
  <c r="AJ180" i="20"/>
  <c r="AJ819" i="20"/>
  <c r="AJ340" i="20"/>
  <c r="AJ342" i="20"/>
  <c r="AJ458" i="20"/>
  <c r="AJ646" i="20"/>
  <c r="AJ827" i="20"/>
  <c r="AJ320" i="20"/>
  <c r="AJ321" i="20"/>
  <c r="AJ322" i="20"/>
  <c r="AJ829" i="20"/>
  <c r="AJ455" i="20"/>
  <c r="AJ326" i="20"/>
  <c r="AJ831" i="20"/>
  <c r="AJ621" i="20"/>
  <c r="AJ898" i="20"/>
  <c r="AJ595" i="20"/>
  <c r="AJ718" i="20"/>
  <c r="AJ720" i="20"/>
  <c r="AJ277" i="20"/>
  <c r="AJ440" i="20"/>
  <c r="AJ279" i="20"/>
  <c r="AJ725" i="20"/>
  <c r="AJ281" i="20"/>
  <c r="AJ730" i="20"/>
  <c r="AJ578" i="20"/>
  <c r="AJ581" i="20"/>
  <c r="AJ582" i="20"/>
  <c r="AJ153" i="20"/>
  <c r="AJ192" i="20"/>
  <c r="AJ194" i="20"/>
  <c r="AJ557" i="20"/>
  <c r="AJ397" i="20"/>
  <c r="AJ309" i="20"/>
  <c r="AJ23" i="20"/>
  <c r="AJ682" i="20"/>
  <c r="AJ863" i="20"/>
  <c r="AJ864" i="20"/>
  <c r="AJ584" i="20"/>
  <c r="AJ446" i="20"/>
  <c r="AJ448" i="20"/>
  <c r="AJ450" i="20"/>
  <c r="AJ312" i="20"/>
  <c r="AJ451" i="20"/>
  <c r="AJ30" i="20"/>
  <c r="AJ314" i="20"/>
  <c r="AJ875" i="20"/>
  <c r="AJ32" i="20"/>
  <c r="AJ80" i="20"/>
  <c r="AJ915" i="20"/>
  <c r="AJ548" i="20"/>
  <c r="AJ83" i="20"/>
  <c r="AJ85" i="20"/>
  <c r="AJ86" i="20"/>
  <c r="AJ255" i="20"/>
  <c r="AJ549" i="20"/>
  <c r="AJ550" i="20"/>
  <c r="AJ490" i="20"/>
  <c r="AJ491" i="20"/>
  <c r="AJ92" i="20"/>
  <c r="AJ49" i="20"/>
  <c r="AJ53" i="20"/>
  <c r="AJ534" i="20"/>
  <c r="AJ418" i="20"/>
  <c r="AJ129" i="20"/>
  <c r="AJ132" i="20"/>
  <c r="AJ769" i="20"/>
  <c r="AJ420" i="20"/>
  <c r="AJ423" i="20"/>
  <c r="AJ529" i="20"/>
  <c r="AJ199" i="20"/>
  <c r="AJ200" i="20"/>
  <c r="AJ430" i="20"/>
  <c r="AJ692" i="20"/>
  <c r="AJ740" i="20"/>
  <c r="AJ797" i="20"/>
  <c r="AJ742" i="20"/>
  <c r="AJ693" i="20"/>
  <c r="AJ201" i="20"/>
  <c r="AJ791" i="20"/>
  <c r="AJ747" i="20"/>
  <c r="AJ803" i="20"/>
  <c r="AJ205" i="20"/>
  <c r="AJ699" i="20"/>
  <c r="AJ207" i="20"/>
  <c r="AJ801" i="20"/>
  <c r="AJ209" i="20"/>
  <c r="AJ431" i="20"/>
  <c r="AJ139" i="20"/>
  <c r="AJ513" i="20"/>
  <c r="AJ117" i="20"/>
  <c r="AJ703" i="20"/>
  <c r="AJ628" i="20"/>
  <c r="AJ345" i="20"/>
  <c r="AJ704" i="20"/>
  <c r="AJ712" i="20"/>
  <c r="AJ883" i="20"/>
  <c r="AJ298" i="20"/>
  <c r="AJ884" i="20"/>
  <c r="AJ146" i="20"/>
  <c r="AJ522" i="20"/>
  <c r="AJ300" i="20"/>
  <c r="AJ121" i="20"/>
  <c r="AJ629" i="20"/>
  <c r="AJ523" i="20"/>
  <c r="AJ716" i="20"/>
  <c r="AJ189" i="20"/>
  <c r="AJ262" i="20"/>
  <c r="AJ94" i="20"/>
  <c r="AJ401" i="20"/>
  <c r="AJ403" i="20"/>
  <c r="AJ847" i="20"/>
  <c r="AJ95" i="20"/>
  <c r="H19" i="86" s="1"/>
  <c r="K19" i="86" s="1"/>
  <c r="AH541" i="20"/>
  <c r="AH468" i="20"/>
  <c r="AH49" i="20"/>
  <c r="AH198" i="20"/>
  <c r="AH588" i="20"/>
  <c r="AH817" i="20"/>
  <c r="AH656" i="20"/>
  <c r="AH397" i="20"/>
  <c r="AH484" i="20"/>
  <c r="AH837" i="20"/>
  <c r="AH749" i="20"/>
  <c r="AH751" i="20"/>
  <c r="AH185" i="20"/>
  <c r="AH470" i="20"/>
  <c r="AH359" i="20"/>
  <c r="AH896" i="20"/>
  <c r="AH211" i="20"/>
  <c r="AH856" i="20"/>
  <c r="AF539" i="20"/>
  <c r="AB559" i="20"/>
  <c r="AL665" i="20"/>
  <c r="AL539" i="20"/>
  <c r="AL465" i="20"/>
  <c r="AL100" i="20"/>
  <c r="AL366" i="20"/>
  <c r="AL378" i="20"/>
  <c r="AL242" i="20"/>
  <c r="AL7" i="20"/>
  <c r="AL673" i="20"/>
  <c r="AL877" i="20"/>
  <c r="AL114" i="20"/>
  <c r="AL20" i="20"/>
  <c r="AL13" i="20"/>
  <c r="AL109" i="20"/>
  <c r="AL159" i="20"/>
  <c r="AL900" i="20"/>
  <c r="AL634" i="20"/>
  <c r="AL610" i="20"/>
  <c r="AL763" i="20"/>
  <c r="AL224" i="20"/>
  <c r="AL426" i="20"/>
  <c r="AL180" i="20"/>
  <c r="AL821" i="20"/>
  <c r="AL238" i="20"/>
  <c r="AL647" i="20"/>
  <c r="AL320" i="20"/>
  <c r="AL322" i="20"/>
  <c r="AL324" i="20"/>
  <c r="AL894" i="20"/>
  <c r="AL656" i="20"/>
  <c r="AL595" i="20"/>
  <c r="AL276" i="20"/>
  <c r="AL439" i="20"/>
  <c r="AL442" i="20"/>
  <c r="AL281" i="20"/>
  <c r="AL578" i="20"/>
  <c r="AL776" i="20"/>
  <c r="AL151" i="20"/>
  <c r="AL154" i="20"/>
  <c r="AL557" i="20"/>
  <c r="AL910" i="20"/>
  <c r="AL681" i="20"/>
  <c r="AL445" i="20"/>
  <c r="AL584" i="20"/>
  <c r="AL448" i="20"/>
  <c r="AL865" i="20"/>
  <c r="AL873" i="20"/>
  <c r="AL79" i="20"/>
  <c r="AL32" i="20"/>
  <c r="AL872" i="20"/>
  <c r="AL82" i="20"/>
  <c r="AL626" i="20"/>
  <c r="AL255" i="20"/>
  <c r="AL550" i="20"/>
  <c r="AL483" i="20"/>
  <c r="AL484" i="20"/>
  <c r="AL54" i="20"/>
  <c r="AL418" i="20"/>
  <c r="AL131" i="20"/>
  <c r="AL527" i="20"/>
  <c r="AL134" i="20"/>
  <c r="AL788" i="20"/>
  <c r="AL691" i="20"/>
  <c r="AL692" i="20"/>
  <c r="AL789" i="20"/>
  <c r="AL663" i="20"/>
  <c r="AL693" i="20"/>
  <c r="AL202" i="20"/>
  <c r="AL697" i="20"/>
  <c r="AL803" i="20"/>
  <c r="AL840" i="20"/>
  <c r="AL804" i="20"/>
  <c r="AL801" i="20"/>
  <c r="AL210" i="20"/>
  <c r="AL294" i="20"/>
  <c r="AL123" i="20"/>
  <c r="AL703" i="20"/>
  <c r="AL518" i="20"/>
  <c r="AL711" i="20"/>
  <c r="AL712" i="20"/>
  <c r="AL347" i="20"/>
  <c r="AL185" i="20"/>
  <c r="AL146" i="20"/>
  <c r="AL148" i="20"/>
  <c r="AL246" i="20"/>
  <c r="AL629" i="20"/>
  <c r="AL715" i="20"/>
  <c r="AL350" i="20"/>
  <c r="AL264" i="20"/>
  <c r="AL302" i="20"/>
  <c r="AL401" i="20"/>
  <c r="AL608" i="20"/>
  <c r="AL405" i="20"/>
  <c r="AL67" i="20"/>
  <c r="AL860" i="20"/>
  <c r="AL170" i="20"/>
  <c r="AL565" i="20"/>
  <c r="AL172" i="20"/>
  <c r="AL561" i="20"/>
  <c r="AL410" i="20"/>
  <c r="AL101" i="20"/>
  <c r="AL886" i="20"/>
  <c r="AL102" i="20"/>
  <c r="AL6" i="20"/>
  <c r="AL574" i="20"/>
  <c r="AL852" i="20"/>
  <c r="AL492" i="20"/>
  <c r="AL138" i="20"/>
  <c r="AL511" i="20"/>
  <c r="AL855" i="20"/>
  <c r="AL857" i="20"/>
  <c r="AJ107" i="20"/>
  <c r="AJ220" i="20"/>
  <c r="AJ227" i="20"/>
  <c r="AJ460" i="20"/>
  <c r="AJ465" i="20"/>
  <c r="AJ336" i="20"/>
  <c r="L15" i="37" s="1"/>
  <c r="AJ100" i="20"/>
  <c r="AJ362" i="20"/>
  <c r="AJ367" i="20"/>
  <c r="AJ376" i="20"/>
  <c r="AJ381" i="20"/>
  <c r="AJ240" i="20"/>
  <c r="AJ287" i="20"/>
  <c r="AJ7" i="20"/>
  <c r="AJ38" i="20"/>
  <c r="AJ674" i="20"/>
  <c r="AJ679" i="20"/>
  <c r="AJ286" i="20"/>
  <c r="AJ291" i="20"/>
  <c r="AJ19" i="20"/>
  <c r="AJ20" i="20"/>
  <c r="AJ11" i="20"/>
  <c r="AJ13" i="20"/>
  <c r="AJ642" i="20"/>
  <c r="AJ110" i="20"/>
  <c r="AJ546" i="20"/>
  <c r="AJ163" i="20"/>
  <c r="AJ900" i="20"/>
  <c r="AJ633" i="20"/>
  <c r="AJ760" i="20"/>
  <c r="AJ908" i="20"/>
  <c r="AJ904" i="20"/>
  <c r="AJ764" i="20"/>
  <c r="AJ385" i="20"/>
  <c r="AJ388" i="20"/>
  <c r="AJ392" i="20"/>
  <c r="AJ818" i="20"/>
  <c r="AJ338" i="20"/>
  <c r="AJ821" i="20"/>
  <c r="AJ182" i="20"/>
  <c r="AJ318" i="20"/>
  <c r="AJ892" i="20"/>
  <c r="AJ650" i="20"/>
  <c r="AJ652" i="20"/>
  <c r="AJ828" i="20"/>
  <c r="AJ893" i="20"/>
  <c r="AJ895" i="20"/>
  <c r="AJ655" i="20"/>
  <c r="AJ602" i="20"/>
  <c r="AJ276" i="20"/>
  <c r="AJ437" i="20"/>
  <c r="AJ278" i="20"/>
  <c r="AJ724" i="20"/>
  <c r="AJ727" i="20"/>
  <c r="AJ232" i="20"/>
  <c r="AJ580" i="20"/>
  <c r="AJ234" i="20"/>
  <c r="AJ393" i="20"/>
  <c r="AJ191" i="20"/>
  <c r="AJ195" i="20"/>
  <c r="AJ396" i="20"/>
  <c r="AJ910" i="20"/>
  <c r="AJ444" i="20"/>
  <c r="AJ74" i="20"/>
  <c r="AJ683" i="20"/>
  <c r="AJ310" i="20"/>
  <c r="AJ684" i="20"/>
  <c r="AJ449" i="20"/>
  <c r="AJ78" i="20"/>
  <c r="AJ867" i="20"/>
  <c r="AJ869" i="20"/>
  <c r="AJ871" i="20"/>
  <c r="AJ686" i="20"/>
  <c r="AJ872" i="20"/>
  <c r="AJ453" i="20"/>
  <c r="H110" i="86" s="1"/>
  <c r="K110" i="86" s="1"/>
  <c r="AJ251" i="20"/>
  <c r="AJ253" i="20"/>
  <c r="AJ89" i="20"/>
  <c r="AJ488" i="20"/>
  <c r="AJ480" i="20"/>
  <c r="AJ551" i="20"/>
  <c r="AJ52" i="20"/>
  <c r="AJ562" i="20"/>
  <c r="H31" i="86" s="1"/>
  <c r="K31" i="86" s="1"/>
  <c r="AJ127" i="20"/>
  <c r="AJ131" i="20"/>
  <c r="AJ526" i="20"/>
  <c r="AJ422" i="20"/>
  <c r="AJ135" i="20"/>
  <c r="AJ788" i="20"/>
  <c r="AJ691" i="20"/>
  <c r="AJ737" i="20"/>
  <c r="AJ789" i="20"/>
  <c r="AJ663" i="20"/>
  <c r="AJ216" i="20"/>
  <c r="AJ202" i="20"/>
  <c r="AJ697" i="20"/>
  <c r="AJ698" i="20"/>
  <c r="AJ840" i="20"/>
  <c r="AJ804" i="20"/>
  <c r="AJ751" i="20"/>
  <c r="AJ210" i="20"/>
  <c r="AJ294" i="20"/>
  <c r="AJ123" i="20"/>
  <c r="AJ267" i="20"/>
  <c r="AJ518" i="20"/>
  <c r="AJ711" i="20"/>
  <c r="AJ296" i="20"/>
  <c r="AJ347" i="20"/>
  <c r="AJ185" i="20"/>
  <c r="AJ707" i="20"/>
  <c r="AJ148" i="20"/>
  <c r="AJ246" i="20"/>
  <c r="AJ269" i="20"/>
  <c r="AJ715" i="20"/>
  <c r="AJ350" i="20"/>
  <c r="AJ264" i="20"/>
  <c r="AJ302" i="20"/>
  <c r="AJ414" i="20"/>
  <c r="AJ608" i="20"/>
  <c r="H133" i="86" s="1"/>
  <c r="K133" i="86" s="1"/>
  <c r="AJ405" i="20"/>
  <c r="AJ67" i="20"/>
  <c r="AJ407" i="20"/>
  <c r="AJ669" i="20"/>
  <c r="AJ782" i="20"/>
  <c r="AJ565" i="20"/>
  <c r="AJ58" i="20"/>
  <c r="AJ304" i="20"/>
  <c r="AJ573" i="20"/>
  <c r="AJ410" i="20"/>
  <c r="AJ815" i="20"/>
  <c r="AJ888" i="20"/>
  <c r="AJ247" i="20"/>
  <c r="AJ102" i="20"/>
  <c r="AJ917" i="20"/>
  <c r="AJ46" i="20"/>
  <c r="AJ810" i="20"/>
  <c r="AJ852" i="20"/>
  <c r="AJ474" i="20"/>
  <c r="AJ504" i="20"/>
  <c r="AJ307" i="20"/>
  <c r="AJ511" i="20"/>
  <c r="AJ854" i="20"/>
  <c r="AJ493" i="20"/>
  <c r="AJ844" i="20"/>
  <c r="AI107" i="20"/>
  <c r="AI553" i="20"/>
  <c r="AI356" i="20"/>
  <c r="AI271" i="20"/>
  <c r="AI554" i="20"/>
  <c r="AI462" i="20"/>
  <c r="AI466" i="20"/>
  <c r="AI336" i="20"/>
  <c r="K15" i="37" s="1"/>
  <c r="AI590" i="20"/>
  <c r="AI593" i="20"/>
  <c r="AI363" i="20"/>
  <c r="AI367" i="20"/>
  <c r="AI371" i="20"/>
  <c r="AI378" i="20"/>
  <c r="AI382" i="20"/>
  <c r="AI240" i="20"/>
  <c r="AI599" i="20"/>
  <c r="AI60" i="20"/>
  <c r="AI283" i="20"/>
  <c r="AI38" i="20"/>
  <c r="AI673" i="20"/>
  <c r="AI676" i="20"/>
  <c r="AI228" i="20"/>
  <c r="G41" i="86" s="1"/>
  <c r="J41" i="86" s="1"/>
  <c r="AI286" i="20"/>
  <c r="AI880" i="20"/>
  <c r="AI114" i="20"/>
  <c r="AI62" i="20"/>
  <c r="AI20" i="20"/>
  <c r="AI37" i="20"/>
  <c r="AI572" i="20"/>
  <c r="AI14" i="20"/>
  <c r="AI642" i="20"/>
  <c r="AI644" i="20"/>
  <c r="AI544" i="20"/>
  <c r="AI159" i="20"/>
  <c r="AI163" i="20"/>
  <c r="AI165" i="20"/>
  <c r="AI330" i="20"/>
  <c r="AI759" i="20"/>
  <c r="AI760" i="20"/>
  <c r="AI761" i="20"/>
  <c r="AI502" i="20"/>
  <c r="AI762" i="20"/>
  <c r="AI764" i="20"/>
  <c r="AI387" i="20"/>
  <c r="AI389" i="20"/>
  <c r="AI392" i="20"/>
  <c r="AI816" i="20"/>
  <c r="AI237" i="20"/>
  <c r="AI339" i="20"/>
  <c r="AI821" i="20"/>
  <c r="AI428" i="20"/>
  <c r="AI238" i="20"/>
  <c r="AI615" i="20"/>
  <c r="AI892" i="20"/>
  <c r="AI616" i="20"/>
  <c r="AI617" i="20"/>
  <c r="AI619" i="20"/>
  <c r="AI828" i="20"/>
  <c r="AI324" i="20"/>
  <c r="AI325" i="20"/>
  <c r="AI896" i="20"/>
  <c r="AI655" i="20"/>
  <c r="AI657" i="20"/>
  <c r="AI601" i="20"/>
  <c r="AI275" i="20"/>
  <c r="AI276" i="20"/>
  <c r="AH348" i="20"/>
  <c r="AH388" i="20"/>
  <c r="AH423" i="20"/>
  <c r="AH187" i="20"/>
  <c r="AH914" i="20"/>
  <c r="AH626" i="20"/>
  <c r="AH230" i="20"/>
  <c r="AH483" i="20"/>
  <c r="AH401" i="20"/>
  <c r="AH137" i="20"/>
  <c r="AE541" i="20"/>
  <c r="AL553" i="20"/>
  <c r="AL469" i="20"/>
  <c r="AL361" i="20"/>
  <c r="AL376" i="20"/>
  <c r="AL599" i="20"/>
  <c r="AL38" i="20"/>
  <c r="AL679" i="20"/>
  <c r="AL571" i="20"/>
  <c r="AL11" i="20"/>
  <c r="AL643" i="20"/>
  <c r="AL161" i="20"/>
  <c r="AL901" i="20"/>
  <c r="AL761" i="20"/>
  <c r="AL635" i="20"/>
  <c r="AL387" i="20"/>
  <c r="AL392" i="20"/>
  <c r="AL457" i="20"/>
  <c r="AL428" i="20"/>
  <c r="AL646" i="20"/>
  <c r="AL617" i="20"/>
  <c r="AL828" i="20"/>
  <c r="AL326" i="20"/>
  <c r="AL657" i="20"/>
  <c r="AL718" i="20"/>
  <c r="AL277" i="20"/>
  <c r="AL724" i="20"/>
  <c r="AL730" i="20"/>
  <c r="AL775" i="20"/>
  <c r="AL153" i="20"/>
  <c r="AL194" i="20"/>
  <c r="AL398" i="20"/>
  <c r="AL682" i="20"/>
  <c r="AL25" i="20"/>
  <c r="AL447" i="20"/>
  <c r="AL312" i="20"/>
  <c r="AL313" i="20"/>
  <c r="AL31" i="20"/>
  <c r="AL476" i="20"/>
  <c r="AL250" i="20"/>
  <c r="AL254" i="20"/>
  <c r="AL479" i="20"/>
  <c r="AL256" i="20"/>
  <c r="AL52" i="20"/>
  <c r="AL766" i="20"/>
  <c r="AL768" i="20"/>
  <c r="AL423" i="20"/>
  <c r="AL200" i="20"/>
  <c r="AL736" i="20"/>
  <c r="AL790" i="20"/>
  <c r="AL744" i="20"/>
  <c r="AL201" i="20"/>
  <c r="AL747" i="20"/>
  <c r="AL749" i="20"/>
  <c r="AL750" i="20"/>
  <c r="AL701" i="20"/>
  <c r="AL431" i="20"/>
  <c r="AL295" i="20"/>
  <c r="AL141" i="20"/>
  <c r="AL628" i="20"/>
  <c r="AL704" i="20"/>
  <c r="AL521" i="20"/>
  <c r="AL245" i="20"/>
  <c r="AL147" i="20"/>
  <c r="AL300" i="20"/>
  <c r="AL187" i="20"/>
  <c r="AL824" i="20"/>
  <c r="AL262" i="20"/>
  <c r="AL94" i="20"/>
  <c r="AL842" i="20"/>
  <c r="AL848" i="20"/>
  <c r="AL668" i="20"/>
  <c r="AL669" i="20"/>
  <c r="AL303" i="20"/>
  <c r="AL858" i="20"/>
  <c r="AL417" i="20"/>
  <c r="AL815" i="20"/>
  <c r="AL247" i="20"/>
  <c r="AL471" i="20"/>
  <c r="AL503" i="20"/>
  <c r="AL496" i="20"/>
  <c r="AL504" i="20"/>
  <c r="AL566" i="20"/>
  <c r="AL497" i="20"/>
  <c r="AJ105" i="20"/>
  <c r="AJ553" i="20"/>
  <c r="AJ271" i="20"/>
  <c r="AJ539" i="20"/>
  <c r="H118" i="86" s="1"/>
  <c r="K118" i="86" s="1"/>
  <c r="AJ464" i="20"/>
  <c r="AJ97" i="20"/>
  <c r="AJ593" i="20"/>
  <c r="AJ366" i="20"/>
  <c r="AJ377" i="20"/>
  <c r="AJ384" i="20"/>
  <c r="AJ599" i="20"/>
  <c r="AJ283" i="20"/>
  <c r="AJ672" i="20"/>
  <c r="AJ678" i="20"/>
  <c r="AJ290" i="20"/>
  <c r="AJ114" i="20"/>
  <c r="AJ292" i="20"/>
  <c r="AJ43" i="20"/>
  <c r="AJ641" i="20"/>
  <c r="AJ644" i="20"/>
  <c r="AJ159" i="20"/>
  <c r="AJ906" i="20"/>
  <c r="AJ902" i="20"/>
  <c r="AJ907" i="20"/>
  <c r="AJ502" i="20"/>
  <c r="AJ333" i="20"/>
  <c r="AJ386" i="20"/>
  <c r="AJ225" i="20"/>
  <c r="AJ816" i="20"/>
  <c r="AJ339" i="20"/>
  <c r="AJ341" i="20"/>
  <c r="AJ822" i="20"/>
  <c r="AJ648" i="20"/>
  <c r="AJ617" i="20"/>
  <c r="AJ454" i="20"/>
  <c r="AJ830" i="20"/>
  <c r="AJ327" i="20"/>
  <c r="AJ657" i="20"/>
  <c r="AJ275" i="20"/>
  <c r="AJ435" i="20"/>
  <c r="AJ722" i="20"/>
  <c r="AJ280" i="20"/>
  <c r="AJ729" i="20"/>
  <c r="AJ774" i="20"/>
  <c r="AJ583" i="20"/>
  <c r="AJ394" i="20"/>
  <c r="AJ193" i="20"/>
  <c r="AJ196" i="20"/>
  <c r="AJ21" i="20"/>
  <c r="AJ73" i="20"/>
  <c r="AJ25" i="20"/>
  <c r="AJ76" i="20"/>
  <c r="AJ311" i="20"/>
  <c r="AJ685" i="20"/>
  <c r="AJ313" i="20"/>
  <c r="AJ870" i="20"/>
  <c r="AJ33" i="20"/>
  <c r="AJ486" i="20"/>
  <c r="AJ250" i="20"/>
  <c r="AJ87" i="20"/>
  <c r="AJ627" i="20"/>
  <c r="AJ489" i="20"/>
  <c r="AJ91" i="20"/>
  <c r="AJ50" i="20"/>
  <c r="AJ535" i="20"/>
  <c r="AJ128" i="20"/>
  <c r="AJ767" i="20"/>
  <c r="AJ421" i="20"/>
  <c r="AJ530" i="20"/>
  <c r="AJ839" i="20"/>
  <c r="AJ738" i="20"/>
  <c r="AJ798" i="20"/>
  <c r="AJ745" i="20"/>
  <c r="AJ696" i="20"/>
  <c r="AJ792" i="20"/>
  <c r="AJ218" i="20"/>
  <c r="AJ793" i="20"/>
  <c r="AJ208" i="20"/>
  <c r="AJ514" i="20"/>
  <c r="AJ142" i="20"/>
  <c r="AJ519" i="20"/>
  <c r="AJ705" i="20"/>
  <c r="AJ244" i="20"/>
  <c r="AJ268" i="20"/>
  <c r="AJ713" i="20"/>
  <c r="AJ885" i="20"/>
  <c r="AJ149" i="20"/>
  <c r="AJ150" i="20"/>
  <c r="AJ265" i="20"/>
  <c r="AJ400" i="20"/>
  <c r="AJ404" i="20"/>
  <c r="AJ169" i="20"/>
  <c r="AJ668" i="20"/>
  <c r="AJ198" i="20"/>
  <c r="AJ850" i="20"/>
  <c r="AJ258" i="20"/>
  <c r="AJ858" i="20"/>
  <c r="AJ408" i="20"/>
  <c r="AJ305" i="20"/>
  <c r="AJ44" i="20"/>
  <c r="AJ137" i="20"/>
  <c r="AJ473" i="20"/>
  <c r="AJ45" i="20"/>
  <c r="AJ851" i="20"/>
  <c r="AJ496" i="20"/>
  <c r="AJ890" i="20"/>
  <c r="AJ811" i="20"/>
  <c r="AJ359" i="20"/>
  <c r="AJ497" i="20"/>
  <c r="AI930" i="20"/>
  <c r="AI357" i="20"/>
  <c r="AI272" i="20"/>
  <c r="AI541" i="20"/>
  <c r="G119" i="86" s="1"/>
  <c r="J119" i="86" s="1"/>
  <c r="AI461" i="20"/>
  <c r="AI467" i="20"/>
  <c r="AI97" i="20"/>
  <c r="AI592" i="20"/>
  <c r="AI364" i="20"/>
  <c r="AI369" i="20"/>
  <c r="AI377" i="20"/>
  <c r="AI383" i="20"/>
  <c r="AI241" i="20"/>
  <c r="AI16" i="20"/>
  <c r="AI732" i="20"/>
  <c r="AI670" i="20"/>
  <c r="AI675" i="20"/>
  <c r="AI506" i="20"/>
  <c r="AI290" i="20"/>
  <c r="AI42" i="20"/>
  <c r="AI115" i="20"/>
  <c r="AI70" i="20"/>
  <c r="AI43" i="20"/>
  <c r="AI109" i="20"/>
  <c r="AI156" i="20"/>
  <c r="AI160" i="20"/>
  <c r="AI499" i="20"/>
  <c r="AI758" i="20"/>
  <c r="AI331" i="20"/>
  <c r="AI907" i="20"/>
  <c r="AI903" i="20"/>
  <c r="AI763" i="20"/>
  <c r="AI531" i="20"/>
  <c r="AI386" i="20"/>
  <c r="AI390" i="20"/>
  <c r="AI426" i="20"/>
  <c r="AI456" i="20"/>
  <c r="AI819" i="20"/>
  <c r="AI181" i="20"/>
  <c r="AI429" i="20"/>
  <c r="AI646" i="20"/>
  <c r="AI648" i="20"/>
  <c r="AI651" i="20"/>
  <c r="AI322" i="20"/>
  <c r="AI653" i="20"/>
  <c r="AI830" i="20"/>
  <c r="AI831" i="20"/>
  <c r="AI656" i="20"/>
  <c r="AI600" i="20"/>
  <c r="AI718" i="20"/>
  <c r="AI721" i="20"/>
  <c r="AI437" i="20"/>
  <c r="AI722" i="20"/>
  <c r="AI442" i="20"/>
  <c r="AI280" i="20"/>
  <c r="AI727" i="20"/>
  <c r="AI773" i="20"/>
  <c r="AI579" i="20"/>
  <c r="AI775" i="20"/>
  <c r="AI234" i="20"/>
  <c r="AI151" i="20"/>
  <c r="AI394" i="20"/>
  <c r="AI154" i="20"/>
  <c r="AI195" i="20"/>
  <c r="AI563" i="20"/>
  <c r="G45" i="86" s="1"/>
  <c r="J45" i="86" s="1"/>
  <c r="AI398" i="20"/>
  <c r="AI862" i="20"/>
  <c r="AI444" i="20"/>
  <c r="AI73" i="20"/>
  <c r="AI445" i="20"/>
  <c r="AI25" i="20"/>
  <c r="AI310" i="20"/>
  <c r="AI447" i="20"/>
  <c r="AI77" i="20"/>
  <c r="AI28" i="20"/>
  <c r="AI78" i="20"/>
  <c r="AI873" i="20"/>
  <c r="AI313" i="20"/>
  <c r="AI79" i="20"/>
  <c r="AI871" i="20"/>
  <c r="AI876" i="20"/>
  <c r="AI687" i="20"/>
  <c r="AI476" i="20"/>
  <c r="AI453" i="20"/>
  <c r="G110" i="86" s="1"/>
  <c r="J110" i="86" s="1"/>
  <c r="AI250" i="20"/>
  <c r="AI626" i="20"/>
  <c r="AI87" i="20"/>
  <c r="AI89" i="20"/>
  <c r="AI478" i="20"/>
  <c r="AI479" i="20"/>
  <c r="AI481" i="20"/>
  <c r="AI551" i="20"/>
  <c r="AI484" i="20"/>
  <c r="AI50" i="20"/>
  <c r="AI54" i="20"/>
  <c r="AI562" i="20"/>
  <c r="G31" i="86" s="1"/>
  <c r="AI766" i="20"/>
  <c r="AI130" i="20"/>
  <c r="AI419" i="20"/>
  <c r="AI526" i="20"/>
  <c r="AI421" i="20"/>
  <c r="AI134" i="20"/>
  <c r="AI530" i="20"/>
  <c r="AI690" i="20"/>
  <c r="AI215" i="20"/>
  <c r="AI802" i="20"/>
  <c r="AI737" i="20"/>
  <c r="AI741" i="20"/>
  <c r="AI798" i="20"/>
  <c r="AI743" i="20"/>
  <c r="AI216" i="20"/>
  <c r="AI695" i="20"/>
  <c r="AI799" i="20"/>
  <c r="AI748" i="20"/>
  <c r="AI698" i="20"/>
  <c r="AI218" i="20"/>
  <c r="AI700" i="20"/>
  <c r="AI793" i="20"/>
  <c r="AI751" i="20"/>
  <c r="AI219" i="20"/>
  <c r="AI211" i="20"/>
  <c r="AI882" i="20"/>
  <c r="AI514" i="20"/>
  <c r="AI823" i="20"/>
  <c r="AI267" i="20"/>
  <c r="AI517" i="20"/>
  <c r="AI346" i="20"/>
  <c r="AI520" i="20"/>
  <c r="AI296" i="20"/>
  <c r="AI244" i="20"/>
  <c r="AI348" i="20"/>
  <c r="AI268" i="20"/>
  <c r="AI707" i="20"/>
  <c r="AI299" i="20"/>
  <c r="AI186" i="20"/>
  <c r="AI124" i="20"/>
  <c r="AI269" i="20"/>
  <c r="AI188" i="20"/>
  <c r="AI150" i="20"/>
  <c r="AI263" i="20"/>
  <c r="AI779" i="20"/>
  <c r="AI412" i="20"/>
  <c r="AI414" i="20"/>
  <c r="AI404" i="20"/>
  <c r="AI607" i="20"/>
  <c r="G132" i="86" s="1"/>
  <c r="AI169" i="20"/>
  <c r="AI814" i="20"/>
  <c r="AI781" i="20"/>
  <c r="AI197" i="20"/>
  <c r="G26" i="86" s="1"/>
  <c r="J26" i="86" s="1"/>
  <c r="AI850" i="20"/>
  <c r="AI171" i="20"/>
  <c r="AI433" i="20"/>
  <c r="AI68" i="20"/>
  <c r="AI408" i="20"/>
  <c r="AI411" i="20"/>
  <c r="AI494" i="20"/>
  <c r="AI916" i="20"/>
  <c r="AI137" i="20"/>
  <c r="AI56" i="20"/>
  <c r="AI55" i="20"/>
  <c r="AI889" i="20"/>
  <c r="AI851" i="20"/>
  <c r="AI613" i="20"/>
  <c r="AI472" i="20"/>
  <c r="AI887" i="20"/>
  <c r="AI811" i="20"/>
  <c r="AI358" i="20"/>
  <c r="AI259" i="20"/>
  <c r="AI785" i="20"/>
  <c r="AG559" i="20"/>
  <c r="AC559" i="20"/>
  <c r="AL227" i="20"/>
  <c r="AL462" i="20"/>
  <c r="AL605" i="20"/>
  <c r="AL367" i="20"/>
  <c r="AL384" i="20"/>
  <c r="AL34" i="20"/>
  <c r="AL676" i="20"/>
  <c r="AL536" i="20"/>
  <c r="AL292" i="20"/>
  <c r="AL641" i="20"/>
  <c r="AL544" i="20"/>
  <c r="AL499" i="20"/>
  <c r="AL760" i="20"/>
  <c r="AL909" i="20"/>
  <c r="AL531" i="20"/>
  <c r="AL390" i="20"/>
  <c r="AL817" i="20"/>
  <c r="AL820" i="20"/>
  <c r="AL458" i="20"/>
  <c r="AL648" i="20"/>
  <c r="AL618" i="20"/>
  <c r="AL455" i="20"/>
  <c r="AL327" i="20"/>
  <c r="AL601" i="20"/>
  <c r="AL721" i="20"/>
  <c r="AL722" i="20"/>
  <c r="AL726" i="20"/>
  <c r="AL579" i="20"/>
  <c r="AL191" i="20"/>
  <c r="AL563" i="20"/>
  <c r="AL22" i="20"/>
  <c r="AL863" i="20"/>
  <c r="AL76" i="20"/>
  <c r="AL449" i="20"/>
  <c r="AL451" i="20"/>
  <c r="AL870" i="20"/>
  <c r="AL80" i="20"/>
  <c r="AL548" i="20"/>
  <c r="AL253" i="20"/>
  <c r="AL549" i="20"/>
  <c r="AL481" i="20"/>
  <c r="AL49" i="20"/>
  <c r="AL534" i="20"/>
  <c r="AL130" i="20"/>
  <c r="AL420" i="20"/>
  <c r="AL530" i="20"/>
  <c r="AL199" i="20"/>
  <c r="AL430" i="20"/>
  <c r="AL739" i="20"/>
  <c r="AL662" i="20"/>
  <c r="AL694" i="20"/>
  <c r="AL791" i="20"/>
  <c r="AL203" i="20"/>
  <c r="AL206" i="20"/>
  <c r="AL800" i="20"/>
  <c r="AL209" i="20"/>
  <c r="AL120" i="20"/>
  <c r="AL710" i="20"/>
  <c r="AL345" i="20"/>
  <c r="AL144" i="20"/>
  <c r="AL184" i="20"/>
  <c r="AL706" i="20"/>
  <c r="AL522" i="20"/>
  <c r="AL121" i="20"/>
  <c r="AL349" i="20"/>
  <c r="AL708" i="20"/>
  <c r="AL413" i="20"/>
  <c r="AL809" i="20"/>
  <c r="AL406" i="20"/>
  <c r="AL407" i="20"/>
  <c r="AL782" i="20"/>
  <c r="AL59" i="20"/>
  <c r="AL173" i="20"/>
  <c r="AL305" i="20"/>
  <c r="AL888" i="20"/>
  <c r="AL495" i="20"/>
  <c r="AL45" i="20"/>
  <c r="AL784" i="20"/>
  <c r="AI493" i="20"/>
  <c r="AI853" i="20"/>
  <c r="AI843" i="20"/>
  <c r="AI504" i="20"/>
  <c r="AI57" i="20"/>
  <c r="AI784" i="20"/>
  <c r="AI46" i="20"/>
  <c r="AI471" i="20"/>
  <c r="AI612" i="20"/>
  <c r="AI888" i="20"/>
  <c r="AI470" i="20"/>
  <c r="AI417" i="20"/>
  <c r="AI304" i="20"/>
  <c r="AI59" i="20"/>
  <c r="AI783" i="20"/>
  <c r="AI669" i="20"/>
  <c r="AI756" i="20"/>
  <c r="G7" i="86" s="1"/>
  <c r="J7" i="86" s="1"/>
  <c r="AI406" i="20"/>
  <c r="AI847" i="20"/>
  <c r="AI842" i="20"/>
  <c r="AI400" i="20"/>
  <c r="AI261" i="20"/>
  <c r="AI716" i="20"/>
  <c r="AI349" i="20"/>
  <c r="AI118" i="20"/>
  <c r="AI300" i="20"/>
  <c r="AI713" i="20"/>
  <c r="AI706" i="20"/>
  <c r="AI298" i="20"/>
  <c r="AI521" i="20"/>
  <c r="AI705" i="20"/>
  <c r="AI345" i="20"/>
  <c r="AI516" i="20"/>
  <c r="AI141" i="20"/>
  <c r="AI513" i="20"/>
  <c r="AI431" i="20"/>
  <c r="AI208" i="20"/>
  <c r="AI800" i="20"/>
  <c r="AI699" i="20"/>
  <c r="AI749" i="20"/>
  <c r="AI792" i="20"/>
  <c r="AI791" i="20"/>
  <c r="AI217" i="20"/>
  <c r="AI744" i="20"/>
  <c r="AI797" i="20"/>
  <c r="AI739" i="20"/>
  <c r="AI661" i="20"/>
  <c r="AI200" i="20"/>
  <c r="AI837" i="20"/>
  <c r="AI423" i="20"/>
  <c r="AI527" i="20"/>
  <c r="AI767" i="20"/>
  <c r="AI129" i="20"/>
  <c r="AI835" i="20"/>
  <c r="AI533" i="20"/>
  <c r="AI49" i="20"/>
  <c r="AI256" i="20"/>
  <c r="AI482" i="20"/>
  <c r="AI550" i="20"/>
  <c r="AI627" i="20"/>
  <c r="AI88" i="20"/>
  <c r="AI85" i="20"/>
  <c r="AI82" i="20"/>
  <c r="AI486" i="20"/>
  <c r="AI80" i="20"/>
  <c r="AI31" i="20"/>
  <c r="AI874" i="20"/>
  <c r="AI30" i="20"/>
  <c r="AI866" i="20"/>
  <c r="AI29" i="20"/>
  <c r="AI448" i="20"/>
  <c r="AI76" i="20"/>
  <c r="AI26" i="20"/>
  <c r="AI863" i="20"/>
  <c r="AI681" i="20"/>
  <c r="AI21" i="20"/>
  <c r="AI397" i="20"/>
  <c r="AI560" i="20"/>
  <c r="G52" i="86" s="1"/>
  <c r="AI155" i="20"/>
  <c r="AI153" i="20"/>
  <c r="AI233" i="20"/>
  <c r="AI578" i="20"/>
  <c r="AI729" i="20"/>
  <c r="AI443" i="20"/>
  <c r="AI279" i="20"/>
  <c r="AI439" i="20"/>
  <c r="AI435" i="20"/>
  <c r="AI602" i="20"/>
  <c r="AI898" i="20"/>
  <c r="AI327" i="20"/>
  <c r="AI893" i="20"/>
  <c r="AI454" i="20"/>
  <c r="AI321" i="20"/>
  <c r="AI827" i="20"/>
  <c r="AI822" i="20"/>
  <c r="AI341" i="20"/>
  <c r="AI338" i="20"/>
  <c r="AI817" i="20"/>
  <c r="AI225" i="20"/>
  <c r="AI385" i="20"/>
  <c r="AI333" i="20"/>
  <c r="AI909" i="20"/>
  <c r="AI609" i="20"/>
  <c r="AI902" i="20"/>
  <c r="AI906" i="20"/>
  <c r="AI546" i="20"/>
  <c r="AI645" i="20"/>
  <c r="AI641" i="20"/>
  <c r="AI11" i="20"/>
  <c r="AI292" i="20"/>
  <c r="AI9" i="20"/>
  <c r="AI734" i="20"/>
  <c r="AI678" i="20"/>
  <c r="AI672" i="20"/>
  <c r="AI7" i="20"/>
  <c r="AI384" i="20"/>
  <c r="AI376" i="20"/>
  <c r="AI366" i="20"/>
  <c r="AI594" i="20"/>
  <c r="AI588" i="20"/>
  <c r="AI464" i="20"/>
  <c r="AI539" i="20"/>
  <c r="G118" i="86" s="1"/>
  <c r="J118" i="86" s="1"/>
  <c r="AI227" i="20"/>
  <c r="AI260" i="20"/>
  <c r="AI105" i="20"/>
  <c r="AJ855" i="20"/>
  <c r="AJ566" i="20"/>
  <c r="AJ887" i="20"/>
  <c r="AJ613" i="20"/>
  <c r="AJ503" i="20"/>
  <c r="AJ471" i="20"/>
  <c r="AJ886" i="20"/>
  <c r="AJ494" i="20"/>
  <c r="AJ417" i="20"/>
  <c r="AJ172" i="20"/>
  <c r="AJ303" i="20"/>
  <c r="AJ197" i="20"/>
  <c r="H26" i="86" s="1"/>
  <c r="K26" i="86" s="1"/>
  <c r="AJ814" i="20"/>
  <c r="AJ607" i="20"/>
  <c r="H132" i="86" s="1"/>
  <c r="K132" i="86" s="1"/>
  <c r="AJ413" i="20"/>
  <c r="AJ263" i="20"/>
  <c r="AJ349" i="20"/>
  <c r="AJ186" i="20"/>
  <c r="AJ145" i="20"/>
  <c r="AJ184" i="20"/>
  <c r="AJ520" i="20"/>
  <c r="AJ516" i="20"/>
  <c r="AJ120" i="20"/>
  <c r="AJ702" i="20"/>
  <c r="AJ800" i="20"/>
  <c r="AJ749" i="20"/>
  <c r="AJ746" i="20"/>
  <c r="AJ694" i="20"/>
  <c r="AJ790" i="20"/>
  <c r="AJ661" i="20"/>
  <c r="AJ690" i="20"/>
  <c r="AJ528" i="20"/>
  <c r="AJ836" i="20"/>
  <c r="AJ130" i="20"/>
  <c r="AJ533" i="20"/>
  <c r="AJ484" i="20"/>
  <c r="AJ481" i="20"/>
  <c r="AJ487" i="20"/>
  <c r="AJ626" i="20"/>
  <c r="AJ477" i="20"/>
  <c r="AJ876" i="20"/>
  <c r="AJ79" i="20"/>
  <c r="AJ866" i="20"/>
  <c r="AJ77" i="20"/>
  <c r="AJ27" i="20"/>
  <c r="AJ24" i="20"/>
  <c r="AJ862" i="20"/>
  <c r="AJ560" i="20"/>
  <c r="H52" i="86" s="1"/>
  <c r="K52" i="86" s="1"/>
  <c r="AJ395" i="20"/>
  <c r="AJ776" i="20"/>
  <c r="AJ577" i="20"/>
  <c r="AJ443" i="20"/>
  <c r="AJ439" i="20"/>
  <c r="AJ434" i="20"/>
  <c r="AJ600" i="20"/>
  <c r="AJ896" i="20"/>
  <c r="AJ323" i="20"/>
  <c r="AJ618" i="20"/>
  <c r="AJ319" i="20"/>
  <c r="AJ429" i="20"/>
  <c r="AJ820" i="20"/>
  <c r="AJ337" i="20"/>
  <c r="AJ224" i="20"/>
  <c r="AJ531" i="20"/>
  <c r="AJ903" i="20"/>
  <c r="AJ634" i="20"/>
  <c r="AJ165" i="20"/>
  <c r="AJ545" i="20"/>
  <c r="AJ109" i="20"/>
  <c r="AJ572" i="20"/>
  <c r="AJ10" i="20"/>
  <c r="AJ880" i="20"/>
  <c r="AJ228" i="20"/>
  <c r="H41" i="86" s="1"/>
  <c r="K41" i="86" s="1"/>
  <c r="AJ670" i="20"/>
  <c r="AJ60" i="20"/>
  <c r="AJ239" i="20"/>
  <c r="AJ371" i="20"/>
  <c r="AJ363" i="20"/>
  <c r="AJ605" i="20"/>
  <c r="AJ462" i="20"/>
  <c r="AJ765" i="20"/>
  <c r="AJ357" i="20"/>
  <c r="AL844" i="20"/>
  <c r="AL853" i="20"/>
  <c r="AL248" i="20"/>
  <c r="AL69" i="20"/>
  <c r="AL473" i="20"/>
  <c r="AL470" i="20"/>
  <c r="AL58" i="20"/>
  <c r="AL198" i="20"/>
  <c r="AL847" i="20"/>
  <c r="AL174" i="20"/>
  <c r="AL189" i="20"/>
  <c r="AL118" i="20"/>
  <c r="AL145" i="20"/>
  <c r="AL297" i="20"/>
  <c r="AL516" i="20"/>
  <c r="AL139" i="20"/>
  <c r="AL702" i="20"/>
  <c r="AL699" i="20"/>
  <c r="AL746" i="20"/>
  <c r="AL742" i="20"/>
  <c r="AL661" i="20"/>
  <c r="AL770" i="20"/>
  <c r="AL419" i="20"/>
  <c r="AL50" i="20"/>
  <c r="AL478" i="20"/>
  <c r="AL83" i="20"/>
  <c r="AL875" i="20"/>
  <c r="AL28" i="20"/>
  <c r="AL683" i="20"/>
  <c r="AL397" i="20"/>
  <c r="AL729" i="20"/>
  <c r="AL436" i="20"/>
  <c r="AL655" i="20"/>
  <c r="AL620" i="20"/>
  <c r="AL822" i="20"/>
  <c r="AL237" i="20"/>
  <c r="AL222" i="20"/>
  <c r="AL907" i="20"/>
  <c r="AL158" i="20"/>
  <c r="AL37" i="20"/>
  <c r="AL678" i="20"/>
  <c r="AL239" i="20"/>
  <c r="AL593" i="20"/>
  <c r="AL597" i="20"/>
  <c r="AG541" i="20"/>
  <c r="O14" i="36"/>
  <c r="AQ35" i="40"/>
  <c r="B29" i="37"/>
  <c r="O10" i="36"/>
  <c r="B54" i="37"/>
  <c r="K39" i="37"/>
  <c r="X24" i="66"/>
  <c r="K38" i="37"/>
  <c r="G38" i="37"/>
  <c r="M24" i="36"/>
  <c r="O39" i="37"/>
  <c r="AG21" i="66"/>
  <c r="Z21" i="66" s="1"/>
  <c r="R13" i="43"/>
  <c r="O38" i="37"/>
  <c r="AR296" i="20"/>
  <c r="Z8" i="66"/>
  <c r="H28" i="36"/>
  <c r="D28" i="36"/>
  <c r="M15" i="36"/>
  <c r="M14" i="36"/>
  <c r="I28" i="36"/>
  <c r="M18" i="36"/>
  <c r="J28" i="36"/>
  <c r="F28" i="36"/>
  <c r="AR415" i="20"/>
  <c r="AR474" i="20"/>
  <c r="AR810" i="20"/>
  <c r="AR617" i="20"/>
  <c r="AR585" i="20"/>
  <c r="AR191" i="20"/>
  <c r="AR427" i="20"/>
  <c r="AR691" i="20"/>
  <c r="AR190" i="20"/>
  <c r="AR627" i="20"/>
  <c r="AR724" i="20"/>
  <c r="AR277" i="20"/>
  <c r="AR180" i="20"/>
  <c r="AR901" i="20"/>
  <c r="AR160" i="20"/>
  <c r="AR860" i="20"/>
  <c r="AR848" i="20"/>
  <c r="AR714" i="20"/>
  <c r="AR711" i="20"/>
  <c r="AR131" i="20"/>
  <c r="AR914" i="20"/>
  <c r="AR196" i="20"/>
  <c r="AR276" i="20"/>
  <c r="AR237" i="20"/>
  <c r="AR390" i="20"/>
  <c r="AR363" i="20"/>
  <c r="AR57" i="20"/>
  <c r="AR198" i="20"/>
  <c r="AR492" i="20"/>
  <c r="AR809" i="20"/>
  <c r="AR663" i="20"/>
  <c r="AR835" i="20"/>
  <c r="AR82" i="20"/>
  <c r="AR193" i="20"/>
  <c r="AR595" i="20"/>
  <c r="AR892" i="20"/>
  <c r="AR821" i="20"/>
  <c r="AR909" i="20"/>
  <c r="AR331" i="20"/>
  <c r="AR672" i="20"/>
  <c r="AR890" i="20"/>
  <c r="AR69" i="20"/>
  <c r="AR59" i="20"/>
  <c r="AR842" i="20"/>
  <c r="AR720" i="20"/>
  <c r="AR893" i="20"/>
  <c r="AR303" i="20"/>
  <c r="AR522" i="20"/>
  <c r="AR201" i="20"/>
  <c r="AR634" i="20"/>
  <c r="AR900" i="20"/>
  <c r="AR11" i="20"/>
  <c r="H104" i="86"/>
  <c r="K104" i="86" s="1"/>
  <c r="AR756" i="20"/>
  <c r="AR146" i="20"/>
  <c r="AR440" i="20"/>
  <c r="AR70" i="20"/>
  <c r="AR705" i="20"/>
  <c r="AR387" i="20"/>
  <c r="AR378" i="20"/>
  <c r="AR462" i="20"/>
  <c r="AR202" i="20"/>
  <c r="AR616" i="20"/>
  <c r="AR428" i="20"/>
  <c r="AR339" i="20"/>
  <c r="AR389" i="20"/>
  <c r="AR62" i="20"/>
  <c r="AR676" i="20"/>
  <c r="AR371" i="20"/>
  <c r="AR347" i="20"/>
  <c r="AR723" i="20"/>
  <c r="AR673" i="20"/>
  <c r="AR240" i="20"/>
  <c r="AR336" i="20"/>
  <c r="AR504" i="20"/>
  <c r="AR304" i="20"/>
  <c r="AR565" i="20"/>
  <c r="AR669" i="20"/>
  <c r="AR186" i="20"/>
  <c r="AR348" i="20"/>
  <c r="AR514" i="20"/>
  <c r="AR77" i="20"/>
  <c r="AR73" i="20"/>
  <c r="AR641" i="20"/>
  <c r="AR43" i="20"/>
  <c r="AR292" i="20"/>
  <c r="AR242" i="20"/>
  <c r="AR370" i="20"/>
  <c r="AR362" i="20"/>
  <c r="AR605" i="20"/>
  <c r="AR852" i="20"/>
  <c r="AR815" i="20"/>
  <c r="AR67" i="20"/>
  <c r="AR707" i="20"/>
  <c r="AR877" i="20"/>
  <c r="AR58" i="20"/>
  <c r="AR782" i="20"/>
  <c r="AR244" i="20"/>
  <c r="AR873" i="20"/>
  <c r="AR394" i="20"/>
  <c r="AR579" i="20"/>
  <c r="AR107" i="20"/>
  <c r="AR116" i="20"/>
  <c r="AR19" i="20"/>
  <c r="AR239" i="20"/>
  <c r="AR461" i="20"/>
  <c r="G161" i="86"/>
  <c r="J161" i="86" s="1"/>
  <c r="AR710" i="20"/>
  <c r="AR773" i="20"/>
  <c r="AR596" i="20"/>
  <c r="AR760" i="20"/>
  <c r="AR297" i="20"/>
  <c r="AR791" i="20"/>
  <c r="AR761" i="20"/>
  <c r="AR143" i="20"/>
  <c r="AR120" i="20"/>
  <c r="AR742" i="20"/>
  <c r="AR437" i="20"/>
  <c r="AR649" i="20"/>
  <c r="AR502" i="20"/>
  <c r="AR608" i="20"/>
  <c r="AR216" i="20"/>
  <c r="AR215" i="20"/>
  <c r="AR130" i="20"/>
  <c r="AR28" i="20"/>
  <c r="AR862" i="20"/>
  <c r="AR278" i="20"/>
  <c r="AR379" i="20"/>
  <c r="AR364" i="20"/>
  <c r="AR618" i="20"/>
  <c r="AR338" i="20"/>
  <c r="AR456" i="20"/>
  <c r="AR759" i="20"/>
  <c r="AR330" i="20"/>
  <c r="AR158" i="20"/>
  <c r="AR643" i="20"/>
  <c r="AR537" i="20"/>
  <c r="AR63" i="20"/>
  <c r="AR883" i="20"/>
  <c r="AR704" i="20"/>
  <c r="AR746" i="20"/>
  <c r="AR577" i="20"/>
  <c r="AR321" i="20"/>
  <c r="AR827" i="20"/>
  <c r="AR106" i="20"/>
  <c r="AR37" i="20"/>
  <c r="AR505" i="20"/>
  <c r="AR591" i="20"/>
  <c r="AR115" i="20"/>
  <c r="AR467" i="20"/>
  <c r="AR496" i="20"/>
  <c r="AR784" i="20"/>
  <c r="AR258" i="20"/>
  <c r="AR783" i="20"/>
  <c r="AR668" i="20"/>
  <c r="AR406" i="20"/>
  <c r="AR261" i="20"/>
  <c r="AR713" i="20"/>
  <c r="AR145" i="20"/>
  <c r="AR142" i="20"/>
  <c r="AR123" i="20"/>
  <c r="AR799" i="20"/>
  <c r="AR798" i="20"/>
  <c r="AR802" i="20"/>
  <c r="AR526" i="20"/>
  <c r="AR766" i="20"/>
  <c r="AR478" i="20"/>
  <c r="AR626" i="20"/>
  <c r="AR453" i="20"/>
  <c r="AR476" i="20"/>
  <c r="AR313" i="20"/>
  <c r="AR78" i="20"/>
  <c r="AR447" i="20"/>
  <c r="AR25" i="20"/>
  <c r="AR445" i="20"/>
  <c r="AR154" i="20"/>
  <c r="AR438" i="20"/>
  <c r="AR324" i="20"/>
  <c r="AR345" i="20"/>
  <c r="I105" i="86"/>
  <c r="L105" i="86" s="1"/>
  <c r="I49" i="86"/>
  <c r="L49" i="86" s="1"/>
  <c r="AR441" i="20"/>
  <c r="AR439" i="20"/>
  <c r="AR436" i="20"/>
  <c r="AR601" i="20"/>
  <c r="AR320" i="20"/>
  <c r="AR818" i="20"/>
  <c r="AR385" i="20"/>
  <c r="AR903" i="20"/>
  <c r="AR572" i="20"/>
  <c r="AR20" i="20"/>
  <c r="AR463" i="20"/>
  <c r="AR225" i="20"/>
  <c r="AR306" i="20"/>
  <c r="AR849" i="20"/>
  <c r="AR246" i="20"/>
  <c r="AR117" i="20"/>
  <c r="AR87" i="20"/>
  <c r="AR310" i="20"/>
  <c r="AR600" i="20"/>
  <c r="AR594" i="20"/>
  <c r="AR260" i="20"/>
  <c r="AF172" i="14"/>
  <c r="AR598" i="20"/>
  <c r="AR144" i="20"/>
  <c r="AR703" i="20"/>
  <c r="AR76" i="20"/>
  <c r="AR683" i="20"/>
  <c r="AR681" i="20"/>
  <c r="AR628" i="20"/>
  <c r="AR790" i="20"/>
  <c r="AR796" i="20"/>
  <c r="AR768" i="20"/>
  <c r="AR128" i="20"/>
  <c r="AR90" i="20"/>
  <c r="AR254" i="20"/>
  <c r="AR84" i="20"/>
  <c r="AR725" i="20"/>
  <c r="AR819" i="20"/>
  <c r="AR346" i="20"/>
  <c r="AR267" i="20"/>
  <c r="AR823" i="20"/>
  <c r="AR797" i="20"/>
  <c r="AR740" i="20"/>
  <c r="AR692" i="20"/>
  <c r="AR430" i="20"/>
  <c r="AR200" i="20"/>
  <c r="AR769" i="20"/>
  <c r="AR129" i="20"/>
  <c r="AR418" i="20"/>
  <c r="AR49" i="20"/>
  <c r="AR549" i="20"/>
  <c r="AR86" i="20"/>
  <c r="AR85" i="20"/>
  <c r="AR548" i="20"/>
  <c r="AR30" i="20"/>
  <c r="AR451" i="20"/>
  <c r="AR450" i="20"/>
  <c r="AR448" i="20"/>
  <c r="AR446" i="20"/>
  <c r="AR584" i="20"/>
  <c r="AR864" i="20"/>
  <c r="AR863" i="20"/>
  <c r="AR682" i="20"/>
  <c r="AR153" i="20"/>
  <c r="H122" i="86"/>
  <c r="K122" i="86" s="1"/>
  <c r="I75" i="86"/>
  <c r="L75" i="86" s="1"/>
  <c r="H73" i="86"/>
  <c r="K73" i="86" s="1"/>
  <c r="I84" i="86"/>
  <c r="L84" i="86" s="1"/>
  <c r="H86" i="86"/>
  <c r="K86" i="86" s="1"/>
  <c r="I108" i="86"/>
  <c r="L108" i="86" s="1"/>
  <c r="I122" i="86"/>
  <c r="L122" i="86" s="1"/>
  <c r="H81" i="86"/>
  <c r="K81" i="86" s="1"/>
  <c r="G61" i="86"/>
  <c r="H105" i="86"/>
  <c r="K105" i="86" s="1"/>
  <c r="H46" i="86"/>
  <c r="K46" i="86" s="1"/>
  <c r="G48" i="86"/>
  <c r="J48" i="86" s="1"/>
  <c r="H53" i="86"/>
  <c r="K53" i="86" s="1"/>
  <c r="I46" i="86"/>
  <c r="L46" i="86" s="1"/>
  <c r="H16" i="86"/>
  <c r="K16" i="86" s="1"/>
  <c r="H138" i="86"/>
  <c r="K138" i="86" s="1"/>
  <c r="H75" i="86"/>
  <c r="K75" i="86" s="1"/>
  <c r="H61" i="86"/>
  <c r="K61" i="86" s="1"/>
  <c r="I76" i="86"/>
  <c r="L76" i="86" s="1"/>
  <c r="G104" i="86"/>
  <c r="G105" i="86"/>
  <c r="I125" i="86"/>
  <c r="L125" i="86" s="1"/>
  <c r="G81" i="86"/>
  <c r="J81" i="86" s="1"/>
  <c r="H108" i="86"/>
  <c r="K108" i="86" s="1"/>
  <c r="I38" i="86"/>
  <c r="L38" i="86" s="1"/>
  <c r="H48" i="86"/>
  <c r="K48" i="86" s="1"/>
  <c r="I48" i="86"/>
  <c r="L48" i="86" s="1"/>
  <c r="G16" i="86"/>
  <c r="J16" i="86" s="1"/>
  <c r="H38" i="86"/>
  <c r="K38" i="86" s="1"/>
  <c r="H161" i="86"/>
  <c r="K161" i="86" s="1"/>
  <c r="H84" i="86"/>
  <c r="K84" i="86" s="1"/>
  <c r="I104" i="86"/>
  <c r="L104" i="86" s="1"/>
  <c r="G125" i="86"/>
  <c r="I74" i="86"/>
  <c r="L74" i="86" s="1"/>
  <c r="I73" i="86"/>
  <c r="L73" i="86" s="1"/>
  <c r="I86" i="86"/>
  <c r="L86" i="86" s="1"/>
  <c r="H109" i="86"/>
  <c r="K109" i="86" s="1"/>
  <c r="G108" i="86"/>
  <c r="J108" i="86" s="1"/>
  <c r="G75" i="86"/>
  <c r="G73" i="86"/>
  <c r="G49" i="86"/>
  <c r="J49" i="86" s="1"/>
  <c r="I47" i="86"/>
  <c r="L47" i="86" s="1"/>
  <c r="G46" i="86"/>
  <c r="J46" i="86" s="1"/>
  <c r="G38" i="86"/>
  <c r="J38" i="86" s="1"/>
  <c r="H74" i="86"/>
  <c r="K74" i="86" s="1"/>
  <c r="H154" i="86"/>
  <c r="K154" i="86" s="1"/>
  <c r="G138" i="86"/>
  <c r="I138" i="86"/>
  <c r="L138" i="86" s="1"/>
  <c r="I61" i="86"/>
  <c r="L61" i="86" s="1"/>
  <c r="H47" i="86"/>
  <c r="K47" i="86" s="1"/>
  <c r="H49" i="86"/>
  <c r="K49" i="86" s="1"/>
  <c r="G109" i="86"/>
  <c r="I81" i="86"/>
  <c r="L81" i="86" s="1"/>
  <c r="G74" i="86"/>
  <c r="J74" i="86" s="1"/>
  <c r="G86" i="86"/>
  <c r="H76" i="86"/>
  <c r="K76" i="86" s="1"/>
  <c r="G122" i="86"/>
  <c r="I161" i="86"/>
  <c r="L161" i="86" s="1"/>
  <c r="I154" i="86"/>
  <c r="L154" i="86" s="1"/>
  <c r="G53" i="86"/>
  <c r="J53" i="86" s="1"/>
  <c r="G47" i="86"/>
  <c r="J47" i="86" s="1"/>
  <c r="G76" i="86"/>
  <c r="G84" i="86"/>
  <c r="I53" i="86"/>
  <c r="L53" i="86" s="1"/>
  <c r="AR435" i="20"/>
  <c r="AR820" i="20"/>
  <c r="AR457" i="20"/>
  <c r="AR337" i="20"/>
  <c r="AR386" i="20"/>
  <c r="AR10" i="20"/>
  <c r="AR678" i="20"/>
  <c r="AR670" i="20"/>
  <c r="AR241" i="20"/>
  <c r="AR380" i="20"/>
  <c r="AR376" i="20"/>
  <c r="AR468" i="20"/>
  <c r="I16" i="86"/>
  <c r="L16" i="86" s="1"/>
  <c r="H125" i="86"/>
  <c r="K125" i="86" s="1"/>
  <c r="AR192" i="20"/>
  <c r="G154" i="86"/>
  <c r="I109" i="86"/>
  <c r="L109" i="86" s="1"/>
  <c r="AF24" i="14"/>
  <c r="AF22" i="14"/>
  <c r="AF19" i="14"/>
  <c r="AF244" i="14"/>
  <c r="AF176" i="14"/>
  <c r="AF247" i="14"/>
  <c r="AR712" i="20"/>
  <c r="AR53" i="20"/>
  <c r="AR472" i="20"/>
  <c r="AR851" i="20"/>
  <c r="AR781" i="20"/>
  <c r="AR607" i="20"/>
  <c r="AR885" i="20"/>
  <c r="AR148" i="20"/>
  <c r="AR147" i="20"/>
  <c r="AR521" i="20"/>
  <c r="AR697" i="20"/>
  <c r="AR721" i="20"/>
  <c r="AR633" i="20"/>
  <c r="AF192" i="14"/>
  <c r="AF68" i="14"/>
  <c r="AF33" i="14"/>
  <c r="AR613" i="20"/>
  <c r="AR850" i="20"/>
  <c r="AR197" i="20"/>
  <c r="AR814" i="20"/>
  <c r="AR169" i="20"/>
  <c r="AR184" i="20"/>
  <c r="AR696" i="20"/>
  <c r="AR217" i="20"/>
  <c r="AR719" i="20"/>
  <c r="AR342" i="20"/>
  <c r="AR332" i="20"/>
  <c r="AR758" i="20"/>
  <c r="AF8" i="14"/>
  <c r="AF52" i="14"/>
  <c r="AF37" i="14"/>
  <c r="AF183" i="14"/>
  <c r="AF146" i="14"/>
  <c r="AF182" i="14"/>
  <c r="AF43" i="14"/>
  <c r="AF48" i="14"/>
  <c r="AF49" i="14"/>
  <c r="AF67" i="14"/>
  <c r="AF53" i="14"/>
  <c r="AF140" i="14"/>
  <c r="AF25" i="14"/>
  <c r="AF216" i="14"/>
  <c r="AF245" i="14"/>
  <c r="AF138" i="14"/>
  <c r="AF51" i="14"/>
  <c r="AR662" i="20"/>
  <c r="AR789" i="20"/>
  <c r="AR661" i="20"/>
  <c r="AR839" i="20"/>
  <c r="AR788" i="20"/>
  <c r="AR836" i="20"/>
  <c r="AR525" i="20"/>
  <c r="AR524" i="20"/>
  <c r="AR488" i="20"/>
  <c r="AR252" i="20"/>
  <c r="AR251" i="20"/>
  <c r="AR625" i="20"/>
  <c r="AR486" i="20"/>
  <c r="AR868" i="20"/>
  <c r="AR867" i="20"/>
  <c r="AR685" i="20"/>
  <c r="AR311" i="20"/>
  <c r="AR684" i="20"/>
  <c r="AR913" i="20"/>
  <c r="AR26" i="20"/>
  <c r="AR75" i="20"/>
  <c r="AR74" i="20"/>
  <c r="AR912" i="20"/>
  <c r="AR396" i="20"/>
  <c r="AR155" i="20"/>
  <c r="AR395" i="20"/>
  <c r="AR393" i="20"/>
  <c r="AR652" i="20"/>
  <c r="AR774" i="20"/>
  <c r="AR232" i="20"/>
  <c r="AR830" i="20"/>
  <c r="AR341" i="20"/>
  <c r="E28" i="36"/>
  <c r="M19" i="36"/>
  <c r="O11" i="36"/>
  <c r="AF46" i="14"/>
  <c r="AF58" i="14"/>
  <c r="AF74" i="14"/>
  <c r="AF10" i="14"/>
  <c r="AF83" i="14"/>
  <c r="AF217" i="14"/>
  <c r="AF98" i="14"/>
  <c r="AF145" i="14"/>
  <c r="AF169" i="14"/>
  <c r="AF184" i="14"/>
  <c r="AF179" i="14"/>
  <c r="AF164" i="14"/>
  <c r="AF45" i="14"/>
  <c r="AF50" i="14"/>
  <c r="AF186" i="14"/>
  <c r="AF171" i="14"/>
  <c r="AF91" i="14"/>
  <c r="AF241" i="14"/>
  <c r="AF204" i="14"/>
  <c r="AF40" i="14"/>
  <c r="AF209" i="14"/>
  <c r="AF174" i="14"/>
  <c r="AF228" i="14"/>
  <c r="AF177" i="14"/>
  <c r="AF214" i="14"/>
  <c r="AF136" i="14"/>
  <c r="AF235" i="14"/>
  <c r="AF106" i="14"/>
  <c r="AF142" i="14"/>
  <c r="AF30" i="14"/>
  <c r="AF95" i="14"/>
  <c r="AF215" i="14"/>
  <c r="AF168" i="14"/>
  <c r="AF131" i="14"/>
  <c r="AF181" i="14"/>
  <c r="AF189" i="14"/>
  <c r="AF198" i="14"/>
  <c r="AF93" i="14"/>
  <c r="AF149" i="14"/>
  <c r="AF42" i="14"/>
  <c r="AF87" i="14"/>
  <c r="AF226" i="14"/>
  <c r="AF188" i="14"/>
  <c r="AF218" i="14"/>
  <c r="AF124" i="14"/>
  <c r="AF23" i="14"/>
  <c r="AF92" i="14"/>
  <c r="AF89" i="14"/>
  <c r="AF78" i="14"/>
  <c r="AF54" i="14"/>
  <c r="AF64" i="14"/>
  <c r="AF44" i="14"/>
  <c r="AF222" i="14"/>
  <c r="AF55" i="14"/>
  <c r="AF11" i="14"/>
  <c r="AF207" i="14"/>
  <c r="AF56" i="14"/>
  <c r="AF134" i="14"/>
  <c r="AF159" i="14"/>
  <c r="AF21" i="14"/>
  <c r="AF113" i="14"/>
  <c r="AF114" i="14"/>
  <c r="AF180" i="14"/>
  <c r="AF196" i="14"/>
  <c r="AF99" i="14"/>
  <c r="AF119" i="14"/>
  <c r="AF239" i="14"/>
  <c r="AF12" i="14"/>
  <c r="AH12" i="14" s="1"/>
  <c r="AF170" i="14"/>
  <c r="AH41" i="14"/>
  <c r="AF144" i="14"/>
  <c r="AF238" i="14"/>
  <c r="AF191" i="14"/>
  <c r="AF167" i="14"/>
  <c r="AF126" i="14"/>
  <c r="AF185" i="14"/>
  <c r="AF59" i="14"/>
  <c r="AF165" i="14"/>
  <c r="AF105" i="14"/>
  <c r="AF15" i="14"/>
  <c r="AF246" i="14"/>
  <c r="AF175" i="14"/>
  <c r="AF156" i="14"/>
  <c r="AF39" i="14"/>
  <c r="AF71" i="14"/>
  <c r="AF232" i="14"/>
  <c r="AF66" i="14"/>
  <c r="AF62" i="14"/>
  <c r="AF233" i="14"/>
  <c r="AF213" i="14"/>
  <c r="AF65" i="14"/>
  <c r="AF85" i="14"/>
  <c r="AF231" i="14"/>
  <c r="AF187" i="14"/>
  <c r="AF27" i="14"/>
  <c r="AF223" i="14"/>
  <c r="AF38" i="14"/>
  <c r="AF80" i="14"/>
  <c r="AF220" i="14"/>
  <c r="AF194" i="14"/>
  <c r="AF17" i="14"/>
  <c r="AF14" i="14"/>
  <c r="AF69" i="14"/>
  <c r="AF240" i="14"/>
  <c r="AF161" i="14"/>
  <c r="E40" i="40"/>
  <c r="F38" i="40"/>
  <c r="F39" i="40"/>
  <c r="F37" i="40"/>
  <c r="D40" i="40"/>
  <c r="AF243" i="14"/>
  <c r="AF173" i="14"/>
  <c r="AF60" i="14"/>
  <c r="AF20" i="14"/>
  <c r="AF123" i="14"/>
  <c r="AF35" i="14"/>
  <c r="AF132" i="14"/>
  <c r="AF90" i="14"/>
  <c r="AF154" i="14"/>
  <c r="AF195" i="14"/>
  <c r="AF47" i="14"/>
  <c r="AF5" i="14"/>
  <c r="AF72" i="14"/>
  <c r="AF147" i="14"/>
  <c r="AF121" i="14"/>
  <c r="AF237" i="14"/>
  <c r="AF199" i="14"/>
  <c r="AF129" i="14"/>
  <c r="AF148" i="14"/>
  <c r="AF77" i="14"/>
  <c r="AF18" i="14"/>
  <c r="AF13" i="14"/>
  <c r="AF135" i="14"/>
  <c r="AF26" i="14"/>
  <c r="AF81" i="14"/>
  <c r="AF242" i="14"/>
  <c r="AF201" i="14"/>
  <c r="AF190" i="14"/>
  <c r="AF178" i="14"/>
  <c r="AF36" i="14"/>
  <c r="AF166" i="14"/>
  <c r="AF141" i="14"/>
  <c r="AF104" i="14"/>
  <c r="AF122" i="14"/>
  <c r="AF143" i="14"/>
  <c r="AF152" i="14"/>
  <c r="AF120" i="14"/>
  <c r="AF125" i="14"/>
  <c r="AF160" i="14"/>
  <c r="AF130" i="14"/>
  <c r="AC13" i="43"/>
  <c r="I19" i="43"/>
  <c r="AC16" i="43"/>
  <c r="AC15" i="43"/>
  <c r="I15" i="43"/>
  <c r="AC14" i="43"/>
  <c r="I14" i="43"/>
  <c r="I16" i="43"/>
  <c r="AC19" i="43"/>
  <c r="F13" i="43" l="1"/>
  <c r="F19" i="43"/>
  <c r="I94" i="86"/>
  <c r="L94" i="86" s="1"/>
  <c r="D22" i="37"/>
  <c r="D24" i="37"/>
  <c r="D23" i="37"/>
  <c r="D21" i="37"/>
  <c r="F27" i="37"/>
  <c r="I24" i="37"/>
  <c r="G83" i="86"/>
  <c r="J83" i="86" s="1"/>
  <c r="G44" i="86"/>
  <c r="J44" i="86" s="1"/>
  <c r="G164" i="86"/>
  <c r="J164" i="86" s="1"/>
  <c r="AH130" i="14"/>
  <c r="AH141" i="14"/>
  <c r="AH26" i="14"/>
  <c r="AH77" i="14"/>
  <c r="AH237" i="14"/>
  <c r="AH5" i="14"/>
  <c r="AH90" i="14"/>
  <c r="AH20" i="14"/>
  <c r="AH14" i="14"/>
  <c r="AH80" i="14"/>
  <c r="AH187" i="14"/>
  <c r="AH213" i="14"/>
  <c r="AH232" i="14"/>
  <c r="AH175" i="14"/>
  <c r="AH165" i="14"/>
  <c r="AH167" i="14"/>
  <c r="AH119" i="14"/>
  <c r="AH114" i="14"/>
  <c r="AH134" i="14"/>
  <c r="AH55" i="14"/>
  <c r="AH54" i="14"/>
  <c r="AH218" i="14"/>
  <c r="AH42" i="14"/>
  <c r="AH189" i="14"/>
  <c r="AH168" i="14"/>
  <c r="AH142" i="14"/>
  <c r="AH214" i="14"/>
  <c r="AH209" i="14"/>
  <c r="AH91" i="14"/>
  <c r="AH45" i="14"/>
  <c r="AH169" i="14"/>
  <c r="AH83" i="14"/>
  <c r="AH46" i="14"/>
  <c r="AH138" i="14"/>
  <c r="AH140" i="14"/>
  <c r="AH48" i="14"/>
  <c r="AH183" i="14"/>
  <c r="AH52" i="14"/>
  <c r="AH192" i="14"/>
  <c r="AH176" i="14"/>
  <c r="AH24" i="14"/>
  <c r="AH160" i="14"/>
  <c r="AH143" i="14"/>
  <c r="AH166" i="14"/>
  <c r="AH201" i="14"/>
  <c r="AH135" i="14"/>
  <c r="AH148" i="14"/>
  <c r="AH121" i="14"/>
  <c r="AH47" i="14"/>
  <c r="AH132" i="14"/>
  <c r="AH60" i="14"/>
  <c r="AH161" i="14"/>
  <c r="AH17" i="14"/>
  <c r="AH38" i="14"/>
  <c r="AH231" i="14"/>
  <c r="AH233" i="14"/>
  <c r="AH71" i="14"/>
  <c r="AH246" i="14"/>
  <c r="AH59" i="14"/>
  <c r="AH191" i="14"/>
  <c r="AH170" i="14"/>
  <c r="AH99" i="14"/>
  <c r="AH113" i="14"/>
  <c r="AH56" i="14"/>
  <c r="AH222" i="14"/>
  <c r="AH78" i="14"/>
  <c r="AH23" i="14"/>
  <c r="AH188" i="14"/>
  <c r="AH149" i="14"/>
  <c r="AH181" i="14"/>
  <c r="AH215" i="14"/>
  <c r="AH106" i="14"/>
  <c r="AH177" i="14"/>
  <c r="AH40" i="14"/>
  <c r="AH171" i="14"/>
  <c r="AH164" i="14"/>
  <c r="AH145" i="14"/>
  <c r="AH10" i="14"/>
  <c r="AH245" i="14"/>
  <c r="AH53" i="14"/>
  <c r="AH43" i="14"/>
  <c r="AH37" i="14"/>
  <c r="AH8" i="14"/>
  <c r="AH244" i="14"/>
  <c r="AH152" i="14"/>
  <c r="AH190" i="14"/>
  <c r="AH125" i="14"/>
  <c r="AH122" i="14"/>
  <c r="AH36" i="14"/>
  <c r="AH242" i="14"/>
  <c r="AH13" i="14"/>
  <c r="AH129" i="14"/>
  <c r="AH147" i="14"/>
  <c r="AH195" i="14"/>
  <c r="AH35" i="14"/>
  <c r="AH173" i="14"/>
  <c r="AH240" i="14"/>
  <c r="AH194" i="14"/>
  <c r="AH223" i="14"/>
  <c r="AH85" i="14"/>
  <c r="AH62" i="14"/>
  <c r="AH39" i="14"/>
  <c r="AH15" i="14"/>
  <c r="AH185" i="14"/>
  <c r="AH238" i="14"/>
  <c r="AH196" i="14"/>
  <c r="AH21" i="14"/>
  <c r="AH207" i="14"/>
  <c r="AH44" i="14"/>
  <c r="AH89" i="14"/>
  <c r="AH226" i="14"/>
  <c r="AH93" i="14"/>
  <c r="AH131" i="14"/>
  <c r="AH95" i="14"/>
  <c r="AH235" i="14"/>
  <c r="AH228" i="14"/>
  <c r="AH204" i="14"/>
  <c r="AH186" i="14"/>
  <c r="AH179" i="14"/>
  <c r="AH98" i="14"/>
  <c r="AH74" i="14"/>
  <c r="AH216" i="14"/>
  <c r="AH67" i="14"/>
  <c r="AH182" i="14"/>
  <c r="AH33" i="14"/>
  <c r="AH19" i="14"/>
  <c r="AH120" i="14"/>
  <c r="AH104" i="14"/>
  <c r="AH178" i="14"/>
  <c r="AH81" i="14"/>
  <c r="AH18" i="14"/>
  <c r="AH199" i="14"/>
  <c r="AH72" i="14"/>
  <c r="AH154" i="14"/>
  <c r="AH123" i="14"/>
  <c r="AH243" i="14"/>
  <c r="AH69" i="14"/>
  <c r="AH220" i="14"/>
  <c r="AH27" i="14"/>
  <c r="AH65" i="14"/>
  <c r="AH66" i="14"/>
  <c r="AH156" i="14"/>
  <c r="AH105" i="14"/>
  <c r="AH126" i="14"/>
  <c r="AH144" i="14"/>
  <c r="AH239" i="14"/>
  <c r="AH180" i="14"/>
  <c r="AH159" i="14"/>
  <c r="AH11" i="14"/>
  <c r="AH64" i="14"/>
  <c r="AH92" i="14"/>
  <c r="AH124" i="14"/>
  <c r="AH87" i="14"/>
  <c r="AH198" i="14"/>
  <c r="AH34" i="14"/>
  <c r="AH30" i="14"/>
  <c r="AH136" i="14"/>
  <c r="AH174" i="14"/>
  <c r="AH241" i="14"/>
  <c r="AH50" i="14"/>
  <c r="AH184" i="14"/>
  <c r="AH217" i="14"/>
  <c r="AH58" i="14"/>
  <c r="AH51" i="14"/>
  <c r="AH25" i="14"/>
  <c r="AH49" i="14"/>
  <c r="AH146" i="14"/>
  <c r="AH68" i="14"/>
  <c r="AH247" i="14"/>
  <c r="AH22" i="14"/>
  <c r="AH172" i="14"/>
  <c r="H27" i="37"/>
  <c r="I71" i="86"/>
  <c r="L71" i="86" s="1"/>
  <c r="I58" i="86"/>
  <c r="L58" i="86" s="1"/>
  <c r="D52" i="37"/>
  <c r="G52" i="37" s="1"/>
  <c r="H3" i="86"/>
  <c r="K3" i="86" s="1"/>
  <c r="H40" i="86"/>
  <c r="K40" i="86" s="1"/>
  <c r="F15" i="43"/>
  <c r="G15" i="43" s="1"/>
  <c r="J15" i="43" s="1"/>
  <c r="G13" i="43"/>
  <c r="J13" i="43" s="1"/>
  <c r="F14" i="43"/>
  <c r="G14" i="43" s="1"/>
  <c r="J14" i="43" s="1"/>
  <c r="D49" i="37"/>
  <c r="G49" i="37" s="1"/>
  <c r="I5" i="86"/>
  <c r="L5" i="86" s="1"/>
  <c r="G58" i="86"/>
  <c r="J58" i="86" s="1"/>
  <c r="H52" i="37"/>
  <c r="K52" i="37" s="1"/>
  <c r="I80" i="86"/>
  <c r="L80" i="86" s="1"/>
  <c r="E27" i="37"/>
  <c r="E11" i="37"/>
  <c r="O13" i="43"/>
  <c r="AD20" i="43" s="1"/>
  <c r="AE20" i="43" s="1"/>
  <c r="I50" i="86"/>
  <c r="L50" i="86" s="1"/>
  <c r="E14" i="37"/>
  <c r="E22" i="37"/>
  <c r="E16" i="37"/>
  <c r="E24" i="37"/>
  <c r="E26" i="37"/>
  <c r="E25" i="37"/>
  <c r="E9" i="37"/>
  <c r="E23" i="37"/>
  <c r="E20" i="37"/>
  <c r="E18" i="37"/>
  <c r="E21" i="37"/>
  <c r="E17" i="37"/>
  <c r="E19" i="37"/>
  <c r="E28" i="37"/>
  <c r="E10" i="37"/>
  <c r="I143" i="86"/>
  <c r="L143" i="86" s="1"/>
  <c r="H111" i="86"/>
  <c r="K111" i="86" s="1"/>
  <c r="G27" i="37"/>
  <c r="I44" i="86"/>
  <c r="L44" i="86" s="1"/>
  <c r="N24" i="37"/>
  <c r="I127" i="86"/>
  <c r="L127" i="86" s="1"/>
  <c r="J27" i="37"/>
  <c r="H63" i="86"/>
  <c r="K63" i="86" s="1"/>
  <c r="M27" i="37"/>
  <c r="I51" i="86"/>
  <c r="L51" i="86" s="1"/>
  <c r="G71" i="86"/>
  <c r="J71" i="86" s="1"/>
  <c r="G50" i="86"/>
  <c r="J50" i="86" s="1"/>
  <c r="H51" i="86"/>
  <c r="K51" i="86" s="1"/>
  <c r="H164" i="86"/>
  <c r="K164" i="86" s="1"/>
  <c r="G8" i="86"/>
  <c r="J8" i="86" s="1"/>
  <c r="H115" i="86"/>
  <c r="K115" i="86" s="1"/>
  <c r="L24" i="37"/>
  <c r="I40" i="86"/>
  <c r="L40" i="86" s="1"/>
  <c r="I3" i="86"/>
  <c r="L3" i="86" s="1"/>
  <c r="H58" i="86"/>
  <c r="K58" i="86" s="1"/>
  <c r="H94" i="86"/>
  <c r="K94" i="86" s="1"/>
  <c r="H87" i="86"/>
  <c r="K87" i="86" s="1"/>
  <c r="G124" i="86"/>
  <c r="J124" i="86" s="1"/>
  <c r="D42" i="37"/>
  <c r="G42" i="37" s="1"/>
  <c r="I158" i="86"/>
  <c r="L158" i="86" s="1"/>
  <c r="I121" i="86"/>
  <c r="L121" i="86" s="1"/>
  <c r="L46" i="37"/>
  <c r="O46" i="37" s="1"/>
  <c r="I100" i="86"/>
  <c r="L100" i="86" s="1"/>
  <c r="I64" i="86"/>
  <c r="L64" i="86" s="1"/>
  <c r="I19" i="86"/>
  <c r="L19" i="86" s="1"/>
  <c r="K24" i="37"/>
  <c r="G19" i="86"/>
  <c r="J19" i="86" s="1"/>
  <c r="O23" i="36"/>
  <c r="O22" i="36"/>
  <c r="O17" i="36"/>
  <c r="O19" i="36"/>
  <c r="AC18" i="43"/>
  <c r="O13" i="36"/>
  <c r="G51" i="86"/>
  <c r="J51" i="86" s="1"/>
  <c r="G5" i="86"/>
  <c r="J5" i="86" s="1"/>
  <c r="I4" i="86"/>
  <c r="L4" i="86" s="1"/>
  <c r="I147" i="86"/>
  <c r="L147" i="86" s="1"/>
  <c r="H11" i="37"/>
  <c r="I164" i="86"/>
  <c r="L164" i="86" s="1"/>
  <c r="D11" i="37"/>
  <c r="I63" i="86"/>
  <c r="L63" i="86" s="1"/>
  <c r="K17" i="37"/>
  <c r="G63" i="86"/>
  <c r="J63" i="86" s="1"/>
  <c r="H46" i="37"/>
  <c r="K46" i="37" s="1"/>
  <c r="H50" i="86"/>
  <c r="K50" i="86" s="1"/>
  <c r="H19" i="37"/>
  <c r="I160" i="86"/>
  <c r="L160" i="86" s="1"/>
  <c r="I6" i="86"/>
  <c r="L6" i="86" s="1"/>
  <c r="H40" i="37"/>
  <c r="K40" i="37" s="1"/>
  <c r="I142" i="86"/>
  <c r="L142" i="86" s="1"/>
  <c r="L48" i="37"/>
  <c r="O48" i="37" s="1"/>
  <c r="I27" i="86"/>
  <c r="L27" i="86" s="1"/>
  <c r="I112" i="86"/>
  <c r="L112" i="86" s="1"/>
  <c r="I2" i="86"/>
  <c r="L2" i="86" s="1"/>
  <c r="I128" i="86"/>
  <c r="L128" i="86" s="1"/>
  <c r="D19" i="37"/>
  <c r="I103" i="86"/>
  <c r="L103" i="86" s="1"/>
  <c r="I29" i="86"/>
  <c r="L29" i="86" s="1"/>
  <c r="M19" i="37"/>
  <c r="F26" i="37"/>
  <c r="I149" i="86"/>
  <c r="L149" i="86" s="1"/>
  <c r="I78" i="86"/>
  <c r="L78" i="86" s="1"/>
  <c r="I114" i="86"/>
  <c r="L114" i="86" s="1"/>
  <c r="I146" i="86"/>
  <c r="L146" i="86" s="1"/>
  <c r="D48" i="37"/>
  <c r="G48" i="37" s="1"/>
  <c r="F23" i="37"/>
  <c r="M17" i="37"/>
  <c r="I99" i="86"/>
  <c r="L99" i="86" s="1"/>
  <c r="I90" i="86"/>
  <c r="L90" i="86" s="1"/>
  <c r="I124" i="86"/>
  <c r="L124" i="86" s="1"/>
  <c r="G19" i="37"/>
  <c r="G24" i="37"/>
  <c r="H66" i="86"/>
  <c r="K66" i="86" s="1"/>
  <c r="L49" i="37"/>
  <c r="O49" i="37" s="1"/>
  <c r="AC17" i="43"/>
  <c r="H42" i="37"/>
  <c r="K42" i="37" s="1"/>
  <c r="I87" i="86"/>
  <c r="L87" i="86" s="1"/>
  <c r="I83" i="86"/>
  <c r="L83" i="86" s="1"/>
  <c r="G3" i="86"/>
  <c r="J3" i="86" s="1"/>
  <c r="H24" i="37"/>
  <c r="H49" i="37"/>
  <c r="K49" i="37" s="1"/>
  <c r="I152" i="86"/>
  <c r="L152" i="86" s="1"/>
  <c r="G93" i="86"/>
  <c r="J93" i="86" s="1"/>
  <c r="G20" i="37"/>
  <c r="H35" i="86"/>
  <c r="K35" i="86" s="1"/>
  <c r="H21" i="37"/>
  <c r="G14" i="37"/>
  <c r="I139" i="86"/>
  <c r="L139" i="86" s="1"/>
  <c r="I14" i="37"/>
  <c r="H14" i="37"/>
  <c r="L40" i="37"/>
  <c r="O40" i="37" s="1"/>
  <c r="I163" i="86"/>
  <c r="L163" i="86" s="1"/>
  <c r="I19" i="37"/>
  <c r="I98" i="86"/>
  <c r="L98" i="86" s="1"/>
  <c r="G151" i="86"/>
  <c r="J151" i="86" s="1"/>
  <c r="H151" i="86"/>
  <c r="K151" i="86" s="1"/>
  <c r="H44" i="86"/>
  <c r="K44" i="86" s="1"/>
  <c r="I159" i="86"/>
  <c r="L159" i="86" s="1"/>
  <c r="I144" i="86"/>
  <c r="L144" i="86" s="1"/>
  <c r="G64" i="86"/>
  <c r="J64" i="86" s="1"/>
  <c r="L37" i="37"/>
  <c r="O37" i="37" s="1"/>
  <c r="G143" i="86"/>
  <c r="J143" i="86" s="1"/>
  <c r="G115" i="86"/>
  <c r="J115" i="86" s="1"/>
  <c r="H8" i="86"/>
  <c r="K8" i="86" s="1"/>
  <c r="H13" i="86"/>
  <c r="K13" i="86" s="1"/>
  <c r="I26" i="37"/>
  <c r="G23" i="37"/>
  <c r="H51" i="37"/>
  <c r="K51" i="37" s="1"/>
  <c r="I126" i="86"/>
  <c r="L126" i="86" s="1"/>
  <c r="M11" i="37"/>
  <c r="I33" i="86"/>
  <c r="L33" i="86" s="1"/>
  <c r="M24" i="37"/>
  <c r="H48" i="37"/>
  <c r="K48" i="37" s="1"/>
  <c r="I134" i="86"/>
  <c r="L134" i="86" s="1"/>
  <c r="L34" i="37"/>
  <c r="O34" i="37" s="1"/>
  <c r="I37" i="86"/>
  <c r="L37" i="86" s="1"/>
  <c r="H37" i="86"/>
  <c r="K37" i="86" s="1"/>
  <c r="I97" i="86"/>
  <c r="L97" i="86" s="1"/>
  <c r="I65" i="86"/>
  <c r="L65" i="86" s="1"/>
  <c r="F17" i="37"/>
  <c r="D26" i="37"/>
  <c r="I72" i="86"/>
  <c r="L72" i="86" s="1"/>
  <c r="G54" i="86"/>
  <c r="J54" i="86" s="1"/>
  <c r="I67" i="86"/>
  <c r="L67" i="86" s="1"/>
  <c r="G17" i="37"/>
  <c r="F19" i="37"/>
  <c r="I88" i="86"/>
  <c r="L88" i="86" s="1"/>
  <c r="D17" i="37"/>
  <c r="I15" i="86"/>
  <c r="L15" i="86" s="1"/>
  <c r="I131" i="86"/>
  <c r="L131" i="86" s="1"/>
  <c r="I111" i="86"/>
  <c r="L111" i="86" s="1"/>
  <c r="I8" i="86"/>
  <c r="L8" i="86" s="1"/>
  <c r="I85" i="86"/>
  <c r="L85" i="86" s="1"/>
  <c r="I27" i="37"/>
  <c r="H5" i="86"/>
  <c r="K5" i="86" s="1"/>
  <c r="H155" i="86"/>
  <c r="K155" i="86" s="1"/>
  <c r="G129" i="86"/>
  <c r="J129" i="86" s="1"/>
  <c r="I35" i="86"/>
  <c r="L35" i="86" s="1"/>
  <c r="L44" i="37"/>
  <c r="O44" i="37" s="1"/>
  <c r="I120" i="86"/>
  <c r="L120" i="86" s="1"/>
  <c r="H17" i="37"/>
  <c r="I95" i="86"/>
  <c r="L95" i="86" s="1"/>
  <c r="AC21" i="43"/>
  <c r="AC20" i="43"/>
  <c r="M21" i="37"/>
  <c r="G98" i="86"/>
  <c r="J98" i="86" s="1"/>
  <c r="G8" i="37"/>
  <c r="M9" i="37"/>
  <c r="I166" i="86"/>
  <c r="L166" i="86" s="1"/>
  <c r="H117" i="86"/>
  <c r="K117" i="86" s="1"/>
  <c r="G23" i="86"/>
  <c r="J23" i="86" s="1"/>
  <c r="G146" i="86"/>
  <c r="G87" i="86"/>
  <c r="J87" i="86" s="1"/>
  <c r="G130" i="86"/>
  <c r="J130" i="86" s="1"/>
  <c r="H82" i="86"/>
  <c r="K82" i="86" s="1"/>
  <c r="H4" i="86"/>
  <c r="K4" i="86" s="1"/>
  <c r="I9" i="86"/>
  <c r="L9" i="86" s="1"/>
  <c r="I66" i="86"/>
  <c r="L66" i="86" s="1"/>
  <c r="F11" i="37"/>
  <c r="I18" i="37"/>
  <c r="G26" i="37"/>
  <c r="I150" i="86"/>
  <c r="L150" i="86" s="1"/>
  <c r="I89" i="86"/>
  <c r="L89" i="86" s="1"/>
  <c r="G11" i="37"/>
  <c r="I30" i="86"/>
  <c r="L30" i="86" s="1"/>
  <c r="L52" i="37"/>
  <c r="O52" i="37" s="1"/>
  <c r="H23" i="37"/>
  <c r="I17" i="37"/>
  <c r="D27" i="37"/>
  <c r="I116" i="86"/>
  <c r="L116" i="86" s="1"/>
  <c r="I21" i="86"/>
  <c r="L21" i="86" s="1"/>
  <c r="I155" i="86"/>
  <c r="L155" i="86" s="1"/>
  <c r="I36" i="86"/>
  <c r="L36" i="86" s="1"/>
  <c r="I157" i="86"/>
  <c r="L157" i="86" s="1"/>
  <c r="M18" i="37"/>
  <c r="I91" i="86"/>
  <c r="L91" i="86" s="1"/>
  <c r="I62" i="86"/>
  <c r="L62" i="86" s="1"/>
  <c r="G127" i="86"/>
  <c r="J127" i="86" s="1"/>
  <c r="G135" i="86"/>
  <c r="J135" i="86" s="1"/>
  <c r="I113" i="86"/>
  <c r="L113" i="86" s="1"/>
  <c r="M23" i="37"/>
  <c r="G66" i="86"/>
  <c r="J66" i="86" s="1"/>
  <c r="I12" i="86"/>
  <c r="L12" i="86" s="1"/>
  <c r="H16" i="37"/>
  <c r="L35" i="37"/>
  <c r="O35" i="37" s="1"/>
  <c r="I69" i="86"/>
  <c r="L69" i="86" s="1"/>
  <c r="F10" i="37"/>
  <c r="I18" i="86"/>
  <c r="L18" i="86" s="1"/>
  <c r="H47" i="37"/>
  <c r="K47" i="37" s="1"/>
  <c r="M16" i="37"/>
  <c r="I20" i="86"/>
  <c r="L20" i="86" s="1"/>
  <c r="L51" i="37"/>
  <c r="O51" i="37" s="1"/>
  <c r="I96" i="86"/>
  <c r="L96" i="86" s="1"/>
  <c r="D16" i="37"/>
  <c r="H22" i="37"/>
  <c r="F20" i="37"/>
  <c r="H156" i="86"/>
  <c r="K156" i="86" s="1"/>
  <c r="I22" i="86"/>
  <c r="L22" i="86" s="1"/>
  <c r="D45" i="37"/>
  <c r="G45" i="37" s="1"/>
  <c r="I23" i="37"/>
  <c r="D36" i="37"/>
  <c r="G36" i="37" s="1"/>
  <c r="I10" i="86"/>
  <c r="L10" i="86" s="1"/>
  <c r="H18" i="37"/>
  <c r="D9" i="37"/>
  <c r="H9" i="86"/>
  <c r="K9" i="86" s="1"/>
  <c r="I117" i="86"/>
  <c r="L117" i="86" s="1"/>
  <c r="H34" i="37"/>
  <c r="K34" i="37" s="1"/>
  <c r="E8" i="37"/>
  <c r="I9" i="37"/>
  <c r="D20" i="37"/>
  <c r="I16" i="37"/>
  <c r="H44" i="37"/>
  <c r="K44" i="37" s="1"/>
  <c r="H41" i="37"/>
  <c r="K41" i="37" s="1"/>
  <c r="H26" i="37"/>
  <c r="F9" i="37"/>
  <c r="D34" i="37"/>
  <c r="G34" i="37" s="1"/>
  <c r="L47" i="37"/>
  <c r="O47" i="37" s="1"/>
  <c r="D8" i="37"/>
  <c r="I101" i="86"/>
  <c r="L101" i="86" s="1"/>
  <c r="M26" i="37"/>
  <c r="I156" i="86"/>
  <c r="L156" i="86" s="1"/>
  <c r="H35" i="37"/>
  <c r="K35" i="37" s="1"/>
  <c r="D40" i="37"/>
  <c r="G40" i="37" s="1"/>
  <c r="I79" i="86"/>
  <c r="L79" i="86" s="1"/>
  <c r="I141" i="86"/>
  <c r="L141" i="86" s="1"/>
  <c r="L41" i="37"/>
  <c r="O41" i="37" s="1"/>
  <c r="I92" i="86"/>
  <c r="L92" i="86" s="1"/>
  <c r="F8" i="37"/>
  <c r="F16" i="37"/>
  <c r="H9" i="37"/>
  <c r="I60" i="86"/>
  <c r="L60" i="86" s="1"/>
  <c r="D14" i="37"/>
  <c r="I82" i="86"/>
  <c r="L82" i="86" s="1"/>
  <c r="I14" i="86"/>
  <c r="L14" i="86" s="1"/>
  <c r="H20" i="37"/>
  <c r="D51" i="37"/>
  <c r="G51" i="37" s="1"/>
  <c r="I11" i="37"/>
  <c r="I68" i="86"/>
  <c r="L68" i="86" s="1"/>
  <c r="G16" i="37"/>
  <c r="F14" i="37"/>
  <c r="M8" i="37"/>
  <c r="I8" i="37"/>
  <c r="F22" i="37"/>
  <c r="I20" i="37"/>
  <c r="I70" i="86"/>
  <c r="L70" i="86" s="1"/>
  <c r="I107" i="86"/>
  <c r="L107" i="86" s="1"/>
  <c r="I168" i="86"/>
  <c r="L168" i="86" s="1"/>
  <c r="F18" i="37"/>
  <c r="I13" i="86"/>
  <c r="L13" i="86" s="1"/>
  <c r="I162" i="86"/>
  <c r="L162" i="86" s="1"/>
  <c r="H8" i="37"/>
  <c r="D18" i="37"/>
  <c r="I153" i="86"/>
  <c r="L153" i="86" s="1"/>
  <c r="D37" i="37"/>
  <c r="G37" i="37" s="1"/>
  <c r="H43" i="37"/>
  <c r="K43" i="37" s="1"/>
  <c r="I32" i="86"/>
  <c r="L32" i="86" s="1"/>
  <c r="I106" i="86"/>
  <c r="L106" i="86" s="1"/>
  <c r="I137" i="86"/>
  <c r="L137" i="86" s="1"/>
  <c r="I59" i="86"/>
  <c r="L59" i="86" s="1"/>
  <c r="I24" i="86"/>
  <c r="L24" i="86" s="1"/>
  <c r="L43" i="37"/>
  <c r="O43" i="37" s="1"/>
  <c r="I167" i="86"/>
  <c r="L167" i="86" s="1"/>
  <c r="I135" i="86"/>
  <c r="L135" i="86" s="1"/>
  <c r="I140" i="86"/>
  <c r="L140" i="86" s="1"/>
  <c r="D44" i="37"/>
  <c r="G44" i="37" s="1"/>
  <c r="I25" i="86"/>
  <c r="L25" i="86" s="1"/>
  <c r="D43" i="37"/>
  <c r="G43" i="37" s="1"/>
  <c r="I115" i="86"/>
  <c r="L115" i="86" s="1"/>
  <c r="G67" i="86"/>
  <c r="J67" i="86" s="1"/>
  <c r="G25" i="86"/>
  <c r="J25" i="86" s="1"/>
  <c r="D46" i="37"/>
  <c r="G46" i="37" s="1"/>
  <c r="G18" i="37"/>
  <c r="I102" i="86"/>
  <c r="L102" i="86" s="1"/>
  <c r="G36" i="86"/>
  <c r="J36" i="86" s="1"/>
  <c r="G158" i="86"/>
  <c r="J158" i="86" s="1"/>
  <c r="H80" i="86"/>
  <c r="K80" i="86" s="1"/>
  <c r="H83" i="86"/>
  <c r="K83" i="86" s="1"/>
  <c r="H37" i="37"/>
  <c r="K37" i="37" s="1"/>
  <c r="D41" i="37"/>
  <c r="G41" i="37" s="1"/>
  <c r="I34" i="86"/>
  <c r="L34" i="86" s="1"/>
  <c r="I93" i="86"/>
  <c r="L93" i="86" s="1"/>
  <c r="M14" i="37"/>
  <c r="L42" i="37"/>
  <c r="O42" i="37" s="1"/>
  <c r="I55" i="86"/>
  <c r="L55" i="86" s="1"/>
  <c r="I43" i="86"/>
  <c r="L43" i="86" s="1"/>
  <c r="I148" i="86"/>
  <c r="L148" i="86" s="1"/>
  <c r="H71" i="86"/>
  <c r="K71" i="86" s="1"/>
  <c r="H131" i="86"/>
  <c r="K131" i="86" s="1"/>
  <c r="H134" i="86"/>
  <c r="K134" i="86" s="1"/>
  <c r="G94" i="86"/>
  <c r="J94" i="86" s="1"/>
  <c r="G72" i="86"/>
  <c r="J72" i="86" s="1"/>
  <c r="G78" i="86"/>
  <c r="J78" i="86" s="1"/>
  <c r="G90" i="86"/>
  <c r="H127" i="86"/>
  <c r="K127" i="86" s="1"/>
  <c r="G40" i="86"/>
  <c r="J40" i="86" s="1"/>
  <c r="G150" i="86"/>
  <c r="J150" i="86" s="1"/>
  <c r="I54" i="86"/>
  <c r="L54" i="86" s="1"/>
  <c r="I151" i="86"/>
  <c r="L151" i="86" s="1"/>
  <c r="I130" i="86"/>
  <c r="L130" i="86" s="1"/>
  <c r="I57" i="86"/>
  <c r="L57" i="86" s="1"/>
  <c r="G160" i="86"/>
  <c r="J160" i="86" s="1"/>
  <c r="K19" i="37"/>
  <c r="G62" i="86"/>
  <c r="J62" i="86" s="1"/>
  <c r="H90" i="86"/>
  <c r="K90" i="86" s="1"/>
  <c r="D35" i="37"/>
  <c r="G35" i="37" s="1"/>
  <c r="H85" i="86"/>
  <c r="K85" i="86" s="1"/>
  <c r="H120" i="86"/>
  <c r="K120" i="86" s="1"/>
  <c r="L21" i="37"/>
  <c r="H102" i="86"/>
  <c r="K102" i="86" s="1"/>
  <c r="H29" i="86"/>
  <c r="K29" i="86" s="1"/>
  <c r="H72" i="86"/>
  <c r="K72" i="86" s="1"/>
  <c r="G114" i="86"/>
  <c r="J114" i="86" s="1"/>
  <c r="G134" i="86"/>
  <c r="J134" i="86" s="1"/>
  <c r="G60" i="86"/>
  <c r="J60" i="86" s="1"/>
  <c r="G148" i="86"/>
  <c r="G32" i="86"/>
  <c r="J32" i="86" s="1"/>
  <c r="I23" i="86"/>
  <c r="L23" i="86" s="1"/>
  <c r="H45" i="37"/>
  <c r="K45" i="37" s="1"/>
  <c r="G22" i="86"/>
  <c r="J22" i="86" s="1"/>
  <c r="G27" i="86"/>
  <c r="J27" i="86" s="1"/>
  <c r="G101" i="86"/>
  <c r="J101" i="86" s="1"/>
  <c r="G20" i="86"/>
  <c r="J20" i="86" s="1"/>
  <c r="G147" i="86"/>
  <c r="G111" i="86"/>
  <c r="J111" i="86" s="1"/>
  <c r="G65" i="86"/>
  <c r="J65" i="86" s="1"/>
  <c r="H89" i="86"/>
  <c r="K89" i="86" s="1"/>
  <c r="H158" i="86"/>
  <c r="K158" i="86" s="1"/>
  <c r="G14" i="86"/>
  <c r="J14" i="86" s="1"/>
  <c r="H68" i="86"/>
  <c r="K68" i="86" s="1"/>
  <c r="H60" i="86"/>
  <c r="K60" i="86" s="1"/>
  <c r="H129" i="86"/>
  <c r="K129" i="86" s="1"/>
  <c r="J24" i="37"/>
  <c r="D47" i="37"/>
  <c r="G47" i="37" s="1"/>
  <c r="M22" i="37"/>
  <c r="I28" i="86"/>
  <c r="L28" i="86" s="1"/>
  <c r="G22" i="37"/>
  <c r="H36" i="37"/>
  <c r="K36" i="37" s="1"/>
  <c r="D10" i="37"/>
  <c r="L36" i="37"/>
  <c r="O36" i="37" s="1"/>
  <c r="L50" i="37"/>
  <c r="O50" i="37" s="1"/>
  <c r="G30" i="86"/>
  <c r="J30" i="86" s="1"/>
  <c r="H22" i="86"/>
  <c r="K22" i="86" s="1"/>
  <c r="G120" i="86"/>
  <c r="J120" i="86" s="1"/>
  <c r="G126" i="86"/>
  <c r="J126" i="86" s="1"/>
  <c r="G11" i="86"/>
  <c r="J11" i="86" s="1"/>
  <c r="G15" i="86"/>
  <c r="J15" i="86" s="1"/>
  <c r="G103" i="86"/>
  <c r="J103" i="86" s="1"/>
  <c r="G69" i="86"/>
  <c r="J69" i="86" s="1"/>
  <c r="L45" i="37"/>
  <c r="O45" i="37" s="1"/>
  <c r="G152" i="86"/>
  <c r="J152" i="86" s="1"/>
  <c r="G89" i="86"/>
  <c r="J89" i="86" s="1"/>
  <c r="G33" i="86"/>
  <c r="J33" i="86" s="1"/>
  <c r="H159" i="86"/>
  <c r="K159" i="86" s="1"/>
  <c r="G56" i="86"/>
  <c r="J56" i="86" s="1"/>
  <c r="H141" i="86"/>
  <c r="K141" i="86" s="1"/>
  <c r="I11" i="86"/>
  <c r="L11" i="86" s="1"/>
  <c r="M10" i="37"/>
  <c r="H10" i="37"/>
  <c r="G9" i="37"/>
  <c r="I22" i="37"/>
  <c r="G28" i="86"/>
  <c r="J28" i="86" s="1"/>
  <c r="H25" i="37"/>
  <c r="H70" i="86"/>
  <c r="K70" i="86" s="1"/>
  <c r="H64" i="86"/>
  <c r="K64" i="86" s="1"/>
  <c r="H126" i="86"/>
  <c r="K126" i="86" s="1"/>
  <c r="G21" i="37"/>
  <c r="G4" i="86"/>
  <c r="J4" i="86" s="1"/>
  <c r="G153" i="86"/>
  <c r="J153" i="86" s="1"/>
  <c r="K21" i="37"/>
  <c r="G102" i="86"/>
  <c r="J102" i="86" s="1"/>
  <c r="H152" i="86"/>
  <c r="K152" i="86" s="1"/>
  <c r="H56" i="86"/>
  <c r="K56" i="86" s="1"/>
  <c r="H165" i="86"/>
  <c r="K165" i="86" s="1"/>
  <c r="H107" i="86"/>
  <c r="K107" i="86" s="1"/>
  <c r="J11" i="37"/>
  <c r="J8" i="37"/>
  <c r="G17" i="86"/>
  <c r="J17" i="86" s="1"/>
  <c r="L25" i="37"/>
  <c r="H11" i="86"/>
  <c r="K11" i="86" s="1"/>
  <c r="G25" i="37"/>
  <c r="I56" i="86"/>
  <c r="L56" i="86" s="1"/>
  <c r="H146" i="86"/>
  <c r="K146" i="86" s="1"/>
  <c r="D25" i="37"/>
  <c r="H113" i="86"/>
  <c r="K113" i="86" s="1"/>
  <c r="G141" i="86"/>
  <c r="N17" i="37"/>
  <c r="K26" i="37"/>
  <c r="K18" i="37"/>
  <c r="K11" i="37"/>
  <c r="H79" i="86"/>
  <c r="K79" i="86" s="1"/>
  <c r="H167" i="86"/>
  <c r="K167" i="86" s="1"/>
  <c r="N22" i="37"/>
  <c r="H18" i="86"/>
  <c r="K18" i="86" s="1"/>
  <c r="J25" i="37"/>
  <c r="H162" i="86"/>
  <c r="K162" i="86" s="1"/>
  <c r="H62" i="86"/>
  <c r="K62" i="86" s="1"/>
  <c r="G28" i="37"/>
  <c r="H39" i="86"/>
  <c r="K39" i="86" s="1"/>
  <c r="L18" i="37"/>
  <c r="H65" i="86"/>
  <c r="K65" i="86" s="1"/>
  <c r="M20" i="37"/>
  <c r="L27" i="37"/>
  <c r="H100" i="86"/>
  <c r="K100" i="86" s="1"/>
  <c r="H101" i="86"/>
  <c r="K101" i="86" s="1"/>
  <c r="L9" i="37"/>
  <c r="G163" i="86"/>
  <c r="J163" i="86" s="1"/>
  <c r="D28" i="37"/>
  <c r="G165" i="86"/>
  <c r="J165" i="86" s="1"/>
  <c r="G144" i="86"/>
  <c r="J144" i="86" s="1"/>
  <c r="G106" i="86"/>
  <c r="J106" i="86" s="1"/>
  <c r="G24" i="86"/>
  <c r="J24" i="86" s="1"/>
  <c r="L11" i="37"/>
  <c r="G85" i="86"/>
  <c r="J85" i="86" s="1"/>
  <c r="H92" i="86"/>
  <c r="K92" i="86" s="1"/>
  <c r="L10" i="37"/>
  <c r="J17" i="37"/>
  <c r="M25" i="37"/>
  <c r="L19" i="37"/>
  <c r="L20" i="37"/>
  <c r="H124" i="86"/>
  <c r="K124" i="86" s="1"/>
  <c r="H36" i="86"/>
  <c r="K36" i="86" s="1"/>
  <c r="H14" i="86"/>
  <c r="K14" i="86" s="1"/>
  <c r="H106" i="86"/>
  <c r="K106" i="86" s="1"/>
  <c r="H147" i="86"/>
  <c r="K147" i="86" s="1"/>
  <c r="H57" i="86"/>
  <c r="K57" i="86" s="1"/>
  <c r="H12" i="86"/>
  <c r="K12" i="86" s="1"/>
  <c r="H114" i="86"/>
  <c r="K114" i="86" s="1"/>
  <c r="H10" i="86"/>
  <c r="K10" i="86" s="1"/>
  <c r="H88" i="86"/>
  <c r="K88" i="86" s="1"/>
  <c r="G2" i="86"/>
  <c r="J2" i="86" s="1"/>
  <c r="G112" i="86"/>
  <c r="G55" i="86"/>
  <c r="J55" i="86" s="1"/>
  <c r="G21" i="86"/>
  <c r="J21" i="86" s="1"/>
  <c r="G57" i="86"/>
  <c r="J57" i="86" s="1"/>
  <c r="G10" i="86"/>
  <c r="G88" i="86"/>
  <c r="J88" i="86" s="1"/>
  <c r="G13" i="86"/>
  <c r="J13" i="86" s="1"/>
  <c r="F28" i="37"/>
  <c r="G116" i="86"/>
  <c r="J116" i="86" s="1"/>
  <c r="G113" i="86"/>
  <c r="G156" i="86"/>
  <c r="J156" i="86" s="1"/>
  <c r="H112" i="86"/>
  <c r="K112" i="86" s="1"/>
  <c r="N27" i="37"/>
  <c r="H116" i="86"/>
  <c r="K116" i="86" s="1"/>
  <c r="F21" i="37"/>
  <c r="H50" i="37"/>
  <c r="K50" i="37" s="1"/>
  <c r="I10" i="37"/>
  <c r="G10" i="37"/>
  <c r="D50" i="37"/>
  <c r="G50" i="37" s="1"/>
  <c r="L53" i="37"/>
  <c r="O53" i="37" s="1"/>
  <c r="I25" i="37"/>
  <c r="M28" i="37"/>
  <c r="H28" i="37"/>
  <c r="G99" i="86"/>
  <c r="J99" i="86" s="1"/>
  <c r="G100" i="86"/>
  <c r="J100" i="86" s="1"/>
  <c r="G140" i="86"/>
  <c r="J140" i="86" s="1"/>
  <c r="G121" i="86"/>
  <c r="J121" i="86" s="1"/>
  <c r="G12" i="86"/>
  <c r="J12" i="86" s="1"/>
  <c r="G142" i="86"/>
  <c r="J142" i="86" s="1"/>
  <c r="H59" i="86"/>
  <c r="K59" i="86" s="1"/>
  <c r="N11" i="37"/>
  <c r="H160" i="86"/>
  <c r="K160" i="86" s="1"/>
  <c r="K25" i="37"/>
  <c r="I136" i="86"/>
  <c r="L136" i="86" s="1"/>
  <c r="H17" i="86"/>
  <c r="K17" i="86" s="1"/>
  <c r="G96" i="86"/>
  <c r="J96" i="86" s="1"/>
  <c r="G167" i="86"/>
  <c r="J167" i="86" s="1"/>
  <c r="G131" i="86"/>
  <c r="J131" i="86" s="1"/>
  <c r="K16" i="37"/>
  <c r="G149" i="86"/>
  <c r="J149" i="86" s="1"/>
  <c r="G29" i="86"/>
  <c r="J29" i="86" s="1"/>
  <c r="N21" i="37"/>
  <c r="R15" i="43"/>
  <c r="G59" i="86"/>
  <c r="J59" i="86" s="1"/>
  <c r="K28" i="37"/>
  <c r="G128" i="86"/>
  <c r="J128" i="86" s="1"/>
  <c r="H27" i="86"/>
  <c r="K27" i="86" s="1"/>
  <c r="H148" i="86"/>
  <c r="K148" i="86" s="1"/>
  <c r="H98" i="86"/>
  <c r="K98" i="86" s="1"/>
  <c r="H24" i="86"/>
  <c r="K24" i="86" s="1"/>
  <c r="H96" i="86"/>
  <c r="K96" i="86" s="1"/>
  <c r="G97" i="86"/>
  <c r="J97" i="86" s="1"/>
  <c r="G136" i="86"/>
  <c r="J136" i="86" s="1"/>
  <c r="G95" i="86"/>
  <c r="J95" i="86" s="1"/>
  <c r="H32" i="86"/>
  <c r="K32" i="86" s="1"/>
  <c r="H140" i="86"/>
  <c r="K140" i="86" s="1"/>
  <c r="H157" i="86"/>
  <c r="K157" i="86" s="1"/>
  <c r="H121" i="86"/>
  <c r="K121" i="86" s="1"/>
  <c r="H28" i="86"/>
  <c r="K28" i="86" s="1"/>
  <c r="H142" i="86"/>
  <c r="K142" i="86" s="1"/>
  <c r="H153" i="86"/>
  <c r="K153" i="86" s="1"/>
  <c r="H97" i="86"/>
  <c r="K97" i="86" s="1"/>
  <c r="H91" i="86"/>
  <c r="K91" i="86" s="1"/>
  <c r="N23" i="37"/>
  <c r="J21" i="37"/>
  <c r="H103" i="86"/>
  <c r="K103" i="86" s="1"/>
  <c r="H54" i="86"/>
  <c r="K54" i="86" s="1"/>
  <c r="N25" i="37"/>
  <c r="H53" i="37"/>
  <c r="K53" i="37" s="1"/>
  <c r="J19" i="37"/>
  <c r="F25" i="37"/>
  <c r="N10" i="37"/>
  <c r="I165" i="86"/>
  <c r="L165" i="86" s="1"/>
  <c r="G91" i="86"/>
  <c r="J91" i="86" s="1"/>
  <c r="G9" i="86"/>
  <c r="G155" i="86"/>
  <c r="M17" i="36"/>
  <c r="O25" i="36"/>
  <c r="O20" i="36"/>
  <c r="L22" i="37"/>
  <c r="L26" i="37"/>
  <c r="N20" i="37"/>
  <c r="N18" i="37"/>
  <c r="J26" i="37"/>
  <c r="J28" i="37"/>
  <c r="J10" i="37"/>
  <c r="J20" i="37"/>
  <c r="J14" i="37"/>
  <c r="J16" i="37"/>
  <c r="J23" i="37"/>
  <c r="J9" i="37"/>
  <c r="G137" i="86"/>
  <c r="J137" i="86" s="1"/>
  <c r="G168" i="86"/>
  <c r="J168" i="86" s="1"/>
  <c r="G34" i="86"/>
  <c r="J34" i="86" s="1"/>
  <c r="G107" i="86"/>
  <c r="J107" i="86" s="1"/>
  <c r="G117" i="86"/>
  <c r="G79" i="86"/>
  <c r="J79" i="86" s="1"/>
  <c r="G92" i="86"/>
  <c r="G159" i="86"/>
  <c r="J159" i="86" s="1"/>
  <c r="H130" i="86"/>
  <c r="K130" i="86" s="1"/>
  <c r="H95" i="86"/>
  <c r="K95" i="86" s="1"/>
  <c r="H128" i="86"/>
  <c r="K128" i="86" s="1"/>
  <c r="H2" i="86"/>
  <c r="K2" i="86" s="1"/>
  <c r="N8" i="37"/>
  <c r="N28" i="37"/>
  <c r="J22" i="37"/>
  <c r="N16" i="37"/>
  <c r="N14" i="37"/>
  <c r="K22" i="37"/>
  <c r="K8" i="37"/>
  <c r="G139" i="86"/>
  <c r="J139" i="86" s="1"/>
  <c r="G80" i="86"/>
  <c r="J80" i="86" s="1"/>
  <c r="G157" i="86"/>
  <c r="J157" i="86" s="1"/>
  <c r="K23" i="37"/>
  <c r="G18" i="86"/>
  <c r="J18" i="86" s="1"/>
  <c r="G162" i="86"/>
  <c r="J162" i="86" s="1"/>
  <c r="G82" i="86"/>
  <c r="K9" i="37"/>
  <c r="H69" i="86"/>
  <c r="K69" i="86" s="1"/>
  <c r="L16" i="37"/>
  <c r="H137" i="86"/>
  <c r="K137" i="86" s="1"/>
  <c r="G6" i="86"/>
  <c r="G166" i="86"/>
  <c r="J166" i="86" s="1"/>
  <c r="G35" i="86"/>
  <c r="J35" i="86" s="1"/>
  <c r="K10" i="37"/>
  <c r="H99" i="86"/>
  <c r="K99" i="86" s="1"/>
  <c r="L8" i="37"/>
  <c r="H139" i="86"/>
  <c r="K139" i="86" s="1"/>
  <c r="H25" i="86"/>
  <c r="K25" i="86" s="1"/>
  <c r="H168" i="86"/>
  <c r="K168" i="86" s="1"/>
  <c r="H55" i="86"/>
  <c r="K55" i="86" s="1"/>
  <c r="N26" i="37"/>
  <c r="N9" i="37"/>
  <c r="N19" i="37"/>
  <c r="H67" i="86"/>
  <c r="K67" i="86" s="1"/>
  <c r="H135" i="86"/>
  <c r="K135" i="86" s="1"/>
  <c r="H149" i="86"/>
  <c r="K149" i="86" s="1"/>
  <c r="H150" i="86"/>
  <c r="K150" i="86" s="1"/>
  <c r="L14" i="37"/>
  <c r="H20" i="86"/>
  <c r="K20" i="86" s="1"/>
  <c r="H163" i="86"/>
  <c r="K163" i="86" s="1"/>
  <c r="H33" i="86"/>
  <c r="K33" i="86" s="1"/>
  <c r="H78" i="86"/>
  <c r="K78" i="86" s="1"/>
  <c r="H6" i="86"/>
  <c r="K6" i="86" s="1"/>
  <c r="H166" i="86"/>
  <c r="K166" i="86" s="1"/>
  <c r="L17" i="37"/>
  <c r="H34" i="86"/>
  <c r="K34" i="86" s="1"/>
  <c r="H93" i="86"/>
  <c r="K93" i="86" s="1"/>
  <c r="H23" i="86"/>
  <c r="K23" i="86" s="1"/>
  <c r="H136" i="86"/>
  <c r="K136" i="86" s="1"/>
  <c r="H143" i="86"/>
  <c r="K143" i="86" s="1"/>
  <c r="J18" i="37"/>
  <c r="I28" i="37"/>
  <c r="D53" i="37"/>
  <c r="G53" i="37" s="1"/>
  <c r="G70" i="86"/>
  <c r="G68" i="86"/>
  <c r="J68" i="86" s="1"/>
  <c r="H144" i="86"/>
  <c r="K144" i="86" s="1"/>
  <c r="K14" i="37"/>
  <c r="K27" i="37"/>
  <c r="I21" i="37"/>
  <c r="L28" i="37"/>
  <c r="K20" i="37"/>
  <c r="H21" i="86"/>
  <c r="K21" i="86" s="1"/>
  <c r="G37" i="86"/>
  <c r="J37" i="86" s="1"/>
  <c r="L23" i="37"/>
  <c r="H15" i="86"/>
  <c r="K15" i="86" s="1"/>
  <c r="H30" i="86"/>
  <c r="K30" i="86" s="1"/>
  <c r="AG24" i="66"/>
  <c r="Z24" i="66" s="1"/>
  <c r="M21" i="36"/>
  <c r="O15" i="36"/>
  <c r="M22" i="36"/>
  <c r="M27" i="36"/>
  <c r="O27" i="36"/>
  <c r="O18" i="36"/>
  <c r="O16" i="36"/>
  <c r="M20" i="36"/>
  <c r="O8" i="36"/>
  <c r="M25" i="36"/>
  <c r="M16" i="86"/>
  <c r="M53" i="86"/>
  <c r="M26" i="86"/>
  <c r="M47" i="86"/>
  <c r="M108" i="86"/>
  <c r="M45" i="86"/>
  <c r="M38" i="86"/>
  <c r="M77" i="86"/>
  <c r="M41" i="86"/>
  <c r="M110" i="86"/>
  <c r="M119" i="86"/>
  <c r="G19" i="43"/>
  <c r="O15" i="43"/>
  <c r="P15" i="43" s="1"/>
  <c r="O14" i="43"/>
  <c r="AD21" i="43" s="1"/>
  <c r="AE21" i="43" s="1"/>
  <c r="F18" i="43"/>
  <c r="G18" i="43" s="1"/>
  <c r="J18" i="43" s="1"/>
  <c r="J138" i="86"/>
  <c r="M138" i="86"/>
  <c r="F16" i="43"/>
  <c r="J42" i="86"/>
  <c r="M42" i="86"/>
  <c r="M122" i="86"/>
  <c r="M109" i="86"/>
  <c r="J109" i="86"/>
  <c r="M52" i="86"/>
  <c r="J52" i="86"/>
  <c r="J105" i="86"/>
  <c r="M105" i="86"/>
  <c r="M123" i="86"/>
  <c r="J123" i="86"/>
  <c r="J43" i="86"/>
  <c r="J31" i="86"/>
  <c r="M31" i="86"/>
  <c r="M7" i="86"/>
  <c r="M125" i="86"/>
  <c r="J125" i="86"/>
  <c r="J104" i="86"/>
  <c r="M104" i="86"/>
  <c r="M61" i="86"/>
  <c r="J61" i="86"/>
  <c r="J84" i="86"/>
  <c r="M84" i="86"/>
  <c r="J133" i="86"/>
  <c r="M133" i="86"/>
  <c r="J75" i="86"/>
  <c r="M75" i="86"/>
  <c r="J76" i="86"/>
  <c r="M76" i="86"/>
  <c r="F17" i="43"/>
  <c r="G17" i="43" s="1"/>
  <c r="J17" i="43" s="1"/>
  <c r="M118" i="86"/>
  <c r="M49" i="86"/>
  <c r="M132" i="86"/>
  <c r="J132" i="86"/>
  <c r="M46" i="86"/>
  <c r="M48" i="86"/>
  <c r="M145" i="86"/>
  <c r="J122" i="86"/>
  <c r="J154" i="86"/>
  <c r="M154" i="86"/>
  <c r="J86" i="86"/>
  <c r="M86" i="86"/>
  <c r="M74" i="86"/>
  <c r="J39" i="86"/>
  <c r="J73" i="86"/>
  <c r="M73" i="86"/>
  <c r="M81" i="86"/>
  <c r="M161" i="86"/>
  <c r="F40" i="40"/>
  <c r="J34" i="40" l="1"/>
  <c r="I35" i="40"/>
  <c r="J37" i="40"/>
  <c r="J35" i="40"/>
  <c r="I36" i="40"/>
  <c r="I37" i="40"/>
  <c r="J36" i="40"/>
  <c r="J33" i="40"/>
  <c r="I34" i="40"/>
  <c r="I33" i="40"/>
  <c r="S15" i="43"/>
  <c r="M28" i="36"/>
  <c r="M58" i="86"/>
  <c r="M19" i="86"/>
  <c r="M71" i="86"/>
  <c r="M51" i="86"/>
  <c r="M50" i="86"/>
  <c r="M164" i="86"/>
  <c r="M63" i="86"/>
  <c r="M151" i="86"/>
  <c r="M9" i="86"/>
  <c r="M113" i="86"/>
  <c r="M87" i="86"/>
  <c r="M115" i="86"/>
  <c r="M3" i="86"/>
  <c r="Z19" i="43"/>
  <c r="AA19" i="43" s="1"/>
  <c r="J19" i="43"/>
  <c r="M60" i="86"/>
  <c r="M40" i="86"/>
  <c r="M44" i="86"/>
  <c r="M62" i="86"/>
  <c r="M146" i="86"/>
  <c r="M5" i="86"/>
  <c r="M111" i="86"/>
  <c r="M94" i="86"/>
  <c r="M8" i="86"/>
  <c r="M101" i="86"/>
  <c r="M155" i="86"/>
  <c r="M120" i="86"/>
  <c r="M147" i="86"/>
  <c r="M90" i="86"/>
  <c r="M127" i="86"/>
  <c r="M66" i="86"/>
  <c r="J146" i="86"/>
  <c r="J113" i="86"/>
  <c r="J90" i="86"/>
  <c r="M32" i="86"/>
  <c r="M158" i="86"/>
  <c r="M129" i="86"/>
  <c r="M148" i="86"/>
  <c r="M64" i="86"/>
  <c r="M82" i="86"/>
  <c r="D29" i="37"/>
  <c r="G29" i="37"/>
  <c r="J147" i="86"/>
  <c r="M89" i="86"/>
  <c r="M131" i="86"/>
  <c r="M134" i="86"/>
  <c r="M117" i="86"/>
  <c r="M65" i="86"/>
  <c r="M22" i="86"/>
  <c r="M83" i="86"/>
  <c r="M43" i="86"/>
  <c r="J148" i="86"/>
  <c r="M124" i="86"/>
  <c r="H29" i="37"/>
  <c r="M156" i="86"/>
  <c r="M141" i="86"/>
  <c r="M11" i="86"/>
  <c r="M167" i="86"/>
  <c r="M152" i="86"/>
  <c r="M4" i="86"/>
  <c r="M70" i="86"/>
  <c r="M72" i="86"/>
  <c r="O54" i="37"/>
  <c r="E29" i="37"/>
  <c r="J141" i="86"/>
  <c r="M85" i="86"/>
  <c r="M29" i="37"/>
  <c r="M17" i="86"/>
  <c r="M88" i="86"/>
  <c r="M126" i="86"/>
  <c r="M54" i="86"/>
  <c r="M36" i="86"/>
  <c r="M56" i="86"/>
  <c r="M13" i="86"/>
  <c r="M59" i="86"/>
  <c r="F29" i="37"/>
  <c r="M12" i="86"/>
  <c r="M160" i="86"/>
  <c r="J117" i="86"/>
  <c r="M102" i="86"/>
  <c r="M14" i="86"/>
  <c r="M39" i="86"/>
  <c r="J155" i="86"/>
  <c r="M140" i="86"/>
  <c r="M57" i="86"/>
  <c r="L54" i="37"/>
  <c r="I29" i="37"/>
  <c r="M10" i="86"/>
  <c r="M112" i="86"/>
  <c r="M80" i="86"/>
  <c r="M92" i="86"/>
  <c r="M29" i="86"/>
  <c r="J29" i="37"/>
  <c r="J112" i="86"/>
  <c r="K54" i="37"/>
  <c r="M142" i="86"/>
  <c r="M2" i="86"/>
  <c r="M116" i="86"/>
  <c r="J10" i="86"/>
  <c r="M153" i="86"/>
  <c r="M100" i="86"/>
  <c r="M55" i="86"/>
  <c r="M106" i="86"/>
  <c r="H54" i="37"/>
  <c r="K29" i="37"/>
  <c r="N29" i="37"/>
  <c r="M114" i="86"/>
  <c r="M69" i="86"/>
  <c r="M98" i="86"/>
  <c r="M165" i="86"/>
  <c r="M103" i="86"/>
  <c r="M97" i="86"/>
  <c r="M107" i="86"/>
  <c r="M91" i="86"/>
  <c r="J9" i="86"/>
  <c r="M121" i="86"/>
  <c r="M67" i="86"/>
  <c r="M159" i="86"/>
  <c r="M18" i="86"/>
  <c r="M28" i="86"/>
  <c r="M143" i="86"/>
  <c r="M27" i="86"/>
  <c r="M96" i="86"/>
  <c r="L29" i="37"/>
  <c r="M24" i="86"/>
  <c r="D54" i="37"/>
  <c r="M37" i="86"/>
  <c r="M139" i="86"/>
  <c r="M157" i="86"/>
  <c r="M79" i="86"/>
  <c r="M93" i="86"/>
  <c r="M33" i="86"/>
  <c r="M130" i="86"/>
  <c r="M162" i="86"/>
  <c r="M35" i="86"/>
  <c r="M135" i="86"/>
  <c r="M136" i="86"/>
  <c r="M20" i="86"/>
  <c r="M21" i="86"/>
  <c r="M68" i="86"/>
  <c r="M144" i="86"/>
  <c r="J70" i="86"/>
  <c r="M6" i="86"/>
  <c r="J82" i="86"/>
  <c r="M166" i="86"/>
  <c r="J6" i="86"/>
  <c r="J92" i="86"/>
  <c r="G54" i="37"/>
  <c r="M34" i="86"/>
  <c r="M168" i="86"/>
  <c r="M149" i="86"/>
  <c r="M150" i="86"/>
  <c r="M99" i="86"/>
  <c r="M128" i="86"/>
  <c r="M163" i="86"/>
  <c r="M95" i="86"/>
  <c r="M15" i="86"/>
  <c r="M23" i="86"/>
  <c r="M137" i="86"/>
  <c r="M25" i="86"/>
  <c r="M78" i="86"/>
  <c r="M30" i="86"/>
  <c r="Z22" i="43"/>
  <c r="AA22" i="43" s="1"/>
  <c r="AD22" i="43"/>
  <c r="AE22" i="43" s="1"/>
  <c r="AD15" i="43"/>
  <c r="AE15" i="43" s="1"/>
  <c r="Z15" i="43"/>
  <c r="AA15" i="43" s="1"/>
  <c r="Z17" i="43"/>
  <c r="AA17" i="43" s="1"/>
  <c r="AD19" i="43"/>
  <c r="AE19" i="43" s="1"/>
  <c r="AD17" i="43"/>
  <c r="AE17" i="43" s="1"/>
  <c r="AD14" i="43"/>
  <c r="AE14" i="43" s="1"/>
  <c r="P14" i="43"/>
  <c r="S14" i="43" s="1"/>
  <c r="P13" i="43"/>
  <c r="AD18" i="43"/>
  <c r="AE18" i="43" s="1"/>
  <c r="Z18" i="43"/>
  <c r="AA18" i="43" s="1"/>
  <c r="AD13" i="43"/>
  <c r="AE13" i="43" s="1"/>
  <c r="G16" i="43"/>
  <c r="AD16" i="43"/>
  <c r="AE16" i="43" s="1"/>
  <c r="Z13" i="43"/>
  <c r="AA13" i="43" s="1"/>
  <c r="Z14" i="43"/>
  <c r="AA14" i="43" s="1"/>
  <c r="J40" i="40" l="1"/>
  <c r="Z20" i="43"/>
  <c r="AA20" i="43" s="1"/>
  <c r="S13" i="43"/>
  <c r="Z21" i="43"/>
  <c r="AA21" i="43" s="1"/>
  <c r="Z16" i="43"/>
  <c r="AA16" i="43" s="1"/>
  <c r="J16" i="43"/>
  <c r="C10" i="37"/>
  <c r="C36" i="37"/>
  <c r="S35" i="14"/>
  <c r="C9" i="36"/>
  <c r="P9" i="36" s="1"/>
  <c r="L9" i="36" s="1"/>
  <c r="O9" i="36" l="1"/>
  <c r="F80" i="86"/>
  <c r="S193" i="14"/>
  <c r="F126" i="86"/>
  <c r="AM21" i="40"/>
  <c r="AM28" i="40" s="1"/>
  <c r="J28" i="40" s="1"/>
  <c r="AO21" i="40"/>
  <c r="AO28" i="40" s="1"/>
  <c r="L28" i="40" s="1"/>
  <c r="AL50" i="40"/>
  <c r="AL57" i="40" s="1"/>
  <c r="I27" i="40" s="1"/>
  <c r="C22" i="37"/>
  <c r="C29" i="37" s="1"/>
  <c r="C47" i="37"/>
  <c r="C54" i="37" s="1"/>
  <c r="AN21" i="40"/>
  <c r="AN28" i="40" s="1"/>
  <c r="AL21" i="40"/>
  <c r="AL28" i="40" s="1"/>
  <c r="C21" i="36"/>
  <c r="C28" i="36" s="1"/>
  <c r="E26" i="40"/>
  <c r="Y17" i="66" s="1"/>
  <c r="AM50" i="40"/>
  <c r="AM57" i="40" s="1"/>
  <c r="J27" i="40" s="1"/>
  <c r="I32" i="40"/>
  <c r="I40" i="40" s="1"/>
  <c r="AN50" i="40"/>
  <c r="AN57" i="40" s="1"/>
  <c r="K27" i="40" s="1"/>
  <c r="AP49" i="40"/>
  <c r="AQ50" i="40" s="1"/>
  <c r="S162" i="14"/>
  <c r="AO50" i="40"/>
  <c r="AO57" i="40" s="1"/>
  <c r="L27" i="40" s="1"/>
  <c r="AP57" i="40" l="1"/>
  <c r="M27" i="40" s="1"/>
  <c r="P21" i="36"/>
  <c r="L21" i="36" s="1"/>
  <c r="L28" i="36" s="1"/>
  <c r="AQ51" i="40"/>
  <c r="AQ58" i="40" s="1"/>
  <c r="I28" i="40"/>
  <c r="K28" i="40"/>
  <c r="Y24" i="66"/>
  <c r="AA24" i="66" s="1"/>
  <c r="E33" i="40"/>
  <c r="AP26" i="40"/>
  <c r="AN29" i="40" s="1"/>
  <c r="O21" i="36" l="1"/>
  <c r="O28" i="36" s="1"/>
  <c r="AB24" i="66"/>
  <c r="AD24" i="66"/>
  <c r="AM29" i="40"/>
  <c r="AO29" i="40"/>
  <c r="AC24" i="66"/>
  <c r="AL29" i="40"/>
</calcChain>
</file>

<file path=xl/sharedStrings.xml><?xml version="1.0" encoding="utf-8"?>
<sst xmlns="http://schemas.openxmlformats.org/spreadsheetml/2006/main" count="18096" uniqueCount="1522">
  <si>
    <t>Township</t>
  </si>
  <si>
    <t>Longitude</t>
  </si>
  <si>
    <t>HH</t>
  </si>
  <si>
    <t>Total</t>
  </si>
  <si>
    <t>MMR001CMP050</t>
  </si>
  <si>
    <t>Bhamo</t>
  </si>
  <si>
    <t>AD-2000 Tharthana Compound</t>
  </si>
  <si>
    <t>MMR001CMP051</t>
  </si>
  <si>
    <t>Mu-yin Baptist Church</t>
  </si>
  <si>
    <t>MMR001CMP153</t>
  </si>
  <si>
    <t>Daw Hpum Yang Ninghtawn</t>
  </si>
  <si>
    <t>MMR001CMP163</t>
  </si>
  <si>
    <t>Host Families</t>
  </si>
  <si>
    <t>MMR001CMP052</t>
  </si>
  <si>
    <t>Htoi San Church</t>
  </si>
  <si>
    <t>MMR001CMP048</t>
  </si>
  <si>
    <t>Kannar Yeik Thar</t>
  </si>
  <si>
    <t>MMR001CMP049</t>
  </si>
  <si>
    <t>Lisu Boarding-House</t>
  </si>
  <si>
    <t>MMR001CMP054</t>
  </si>
  <si>
    <t>Nant Hlaing Church</t>
  </si>
  <si>
    <t>MMR001CMP047</t>
  </si>
  <si>
    <t>Robert Church</t>
  </si>
  <si>
    <t>MMR001CMP055</t>
  </si>
  <si>
    <t>Ta Gun Taing Monastery (Shwe Kyi Na)</t>
  </si>
  <si>
    <t>MMR001CMP053</t>
  </si>
  <si>
    <t>Yoe Kyi Monastery</t>
  </si>
  <si>
    <t>Chipwi</t>
  </si>
  <si>
    <t>Chipwi KBC camp</t>
  </si>
  <si>
    <t>MMR001CMP043</t>
  </si>
  <si>
    <t>MMR001CMP042</t>
  </si>
  <si>
    <t>MMR001CMP046</t>
  </si>
  <si>
    <t>Gant Gwin</t>
  </si>
  <si>
    <t>MMR001CMP045</t>
  </si>
  <si>
    <t xml:space="preserve">Lan Jaw </t>
  </si>
  <si>
    <t>Lawk Hkawng Ginwang</t>
  </si>
  <si>
    <t>MMR001CMP044</t>
  </si>
  <si>
    <t>Women's Affairs Association Building</t>
  </si>
  <si>
    <t>MMR001CMP173</t>
  </si>
  <si>
    <t>Anglican Church, Hmaw Si Sar</t>
  </si>
  <si>
    <t>MMR001CMP176</t>
  </si>
  <si>
    <t>AG Church, Hmaw Si Sa</t>
  </si>
  <si>
    <t>MMR001CMP190</t>
  </si>
  <si>
    <t>AG Church, Maw Wan</t>
  </si>
  <si>
    <t>Hmaw Wan, Anglican</t>
  </si>
  <si>
    <t>MMR001CMP191</t>
  </si>
  <si>
    <t>MMR001CMP192</t>
  </si>
  <si>
    <t>MMR001CMP170</t>
  </si>
  <si>
    <t>Away Yar Rama Monastery, Ka Day village</t>
  </si>
  <si>
    <t>MMR001CMP092</t>
  </si>
  <si>
    <t xml:space="preserve">Aye Mya Tharyar Church of Christ </t>
  </si>
  <si>
    <t>MMR001CMP169</t>
  </si>
  <si>
    <t>Baptist Church, Hmaw Si Sar(Lon Khin)</t>
  </si>
  <si>
    <t>MMR001CMP094</t>
  </si>
  <si>
    <t>Mashi Kahtawng Baptist  Church</t>
  </si>
  <si>
    <t>MMR001CMP189</t>
  </si>
  <si>
    <t>Hmaw Wan, Baptist Christian Church</t>
  </si>
  <si>
    <t>MMR001CMP188</t>
  </si>
  <si>
    <t>Baptist Church, Naung Hmee VT</t>
  </si>
  <si>
    <t>MMR001CMP172</t>
  </si>
  <si>
    <t>Baptist Church, Sai Ra village</t>
  </si>
  <si>
    <t>MMR001CMP179</t>
  </si>
  <si>
    <t>5 Ward Baptist Church(lon Khin)</t>
  </si>
  <si>
    <t>MMR001CMP185</t>
  </si>
  <si>
    <t>Ward 2 Cahotlic Church, Seik Mu</t>
  </si>
  <si>
    <t>MMR001CMP093</t>
  </si>
  <si>
    <t>Mashi Kahtawng Catholic Church</t>
  </si>
  <si>
    <t>MMR001CMP090</t>
  </si>
  <si>
    <t>Maw Wan, Catholic Church</t>
  </si>
  <si>
    <t>MMR001CMP086</t>
  </si>
  <si>
    <t>Chin(Zomi) Baptist Church</t>
  </si>
  <si>
    <t>MMR001CMP109</t>
  </si>
  <si>
    <t>Chin Church, Seik Mu</t>
  </si>
  <si>
    <t>MMR001CMP175</t>
  </si>
  <si>
    <t>Wrad(5) Christian Association</t>
  </si>
  <si>
    <t>MMR001CMP174</t>
  </si>
  <si>
    <t>Dhama Rakhita, Nyein Chan Tar Yar Ward(Lon Khin)</t>
  </si>
  <si>
    <t>MMR001CMP180</t>
  </si>
  <si>
    <t>Ei Wan Gali Asso., Ward 1, Seik Mu</t>
  </si>
  <si>
    <t>MMR001CMP096</t>
  </si>
  <si>
    <t>Mashi Kahtawng Evangelical Church</t>
  </si>
  <si>
    <t>MMR001CMP186</t>
  </si>
  <si>
    <t>Free Christian Asso., Ward 1, Seik Mu</t>
  </si>
  <si>
    <t>MMR001CMP085</t>
  </si>
  <si>
    <t>Maw Wan, Kachin Baptist Church</t>
  </si>
  <si>
    <t>MMR001CMP084</t>
  </si>
  <si>
    <t>Maw Wan, Kyauk Hlaing Gu Pagoda Compound</t>
  </si>
  <si>
    <t>MMR001CMP148</t>
  </si>
  <si>
    <t>Hlaing Naung Baptist</t>
  </si>
  <si>
    <t>MMR001CMP181</t>
  </si>
  <si>
    <t>Lisu Baptist Church, Maw Shan Vil,. Seik Mu</t>
  </si>
  <si>
    <t>MMR001CMP167</t>
  </si>
  <si>
    <t>Lisu Baptist Church, Maw Wan Ward</t>
  </si>
  <si>
    <t>MMR001CMP107</t>
  </si>
  <si>
    <t>Ma Mon Buddhist Monastery</t>
  </si>
  <si>
    <t>MMR001CMP104</t>
  </si>
  <si>
    <t>San Kyel, Masoe Yein Monestry</t>
  </si>
  <si>
    <t>MMR001CMP178</t>
  </si>
  <si>
    <t>May Di Ka Rama Monastery(Lon Khin)</t>
  </si>
  <si>
    <t>MMR001CMP091</t>
  </si>
  <si>
    <t>Maw Wan, Mu-yin Baptist Church</t>
  </si>
  <si>
    <t>MMR001CMP098</t>
  </si>
  <si>
    <t>Mashi Kahtawng Municipal Dammar Yone</t>
  </si>
  <si>
    <t>MMR001CMP088</t>
  </si>
  <si>
    <t>Maw Wan, Myo Oo Pagoda</t>
  </si>
  <si>
    <t>MMR001CMP099</t>
  </si>
  <si>
    <t>Mashi Kahtawng Myo Oo Taw Ya Monestry</t>
  </si>
  <si>
    <t>MMR001CMP103</t>
  </si>
  <si>
    <t>Nant Ma Hpit Catholic Church</t>
  </si>
  <si>
    <t>MMR001CMP082</t>
  </si>
  <si>
    <t xml:space="preserve">Nga Pyaw Taw Baptist Nursery School </t>
  </si>
  <si>
    <t>MMR001CMP083</t>
  </si>
  <si>
    <t>Nga Pyaw Taw Roman Catholic Church</t>
  </si>
  <si>
    <t>MMR001CMP102</t>
  </si>
  <si>
    <t>Parami, Charity Office, MyoMa Quarter</t>
  </si>
  <si>
    <t>MMR001CMP095</t>
  </si>
  <si>
    <t>Mashi Kahtawng Rakhine traditional group</t>
  </si>
  <si>
    <t>MMR001CMP182</t>
  </si>
  <si>
    <t>Rawan Baptist Church, Maw Shan Vil., Seik Mu</t>
  </si>
  <si>
    <t>MMR001CMP168</t>
  </si>
  <si>
    <t>5 Ward RC Church(lon Khin)</t>
  </si>
  <si>
    <t>MMR001CMP108</t>
  </si>
  <si>
    <t>Sa Baw Sarsana Parla Monastery</t>
  </si>
  <si>
    <t>MMR001CMP183</t>
  </si>
  <si>
    <t>Sai Nai Baptish Church, Maw Shan Vil., Seki Mu</t>
  </si>
  <si>
    <t>MMR001CMP184</t>
  </si>
  <si>
    <t xml:space="preserve">Ward 2 Sai Taung Baptist Church, Seik Mu </t>
  </si>
  <si>
    <t>MMR001CMP171</t>
  </si>
  <si>
    <t>1 Ward, Sein Yadanar Company(Lon Khin)</t>
  </si>
  <si>
    <t>MMR001CMP100</t>
  </si>
  <si>
    <t>Mashi Kahtawng Shan Traditional Monestry</t>
  </si>
  <si>
    <t>MMR001CMP110</t>
  </si>
  <si>
    <t>Tar Ma Hkan Buddhist Monastery, Haung Par</t>
  </si>
  <si>
    <t>MMR001CMP101</t>
  </si>
  <si>
    <t>Thiri Mingalar Manizay Yone, Myoma Quarter</t>
  </si>
  <si>
    <t>MMR001CMP106</t>
  </si>
  <si>
    <t>Maw Si Zar, Thiriyardanar Sein, Damma Compound, Lone Khin</t>
  </si>
  <si>
    <t>MMR001CMP097</t>
  </si>
  <si>
    <t>Mashi Kahtawng Yaung Chi Oo Thi la shin Monestry</t>
  </si>
  <si>
    <t>MMR001CMP105</t>
  </si>
  <si>
    <t>Yumar Baptist Church</t>
  </si>
  <si>
    <t>MMR001CMP177</t>
  </si>
  <si>
    <t>Muring Baptist Church, Awng Ra, Wa Ra Zut VT</t>
  </si>
  <si>
    <t>MMR001CMP074</t>
  </si>
  <si>
    <t>Khaunglanhpu</t>
  </si>
  <si>
    <t>La Ja</t>
  </si>
  <si>
    <t>Kutkai</t>
  </si>
  <si>
    <t>MMR015CMP006</t>
  </si>
  <si>
    <t>MMR015CMP007</t>
  </si>
  <si>
    <t xml:space="preserve">Nam Hpak Ka Mare </t>
  </si>
  <si>
    <t>MMR001CMP066</t>
  </si>
  <si>
    <t>Mansi</t>
  </si>
  <si>
    <t>Mansi Baptist Church</t>
  </si>
  <si>
    <t>MMR001CMP132</t>
  </si>
  <si>
    <t>Man Wing Catholic Church</t>
  </si>
  <si>
    <t>MMR001CMP134</t>
  </si>
  <si>
    <t>Man Wing Host Families</t>
  </si>
  <si>
    <t>MMR001CMP135</t>
  </si>
  <si>
    <t>Lung Kawk  ( Hka Hkye Zup)</t>
  </si>
  <si>
    <t>MMR001CMP133</t>
  </si>
  <si>
    <t>Man Wing Baptist Church</t>
  </si>
  <si>
    <t>MMR001CMP136</t>
  </si>
  <si>
    <t>Nam Hka Mare (west of Man Wing)</t>
  </si>
  <si>
    <t>MMR001CMP137</t>
  </si>
  <si>
    <t>Nam Lim Pa - Scattered IDPs in forest</t>
  </si>
  <si>
    <t>MMR015CMP009</t>
  </si>
  <si>
    <t>Manton</t>
  </si>
  <si>
    <t>Mandung - Jinghpaw</t>
  </si>
  <si>
    <t>MMR015CMP010</t>
  </si>
  <si>
    <t>Howa</t>
  </si>
  <si>
    <t>MMR015CMP011</t>
  </si>
  <si>
    <t>Nam Hkyet</t>
  </si>
  <si>
    <t>MMR001CMP078</t>
  </si>
  <si>
    <t>Mogaung</t>
  </si>
  <si>
    <t xml:space="preserve">Kyun Taw Baptist Church </t>
  </si>
  <si>
    <t>MMR001CMP077</t>
  </si>
  <si>
    <t>Mang Hawng Baptist Church</t>
  </si>
  <si>
    <t>MMR001CMP079</t>
  </si>
  <si>
    <t xml:space="preserve">Nat Gyi Kone Baptist Church </t>
  </si>
  <si>
    <t>MMR001CMP080</t>
  </si>
  <si>
    <t>Mohnyin</t>
  </si>
  <si>
    <t xml:space="preserve">St. Patrick Catholic Church </t>
  </si>
  <si>
    <t>MMR001CMP081</t>
  </si>
  <si>
    <t>Nant Mun</t>
  </si>
  <si>
    <t>MMR001CMP071</t>
  </si>
  <si>
    <t>Momauk</t>
  </si>
  <si>
    <t>Loi Je Baptist Church</t>
  </si>
  <si>
    <t>MMR001CMP129</t>
  </si>
  <si>
    <t xml:space="preserve">Bum Tsit Pa </t>
  </si>
  <si>
    <t>MMR001CMP070</t>
  </si>
  <si>
    <t>Loi Je Lisu Camp</t>
  </si>
  <si>
    <t>MMR001CMP123</t>
  </si>
  <si>
    <t xml:space="preserve">Dum Bung </t>
  </si>
  <si>
    <t>MMR001CMP122</t>
  </si>
  <si>
    <t xml:space="preserve">Hpun Lum Yang </t>
  </si>
  <si>
    <t>MMR001CMP121</t>
  </si>
  <si>
    <t xml:space="preserve">Je Yang Hka </t>
  </si>
  <si>
    <t>MMR001CMP128</t>
  </si>
  <si>
    <t xml:space="preserve">Lana Zup Ja </t>
  </si>
  <si>
    <t>MMR001CMP064</t>
  </si>
  <si>
    <t xml:space="preserve">Mai Khat </t>
  </si>
  <si>
    <t>MMR001CMP062</t>
  </si>
  <si>
    <t>Man Bung Catholic compound</t>
  </si>
  <si>
    <t>MMR001CMP063</t>
  </si>
  <si>
    <t xml:space="preserve">Man Nawng </t>
  </si>
  <si>
    <t>Man Ting</t>
  </si>
  <si>
    <t>MMR001CMP058</t>
  </si>
  <si>
    <t>Mandalay Monestry</t>
  </si>
  <si>
    <t>MMR001CMP056</t>
  </si>
  <si>
    <t>Momauk Baptist Church</t>
  </si>
  <si>
    <t>MMR001CMP057</t>
  </si>
  <si>
    <t>Momauk Catholic Church (St. Patrick)</t>
  </si>
  <si>
    <t>MMR001CMP061</t>
  </si>
  <si>
    <t xml:space="preserve">Myo Thit </t>
  </si>
  <si>
    <t>MMR001CMP131</t>
  </si>
  <si>
    <t xml:space="preserve">Nhkawng Pa </t>
  </si>
  <si>
    <t>MMR001CMP059</t>
  </si>
  <si>
    <t>Ni Thaw Ka Monestry</t>
  </si>
  <si>
    <t>MMR001CMP126</t>
  </si>
  <si>
    <t xml:space="preserve">Pa Kahtawng </t>
  </si>
  <si>
    <t>MMR001CMP065</t>
  </si>
  <si>
    <t xml:space="preserve">Phar Kay/Nant Waing </t>
  </si>
  <si>
    <t>MMR001CMP069</t>
  </si>
  <si>
    <t>Loi Je Catholic Church</t>
  </si>
  <si>
    <t>MMR001CMP073</t>
  </si>
  <si>
    <t xml:space="preserve">Seng Ja </t>
  </si>
  <si>
    <t>MMR001CMP060</t>
  </si>
  <si>
    <t xml:space="preserve">Tarli </t>
  </si>
  <si>
    <t>MMR001CMP072</t>
  </si>
  <si>
    <t xml:space="preserve">Nyaung Na Pin </t>
  </si>
  <si>
    <t>Muse</t>
  </si>
  <si>
    <t>Hpai Kawng Mare</t>
  </si>
  <si>
    <t>MMR015CMP012</t>
  </si>
  <si>
    <t xml:space="preserve">Munekoe Pa (Giwang) - Hka San (Mung  Go  Pa ) </t>
  </si>
  <si>
    <t>MMR015CMP005</t>
  </si>
  <si>
    <t xml:space="preserve">Mung Baw </t>
  </si>
  <si>
    <t>MMR001CMP001</t>
  </si>
  <si>
    <t>Myitkyina</t>
  </si>
  <si>
    <t>Tat Kone Baptist Church</t>
  </si>
  <si>
    <t>MMR001CMP015</t>
  </si>
  <si>
    <t>Le Kone Bethlehem Church</t>
  </si>
  <si>
    <t>MMR001CMP023</t>
  </si>
  <si>
    <t>MMR001CMP012</t>
  </si>
  <si>
    <t>Du Kahtawng Qtr. 14</t>
  </si>
  <si>
    <t>MMR001CMP010</t>
  </si>
  <si>
    <t>Du Kahtawng Qtr. 4</t>
  </si>
  <si>
    <t>MMR001CMP011</t>
  </si>
  <si>
    <t>Du Kahtawng Qtr. 5</t>
  </si>
  <si>
    <t>MMR001CMP004</t>
  </si>
  <si>
    <t>Tat Kone Emanuel Church</t>
  </si>
  <si>
    <t>MMR001CMP003</t>
  </si>
  <si>
    <t>Tat Kone Galile Baptist Church</t>
  </si>
  <si>
    <t>MMR001CMP018</t>
  </si>
  <si>
    <t>Jan Mai Kawng Baptist Church</t>
  </si>
  <si>
    <t>MMR001CMP019</t>
  </si>
  <si>
    <t>Jan Mai Kawng Catholic Church</t>
  </si>
  <si>
    <t>MMR001CMP013</t>
  </si>
  <si>
    <t>Kyun Pin Thar Baptist Church</t>
  </si>
  <si>
    <t>MMR001CMP016</t>
  </si>
  <si>
    <t>Maliyang Baptist Church</t>
  </si>
  <si>
    <t>MMR001CMP008</t>
  </si>
  <si>
    <t>Man Hkring Baptist Church</t>
  </si>
  <si>
    <t>MMR001CMP020</t>
  </si>
  <si>
    <t>Maw Hpawng Hka Nan Baptist Church</t>
  </si>
  <si>
    <t>MMR001CMP021</t>
  </si>
  <si>
    <t>Maw Hpawng Lhaovo Baptist Church</t>
  </si>
  <si>
    <t>MMR001CMP017</t>
  </si>
  <si>
    <t>Myay Myint Baptist Church</t>
  </si>
  <si>
    <t>MMR001CMP002</t>
  </si>
  <si>
    <t xml:space="preserve">Njang Dung Baptist Church </t>
  </si>
  <si>
    <t>MMR001CMP024</t>
  </si>
  <si>
    <t>Nan Kway St. John Catholic Church</t>
  </si>
  <si>
    <t>MMR001CMP162</t>
  </si>
  <si>
    <t>Pa Dauk Myaing(Pa La Na)</t>
  </si>
  <si>
    <t>MMR001CMP005</t>
  </si>
  <si>
    <t>Tat Kone San Pya Baptist Church</t>
  </si>
  <si>
    <t>MMR001CMP006</t>
  </si>
  <si>
    <t>Shatapru Sut Ngai Tawng</t>
  </si>
  <si>
    <t>MMR001CMP007</t>
  </si>
  <si>
    <t>Shatapru Thida Aye Baptist Church</t>
  </si>
  <si>
    <t>MMR001CMP009</t>
  </si>
  <si>
    <t>Shwe Zet Baptist Church</t>
  </si>
  <si>
    <t>MMR001CMP022</t>
  </si>
  <si>
    <t>Wun Tho Buddhist Monastery</t>
  </si>
  <si>
    <t>MMR001CMP014</t>
  </si>
  <si>
    <t xml:space="preserve">Le Kone Ziun Baptist Church </t>
  </si>
  <si>
    <t>MMR001CMP152</t>
  </si>
  <si>
    <t xml:space="preserve">Nawng Ing (Indawgyi) Baptist Church  </t>
  </si>
  <si>
    <t>MMR015CMP001</t>
  </si>
  <si>
    <t>Namhkan</t>
  </si>
  <si>
    <t>Nam Hkam (KBC Jaw Wang)</t>
  </si>
  <si>
    <t>MMR015CMP004</t>
  </si>
  <si>
    <t>Nam Hkam - Nay Win Ni (Palawng)</t>
  </si>
  <si>
    <t>MMR015CMP002</t>
  </si>
  <si>
    <t xml:space="preserve">Nam Hkam Malut Jak </t>
  </si>
  <si>
    <t>MMR015CMP003</t>
  </si>
  <si>
    <t xml:space="preserve">Mung Ding Pa </t>
  </si>
  <si>
    <t>MMR015CMP014</t>
  </si>
  <si>
    <t>Namtu</t>
  </si>
  <si>
    <t>MMR001CMP075</t>
  </si>
  <si>
    <t>Puta-O</t>
  </si>
  <si>
    <t>Tote Tan Ward</t>
  </si>
  <si>
    <t>Shwegu</t>
  </si>
  <si>
    <t>MMR001CMP147</t>
  </si>
  <si>
    <t>Lawk Awng Mare D. (Sinbo Area)</t>
  </si>
  <si>
    <t>MMR001CMP067</t>
  </si>
  <si>
    <t>Shwe Gu Baptist Church</t>
  </si>
  <si>
    <t>MMR001CMP068</t>
  </si>
  <si>
    <t>Shwe Gu Catholic Church</t>
  </si>
  <si>
    <t>MMR001CMP036</t>
  </si>
  <si>
    <t>Waingmaw</t>
  </si>
  <si>
    <t>Waingmaw Baptist Zonal Office</t>
  </si>
  <si>
    <t>MMR001CMP028</t>
  </si>
  <si>
    <t xml:space="preserve">Hkat Cho </t>
  </si>
  <si>
    <t>MMR001CMP117</t>
  </si>
  <si>
    <t>MMR001CMP038</t>
  </si>
  <si>
    <t>Waingmaw AG Church</t>
  </si>
  <si>
    <t>MMR001CMP032</t>
  </si>
  <si>
    <t>Qtr. 2 Lhaovo Baptist Church</t>
  </si>
  <si>
    <t>MMR001CMP027</t>
  </si>
  <si>
    <t>Mading Baptist Church</t>
  </si>
  <si>
    <t>MMR001CMP119</t>
  </si>
  <si>
    <t xml:space="preserve">Maga Yang </t>
  </si>
  <si>
    <t>MMR001CMP040</t>
  </si>
  <si>
    <t>Maina KBC (Bawng Ring)</t>
  </si>
  <si>
    <t>MMR001CMP039</t>
  </si>
  <si>
    <t>Maina Lawang Baptist Church</t>
  </si>
  <si>
    <t>MMR001CMP031</t>
  </si>
  <si>
    <t>Maina AG Church</t>
  </si>
  <si>
    <t>MMR001CMP029</t>
  </si>
  <si>
    <t>Maina Catholic Church (St. Joseph)</t>
  </si>
  <si>
    <t>MMR001CMP118</t>
  </si>
  <si>
    <t>Manau Compound</t>
  </si>
  <si>
    <t>MMR001CMP113</t>
  </si>
  <si>
    <t>Border Post 8</t>
  </si>
  <si>
    <t>MMR001CMP115</t>
  </si>
  <si>
    <t>Hkau Shau (BP 12)</t>
  </si>
  <si>
    <t>MMR001CMP030</t>
  </si>
  <si>
    <t>Qtr. 3 Mu-yin  Baptist Church</t>
  </si>
  <si>
    <t>MMR001CMP149</t>
  </si>
  <si>
    <t>Laiza Muklum Hpyen  Yen Mungshawa ni</t>
  </si>
  <si>
    <t>MMR001CMP025</t>
  </si>
  <si>
    <t>Qtr. 2 Myoma Baptist Church</t>
  </si>
  <si>
    <t>MMR001CMP033</t>
  </si>
  <si>
    <t>Nawng Hee Village</t>
  </si>
  <si>
    <t>MMR001CMP120</t>
  </si>
  <si>
    <t>MMR001CMP041</t>
  </si>
  <si>
    <t>Shing Jai</t>
  </si>
  <si>
    <t>MMR001CMP037</t>
  </si>
  <si>
    <t>Thargaya Lisu Baptist Church</t>
  </si>
  <si>
    <t>MMR001CMP026</t>
  </si>
  <si>
    <t>Qtr. 4 Monestry (Thargaya Thayett Taw)</t>
  </si>
  <si>
    <t>MMR001CMP116</t>
  </si>
  <si>
    <t xml:space="preserve">Woi Chyai </t>
  </si>
  <si>
    <t>MMR001CMP160</t>
  </si>
  <si>
    <t>Post 6 Camp</t>
  </si>
  <si>
    <t>MMR001CMP111</t>
  </si>
  <si>
    <t>MMR001CMP114</t>
  </si>
  <si>
    <t>Border Post 10</t>
  </si>
  <si>
    <t>MMR001CMP035</t>
  </si>
  <si>
    <t>MMR001CMP034</t>
  </si>
  <si>
    <t>Nam Hkawng</t>
  </si>
  <si>
    <t>MMR001CMP146</t>
  </si>
  <si>
    <t>Injangyang</t>
  </si>
  <si>
    <t>Hpare Hkyer - BP6</t>
  </si>
  <si>
    <t>Lhaovao Baptist Church (LBC)</t>
  </si>
  <si>
    <t>Phan Khar Kone</t>
  </si>
  <si>
    <t xml:space="preserve">Mungji Pa Dabang (RC Church)         </t>
  </si>
  <si>
    <t>Mine Yu Lay village</t>
  </si>
  <si>
    <t>Kutkai downtown (KBC Church)</t>
  </si>
  <si>
    <t>Kutkai downtown (RC Church)</t>
  </si>
  <si>
    <t xml:space="preserve">Mungji Pa Dabang (Baptist Church)         </t>
  </si>
  <si>
    <t>Kone Khem Camp</t>
  </si>
  <si>
    <t>Zup Aung Camp</t>
  </si>
  <si>
    <t>Nam Hkam Catholic Church ( St. Thomas I)</t>
  </si>
  <si>
    <t>Nam Hkam Catholic Church ( St. Thomas II)</t>
  </si>
  <si>
    <t>MMR001CMP193</t>
  </si>
  <si>
    <t>MMR001CMP194</t>
  </si>
  <si>
    <t>MMR001CMP195</t>
  </si>
  <si>
    <t>Mong Kar</t>
  </si>
  <si>
    <t>Kachin</t>
  </si>
  <si>
    <t>Rakhine</t>
  </si>
  <si>
    <t>MMR015CMP015</t>
  </si>
  <si>
    <t>MMR015CMP016</t>
  </si>
  <si>
    <t>MMR015CMP017</t>
  </si>
  <si>
    <t>MMR015CMP018</t>
  </si>
  <si>
    <t>MMR015CMP019</t>
  </si>
  <si>
    <t>MMR015CMP020</t>
  </si>
  <si>
    <t>MMR015CMP022</t>
  </si>
  <si>
    <t>MMR015CMP023</t>
  </si>
  <si>
    <t>MMR015CMP024</t>
  </si>
  <si>
    <t>MMR001CMP196</t>
  </si>
  <si>
    <t>MMR001CMP197</t>
  </si>
  <si>
    <t>MMR001CMP198</t>
  </si>
  <si>
    <t>MMR001CMP199</t>
  </si>
  <si>
    <t>Camp Name</t>
  </si>
  <si>
    <t>State</t>
  </si>
  <si>
    <t>Collective Center</t>
  </si>
  <si>
    <t>Individual (non hosted)</t>
  </si>
  <si>
    <t>Planned Camp</t>
  </si>
  <si>
    <t>Privately Hosted</t>
  </si>
  <si>
    <t>Self Settled Camp</t>
  </si>
  <si>
    <t>Type of Accomodation</t>
  </si>
  <si>
    <t>Organization</t>
  </si>
  <si>
    <t>Hygiene Family Kit</t>
  </si>
  <si>
    <t>NFI Core Kit</t>
  </si>
  <si>
    <t>Women's Sanitary Kit</t>
  </si>
  <si>
    <t>Mosquito Nets</t>
  </si>
  <si>
    <t>Tarpaulins</t>
  </si>
  <si>
    <t>Stock in Balance</t>
  </si>
  <si>
    <t>Date Updated</t>
  </si>
  <si>
    <t>Pipeline</t>
  </si>
  <si>
    <t>ETA</t>
  </si>
  <si>
    <t>Distribution Date</t>
  </si>
  <si>
    <t>Implementing Partner</t>
  </si>
  <si>
    <t>Row Labels</t>
  </si>
  <si>
    <t>Grand Total</t>
  </si>
  <si>
    <t>Population</t>
  </si>
  <si>
    <t>Households</t>
  </si>
  <si>
    <t>CAMPS SUMMARY</t>
  </si>
  <si>
    <t>DETAILED CAMP LIST</t>
  </si>
  <si>
    <t>CLUSTER REPORT</t>
  </si>
  <si>
    <t>(Select State)</t>
  </si>
  <si>
    <t>Temporary Shelter Planned</t>
  </si>
  <si>
    <t>Temporary Shelter Built</t>
  </si>
  <si>
    <t>Temporary Shelter Under Construction</t>
  </si>
  <si>
    <t>SHELTER PROGRESS</t>
  </si>
  <si>
    <t>Total # of HH</t>
  </si>
  <si>
    <t>Total # of Population</t>
  </si>
  <si>
    <t xml:space="preserve"> Coverage (in Pop)</t>
  </si>
  <si>
    <t>Tents Distributed</t>
  </si>
  <si>
    <t>Permanent Shelter Built</t>
  </si>
  <si>
    <t>Permament Shelter Under Construction</t>
  </si>
  <si>
    <t>Permanent Shelter Planned</t>
  </si>
  <si>
    <t>Coverage (HH)</t>
  </si>
  <si>
    <t>NFI TRACKING SHEET</t>
  </si>
  <si>
    <t>Blanket</t>
  </si>
  <si>
    <t>Kitchen Set</t>
  </si>
  <si>
    <t>Dist.</t>
  </si>
  <si>
    <t>Gap (HH)</t>
  </si>
  <si>
    <t>Months</t>
  </si>
  <si>
    <t>Instock</t>
  </si>
  <si>
    <t>Coverage</t>
  </si>
  <si>
    <t># of IDP</t>
  </si>
  <si>
    <t># of camps by Size of Population</t>
  </si>
  <si>
    <t>% of IDP</t>
  </si>
  <si>
    <t>Dashboards</t>
  </si>
  <si>
    <t>Myanmar</t>
  </si>
  <si>
    <t>CCCM</t>
  </si>
  <si>
    <t>Shelter</t>
  </si>
  <si>
    <t>NFI</t>
  </si>
  <si>
    <t>3W</t>
  </si>
  <si>
    <t>Contact List</t>
  </si>
  <si>
    <t>Report &amp; Analysis</t>
  </si>
  <si>
    <t>UNHCR</t>
  </si>
  <si>
    <t>DRC</t>
  </si>
  <si>
    <t>Quantity/HH</t>
  </si>
  <si>
    <t>Hygiene Kit</t>
  </si>
  <si>
    <t>Sanitary Kit</t>
  </si>
  <si>
    <t>Tarpaulin</t>
  </si>
  <si>
    <t>NFI DISTRIBUTION BY TOWNSHIP</t>
  </si>
  <si>
    <t>KBSS</t>
  </si>
  <si>
    <t>KBC</t>
  </si>
  <si>
    <t>SHELTER SUMMARY BY AGENCY</t>
  </si>
  <si>
    <t>NFI_Hygiene_Stock</t>
  </si>
  <si>
    <t>NFI_Core_Stock</t>
  </si>
  <si>
    <t>NFI_Sanitary_Stock</t>
  </si>
  <si>
    <t>NFI_Tarpaulin_Stock</t>
  </si>
  <si>
    <t>NFI_Blanket_Stock</t>
  </si>
  <si>
    <t>NFI_Kitchen_Stock</t>
  </si>
  <si>
    <t>NFI_Tarpaulin_Pipeline</t>
  </si>
  <si>
    <t>NFI_Blanket_Pipeline</t>
  </si>
  <si>
    <t>NFI_Kitchen_Pipeline</t>
  </si>
  <si>
    <t>NFI_Mosquito_Stock</t>
  </si>
  <si>
    <t>NFI_Hygiene_Pipeline</t>
  </si>
  <si>
    <t>NFI_Core_Pipeline</t>
  </si>
  <si>
    <t>NFI_Sanitary_Pipeline</t>
  </si>
  <si>
    <t>NFI_Mosquito_Pipeline</t>
  </si>
  <si>
    <t>NFI_Blanket_Track</t>
  </si>
  <si>
    <t>NFI_Hygiene_Track</t>
  </si>
  <si>
    <t>NFI_Kitchen_Track</t>
  </si>
  <si>
    <t>NFI_Mosquito_Track</t>
  </si>
  <si>
    <t>NFI_Core_Track</t>
  </si>
  <si>
    <t>NFI_Sanitary_Track</t>
  </si>
  <si>
    <t>NFI_Tarpaulin_Track</t>
  </si>
  <si>
    <t>Mosquito Net</t>
  </si>
  <si>
    <t>Complemantary Kit</t>
  </si>
  <si>
    <t>Label</t>
  </si>
  <si>
    <t>Stock</t>
  </si>
  <si>
    <t>Distribution</t>
  </si>
  <si>
    <t>NB</t>
  </si>
  <si>
    <t>Expiration (month)</t>
  </si>
  <si>
    <t>Avg</t>
  </si>
  <si>
    <t>Source</t>
  </si>
  <si>
    <t>Method</t>
  </si>
  <si>
    <t>Not Accessible</t>
  </si>
  <si>
    <t>Accessible by All</t>
  </si>
  <si>
    <t>Accessibility Restricted</t>
  </si>
  <si>
    <t>Comment</t>
  </si>
  <si>
    <t>Accessibility</t>
  </si>
  <si>
    <t>Status</t>
  </si>
  <si>
    <t>Camp_Acessibility</t>
  </si>
  <si>
    <t>Open</t>
  </si>
  <si>
    <t>Update Date</t>
  </si>
  <si>
    <t>Covered</t>
  </si>
  <si>
    <t>Gap - HH</t>
  </si>
  <si>
    <t>Ind. Not covered</t>
  </si>
  <si>
    <t>Shalom</t>
  </si>
  <si>
    <t>KMSS</t>
  </si>
  <si>
    <t xml:space="preserve">    </t>
  </si>
  <si>
    <t xml:space="preserve">  </t>
  </si>
  <si>
    <t>Pipeline Stock Tracking</t>
  </si>
  <si>
    <t>CampName</t>
  </si>
  <si>
    <t>GCA</t>
  </si>
  <si>
    <t>Aung Thar Church</t>
  </si>
  <si>
    <t>NGCA</t>
  </si>
  <si>
    <t>Zomee Baptist Church camp, Hmaw Wan</t>
  </si>
  <si>
    <t>MMR001CMP201</t>
  </si>
  <si>
    <t xml:space="preserve">Lagatyan </t>
  </si>
  <si>
    <t>MMR001CMP202</t>
  </si>
  <si>
    <t>Mung Ding Pa  (Boarder)</t>
  </si>
  <si>
    <t>MMR001CMP203</t>
  </si>
  <si>
    <t>MMR001CMP204</t>
  </si>
  <si>
    <t>Khun Sint Village</t>
  </si>
  <si>
    <t>MMR001CMP200</t>
  </si>
  <si>
    <t>VillageWard_Name</t>
  </si>
  <si>
    <t>District</t>
  </si>
  <si>
    <t>MMR001</t>
  </si>
  <si>
    <t>MMR001D002</t>
  </si>
  <si>
    <t>Hpakant</t>
  </si>
  <si>
    <t>MMR001009</t>
  </si>
  <si>
    <t>MMR001D003</t>
  </si>
  <si>
    <t>MMR001010</t>
  </si>
  <si>
    <t>MMR001D001</t>
  </si>
  <si>
    <t>MMR001002</t>
  </si>
  <si>
    <t>MMR001012</t>
  </si>
  <si>
    <t>MMR001005</t>
  </si>
  <si>
    <t>MMR001001</t>
  </si>
  <si>
    <t>MMR015</t>
  </si>
  <si>
    <t>MMR015D002</t>
  </si>
  <si>
    <t>MMR015009</t>
  </si>
  <si>
    <t>MMR001013</t>
  </si>
  <si>
    <t>MMR001011</t>
  </si>
  <si>
    <t>Kyaukme</t>
  </si>
  <si>
    <t>MMR015D003</t>
  </si>
  <si>
    <t>MMR015019</t>
  </si>
  <si>
    <t>MMR015011</t>
  </si>
  <si>
    <t>MMR001008</t>
  </si>
  <si>
    <t>MMR001D004</t>
  </si>
  <si>
    <t>MMR001018</t>
  </si>
  <si>
    <t>MMR001003</t>
  </si>
  <si>
    <t>MMR015010</t>
  </si>
  <si>
    <t>MMR015015</t>
  </si>
  <si>
    <t>MMR001007</t>
  </si>
  <si>
    <t>MMR001014</t>
  </si>
  <si>
    <t>Shan_North</t>
  </si>
  <si>
    <t>Camp</t>
  </si>
  <si>
    <t>Hygiene</t>
  </si>
  <si>
    <t>Core</t>
  </si>
  <si>
    <t>Sanitary</t>
  </si>
  <si>
    <t>Pcode</t>
  </si>
  <si>
    <t>Lat.</t>
  </si>
  <si>
    <t>Long.</t>
  </si>
  <si>
    <t>Y</t>
  </si>
  <si>
    <t>X</t>
  </si>
  <si>
    <t>HS</t>
  </si>
  <si>
    <t>Pop</t>
  </si>
  <si>
    <t>Column1</t>
  </si>
  <si>
    <t>Kachin/Shan</t>
  </si>
  <si>
    <t>27.00</t>
  </si>
  <si>
    <t>96.00</t>
  </si>
  <si>
    <t>World Vision</t>
  </si>
  <si>
    <t>Oxfam</t>
  </si>
  <si>
    <t># of HH</t>
  </si>
  <si>
    <t>IRRC</t>
  </si>
  <si>
    <t xml:space="preserve">UNHCR </t>
  </si>
  <si>
    <t>Dum Bung</t>
  </si>
  <si>
    <t>N_cps</t>
  </si>
  <si>
    <t># of IDPs</t>
  </si>
  <si>
    <t>Plastic Bucket</t>
  </si>
  <si>
    <t>Plastic Mat</t>
  </si>
  <si>
    <t>NFI_Plastic_Bucket_Track</t>
  </si>
  <si>
    <t>NFI_Plastic_Mat_Track</t>
  </si>
  <si>
    <t>NFI_Plastic_Bucket_Stock</t>
  </si>
  <si>
    <t>NFI_Plastic_Mat_Stock</t>
  </si>
  <si>
    <t>NFI_Plastic_Bucket_Pipeline</t>
  </si>
  <si>
    <t>NFI_Plastic_Mat_Pipeline</t>
  </si>
  <si>
    <t>Items (Direct and through Kits)</t>
  </si>
  <si>
    <t>Kachin &amp; Northern Shan CCCM Dashboard</t>
  </si>
  <si>
    <t>1k - 5k</t>
  </si>
  <si>
    <t>5k-10k</t>
  </si>
  <si>
    <t>1k-5k</t>
  </si>
  <si>
    <t>Kachin &amp; Northern Shan Shelter Coverage &amp; Gaps</t>
  </si>
  <si>
    <t>Kachin NFI Coverage &amp; Gaps</t>
  </si>
  <si>
    <t>Caritas</t>
  </si>
  <si>
    <t>Nam Tu RC</t>
  </si>
  <si>
    <t>Narte</t>
  </si>
  <si>
    <t>Mosquito net</t>
  </si>
  <si>
    <t>(All)</t>
  </si>
  <si>
    <t>Unknown</t>
  </si>
  <si>
    <t>Seik Mu</t>
  </si>
  <si>
    <t>MMR001009003</t>
  </si>
  <si>
    <t>Maw Shan</t>
  </si>
  <si>
    <t xml:space="preserve"> </t>
  </si>
  <si>
    <t>Sai Taung (Ywar Haung)</t>
  </si>
  <si>
    <t>Hpakan Town</t>
  </si>
  <si>
    <t>MMR001009701</t>
  </si>
  <si>
    <t>Hnget Pyaw Taw Ward</t>
  </si>
  <si>
    <t>MMR001009701502</t>
  </si>
  <si>
    <t>Maw Wam Ward</t>
  </si>
  <si>
    <t>MMR001009701501</t>
  </si>
  <si>
    <t>Nam Ma Hpyit</t>
  </si>
  <si>
    <t>MMR001009002</t>
  </si>
  <si>
    <t>Nam Ma Phyit, COC</t>
  </si>
  <si>
    <t>Lone Khin</t>
  </si>
  <si>
    <t>MMR001009001</t>
  </si>
  <si>
    <t>Hmaw Si Zar</t>
  </si>
  <si>
    <t>Ma Sut Yang</t>
  </si>
  <si>
    <t>Nam Mun</t>
  </si>
  <si>
    <t>MMR001007016</t>
  </si>
  <si>
    <t>Nawng Mi</t>
  </si>
  <si>
    <t>MMR001009008</t>
  </si>
  <si>
    <t>Nawng Myi</t>
  </si>
  <si>
    <t>Shwegu Town</t>
  </si>
  <si>
    <t>MMR001011701</t>
  </si>
  <si>
    <t>MMR001011701504</t>
  </si>
  <si>
    <t>Hkat Shu</t>
  </si>
  <si>
    <t>MMR001002003</t>
  </si>
  <si>
    <t>Mung Ding Pa</t>
  </si>
  <si>
    <t>MMR001013038</t>
  </si>
  <si>
    <t>Nam Lin Pa</t>
  </si>
  <si>
    <t>MMR001013037</t>
  </si>
  <si>
    <t>Mogaung Town</t>
  </si>
  <si>
    <t>MMR001008701</t>
  </si>
  <si>
    <t>Nawng Kaing Htaw</t>
  </si>
  <si>
    <t>MMR001008002</t>
  </si>
  <si>
    <t>Ma Haung</t>
  </si>
  <si>
    <t>Nat Gyi Kone Ward</t>
  </si>
  <si>
    <t>MMR001008701506</t>
  </si>
  <si>
    <t>Bhamo Town</t>
  </si>
  <si>
    <t>MMR001010701</t>
  </si>
  <si>
    <t>Shwe Kyee Nar Ward</t>
  </si>
  <si>
    <t>MMR001010701513</t>
  </si>
  <si>
    <t>Nyaung Pin Ward</t>
  </si>
  <si>
    <t>MMR001010701508</t>
  </si>
  <si>
    <t>Pauk Kone Ward</t>
  </si>
  <si>
    <t>MMR001010701506</t>
  </si>
  <si>
    <t>Han Te</t>
  </si>
  <si>
    <t>MMR001010024</t>
  </si>
  <si>
    <t>Hpan Hkar Kone</t>
  </si>
  <si>
    <t>Maw Hpawng</t>
  </si>
  <si>
    <t>MMR001001007</t>
  </si>
  <si>
    <t>Mansi Town</t>
  </si>
  <si>
    <t>MMR001013701</t>
  </si>
  <si>
    <t>Kawng Yar Ward</t>
  </si>
  <si>
    <t>MMR001013701504</t>
  </si>
  <si>
    <t>Nam Hlaing</t>
  </si>
  <si>
    <t>MMR001010015</t>
  </si>
  <si>
    <t>Man Nawng</t>
  </si>
  <si>
    <t>MMR001012014</t>
  </si>
  <si>
    <t>Man Pon</t>
  </si>
  <si>
    <t>MMR001012001</t>
  </si>
  <si>
    <t>Man Wein</t>
  </si>
  <si>
    <t>MMR001013021</t>
  </si>
  <si>
    <t>Momauk Town</t>
  </si>
  <si>
    <t>MMR001012701</t>
  </si>
  <si>
    <t>Ah Lin Kawng Ward</t>
  </si>
  <si>
    <t>MMR001012701502</t>
  </si>
  <si>
    <t>Nawng Hee</t>
  </si>
  <si>
    <t>Kyay Nan Waing Ward</t>
  </si>
  <si>
    <t>MMR001012701503</t>
  </si>
  <si>
    <t>Nam Koi</t>
  </si>
  <si>
    <t>MMR001001005</t>
  </si>
  <si>
    <t>Myitkyina Town</t>
  </si>
  <si>
    <t>MMR001001701</t>
  </si>
  <si>
    <t>Jan Mai Kawng</t>
  </si>
  <si>
    <t>Myay Myint Ward</t>
  </si>
  <si>
    <t>MMR001001701517</t>
  </si>
  <si>
    <t>Tat Kone Ward</t>
  </si>
  <si>
    <t>MMR001001701520</t>
  </si>
  <si>
    <t>Du Ka Htaung Ward</t>
  </si>
  <si>
    <t>MMR001001701504</t>
  </si>
  <si>
    <t>N Jang Dung</t>
  </si>
  <si>
    <t>Si Tar Pu Ward</t>
  </si>
  <si>
    <t>MMR001001701521</t>
  </si>
  <si>
    <t>Kachin Su Ward</t>
  </si>
  <si>
    <t>MMR001001701509</t>
  </si>
  <si>
    <t>Kyun Pin Thar Ward</t>
  </si>
  <si>
    <t>MMR001001701510</t>
  </si>
  <si>
    <t>Lel Kone Ward</t>
  </si>
  <si>
    <t>MMR001001701525</t>
  </si>
  <si>
    <t>Man Khein Ward</t>
  </si>
  <si>
    <t>MMR001001701519</t>
  </si>
  <si>
    <t>Shwe Set Ward</t>
  </si>
  <si>
    <t>MMR001001701518</t>
  </si>
  <si>
    <t>Mai Na</t>
  </si>
  <si>
    <t>MMR001002006</t>
  </si>
  <si>
    <t>Waingmaw Town</t>
  </si>
  <si>
    <t>MMR001002701</t>
  </si>
  <si>
    <t>No (4) Ward</t>
  </si>
  <si>
    <t>MMR001002701504</t>
  </si>
  <si>
    <t>Aye Mya Thar Yar Ward</t>
  </si>
  <si>
    <t>MMR001009701504</t>
  </si>
  <si>
    <t>Ma Shi Ka Htaung Ward</t>
  </si>
  <si>
    <t>MMR001009701505</t>
  </si>
  <si>
    <t>Myo Ma Ward</t>
  </si>
  <si>
    <t>MMR001009701503</t>
  </si>
  <si>
    <t>Hpar Kei (Dawthponeyan Sub-township)</t>
  </si>
  <si>
    <t>MMR001012046</t>
  </si>
  <si>
    <t>Hpar Kei</t>
  </si>
  <si>
    <t>Ma Mon</t>
  </si>
  <si>
    <t>Pa La Na Sa Khan Myar</t>
  </si>
  <si>
    <t>MMR001001003</t>
  </si>
  <si>
    <t>Pi Tauk Myaing</t>
  </si>
  <si>
    <t>Haung Par</t>
  </si>
  <si>
    <t>MMR001009004</t>
  </si>
  <si>
    <t>No (3) Ward</t>
  </si>
  <si>
    <t>MMR001002701503</t>
  </si>
  <si>
    <t>No (2) Ward</t>
  </si>
  <si>
    <t>MMR001002701502</t>
  </si>
  <si>
    <t>Saga Pa (Sadung Sub-township)</t>
  </si>
  <si>
    <t>Mading</t>
  </si>
  <si>
    <t>MMR001002001</t>
  </si>
  <si>
    <t>Mading/Hka Kun</t>
  </si>
  <si>
    <t>Mong Yu</t>
  </si>
  <si>
    <t>Nam Hpat Kar</t>
  </si>
  <si>
    <t>Nam Hpat Kar (Ho Pon + Pang Sa Lorp)</t>
  </si>
  <si>
    <t>Zee Wone Gawt</t>
  </si>
  <si>
    <t>MMR001012023</t>
  </si>
  <si>
    <t>Nam Sang Yang</t>
  </si>
  <si>
    <t>MMR001002024</t>
  </si>
  <si>
    <t>Kutkai Town</t>
  </si>
  <si>
    <t>MMR015011701</t>
  </si>
  <si>
    <t>No (5) Ward</t>
  </si>
  <si>
    <t>MMR015011701505</t>
  </si>
  <si>
    <t>MMR015011701503</t>
  </si>
  <si>
    <t>In Baw Mai Kyin (Dawthponeyan Sub-township)</t>
  </si>
  <si>
    <t>MMR001012042</t>
  </si>
  <si>
    <t>Hpun Lum Yang</t>
  </si>
  <si>
    <t>La Gat Dawt</t>
  </si>
  <si>
    <t>MMR001013027</t>
  </si>
  <si>
    <t>Dum Buk</t>
  </si>
  <si>
    <t>MMR001013014</t>
  </si>
  <si>
    <t>Man Mawn</t>
  </si>
  <si>
    <t>MMR001013022</t>
  </si>
  <si>
    <t>In Ba Pa</t>
  </si>
  <si>
    <t>MMR001013012</t>
  </si>
  <si>
    <t>La Na</t>
  </si>
  <si>
    <t>Ba Lawng Kawng (Lwegel Sub-township)</t>
  </si>
  <si>
    <t>MMR001012030</t>
  </si>
  <si>
    <t>Hpa Lum</t>
  </si>
  <si>
    <t>Nawng Si Paw</t>
  </si>
  <si>
    <t>MMR001002013</t>
  </si>
  <si>
    <t>Nawng Hkam</t>
  </si>
  <si>
    <t>MMR015010010</t>
  </si>
  <si>
    <t>Lwegel Town</t>
  </si>
  <si>
    <t>MMR001012702</t>
  </si>
  <si>
    <t>Sa Ma</t>
  </si>
  <si>
    <t>MMR001002031</t>
  </si>
  <si>
    <t>Nar Gu</t>
  </si>
  <si>
    <t>Aung Zay Yar Ward</t>
  </si>
  <si>
    <t>MMR001012702505</t>
  </si>
  <si>
    <t>Ku Day</t>
  </si>
  <si>
    <t>Kawng Hsa (Lwegel Sub-township)</t>
  </si>
  <si>
    <t>MMR001012033</t>
  </si>
  <si>
    <t>Mai Gyar Yang</t>
  </si>
  <si>
    <t>Hpawt Dawt</t>
  </si>
  <si>
    <t>MMR001002032</t>
  </si>
  <si>
    <t>Kar Lai Kone Hsar</t>
  </si>
  <si>
    <t>MMR015011005</t>
  </si>
  <si>
    <t>Kar Lai</t>
  </si>
  <si>
    <t>MMR001002040</t>
  </si>
  <si>
    <t>Saga Pa</t>
  </si>
  <si>
    <t>Waw Shung (Kan Paik Ti Sub-township)</t>
  </si>
  <si>
    <t>MMR001002035</t>
  </si>
  <si>
    <t>Shan Kyaing</t>
  </si>
  <si>
    <t>Hpai Kawng (Pang Hseng-Kyu Koke Sub-township</t>
  </si>
  <si>
    <t>MMR015009031</t>
  </si>
  <si>
    <t>Hpai Kawng</t>
  </si>
  <si>
    <t>Lashio</t>
  </si>
  <si>
    <t>MMR015D001</t>
  </si>
  <si>
    <t>Hseni</t>
  </si>
  <si>
    <t>MMR015002</t>
  </si>
  <si>
    <t>Nar Tee</t>
  </si>
  <si>
    <t>MMR015002029</t>
  </si>
  <si>
    <t>La Ja Ga</t>
  </si>
  <si>
    <t>MMR001018021</t>
  </si>
  <si>
    <t>Long Waun Nam Rein (Tarmoenye Sub-township)</t>
  </si>
  <si>
    <t>MMR015011050</t>
  </si>
  <si>
    <t>Mai Pong (Shu See)</t>
  </si>
  <si>
    <t>Lang Jaw (Pang War Sub-township)</t>
  </si>
  <si>
    <t>MMR001005022</t>
  </si>
  <si>
    <t>Lang Jaw</t>
  </si>
  <si>
    <t>Chipwi Town</t>
  </si>
  <si>
    <t>MMR001005701</t>
  </si>
  <si>
    <t>Hpa Re (Pang War Sub-township)</t>
  </si>
  <si>
    <t>MMR001005026</t>
  </si>
  <si>
    <t>Hpa Re Waw Jang</t>
  </si>
  <si>
    <t>Tar Li</t>
  </si>
  <si>
    <t>MMR001012021</t>
  </si>
  <si>
    <t>Myo Thit</t>
  </si>
  <si>
    <t>MMR001012010</t>
  </si>
  <si>
    <t>Puta-O Town</t>
  </si>
  <si>
    <t>MMR001014701</t>
  </si>
  <si>
    <t>Lai Zar</t>
  </si>
  <si>
    <t>Urban</t>
  </si>
  <si>
    <t>Rit Law</t>
  </si>
  <si>
    <t>Man Ping (Ping) (Dawthponeyan Sub-township)</t>
  </si>
  <si>
    <t>MMR001012052</t>
  </si>
  <si>
    <t>Man Ping</t>
  </si>
  <si>
    <t>Sumprabum</t>
  </si>
  <si>
    <t>MMR001015</t>
  </si>
  <si>
    <t>Sumprabum Town</t>
  </si>
  <si>
    <t>MMR001015701</t>
  </si>
  <si>
    <t>MMR001CMP206</t>
  </si>
  <si>
    <t>IDP Boarding School, A Len Bum</t>
  </si>
  <si>
    <t>MMR001CMP208</t>
  </si>
  <si>
    <t>Man Gyat (Monekoe Sub-township)</t>
  </si>
  <si>
    <t>Gwum Hsan</t>
  </si>
  <si>
    <t>Namtu Town</t>
  </si>
  <si>
    <t>MMR015015701</t>
  </si>
  <si>
    <t>Namtu Ward</t>
  </si>
  <si>
    <t>MMR015015701501</t>
  </si>
  <si>
    <t>Nam Tu Baptist</t>
  </si>
  <si>
    <t>Mandung - RC</t>
  </si>
  <si>
    <t>MMR015CMP209</t>
  </si>
  <si>
    <t>MMR015CMP210</t>
  </si>
  <si>
    <t>Column Labels</t>
  </si>
  <si>
    <t>Sum of Total</t>
  </si>
  <si>
    <t># Distributed</t>
  </si>
  <si>
    <t>% Distributed</t>
  </si>
  <si>
    <t># In Stock</t>
  </si>
  <si>
    <t>% In Stock</t>
  </si>
  <si>
    <t># Requirement</t>
  </si>
  <si>
    <t>% Requirement</t>
  </si>
  <si>
    <t># Pipeline</t>
  </si>
  <si>
    <t>% Pipeline</t>
  </si>
  <si>
    <t># Remaining Need</t>
  </si>
  <si>
    <t>% Remaining Need</t>
  </si>
  <si>
    <t>MMR015CMP139</t>
  </si>
  <si>
    <t>MMR015CMP207</t>
  </si>
  <si>
    <t>Total # of HH (In camps)</t>
  </si>
  <si>
    <t>Total # of Population (In camps)</t>
  </si>
  <si>
    <t>RRD</t>
  </si>
  <si>
    <t>IP</t>
  </si>
  <si>
    <t>Closed</t>
  </si>
  <si>
    <t>Changed to closed</t>
  </si>
  <si>
    <t xml:space="preserve">This IDP are registered in Nam Lim pa (Boarder) (MMR001CMP204). We should not calculate this number in total. </t>
  </si>
  <si>
    <t>Metta</t>
  </si>
  <si>
    <t>CC</t>
  </si>
  <si>
    <t>KBC Zonal</t>
  </si>
  <si>
    <t>Misereor</t>
  </si>
  <si>
    <t>Yedai Foundation</t>
  </si>
  <si>
    <t>Kachin Total</t>
  </si>
  <si>
    <t>Altitude</t>
  </si>
  <si>
    <t>Type of Location</t>
  </si>
  <si>
    <t>Opening Date</t>
  </si>
  <si>
    <t>MMR001CMP211</t>
  </si>
  <si>
    <t>Rural</t>
  </si>
  <si>
    <t>Forest/bush</t>
  </si>
  <si>
    <t>Kachin &amp; Northern Shan States - IDPs Location List</t>
  </si>
  <si>
    <t>(blank)</t>
  </si>
  <si>
    <t>HoH</t>
  </si>
  <si>
    <t>Individual</t>
  </si>
  <si>
    <t>ACTED</t>
  </si>
  <si>
    <t>MMR001CMP210</t>
  </si>
  <si>
    <t>Pan Wa</t>
  </si>
  <si>
    <t>Nam Lim Pa</t>
  </si>
  <si>
    <t>Nam Lim Pa    (Boarding School)</t>
  </si>
  <si>
    <t>MMR001CMP209</t>
  </si>
  <si>
    <t>Sum of HH</t>
  </si>
  <si>
    <t>Thu Kha Waddy</t>
  </si>
  <si>
    <t>MMR001CMP212</t>
  </si>
  <si>
    <t>Man Kawng</t>
  </si>
  <si>
    <t>Mai Bat</t>
  </si>
  <si>
    <t>MMR001013018</t>
  </si>
  <si>
    <t>MMR001CMP213</t>
  </si>
  <si>
    <t>Man Kawng Catholic Church</t>
  </si>
  <si>
    <t>Man Kawng Baptist Church</t>
  </si>
  <si>
    <t>Ban Hkung Yang</t>
  </si>
  <si>
    <t>Ban Hkung Yang (Boarding School)</t>
  </si>
  <si>
    <t>MMR001CMP214</t>
  </si>
  <si>
    <t>MMR001CMP215</t>
  </si>
  <si>
    <t>MMR001CMP216</t>
  </si>
  <si>
    <t>Ban Hkung (School)</t>
  </si>
  <si>
    <t>MMR001CMP217</t>
  </si>
  <si>
    <t>IDPs scattered in South Mansi</t>
  </si>
  <si>
    <t>Maing Khaung</t>
  </si>
  <si>
    <t>MMR001CMP218</t>
  </si>
  <si>
    <t>Si Hkan Gyi</t>
  </si>
  <si>
    <t>MMR001CMP219</t>
  </si>
  <si>
    <t>Update from OCHA Data (2 Jan 2014)</t>
  </si>
  <si>
    <t>Update data from OCHA IDPs List</t>
  </si>
  <si>
    <t>Naung Khaing</t>
  </si>
  <si>
    <t>MMR001CMP220</t>
  </si>
  <si>
    <t>Machanbaw</t>
  </si>
  <si>
    <t>MMR001016</t>
  </si>
  <si>
    <t>Machanbaw - KBC</t>
  </si>
  <si>
    <t>MMR001CMP221</t>
  </si>
  <si>
    <t>MMR001CMP222</t>
  </si>
  <si>
    <t>St. Patrick Church, Bhamo</t>
  </si>
  <si>
    <t>RRD Office</t>
  </si>
  <si>
    <t>Warra Zup</t>
  </si>
  <si>
    <t>MRCS</t>
  </si>
  <si>
    <t>DFID</t>
  </si>
  <si>
    <t>SC&amp;L Group</t>
  </si>
  <si>
    <t>Shan Community</t>
  </si>
  <si>
    <t>Chipwe CM</t>
  </si>
  <si>
    <t>Solidarities</t>
  </si>
  <si>
    <t>Bomb Blast Victims</t>
  </si>
  <si>
    <t>Je Gau  (+ WaRaPa )</t>
  </si>
  <si>
    <t>Kat Hmaw Zut Baptist Church</t>
  </si>
  <si>
    <t>Lawng Hkang</t>
  </si>
  <si>
    <t>Le Pyin - Kar Gyi Winn</t>
  </si>
  <si>
    <t>Le Pyin Christian Church</t>
  </si>
  <si>
    <t xml:space="preserve">Mai Ja Yang Gat Pa </t>
  </si>
  <si>
    <t xml:space="preserve">Mai Ja Yang Ung Lung </t>
  </si>
  <si>
    <t>Na Ti (Koe Kant Traditional school)</t>
  </si>
  <si>
    <t>Nant Yar Baptist Church</t>
  </si>
  <si>
    <t>Pamati Kayan</t>
  </si>
  <si>
    <t>Pan Ma Tee</t>
  </si>
  <si>
    <t>Shan Ywar Monestary Camp</t>
  </si>
  <si>
    <t>S_Pcode</t>
  </si>
  <si>
    <t>D_Pcode</t>
  </si>
  <si>
    <t>T_Pcode</t>
  </si>
  <si>
    <t>VillageTracKTown</t>
  </si>
  <si>
    <t>VTT_Pcode</t>
  </si>
  <si>
    <t>VW_Pcode</t>
  </si>
  <si>
    <t>CP_Pcode</t>
  </si>
  <si>
    <t>Responsible Agency</t>
  </si>
  <si>
    <t>CM/FP</t>
  </si>
  <si>
    <t>Close (Source: OCHA)</t>
  </si>
  <si>
    <t>Galeng</t>
  </si>
  <si>
    <t>Galeng (Kachin)</t>
  </si>
  <si>
    <t>MMR015CMP211</t>
  </si>
  <si>
    <t>Galeng (Palaung)</t>
  </si>
  <si>
    <t>MMR015CMP212</t>
  </si>
  <si>
    <t>Indawgyi</t>
  </si>
  <si>
    <t>Close: Duplicate Camp (MMR015CMP020 - Zup Aung Camp) 21-Jan-14</t>
  </si>
  <si>
    <t>Close: Duplicate Camp (MMR015CMP015 - Kone Khem Camp) 21-Jan-14</t>
  </si>
  <si>
    <t>Closed: Source UNHCR-Bhamo</t>
  </si>
  <si>
    <t>UNOCHA</t>
  </si>
  <si>
    <t>Closed : Source, OCHA</t>
  </si>
  <si>
    <t>Count of CP_Pcode</t>
  </si>
  <si>
    <t>MMR001CMP223</t>
  </si>
  <si>
    <t>Maing Khaung Catholic Church</t>
  </si>
  <si>
    <t>Source OCHA</t>
  </si>
  <si>
    <t>MDCG</t>
  </si>
  <si>
    <t xml:space="preserve">
</t>
  </si>
  <si>
    <t>Style0</t>
  </si>
  <si>
    <t xml:space="preserve"> 
&lt;StyleMap id="m_ylw-pushpin"&gt;
  &lt;Pair&gt;
   &lt;key&gt;normal&lt;/key&gt;
   &lt;styleUrl&gt;#style1&lt;/styleUrl&gt;
  &lt;/Pair&gt;
  &lt;Pair&gt;
   &lt;key&gt;highlight&lt;/key&gt;
   &lt;styleUrl&gt;#style2&lt;/styleUrl&gt;
  &lt;/Pair&gt;
  &lt;Pair&gt;
   &lt;key&gt;highlight&lt;/key&gt;
   &lt;styleUrl&gt;#style3&lt;/styleUrl&gt;
  &lt;/Pair&gt;
  &lt;Pair&gt;
   &lt;key&gt;highlight&lt;/key&gt;
   &lt;styleUrl&gt;#style4&lt;/styleUrl&gt;
  &lt;/Pair&gt;
&lt;Pair&gt;
   &lt;key&gt;highlight&lt;/key&gt;
   &lt;styleUrl&gt;#style5&lt;/styleUrl&gt;
  &lt;/Pair&gt;
 &lt;/StyleMap&gt;
</t>
  </si>
  <si>
    <t>Filepath</t>
  </si>
  <si>
    <t>Folder_Name1</t>
  </si>
  <si>
    <t xml:space="preserve"> &lt;Folder&gt;
  &lt;name&gt;</t>
  </si>
  <si>
    <t>Style1</t>
  </si>
  <si>
    <t xml:space="preserve">
 &lt;Style id="Style1"&gt;
  &lt;IconStyle&gt;
   &lt;color&gt;ffffff00&lt;/color&gt;
   &lt;scale&gt;0.5&lt;/scale&gt;
   &lt;Icon&gt;
    &lt;href&gt;http://maps.google.com/mapfiles/kml/shapes/man.png&lt;/href&gt;
   &lt;/Icon&gt;
   &lt;hotSpot x="0.5" y="0" xunits="fraction" yunits="fraction"/&gt;
  &lt;/IconStyle&gt;
  &lt;LabelStyle&gt;
   &lt;color&gt;ffffff00&lt;/color&gt;
   &lt;scale&gt;0.6&lt;/scale&gt;
  &lt;/LabelStyle&gt;
  &lt;ListStyle&gt;
  &lt;/ListStyle&gt;
 &lt;/Style&gt;
</t>
  </si>
  <si>
    <t xml:space="preserve">    &lt;styleUrl&gt;#Style1&lt;/styleUrl&gt;
</t>
  </si>
  <si>
    <t>Document name</t>
  </si>
  <si>
    <t>Folder_Name2</t>
  </si>
  <si>
    <t xml:space="preserve">&lt;/name&gt;
   </t>
  </si>
  <si>
    <t>Style2</t>
  </si>
  <si>
    <t xml:space="preserve"> 
&lt;Style id="Style2"&gt;
  &lt;IconStyle&gt;
   &lt;color&gt;ff00ffff&lt;/color&gt;
   &lt;scale&gt;0.5&lt;/scale&gt;
   &lt;Icon&gt;
    &lt;href&gt;http://maps.google.com/mapfiles/kml/shapes/man.png&lt;/href&gt;
   &lt;/Icon&gt;
   &lt;hotSpot x="0.5" y="0" xunits="fraction" yunits="fraction"/&gt;
  &lt;/IconStyle&gt;
  &lt;LabelStyle&gt;
   &lt;color&gt;ff00ffff&lt;/color&gt;
   &lt;scale&gt;0.6&lt;/scale&gt;
  &lt;/LabelStyle&gt;
  &lt;ListStyle&gt;
  &lt;/ListStyle&gt;
 &lt;/Style&gt;
</t>
  </si>
  <si>
    <t xml:space="preserve">    &lt;styleUrl&gt;#Style2&lt;/styleUrl&gt;
</t>
  </si>
  <si>
    <t>Folder_Name3</t>
  </si>
  <si>
    <t xml:space="preserve">
  &lt;/Folder&gt;</t>
  </si>
  <si>
    <t>Style3</t>
  </si>
  <si>
    <t xml:space="preserve"> 
&lt;Style id="Style3"&gt;
  &lt;IconStyle&gt;
   &lt;color&gt;ffffff00&lt;/color&gt;
   &lt;scale&gt;0.5&lt;/scale&gt;
   &lt;Icon&gt;
    &lt;href&gt;http://maps.google.com/mapfiles/kml/shapes/homegardenbusiness.png&lt;/href&gt;
   &lt;/Icon&gt;
   &lt;hotSpot x="0.5" y="0" xunits="fraction" yunits="fraction"/&gt;
  &lt;/IconStyle&gt;
  &lt;LabelStyle&gt;
   &lt;color&gt;ffffff00&lt;/color&gt;
   &lt;scale&gt;0.6&lt;/scale&gt;
  &lt;/LabelStyle&gt;
  &lt;ListStyle&gt;
  &lt;/ListStyle&gt;
 &lt;/Style&gt;
</t>
  </si>
  <si>
    <t xml:space="preserve">    &lt;styleUrl&gt;#Style3&lt;/styleUrl&gt;
</t>
  </si>
  <si>
    <t>File Header
Code fragment 1</t>
  </si>
  <si>
    <t>&lt;?xml version="1.0" encoding="UTF-8"?&gt;
&lt;kml xmlns="http://earth.google.com/kml/2.0"&gt;
&lt;Document&gt;
   &lt;name&gt;</t>
  </si>
  <si>
    <t>Style4</t>
  </si>
  <si>
    <t xml:space="preserve"> 
&lt;Style id="Style4"&gt;
  &lt;IconStyle&gt;
   &lt;color&gt;ff00ffff&lt;/color&gt;
   &lt;scale&gt;0.5&lt;/scale&gt;
   &lt;Icon&gt;
    &lt;href&gt;http://maps.google.com/mapfiles/kml/shapes/homegardenbusiness.png&lt;/href&gt;
   &lt;/Icon&gt;
   &lt;hotSpot x="0.5" y="0" xunits="fraction" yunits="fraction"/&gt;
  &lt;/IconStyle&gt;
  &lt;LabelStyle&gt;
   &lt;color&gt;ff00ffff&lt;/color&gt;
   &lt;scale&gt;0.6&lt;/scale&gt;
  &lt;/LabelStyle&gt;
  &lt;ListStyle&gt;
  &lt;/ListStyle&gt;
 &lt;/Style&gt;
</t>
  </si>
  <si>
    <t xml:space="preserve">    &lt;styleUrl&gt;#Style4&lt;/styleUrl&gt;
</t>
  </si>
  <si>
    <t>File Header
Code fragment 2</t>
  </si>
  <si>
    <t>&lt;/name&gt;</t>
  </si>
  <si>
    <t>Style5</t>
  </si>
  <si>
    <t xml:space="preserve"> 
&lt;Style id="Style4"&gt;
  &lt;IconStyle&gt;
   &lt;color&gt;ff00ffff&lt;/color&gt;
   &lt;scale&gt;0.4&lt;/scale&gt;
   &lt;Icon&gt;
    &lt;href&gt;http://maps.google.com/mapfiles/kml/shapes/placemark_square.png&lt;/href&gt;
   &lt;/Icon&gt;
   &lt;hotSpot x="0.5" y="0" xunits="fraction" yunits="fraction"/&gt;
  &lt;/IconStyle&gt;
  &lt;LabelStyle&gt;
   &lt;color&gt;ff00ffff&lt;/color&gt;
   &lt;scale&gt;0.6&lt;/scale&gt;
  &lt;/LabelStyle&gt;
  &lt;ListStyle&gt;
  &lt;/ListStyle&gt;
 &lt;/Style&gt;
</t>
  </si>
  <si>
    <t xml:space="preserve">    &lt;styleUrl&gt;#Style5&lt;/styleUrl&gt;
</t>
  </si>
  <si>
    <t>Placemark
Code fragment 1</t>
  </si>
  <si>
    <t xml:space="preserve">   &lt;Placemark&gt;
      &lt;name&gt;</t>
  </si>
  <si>
    <t>Placemark
Code fragment 2</t>
  </si>
  <si>
    <t xml:space="preserve">&lt;/name&gt;
</t>
  </si>
  <si>
    <t xml:space="preserve">      &lt;Point&gt;
         &lt;coordinates&gt;</t>
  </si>
  <si>
    <t>Placemark
Code fragment 3</t>
  </si>
  <si>
    <t>,0&lt;/coordinates&gt;
      &lt;/Point&gt;
      &lt;description&gt;&lt;![CDATA[</t>
  </si>
  <si>
    <t>Placemark
Code fragment 4</t>
  </si>
  <si>
    <t>]]&gt;&lt;/description&gt;
   &lt;/Placemark&gt;</t>
  </si>
  <si>
    <t>Footer</t>
  </si>
  <si>
    <t>&lt;/Document&gt;
&lt;/kml&gt;</t>
  </si>
  <si>
    <t>Boarding School</t>
  </si>
  <si>
    <t>Winter Clothes Adult</t>
  </si>
  <si>
    <t>NFI_Winter_Clothes_Adult_Track</t>
  </si>
  <si>
    <t>NFI_Winter_Clothes_Adult_Stock</t>
  </si>
  <si>
    <t>NFI_Winter_Clothes_Adult_Pipeline</t>
  </si>
  <si>
    <t>Winter Clothes Children</t>
  </si>
  <si>
    <t>NFI_Winter_Clothes_Children_Track</t>
  </si>
  <si>
    <t>NFI_Winter_Clothes_Children_Stock</t>
  </si>
  <si>
    <t>NFI_Winter_Clothes_Children_Pipeline</t>
  </si>
  <si>
    <t>Winter Items Other</t>
  </si>
  <si>
    <t>NFI_Winter_Items_Other_Track</t>
  </si>
  <si>
    <t>NFI_Winter_Items_Other_Stock</t>
  </si>
  <si>
    <t>NFI_Winter_Items_Other_Pipeline</t>
  </si>
  <si>
    <t xml:space="preserve">Winter Clothes Adult </t>
  </si>
  <si>
    <t xml:space="preserve">Winter Clothes Children </t>
  </si>
  <si>
    <t xml:space="preserve">Winter Items Other </t>
  </si>
  <si>
    <t>LDO</t>
  </si>
  <si>
    <t># of Locations</t>
  </si>
  <si>
    <t>Renovated</t>
  </si>
  <si>
    <t>Planned Renovation</t>
  </si>
  <si>
    <t>Sum of Coverage</t>
  </si>
  <si>
    <t/>
  </si>
  <si>
    <t>1-100</t>
  </si>
  <si>
    <t>100-1k</t>
  </si>
  <si>
    <t>Closed. Rellocated to Man Win and La Ga Yaung</t>
  </si>
  <si>
    <t>Change to Host Families.</t>
  </si>
  <si>
    <t>Closed. Duplicate with Maing Khaung.</t>
  </si>
  <si>
    <t>Closed. Same with (Namhkan St. Thomas 1)</t>
  </si>
  <si>
    <t>Closed. Same with (Nam Hkam Catholic Church  St. Thomas II)</t>
  </si>
  <si>
    <t>Close. Same with Kutkai Down Town RC. Source UNHCR Bhamo</t>
  </si>
  <si>
    <t>Closed. Rellocated next to AD 2000 Tharthana Compound and CCCM is under AD 2000</t>
  </si>
  <si>
    <t>Closed. Rellocated to Tharthana Ahlin Yaung.</t>
  </si>
  <si>
    <t>MMR001CMP224</t>
  </si>
  <si>
    <t>Saw Zam</t>
  </si>
  <si>
    <t>MMR001CMP225</t>
  </si>
  <si>
    <t>Tharthana Ahlin Yaung New Monastery</t>
  </si>
  <si>
    <t>Closed. Source Cluster Coordinator</t>
  </si>
  <si>
    <t>Close. According to RRC's info, this camp does not include in reported list.</t>
  </si>
  <si>
    <t>MMR015009036</t>
  </si>
  <si>
    <t>Man Nway (Pang Hseng (Kyu Koke)) Sub-township</t>
  </si>
  <si>
    <t>Nam Hkawng Khu</t>
  </si>
  <si>
    <t>Save the Children</t>
  </si>
  <si>
    <t>WPN</t>
  </si>
  <si>
    <t>Lang Taung</t>
  </si>
  <si>
    <t>MMR001014009</t>
  </si>
  <si>
    <t>Nawng Hkaing</t>
  </si>
  <si>
    <t>Doke Tan Ward</t>
  </si>
  <si>
    <t>MMR001014701509</t>
  </si>
  <si>
    <t>Bum Tsit Pa Camp II</t>
  </si>
  <si>
    <t>MMR001CMP226</t>
  </si>
  <si>
    <t>Plan-Myanmar</t>
  </si>
  <si>
    <t>CRC</t>
  </si>
  <si>
    <t>Move to Nant Ma Hpit Catholic Church.</t>
  </si>
  <si>
    <t>Changed Camp to Host Families. Source: Camp Profile Questionnaire.</t>
  </si>
  <si>
    <t>Inn Lel Yan</t>
  </si>
  <si>
    <t>Inn Lel Yan - Host Families</t>
  </si>
  <si>
    <t>New host families.</t>
  </si>
  <si>
    <t>MMR001CMP227</t>
  </si>
  <si>
    <t>Closed. Move to Bum Tist Pa II and Man Wing. HH113/Pop837</t>
  </si>
  <si>
    <t>Comments</t>
  </si>
  <si>
    <t>Only one HH left, included in Lon Khin Baptist distribution list.</t>
  </si>
  <si>
    <t>Closed.Moved to Na Ma Pyit KBC.</t>
  </si>
  <si>
    <t>Closed.</t>
  </si>
  <si>
    <t>Muse Town</t>
  </si>
  <si>
    <t>MMR015009701</t>
  </si>
  <si>
    <t>Ho Mun Ward</t>
  </si>
  <si>
    <t>MMR015009701504</t>
  </si>
  <si>
    <t>Muse Baptist Church</t>
  </si>
  <si>
    <t>MMR015CMP213</t>
  </si>
  <si>
    <t>Nam Hkam (KBC Jaw Wang) II</t>
  </si>
  <si>
    <t>MMR015CMP214</t>
  </si>
  <si>
    <t>MMR015010002</t>
  </si>
  <si>
    <t>Ho Nar</t>
  </si>
  <si>
    <t>Pang Long</t>
  </si>
  <si>
    <t>MMR015CMP215</t>
  </si>
  <si>
    <t>Man Wing Catholic Church II</t>
  </si>
  <si>
    <t>MMR001CMP228</t>
  </si>
  <si>
    <t>Muse Catholic Church</t>
  </si>
  <si>
    <t>MMR015CMP216</t>
  </si>
  <si>
    <t>Hpakant Baptist Church, Nam Ma Hpit</t>
  </si>
  <si>
    <t>MMR001CMP229</t>
  </si>
  <si>
    <t>Namhkan - Pang Long KBC</t>
  </si>
  <si>
    <t>Geo-Info, HH/Pop data was updated from Google Earth.</t>
  </si>
  <si>
    <t>Mone Paw Nam Chet (Zay) (Pang Hseng (Kyu Koke)) Sub-township</t>
  </si>
  <si>
    <t>MMR015009033</t>
  </si>
  <si>
    <t>Mone Paw Nam Chet</t>
  </si>
  <si>
    <t>Man Pying (Pang Hseng (Kyu Koke)) Sub-township</t>
  </si>
  <si>
    <t>MMR015009038</t>
  </si>
  <si>
    <t>Hawwa</t>
  </si>
  <si>
    <t>MMR001012013</t>
  </si>
  <si>
    <t>Khon Sint</t>
  </si>
  <si>
    <t>P1</t>
  </si>
  <si>
    <t>P2</t>
  </si>
  <si>
    <t>P3</t>
  </si>
  <si>
    <t>Priority</t>
  </si>
  <si>
    <t>Ind</t>
  </si>
  <si>
    <t>WC_Adult_Gap</t>
  </si>
  <si>
    <t>WI_Other_Gap</t>
  </si>
  <si>
    <t>WC_Child_Gap</t>
  </si>
  <si>
    <t>Sum of WC_Adult_Gap</t>
  </si>
  <si>
    <t>Sum of WC_Child_Gap</t>
  </si>
  <si>
    <t>Sum of WI_Other_Gap</t>
  </si>
  <si>
    <t>Check1</t>
  </si>
  <si>
    <t>KMSS-BMO</t>
  </si>
  <si>
    <t>KMSS-MYT</t>
  </si>
  <si>
    <t>Planned Distribution</t>
  </si>
  <si>
    <t>No</t>
  </si>
  <si>
    <t>P4</t>
  </si>
  <si>
    <t>ICRC</t>
  </si>
  <si>
    <t>Man Wing Baptist Church Cultural Compound</t>
  </si>
  <si>
    <t>MMR001CMP230</t>
  </si>
  <si>
    <t>FSD</t>
  </si>
  <si>
    <t>Closed. Duplicate with (Nawng Ing (Indawgyi) Baptist Church)</t>
  </si>
  <si>
    <t>COC</t>
  </si>
  <si>
    <t>Closed. Source: Save The Children</t>
  </si>
  <si>
    <t>MMR015CMP217</t>
  </si>
  <si>
    <t>Mungji Pa Dabang (Catholic Church)</t>
  </si>
  <si>
    <t>Chipwi KBC Camp</t>
  </si>
  <si>
    <t>CRCS</t>
  </si>
  <si>
    <t>CpPcode</t>
  </si>
  <si>
    <t>Accomodation</t>
  </si>
  <si>
    <t>ResponsibleAgency</t>
  </si>
  <si>
    <t>HouseHold</t>
  </si>
  <si>
    <t>Change to Host Families. Source: Programme Unit.</t>
  </si>
  <si>
    <t>used in warehouse</t>
  </si>
  <si>
    <t>Winter Blanket</t>
  </si>
  <si>
    <t>NFI_Winter_Blanket_Track</t>
  </si>
  <si>
    <t>NFI_Winter_Blanket_Stock</t>
  </si>
  <si>
    <t>NFI_Winter_Blanket_Pipeline</t>
  </si>
  <si>
    <t>In 2014, this school is no longer accepting the lower grade students.</t>
  </si>
  <si>
    <t>Closed. Source: UNHCR-Bhamo. (5-Nov-2014 During the yesterday GCM meeting, it is noted from WFP that the Tharthana Ahlin Yaung New Monastery, MMR001CMP224, is closed already. Some families are still remained staying with host family and WFP is still providing them with regular food supplies.)</t>
  </si>
  <si>
    <t>Chipwi Total</t>
  </si>
  <si>
    <t>Waingmaw Total</t>
  </si>
  <si>
    <t>Closed. Population relocated to Man Bung Catholic Compound (MMR001CMP062)</t>
  </si>
  <si>
    <t>Ku Day Maw KBC</t>
  </si>
  <si>
    <t>MMR001CMP231</t>
  </si>
  <si>
    <t>(Multiple Items)</t>
  </si>
  <si>
    <t>Land Status</t>
  </si>
  <si>
    <t>Shelter Possible</t>
  </si>
  <si>
    <t>Sum of Shelter Possible</t>
  </si>
  <si>
    <t>Shelter Gap</t>
  </si>
  <si>
    <t>Sum of Shelter Gap</t>
  </si>
  <si>
    <t xml:space="preserve">Gap </t>
  </si>
  <si>
    <t>Possible Units</t>
  </si>
  <si>
    <t>Nam Si In (Karmaing Sub-township)</t>
  </si>
  <si>
    <t>Mohnyin Town</t>
  </si>
  <si>
    <t>Ma Hkan Tee</t>
  </si>
  <si>
    <t>MMR015009013</t>
  </si>
  <si>
    <t>MMR015019701</t>
  </si>
  <si>
    <t>opening_date</t>
  </si>
  <si>
    <t>Hygiene Kit_LS</t>
  </si>
  <si>
    <t>NFI Core Kit_LS</t>
  </si>
  <si>
    <t>Sanitary Kit_LS</t>
  </si>
  <si>
    <t>Mosquito net_LS</t>
  </si>
  <si>
    <t>Tarpaulin_LS</t>
  </si>
  <si>
    <t>Kitchen Set_LS</t>
  </si>
  <si>
    <t>Blanket_LS</t>
  </si>
  <si>
    <t>Plastic Bucket _LS</t>
  </si>
  <si>
    <t>Plastic  Mat_LS</t>
  </si>
  <si>
    <t>Winter Clothes Adult_LS</t>
  </si>
  <si>
    <t>Winter Clothes Children_LS</t>
  </si>
  <si>
    <t>Winter Items Other_LS</t>
  </si>
  <si>
    <t>Winter Blanket_LS</t>
  </si>
  <si>
    <t>Report_Date</t>
  </si>
  <si>
    <t>NFI_Monitor_Date</t>
  </si>
  <si>
    <t>Winter</t>
  </si>
  <si>
    <t>#Household</t>
  </si>
  <si>
    <t>#Not Covered</t>
  </si>
  <si>
    <t>#Covered</t>
  </si>
  <si>
    <t>#Land Issue</t>
  </si>
  <si>
    <t>#Gap</t>
  </si>
  <si>
    <t>Hopin Host Families</t>
  </si>
  <si>
    <t>Moenyin Host Families</t>
  </si>
  <si>
    <t>MMR001CMP232</t>
  </si>
  <si>
    <t>MMR001CMP233</t>
  </si>
  <si>
    <t>Emergency Aung Bar Li</t>
  </si>
  <si>
    <t>Lone Zut</t>
  </si>
  <si>
    <t>CBP</t>
  </si>
  <si>
    <t>Bhamo Total</t>
  </si>
  <si>
    <t>Hpakant Total</t>
  </si>
  <si>
    <t>Mansi Total</t>
  </si>
  <si>
    <t>Mohnyin Total</t>
  </si>
  <si>
    <t>Momauk Total</t>
  </si>
  <si>
    <t>Myitkyina Total</t>
  </si>
  <si>
    <t>Puta-O Total</t>
  </si>
  <si>
    <t>Kutkai Total</t>
  </si>
  <si>
    <t>Muse Total</t>
  </si>
  <si>
    <t>Namhkan Total</t>
  </si>
  <si>
    <t>Shan_North Total</t>
  </si>
  <si>
    <t>Count of Camp</t>
  </si>
  <si>
    <t>Sum of Total2</t>
  </si>
  <si>
    <t># HH</t>
  </si>
  <si>
    <t># Ind.</t>
  </si>
  <si>
    <t># Camps</t>
  </si>
  <si>
    <t># Shelter Gap</t>
  </si>
  <si>
    <t># Const. Shelter</t>
  </si>
  <si>
    <t>Group1</t>
  </si>
  <si>
    <t>Township2</t>
  </si>
  <si>
    <t>Other Townships</t>
  </si>
  <si>
    <t>V1</t>
  </si>
  <si>
    <t>V2</t>
  </si>
  <si>
    <t>V3</t>
  </si>
  <si>
    <t>Shelter_Draw_Ratio</t>
  </si>
  <si>
    <t>Nearest_Town</t>
  </si>
  <si>
    <t>Distance</t>
  </si>
  <si>
    <t>IDP</t>
  </si>
  <si>
    <t>Nearest Town</t>
  </si>
  <si>
    <t>distance</t>
  </si>
  <si>
    <t>Naypyitaw Town</t>
  </si>
  <si>
    <t>Pang War Town</t>
  </si>
  <si>
    <t>Hpakant Town</t>
  </si>
  <si>
    <t>Kamaing Town</t>
  </si>
  <si>
    <t>Kunlong Town</t>
  </si>
  <si>
    <t>Khaunglanhpu Town</t>
  </si>
  <si>
    <t>Namhkan Town</t>
  </si>
  <si>
    <t>Tarmoenye Town</t>
  </si>
  <si>
    <t>Manton Town</t>
  </si>
  <si>
    <t>Hopin Town</t>
  </si>
  <si>
    <t>Laiza town</t>
  </si>
  <si>
    <t>Dawthponeyan  Town</t>
  </si>
  <si>
    <t>Monekoe Town</t>
  </si>
  <si>
    <t>Pang Hseng (Kyu Koke) Town</t>
  </si>
  <si>
    <t>Kan Paik Ti Town</t>
  </si>
  <si>
    <t>Sadung Town</t>
  </si>
  <si>
    <t>Machanbaw Town</t>
  </si>
  <si>
    <t>Distance_Cat</t>
  </si>
  <si>
    <t>0-5km</t>
  </si>
  <si>
    <t>5-10km</t>
  </si>
  <si>
    <t>10-15km</t>
  </si>
  <si>
    <t>15-20km</t>
  </si>
  <si>
    <t>20-25km</t>
  </si>
  <si>
    <t>25-30km</t>
  </si>
  <si>
    <t># IDP Loc.</t>
  </si>
  <si>
    <t>Clothes Kit</t>
  </si>
  <si>
    <t>Clothes Kit_LS</t>
  </si>
  <si>
    <t>NFI_Clothes_Track</t>
  </si>
  <si>
    <t>NFI_Clothes_Stock</t>
  </si>
  <si>
    <t>NFI_Clothes_Pipeline</t>
  </si>
  <si>
    <t>Clothes Kits</t>
  </si>
  <si>
    <t xml:space="preserve">Winter Blanket </t>
  </si>
  <si>
    <t xml:space="preserve">Mosquito net </t>
  </si>
  <si>
    <t xml:space="preserve">Plastic Bucket </t>
  </si>
  <si>
    <t xml:space="preserve">Plastic Mat </t>
  </si>
  <si>
    <t>Core Kit</t>
  </si>
  <si>
    <t>Winter Items</t>
  </si>
  <si>
    <t>Lifespam</t>
  </si>
  <si>
    <t>% Gap</t>
  </si>
  <si>
    <t>Items distributed to other affected people</t>
  </si>
  <si>
    <t>#Camps</t>
  </si>
  <si>
    <t>2015-04-01 : According to UNICEF and WFP this location is a village. People are not IDP but are affected by the crisis. That s why it would remain in the list.
Geo-Info, HH/Pop data was updated from Google Earth.</t>
  </si>
  <si>
    <t>Village</t>
  </si>
  <si>
    <t>Crisis Affected</t>
  </si>
  <si>
    <t>27-Mar-15 (Closed. Source: UNHCR-Bhamo)
New Camp</t>
  </si>
  <si>
    <t>19-Mar-2015 (WFP has been providing this host families since 2013.)</t>
  </si>
  <si>
    <t>2-Apr-15 (Closed. Source: GAD)
Responsible Agency update. KMSS-BMO to KMSS-MYT.</t>
  </si>
  <si>
    <t>&gt; 30 km</t>
  </si>
  <si>
    <t># of IDP Loc.</t>
  </si>
  <si>
    <t>Average of Coverage</t>
  </si>
  <si>
    <t>Pajau - Jan Mai</t>
  </si>
  <si>
    <t>Tat Kone COC Baptist - Tat Kone Htoi San</t>
  </si>
  <si>
    <t>Zai Awng - Mung Ga Zup</t>
  </si>
  <si>
    <t>Moke Lwe Village - Hkar Shi</t>
  </si>
  <si>
    <t>Nawng Si Paw Village - Inn Lay</t>
  </si>
  <si>
    <t>Laiza Market 3 - Laiza Gat</t>
  </si>
  <si>
    <t>Affected Population</t>
  </si>
  <si>
    <t>Estimation</t>
  </si>
  <si>
    <t>MMR001002009</t>
  </si>
  <si>
    <t>MMR001007701</t>
  </si>
  <si>
    <t>MMR001009012</t>
  </si>
  <si>
    <t>MMR015011030</t>
  </si>
  <si>
    <t>MMR015011020</t>
  </si>
  <si>
    <t>MMR015009048</t>
  </si>
  <si>
    <t>MMR001012039</t>
  </si>
  <si>
    <t>MMR015CMP218</t>
  </si>
  <si>
    <t>MMR001CMP234</t>
  </si>
  <si>
    <t>Lung Sut</t>
  </si>
  <si>
    <t>25-Jun-15 Relocate to Shatapru Thida Aye Baptist Church
Population update: Source: Camp Profile Round 2.</t>
  </si>
  <si>
    <t>KMSS-LSO</t>
  </si>
  <si>
    <t>25-Jun-15 (Relocated to Hpum Lone Yan and Wai Choi)
Population Update. Source: UNHCR Cross-Line Mission Report. (July 2014)</t>
  </si>
  <si>
    <t>25-Jun-15 (Relocate to Long Sut)
Geo-Info, HH/Pop data received from MIRA Form</t>
  </si>
  <si>
    <t>25-Jun-15 (Relocated to Lone Sut)
Geo-Info, HH/Pop data received from MIRA Form</t>
  </si>
  <si>
    <t>Lone Sut Ward</t>
  </si>
  <si>
    <t>MMR001014701510</t>
  </si>
  <si>
    <t xml:space="preserve">Ma Hawng RC </t>
  </si>
  <si>
    <t>MMR001CMP235</t>
  </si>
  <si>
    <t>MMR001CMP236</t>
  </si>
  <si>
    <t>MMR001CMP237</t>
  </si>
  <si>
    <t>25-Jun-2015 (New host families. Source: RRD)</t>
  </si>
  <si>
    <t>Sar Hmaw</t>
  </si>
  <si>
    <t>MMR001008018</t>
  </si>
  <si>
    <t>Nam Sa Larp</t>
  </si>
  <si>
    <t>MMR015002021</t>
  </si>
  <si>
    <t>Sar Hmaw - KBC</t>
  </si>
  <si>
    <t>Sar Hmaw - ICM</t>
  </si>
  <si>
    <t>SHELTER TRACKING SHEET</t>
  </si>
  <si>
    <t>Implementing  Partner</t>
  </si>
  <si>
    <t>HH per Shelter</t>
  </si>
  <si>
    <t># of Family Tent Distributed</t>
  </si>
  <si>
    <t># of Temporary Shelter Units Planned (Target)</t>
  </si>
  <si>
    <t># of Temporary Shelter Units Built</t>
  </si>
  <si>
    <t># of Temporary Shelter Under  Construction</t>
  </si>
  <si>
    <t># of Permanent House Planned (Target)</t>
  </si>
  <si>
    <t># of Permanent House Built</t>
  </si>
  <si>
    <t># of Permanent House Under Construction</t>
  </si>
  <si>
    <t>HH Covered</t>
  </si>
  <si>
    <t># of Family Tent Planned(Target)</t>
  </si>
  <si>
    <t>19-Aug-15 Close. Source: CCCM Unit.
Population source: KMSS-BMO</t>
  </si>
  <si>
    <t>Location</t>
  </si>
  <si>
    <t>Camps/Host Families</t>
  </si>
  <si>
    <t>Sum of HH Covered</t>
  </si>
  <si>
    <t>Sum of # of Temporary Shelter Units Built</t>
  </si>
  <si>
    <t>Sum of # of Temporary Shelter Under  Construction</t>
  </si>
  <si>
    <t>19-Aug-15 Closed. IDP were provided with individual lands within Naung Hmee village and transit toward semi-permanent settlement. Source: CCCM Unit
2-Apr-15 (Population update, Source: UNHCR CCCM Mission)
Population update: Source: Camp Profile Round 2.</t>
  </si>
  <si>
    <t>Ndup Yang</t>
  </si>
  <si>
    <t>MMR001CMP238</t>
  </si>
  <si>
    <t>10/2/2015. New Camp. Data source: CCCM team-Ko Maran</t>
  </si>
  <si>
    <t>Salang Yang</t>
  </si>
  <si>
    <t>MMR001CMP239</t>
  </si>
  <si>
    <t>Replacement</t>
  </si>
  <si>
    <t>Replacement (YES/NO)</t>
  </si>
  <si>
    <t>YES</t>
  </si>
  <si>
    <t>NO</t>
  </si>
  <si>
    <t>14-Oct-15 Population update. Soruce; Hpakant Mission Report_WFP
25-Jun-15 Population update. Source: KBC
18-May-15 (Population update from field mission)
3-Apr-15 (Population update. Source: Camp Profile Round 3)
New camp</t>
  </si>
  <si>
    <t>Jerry Can</t>
  </si>
  <si>
    <t>Jerry Can_LS</t>
  </si>
  <si>
    <t>NFI_Jerry_Can_Track</t>
  </si>
  <si>
    <t>NFI_Jerry_Can_Stock</t>
  </si>
  <si>
    <t>NFI_Jerry_Can_Pipeline</t>
  </si>
  <si>
    <t>9/Nov/2015. updated camp status (Closed). Data Source; Lu Lu Awng by mail.
19-Aug-15 Population update. Source: Shalom
25-Jun-15 (Population update. Source : Shalom)
Checked with Shalom data, IDPs figure do not change</t>
  </si>
  <si>
    <t>MMR001012703</t>
  </si>
  <si>
    <t>Dawthponeyan Boarding School</t>
  </si>
  <si>
    <t>MMR001CMP240</t>
  </si>
  <si>
    <t>9/Nov/15. Accomodation changes from Host families to Camp. Data source: mail by Maran Tang Nau.
19-Aug-15 (Population Udate. Data Source: KMSS-MYT)
25-Jun-2015 (New host families. Source: RRD)</t>
  </si>
  <si>
    <t xml:space="preserve">New Pang Ku </t>
  </si>
  <si>
    <t>MMR015CMP219</t>
  </si>
  <si>
    <t>9/Nov/15. New added camp. Data source: UNHCR CCCM officer NSS mission 8-12 July 2015.</t>
  </si>
  <si>
    <t>9/Nov/15. Population update. Data source: mail from Pancy (WFP).
Update IDP increased in Oct and Nov 2013 from Angela (UNHCR - Bhamo)</t>
  </si>
  <si>
    <t>9/Nov/15. Population update. Data source: mail from Pancy (WFP).</t>
  </si>
  <si>
    <t>9/Nov/15. Population update. Data source: mail from Pancy (WFP).
Update IDP increased in Oct and Nov 2013 from (UNHCR - Bhamo)</t>
  </si>
  <si>
    <t>9/Nov/2015. Population update. Data source: mail from Pancy (WFP).
New added Boarding School</t>
  </si>
  <si>
    <t>Resettlement place</t>
  </si>
  <si>
    <t>Updated on 2/Dec/2015. Data source: mail by Win Aung Htun
Updated on 11/Nov/2015. Added jerry can data. Data source: mail by Win Aung Htun
Updated on 29/Sep/2015. 
Data Source: Lu Lu Awng and Win Aung Tun</t>
  </si>
  <si>
    <t>Latitude</t>
  </si>
  <si>
    <t>28/Jan/2016. Population update. Data source: KBC (mail by maran)
13/Dec/15. Population update. Data source: Mail by Ko Maran. Reason for pop changes: IDP in the host who were registered in the Man Win Bapitst Church (cultural compound) camp established their own separate entity as IDP in the host. 
Population Update. Source: Save The Children.</t>
  </si>
  <si>
    <t>28/Jan/2016. Population update. Data source: KBC (mail by maran)
19-Aug-15 (Population Update. Data Source: KMSS-BMO)
Population update: Source: Camp Profile Round 2.</t>
  </si>
  <si>
    <t>28/Jan/2016. Population update. Data source: KBC (mail by maran)
Population update: Source: KMSS-BMO
Population Update. Source: Save The Children.</t>
  </si>
  <si>
    <t>28/Jan/2016. Population update. Data source: KBC (mail by maran)
Population Update. Source: Save The Children.</t>
  </si>
  <si>
    <t>28/Jan/2016. Population update. Data source: KBC (mail by maran)
19-Aug-2015. Update Population. Data Source; KMSS-BMO
Population update: Source UNHCR-Bhamo</t>
  </si>
  <si>
    <t>28/Jan/2016. Population update. Data source: KBC (mail by maran)
19 Aug 2015. Udate Population. Date Source; KMSS-BMO
Population update: Source: KMSS-BMO</t>
  </si>
  <si>
    <t>28/Jan/2016. Population update. Data source: KBC (mail by maran)
19-Aug-15 Update population. Source KMSS-BMO
Geo-Info update.</t>
  </si>
  <si>
    <t>28/Jan/2016. Population update. Data source: KBC (mail by maran)
19-Aug-2015. Population Update. Data Source; KMSS-BMO
Population increased. Relocated from Momauk Catholic Church (St. Patrick) - MMR001CMP057</t>
  </si>
  <si>
    <t>28/Jan/2016. Population update. Data source: KBC (mail by maran)
19-Aug-2015. Update Population. Data Source; KMSS-BMO
Update population. Source UNHCR Bhamo</t>
  </si>
  <si>
    <t>28/Jan/2016. Population update. Data source: KBC (mail by maran)
19 Aug 2015. Update Population. Data Source; KMSS-BMO
Population update: Source UNHCR-Bhamo</t>
  </si>
  <si>
    <t>28/Jan/2016. Population update. Data source: KBC (mail by maran)
19-Aug-15 (Population update. Source: MKSS-LSO)
25-Jun-15 (Population update. Source: KMSS-LSO)
Population updated. Source: Shelter unit.</t>
  </si>
  <si>
    <t>28/Jan/2016. Population update. Data source: KBC (mail by maran)
19-Aug-15 (Population update. Source: KMSS-LSO)
25-Jun-15 (Population update. Source: KMSS-LSO)
New Camp</t>
  </si>
  <si>
    <t>28/Jan/2016. Population update. Data source: KBC (mail by maran)
19-Aug-15 (Population update. Source KMSS-LSO)
25-Jun-15 (Population update. Source KMSS-LSO)
27-Mar-15 (Changed to GCA. Source UNHCR-Bhamo)
New camp. Source: KMSS-BMO</t>
  </si>
  <si>
    <t>28/Jan/2016. Population update. Data source: KBC (mail by maran)
19-Aug-15 (Population update. Source: MKSS-LSO)
25-Jun-15 (Population update. Source: KMSS-LSO)
Population Update. Source: Save The Children.</t>
  </si>
  <si>
    <t>28/Jan/2016. Population update. Data source: KBC (mail by maran)
19-Aug-15 (Population update. Source: KMSS-LSO)
25-Jun-15 (Population update. Source: KMSS-LSO)
Population update. Changed NGCA to GCA. Source: CCCM Unit</t>
  </si>
  <si>
    <t>16/Feb/2016. families’ extension
28/Jan/2016. Population update. Data source: KBC (mail by maran)
19-Aug-2015. Update Population. Data Source; KMSS-BMO
Responsible Agency update. KMSS-MYT to KMSS-BMO.</t>
  </si>
  <si>
    <t>16/Feb/2016. some HH increase as some IDP from Pa Kahtawng join as the camp is closer to village 
28/Jan/2016. Population update. Data source: KBC (mail by maran)
19-Aug-2015. Update population. Data Source; KMSS-BMO
Population Update. Source: Save The Children.</t>
  </si>
  <si>
    <t>Du Kahtawng Qtr. 14,4,5 (combined as one camp)</t>
  </si>
  <si>
    <t>Shelter Tool kit</t>
  </si>
  <si>
    <t>Tent</t>
  </si>
  <si>
    <t>Shwe Gu (MyoHla)</t>
  </si>
  <si>
    <t>Mai hkawng Camp (RC +KBC)</t>
  </si>
  <si>
    <t>Mai hkawng Camp</t>
  </si>
  <si>
    <t>Lana Zup Ja and Bumtsit pa (1) and (2)</t>
  </si>
  <si>
    <t>Hpankha kone camp</t>
  </si>
  <si>
    <t>Nhkawng Pa camp and Pa Kahtawng camp thru cross line mission with KMSS-Bhamo</t>
  </si>
  <si>
    <t>Bum Tsit Pa Camp I</t>
  </si>
  <si>
    <t>Bum Tsit Pa Camp III</t>
  </si>
  <si>
    <t>Nam Jarap</t>
  </si>
  <si>
    <t xml:space="preserve">Loije Seng Ja </t>
  </si>
  <si>
    <t>Kbc</t>
  </si>
  <si>
    <t>Loi Je Seng Ja Camp thru Mission</t>
  </si>
  <si>
    <t>Shalom-BM</t>
  </si>
  <si>
    <t>Lisu Baptist Church</t>
  </si>
  <si>
    <t>Namtit</t>
  </si>
  <si>
    <t>Pyi Lung Chan Tar</t>
  </si>
  <si>
    <t>Kut Kai camp</t>
  </si>
  <si>
    <t>Moe Gok (Pain Pyit Lisu Village)</t>
  </si>
  <si>
    <t>Moe Gok (A Shae Kyaung)</t>
  </si>
  <si>
    <t>Moe Gok (Aung Daw Mu)</t>
  </si>
  <si>
    <t>Moe Mait (Man Ohn0</t>
  </si>
  <si>
    <t>Emergency</t>
  </si>
  <si>
    <t>KMSS-MKN</t>
  </si>
  <si>
    <t>Manhkring camp</t>
  </si>
  <si>
    <t>Updated on 11/Nov/2015. Added jerry can data. Data source: mail by Win Aung Htun</t>
  </si>
  <si>
    <t>Updated on 2/Dec/2015. Data source: mail by Win Aung Htun
Updated on 29/Sep/2015. 
Data Source: Lu Lu Awng and Win Aung Tun</t>
  </si>
  <si>
    <t>3/Mar/2016. Closed camp. Data source: January report from KBC
28/Jan/2016. Population update. Data source: KBC (mail by maran)
2/Dec/2015. Population update. Data source: KBC
25-Jun-15 Population update. Source: KBC
Update population. Source: Camp Profile.</t>
  </si>
  <si>
    <t>3/Mar/2016. Closed Camp. Data source: January report from KBC.
28/Jan/2016. Population update. Data source: KBC (mail by maran)
2/Dec/2015 (Population update. Data source: Monthly report by KBC).
25-Jun-2015 Update population. Data Source: KBC
Changed to Boarding School.</t>
  </si>
  <si>
    <t>Khaunglanhpu Total</t>
  </si>
  <si>
    <t>Mogaung Total</t>
  </si>
  <si>
    <t>Shwegu Total</t>
  </si>
  <si>
    <t>Sumprabum Total</t>
  </si>
  <si>
    <t>Hseni Total</t>
  </si>
  <si>
    <t>Manton Total</t>
  </si>
  <si>
    <t>Namtu Total</t>
  </si>
  <si>
    <t>Man Sa village</t>
  </si>
  <si>
    <t>KMSS_LSO</t>
  </si>
  <si>
    <r>
      <t xml:space="preserve">For Kyauk Mae Areas. </t>
    </r>
    <r>
      <rPr>
        <i/>
        <sz val="10"/>
        <rFont val="Calibri"/>
        <family val="2"/>
        <scheme val="minor"/>
      </rPr>
      <t xml:space="preserve">Mosquito 650 pcs transported to Shan but 600 pcs are distributed through RRD and KMSS-Lashio to 12 camp-like setting areas and 50 pcs are returned back to UNHCR Myitkyina warehouse. </t>
    </r>
  </si>
  <si>
    <t>10/May/2016. Population Update. Data source: KMSS
28/Jan/2016. Population update. Data source: KBC (mail by maran)
23-Oct-15 Population update. Data source; Monthly report by KMSS_MYT. Reason for changes; A new sprad HH is added.
14-Oct-15 Population update. Soruce; Hpakant Mission Report_WFP
2-Oct-15 (Population update. Data Source: Monthly report by KMSS-MYT)
25-Jun-15 (Population update. Source: KMSS-MYT)
18-May-15 (Population update from field mission)
2-Apr-15 (Population update, Source: UNHCR CCCM Mission)
Population Update. Source: KMSS-MYT</t>
  </si>
  <si>
    <t>12/May/2016. Population update. Data source: KBC
28/Jan/2016. Population update. Data source: KBC (mail by maran)</t>
  </si>
  <si>
    <t>12/May/2016. Population update. Data source: KBC
25-Jun-15 Population update. Source: KBC
Update population. Source: Camp Profile.</t>
  </si>
  <si>
    <t>12/May/2016. Population update. Data source: KBC
28/Jan/2016. Population update. Data source: KBC (mail by maran)
2/Dec/2015. Population update. Data source: KBC
25-Jun-2015 Update population. Data Source: KBC
Update population according to KBC data</t>
  </si>
  <si>
    <t>Shan</t>
  </si>
  <si>
    <t xml:space="preserve">Shan </t>
  </si>
  <si>
    <t>Kut kai</t>
  </si>
  <si>
    <t xml:space="preserve">Tent </t>
  </si>
  <si>
    <t>KMSS_Myitkyina</t>
  </si>
  <si>
    <t xml:space="preserve">13/May/16 (Hpare camp received only winter clothes)
For Pajau camp and Hpare camp, items transported by UNHCR laiza mission team and further distributed by KBC -&gt; 365 pcs of blackets, Fleece jackets for female (M) = 300 pcs, Fleece jackets for  female (L) = 160 pcs, </t>
  </si>
  <si>
    <t>Pajau camp received both winter itmes and blankets</t>
  </si>
  <si>
    <t>For Mang Wee villagers. 'KBC-Muse released family tents from their stock for this distribution</t>
  </si>
  <si>
    <t>__</t>
  </si>
  <si>
    <t>Moe Hping</t>
  </si>
  <si>
    <t>MMR001010009</t>
  </si>
  <si>
    <t>MMR001010048</t>
  </si>
  <si>
    <t>Aung Thar</t>
  </si>
  <si>
    <t>MMR001005701503</t>
  </si>
  <si>
    <t>Ba Leit Dan Ward</t>
  </si>
  <si>
    <t>Nyein Chan Thar Yar</t>
  </si>
  <si>
    <t>Hkau Shau</t>
  </si>
  <si>
    <t>Htwe San Yang</t>
  </si>
  <si>
    <t>Kyun Taw Ward</t>
  </si>
  <si>
    <t>MMR001008701510</t>
  </si>
  <si>
    <t>Aung Chan Thar Ward</t>
  </si>
  <si>
    <t>MMR001012702503</t>
  </si>
  <si>
    <t>Maliyang Ward</t>
  </si>
  <si>
    <t>MMR015019701503</t>
  </si>
  <si>
    <t>MMR001005702</t>
  </si>
  <si>
    <t>MMR001005702502</t>
  </si>
  <si>
    <t>Saing Gyar Ward</t>
  </si>
  <si>
    <t>MMR001012702506</t>
  </si>
  <si>
    <t>MMR001013007</t>
  </si>
  <si>
    <t>MMR001012703502</t>
  </si>
  <si>
    <t>MMR001007702</t>
  </si>
  <si>
    <t>Myo Ma (South) Ward</t>
  </si>
  <si>
    <t>MMR001007702503</t>
  </si>
  <si>
    <t>Maing Khat</t>
  </si>
  <si>
    <t>MMR001012020</t>
  </si>
  <si>
    <t>15/Jun/2016: Population update. Data source: monthly report by KBC
12/May/2016. Population update. Data source: KBC
28/Jan/2016. Population update. Data source: KBC (mail by maran)
2/Dec/2015. Population update. Data source: KBC.
19-Aug-15 Update population from KBC
25-Jun-2015 Update population from KBC.
Checked with KBC data</t>
  </si>
  <si>
    <t>15/Jun/2016: Population update. Data source: monthly report by KBC
12/May/2016. Population update. Data source: KBC
28/Jan/2016. Population update. Data source: KBC (mail by maran)
19-Aug-15 Update pouplation from KBC
25-Jun-2015 Update population from KBC.
Update population according to KBC data</t>
  </si>
  <si>
    <t>15/Jun/2016: Population update. Data source: monthly report by KBC
12/May/2016. Population update. Data source: KBC
28/Jan/2016. Population update. Data source: KBC (mail by maran)
2/Dec/2015 (Population update. Data source: Monthly report by KBC).
19-Aug-15 Update population from KBC.
25-Jun-2015 Update population from KBC.
Checked with KBC data</t>
  </si>
  <si>
    <t>15/Jun/2016: Population update. Data source: monthly report by KBC
28/Jan/2016. Population update. Data source: KBC (mail by maran)
2/Dec/2015. Population update. Data source: KBC.
19-Aug-2015 Update population from KBC.
25-Jun-2015 Update population from KBC.
Update population according to KBC data</t>
  </si>
  <si>
    <t>15/Jun/2016: Population update. Data source: monthly report by KBC
12/May/2016. Population update. Data source: KBC
28/Jan/2016. Population update. Data source: KBC (mail by maran)
2/Dec/2015. Population update. Data source: KBC.
19-Aug-15 Update population from KBC
25-Jun-2015 Update population from KBC.
Update population according to KBC data</t>
  </si>
  <si>
    <t>15/Jun/2016: Population update. Data source: monthly report by KBC
12/May/2016. Population update. Data source: KBC
28/Jan/2016. Population update. Data source: KBC (mail by maran)
2/Dec/2015. Population update. Data source: KBC.
19-Aug-15 - Update population from KBC.
25-Jun-2015 Update population from KBC.
Update population according to KBC data</t>
  </si>
  <si>
    <t>15/Jun/2016: Population update. Data source: monthly report by KBC
12/May/2016. Population update. Data source: KBC
28/Jan/2016. Population update. Data source: KBC (mail by maran)
2/Dec/2015. Population update. Data source: KBC.
Update population according to KBC data</t>
  </si>
  <si>
    <t>15/Jun/2016: Population update. Data source: monthly report by KBC
12/May/2016. Population update. Data source: KBC
28/Jan/2016. Population update. Data source: KBC (mail by maran)
2/Dec/2015 (Population update. Data source: Monthly report by KBC).
19-Aug-2015 Update population from KBC.
25-Jun-2015 Update population from KBC.
Update population according to KBC data</t>
  </si>
  <si>
    <t>15/Jun/2016: Population update. Data source: monthly report by KBC
12/May/2016. Population update. Data source: KBC
28/Jan/2016. Population update. Data source: KBC (mail by maran)
19-Aug-15 Update population from KBC.
Update population according to KBC data</t>
  </si>
  <si>
    <t>15/Jun/2016: Population update. Data source: monthly report by KBC
12/May/2016. Population update. Data source: KBC
28/Jan/2016. Population update. Data source: KBC (mail by maran)
2/Dec/2015. Population update. Data source: KBC.
19-Aug-15 Update population from KBC.
25-Jun-2015 Update population from KBC.
Update population according to KBC data</t>
  </si>
  <si>
    <t>15/Jun/2016: Population update. Data source: monthly report by KBC
12/May/2016. Population update. Data source: KBC
28/Jan/2016. Population update. Data source: KBC (mail by maran)
2/Dec/2015. Population update. Data source: KBC.
19-Aug-15 Update population from KBC.
25-Jun-2015 Update population from KBC.
Checked with KBC data</t>
  </si>
  <si>
    <t>15/Jun/2016: Population update. Data source: monthly report by KBC
12/May/2016. Population update. Data source: KBC
28/Jan/2016. Population update. Data source: KBC (mail by maran)
2/Dec/2015 (Population update. Data source: Monthly report by KBC).
19-Aug-2015 Update population from KBC.
25-Jun-2015 Update population from KBC.
Checked with KBC data</t>
  </si>
  <si>
    <t>15/Jun/2016: Population update. Data source: monthly report by KBC
12/May/2016. Population update. Data source: KBC
28/Jan/2016. Population update. Data source: KBC (mail by maran)
2/Dec/2015 (Population update. Data source: Monthly report by KBC).
19-Aug-2015 Update population from KBC.
25-Jun-2015 Update population from KBC.
Population updated. Source: Shelter unit.</t>
  </si>
  <si>
    <t>15/Jun/2016: Population update. Data source: monthly report by KBC
12/May/2016. Population update. Data source: KBC
28/Jan/2016. Population update. Data source: KBC (mail by maran)
2/Dec/2015 (Population update. Data source: Monthly report by KBC).
19-Aug-15 Update population from KBC
25-Jun-2015 Update population. Data Source: KBC
Update population according to KBC data</t>
  </si>
  <si>
    <t>15/Jun/2016: Population update. Data source: monthly report by KBC
12/May/2016. Population update. Data source: KBC
28/Jan/2016. Population update. Data source: KBC (mail by maran)
25-Jun-2015 Update population. Data Source: KBC
Changed NGCA to GCA. Source: Programme Unit.</t>
  </si>
  <si>
    <t>15/Jun/2016: Population update. Data source: monthly report by KBC
12/May/2016. Population update. Data source: KBC
28/Jan/2016. Population update. Data source: KBC (mail by maran)
2/Dec/2015. Population update. Data source: KBC.
25-Jun-2015 Update population. Data Source: KBC
Population update: Source: Camp Profile Round 2.</t>
  </si>
  <si>
    <t>15/Jun/2016: Population update. Data source: monthly report by KBC
12/May/2016. Population update. Data source: KBC
28/Jan/2016. Population update. Data source: KBC (mail by maran)
2/Dec/2015. Population update. Data source: KBC
25-Jun-2015 Update population. Data Source: KBC
Population update: Source: Camp Profile Round 2.</t>
  </si>
  <si>
    <t>15/Jun/2016: Population update. Data source: monthly report by KBC
12/May/2016. Population update. Data source: KBC
28/Jan/2016. Population update. Data source: KBC (mail by maran)
2/Dec/2015. Population update. Data source: KBC
25-Jun-2015 Update population. Data Source: KBC
Population update: Source UNHCR-Bhamo</t>
  </si>
  <si>
    <t>15/Jun/2016: Population update. Data source: monthly report by KBC
12/May/2016. Population update. Data source: KBC
28/Jan/2016. Population update. Data source: KBC (mail by maran)
2/Dec/2015. Population update. Data source: KBC.
19-Aug-15 Update population from KBC.
25-Jun-2015 Update population. Data Source: KBC
Checked with KBC data</t>
  </si>
  <si>
    <t>15/Jun/2016: Population update. Data source: monthly report by KBC
12/May/2016. Population update. Data source: KBC
28/Jan/2016. Population update. Data source: KBC (mail by maran)
19-Aug-15 Update population. Data Source: KBC.
25-Jun-2015 Update population. Data Source: KBC
Update population according to KBC data</t>
  </si>
  <si>
    <t>15/Jun/2016: Population update. Data source: monthly report by KBC
12/May/2016. Population update. Data source: KBC
28/Jan/2016. Population update. Data source: KBC (mail by maran)
2/Dec/2015. Population update. Data source: KBC
14-Oct-15 Population update. Soruce; Hpakant Mission Report_WFP
25-Jun-15 Population update. Source: KBC
2-Apr-15 (Population update, Source: UNHCR CCCM Mission)
Update population according to KBC data.</t>
  </si>
  <si>
    <t>15/Jun/2016: Population update. Data source: monthly report by KBC
12/May/2016. Population update. Data source: KBC
28/Jan/2016. Population update. Data source: KBC (mail by maran)
2/Dec/2015. Population update. Data source: KBC
25-Jun-15 Population update. Source: KBC
Update population according to KBC data</t>
  </si>
  <si>
    <t>15/Jun/2016: Population update. Data source: monthly report by KBC
12/May/2016. Population update. Data source: KBC
28/Jan/2016. Population update. Data source: KBC (mail by maran)
13/Dec/2015. Population update. Data source: Mail by Ko Maran. Reason for Pop changes: camp pp reduced as IDP in the host who were registered in the camp but now they established their own separate entity as IDP in the host. 
2/Dec/2015. Population update. Data source: KBC
25-Jun-15 Population update. Source: KBC
Population Update. Source: Save The Children.</t>
  </si>
  <si>
    <t>15/Jun/2016: Population update. Data source: monthly report by KBC
12/May/2016. Population update. Data source: KBC
28/Jan/2016. Population update. Data source: KBC (mail by maran)
2/Dec/2015. Population update. Data source: KBC.
19-Aug-15 Population update. Source: KBC.
25-Jun-15 Population update. Source: KBC
Update population according to KBC data</t>
  </si>
  <si>
    <t>15/Jun/2016: Population update. Data source: monthly report by KBC
12/May/2016. Population update. Data source: KBC
28/Jan/2016. Population update. Data source: KBC (mail by maran)
2/Dec/2015. Population update. Data source: KBC
25-Jun-15 Population update. Source: KBC
2-Apr-15 (Population update, Source: UNHCR CCCM Mission)</t>
  </si>
  <si>
    <t>15/Jun/2016: Population update. Data source: monthly report by KBC
12/May/2016. Population update. Data source: KBC
28/Jan/2016. Population update. Data source: KBC (mail by maran)
2/Dec/2015. Population update. Data source: KBC
14-Oct-15 Population update. Soruce; Hpakant Mission Report_WFP
25-Jun-15 Population update. Source: KBC
2-Apr-15 (Population update, Source: UNHCR CCCM Mission)
Population Update. Source: KBC.</t>
  </si>
  <si>
    <t>15/Jun/2016: Population update. Data source: monthly report by KBC
12/May/2016. Population update. Data source: KBC
28/Jan/2016. Population update. Data source: KBC (mail by maran)
14-Oct-15 Population update. Soruce; Hpakant Mission Report_WFP
25-Jun-15 Population update. Source: KBC
2-Apr-15 (Population update, Source: UNHCR CCCM Mission)
Update population according to KBC data</t>
  </si>
  <si>
    <t>15/Jun/2016: Population update. Data source: monthly report by KBC
12/May/2016. Population update. Data source: KBC
28/Jan/2016. Population update. Data source: KBC (mail by maran)
2/Dec/2015. Population update. Data source: KBC
14-Oct-15 Population update. Soruce; Hpakant Mission Report_WFP
25-Jun-15 Population update. Source: KBC
18-May-15 (Population update with field mission)
2-Apr-15 (Population update, Source: UNHCR CCCM Mission)
Update population according to KBC data</t>
  </si>
  <si>
    <t>15/Jun/2016: Population update. Data source: monthly report by KBC
12/May/2016. Population update. Data source: KBC
28/Jan/2016. Population update. Data source: KBC (mail by maran)
2/Dec/2015. Population update. Data source: KBC.
25-Jun-15 Population update. Source: KBC
Population update: Source: Camp Profile Round 2.</t>
  </si>
  <si>
    <t>15/Jun/2016: Population update. Data source: monthly report by KBC
12/May/2016. Population update. Data source: KBC
28/Jan/2016. Population update. Data source: KBC (mail by maran)
13/Dec/2015. Population update. Data source: mail by Ko Maran. reason for population changes: Aung Tar KBC camp still exist. WFP report about camp closure but the small camp still exist. We change the status as open again
9/Nov/15. Camp Closed
25-Jun-15 Population update. Source: KBC
Population Update. Source: KBC.</t>
  </si>
  <si>
    <t>15/Jun/2016: Population update. Data source: monthly report by KBC
12/May/2016. Population update. Data source: KBC
28/Jan/2016. Population update. Data source: KBC (mail by maran)
13/Dec/2014. Population update. Data source: Mail by Ko Maran. Reason for Pop changes: Following September 2016 conflict there was sudden increase of IDP pp in Mansi and Mahkawng
2/Dec/2015. Population update. Data source: KBC
2-Oct-14 Population update (New arrival). Data source: NFI distribution list from Bhamo.
19-Aug-15 Population update. Source: KBC.
25-Jun-15 Population update. Source: KBC
Population update: Source: Camp Profile Round 2.</t>
  </si>
  <si>
    <t>15/Jun/2016: Population update. Data source: monthly report by KBC
12/May/2016. Population update. Data source: KBC
28/Jan/2016. Population update. Data source: KBC (mail by maran)
2/Dec/2015. Population update. Data source: KBC
25-Jun-15 Population update. Source: KBC
Population Update. Source: Save The Children.</t>
  </si>
  <si>
    <t>15/Jun/2016: Population update. Data source: monthly report by KBC
12/May/2016. Population update. Data source: KBC
28/Jan/2016. Population update. Data source: KBC (mail by maran)
2/Dec/2015. Population update. Data source: KBC
25-Jun-15 Population update. Source: KBC
18-May-15 (Population update by field mission)
Source: CCCM Unit (Hpakant Assessement Mission)</t>
  </si>
  <si>
    <t>15/Jun/2016: Population update. Data source: monthly report by KBC
12/May/2016. Population update. Data source: KBC
28/Jan/2016. Population update. Data source: KBC (mail by maran)
13/Dec/2015. Population update. Data source: Mail by Ko Maran. Reason for pop changes: data obtain from Protection team monitoring report  November 2015
2/Dec/2015. Population update. Data source: KBC
19-Aug-15 Population update. Source KBC.
25-Jun-15 New camp. Data Source : KBC</t>
  </si>
  <si>
    <t>15/Jun/2016: Population update. Data source: monthly report by KBC
12/May/2016. Population update. Data source: KBC
28/Jan/2016. Population update. Data source: KBC (mail by maran)
2/Dec/2015. Population update. Data source: KBC
25-Jun-15 Population update. Source: KBC
27-Mar-15 (Changed to GCA. Source UNHCR-Bhamo)
Update population. Source: Camp Profile.</t>
  </si>
  <si>
    <t>15/Jun/2016: Population update. Data source: monthly report by KBC
12/May/2016. Population update. Data source: KBC
28/Jan/2016. Population update. Data source: KBC (mail by maran)
2/Dec/2015. Population update. Data source: KBC
25-Jun-15 Population update. Source: KBC
Update population. Source: Camp Profile.</t>
  </si>
  <si>
    <t>15/Jun/2016: Population update. Data source: monthly report by KBC
12/May/2016. Population update. Data source: KBC
28/Jan/2016. Population update. Data source: KBC (mail by maran)
25-Jun-15 Population update. Source: KBC
Changed NGCA to GCA. Source: CCCM Unit</t>
  </si>
  <si>
    <t>15/Jun/2016: Population update. Data source: monthly report by KBC
12/May/2016. Population update. Data source: KBC
28/Jan/2016. Population update. Data source: KBC (mail by maran)
25-Jun-15 Population update. Source: KBC
Update population. Source: Camp Profile.</t>
  </si>
  <si>
    <t>15/Jun/2016: Population update. Data source: monthly report by KBC
12/May/2016. Population update. Data source: KBC
28/Jan/2016. Population update. Data source: KBC (mail by maran)
25-Jun-15 Population update. Source: KBC
Population update. Source: KBC.</t>
  </si>
  <si>
    <t>15/Jun/2016: Population update. Data source: monthly report by KBC
12/May/2016. Population update. Data source: KBC
28/Jan/2016. Population update. Data source: KBC (mail by maran)
2/Dec/2015. Population update. Data source: KBC
25-Jun-15 Population update. Source: KBC
New camp.</t>
  </si>
  <si>
    <t>15/Jun/2016: Population update. Data source: monthly report by KBC
12/May/2016. Population update. Data source: KBC
28/Jan/2016. Population update. Data source: KBC (mail by maran)
19-Aug-15 Population update. Source KBC.
25-Jun-15 New camp. Data Source : KBC</t>
  </si>
  <si>
    <t>15/Jun/2016: Population update. Data source: monthly report by KBC
15/Jun/2016: Population update. Data source: monthly report by KBC
12/May/2016. Population update. Data source: KBC
28/Jan/2016. Population update. Data source: KBC (mail by maran)
2/Dec/2015. Population update. Data source: KBC
25-Jun-15 Population update. Source: KBC
Population Update. Source: Save The Children.</t>
  </si>
  <si>
    <t>Camp Closed. Updated on 15 Jun 2016. Data source: Camp Profiling Data from KBC (Our NSS KBC-ERC team confirmed that Munekoe Pa camp has been closed regarding to their request. )
12/May/2016. Population update. Data source: KBC
28/Jan/2016. Population update. Data source: KBC (mail by maran)
2/Dec/2015. Population update. Data source: KBC
25-Jun-15 Population update. Source: KBC
Update population. Source: Camp Profile.</t>
  </si>
  <si>
    <t>Mine Wee (Man Jan)</t>
  </si>
  <si>
    <t>16/Jun/2016. Population update. Data source: monthly report from KMSS_MYT
10/May/2016. Population Update. Data source: KMSS
28/Jan/2016. Population update. Data source: KBC (mail by maran)
2/Dec/2015 (Population update. Data source: Monthly report by KMSS_MYT). Reasons for population changes; travelling from the camp for daily worker.
2-Oct-15 (Population update. Data Source: Monthly report by KMSS-MYT)
19-Aug-15 (Population updata. Data Source: KMSS-MYT)
25-Jun-15 (Population update. Source KMSS-MYT)
Population Update. Source: KMSS-MYT</t>
  </si>
  <si>
    <t>16/Jun/2016. Population update. Data source: monthly report from KMSS_MYT
28/Jan/2016. Population update. Data source: KBC (mail by maran)
9/Nov/15. Population update. Data source: mail from Pancy (WFP).
19-Mar-2015 (WFP has been providing this host families since 2013.)</t>
  </si>
  <si>
    <t>16/Jun/2016. Population update. Data source: monthly report from KMSS_MYT
10/May/2016. Population Update. Data source: KMSS
28/Jan/2016. Population update. Data source: KBC (mail by maran)
19-Aug-15 (Population update. Data Source: KMSS-MYT)
2-Apr-15 (Population update, Source: UNHCR CCCM Mission)
Population Update. Source: KMSS-MYT</t>
  </si>
  <si>
    <t>16/Jun/2016. Population update. Data source: monthly report from KMSS_MYT
10/May/2016. Population Update. Data source: KMSS
16/Feb/2016. Pop and HH correction.
28/Jan/2016. Population update. Data source: KBC (mail by maran)
13/Dec/2015. Population update. Data source: Mail by Ko Maran. Reason for pop changes: Increased from Sumpra Bum area 
2/Dec/2015 (Population update. Data source: Monthly report by KMSS_MYT). Reason for pop changes; Arrived at the camp from daily work and new arrival from sumprabum.
23-Oct-15 (Pupulation update. Data Source: Monthly report by KMSS-MYT). Reason for changes; Increasing from Sumprabum.
2-Oct-15 (Pupulation update. Data Source: KMSS-MYT) and NFI Distribution List (New arrival)
19-Aug-15 (Population update. Data source: KMSS-MYT)
25-Jun-15 (Population update. Source: KMSS-MYT)
Population Update. Source: KMSS-MYT</t>
  </si>
  <si>
    <t>16/Jun/2016. Population update. Data source: monthly report from KMSS_MYT
10/May/2016. Population Update. Data source: KMSS
28/Jan/2016. Population update. Data source: KBC (mail by maran)
23-Oct-15 (Population update. Data source: Monthly report by KMSS-MYT). Reason for changes; Travelling from the camp for Daily Worker.
2-Oct-15 (Population update. Data Source: Monthly report by KMSS-MYT)
25-Jun-15 (Population update. Source: KMSS-MYT)
18-May-15 (Population update from field mission)
2-Apr-15 (Population update, Source: UNHCR CCCM Mission)</t>
  </si>
  <si>
    <t>16/Jun/2016. Population update. Data source: monthly report from KMSS_MYT
10/May/2016. Population Update. Data source: KMSS
28/Jan/2016. Population update. Data source: KBC (mail by maran)
2/Dec/2015 (population update. Data source: Monthly report by KMSS-MYT). 
23-Oct-2015 (Population update. Data Source: Monthly report by KMSS-MYT). Reason for population changes; Travelling from the camp for Daily Worker.
19-Aug-2015 (Population update. Data Source: KMSS-MYT)
2-Apr-15 (Population update, Source: UNHCR CCCM Mission)
New Camp. KMSS-MYT</t>
  </si>
  <si>
    <t>16/Jun/2016. Population update. Data source: monthly report from KMSS_MYT
10/May/2016. Population Update. Data source: KMSS
28/Jan/2016. Population update. Data source: KBC (mail by maran)
23-Oct-15 (Population update. Data source: Monthly report by KMSS-MYT). Reason for changes; Arrive from the Daily Work.
19-Aug-15 (Population update. Data Source: KMSS-MYT) 
25-Jun-15 (Population update. Source: KMSS-MYT)</t>
  </si>
  <si>
    <t>16/Jun/2016. Population update. Data source: monthly report from KMSS_MYT
10/May/2016. Population Update. Data source: KMSS
28/Jan/2016. Population update. Data source: KBC (mail by maran)
2/Dec/2015 (Population update. Data source: Monthly report by KMSS_MYT). Reason for pop changes; Arrived at the camp and travelling from the camp for daily work.
2-Oct-15 (Population update. Data source: Monthly report by KMSS-MYT)
19-Aug-15 (Population update. Data Source: KMSS-MYT)
25-Jun-15 (Population update. Source: KMSS-MYT)
Update population according to KBC data</t>
  </si>
  <si>
    <t>16/Jun/2016. Population update. Data source: monthly report from KMSS_MYT
10/May/2016. Population Update. Data source: KMSS
28/Jan/2016. Population update. Data source: KBC (mail by maran)
2/Dec/2015 (Population update. Data source: Monthly report by KMSS_MYT). Reason for pop changes; Arrived at the camp from daily work.
23-Oct-15 (Population update. Data source: Monthly report by KMSS-MYT). Reason for changes; Arrive from the Daily Work.
2 Oct 15 (Population update. Data Source: KMSS-MYT)
19-Aug-15 (Population update. Data Source: KMSS-MYT)
25-Jun-15 (Population update. Source : KMSS-MYT)
Population Update. Source: KMSS-MYT</t>
  </si>
  <si>
    <t>16/Jun/2016. Population update. Data source: monthly report from KMSS_MYT
10/May/2016. Population update. Data source:KMSS
28/Jan/2016. Population update. Data source: KBC (mail by maran)
23-Oct-15 (Population update. Data source: Monthly report by KMSS-MYT). Reason for changes; Travelling from the camp for daily worker.
2-Oct-15 (Population update. Data Source: Monthly report by KMSS-MYT)
19-Aug-15 (Population update. Data Source: KMSS-MYT)
25-Jun-15 (Population update. Source: KMSS-MYT)
Population Update. Source: KMSS-MYT</t>
  </si>
  <si>
    <t>16/Jun/2016. Population update. Data source: monthly report from KMSS_MYT
10/May/2016. Population Update. Data source: KMSS
28/Jan/2016. Population update. Data source: KBC (mail by maran)
2/Dec/2015 (Population update. Data source: Monthly report by KMSS_MYT). Reason for pop changes; Arrived at the camp from daily work.
23-Oct-15 (Population update. Data sorce: Monthly report by KMSS-MYT). Reason for changes; Travelling from the camp for daily worker.
2-Oct-15 (Population update. Data sorce: Monthly report by KMSS-MYT)
19-Aug-15 (Population update. Data source: KMSS-MYT)
25-Jun-15 (Population update. KMSS-MYT)
Population Update. Source: KMSS-MYT</t>
  </si>
  <si>
    <t>16/Jun/2016. Population update. Data source: monthly report from KMSS_MYT
10/May/2016. Population Update. Data source: KMSS
28/Jan/2016. Population update. Data source: KBC (mail by maran)
2/Dec/2015 (Population update. Data source: Monthly report by KMSS_MYT). Reason for pop changes; Arrived at the camp from daily work.
23-Oct-15 (Population update. Data sorce: Monthly report by KMSS-MYT). Reasion for changes; Travelling from the camp for daily worker.
2-Oct-15 (Pupulation update. Data Source: KMSS-MYT) and NFI Distribution List (New arrival)
19-Aug-15 (Population update. Data Source: KMSS-MYT)
25-Jun-15 (Population update. Source: KMSS-MYT)
Population Update. Source: KMSS-MYT</t>
  </si>
  <si>
    <t>16/Jun/2016. Population update. Data source: monthly report from KMSS_MYT
10/May/2016. Population update. Data source: KMSS.
28/Jan/2016. Population update. Data source: KBC (mail by maran)
2-Oct-15 (Population update. Data Source: Monthly report by KMSS-MYT)
19-Aug-15 (Populaiton update. Data Source: KMSS-MYT)
25-Jun-15 (Population update. Source: IRRC)
2015-03-16 (Population moved from Je Yang Hka as there was no land available)
Population Update. Source: UNHCR Cross-Line Mission Report. (July 2014)</t>
  </si>
  <si>
    <t>16/Jun/2016. Population update. Data source: monthly report from KMSS_MYT
10/May/2016. Population update. Data source:KMSS
28/Jan/2016. Population update. Data source: KBC (mail by maran)
23-Oct-15 (Population update. Data sorce: Monthly report by KMSS-MYT). Reason for changes; Traveling from the camp for daily worker.
2-Oct-15 (Population update. Data Source: Monthly Report by KMSS-MYT)
19-Aug-15 (Population update. Data source: KMSS-MYT)
25-Jun-15 (Population update. Source: KMSS-MYT)
Population Update. Source: KMSS-MYT</t>
  </si>
  <si>
    <t>16/Jun/2016. Population update. Data source: monthly report from KMSS_MYT
10/May/2016. Population update. Data source:KMSS
16/Feb/2016. HH and Pop correction
28/Jan/2016. Population update. Data source: KBC (mail by maran)
2/Dec/2015 (Population update. Data source: Monthly report by KMSS_MYT). Reason for pop changes; Travelling from the camp for daily work.
23-Oct-15 (Population update. Data sorce: Monthly report by KMSS-MYT). Reason for changes; Arrived from daily work.
2-Oct-15 (Population update. Data Source: Monthly report by KMSS-MYT)
19-Aug-15 (Population update: Data Source: KMSS-MYT)
25-Jun-15 (Population update. Source: IRRC)
Population Update. Source: KMSS-MYT</t>
  </si>
  <si>
    <t>16/Jun/2016. Population update. Data source: monthly report from KMSS_MYT
10/May/2016. Population update. Data source:KMSS
28/Jan/2016. Population update. Data source: KBC (mail by maran)
2/Dec/2015 (population changes. Data source; KMSS_MYT). Reason for pop changes; arrived at the camp form daily work.
2-Oct-15 (Population update. Data Source: KMSS-MYT)
19-Aug-15 (Population update. Data Source: KMSS-MYT)
25-Jun-15 (Population update. KMSS-MYT)
2015-03-16 (Population moved to Hpun Lum Yang as there was no land available)
Population Update. Source: KMSS-MYT</t>
  </si>
  <si>
    <t>16/Jun/2016: Camp Closed. Data source: Shalom. Commnets from Shalom "Household return to Kayuk sa khan village"
9/Nov/15. Population update. Data source: monthly report by HAP.
19-Aug-15 Population update. Source: Shalom
25-Jun-15 (Population update. Source : Shalom)
Population update: Source UNHCR-Bhamo</t>
  </si>
  <si>
    <t>16/Jun/2016: Population update. Data source: mail by Shalom
14-Oct-15 Population update. Soruce; Hpakant Mission Report_WFP
19-Aug-15 Population update. Source: Shalom
25-Jun-15 (Population update. Source: Shalom)
Population update: Source: Camp Profile Round 2.
2-Apr-15 (Population update, Source: UNHCR CCCM Mission)</t>
  </si>
  <si>
    <t>16/Jun/2016: Population update. Data source: mail by Shalom
14-Oct-15 Population update. Soruce; Hpakant Mission Report_WFP
19-Aug-15 Population update. Source: Shalom
2-Apr-15 (Population update, Source: UNHCR CCCM Mission)
Population update: Source: Camp Profile Round 2.</t>
  </si>
  <si>
    <t>16/Jun/2016: Population update. Data source: mail by Shalom
10 May 2016. Population update: Data source_Shalom
28/Jan/2016. Population update. Data source: KBC (mail by maran)
9/Nov/15. Population update. Data source: monthly report by HAP.
19-Aug-15 Population updae. Source: Shalom
25-Jun-15 (Population update. Source : Shalom)
2-Apr-15 (Population update, Source: UNHCR CCCM Mission)
Update IDP population from Shalom data (Assistant CCCM Officer)</t>
  </si>
  <si>
    <t>16/Jun/2016: Population update. Data source: mail by Shalom
14-Oct-15 Population update. Soruce; Hpakant Mission Report_WFP
19-Aug-15 Population update. Source: Shalom
25-Jun-15 (Population update. Source: Shalom)
2-Apr-15 (Population update, Source: UNHCR CCCM Mission)
Population update: Source: Camp Profile Round 2.</t>
  </si>
  <si>
    <t>16/Jun/2016: Population update. Data source: mail by Shalom
10 May 2016. Population update: Data source_Shalom
28/Jan/2016. Population update. Data source: KBC (mail by maran)
9/Nov/15. Population update. Data source: monthly report by HAP.
19-Aug-15. Population update. Source: Shalom.
25-Jun-15 Population update. Source : Shalom.
Population update: Source: Camp Profile Round 2.</t>
  </si>
  <si>
    <t>16/Jun/2016: Population update. Data source: mail by Shalom
9/Nov/15. Population update. Data source: monthly report by HAP.
14-Oct-15 Population update. Soruce; Hpakant Mission Report_WFP
25-Jun-15 (Population update. Source: Shalom)
18-May-15 (Population update from field mission)
2-Apr-15 (Population update, Source: UNHCR CCCM Mission)
Population update: Source: Camp Profile Round 2.</t>
  </si>
  <si>
    <t>16/Jun/2016: Population update. Data source: mail by Shalom
19-Aug-15 Population update. Source: Shalom
25-Jun-15 (Population update. Source : Shalom)
2-Apr-15 (Population update, Source: UNHCR CCCM Mission)
Population update: Source: Camp Profile Round 2.</t>
  </si>
  <si>
    <t>16/Jun/2016: Population update. Data source: mail by Shalom
19-Aug-15 Population update. Source: Shalom
25-Jun-15 (Population update. Source : Shalom)
Population update: Source: Camp Profile Round 2.</t>
  </si>
  <si>
    <t>16/Jun/2016: Population update. Data source: mail by Shalom
10 May 2016. Population update: Data source_Shalom
28/Jan/2016. Population update. Data source: KBC (mail by maran)
9/Nov/15. Population update. Data source: monthly report by HAP.
19-Aug-15 Population update. Source: Shalom.
25-Jun-15 Population update. Source : Shalom.
Update population. Source: Camp Profile.</t>
  </si>
  <si>
    <t>16/Jun/2016: Population update. Data source: mail by Shalom
10 May 2016. Population update: Data source_Shalom
28/Jan/2016. Population update. Data source: KBC (mail by maran)
9/Nov/15. Population Upate. Data source: monthly report by HAP.
19-Aug-15 Population update. Source: Shalom
25-Jun-15 Population update. Source : Shalom.
Population update: Source: Camp Profile Round 2.</t>
  </si>
  <si>
    <t>16/Jun/2016: Population update. Data source: mail by Shalom
10 May 2016. Population update: Data source_Shalom
28/Jan/2016. Population update. Data source: KBC (mail by maran)
25-Jun-15 Population update. Source : Shalom.
Population update: Source: Camp Profile Round 2.</t>
  </si>
  <si>
    <t>16/Jun/2016: Population update. Data source: mail by Shalom
25-Jun-15 (Population update. Source : Shalom)
Population update: Source: Camp Profile Round 2.</t>
  </si>
  <si>
    <t>16/Jun/2016: Population update. Data source: mail by Shalom
9/Nov/15. Population update. Data source: monthly report by HAP.
19-Aug-15 Population update. Source Shalom.
25-Jun-15 Population update. Source Shalom
Population update: Source: Camp Profile Round 2.</t>
  </si>
  <si>
    <t>16/Jun/2016: Population update. Data source: mail by Shalom
9/Nov/15. Population update. Data source: monthly report by HAP.
14-Oct-15 Population update. Soruce; Hpakant Mission Report_WFP
25-Jun-15 (Population update. Source Shalom)
2-Apr-15 (Population update, Source: UNHCR CCCM Mission)
Population update: Source: Camp Profile Round 2.</t>
  </si>
  <si>
    <t>16/Jun/2016: Population update. Data source: mail by Shalom
16/Jun/2016. Population update. Data source: monthly report from KMSS_MYT
10 May 2016. Population update: Data source_Shalom
28/Jan/2016. (New added camp) Population update. Data source: KBC (mail by maran)
9/Nov/15. Population update. Data source: monthly report by HAP.
19-Aug-15 Population update. Source: Shalom
25-Jun-15 (Population update. Source: Shalom)
2-Apr-15 (Population update, Source: UNHCR CCCM Mission)
Population update: Source: Camp Profile Round 2.</t>
  </si>
  <si>
    <t>16/Jun/2016: Population update. Data source: mail by Shalom
10 May 2016. Population update: Data source_Shalom
28/Jan/2016. Population update. Data source: KBC (mail by maran)
19-Aug-15 Population update. Source: Shalom.
Update population. Source: Camp Profile.</t>
  </si>
  <si>
    <t>16/Jun/2016: Population update. Data source: mail by Shalom
10 May 2016. Population update: Data source_Shalom
28/Jan/2016. Population update. Data source: KBC (mail by maran)
19-Aug-15 Population update. Source: Shalom.
25-Jun-15 Population update. Source : Shalom.</t>
  </si>
  <si>
    <t>16/Jun/2016: Population update. Data source: mail by Shalom
10 May 2016. Population update: Data source_Shalom
28/Jan/2016. Population update. Data source: KBC (mail by maran)
9/Nov/15. Population update. Data source: monthly report by HAP.
19-Aug-15 Population update. Source: Shalom.
25-Jun-15 Population update. Source : Shalom.
Population update: Source: Camp Profile Round 2.</t>
  </si>
  <si>
    <t>16/Jun/2016: Population update. Data source: mail by Shalom
14-Oct-15 Population update. Soruce; Hpakant Mission Report_WFP
19-Aug-15 Population updae. Source: Shalom.
25-Jun-15 (Population update. Source Shalom)
Population update: Source: Camp Profile Round 2.</t>
  </si>
  <si>
    <t>16/Jun/2016: Population update. Data source: mail by Shalom
10 May 2016. Population update: Data source_Shalom
28/Jan/2016. Population update. Data source: KBC (mail by maran)
19-Aug-15 Population update. Source Shalom.
25-Jun-15 Population update. Source Shalom.
Population update: Source: Camp Profile Round 2.</t>
  </si>
  <si>
    <t>16/Jun/2016: Population update. Data source: mail by Shalom
9/Nov/15. Population update. Data source: monthly report by HAP.
19-Aug-15 Population update. Source: Shalom.
25-Jun-15 (Population update. Source : Shalom)
Population update: Source: Camp Profile Round 2.</t>
  </si>
  <si>
    <t>16/Jun/2016: Population update. Data source: mail by Shalom
10 May 2016. Population update: Data source_Shalom
28/Jan/2016. Population update. Data source: KBC (mail by maran)
9/Nov/15. Population update. Data source: monthly report by HAP.
19-Aug-15 Update population. Source: Shalom
25-Jun-15 Population update. Source : Shalom.
Population update: Source: Camp Profile Round 2.</t>
  </si>
  <si>
    <t>16/Jun/2016: Population update. Data source: mail by Shalom
10 May 2016. Population update: Data source_Shalom
28/Jan/2016. Population update. Data source: KBC (mail by maran)
9/Nov/15. Population update. Data source: monthly report by HAP.
19-Aug-15 Update Population. Source: Shalom.
25-Jun-2015 Update population. Source : Shalom.
Population update: Source: Camp Profile Round 2.</t>
  </si>
  <si>
    <t>16/Jun/2016: Population update. Data source: mail by Shalom
10 May 2016. Population update: Data source_Shalom
28/Jan/2016. Population update. Data source: KBC (mail by maran)
9/Nov/15. Population update. Data source: monthly report by HAP
25-Jun-15 Population update. Source : Shalom.
Population update: Source: Camp Profile Round 2.</t>
  </si>
  <si>
    <t>16/Jun/2016: Population update. Data source: mail by Shalom
9/Nov/15. Population update. Data source: monthly report by HAP.
19-Aug-15 Update population. Data Source: Shalom.
25-Jun-2015 Update population. Data Source: KBC
Population update: Source: Camp Profile Round 2.</t>
  </si>
  <si>
    <t>15/Jun/2016: Population update. Data source: monthly report by KBC. And it was changed from host families to camp according to the data collection of Camp Profiling Round_5.
12/May/2016. Population update. Data source: KBC
28/Jan/2016. Population update. Data source: KBC (mail by maran)
13/Dec/2015. Population update. Data source: Mail by Ko Maran. Reason for pop changes; The same number since March 2015 displacement but pp was divided between KBC and ICM churches. After setting up of a camp managed by KBC from August total population combined as it was. 
2/Dec/2015. Population update. Data source: KBC.
25-Jun-2015 (New host families. Source: RRD)</t>
  </si>
  <si>
    <r>
      <t xml:space="preserve">16/Feb/2016. </t>
    </r>
    <r>
      <rPr>
        <b/>
        <sz val="11"/>
        <color theme="1"/>
        <rFont val="Calibri"/>
        <family val="2"/>
        <scheme val="minor"/>
      </rPr>
      <t>some hh as they  join Nhkawng Pa camp which is closer to their village of origin</t>
    </r>
    <r>
      <rPr>
        <sz val="11"/>
        <color theme="1"/>
        <rFont val="Calibri"/>
        <family val="2"/>
        <scheme val="minor"/>
      </rPr>
      <t xml:space="preserve">
28/Jan/2016. Population update. Data source: KBC (mail by maran)
19-Aug-2015. Population Update. Data Source; KMSS-BMO
Population update: Source: Camp Profile Round 2.</t>
    </r>
  </si>
  <si>
    <r>
      <t xml:space="preserve">16/Feb/2016. </t>
    </r>
    <r>
      <rPr>
        <b/>
        <sz val="11"/>
        <color theme="1"/>
        <rFont val="Calibri"/>
        <family val="2"/>
        <scheme val="minor"/>
      </rPr>
      <t>spontenous return to villages near Manwin Gyi</t>
    </r>
    <r>
      <rPr>
        <sz val="11"/>
        <color theme="1"/>
        <rFont val="Calibri"/>
        <family val="2"/>
        <scheme val="minor"/>
      </rPr>
      <t xml:space="preserve">
28/Jan/2016. Population update. Data source: KBC (mail by maran)
19-Aug-2015. Update Population. Data Source; KMSS-BMO
Population Update. Source: KMSS-BMO</t>
    </r>
  </si>
  <si>
    <t>Aung Tha Pyay Ward</t>
  </si>
  <si>
    <t>MMR001007701505</t>
  </si>
  <si>
    <t>Mon Gar Zut</t>
  </si>
  <si>
    <t>Par Jaung</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</si>
</sst>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43" formatCode="_-* #,##0.00_-;\-* #,##0.00_-;_-* &quot;-&quot;??_-;_-@_-"/>
    <numFmt numFmtId="164" formatCode="_(* #,##0.00_);_(* \(#,##0.00\);_(* &quot;-&quot;??_);_(@_)"/>
    <numFmt numFmtId="165" formatCode="_-* #,##0_-;\-* #,##0_-;_-* &quot;-&quot;??_-;_-@_-"/>
    <numFmt numFmtId="166" formatCode="[$-409]d/mmm/yyyy;@"/>
    <numFmt numFmtId="167" formatCode="[$-409]dd\-mmm\-yy;@"/>
    <numFmt numFmtId="168" formatCode="_(* #,##0_);_(* \(#,##0\);_(* &quot;-&quot;??_);_(@_)"/>
    <numFmt numFmtId="169" formatCode="dd\-mmm\-yyyy"/>
    <numFmt numFmtId="170" formatCode="0.0%"/>
    <numFmt numFmtId="171" formatCode="0.0"/>
    <numFmt numFmtId="172" formatCode="0.00000"/>
  </numFmts>
  <fonts count="69" x14ac:knownFonts="1">
    <font>
      <sz val="11"/>
      <color theme="1"/>
      <name val="Calibri"/>
      <family val="2"/>
      <scheme val="minor"/>
    </font>
    <font>
      <sz val="10"/>
      <color indexed="8"/>
      <name val="Arial"/>
      <family val="2"/>
    </font>
    <font>
      <sz val="11"/>
      <color theme="1"/>
      <name val="Calibri"/>
      <family val="2"/>
      <scheme val="minor"/>
    </font>
    <font>
      <b/>
      <sz val="11"/>
      <color theme="1"/>
      <name val="Calibri"/>
      <family val="2"/>
      <scheme val="minor"/>
    </font>
    <font>
      <sz val="10"/>
      <color theme="1"/>
      <name val="Calibri"/>
      <family val="2"/>
      <scheme val="minor"/>
    </font>
    <font>
      <sz val="11"/>
      <color rgb="FFFF0000"/>
      <name val="Calibri"/>
      <family val="2"/>
      <scheme val="minor"/>
    </font>
    <font>
      <sz val="14"/>
      <color theme="0"/>
      <name val="Calibri"/>
      <family val="2"/>
      <scheme val="minor"/>
    </font>
    <font>
      <u/>
      <sz val="11"/>
      <color theme="10"/>
      <name val="Calibri"/>
      <family val="2"/>
      <scheme val="minor"/>
    </font>
    <font>
      <sz val="28"/>
      <name val="Calibri"/>
      <family val="2"/>
      <scheme val="minor"/>
    </font>
    <font>
      <b/>
      <sz val="28"/>
      <name val="Calibri"/>
      <family val="2"/>
      <scheme val="minor"/>
    </font>
    <font>
      <sz val="28"/>
      <color theme="1"/>
      <name val="Calibri"/>
      <family val="2"/>
      <scheme val="minor"/>
    </font>
    <font>
      <sz val="11"/>
      <name val="Calibri"/>
      <family val="2"/>
      <scheme val="minor"/>
    </font>
    <font>
      <b/>
      <sz val="10"/>
      <name val="Calibri"/>
      <family val="2"/>
      <scheme val="minor"/>
    </font>
    <font>
      <b/>
      <sz val="11"/>
      <color rgb="FFFA7D00"/>
      <name val="Calibri"/>
      <family val="2"/>
      <scheme val="minor"/>
    </font>
    <font>
      <b/>
      <sz val="11"/>
      <color theme="0"/>
      <name val="Calibri"/>
      <family val="2"/>
      <scheme val="minor"/>
    </font>
    <font>
      <b/>
      <sz val="11"/>
      <name val="Calibri"/>
      <family val="2"/>
      <scheme val="minor"/>
    </font>
    <font>
      <b/>
      <sz val="12"/>
      <color theme="1"/>
      <name val="Calibri"/>
      <family val="2"/>
      <scheme val="minor"/>
    </font>
    <font>
      <sz val="12"/>
      <color theme="1"/>
      <name val="Calibri"/>
      <family val="2"/>
      <scheme val="minor"/>
    </font>
    <font>
      <sz val="8"/>
      <color theme="1"/>
      <name val="Calibri"/>
      <family val="2"/>
      <scheme val="minor"/>
    </font>
    <font>
      <sz val="11"/>
      <name val="Calibri"/>
      <family val="2"/>
    </font>
    <font>
      <b/>
      <sz val="16"/>
      <color indexed="8"/>
      <name val="Calibri"/>
      <family val="2"/>
    </font>
    <font>
      <sz val="10"/>
      <name val="MS Sans Serif"/>
      <family val="2"/>
    </font>
    <font>
      <b/>
      <sz val="24"/>
      <color theme="1"/>
      <name val="Calibri"/>
      <family val="2"/>
      <scheme val="minor"/>
    </font>
    <font>
      <sz val="24"/>
      <color theme="1"/>
      <name val="Calibri"/>
      <family val="2"/>
      <scheme val="minor"/>
    </font>
    <font>
      <b/>
      <sz val="28"/>
      <color theme="4" tint="0.79998168889431442"/>
      <name val="Calibri"/>
      <family val="2"/>
      <scheme val="minor"/>
    </font>
    <font>
      <b/>
      <sz val="12"/>
      <name val="Calibri"/>
      <family val="2"/>
      <scheme val="minor"/>
    </font>
    <font>
      <sz val="11"/>
      <color theme="0" tint="-4.9989318521683403E-2"/>
      <name val="Calibri"/>
      <family val="2"/>
      <scheme val="minor"/>
    </font>
    <font>
      <sz val="9"/>
      <color theme="1"/>
      <name val="Calibri"/>
      <family val="2"/>
      <scheme val="minor"/>
    </font>
    <font>
      <sz val="10"/>
      <name val="Arial"/>
      <family val="2"/>
    </font>
    <font>
      <sz val="10"/>
      <name val="Calibri"/>
      <family val="2"/>
      <scheme val="minor"/>
    </font>
    <font>
      <b/>
      <sz val="9"/>
      <color theme="1"/>
      <name val="Calibri"/>
      <family val="2"/>
      <scheme val="minor"/>
    </font>
    <font>
      <sz val="9"/>
      <name val="Calibri"/>
      <family val="2"/>
      <scheme val="minor"/>
    </font>
    <font>
      <b/>
      <sz val="20"/>
      <name val="Calibri"/>
      <family val="2"/>
      <scheme val="minor"/>
    </font>
    <font>
      <b/>
      <sz val="26"/>
      <name val="Calibri"/>
      <family val="2"/>
      <scheme val="minor"/>
    </font>
    <font>
      <sz val="8"/>
      <color rgb="FF000000"/>
      <name val="Tahoma"/>
      <family val="2"/>
    </font>
    <font>
      <b/>
      <sz val="16"/>
      <name val="Calibri"/>
      <family val="2"/>
      <scheme val="minor"/>
    </font>
    <font>
      <b/>
      <sz val="9"/>
      <color indexed="9"/>
      <name val="Calibri"/>
      <family val="2"/>
    </font>
    <font>
      <sz val="9"/>
      <name val="Calibri"/>
      <family val="2"/>
    </font>
    <font>
      <sz val="11"/>
      <color theme="2"/>
      <name val="Calibri"/>
      <family val="2"/>
      <scheme val="minor"/>
    </font>
    <font>
      <b/>
      <sz val="18"/>
      <color rgb="FF000000"/>
      <name val="Calibri"/>
      <family val="2"/>
      <scheme val="minor"/>
    </font>
    <font>
      <sz val="11"/>
      <color rgb="FF00B050"/>
      <name val="Calibri"/>
      <family val="2"/>
      <scheme val="minor"/>
    </font>
    <font>
      <sz val="11"/>
      <color theme="3" tint="0.39997558519241921"/>
      <name val="Calibri"/>
      <family val="2"/>
      <scheme val="minor"/>
    </font>
    <font>
      <b/>
      <sz val="10"/>
      <color theme="8" tint="0.79998168889431442"/>
      <name val="Calibri"/>
      <family val="2"/>
      <scheme val="minor"/>
    </font>
    <font>
      <sz val="10"/>
      <color rgb="FFFF0000"/>
      <name val="Calibri"/>
      <family val="2"/>
      <scheme val="minor"/>
    </font>
    <font>
      <b/>
      <sz val="9"/>
      <color theme="0"/>
      <name val="Calibri"/>
      <family val="2"/>
      <scheme val="minor"/>
    </font>
    <font>
      <sz val="8"/>
      <color theme="0"/>
      <name val="Calibri"/>
      <family val="2"/>
      <scheme val="minor"/>
    </font>
    <font>
      <b/>
      <sz val="22"/>
      <name val="Calibri"/>
      <family val="2"/>
      <scheme val="minor"/>
    </font>
    <font>
      <sz val="22"/>
      <color theme="1"/>
      <name val="Calibri"/>
      <family val="2"/>
      <scheme val="minor"/>
    </font>
    <font>
      <sz val="22"/>
      <name val="Calibri"/>
      <family val="2"/>
      <scheme val="minor"/>
    </font>
    <font>
      <b/>
      <sz val="10"/>
      <name val="Arial"/>
      <family val="2"/>
    </font>
    <font>
      <sz val="11"/>
      <color indexed="8"/>
      <name val="Calibri"/>
      <family val="2"/>
      <scheme val="minor"/>
    </font>
    <font>
      <b/>
      <sz val="16"/>
      <color theme="1"/>
      <name val="Calibri"/>
      <family val="2"/>
      <scheme val="minor"/>
    </font>
    <font>
      <sz val="16"/>
      <color theme="1"/>
      <name val="Calibri"/>
      <family val="2"/>
      <scheme val="minor"/>
    </font>
    <font>
      <sz val="16"/>
      <color rgb="FF000000"/>
      <name val="Calibri"/>
      <family val="2"/>
    </font>
    <font>
      <b/>
      <sz val="16"/>
      <name val="Calibri"/>
      <family val="2"/>
    </font>
    <font>
      <b/>
      <sz val="18"/>
      <name val="Calibri"/>
      <family val="2"/>
      <scheme val="minor"/>
    </font>
    <font>
      <b/>
      <sz val="8"/>
      <name val="Calibri"/>
      <family val="2"/>
    </font>
    <font>
      <b/>
      <sz val="8"/>
      <color indexed="9"/>
      <name val="Calibri"/>
      <family val="2"/>
    </font>
    <font>
      <b/>
      <sz val="8"/>
      <color indexed="8"/>
      <name val="Calibri"/>
      <family val="2"/>
    </font>
    <font>
      <sz val="8"/>
      <color indexed="8"/>
      <name val="Calibri"/>
      <family val="2"/>
    </font>
    <font>
      <sz val="8"/>
      <name val="Calibri"/>
      <family val="2"/>
    </font>
    <font>
      <b/>
      <sz val="11"/>
      <color rgb="FF000000"/>
      <name val="Calibri"/>
      <family val="2"/>
      <scheme val="minor"/>
    </font>
    <font>
      <sz val="11"/>
      <color theme="0"/>
      <name val="Calibri"/>
      <family val="2"/>
      <scheme val="minor"/>
    </font>
    <font>
      <b/>
      <sz val="14"/>
      <name val="Calibri"/>
      <family val="2"/>
      <scheme val="minor"/>
    </font>
    <font>
      <i/>
      <sz val="10"/>
      <name val="Calibri"/>
      <family val="2"/>
      <scheme val="minor"/>
    </font>
    <font>
      <sz val="11"/>
      <name val="Calibri"/>
      <family val="2"/>
      <scheme val="minor"/>
    </font>
    <font>
      <sz val="11"/>
      <color theme="1"/>
      <name val="Calibri"/>
      <family val="2"/>
      <scheme val="minor"/>
    </font>
    <font>
      <sz val="11"/>
      <color theme="6" tint="-0.249977111117893"/>
      <name val="Calibri"/>
      <family val="2"/>
      <scheme val="minor"/>
    </font>
    <font>
      <sz val="11"/>
      <color indexed="8"/>
      <name val="Zawgyi-One"/>
      <family val="2"/>
    </font>
  </fonts>
  <fills count="46">
    <fill>
      <patternFill patternType="none"/>
    </fill>
    <fill>
      <patternFill patternType="gray125"/>
    </fill>
    <fill>
      <patternFill patternType="solid">
        <fgColor rgb="FFFFFF00"/>
        <bgColor indexed="64"/>
      </patternFill>
    </fill>
    <fill>
      <patternFill patternType="solid">
        <fgColor rgb="FFFFC000"/>
        <bgColor indexed="64"/>
      </patternFill>
    </fill>
    <fill>
      <patternFill patternType="solid">
        <fgColor theme="2" tint="-9.9978637043366805E-2"/>
        <bgColor indexed="64"/>
      </patternFill>
    </fill>
    <fill>
      <patternFill patternType="solid">
        <fgColor theme="3" tint="0.79998168889431442"/>
        <bgColor indexed="64"/>
      </patternFill>
    </fill>
    <fill>
      <patternFill patternType="solid">
        <fgColor theme="5" tint="0.79998168889431442"/>
        <bgColor indexed="64"/>
      </patternFill>
    </fill>
    <fill>
      <patternFill patternType="solid">
        <fgColor theme="9" tint="0.79998168889431442"/>
        <bgColor indexed="64"/>
      </patternFill>
    </fill>
    <fill>
      <patternFill patternType="solid">
        <fgColor theme="5" tint="0.59999389629810485"/>
        <bgColor indexed="64"/>
      </patternFill>
    </fill>
    <fill>
      <patternFill patternType="solid">
        <fgColor theme="3" tint="0.59999389629810485"/>
        <bgColor indexed="64"/>
      </patternFill>
    </fill>
    <fill>
      <patternFill patternType="solid">
        <fgColor theme="0"/>
        <bgColor indexed="64"/>
      </patternFill>
    </fill>
    <fill>
      <patternFill patternType="solid">
        <fgColor theme="4" tint="0.79998168889431442"/>
        <bgColor indexed="64"/>
      </patternFill>
    </fill>
    <fill>
      <patternFill patternType="solid">
        <fgColor theme="9" tint="0.39997558519241921"/>
        <bgColor indexed="64"/>
      </patternFill>
    </fill>
    <fill>
      <patternFill patternType="solid">
        <fgColor theme="0" tint="-4.9989318521683403E-2"/>
        <bgColor indexed="64"/>
      </patternFill>
    </fill>
    <fill>
      <patternFill patternType="solid">
        <fgColor rgb="FFF2F2F2"/>
      </patternFill>
    </fill>
    <fill>
      <patternFill patternType="solid">
        <fgColor theme="2"/>
        <bgColor indexed="64"/>
      </patternFill>
    </fill>
    <fill>
      <patternFill patternType="solid">
        <fgColor theme="4"/>
        <bgColor indexed="64"/>
      </patternFill>
    </fill>
    <fill>
      <patternFill patternType="solid">
        <fgColor rgb="FF92D050"/>
        <bgColor indexed="64"/>
      </patternFill>
    </fill>
    <fill>
      <patternFill patternType="solid">
        <fgColor theme="6" tint="0.79998168889431442"/>
        <bgColor indexed="64"/>
      </patternFill>
    </fill>
    <fill>
      <patternFill patternType="solid">
        <fgColor rgb="FF0070C0"/>
        <bgColor indexed="64"/>
      </patternFill>
    </fill>
    <fill>
      <patternFill patternType="solid">
        <fgColor rgb="FFFF0000"/>
        <bgColor indexed="64"/>
      </patternFill>
    </fill>
    <fill>
      <patternFill patternType="solid">
        <fgColor indexed="9"/>
        <bgColor indexed="64"/>
      </patternFill>
    </fill>
    <fill>
      <patternFill patternType="solid">
        <fgColor indexed="22"/>
        <bgColor indexed="64"/>
      </patternFill>
    </fill>
    <fill>
      <patternFill patternType="solid">
        <fgColor indexed="16"/>
        <bgColor indexed="64"/>
      </patternFill>
    </fill>
    <fill>
      <patternFill patternType="solid">
        <fgColor indexed="11"/>
        <bgColor indexed="64"/>
      </patternFill>
    </fill>
    <fill>
      <patternFill patternType="solid">
        <fgColor indexed="44"/>
        <bgColor indexed="64"/>
      </patternFill>
    </fill>
    <fill>
      <patternFill patternType="solid">
        <fgColor indexed="10"/>
        <bgColor indexed="64"/>
      </patternFill>
    </fill>
    <fill>
      <patternFill patternType="solid">
        <fgColor indexed="51"/>
        <bgColor indexed="64"/>
      </patternFill>
    </fill>
    <fill>
      <patternFill patternType="solid">
        <fgColor theme="0" tint="-0.34998626667073579"/>
        <bgColor indexed="64"/>
      </patternFill>
    </fill>
    <fill>
      <patternFill patternType="solid">
        <fgColor theme="5" tint="0.59999389629810485"/>
        <bgColor theme="5" tint="0.59999389629810485"/>
      </patternFill>
    </fill>
    <fill>
      <patternFill patternType="solid">
        <fgColor theme="5" tint="0.79998168889431442"/>
        <bgColor theme="5" tint="0.79998168889431442"/>
      </patternFill>
    </fill>
    <fill>
      <patternFill patternType="solid">
        <fgColor theme="0" tint="-0.249977111117893"/>
        <bgColor indexed="64"/>
      </patternFill>
    </fill>
    <fill>
      <patternFill patternType="solid">
        <fgColor rgb="FFFFEB00"/>
        <bgColor indexed="64"/>
      </patternFill>
    </fill>
    <fill>
      <patternFill patternType="solid">
        <fgColor theme="6" tint="0.39997558519241921"/>
        <bgColor indexed="64"/>
      </patternFill>
    </fill>
    <fill>
      <patternFill patternType="solid">
        <fgColor theme="2" tint="-0.249977111117893"/>
        <bgColor indexed="64"/>
      </patternFill>
    </fill>
    <fill>
      <patternFill patternType="solid">
        <fgColor rgb="FFFFC800"/>
        <bgColor indexed="64"/>
      </patternFill>
    </fill>
    <fill>
      <patternFill patternType="solid">
        <fgColor theme="1"/>
        <bgColor indexed="64"/>
      </patternFill>
    </fill>
    <fill>
      <patternFill patternType="solid">
        <fgColor theme="7" tint="0.59999389629810485"/>
        <bgColor indexed="64"/>
      </patternFill>
    </fill>
    <fill>
      <patternFill patternType="solid">
        <fgColor theme="6" tint="0.59999389629810485"/>
        <bgColor indexed="64"/>
      </patternFill>
    </fill>
    <fill>
      <patternFill patternType="solid">
        <fgColor theme="5" tint="0.39997558519241921"/>
        <bgColor indexed="64"/>
      </patternFill>
    </fill>
    <fill>
      <patternFill patternType="solid">
        <fgColor theme="5"/>
        <bgColor theme="5"/>
      </patternFill>
    </fill>
    <fill>
      <patternFill patternType="solid">
        <fgColor rgb="FFDCE6F1"/>
        <bgColor indexed="64"/>
      </patternFill>
    </fill>
    <fill>
      <patternFill patternType="solid">
        <fgColor theme="0" tint="-0.14999847407452621"/>
        <bgColor indexed="64"/>
      </patternFill>
    </fill>
    <fill>
      <patternFill patternType="solid">
        <fgColor rgb="FFFD2361"/>
        <bgColor indexed="64"/>
      </patternFill>
    </fill>
    <fill>
      <patternFill patternType="solid">
        <fgColor rgb="FFFFFFFF"/>
        <bgColor indexed="64"/>
      </patternFill>
    </fill>
    <fill>
      <patternFill patternType="solid">
        <fgColor theme="0"/>
        <bgColor theme="4" tint="0.79998168889431442"/>
      </patternFill>
    </fill>
  </fills>
  <borders count="6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style="thin">
        <color indexed="64"/>
      </right>
      <top style="thin">
        <color indexed="64"/>
      </top>
      <bottom/>
      <diagonal/>
    </border>
    <border>
      <left style="dotted">
        <color indexed="64"/>
      </left>
      <right style="dotted">
        <color indexed="64"/>
      </right>
      <top/>
      <bottom style="dotted">
        <color indexed="64"/>
      </bottom>
      <diagonal/>
    </border>
    <border>
      <left style="thin">
        <color rgb="FF7F7F7F"/>
      </left>
      <right style="thin">
        <color rgb="FF7F7F7F"/>
      </right>
      <top style="thin">
        <color rgb="FF7F7F7F"/>
      </top>
      <bottom style="thin">
        <color rgb="FF7F7F7F"/>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style="thin">
        <color indexed="64"/>
      </top>
      <bottom style="thin">
        <color indexed="64"/>
      </bottom>
      <diagonal/>
    </border>
    <border>
      <left style="thin">
        <color indexed="64"/>
      </left>
      <right style="thin">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thin">
        <color indexed="64"/>
      </right>
      <top/>
      <bottom style="thin">
        <color indexed="64"/>
      </bottom>
      <diagonal/>
    </border>
    <border>
      <left style="thin">
        <color indexed="64"/>
      </left>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bottom style="thin">
        <color indexed="64"/>
      </bottom>
      <diagonal/>
    </border>
    <border>
      <left style="medium">
        <color indexed="64"/>
      </left>
      <right style="thin">
        <color indexed="64"/>
      </right>
      <top/>
      <bottom style="thin">
        <color indexed="64"/>
      </bottom>
      <diagonal/>
    </border>
    <border>
      <left/>
      <right style="thin">
        <color indexed="64"/>
      </right>
      <top style="thin">
        <color indexed="64"/>
      </top>
      <bottom/>
      <diagonal/>
    </border>
    <border>
      <left/>
      <right/>
      <top/>
      <bottom style="thin">
        <color rgb="FF000000"/>
      </bottom>
      <diagonal/>
    </border>
    <border>
      <left style="medium">
        <color indexed="64"/>
      </left>
      <right style="medium">
        <color indexed="64"/>
      </right>
      <top style="medium">
        <color indexed="64"/>
      </top>
      <bottom style="medium">
        <color indexed="64"/>
      </bottom>
      <diagonal/>
    </border>
    <border>
      <left style="thin">
        <color indexed="64"/>
      </left>
      <right/>
      <top style="thin">
        <color rgb="FF000000"/>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style="medium">
        <color indexed="64"/>
      </right>
      <top/>
      <bottom/>
      <diagonal/>
    </border>
    <border>
      <left/>
      <right style="dotted">
        <color indexed="64"/>
      </right>
      <top/>
      <bottom style="dotted">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dotted">
        <color indexed="64"/>
      </right>
      <top style="dotted">
        <color indexed="64"/>
      </top>
      <bottom style="dotted">
        <color indexed="64"/>
      </bottom>
      <diagonal/>
    </border>
    <border>
      <left/>
      <right style="thin">
        <color indexed="64"/>
      </right>
      <top/>
      <bottom/>
      <diagonal/>
    </border>
    <border>
      <left style="thin">
        <color indexed="64"/>
      </left>
      <right style="medium">
        <color indexed="64"/>
      </right>
      <top/>
      <bottom/>
      <diagonal/>
    </border>
    <border>
      <left style="medium">
        <color indexed="64"/>
      </left>
      <right style="thin">
        <color indexed="64"/>
      </right>
      <top/>
      <bottom/>
      <diagonal/>
    </border>
    <border>
      <left style="medium">
        <color theme="4"/>
      </left>
      <right/>
      <top/>
      <bottom/>
      <diagonal/>
    </border>
    <border>
      <left/>
      <right style="medium">
        <color theme="4"/>
      </right>
      <top/>
      <bottom/>
      <diagonal/>
    </border>
    <border>
      <left style="medium">
        <color theme="4"/>
      </left>
      <right/>
      <top style="medium">
        <color theme="4"/>
      </top>
      <bottom style="thin">
        <color theme="4" tint="0.39997558519241921"/>
      </bottom>
      <diagonal/>
    </border>
    <border>
      <left/>
      <right/>
      <top style="medium">
        <color theme="4"/>
      </top>
      <bottom style="thin">
        <color theme="4" tint="0.39997558519241921"/>
      </bottom>
      <diagonal/>
    </border>
    <border>
      <left/>
      <right style="medium">
        <color theme="4"/>
      </right>
      <top style="medium">
        <color theme="4"/>
      </top>
      <bottom style="thin">
        <color theme="4" tint="0.39997558519241921"/>
      </bottom>
      <diagonal/>
    </border>
    <border>
      <left style="medium">
        <color theme="4"/>
      </left>
      <right/>
      <top style="thin">
        <color theme="4" tint="0.39997558519241921"/>
      </top>
      <bottom style="medium">
        <color theme="4"/>
      </bottom>
      <diagonal/>
    </border>
    <border>
      <left/>
      <right/>
      <top style="thin">
        <color theme="4" tint="0.39997558519241921"/>
      </top>
      <bottom style="medium">
        <color theme="4"/>
      </bottom>
      <diagonal/>
    </border>
    <border>
      <left/>
      <right style="medium">
        <color theme="4"/>
      </right>
      <top style="thin">
        <color theme="4" tint="0.39997558519241921"/>
      </top>
      <bottom style="medium">
        <color theme="4"/>
      </bottom>
      <diagonal/>
    </border>
    <border>
      <left/>
      <right/>
      <top style="thin">
        <color indexed="64"/>
      </top>
      <bottom/>
      <diagonal/>
    </border>
    <border>
      <left/>
      <right/>
      <top/>
      <bottom style="thin">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medium">
        <color indexed="64"/>
      </left>
      <right style="medium">
        <color indexed="64"/>
      </right>
      <top style="medium">
        <color indexed="64"/>
      </top>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bottom/>
      <diagonal/>
    </border>
  </borders>
  <cellStyleXfs count="20">
    <xf numFmtId="0" fontId="0" fillId="0" borderId="0"/>
    <xf numFmtId="164" fontId="2" fillId="0" borderId="0" applyFont="0" applyFill="0" applyBorder="0" applyAlignment="0" applyProtection="0"/>
    <xf numFmtId="0" fontId="2" fillId="0" borderId="0"/>
    <xf numFmtId="0" fontId="2" fillId="0" borderId="0"/>
    <xf numFmtId="0" fontId="2" fillId="0" borderId="0"/>
    <xf numFmtId="0" fontId="1" fillId="0" borderId="0"/>
    <xf numFmtId="0" fontId="7" fillId="0" borderId="0" applyNumberForma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13" fillId="14" borderId="7" applyNumberFormat="0" applyAlignment="0" applyProtection="0"/>
    <xf numFmtId="43" fontId="21" fillId="0" borderId="0" applyFont="0" applyFill="0" applyBorder="0" applyAlignment="0" applyProtection="0"/>
    <xf numFmtId="0" fontId="28" fillId="0" borderId="0"/>
    <xf numFmtId="0" fontId="1" fillId="0" borderId="0"/>
    <xf numFmtId="167" fontId="2" fillId="0" borderId="0"/>
    <xf numFmtId="0" fontId="1" fillId="0" borderId="0"/>
    <xf numFmtId="0" fontId="1" fillId="0" borderId="0"/>
    <xf numFmtId="164" fontId="2" fillId="0" borderId="0" applyFont="0" applyFill="0" applyBorder="0" applyAlignment="0" applyProtection="0"/>
    <xf numFmtId="43" fontId="2" fillId="0" borderId="0" applyFont="0" applyFill="0" applyBorder="0" applyAlignment="0" applyProtection="0"/>
    <xf numFmtId="0" fontId="1" fillId="0" borderId="0"/>
    <xf numFmtId="0" fontId="1" fillId="0" borderId="0"/>
  </cellStyleXfs>
  <cellXfs count="1062">
    <xf numFmtId="0" fontId="0" fillId="0" borderId="0" xfId="0"/>
    <xf numFmtId="0" fontId="0" fillId="0" borderId="0" xfId="0" applyBorder="1"/>
    <xf numFmtId="0" fontId="5" fillId="0" borderId="0" xfId="0" applyFont="1"/>
    <xf numFmtId="0" fontId="0" fillId="0" borderId="0" xfId="0" applyNumberFormat="1"/>
    <xf numFmtId="0" fontId="0" fillId="0" borderId="0" xfId="0" applyFill="1"/>
    <xf numFmtId="0" fontId="5" fillId="0" borderId="0" xfId="0" applyFont="1" applyFill="1"/>
    <xf numFmtId="0" fontId="0" fillId="10" borderId="0" xfId="0" applyFill="1"/>
    <xf numFmtId="0" fontId="12" fillId="11" borderId="1" xfId="0" applyFont="1" applyFill="1" applyBorder="1" applyAlignment="1">
      <alignment horizontal="center" vertical="center" wrapText="1"/>
    </xf>
    <xf numFmtId="0" fontId="0" fillId="0" borderId="6" xfId="0" applyBorder="1"/>
    <xf numFmtId="0" fontId="0" fillId="0" borderId="6" xfId="0" quotePrefix="1" applyBorder="1"/>
    <xf numFmtId="0" fontId="3" fillId="11" borderId="1" xfId="0" applyFont="1" applyFill="1" applyBorder="1"/>
    <xf numFmtId="0" fontId="0" fillId="15" borderId="0" xfId="0" applyFill="1"/>
    <xf numFmtId="0" fontId="0" fillId="0" borderId="0" xfId="0" applyAlignment="1">
      <alignment horizontal="center"/>
    </xf>
    <xf numFmtId="0" fontId="12" fillId="7" borderId="1" xfId="0" applyFont="1" applyFill="1" applyBorder="1" applyAlignment="1">
      <alignment horizontal="center" vertical="center" wrapText="1"/>
    </xf>
    <xf numFmtId="0" fontId="0" fillId="7" borderId="6" xfId="0" quotePrefix="1" applyFill="1" applyBorder="1"/>
    <xf numFmtId="0" fontId="3" fillId="7" borderId="1" xfId="0" applyFont="1" applyFill="1" applyBorder="1"/>
    <xf numFmtId="0" fontId="0" fillId="7" borderId="6" xfId="0" applyFill="1" applyBorder="1"/>
    <xf numFmtId="0" fontId="3" fillId="0" borderId="0" xfId="0" applyFont="1"/>
    <xf numFmtId="0" fontId="0" fillId="0" borderId="0" xfId="0" applyFill="1" applyBorder="1"/>
    <xf numFmtId="0" fontId="13" fillId="0" borderId="0" xfId="9" applyFill="1" applyBorder="1" applyAlignment="1">
      <alignment horizontal="center"/>
    </xf>
    <xf numFmtId="0" fontId="0" fillId="0" borderId="1" xfId="0" applyFill="1" applyBorder="1"/>
    <xf numFmtId="3" fontId="15" fillId="0" borderId="0" xfId="9" applyNumberFormat="1" applyFont="1" applyFill="1" applyBorder="1" applyAlignment="1">
      <alignment horizontal="center"/>
    </xf>
    <xf numFmtId="0" fontId="0" fillId="0" borderId="0" xfId="0" applyAlignment="1">
      <alignment horizontal="left"/>
    </xf>
    <xf numFmtId="0" fontId="11" fillId="0" borderId="0" xfId="9" applyFont="1" applyFill="1" applyBorder="1" applyAlignment="1">
      <alignment horizontal="center"/>
    </xf>
    <xf numFmtId="0" fontId="11" fillId="0" borderId="0" xfId="9" applyFont="1" applyFill="1" applyBorder="1" applyAlignment="1">
      <alignment horizontal="left"/>
    </xf>
    <xf numFmtId="165" fontId="0" fillId="0" borderId="0" xfId="7" applyNumberFormat="1" applyFont="1"/>
    <xf numFmtId="0" fontId="0" fillId="0" borderId="1" xfId="0" applyBorder="1"/>
    <xf numFmtId="9" fontId="0" fillId="0" borderId="1" xfId="8" applyFont="1" applyBorder="1"/>
    <xf numFmtId="0" fontId="0" fillId="7" borderId="1" xfId="0" applyFill="1" applyBorder="1" applyAlignment="1">
      <alignment horizontal="center"/>
    </xf>
    <xf numFmtId="0" fontId="0" fillId="3" borderId="1" xfId="0" applyFill="1" applyBorder="1" applyAlignment="1">
      <alignment horizontal="center"/>
    </xf>
    <xf numFmtId="0" fontId="0" fillId="17" borderId="1" xfId="0" applyFill="1" applyBorder="1" applyAlignment="1">
      <alignment horizontal="center"/>
    </xf>
    <xf numFmtId="0" fontId="0" fillId="18" borderId="0" xfId="0" applyFill="1"/>
    <xf numFmtId="0" fontId="3" fillId="18" borderId="0" xfId="0" applyFont="1" applyFill="1"/>
    <xf numFmtId="0" fontId="0" fillId="0" borderId="0" xfId="0"/>
    <xf numFmtId="165" fontId="0" fillId="0" borderId="1" xfId="7" quotePrefix="1" applyNumberFormat="1" applyFont="1" applyBorder="1"/>
    <xf numFmtId="1" fontId="0" fillId="0" borderId="0" xfId="0" applyNumberFormat="1"/>
    <xf numFmtId="1" fontId="3" fillId="7" borderId="1" xfId="0" applyNumberFormat="1" applyFont="1" applyFill="1" applyBorder="1"/>
    <xf numFmtId="0" fontId="0" fillId="0" borderId="0" xfId="0"/>
    <xf numFmtId="0" fontId="0" fillId="21" borderId="0" xfId="0" applyFill="1"/>
    <xf numFmtId="0" fontId="0" fillId="10" borderId="0" xfId="0" applyFill="1" applyBorder="1"/>
    <xf numFmtId="0" fontId="0" fillId="0" borderId="0" xfId="0"/>
    <xf numFmtId="0" fontId="0" fillId="0" borderId="0" xfId="0"/>
    <xf numFmtId="0" fontId="0" fillId="0" borderId="0" xfId="0" applyAlignment="1">
      <alignment textRotation="90"/>
    </xf>
    <xf numFmtId="0" fontId="8" fillId="0" borderId="0" xfId="6" applyFont="1" applyFill="1" applyBorder="1" applyAlignment="1">
      <alignment horizontal="center" vertical="center"/>
    </xf>
    <xf numFmtId="0" fontId="0" fillId="0" borderId="0" xfId="0" applyNumberFormat="1" applyBorder="1"/>
    <xf numFmtId="0" fontId="11" fillId="0" borderId="0" xfId="0" applyFont="1"/>
    <xf numFmtId="0" fontId="0" fillId="0" borderId="15" xfId="0" applyBorder="1"/>
    <xf numFmtId="0" fontId="0" fillId="0" borderId="16" xfId="0" applyBorder="1"/>
    <xf numFmtId="0" fontId="0" fillId="0" borderId="0" xfId="0"/>
    <xf numFmtId="0" fontId="0" fillId="0" borderId="0" xfId="0"/>
    <xf numFmtId="165" fontId="0" fillId="0" borderId="1" xfId="7" applyNumberFormat="1" applyFont="1" applyBorder="1"/>
    <xf numFmtId="165" fontId="0" fillId="0" borderId="0" xfId="0" applyNumberFormat="1"/>
    <xf numFmtId="0" fontId="22" fillId="13" borderId="0" xfId="0" applyFont="1" applyFill="1"/>
    <xf numFmtId="0" fontId="0" fillId="13" borderId="0" xfId="0" applyFill="1"/>
    <xf numFmtId="0" fontId="23" fillId="13" borderId="0" xfId="0" applyFont="1" applyFill="1"/>
    <xf numFmtId="0" fontId="9" fillId="11" borderId="0" xfId="6" applyFont="1" applyFill="1" applyBorder="1" applyAlignment="1">
      <alignment vertical="center"/>
    </xf>
    <xf numFmtId="0" fontId="5" fillId="0" borderId="0" xfId="0" applyFont="1" applyBorder="1"/>
    <xf numFmtId="0" fontId="5" fillId="0" borderId="0" xfId="0" applyFont="1" applyFill="1" applyBorder="1"/>
    <xf numFmtId="0" fontId="25" fillId="0" borderId="0" xfId="6" applyFont="1" applyFill="1" applyBorder="1" applyAlignment="1">
      <alignment horizontal="left" vertical="center"/>
    </xf>
    <xf numFmtId="0" fontId="7" fillId="17" borderId="1" xfId="6" applyFill="1" applyBorder="1" applyAlignment="1">
      <alignment horizontal="center"/>
    </xf>
    <xf numFmtId="0" fontId="26" fillId="18" borderId="0" xfId="0" applyFont="1" applyFill="1"/>
    <xf numFmtId="17" fontId="0" fillId="10" borderId="0" xfId="0" applyNumberFormat="1" applyFill="1"/>
    <xf numFmtId="0" fontId="0" fillId="0" borderId="0" xfId="0"/>
    <xf numFmtId="9" fontId="0" fillId="0" borderId="0" xfId="0" applyNumberFormat="1" applyFill="1" applyBorder="1"/>
    <xf numFmtId="9" fontId="0" fillId="0" borderId="0" xfId="8" applyFont="1" applyFill="1" applyBorder="1"/>
    <xf numFmtId="0" fontId="0" fillId="0" borderId="0" xfId="0"/>
    <xf numFmtId="0" fontId="0" fillId="0" borderId="0" xfId="0" applyFont="1" applyFill="1" applyBorder="1"/>
    <xf numFmtId="9" fontId="27" fillId="0" borderId="0" xfId="8" applyNumberFormat="1" applyFont="1" applyFill="1"/>
    <xf numFmtId="0" fontId="4" fillId="0" borderId="0" xfId="0" applyFont="1" applyFill="1" applyBorder="1"/>
    <xf numFmtId="2" fontId="4" fillId="0" borderId="0" xfId="0" applyNumberFormat="1" applyFont="1" applyFill="1" applyBorder="1"/>
    <xf numFmtId="165" fontId="4" fillId="0" borderId="0" xfId="0" applyNumberFormat="1" applyFont="1" applyFill="1" applyBorder="1"/>
    <xf numFmtId="0" fontId="4" fillId="0" borderId="0" xfId="0" applyNumberFormat="1" applyFont="1" applyFill="1" applyBorder="1"/>
    <xf numFmtId="9" fontId="4" fillId="0" borderId="0" xfId="0" applyNumberFormat="1" applyFont="1" applyFill="1" applyBorder="1"/>
    <xf numFmtId="9" fontId="0" fillId="0" borderId="0" xfId="0" applyNumberFormat="1" applyFont="1" applyFill="1" applyBorder="1"/>
    <xf numFmtId="0" fontId="3" fillId="0" borderId="0" xfId="0" applyNumberFormat="1" applyFont="1" applyFill="1" applyBorder="1"/>
    <xf numFmtId="1" fontId="3" fillId="0" borderId="0" xfId="0" applyNumberFormat="1" applyFont="1" applyFill="1" applyBorder="1"/>
    <xf numFmtId="165" fontId="27" fillId="0" borderId="1" xfId="7" applyNumberFormat="1" applyFont="1" applyBorder="1"/>
    <xf numFmtId="0" fontId="0" fillId="0" borderId="0" xfId="0"/>
    <xf numFmtId="0" fontId="27" fillId="13" borderId="1" xfId="0" applyFont="1" applyFill="1" applyBorder="1" applyAlignment="1"/>
    <xf numFmtId="165" fontId="27" fillId="0" borderId="1" xfId="7" applyNumberFormat="1" applyFont="1" applyFill="1" applyBorder="1" applyAlignment="1"/>
    <xf numFmtId="0" fontId="33" fillId="11" borderId="0" xfId="6" applyFont="1" applyFill="1" applyBorder="1" applyAlignment="1">
      <alignment vertical="center"/>
    </xf>
    <xf numFmtId="0" fontId="9" fillId="10" borderId="0" xfId="6" applyFont="1" applyFill="1" applyBorder="1" applyAlignment="1">
      <alignment vertical="center"/>
    </xf>
    <xf numFmtId="9" fontId="37" fillId="27" borderId="1" xfId="8" applyFont="1" applyFill="1" applyBorder="1"/>
    <xf numFmtId="165" fontId="37" fillId="0" borderId="1" xfId="10" applyNumberFormat="1" applyFont="1" applyBorder="1"/>
    <xf numFmtId="165" fontId="37" fillId="0" borderId="1" xfId="0" applyNumberFormat="1" applyFont="1" applyBorder="1"/>
    <xf numFmtId="9" fontId="37" fillId="26" borderId="1" xfId="8" applyFont="1" applyFill="1" applyBorder="1"/>
    <xf numFmtId="0" fontId="38" fillId="18" borderId="0" xfId="0" applyFont="1" applyFill="1"/>
    <xf numFmtId="0" fontId="12" fillId="11" borderId="3" xfId="0" applyFont="1" applyFill="1" applyBorder="1" applyAlignment="1">
      <alignment horizontal="center" vertical="center" wrapText="1"/>
    </xf>
    <xf numFmtId="0" fontId="12" fillId="11" borderId="1" xfId="0" applyFont="1" applyFill="1" applyBorder="1" applyAlignment="1">
      <alignment horizontal="center" vertical="center" wrapText="1"/>
    </xf>
    <xf numFmtId="0" fontId="0" fillId="0" borderId="0" xfId="0" applyFill="1" applyBorder="1" applyAlignment="1">
      <alignment horizontal="left" vertical="center"/>
    </xf>
    <xf numFmtId="0" fontId="0" fillId="0" borderId="34" xfId="0" quotePrefix="1" applyBorder="1"/>
    <xf numFmtId="0" fontId="3" fillId="11" borderId="3" xfId="0" applyFont="1" applyFill="1" applyBorder="1"/>
    <xf numFmtId="0" fontId="12" fillId="11" borderId="37" xfId="0" applyFont="1" applyFill="1" applyBorder="1" applyAlignment="1">
      <alignment horizontal="center" vertical="center" wrapText="1"/>
    </xf>
    <xf numFmtId="0" fontId="12" fillId="11" borderId="20" xfId="0" applyFont="1" applyFill="1" applyBorder="1" applyAlignment="1">
      <alignment horizontal="center" vertical="center" wrapText="1"/>
    </xf>
    <xf numFmtId="0" fontId="0" fillId="0" borderId="38" xfId="0" applyBorder="1"/>
    <xf numFmtId="0" fontId="3" fillId="11" borderId="32" xfId="0" applyFont="1" applyFill="1" applyBorder="1"/>
    <xf numFmtId="0" fontId="3" fillId="11" borderId="21" xfId="0" applyFont="1" applyFill="1" applyBorder="1"/>
    <xf numFmtId="0" fontId="3" fillId="11" borderId="22" xfId="0" applyFont="1" applyFill="1" applyBorder="1"/>
    <xf numFmtId="9" fontId="0" fillId="0" borderId="0" xfId="0" applyNumberFormat="1"/>
    <xf numFmtId="0" fontId="12" fillId="11" borderId="0" xfId="6" applyFont="1" applyFill="1" applyBorder="1" applyAlignment="1">
      <alignment horizontal="center" vertical="center"/>
    </xf>
    <xf numFmtId="0" fontId="4" fillId="0" borderId="0" xfId="0" applyFont="1" applyBorder="1" applyAlignment="1">
      <alignment horizontal="center" vertical="center"/>
    </xf>
    <xf numFmtId="0" fontId="4" fillId="0" borderId="0" xfId="0" applyFont="1" applyAlignment="1">
      <alignment horizontal="center" vertical="center"/>
    </xf>
    <xf numFmtId="0" fontId="4" fillId="0" borderId="0" xfId="0" applyFont="1" applyFill="1" applyBorder="1" applyAlignment="1">
      <alignment horizontal="center" vertical="center"/>
    </xf>
    <xf numFmtId="0" fontId="29" fillId="0" borderId="0" xfId="6" applyFont="1" applyFill="1" applyBorder="1" applyAlignment="1">
      <alignment horizontal="center" vertical="center"/>
    </xf>
    <xf numFmtId="0" fontId="43" fillId="0" borderId="0" xfId="0" applyFont="1" applyFill="1" applyBorder="1" applyAlignment="1">
      <alignment horizontal="center" vertical="center"/>
    </xf>
    <xf numFmtId="0" fontId="4" fillId="28" borderId="0" xfId="0" applyFont="1" applyFill="1" applyAlignment="1">
      <alignment horizontal="center" vertical="center"/>
    </xf>
    <xf numFmtId="0" fontId="0" fillId="0" borderId="0" xfId="0"/>
    <xf numFmtId="165" fontId="31" fillId="0" borderId="1" xfId="7" applyNumberFormat="1" applyFont="1" applyBorder="1"/>
    <xf numFmtId="165" fontId="27" fillId="0" borderId="0" xfId="7" applyNumberFormat="1" applyFont="1" applyFill="1" applyBorder="1"/>
    <xf numFmtId="0" fontId="27" fillId="35" borderId="1" xfId="0" applyFont="1" applyFill="1" applyBorder="1" applyAlignment="1">
      <alignment vertical="center" wrapText="1"/>
    </xf>
    <xf numFmtId="0" fontId="27" fillId="39" borderId="1" xfId="0" applyFont="1" applyFill="1" applyBorder="1" applyAlignment="1">
      <alignment vertical="center" wrapText="1"/>
    </xf>
    <xf numFmtId="0" fontId="27" fillId="38" borderId="1" xfId="0" applyFont="1" applyFill="1" applyBorder="1" applyAlignment="1">
      <alignment vertical="center" wrapText="1"/>
    </xf>
    <xf numFmtId="0" fontId="27" fillId="37" borderId="1" xfId="0" applyFont="1" applyFill="1" applyBorder="1" applyAlignment="1">
      <alignment vertical="center" wrapText="1"/>
    </xf>
    <xf numFmtId="0" fontId="27" fillId="0" borderId="0" xfId="0" applyFont="1" applyFill="1" applyBorder="1"/>
    <xf numFmtId="165" fontId="27" fillId="0" borderId="5" xfId="7" applyNumberFormat="1" applyFont="1" applyBorder="1"/>
    <xf numFmtId="0" fontId="44" fillId="40" borderId="18" xfId="0" applyFont="1" applyFill="1" applyBorder="1"/>
    <xf numFmtId="0" fontId="44" fillId="40" borderId="5" xfId="0" applyFont="1" applyFill="1" applyBorder="1"/>
    <xf numFmtId="0" fontId="27" fillId="0" borderId="18" xfId="0" applyFont="1" applyBorder="1"/>
    <xf numFmtId="165" fontId="31" fillId="0" borderId="18" xfId="7" applyNumberFormat="1" applyFont="1" applyBorder="1"/>
    <xf numFmtId="0" fontId="30" fillId="0" borderId="2" xfId="0" applyFont="1" applyBorder="1"/>
    <xf numFmtId="165" fontId="31" fillId="0" borderId="2" xfId="7" applyNumberFormat="1" applyFont="1" applyBorder="1"/>
    <xf numFmtId="0" fontId="45" fillId="36" borderId="1" xfId="0" applyFont="1" applyFill="1" applyBorder="1" applyAlignment="1">
      <alignment vertical="center" wrapText="1"/>
    </xf>
    <xf numFmtId="0" fontId="47" fillId="0" borderId="0" xfId="0" applyFont="1" applyFill="1" applyBorder="1"/>
    <xf numFmtId="0" fontId="0" fillId="0" borderId="0" xfId="0"/>
    <xf numFmtId="0" fontId="12" fillId="11" borderId="2" xfId="0" applyFont="1" applyFill="1" applyBorder="1" applyAlignment="1">
      <alignment horizontal="center" vertical="center" wrapText="1"/>
    </xf>
    <xf numFmtId="0" fontId="12" fillId="11" borderId="8" xfId="0" applyFont="1" applyFill="1" applyBorder="1" applyAlignment="1">
      <alignment horizontal="center" vertical="center" wrapText="1"/>
    </xf>
    <xf numFmtId="0" fontId="12" fillId="11" borderId="3" xfId="0" applyFont="1" applyFill="1" applyBorder="1" applyAlignment="1">
      <alignment horizontal="center" vertical="center" wrapText="1"/>
    </xf>
    <xf numFmtId="0" fontId="5" fillId="0" borderId="0" xfId="0" applyFont="1" applyAlignment="1">
      <alignment horizontal="right"/>
    </xf>
    <xf numFmtId="3" fontId="0" fillId="0" borderId="0" xfId="0" applyNumberFormat="1"/>
    <xf numFmtId="15" fontId="0" fillId="0" borderId="0" xfId="0" applyNumberFormat="1" applyAlignment="1">
      <alignment horizontal="left" vertical="center"/>
    </xf>
    <xf numFmtId="0" fontId="0" fillId="0" borderId="0" xfId="0" applyFill="1" applyBorder="1" applyAlignment="1">
      <alignment vertical="center"/>
    </xf>
    <xf numFmtId="0" fontId="49" fillId="0" borderId="0" xfId="0" applyFont="1" applyAlignment="1">
      <alignment wrapText="1"/>
    </xf>
    <xf numFmtId="0" fontId="28" fillId="0" borderId="0" xfId="0" applyFont="1" applyAlignment="1">
      <alignment wrapText="1"/>
    </xf>
    <xf numFmtId="0" fontId="0" fillId="0" borderId="0" xfId="0" applyAlignment="1">
      <alignment wrapText="1"/>
    </xf>
    <xf numFmtId="0" fontId="46" fillId="0" borderId="0" xfId="6" applyFont="1" applyFill="1" applyBorder="1" applyAlignment="1">
      <alignment vertical="center"/>
    </xf>
    <xf numFmtId="0" fontId="48" fillId="0" borderId="0" xfId="6" applyFont="1" applyFill="1" applyBorder="1" applyAlignment="1">
      <alignment horizontal="center" vertical="center"/>
    </xf>
    <xf numFmtId="9" fontId="37" fillId="27" borderId="1" xfId="8" applyFont="1" applyFill="1" applyBorder="1" applyAlignment="1">
      <alignment horizontal="center" vertical="top"/>
    </xf>
    <xf numFmtId="0" fontId="36" fillId="26" borderId="1" xfId="0" applyFont="1" applyFill="1" applyBorder="1" applyAlignment="1">
      <alignment horizontal="center" vertical="top" wrapText="1"/>
    </xf>
    <xf numFmtId="0" fontId="11" fillId="0" borderId="1" xfId="0" applyNumberFormat="1" applyFont="1" applyFill="1" applyBorder="1"/>
    <xf numFmtId="0" fontId="11" fillId="0" borderId="1" xfId="0" applyFont="1" applyFill="1" applyBorder="1"/>
    <xf numFmtId="0" fontId="11" fillId="0" borderId="5" xfId="0" applyFont="1" applyFill="1" applyBorder="1"/>
    <xf numFmtId="0" fontId="0" fillId="0" borderId="5" xfId="0" applyNumberFormat="1" applyFont="1" applyFill="1" applyBorder="1"/>
    <xf numFmtId="0" fontId="0" fillId="0" borderId="1" xfId="0" applyNumberFormat="1" applyFont="1" applyFill="1" applyBorder="1"/>
    <xf numFmtId="0" fontId="0" fillId="0" borderId="1" xfId="0" applyFont="1" applyFill="1" applyBorder="1"/>
    <xf numFmtId="0" fontId="0" fillId="0" borderId="5" xfId="0" applyFont="1" applyFill="1" applyBorder="1"/>
    <xf numFmtId="0" fontId="0" fillId="0" borderId="0" xfId="0" applyAlignment="1">
      <alignment horizontal="center" vertical="center"/>
    </xf>
    <xf numFmtId="0" fontId="3" fillId="11" borderId="0" xfId="0" applyFont="1" applyFill="1" applyBorder="1"/>
    <xf numFmtId="0" fontId="51" fillId="31" borderId="29" xfId="0" applyFont="1" applyFill="1" applyBorder="1"/>
    <xf numFmtId="0" fontId="52" fillId="31" borderId="30" xfId="0" applyFont="1" applyFill="1" applyBorder="1"/>
    <xf numFmtId="0" fontId="51" fillId="31" borderId="27" xfId="0" applyFont="1" applyFill="1" applyBorder="1"/>
    <xf numFmtId="0" fontId="52" fillId="31" borderId="31" xfId="0" applyFont="1" applyFill="1" applyBorder="1"/>
    <xf numFmtId="0" fontId="52" fillId="0" borderId="0" xfId="0" applyFont="1" applyFill="1"/>
    <xf numFmtId="0" fontId="51" fillId="0" borderId="39" xfId="0" applyFont="1" applyFill="1" applyBorder="1"/>
    <xf numFmtId="0" fontId="51" fillId="0" borderId="11" xfId="0" applyFont="1" applyFill="1" applyBorder="1"/>
    <xf numFmtId="0" fontId="51" fillId="0" borderId="40" xfId="0" applyFont="1" applyFill="1" applyBorder="1"/>
    <xf numFmtId="0" fontId="51" fillId="0" borderId="4" xfId="0" applyFont="1" applyFill="1" applyBorder="1"/>
    <xf numFmtId="0" fontId="51" fillId="0" borderId="33" xfId="0" applyFont="1" applyFill="1" applyBorder="1"/>
    <xf numFmtId="0" fontId="51" fillId="0" borderId="41" xfId="0" applyFont="1" applyFill="1" applyBorder="1"/>
    <xf numFmtId="0" fontId="51" fillId="0" borderId="24" xfId="0" applyFont="1" applyFill="1" applyBorder="1"/>
    <xf numFmtId="0" fontId="51" fillId="0" borderId="23" xfId="0" applyFont="1" applyFill="1" applyBorder="1"/>
    <xf numFmtId="0" fontId="51" fillId="0" borderId="26" xfId="0" applyFont="1" applyFill="1" applyBorder="1"/>
    <xf numFmtId="0" fontId="52" fillId="29" borderId="0" xfId="0" applyFont="1" applyFill="1" applyBorder="1"/>
    <xf numFmtId="0" fontId="52" fillId="0" borderId="0" xfId="0" applyFont="1" applyFill="1" applyBorder="1"/>
    <xf numFmtId="165" fontId="52" fillId="0" borderId="0" xfId="7" applyNumberFormat="1" applyFont="1" applyFill="1" applyBorder="1"/>
    <xf numFmtId="0" fontId="52" fillId="0" borderId="0" xfId="0" applyNumberFormat="1" applyFont="1" applyFill="1" applyBorder="1"/>
    <xf numFmtId="9" fontId="52" fillId="0" borderId="0" xfId="8" applyFont="1" applyFill="1" applyBorder="1"/>
    <xf numFmtId="0" fontId="51" fillId="0" borderId="3" xfId="0" applyNumberFormat="1" applyFont="1" applyFill="1" applyBorder="1"/>
    <xf numFmtId="1" fontId="51" fillId="0" borderId="2" xfId="0" applyNumberFormat="1" applyFont="1" applyFill="1" applyBorder="1"/>
    <xf numFmtId="165" fontId="53" fillId="0" borderId="0" xfId="7" applyNumberFormat="1" applyFont="1" applyFill="1" applyBorder="1"/>
    <xf numFmtId="0" fontId="52" fillId="30" borderId="0" xfId="0" applyFont="1" applyFill="1" applyBorder="1"/>
    <xf numFmtId="2" fontId="52" fillId="30" borderId="0" xfId="0" applyNumberFormat="1" applyFont="1" applyFill="1" applyBorder="1"/>
    <xf numFmtId="2" fontId="52" fillId="0" borderId="0" xfId="0" applyNumberFormat="1" applyFont="1" applyFill="1" applyBorder="1"/>
    <xf numFmtId="165" fontId="52" fillId="0" borderId="0" xfId="0" applyNumberFormat="1" applyFont="1" applyFill="1" applyBorder="1"/>
    <xf numFmtId="9" fontId="52" fillId="0" borderId="0" xfId="0" applyNumberFormat="1" applyFont="1" applyFill="1" applyBorder="1"/>
    <xf numFmtId="0" fontId="51" fillId="0" borderId="25" xfId="0" applyNumberFormat="1" applyFont="1" applyFill="1" applyBorder="1"/>
    <xf numFmtId="1" fontId="51" fillId="0" borderId="18" xfId="0" applyNumberFormat="1" applyFont="1" applyFill="1" applyBorder="1"/>
    <xf numFmtId="165" fontId="52" fillId="0" borderId="28" xfId="0" applyNumberFormat="1" applyFont="1" applyFill="1" applyBorder="1"/>
    <xf numFmtId="0" fontId="0" fillId="0" borderId="0" xfId="0" applyAlignment="1">
      <alignment horizontal="center" vertical="center" wrapText="1"/>
    </xf>
    <xf numFmtId="0" fontId="0" fillId="0" borderId="0" xfId="0" applyFill="1" applyAlignment="1">
      <alignment horizontal="left" vertical="center"/>
    </xf>
    <xf numFmtId="0" fontId="0" fillId="2" borderId="0" xfId="0" applyFill="1" applyBorder="1" applyAlignment="1">
      <alignment vertical="center"/>
    </xf>
    <xf numFmtId="165" fontId="29" fillId="21" borderId="0" xfId="7" applyNumberFormat="1" applyFont="1" applyFill="1"/>
    <xf numFmtId="14" fontId="0" fillId="0" borderId="0" xfId="0" applyNumberFormat="1"/>
    <xf numFmtId="0" fontId="0" fillId="2" borderId="0" xfId="0" applyFill="1"/>
    <xf numFmtId="0" fontId="2" fillId="0" borderId="1" xfId="0" applyFont="1" applyFill="1" applyBorder="1"/>
    <xf numFmtId="0" fontId="2" fillId="0" borderId="1" xfId="0" applyNumberFormat="1" applyFont="1" applyFill="1" applyBorder="1"/>
    <xf numFmtId="171" fontId="0" fillId="0" borderId="0" xfId="0" applyNumberFormat="1" applyFill="1" applyAlignment="1">
      <alignment horizontal="left" vertical="center"/>
    </xf>
    <xf numFmtId="0" fontId="0" fillId="3" borderId="0" xfId="0" applyFill="1" applyBorder="1" applyAlignment="1">
      <alignment vertical="center"/>
    </xf>
    <xf numFmtId="0" fontId="0" fillId="3" borderId="0" xfId="0" applyFill="1" applyBorder="1" applyAlignment="1">
      <alignment horizontal="left" vertical="center"/>
    </xf>
    <xf numFmtId="171" fontId="0" fillId="0" borderId="0" xfId="0" applyNumberFormat="1"/>
    <xf numFmtId="0" fontId="19" fillId="42" borderId="9" xfId="5" applyFont="1" applyFill="1" applyBorder="1" applyAlignment="1">
      <alignment horizontal="left" vertical="top"/>
    </xf>
    <xf numFmtId="0" fontId="11" fillId="42" borderId="0" xfId="0" applyFont="1" applyFill="1" applyAlignment="1">
      <alignment horizontal="left" vertical="top"/>
    </xf>
    <xf numFmtId="0" fontId="19" fillId="42" borderId="11" xfId="5" applyFont="1" applyFill="1" applyBorder="1" applyAlignment="1">
      <alignment horizontal="left" vertical="top"/>
    </xf>
    <xf numFmtId="171" fontId="19" fillId="42" borderId="11" xfId="5" applyNumberFormat="1" applyFont="1" applyFill="1" applyBorder="1" applyAlignment="1">
      <alignment horizontal="left" vertical="top"/>
    </xf>
    <xf numFmtId="0" fontId="56" fillId="22" borderId="1" xfId="0" applyFont="1" applyFill="1" applyBorder="1" applyAlignment="1">
      <alignment horizontal="center" wrapText="1"/>
    </xf>
    <xf numFmtId="0" fontId="56" fillId="22" borderId="1" xfId="0" applyFont="1" applyFill="1" applyBorder="1" applyAlignment="1">
      <alignment horizontal="center" vertical="top" wrapText="1"/>
    </xf>
    <xf numFmtId="0" fontId="57" fillId="23" borderId="1" xfId="0" applyFont="1" applyFill="1" applyBorder="1" applyAlignment="1">
      <alignment horizontal="center" vertical="top" wrapText="1"/>
    </xf>
    <xf numFmtId="0" fontId="56" fillId="24" borderId="1" xfId="0" applyFont="1" applyFill="1" applyBorder="1" applyAlignment="1">
      <alignment horizontal="center" vertical="top" wrapText="1"/>
    </xf>
    <xf numFmtId="0" fontId="56" fillId="25" borderId="1" xfId="0" applyFont="1" applyFill="1" applyBorder="1" applyAlignment="1">
      <alignment horizontal="center" vertical="top" wrapText="1"/>
    </xf>
    <xf numFmtId="0" fontId="57" fillId="26" borderId="1" xfId="0" applyFont="1" applyFill="1" applyBorder="1" applyAlignment="1">
      <alignment horizontal="center" vertical="top" wrapText="1"/>
    </xf>
    <xf numFmtId="0" fontId="58" fillId="0" borderId="1" xfId="0" applyFont="1" applyFill="1" applyBorder="1" applyAlignment="1">
      <alignment horizontal="left"/>
    </xf>
    <xf numFmtId="0" fontId="59" fillId="2" borderId="10" xfId="0" applyFont="1" applyFill="1" applyBorder="1" applyAlignment="1">
      <alignment horizontal="left"/>
    </xf>
    <xf numFmtId="165" fontId="59" fillId="0" borderId="1" xfId="10" applyNumberFormat="1" applyFont="1" applyFill="1" applyBorder="1" applyAlignment="1">
      <alignment horizontal="left"/>
    </xf>
    <xf numFmtId="165" fontId="60" fillId="0" borderId="1" xfId="10" applyNumberFormat="1" applyFont="1" applyBorder="1"/>
    <xf numFmtId="9" fontId="60" fillId="24" borderId="1" xfId="8" applyFont="1" applyFill="1" applyBorder="1"/>
    <xf numFmtId="9" fontId="60" fillId="25" borderId="1" xfId="8" applyFont="1" applyFill="1" applyBorder="1"/>
    <xf numFmtId="9" fontId="60" fillId="26" borderId="1" xfId="8" applyFont="1" applyFill="1" applyBorder="1"/>
    <xf numFmtId="0" fontId="61" fillId="0" borderId="0" xfId="0" applyFont="1" applyAlignment="1">
      <alignment horizontal="center" vertical="center" readingOrder="1"/>
    </xf>
    <xf numFmtId="17" fontId="3" fillId="10" borderId="0" xfId="0" applyNumberFormat="1" applyFont="1" applyFill="1" applyAlignment="1">
      <alignment horizontal="left"/>
    </xf>
    <xf numFmtId="165" fontId="11" fillId="0" borderId="0" xfId="9" applyNumberFormat="1" applyFont="1" applyFill="1" applyBorder="1" applyAlignment="1">
      <alignment horizontal="left"/>
    </xf>
    <xf numFmtId="0" fontId="0" fillId="41" borderId="0" xfId="0" applyFill="1" applyBorder="1"/>
    <xf numFmtId="49" fontId="11" fillId="0" borderId="1" xfId="0" applyNumberFormat="1" applyFont="1" applyFill="1" applyBorder="1"/>
    <xf numFmtId="49" fontId="2" fillId="0" borderId="1" xfId="0" applyNumberFormat="1" applyFont="1" applyFill="1" applyBorder="1"/>
    <xf numFmtId="49" fontId="0" fillId="0" borderId="1" xfId="0" applyNumberFormat="1" applyFont="1" applyFill="1" applyBorder="1"/>
    <xf numFmtId="49" fontId="11" fillId="0" borderId="1" xfId="14" applyNumberFormat="1" applyFont="1" applyFill="1" applyBorder="1" applyAlignment="1"/>
    <xf numFmtId="49" fontId="50" fillId="0" borderId="1" xfId="14" applyNumberFormat="1" applyFont="1" applyFill="1" applyBorder="1" applyAlignment="1"/>
    <xf numFmtId="49" fontId="11" fillId="0" borderId="1" xfId="0" applyNumberFormat="1" applyFont="1" applyFill="1" applyBorder="1" applyAlignment="1">
      <alignment horizontal="left" vertical="center"/>
    </xf>
    <xf numFmtId="49" fontId="2" fillId="0" borderId="1" xfId="0" applyNumberFormat="1" applyFont="1" applyFill="1" applyBorder="1" applyAlignment="1">
      <alignment horizontal="left" vertical="center"/>
    </xf>
    <xf numFmtId="49" fontId="0" fillId="0" borderId="1" xfId="0" applyNumberFormat="1" applyFont="1" applyFill="1" applyBorder="1" applyAlignment="1">
      <alignment horizontal="left" vertical="center"/>
    </xf>
    <xf numFmtId="0" fontId="11" fillId="0" borderId="1" xfId="14" applyFont="1" applyFill="1" applyBorder="1" applyAlignment="1"/>
    <xf numFmtId="0" fontId="11" fillId="0" borderId="1" xfId="0" applyFont="1" applyFill="1" applyBorder="1" applyAlignment="1">
      <alignment horizontal="left" vertical="center"/>
    </xf>
    <xf numFmtId="0" fontId="11" fillId="35" borderId="1" xfId="0" applyFont="1" applyFill="1" applyBorder="1"/>
    <xf numFmtId="0" fontId="0" fillId="20" borderId="1" xfId="0" applyFont="1" applyFill="1" applyBorder="1"/>
    <xf numFmtId="17" fontId="3" fillId="10" borderId="0" xfId="0" applyNumberFormat="1" applyFont="1" applyFill="1" applyAlignment="1">
      <alignment horizontal="left"/>
    </xf>
    <xf numFmtId="0" fontId="8" fillId="10" borderId="0" xfId="6" applyFont="1" applyFill="1" applyBorder="1" applyAlignment="1">
      <alignment horizontal="center" vertical="center"/>
    </xf>
    <xf numFmtId="0" fontId="39" fillId="10" borderId="0" xfId="0" applyFont="1" applyFill="1" applyAlignment="1">
      <alignment vertical="center" readingOrder="1"/>
    </xf>
    <xf numFmtId="0" fontId="47" fillId="41" borderId="0" xfId="0" applyFont="1" applyFill="1" applyBorder="1"/>
    <xf numFmtId="0" fontId="18" fillId="10" borderId="0" xfId="0" applyFont="1" applyFill="1" applyBorder="1" applyAlignment="1"/>
    <xf numFmtId="0" fontId="30" fillId="45" borderId="44" xfId="0" applyFont="1" applyFill="1" applyBorder="1"/>
    <xf numFmtId="0" fontId="30" fillId="10" borderId="45" xfId="0" applyFont="1" applyFill="1" applyBorder="1"/>
    <xf numFmtId="0" fontId="30" fillId="10" borderId="46" xfId="0" applyFont="1" applyFill="1" applyBorder="1"/>
    <xf numFmtId="0" fontId="27" fillId="10" borderId="42" xfId="0" applyFont="1" applyFill="1" applyBorder="1" applyAlignment="1">
      <alignment horizontal="left"/>
    </xf>
    <xf numFmtId="165" fontId="27" fillId="10" borderId="0" xfId="0" applyNumberFormat="1" applyFont="1" applyFill="1" applyBorder="1"/>
    <xf numFmtId="165" fontId="27" fillId="10" borderId="43" xfId="0" applyNumberFormat="1" applyFont="1" applyFill="1" applyBorder="1"/>
    <xf numFmtId="0" fontId="30" fillId="10" borderId="47" xfId="0" applyFont="1" applyFill="1" applyBorder="1" applyAlignment="1">
      <alignment horizontal="left"/>
    </xf>
    <xf numFmtId="165" fontId="30" fillId="10" borderId="48" xfId="0" applyNumberFormat="1" applyFont="1" applyFill="1" applyBorder="1"/>
    <xf numFmtId="165" fontId="30" fillId="10" borderId="49" xfId="0" applyNumberFormat="1" applyFont="1" applyFill="1" applyBorder="1"/>
    <xf numFmtId="0" fontId="0" fillId="10" borderId="0" xfId="0" applyFont="1" applyFill="1" applyBorder="1" applyAlignment="1">
      <alignment horizontal="center" vertical="center" wrapText="1"/>
    </xf>
    <xf numFmtId="0" fontId="4" fillId="10" borderId="0" xfId="0" applyFont="1" applyFill="1" applyBorder="1" applyAlignment="1"/>
    <xf numFmtId="0" fontId="0" fillId="10" borderId="0" xfId="0" applyFill="1" applyBorder="1" applyAlignment="1"/>
    <xf numFmtId="0" fontId="0" fillId="44" borderId="0" xfId="0" applyFill="1" applyBorder="1"/>
    <xf numFmtId="0" fontId="33" fillId="41" borderId="0" xfId="6" applyFont="1" applyFill="1" applyBorder="1" applyAlignment="1">
      <alignment vertical="center"/>
    </xf>
    <xf numFmtId="0" fontId="0" fillId="41" borderId="50" xfId="0" applyFill="1" applyBorder="1"/>
    <xf numFmtId="0" fontId="0" fillId="41" borderId="25" xfId="0" applyFill="1" applyBorder="1"/>
    <xf numFmtId="0" fontId="0" fillId="41" borderId="39" xfId="0" applyFill="1" applyBorder="1"/>
    <xf numFmtId="0" fontId="33" fillId="41" borderId="51" xfId="6" applyFont="1" applyFill="1" applyBorder="1" applyAlignment="1">
      <alignment vertical="center"/>
    </xf>
    <xf numFmtId="0" fontId="0" fillId="41" borderId="51" xfId="0" applyFill="1" applyBorder="1"/>
    <xf numFmtId="0" fontId="0" fillId="41" borderId="17" xfId="0" applyFill="1" applyBorder="1"/>
    <xf numFmtId="0" fontId="0" fillId="41" borderId="12" xfId="0" applyFill="1" applyBorder="1"/>
    <xf numFmtId="0" fontId="0" fillId="41" borderId="13" xfId="0" applyFill="1" applyBorder="1"/>
    <xf numFmtId="0" fontId="0" fillId="41" borderId="14" xfId="0" applyFill="1" applyBorder="1"/>
    <xf numFmtId="0" fontId="0" fillId="41" borderId="15" xfId="0" applyFill="1" applyBorder="1"/>
    <xf numFmtId="0" fontId="0" fillId="41" borderId="16" xfId="0" applyFill="1" applyBorder="1"/>
    <xf numFmtId="0" fontId="0" fillId="41" borderId="52" xfId="0" applyFill="1" applyBorder="1"/>
    <xf numFmtId="0" fontId="0" fillId="41" borderId="53" xfId="0" applyFill="1" applyBorder="1"/>
    <xf numFmtId="0" fontId="0" fillId="0" borderId="54" xfId="0" applyBorder="1"/>
    <xf numFmtId="0" fontId="0" fillId="0" borderId="55" xfId="0" applyBorder="1"/>
    <xf numFmtId="0" fontId="0" fillId="10" borderId="55" xfId="0" applyFill="1" applyBorder="1"/>
    <xf numFmtId="0" fontId="9" fillId="44" borderId="16" xfId="6" applyFont="1" applyFill="1" applyBorder="1" applyAlignment="1">
      <alignment vertical="center"/>
    </xf>
    <xf numFmtId="0" fontId="0" fillId="44" borderId="16" xfId="0" applyFill="1" applyBorder="1"/>
    <xf numFmtId="0" fontId="0" fillId="44" borderId="56" xfId="0" applyFill="1" applyBorder="1"/>
    <xf numFmtId="0" fontId="0" fillId="44" borderId="15" xfId="0" applyFill="1" applyBorder="1"/>
    <xf numFmtId="0" fontId="0" fillId="44" borderId="54" xfId="0" applyFill="1" applyBorder="1"/>
    <xf numFmtId="0" fontId="0" fillId="44" borderId="55" xfId="0" applyFill="1" applyBorder="1"/>
    <xf numFmtId="0" fontId="9" fillId="41" borderId="0" xfId="6" applyFont="1" applyFill="1" applyBorder="1" applyAlignment="1">
      <alignment vertical="center"/>
    </xf>
    <xf numFmtId="0" fontId="0" fillId="10" borderId="16" xfId="0" applyFill="1" applyBorder="1"/>
    <xf numFmtId="0" fontId="16" fillId="10" borderId="0" xfId="0" applyFont="1" applyFill="1" applyBorder="1" applyAlignment="1">
      <alignment horizontal="center"/>
    </xf>
    <xf numFmtId="165" fontId="17" fillId="10" borderId="0" xfId="7" applyNumberFormat="1" applyFont="1" applyFill="1" applyBorder="1"/>
    <xf numFmtId="165" fontId="16" fillId="10" borderId="0" xfId="0" applyNumberFormat="1" applyFont="1" applyFill="1" applyBorder="1"/>
    <xf numFmtId="0" fontId="18" fillId="10" borderId="0" xfId="0" applyFont="1" applyFill="1" applyBorder="1"/>
    <xf numFmtId="0" fontId="0" fillId="10" borderId="56" xfId="0" applyFill="1" applyBorder="1"/>
    <xf numFmtId="0" fontId="0" fillId="10" borderId="15" xfId="0" applyFill="1" applyBorder="1"/>
    <xf numFmtId="0" fontId="0" fillId="10" borderId="54" xfId="0" applyFill="1" applyBorder="1"/>
    <xf numFmtId="0" fontId="0" fillId="10" borderId="55" xfId="0" applyFill="1" applyBorder="1" applyAlignment="1">
      <alignment horizontal="left"/>
    </xf>
    <xf numFmtId="165" fontId="0" fillId="10" borderId="55" xfId="0" applyNumberFormat="1" applyFill="1" applyBorder="1"/>
    <xf numFmtId="3" fontId="0" fillId="10" borderId="55" xfId="0" applyNumberFormat="1" applyFill="1" applyBorder="1"/>
    <xf numFmtId="0" fontId="0" fillId="10" borderId="55" xfId="0" applyNumberFormat="1" applyFill="1" applyBorder="1"/>
    <xf numFmtId="166" fontId="35" fillId="10" borderId="0" xfId="6" applyNumberFormat="1" applyFont="1" applyFill="1" applyBorder="1" applyAlignment="1">
      <alignment horizontal="left" vertical="center"/>
    </xf>
    <xf numFmtId="0" fontId="33" fillId="10" borderId="0" xfId="6" applyFont="1" applyFill="1" applyBorder="1" applyAlignment="1">
      <alignment vertical="center"/>
    </xf>
    <xf numFmtId="0" fontId="9" fillId="0" borderId="0" xfId="6" applyFont="1" applyFill="1" applyBorder="1" applyAlignment="1">
      <alignment vertical="center"/>
    </xf>
    <xf numFmtId="0" fontId="20" fillId="0" borderId="0" xfId="0" applyFont="1" applyFill="1" applyAlignment="1"/>
    <xf numFmtId="0" fontId="23" fillId="0" borderId="0" xfId="0" applyFont="1" applyFill="1"/>
    <xf numFmtId="0" fontId="32" fillId="41" borderId="0" xfId="6" applyFont="1" applyFill="1" applyBorder="1" applyAlignment="1">
      <alignment vertical="center"/>
    </xf>
    <xf numFmtId="166" fontId="35" fillId="41" borderId="0" xfId="6" applyNumberFormat="1" applyFont="1" applyFill="1" applyBorder="1" applyAlignment="1">
      <alignment vertical="center"/>
    </xf>
    <xf numFmtId="0" fontId="9" fillId="41" borderId="51" xfId="0" applyFont="1" applyFill="1" applyBorder="1"/>
    <xf numFmtId="0" fontId="11" fillId="41" borderId="51" xfId="0" applyFont="1" applyFill="1" applyBorder="1"/>
    <xf numFmtId="0" fontId="54" fillId="41" borderId="51" xfId="0" applyFont="1" applyFill="1" applyBorder="1" applyAlignment="1"/>
    <xf numFmtId="0" fontId="11" fillId="41" borderId="52" xfId="0" applyFont="1" applyFill="1" applyBorder="1"/>
    <xf numFmtId="0" fontId="11" fillId="41" borderId="53" xfId="0" applyFont="1" applyFill="1" applyBorder="1"/>
    <xf numFmtId="0" fontId="0" fillId="0" borderId="12" xfId="0" applyBorder="1"/>
    <xf numFmtId="0" fontId="0" fillId="0" borderId="13" xfId="0" applyBorder="1"/>
    <xf numFmtId="0" fontId="9" fillId="11" borderId="18" xfId="6" applyFont="1" applyFill="1" applyBorder="1" applyAlignment="1">
      <alignment vertical="center"/>
    </xf>
    <xf numFmtId="0" fontId="9" fillId="11" borderId="50" xfId="6" applyFont="1" applyFill="1" applyBorder="1" applyAlignment="1">
      <alignment vertical="center"/>
    </xf>
    <xf numFmtId="0" fontId="9" fillId="11" borderId="25" xfId="6" applyFont="1" applyFill="1" applyBorder="1" applyAlignment="1">
      <alignment vertical="center"/>
    </xf>
    <xf numFmtId="0" fontId="33" fillId="11" borderId="39" xfId="6" applyFont="1" applyFill="1" applyBorder="1" applyAlignment="1">
      <alignment vertical="center"/>
    </xf>
    <xf numFmtId="0" fontId="33" fillId="11" borderId="51" xfId="6" applyFont="1" applyFill="1" applyBorder="1" applyAlignment="1">
      <alignment vertical="center"/>
    </xf>
    <xf numFmtId="0" fontId="33" fillId="11" borderId="17" xfId="6" applyFont="1" applyFill="1" applyBorder="1" applyAlignment="1">
      <alignment vertical="center"/>
    </xf>
    <xf numFmtId="0" fontId="24" fillId="11" borderId="50" xfId="6" applyFont="1" applyFill="1" applyBorder="1" applyAlignment="1">
      <alignment vertical="center"/>
    </xf>
    <xf numFmtId="0" fontId="9" fillId="41" borderId="50" xfId="6" applyFont="1" applyFill="1" applyBorder="1" applyAlignment="1">
      <alignment vertical="center"/>
    </xf>
    <xf numFmtId="0" fontId="12" fillId="11" borderId="50" xfId="6" applyFont="1" applyFill="1" applyBorder="1" applyAlignment="1">
      <alignment horizontal="center" vertical="center"/>
    </xf>
    <xf numFmtId="0" fontId="42" fillId="11" borderId="50" xfId="6" applyFont="1" applyFill="1" applyBorder="1" applyAlignment="1">
      <alignment horizontal="center" vertical="center"/>
    </xf>
    <xf numFmtId="0" fontId="4" fillId="0" borderId="50" xfId="0" applyFont="1" applyBorder="1" applyAlignment="1">
      <alignment horizontal="center" vertical="center"/>
    </xf>
    <xf numFmtId="0" fontId="12" fillId="11" borderId="51" xfId="6" applyFont="1" applyFill="1" applyBorder="1" applyAlignment="1">
      <alignment horizontal="center" vertical="center"/>
    </xf>
    <xf numFmtId="0" fontId="4" fillId="0" borderId="51" xfId="0" applyFont="1" applyFill="1" applyBorder="1" applyAlignment="1">
      <alignment horizontal="center" vertical="center"/>
    </xf>
    <xf numFmtId="0" fontId="4" fillId="0" borderId="51" xfId="0" applyFont="1" applyBorder="1" applyAlignment="1">
      <alignment horizontal="center" vertical="center"/>
    </xf>
    <xf numFmtId="0" fontId="9" fillId="11" borderId="39" xfId="6" applyFont="1" applyFill="1" applyBorder="1" applyAlignment="1">
      <alignment vertical="center"/>
    </xf>
    <xf numFmtId="166" fontId="35" fillId="11" borderId="23" xfId="6" applyNumberFormat="1" applyFont="1" applyFill="1" applyBorder="1" applyAlignment="1">
      <alignment horizontal="left" vertical="center"/>
    </xf>
    <xf numFmtId="166" fontId="35" fillId="11" borderId="51" xfId="6" applyNumberFormat="1" applyFont="1" applyFill="1" applyBorder="1" applyAlignment="1">
      <alignment horizontal="left" vertical="center"/>
    </xf>
    <xf numFmtId="0" fontId="8" fillId="41" borderId="51" xfId="6" applyFont="1" applyFill="1" applyBorder="1" applyAlignment="1">
      <alignment horizontal="left" vertical="center"/>
    </xf>
    <xf numFmtId="0" fontId="0" fillId="41" borderId="51" xfId="0" applyFill="1" applyBorder="1" applyAlignment="1">
      <alignment horizontal="left"/>
    </xf>
    <xf numFmtId="0" fontId="8" fillId="41" borderId="17" xfId="6" applyFont="1" applyFill="1" applyBorder="1" applyAlignment="1">
      <alignment horizontal="left" vertical="center"/>
    </xf>
    <xf numFmtId="0" fontId="9" fillId="11" borderId="4" xfId="6" applyFont="1" applyFill="1" applyBorder="1" applyAlignment="1">
      <alignment vertical="center"/>
    </xf>
    <xf numFmtId="166" fontId="63" fillId="11" borderId="23" xfId="6" applyNumberFormat="1" applyFont="1" applyFill="1" applyBorder="1" applyAlignment="1">
      <alignment vertical="center"/>
    </xf>
    <xf numFmtId="166" fontId="35" fillId="11" borderId="51" xfId="6" applyNumberFormat="1" applyFont="1" applyFill="1" applyBorder="1" applyAlignment="1">
      <alignment vertical="center"/>
    </xf>
    <xf numFmtId="0" fontId="8" fillId="41" borderId="17" xfId="6" applyFont="1" applyFill="1" applyBorder="1" applyAlignment="1">
      <alignment horizontal="center" vertical="center"/>
    </xf>
    <xf numFmtId="0" fontId="12" fillId="11" borderId="36" xfId="0" applyFont="1" applyFill="1" applyBorder="1" applyAlignment="1">
      <alignment horizontal="center" vertical="center" wrapText="1"/>
    </xf>
    <xf numFmtId="0" fontId="12" fillId="11" borderId="1" xfId="0" applyFont="1" applyFill="1" applyBorder="1" applyAlignment="1">
      <alignment horizontal="center" vertical="center" wrapText="1"/>
    </xf>
    <xf numFmtId="0" fontId="0" fillId="0" borderId="23" xfId="0" applyBorder="1"/>
    <xf numFmtId="0" fontId="0" fillId="0" borderId="17" xfId="0" applyBorder="1"/>
    <xf numFmtId="0" fontId="0" fillId="0" borderId="25" xfId="0" applyBorder="1"/>
    <xf numFmtId="0" fontId="9" fillId="41" borderId="18" xfId="6" applyFont="1" applyFill="1" applyBorder="1" applyAlignment="1">
      <alignment vertical="center"/>
    </xf>
    <xf numFmtId="0" fontId="0" fillId="0" borderId="3" xfId="0" applyBorder="1"/>
    <xf numFmtId="0" fontId="0" fillId="41" borderId="18" xfId="0" applyFill="1" applyBorder="1"/>
    <xf numFmtId="0" fontId="0" fillId="41" borderId="3" xfId="0" applyFill="1" applyBorder="1"/>
    <xf numFmtId="0" fontId="0" fillId="44" borderId="0" xfId="0" applyFill="1"/>
    <xf numFmtId="0" fontId="5" fillId="44" borderId="0" xfId="0" applyFont="1" applyFill="1" applyBorder="1"/>
    <xf numFmtId="0" fontId="8" fillId="44" borderId="0" xfId="6" applyFont="1" applyFill="1" applyBorder="1" applyAlignment="1">
      <alignment horizontal="center" vertical="center"/>
    </xf>
    <xf numFmtId="0" fontId="6" fillId="44" borderId="0" xfId="6" applyFont="1" applyFill="1" applyAlignment="1">
      <alignment vertical="center"/>
    </xf>
    <xf numFmtId="0" fontId="47" fillId="41" borderId="4" xfId="0" applyFont="1" applyFill="1" applyBorder="1"/>
    <xf numFmtId="0" fontId="47" fillId="41" borderId="39" xfId="0" applyFont="1" applyFill="1" applyBorder="1"/>
    <xf numFmtId="0" fontId="47" fillId="41" borderId="51" xfId="0" applyFont="1" applyFill="1" applyBorder="1"/>
    <xf numFmtId="0" fontId="47" fillId="41" borderId="17" xfId="0" applyFont="1" applyFill="1" applyBorder="1"/>
    <xf numFmtId="15" fontId="2" fillId="0" borderId="3" xfId="0" applyNumberFormat="1" applyFont="1" applyFill="1" applyBorder="1"/>
    <xf numFmtId="9" fontId="11" fillId="0" borderId="1" xfId="0" applyNumberFormat="1" applyFont="1" applyFill="1" applyBorder="1"/>
    <xf numFmtId="49" fontId="0" fillId="0" borderId="2" xfId="0" applyNumberFormat="1" applyFont="1" applyFill="1" applyBorder="1"/>
    <xf numFmtId="15" fontId="11" fillId="0" borderId="3" xfId="0" applyNumberFormat="1" applyFont="1" applyFill="1" applyBorder="1"/>
    <xf numFmtId="15" fontId="0" fillId="0" borderId="3" xfId="0" applyNumberFormat="1" applyFont="1" applyFill="1" applyBorder="1"/>
    <xf numFmtId="0" fontId="0" fillId="0" borderId="2" xfId="0" applyNumberFormat="1" applyFont="1" applyFill="1" applyBorder="1"/>
    <xf numFmtId="0" fontId="0" fillId="35" borderId="1" xfId="0" applyFont="1" applyFill="1" applyBorder="1"/>
    <xf numFmtId="9" fontId="0" fillId="0" borderId="1" xfId="0" applyNumberFormat="1" applyFont="1" applyFill="1" applyBorder="1"/>
    <xf numFmtId="15" fontId="0" fillId="0" borderId="25" xfId="0" applyNumberFormat="1" applyFont="1" applyFill="1" applyBorder="1"/>
    <xf numFmtId="15" fontId="11" fillId="3" borderId="17" xfId="0" applyNumberFormat="1" applyFont="1" applyFill="1" applyBorder="1" applyAlignment="1"/>
    <xf numFmtId="0" fontId="11" fillId="3" borderId="9" xfId="0" applyFont="1" applyFill="1" applyBorder="1" applyAlignment="1"/>
    <xf numFmtId="0" fontId="11" fillId="3" borderId="9" xfId="0" applyFont="1" applyFill="1" applyBorder="1" applyAlignment="1">
      <alignment wrapText="1"/>
    </xf>
    <xf numFmtId="0" fontId="11" fillId="11" borderId="9" xfId="0" applyFont="1" applyFill="1" applyBorder="1" applyAlignment="1">
      <alignment wrapText="1"/>
    </xf>
    <xf numFmtId="0" fontId="11" fillId="7" borderId="9" xfId="0" applyFont="1" applyFill="1" applyBorder="1" applyAlignment="1">
      <alignment wrapText="1"/>
    </xf>
    <xf numFmtId="0" fontId="11" fillId="12" borderId="9" xfId="0" applyFont="1" applyFill="1" applyBorder="1" applyAlignment="1">
      <alignment wrapText="1"/>
    </xf>
    <xf numFmtId="0" fontId="11" fillId="20" borderId="9" xfId="0" applyFont="1" applyFill="1" applyBorder="1" applyAlignment="1">
      <alignment wrapText="1"/>
    </xf>
    <xf numFmtId="0" fontId="11" fillId="17" borderId="9" xfId="0" applyFont="1" applyFill="1" applyBorder="1" applyAlignment="1">
      <alignment wrapText="1"/>
    </xf>
    <xf numFmtId="0" fontId="11" fillId="0" borderId="9" xfId="0" applyFont="1" applyFill="1" applyBorder="1" applyAlignment="1"/>
    <xf numFmtId="0" fontId="0" fillId="0" borderId="9" xfId="0" applyFill="1" applyBorder="1" applyAlignment="1"/>
    <xf numFmtId="0" fontId="11" fillId="12" borderId="23" xfId="0" applyFont="1" applyFill="1" applyBorder="1" applyAlignment="1">
      <alignment wrapText="1"/>
    </xf>
    <xf numFmtId="0" fontId="3" fillId="11" borderId="9" xfId="0" applyFont="1" applyFill="1" applyBorder="1"/>
    <xf numFmtId="165" fontId="3" fillId="11" borderId="9" xfId="7" applyNumberFormat="1" applyFont="1" applyFill="1" applyBorder="1"/>
    <xf numFmtId="165" fontId="3" fillId="2" borderId="9" xfId="7" applyNumberFormat="1" applyFont="1" applyFill="1" applyBorder="1"/>
    <xf numFmtId="1" fontId="3" fillId="7" borderId="9" xfId="0" applyNumberFormat="1" applyFont="1" applyFill="1" applyBorder="1"/>
    <xf numFmtId="165" fontId="3" fillId="7" borderId="9" xfId="7" applyNumberFormat="1" applyFont="1" applyFill="1" applyBorder="1"/>
    <xf numFmtId="3" fontId="0" fillId="7" borderId="1" xfId="0" applyNumberFormat="1" applyFill="1" applyBorder="1"/>
    <xf numFmtId="9" fontId="0" fillId="7" borderId="1" xfId="8" applyFont="1" applyFill="1" applyBorder="1"/>
    <xf numFmtId="165" fontId="0" fillId="7" borderId="1" xfId="7" applyNumberFormat="1" applyFont="1" applyFill="1" applyBorder="1"/>
    <xf numFmtId="0" fontId="0" fillId="0" borderId="1" xfId="0" applyBorder="1" applyAlignment="1">
      <alignment horizontal="left"/>
    </xf>
    <xf numFmtId="0" fontId="0" fillId="0" borderId="1" xfId="0" pivotButton="1" applyBorder="1"/>
    <xf numFmtId="0" fontId="0" fillId="0" borderId="1" xfId="0" applyNumberFormat="1" applyBorder="1"/>
    <xf numFmtId="0" fontId="8" fillId="41" borderId="51" xfId="6" applyFont="1" applyFill="1" applyBorder="1" applyAlignment="1">
      <alignment horizontal="center" vertical="center"/>
    </xf>
    <xf numFmtId="165" fontId="0" fillId="0" borderId="1" xfId="0" applyNumberFormat="1" applyBorder="1"/>
    <xf numFmtId="0" fontId="0" fillId="0" borderId="5" xfId="0" applyBorder="1"/>
    <xf numFmtId="0" fontId="0" fillId="0" borderId="11" xfId="0" applyBorder="1"/>
    <xf numFmtId="0" fontId="0" fillId="0" borderId="9" xfId="0" applyBorder="1"/>
    <xf numFmtId="9" fontId="0" fillId="0" borderId="25" xfId="0" applyNumberFormat="1" applyBorder="1"/>
    <xf numFmtId="9" fontId="0" fillId="0" borderId="39" xfId="0" applyNumberFormat="1" applyBorder="1"/>
    <xf numFmtId="0" fontId="0" fillId="0" borderId="5" xfId="0" pivotButton="1" applyBorder="1"/>
    <xf numFmtId="165" fontId="0" fillId="0" borderId="5" xfId="0" applyNumberFormat="1" applyBorder="1"/>
    <xf numFmtId="0" fontId="4" fillId="3" borderId="1" xfId="0" quotePrefix="1" applyFont="1" applyFill="1" applyBorder="1" applyAlignment="1">
      <alignment horizontal="center" vertical="center" wrapText="1"/>
    </xf>
    <xf numFmtId="0" fontId="4" fillId="28" borderId="1" xfId="0" quotePrefix="1" applyFont="1" applyFill="1" applyBorder="1" applyAlignment="1">
      <alignment horizontal="center" vertical="center" wrapText="1"/>
    </xf>
    <xf numFmtId="1" fontId="29" fillId="0" borderId="1" xfId="0" applyNumberFormat="1" applyFont="1" applyFill="1" applyBorder="1" applyAlignment="1">
      <alignment horizontal="center" vertical="center"/>
    </xf>
    <xf numFmtId="49" fontId="29" fillId="0" borderId="1" xfId="0" applyNumberFormat="1" applyFont="1" applyFill="1" applyBorder="1" applyAlignment="1">
      <alignment horizontal="left" vertical="center"/>
    </xf>
    <xf numFmtId="49" fontId="29" fillId="0" borderId="1" xfId="0" applyNumberFormat="1" applyFont="1" applyFill="1" applyBorder="1" applyAlignment="1">
      <alignment horizontal="center" vertical="center"/>
    </xf>
    <xf numFmtId="0" fontId="29" fillId="0" borderId="1" xfId="0" applyFont="1" applyFill="1" applyBorder="1" applyAlignment="1">
      <alignment horizontal="center" vertical="center"/>
    </xf>
    <xf numFmtId="9" fontId="29" fillId="0" borderId="1" xfId="0" applyNumberFormat="1" applyFont="1" applyFill="1" applyBorder="1" applyAlignment="1">
      <alignment horizontal="center" vertical="center"/>
    </xf>
    <xf numFmtId="0" fontId="29" fillId="0" borderId="1" xfId="0" applyNumberFormat="1" applyFont="1" applyFill="1" applyBorder="1" applyAlignment="1">
      <alignment horizontal="center" vertical="center"/>
    </xf>
    <xf numFmtId="49" fontId="29" fillId="0" borderId="1" xfId="0" applyNumberFormat="1" applyFont="1" applyFill="1" applyBorder="1" applyAlignment="1">
      <alignment horizontal="left" vertical="center" wrapText="1"/>
    </xf>
    <xf numFmtId="9" fontId="29" fillId="0" borderId="1" xfId="8" applyFont="1" applyFill="1" applyBorder="1" applyAlignment="1">
      <alignment horizontal="center" vertical="center"/>
    </xf>
    <xf numFmtId="1" fontId="29" fillId="0" borderId="3" xfId="0" applyNumberFormat="1" applyFont="1" applyFill="1" applyBorder="1" applyAlignment="1">
      <alignment horizontal="center" vertical="center"/>
    </xf>
    <xf numFmtId="0" fontId="9" fillId="41" borderId="4" xfId="6" applyFont="1" applyFill="1" applyBorder="1" applyAlignment="1">
      <alignment vertical="center"/>
    </xf>
    <xf numFmtId="0" fontId="5" fillId="41" borderId="51" xfId="0" applyFont="1" applyFill="1" applyBorder="1"/>
    <xf numFmtId="0" fontId="0" fillId="0" borderId="29" xfId="0" applyBorder="1" applyAlignment="1">
      <alignment vertical="center" wrapText="1"/>
    </xf>
    <xf numFmtId="0" fontId="0" fillId="0" borderId="27" xfId="0" applyBorder="1" applyAlignment="1">
      <alignment vertical="center" wrapText="1"/>
    </xf>
    <xf numFmtId="0" fontId="0" fillId="0" borderId="30" xfId="0" applyBorder="1" applyAlignment="1">
      <alignment vertical="center" wrapText="1"/>
    </xf>
    <xf numFmtId="0" fontId="0" fillId="0" borderId="31" xfId="0" applyBorder="1" applyAlignment="1">
      <alignment vertical="center" wrapText="1"/>
    </xf>
    <xf numFmtId="0" fontId="0" fillId="0" borderId="1" xfId="0" quotePrefix="1" applyBorder="1"/>
    <xf numFmtId="0" fontId="0" fillId="0" borderId="19" xfId="0" applyBorder="1"/>
    <xf numFmtId="165" fontId="0" fillId="0" borderId="20" xfId="7" quotePrefix="1" applyNumberFormat="1" applyFont="1" applyBorder="1"/>
    <xf numFmtId="1" fontId="3" fillId="11" borderId="21" xfId="0" applyNumberFormat="1" applyFont="1" applyFill="1" applyBorder="1"/>
    <xf numFmtId="0" fontId="0" fillId="0" borderId="1" xfId="0" pivotButton="1" applyBorder="1" applyAlignment="1">
      <alignment wrapText="1"/>
    </xf>
    <xf numFmtId="0" fontId="0" fillId="0" borderId="1" xfId="0" applyBorder="1" applyAlignment="1">
      <alignment wrapText="1"/>
    </xf>
    <xf numFmtId="0" fontId="0" fillId="0" borderId="1" xfId="0" applyNumberFormat="1" applyBorder="1" applyAlignment="1">
      <alignment horizontal="center" vertical="center"/>
    </xf>
    <xf numFmtId="0" fontId="0" fillId="0" borderId="2" xfId="0" applyNumberFormat="1" applyBorder="1"/>
    <xf numFmtId="0" fontId="0" fillId="0" borderId="5" xfId="0" applyNumberFormat="1" applyBorder="1"/>
    <xf numFmtId="0" fontId="0" fillId="0" borderId="5" xfId="0" applyNumberFormat="1" applyBorder="1" applyAlignment="1">
      <alignment horizontal="center" vertical="center"/>
    </xf>
    <xf numFmtId="0" fontId="0" fillId="0" borderId="18" xfId="0" applyNumberFormat="1" applyBorder="1"/>
    <xf numFmtId="0" fontId="0" fillId="0" borderId="17" xfId="0" applyBorder="1" applyAlignment="1">
      <alignment wrapText="1"/>
    </xf>
    <xf numFmtId="0" fontId="0" fillId="0" borderId="9" xfId="0" applyBorder="1" applyAlignment="1">
      <alignment wrapText="1"/>
    </xf>
    <xf numFmtId="0" fontId="0" fillId="0" borderId="9" xfId="0" applyBorder="1" applyAlignment="1">
      <alignment horizontal="center" vertical="center" wrapText="1"/>
    </xf>
    <xf numFmtId="0" fontId="0" fillId="0" borderId="23" xfId="0" applyBorder="1" applyAlignment="1">
      <alignment wrapText="1"/>
    </xf>
    <xf numFmtId="0" fontId="11" fillId="10" borderId="15" xfId="0" applyFont="1" applyFill="1" applyBorder="1"/>
    <xf numFmtId="0" fontId="9" fillId="10" borderId="0" xfId="0" applyFont="1" applyFill="1" applyBorder="1"/>
    <xf numFmtId="0" fontId="11" fillId="10" borderId="0" xfId="0" applyFont="1" applyFill="1" applyBorder="1"/>
    <xf numFmtId="0" fontId="54" fillId="10" borderId="0" xfId="0" applyFont="1" applyFill="1" applyBorder="1" applyAlignment="1"/>
    <xf numFmtId="0" fontId="11" fillId="10" borderId="16" xfId="0" applyFont="1" applyFill="1" applyBorder="1"/>
    <xf numFmtId="0" fontId="20" fillId="10" borderId="0" xfId="0" applyFont="1" applyFill="1" applyBorder="1" applyAlignment="1"/>
    <xf numFmtId="0" fontId="36" fillId="23" borderId="1" xfId="0" applyFont="1" applyFill="1" applyBorder="1" applyAlignment="1">
      <alignment horizontal="center" vertical="top" wrapText="1"/>
    </xf>
    <xf numFmtId="9" fontId="36" fillId="23" borderId="1" xfId="8" applyFont="1" applyFill="1" applyBorder="1" applyAlignment="1">
      <alignment horizontal="right" vertical="center" wrapText="1"/>
    </xf>
    <xf numFmtId="165" fontId="0" fillId="0" borderId="2" xfId="0" applyNumberFormat="1" applyBorder="1"/>
    <xf numFmtId="165" fontId="0" fillId="0" borderId="18" xfId="0" applyNumberFormat="1" applyBorder="1"/>
    <xf numFmtId="0" fontId="0" fillId="10" borderId="12" xfId="0" applyFill="1" applyBorder="1"/>
    <xf numFmtId="0" fontId="0" fillId="10" borderId="13" xfId="0" applyFill="1" applyBorder="1"/>
    <xf numFmtId="0" fontId="0" fillId="10" borderId="14" xfId="0" applyFill="1" applyBorder="1"/>
    <xf numFmtId="1" fontId="29" fillId="0" borderId="25" xfId="0" applyNumberFormat="1" applyFont="1" applyFill="1" applyBorder="1" applyAlignment="1">
      <alignment horizontal="center" vertical="center"/>
    </xf>
    <xf numFmtId="0" fontId="29" fillId="0" borderId="5" xfId="0" applyFont="1" applyFill="1" applyBorder="1" applyAlignment="1">
      <alignment horizontal="center" vertical="center"/>
    </xf>
    <xf numFmtId="0" fontId="29" fillId="0" borderId="5" xfId="0" applyNumberFormat="1" applyFont="1" applyFill="1" applyBorder="1" applyAlignment="1">
      <alignment horizontal="center" vertical="center"/>
    </xf>
    <xf numFmtId="9" fontId="29" fillId="0" borderId="5" xfId="0" applyNumberFormat="1" applyFont="1" applyFill="1" applyBorder="1" applyAlignment="1">
      <alignment horizontal="center" vertical="center"/>
    </xf>
    <xf numFmtId="0" fontId="5" fillId="0" borderId="1" xfId="0" applyFont="1" applyFill="1" applyBorder="1" applyAlignment="1">
      <alignment vertical="center"/>
    </xf>
    <xf numFmtId="0" fontId="0" fillId="0" borderId="0" xfId="0"/>
    <xf numFmtId="0" fontId="0" fillId="0" borderId="0" xfId="0" applyBorder="1"/>
    <xf numFmtId="0" fontId="0" fillId="0" borderId="0" xfId="0" applyNumberFormat="1"/>
    <xf numFmtId="0" fontId="0" fillId="10" borderId="0" xfId="0" applyFill="1"/>
    <xf numFmtId="0" fontId="0" fillId="10" borderId="0" xfId="0" applyFill="1" applyAlignment="1">
      <alignment horizontal="left"/>
    </xf>
    <xf numFmtId="0" fontId="0" fillId="10" borderId="0" xfId="0" applyNumberFormat="1" applyFill="1"/>
    <xf numFmtId="0" fontId="0" fillId="11" borderId="0" xfId="0" applyFill="1"/>
    <xf numFmtId="0" fontId="0" fillId="0" borderId="0" xfId="0" applyFill="1" applyBorder="1"/>
    <xf numFmtId="0" fontId="0" fillId="0" borderId="0" xfId="0" pivotButton="1"/>
    <xf numFmtId="0" fontId="0" fillId="0" borderId="0" xfId="0" applyNumberFormat="1" applyBorder="1"/>
    <xf numFmtId="0" fontId="0" fillId="10" borderId="0" xfId="0" applyFill="1" applyAlignment="1">
      <alignment horizontal="left" indent="1"/>
    </xf>
    <xf numFmtId="0" fontId="0" fillId="41" borderId="0" xfId="0" applyFill="1" applyBorder="1"/>
    <xf numFmtId="49" fontId="40" fillId="0" borderId="1" xfId="0" applyNumberFormat="1" applyFont="1" applyFill="1" applyBorder="1" applyAlignment="1">
      <alignment horizontal="right" vertical="center"/>
    </xf>
    <xf numFmtId="49" fontId="5" fillId="0" borderId="1" xfId="0" applyNumberFormat="1" applyFont="1" applyFill="1" applyBorder="1" applyAlignment="1">
      <alignment horizontal="right" vertical="center"/>
    </xf>
    <xf numFmtId="49" fontId="11" fillId="0" borderId="1" xfId="0" applyNumberFormat="1" applyFont="1" applyFill="1" applyBorder="1" applyAlignment="1">
      <alignment horizontal="left" vertical="center"/>
    </xf>
    <xf numFmtId="0" fontId="0" fillId="41" borderId="50" xfId="0" applyFill="1" applyBorder="1"/>
    <xf numFmtId="0" fontId="0" fillId="41" borderId="25" xfId="0" applyFill="1" applyBorder="1"/>
    <xf numFmtId="0" fontId="0" fillId="41" borderId="39" xfId="0" applyFill="1" applyBorder="1"/>
    <xf numFmtId="165" fontId="0" fillId="0" borderId="0" xfId="0" applyNumberFormat="1" applyBorder="1"/>
    <xf numFmtId="3" fontId="0" fillId="0" borderId="0" xfId="0" applyNumberFormat="1" applyBorder="1"/>
    <xf numFmtId="0" fontId="0" fillId="0" borderId="29" xfId="0" pivotButton="1" applyBorder="1"/>
    <xf numFmtId="0" fontId="0" fillId="0" borderId="31" xfId="0" applyBorder="1"/>
    <xf numFmtId="0" fontId="0" fillId="0" borderId="12" xfId="0" pivotButton="1" applyBorder="1"/>
    <xf numFmtId="0" fontId="0" fillId="0" borderId="13" xfId="0" applyBorder="1" applyAlignment="1">
      <alignment horizontal="right" vertical="top" wrapText="1"/>
    </xf>
    <xf numFmtId="0" fontId="0" fillId="0" borderId="14" xfId="0" applyBorder="1" applyAlignment="1">
      <alignment horizontal="right" vertical="top" wrapText="1"/>
    </xf>
    <xf numFmtId="0" fontId="0" fillId="0" borderId="15" xfId="0" applyBorder="1" applyAlignment="1">
      <alignment horizontal="left"/>
    </xf>
    <xf numFmtId="165" fontId="0" fillId="0" borderId="16" xfId="0" applyNumberFormat="1" applyBorder="1"/>
    <xf numFmtId="0" fontId="0" fillId="0" borderId="54" xfId="0" applyBorder="1" applyAlignment="1">
      <alignment horizontal="left"/>
    </xf>
    <xf numFmtId="165" fontId="0" fillId="0" borderId="55" xfId="0" applyNumberFormat="1" applyBorder="1"/>
    <xf numFmtId="3" fontId="0" fillId="0" borderId="55" xfId="0" applyNumberFormat="1" applyBorder="1"/>
    <xf numFmtId="0" fontId="0" fillId="0" borderId="55" xfId="0" applyNumberFormat="1" applyBorder="1"/>
    <xf numFmtId="165" fontId="0" fillId="0" borderId="56" xfId="0" applyNumberFormat="1" applyBorder="1"/>
    <xf numFmtId="0" fontId="0" fillId="0" borderId="4" xfId="0" applyBorder="1"/>
    <xf numFmtId="0" fontId="0" fillId="0" borderId="39" xfId="0" applyBorder="1"/>
    <xf numFmtId="49" fontId="5" fillId="0" borderId="1" xfId="0" applyNumberFormat="1" applyFont="1" applyFill="1" applyBorder="1" applyAlignment="1">
      <alignment vertical="center"/>
    </xf>
    <xf numFmtId="0" fontId="0" fillId="0" borderId="50" xfId="0" applyBorder="1"/>
    <xf numFmtId="0" fontId="0" fillId="0" borderId="25" xfId="0" applyBorder="1"/>
    <xf numFmtId="0" fontId="0" fillId="10" borderId="25" xfId="0" applyFill="1" applyBorder="1"/>
    <xf numFmtId="0" fontId="0" fillId="10" borderId="18" xfId="0" applyFill="1" applyBorder="1"/>
    <xf numFmtId="0" fontId="0" fillId="11" borderId="50" xfId="0" applyFill="1" applyBorder="1"/>
    <xf numFmtId="165" fontId="0" fillId="10" borderId="4" xfId="0" applyNumberFormat="1" applyFill="1" applyBorder="1" applyAlignment="1">
      <alignment horizontal="left"/>
    </xf>
    <xf numFmtId="165" fontId="0" fillId="10" borderId="0" xfId="0" applyNumberFormat="1" applyFill="1" applyBorder="1"/>
    <xf numFmtId="165" fontId="0" fillId="10" borderId="39" xfId="0" applyNumberFormat="1" applyFill="1" applyBorder="1"/>
    <xf numFmtId="0" fontId="0" fillId="10" borderId="4" xfId="0" applyFill="1" applyBorder="1" applyAlignment="1">
      <alignment horizontal="left" indent="1"/>
    </xf>
    <xf numFmtId="165" fontId="0" fillId="11" borderId="23" xfId="0" applyNumberFormat="1" applyFill="1" applyBorder="1" applyAlignment="1">
      <alignment horizontal="left"/>
    </xf>
    <xf numFmtId="165" fontId="0" fillId="11" borderId="51" xfId="0" applyNumberFormat="1" applyFill="1" applyBorder="1"/>
    <xf numFmtId="0" fontId="0" fillId="0" borderId="2" xfId="0" pivotButton="1" applyBorder="1"/>
    <xf numFmtId="0" fontId="0" fillId="0" borderId="3" xfId="0" applyBorder="1"/>
    <xf numFmtId="0" fontId="0" fillId="41" borderId="18" xfId="0" applyFill="1" applyBorder="1"/>
    <xf numFmtId="0" fontId="0" fillId="41" borderId="4" xfId="0" applyFill="1" applyBorder="1"/>
    <xf numFmtId="0" fontId="0" fillId="41" borderId="4" xfId="0" applyFill="1" applyBorder="1" applyAlignment="1">
      <alignment horizontal="left"/>
    </xf>
    <xf numFmtId="0" fontId="0" fillId="41" borderId="23" xfId="0" applyFill="1" applyBorder="1" applyAlignment="1">
      <alignment horizontal="left"/>
    </xf>
    <xf numFmtId="3" fontId="0" fillId="41" borderId="51" xfId="0" applyNumberFormat="1" applyFill="1" applyBorder="1"/>
    <xf numFmtId="3" fontId="0" fillId="41" borderId="17" xfId="0" applyNumberFormat="1" applyFill="1" applyBorder="1"/>
    <xf numFmtId="0" fontId="0" fillId="41" borderId="3" xfId="0" applyFill="1" applyBorder="1"/>
    <xf numFmtId="165" fontId="0" fillId="41" borderId="0" xfId="0" applyNumberFormat="1" applyFill="1" applyBorder="1"/>
    <xf numFmtId="165" fontId="0" fillId="44" borderId="4" xfId="0" applyNumberFormat="1" applyFill="1" applyBorder="1" applyAlignment="1">
      <alignment horizontal="left"/>
    </xf>
    <xf numFmtId="165" fontId="0" fillId="44" borderId="0" xfId="0" applyNumberFormat="1" applyFill="1" applyBorder="1"/>
    <xf numFmtId="165" fontId="0" fillId="44" borderId="39" xfId="0" applyNumberFormat="1" applyFill="1" applyBorder="1"/>
    <xf numFmtId="0" fontId="0" fillId="44" borderId="4" xfId="0" applyFill="1" applyBorder="1" applyAlignment="1">
      <alignment horizontal="left"/>
    </xf>
    <xf numFmtId="3" fontId="0" fillId="44" borderId="0" xfId="0" applyNumberFormat="1" applyFill="1" applyBorder="1"/>
    <xf numFmtId="3" fontId="0" fillId="44" borderId="39" xfId="0" applyNumberFormat="1" applyFill="1" applyBorder="1"/>
    <xf numFmtId="0" fontId="0" fillId="41" borderId="2" xfId="0" applyFill="1" applyBorder="1"/>
    <xf numFmtId="10" fontId="0" fillId="41" borderId="39" xfId="0" applyNumberFormat="1" applyFill="1" applyBorder="1"/>
    <xf numFmtId="10" fontId="0" fillId="10" borderId="39" xfId="0" applyNumberFormat="1" applyFill="1" applyBorder="1"/>
    <xf numFmtId="0" fontId="0" fillId="10" borderId="4" xfId="0" applyFill="1" applyBorder="1" applyAlignment="1">
      <alignment horizontal="left" indent="2"/>
    </xf>
    <xf numFmtId="9" fontId="0" fillId="10" borderId="39" xfId="0" applyNumberFormat="1" applyFill="1" applyBorder="1"/>
    <xf numFmtId="0" fontId="0" fillId="10" borderId="4" xfId="0" applyFill="1" applyBorder="1" applyAlignment="1">
      <alignment horizontal="left"/>
    </xf>
    <xf numFmtId="9" fontId="0" fillId="11" borderId="17" xfId="0" applyNumberFormat="1" applyFill="1" applyBorder="1"/>
    <xf numFmtId="0" fontId="0" fillId="0" borderId="18" xfId="0" pivotButton="1" applyBorder="1"/>
    <xf numFmtId="0" fontId="0" fillId="0" borderId="50" xfId="0" pivotButton="1" applyBorder="1"/>
    <xf numFmtId="0" fontId="0" fillId="0" borderId="4" xfId="0" pivotButton="1" applyBorder="1"/>
    <xf numFmtId="0" fontId="0" fillId="0" borderId="4" xfId="0" applyBorder="1" applyAlignment="1">
      <alignment horizontal="left"/>
    </xf>
    <xf numFmtId="165" fontId="0" fillId="0" borderId="39" xfId="0" applyNumberFormat="1" applyBorder="1"/>
    <xf numFmtId="0" fontId="0" fillId="0" borderId="23" xfId="0" applyBorder="1" applyAlignment="1">
      <alignment horizontal="left"/>
    </xf>
    <xf numFmtId="165" fontId="0" fillId="0" borderId="51" xfId="0" applyNumberFormat="1" applyBorder="1"/>
    <xf numFmtId="165" fontId="0" fillId="0" borderId="17" xfId="0" applyNumberFormat="1" applyBorder="1"/>
    <xf numFmtId="0" fontId="0" fillId="0" borderId="18" xfId="0" pivotButton="1" applyBorder="1" applyAlignment="1">
      <alignment horizontal="center" vertical="center" wrapText="1"/>
    </xf>
    <xf numFmtId="0" fontId="0" fillId="0" borderId="50" xfId="0" pivotButton="1" applyBorder="1" applyAlignment="1">
      <alignment horizontal="center" vertical="center" wrapText="1"/>
    </xf>
    <xf numFmtId="0" fontId="0" fillId="0" borderId="50" xfId="0" pivotButton="1" applyBorder="1" applyAlignment="1">
      <alignment vertical="center"/>
    </xf>
    <xf numFmtId="165" fontId="0" fillId="0" borderId="50" xfId="0" applyNumberFormat="1" applyBorder="1" applyAlignment="1">
      <alignment horizontal="center" vertical="center" wrapText="1"/>
    </xf>
    <xf numFmtId="0" fontId="62" fillId="36" borderId="23" xfId="0" applyFont="1" applyFill="1" applyBorder="1"/>
    <xf numFmtId="0" fontId="62" fillId="36" borderId="51" xfId="0" applyFont="1" applyFill="1" applyBorder="1"/>
    <xf numFmtId="165" fontId="62" fillId="36" borderId="51" xfId="0" applyNumberFormat="1" applyFont="1" applyFill="1" applyBorder="1"/>
    <xf numFmtId="165" fontId="62" fillId="36" borderId="17" xfId="0" applyNumberFormat="1" applyFont="1" applyFill="1" applyBorder="1"/>
    <xf numFmtId="165" fontId="0" fillId="0" borderId="1" xfId="0" applyNumberFormat="1" applyBorder="1"/>
    <xf numFmtId="0" fontId="0" fillId="0" borderId="5" xfId="0" applyBorder="1"/>
    <xf numFmtId="170" fontId="0" fillId="0" borderId="0" xfId="0" applyNumberFormat="1" applyBorder="1"/>
    <xf numFmtId="170" fontId="0" fillId="0" borderId="51" xfId="0" applyNumberFormat="1" applyBorder="1"/>
    <xf numFmtId="170" fontId="0" fillId="0" borderId="50" xfId="0" applyNumberFormat="1" applyBorder="1"/>
    <xf numFmtId="165" fontId="0" fillId="0" borderId="5" xfId="0" applyNumberFormat="1" applyBorder="1"/>
    <xf numFmtId="165" fontId="0" fillId="0" borderId="11" xfId="0" applyNumberFormat="1" applyBorder="1"/>
    <xf numFmtId="165" fontId="0" fillId="0" borderId="9" xfId="0" applyNumberFormat="1" applyBorder="1"/>
    <xf numFmtId="170" fontId="0" fillId="0" borderId="5" xfId="0" applyNumberFormat="1" applyBorder="1"/>
    <xf numFmtId="170" fontId="0" fillId="0" borderId="11" xfId="0" applyNumberFormat="1" applyBorder="1"/>
    <xf numFmtId="170" fontId="0" fillId="0" borderId="9" xfId="0" applyNumberFormat="1" applyBorder="1"/>
    <xf numFmtId="0" fontId="0" fillId="41" borderId="1" xfId="0" applyFill="1" applyBorder="1"/>
    <xf numFmtId="165" fontId="0" fillId="41" borderId="1" xfId="0" applyNumberFormat="1" applyFill="1" applyBorder="1"/>
    <xf numFmtId="170" fontId="0" fillId="0" borderId="8" xfId="0" applyNumberFormat="1" applyBorder="1"/>
    <xf numFmtId="0" fontId="0" fillId="0" borderId="2" xfId="0" applyBorder="1" applyAlignment="1">
      <alignment horizontal="left"/>
    </xf>
    <xf numFmtId="170" fontId="0" fillId="0" borderId="1" xfId="0" applyNumberFormat="1" applyBorder="1"/>
    <xf numFmtId="0" fontId="5" fillId="0" borderId="0" xfId="0" applyFont="1" applyAlignment="1"/>
    <xf numFmtId="49" fontId="11" fillId="0" borderId="5" xfId="0" applyNumberFormat="1" applyFont="1" applyFill="1" applyBorder="1"/>
    <xf numFmtId="49" fontId="11" fillId="0" borderId="5" xfId="14" applyNumberFormat="1" applyFont="1" applyFill="1" applyBorder="1" applyAlignment="1"/>
    <xf numFmtId="49" fontId="11" fillId="0" borderId="5" xfId="0" applyNumberFormat="1" applyFont="1" applyFill="1" applyBorder="1" applyAlignment="1">
      <alignment horizontal="left" vertical="center"/>
    </xf>
    <xf numFmtId="49" fontId="0" fillId="0" borderId="5" xfId="0" applyNumberFormat="1" applyFont="1" applyFill="1" applyBorder="1"/>
    <xf numFmtId="9" fontId="11" fillId="0" borderId="5" xfId="0" applyNumberFormat="1" applyFont="1" applyFill="1" applyBorder="1"/>
    <xf numFmtId="49" fontId="0" fillId="0" borderId="18" xfId="0" applyNumberFormat="1" applyFont="1" applyFill="1" applyBorder="1"/>
    <xf numFmtId="0" fontId="0" fillId="41" borderId="1" xfId="0" applyFill="1" applyBorder="1" applyAlignment="1">
      <alignment horizontal="left" vertical="top"/>
    </xf>
    <xf numFmtId="9" fontId="0" fillId="0" borderId="5" xfId="0" applyNumberFormat="1" applyBorder="1"/>
    <xf numFmtId="9" fontId="0" fillId="0" borderId="11" xfId="0" applyNumberFormat="1" applyBorder="1"/>
    <xf numFmtId="9" fontId="0" fillId="0" borderId="9" xfId="0" applyNumberFormat="1" applyBorder="1"/>
    <xf numFmtId="49" fontId="29" fillId="0" borderId="5" xfId="0" applyNumberFormat="1" applyFont="1" applyFill="1" applyBorder="1" applyAlignment="1">
      <alignment horizontal="center" vertical="center"/>
    </xf>
    <xf numFmtId="0" fontId="0" fillId="0" borderId="50" xfId="0" pivotButton="1" applyBorder="1" applyAlignment="1">
      <alignment vertical="center" wrapText="1"/>
    </xf>
    <xf numFmtId="165" fontId="0" fillId="0" borderId="3" xfId="0" applyNumberFormat="1" applyBorder="1"/>
    <xf numFmtId="9" fontId="0" fillId="0" borderId="1" xfId="0" applyNumberFormat="1" applyBorder="1"/>
    <xf numFmtId="0" fontId="0" fillId="0" borderId="15" xfId="0" applyFill="1" applyBorder="1"/>
    <xf numFmtId="0" fontId="0" fillId="0" borderId="16" xfId="0" applyFill="1" applyBorder="1"/>
    <xf numFmtId="15" fontId="0" fillId="0" borderId="0" xfId="0" applyNumberFormat="1" applyFill="1" applyAlignment="1">
      <alignment horizontal="left" vertical="center"/>
    </xf>
    <xf numFmtId="0" fontId="5" fillId="33" borderId="0" xfId="0" applyFont="1" applyFill="1" applyAlignment="1"/>
    <xf numFmtId="0" fontId="0" fillId="11" borderId="0" xfId="0" applyNumberFormat="1" applyFill="1"/>
    <xf numFmtId="0" fontId="0" fillId="11" borderId="0" xfId="0" applyFill="1" applyAlignment="1">
      <alignment horizontal="left"/>
    </xf>
    <xf numFmtId="165" fontId="0" fillId="41" borderId="17" xfId="0" applyNumberFormat="1" applyFill="1" applyBorder="1"/>
    <xf numFmtId="165" fontId="0" fillId="41" borderId="23" xfId="0" applyNumberFormat="1" applyFill="1" applyBorder="1" applyAlignment="1">
      <alignment horizontal="left"/>
    </xf>
    <xf numFmtId="165" fontId="0" fillId="41" borderId="51" xfId="0" applyNumberFormat="1" applyFill="1" applyBorder="1"/>
    <xf numFmtId="0" fontId="11" fillId="0" borderId="0" xfId="0" applyFont="1" applyBorder="1"/>
    <xf numFmtId="0" fontId="11" fillId="0" borderId="0" xfId="0" applyFont="1" applyFill="1" applyBorder="1"/>
    <xf numFmtId="0" fontId="11" fillId="0" borderId="0" xfId="0" applyFont="1" applyFill="1"/>
    <xf numFmtId="0" fontId="11" fillId="0" borderId="0" xfId="0" applyFont="1" applyAlignment="1"/>
    <xf numFmtId="0" fontId="11" fillId="33" borderId="0" xfId="0" applyFont="1" applyFill="1" applyAlignment="1"/>
    <xf numFmtId="168" fontId="0" fillId="0" borderId="1" xfId="7" applyNumberFormat="1" applyFont="1" applyBorder="1"/>
    <xf numFmtId="9" fontId="11" fillId="0" borderId="2" xfId="0" applyNumberFormat="1" applyFont="1" applyFill="1" applyBorder="1"/>
    <xf numFmtId="0" fontId="11" fillId="20" borderId="23" xfId="0" applyFont="1" applyFill="1" applyBorder="1" applyAlignment="1">
      <alignment wrapText="1"/>
    </xf>
    <xf numFmtId="0" fontId="0" fillId="10" borderId="3" xfId="0" applyFill="1" applyBorder="1"/>
    <xf numFmtId="0" fontId="0" fillId="10" borderId="2" xfId="0" applyFill="1" applyBorder="1"/>
    <xf numFmtId="0" fontId="0" fillId="41" borderId="50" xfId="0" applyFill="1" applyBorder="1" applyAlignment="1">
      <alignment vertical="center"/>
    </xf>
    <xf numFmtId="1" fontId="0" fillId="41" borderId="50" xfId="0" applyNumberFormat="1" applyFill="1" applyBorder="1" applyAlignment="1">
      <alignment vertical="center"/>
    </xf>
    <xf numFmtId="0" fontId="0" fillId="41" borderId="25" xfId="0" applyFill="1" applyBorder="1" applyAlignment="1">
      <alignment vertical="center"/>
    </xf>
    <xf numFmtId="0" fontId="0" fillId="0" borderId="0" xfId="0" applyBorder="1" applyAlignment="1">
      <alignment vertical="center"/>
    </xf>
    <xf numFmtId="0" fontId="5" fillId="0" borderId="0" xfId="0" applyFont="1" applyBorder="1" applyAlignment="1">
      <alignment vertical="center"/>
    </xf>
    <xf numFmtId="0" fontId="0" fillId="41" borderId="0" xfId="0" applyFill="1" applyBorder="1" applyAlignment="1">
      <alignment vertical="center"/>
    </xf>
    <xf numFmtId="1" fontId="0" fillId="41" borderId="0" xfId="0" applyNumberFormat="1" applyFill="1" applyBorder="1" applyAlignment="1">
      <alignment vertical="center"/>
    </xf>
    <xf numFmtId="0" fontId="0" fillId="41" borderId="39" xfId="0" applyFill="1" applyBorder="1" applyAlignment="1">
      <alignment vertical="center"/>
    </xf>
    <xf numFmtId="0" fontId="0" fillId="41" borderId="51" xfId="0" applyFill="1" applyBorder="1" applyAlignment="1">
      <alignment vertical="center"/>
    </xf>
    <xf numFmtId="1" fontId="0" fillId="41" borderId="51" xfId="0" applyNumberFormat="1" applyFill="1" applyBorder="1" applyAlignment="1">
      <alignment vertical="center"/>
    </xf>
    <xf numFmtId="0" fontId="0" fillId="41" borderId="17" xfId="0" applyFill="1" applyBorder="1" applyAlignment="1">
      <alignment vertical="center"/>
    </xf>
    <xf numFmtId="0" fontId="5" fillId="0" borderId="0" xfId="0" applyFont="1" applyFill="1" applyBorder="1" applyAlignment="1">
      <alignment vertical="center"/>
    </xf>
    <xf numFmtId="1" fontId="0" fillId="0" borderId="0" xfId="0" applyNumberFormat="1" applyFill="1" applyBorder="1" applyAlignment="1">
      <alignment vertical="center"/>
    </xf>
    <xf numFmtId="0" fontId="0" fillId="0" borderId="39" xfId="0" applyFill="1" applyBorder="1" applyAlignment="1">
      <alignment vertical="center"/>
    </xf>
    <xf numFmtId="0" fontId="0" fillId="0" borderId="0" xfId="0" applyAlignment="1">
      <alignment vertical="center" textRotation="90"/>
    </xf>
    <xf numFmtId="169" fontId="29" fillId="0" borderId="1" xfId="0" applyNumberFormat="1" applyFont="1" applyFill="1" applyBorder="1" applyAlignment="1">
      <alignment vertical="center"/>
    </xf>
    <xf numFmtId="49" fontId="29" fillId="0" borderId="1" xfId="0" applyNumberFormat="1" applyFont="1" applyFill="1" applyBorder="1" applyAlignment="1">
      <alignment vertical="center"/>
    </xf>
    <xf numFmtId="49" fontId="29" fillId="0" borderId="1" xfId="0" applyNumberFormat="1" applyFont="1" applyFill="1" applyBorder="1" applyAlignment="1">
      <alignment vertical="center" wrapText="1"/>
    </xf>
    <xf numFmtId="1" fontId="29" fillId="0" borderId="1" xfId="0" applyNumberFormat="1" applyFont="1" applyFill="1" applyBorder="1" applyAlignment="1">
      <alignment horizontal="right" vertical="center"/>
    </xf>
    <xf numFmtId="49" fontId="29" fillId="0" borderId="2" xfId="0" applyNumberFormat="1" applyFont="1" applyFill="1" applyBorder="1" applyAlignment="1">
      <alignment vertical="center"/>
    </xf>
    <xf numFmtId="0" fontId="0" fillId="0" borderId="0" xfId="0" applyFill="1" applyAlignment="1">
      <alignment vertical="center"/>
    </xf>
    <xf numFmtId="0" fontId="29" fillId="0" borderId="1" xfId="0" applyFont="1" applyFill="1" applyBorder="1" applyAlignment="1">
      <alignment vertical="center"/>
    </xf>
    <xf numFmtId="0" fontId="0" fillId="0" borderId="0" xfId="0" applyAlignment="1">
      <alignment vertical="center"/>
    </xf>
    <xf numFmtId="0" fontId="29" fillId="0" borderId="1" xfId="0" applyNumberFormat="1" applyFont="1" applyFill="1" applyBorder="1" applyAlignment="1">
      <alignment horizontal="right" vertical="center"/>
    </xf>
    <xf numFmtId="0" fontId="29" fillId="0" borderId="2" xfId="0" applyFont="1" applyFill="1" applyBorder="1" applyAlignment="1">
      <alignment vertical="center"/>
    </xf>
    <xf numFmtId="169" fontId="29" fillId="0" borderId="5" xfId="0" applyNumberFormat="1" applyFont="1" applyFill="1" applyBorder="1" applyAlignment="1">
      <alignment vertical="center"/>
    </xf>
    <xf numFmtId="49" fontId="29" fillId="0" borderId="5" xfId="0" applyNumberFormat="1" applyFont="1" applyFill="1" applyBorder="1" applyAlignment="1">
      <alignment vertical="center"/>
    </xf>
    <xf numFmtId="0" fontId="29" fillId="0" borderId="5" xfId="0" applyFont="1" applyFill="1" applyBorder="1" applyAlignment="1">
      <alignment vertical="center"/>
    </xf>
    <xf numFmtId="1" fontId="29" fillId="0" borderId="5" xfId="0" applyNumberFormat="1" applyFont="1" applyFill="1" applyBorder="1" applyAlignment="1">
      <alignment horizontal="right" vertical="center"/>
    </xf>
    <xf numFmtId="0" fontId="11" fillId="0" borderId="0" xfId="0" applyFont="1" applyFill="1" applyAlignment="1">
      <alignment vertical="center"/>
    </xf>
    <xf numFmtId="1" fontId="0" fillId="0" borderId="0" xfId="0" applyNumberFormat="1" applyAlignment="1">
      <alignment vertical="center"/>
    </xf>
    <xf numFmtId="0" fontId="0" fillId="0" borderId="27" xfId="0" applyBorder="1" applyAlignment="1">
      <alignment textRotation="90"/>
    </xf>
    <xf numFmtId="0" fontId="0" fillId="2" borderId="0" xfId="0" applyFill="1" applyAlignment="1">
      <alignment vertical="center"/>
    </xf>
    <xf numFmtId="0" fontId="11" fillId="0" borderId="0" xfId="0" applyFont="1" applyFill="1" applyBorder="1" applyAlignment="1">
      <alignment vertical="center"/>
    </xf>
    <xf numFmtId="0" fontId="29" fillId="0" borderId="5" xfId="0" applyNumberFormat="1" applyFont="1" applyFill="1" applyBorder="1" applyAlignment="1">
      <alignment horizontal="right" vertical="center"/>
    </xf>
    <xf numFmtId="0" fontId="29" fillId="0" borderId="18" xfId="0" applyFont="1" applyFill="1" applyBorder="1" applyAlignment="1">
      <alignment vertical="center"/>
    </xf>
    <xf numFmtId="49" fontId="29" fillId="0" borderId="2" xfId="0" applyNumberFormat="1" applyFont="1" applyFill="1" applyBorder="1" applyAlignment="1">
      <alignment vertical="center" wrapText="1"/>
    </xf>
    <xf numFmtId="9" fontId="11" fillId="0" borderId="18" xfId="0" applyNumberFormat="1" applyFont="1" applyFill="1" applyBorder="1"/>
    <xf numFmtId="0" fontId="0" fillId="0" borderId="2" xfId="0" applyFill="1" applyBorder="1"/>
    <xf numFmtId="0" fontId="0" fillId="0" borderId="0" xfId="0" applyNumberFormat="1" applyFont="1" applyFill="1" applyBorder="1"/>
    <xf numFmtId="49" fontId="0" fillId="0" borderId="0" xfId="0" applyNumberFormat="1" applyFont="1" applyFill="1" applyBorder="1"/>
    <xf numFmtId="0" fontId="0" fillId="0" borderId="2" xfId="0" applyNumberFormat="1" applyFont="1" applyFill="1" applyBorder="1" applyAlignment="1">
      <alignment horizontal="left"/>
    </xf>
    <xf numFmtId="0" fontId="11" fillId="0" borderId="0" xfId="0" applyFont="1" applyFill="1" applyAlignment="1"/>
    <xf numFmtId="0" fontId="5" fillId="0" borderId="0" xfId="0" applyFont="1" applyFill="1" applyAlignment="1"/>
    <xf numFmtId="49" fontId="5" fillId="0" borderId="1" xfId="0" applyNumberFormat="1" applyFont="1" applyFill="1" applyBorder="1"/>
    <xf numFmtId="168" fontId="29" fillId="0" borderId="2" xfId="1" applyNumberFormat="1" applyFont="1" applyFill="1" applyBorder="1" applyAlignment="1">
      <alignment vertical="center" wrapText="1"/>
    </xf>
    <xf numFmtId="0" fontId="29" fillId="0" borderId="11" xfId="0" applyNumberFormat="1" applyFont="1" applyFill="1" applyBorder="1" applyAlignment="1">
      <alignment horizontal="center" vertical="center"/>
    </xf>
    <xf numFmtId="15" fontId="0" fillId="0" borderId="3" xfId="0" applyNumberFormat="1" applyFont="1" applyFill="1" applyBorder="1"/>
    <xf numFmtId="9" fontId="0" fillId="0" borderId="2" xfId="0" applyNumberFormat="1" applyFont="1" applyFill="1" applyBorder="1"/>
    <xf numFmtId="15" fontId="65" fillId="0" borderId="3" xfId="0" applyNumberFormat="1" applyFont="1" applyFill="1" applyBorder="1" applyAlignment="1"/>
    <xf numFmtId="0" fontId="65" fillId="0" borderId="1" xfId="0" applyFont="1" applyFill="1" applyBorder="1" applyAlignment="1"/>
    <xf numFmtId="0" fontId="65" fillId="0" borderId="1" xfId="0" applyFont="1" applyFill="1" applyBorder="1" applyAlignment="1">
      <alignment wrapText="1"/>
    </xf>
    <xf numFmtId="0" fontId="65" fillId="0" borderId="1" xfId="14" applyFont="1" applyFill="1" applyBorder="1" applyAlignment="1"/>
    <xf numFmtId="0" fontId="65" fillId="0" borderId="1" xfId="0" applyNumberFormat="1" applyFont="1" applyFill="1" applyBorder="1" applyAlignment="1">
      <alignment wrapText="1"/>
    </xf>
    <xf numFmtId="0" fontId="65" fillId="0" borderId="1" xfId="0" applyNumberFormat="1" applyFont="1" applyFill="1" applyBorder="1" applyAlignment="1"/>
    <xf numFmtId="0" fontId="66" fillId="0" borderId="1" xfId="0" applyNumberFormat="1" applyFont="1" applyFill="1" applyBorder="1" applyAlignment="1"/>
    <xf numFmtId="9" fontId="65" fillId="0" borderId="1" xfId="0" applyNumberFormat="1" applyFont="1" applyFill="1" applyBorder="1" applyAlignment="1">
      <alignment wrapText="1"/>
    </xf>
    <xf numFmtId="0" fontId="65" fillId="0" borderId="2" xfId="0" applyNumberFormat="1" applyFont="1" applyFill="1" applyBorder="1" applyAlignment="1">
      <alignment wrapText="1"/>
    </xf>
    <xf numFmtId="49" fontId="65" fillId="0" borderId="1" xfId="0" applyNumberFormat="1" applyFont="1" applyFill="1" applyBorder="1" applyAlignment="1">
      <alignment horizontal="left" vertical="center"/>
    </xf>
    <xf numFmtId="1" fontId="29" fillId="0" borderId="3" xfId="0" quotePrefix="1" applyNumberFormat="1" applyFont="1" applyFill="1" applyBorder="1" applyAlignment="1">
      <alignment horizontal="center" vertical="center"/>
    </xf>
    <xf numFmtId="0" fontId="29" fillId="0" borderId="1" xfId="0" quotePrefix="1" applyFont="1" applyFill="1" applyBorder="1" applyAlignment="1">
      <alignment horizontal="center" vertical="center" wrapText="1"/>
    </xf>
    <xf numFmtId="0" fontId="29" fillId="0" borderId="1" xfId="0" quotePrefix="1" applyFont="1" applyFill="1" applyBorder="1" applyAlignment="1">
      <alignment horizontal="center" vertical="center"/>
    </xf>
    <xf numFmtId="0" fontId="29" fillId="0" borderId="1" xfId="0" quotePrefix="1" applyNumberFormat="1" applyFont="1" applyFill="1" applyBorder="1" applyAlignment="1">
      <alignment horizontal="center" vertical="center"/>
    </xf>
    <xf numFmtId="49" fontId="29" fillId="0" borderId="5" xfId="0" quotePrefix="1" applyNumberFormat="1" applyFont="1" applyFill="1" applyBorder="1" applyAlignment="1">
      <alignment horizontal="center" vertical="center"/>
    </xf>
    <xf numFmtId="0" fontId="29" fillId="0" borderId="5" xfId="0" quotePrefix="1" applyNumberFormat="1" applyFont="1" applyFill="1" applyBorder="1" applyAlignment="1">
      <alignment horizontal="center" vertical="center"/>
    </xf>
    <xf numFmtId="0" fontId="29" fillId="0" borderId="1" xfId="0" quotePrefix="1" applyNumberFormat="1" applyFont="1" applyFill="1" applyBorder="1" applyAlignment="1">
      <alignment horizontal="right" vertical="center"/>
    </xf>
    <xf numFmtId="1" fontId="29" fillId="0" borderId="1" xfId="0" quotePrefix="1" applyNumberFormat="1" applyFont="1" applyFill="1" applyBorder="1" applyAlignment="1">
      <alignment horizontal="right" vertical="center"/>
    </xf>
    <xf numFmtId="9" fontId="29" fillId="0" borderId="1" xfId="0" quotePrefix="1" applyNumberFormat="1" applyFont="1" applyFill="1" applyBorder="1" applyAlignment="1">
      <alignment horizontal="center" vertical="center"/>
    </xf>
    <xf numFmtId="0" fontId="29" fillId="0" borderId="2" xfId="0" quotePrefix="1" applyFont="1" applyFill="1" applyBorder="1" applyAlignment="1">
      <alignment horizontal="center" vertical="center" wrapText="1"/>
    </xf>
    <xf numFmtId="0" fontId="0" fillId="0" borderId="0" xfId="0" applyFill="1" applyAlignment="1">
      <alignment vertical="center" textRotation="90"/>
    </xf>
    <xf numFmtId="0" fontId="29" fillId="0" borderId="2" xfId="0" applyFont="1" applyFill="1" applyBorder="1" applyAlignment="1">
      <alignment vertical="center" wrapText="1"/>
    </xf>
    <xf numFmtId="0" fontId="29" fillId="0" borderId="2" xfId="0" quotePrefix="1" applyFont="1" applyFill="1" applyBorder="1" applyAlignment="1">
      <alignment horizontal="left" vertical="center" wrapText="1"/>
    </xf>
    <xf numFmtId="0" fontId="0" fillId="0" borderId="3" xfId="0" applyFill="1" applyBorder="1"/>
    <xf numFmtId="0" fontId="0" fillId="0" borderId="18" xfId="0" applyFill="1" applyBorder="1"/>
    <xf numFmtId="0" fontId="0" fillId="0" borderId="5" xfId="0" applyFill="1" applyBorder="1"/>
    <xf numFmtId="0" fontId="0" fillId="0" borderId="50" xfId="0" applyFill="1" applyBorder="1"/>
    <xf numFmtId="0" fontId="0" fillId="0" borderId="2" xfId="0" applyFill="1" applyBorder="1" applyAlignment="1">
      <alignment horizontal="left"/>
    </xf>
    <xf numFmtId="165" fontId="0" fillId="0" borderId="1" xfId="0" applyNumberFormat="1" applyFill="1" applyBorder="1"/>
    <xf numFmtId="165" fontId="0" fillId="0" borderId="8" xfId="0" applyNumberFormat="1" applyFill="1" applyBorder="1"/>
    <xf numFmtId="0" fontId="0" fillId="0" borderId="2" xfId="0" applyFill="1" applyBorder="1" applyAlignment="1">
      <alignment horizontal="left" indent="1"/>
    </xf>
    <xf numFmtId="0" fontId="0" fillId="0" borderId="18" xfId="0" applyFill="1" applyBorder="1" applyAlignment="1">
      <alignment horizontal="left" indent="2"/>
    </xf>
    <xf numFmtId="165" fontId="0" fillId="0" borderId="5" xfId="0" applyNumberFormat="1" applyFill="1" applyBorder="1"/>
    <xf numFmtId="165" fontId="0" fillId="0" borderId="50" xfId="0" applyNumberFormat="1" applyFill="1" applyBorder="1"/>
    <xf numFmtId="0" fontId="0" fillId="0" borderId="4" xfId="0" applyFill="1" applyBorder="1" applyAlignment="1">
      <alignment horizontal="left" indent="2"/>
    </xf>
    <xf numFmtId="165" fontId="0" fillId="0" borderId="11" xfId="0" applyNumberFormat="1" applyFill="1" applyBorder="1"/>
    <xf numFmtId="165" fontId="0" fillId="0" borderId="0" xfId="0" applyNumberFormat="1" applyFill="1" applyBorder="1"/>
    <xf numFmtId="0" fontId="0" fillId="0" borderId="23" xfId="0" applyFill="1" applyBorder="1" applyAlignment="1">
      <alignment horizontal="left" indent="2"/>
    </xf>
    <xf numFmtId="165" fontId="0" fillId="0" borderId="9" xfId="0" applyNumberFormat="1" applyFill="1" applyBorder="1"/>
    <xf numFmtId="165" fontId="0" fillId="0" borderId="51" xfId="0" applyNumberFormat="1" applyFill="1" applyBorder="1"/>
    <xf numFmtId="0" fontId="0" fillId="0" borderId="23" xfId="0" applyFill="1" applyBorder="1" applyAlignment="1">
      <alignment horizontal="left"/>
    </xf>
    <xf numFmtId="0" fontId="0" fillId="35" borderId="4" xfId="0" applyFill="1" applyBorder="1" applyAlignment="1">
      <alignment horizontal="left" indent="2"/>
    </xf>
    <xf numFmtId="0" fontId="0" fillId="0" borderId="4" xfId="0" applyBorder="1" applyAlignment="1">
      <alignment horizontal="left" indent="2"/>
    </xf>
    <xf numFmtId="0" fontId="0" fillId="0" borderId="23" xfId="0" applyBorder="1" applyAlignment="1">
      <alignment horizontal="left" indent="2"/>
    </xf>
    <xf numFmtId="0" fontId="0" fillId="0" borderId="23" xfId="0" applyBorder="1" applyAlignment="1">
      <alignment horizontal="left" indent="1"/>
    </xf>
    <xf numFmtId="0" fontId="0" fillId="35" borderId="23" xfId="0" applyFill="1" applyBorder="1" applyAlignment="1">
      <alignment horizontal="left" indent="2"/>
    </xf>
    <xf numFmtId="0" fontId="27" fillId="10" borderId="42" xfId="0" applyFont="1" applyFill="1" applyBorder="1" applyAlignment="1">
      <alignment horizontal="left" vertical="top"/>
    </xf>
    <xf numFmtId="49" fontId="2" fillId="0" borderId="1" xfId="0" applyNumberFormat="1" applyFont="1" applyFill="1" applyBorder="1" applyAlignment="1" applyProtection="1">
      <alignment horizontal="left" vertical="center"/>
      <protection locked="0"/>
    </xf>
    <xf numFmtId="0" fontId="50" fillId="0" borderId="1" xfId="19" applyFont="1" applyFill="1" applyBorder="1" applyAlignment="1">
      <alignment horizontal="left"/>
    </xf>
    <xf numFmtId="49" fontId="5" fillId="0" borderId="5" xfId="0" applyNumberFormat="1" applyFont="1" applyFill="1" applyBorder="1" applyAlignment="1">
      <alignment horizontal="right" vertical="center"/>
    </xf>
    <xf numFmtId="9" fontId="66" fillId="0" borderId="2" xfId="0" applyNumberFormat="1" applyFont="1" applyFill="1" applyBorder="1"/>
    <xf numFmtId="49" fontId="29" fillId="0" borderId="5" xfId="0" applyNumberFormat="1" applyFont="1" applyFill="1" applyBorder="1" applyAlignment="1">
      <alignment horizontal="left" vertical="center"/>
    </xf>
    <xf numFmtId="0" fontId="11" fillId="0" borderId="1" xfId="0" applyFont="1" applyFill="1" applyBorder="1" applyAlignment="1">
      <alignment horizontal="right" vertical="center"/>
    </xf>
    <xf numFmtId="0" fontId="2" fillId="0" borderId="0" xfId="0" applyFont="1" applyBorder="1"/>
    <xf numFmtId="0" fontId="2" fillId="0" borderId="0" xfId="0" applyFont="1" applyFill="1" applyBorder="1"/>
    <xf numFmtId="0" fontId="62" fillId="0" borderId="57" xfId="5" applyFont="1" applyFill="1" applyBorder="1" applyAlignment="1">
      <alignment horizontal="left" vertical="center"/>
    </xf>
    <xf numFmtId="0" fontId="62" fillId="0" borderId="55" xfId="5" applyFont="1" applyFill="1" applyBorder="1" applyAlignment="1">
      <alignment horizontal="left" vertical="center"/>
    </xf>
    <xf numFmtId="0" fontId="2" fillId="0" borderId="0" xfId="0" applyFont="1"/>
    <xf numFmtId="1" fontId="62" fillId="0" borderId="55" xfId="5" applyNumberFormat="1" applyFont="1" applyFill="1" applyBorder="1" applyAlignment="1">
      <alignment horizontal="right" vertical="center"/>
    </xf>
    <xf numFmtId="0" fontId="2" fillId="0" borderId="57" xfId="0" applyFont="1" applyBorder="1" applyAlignment="1">
      <alignment vertical="center"/>
    </xf>
    <xf numFmtId="0" fontId="62" fillId="0" borderId="57" xfId="5" applyFont="1" applyFill="1" applyBorder="1" applyAlignment="1">
      <alignment horizontal="right" vertical="center"/>
    </xf>
    <xf numFmtId="0" fontId="62" fillId="0" borderId="58" xfId="5" applyFont="1" applyFill="1" applyBorder="1" applyAlignment="1">
      <alignment horizontal="left" vertical="center"/>
    </xf>
    <xf numFmtId="1" fontId="2" fillId="43" borderId="55" xfId="0" applyNumberFormat="1" applyFont="1" applyFill="1" applyBorder="1" applyAlignment="1">
      <alignment vertical="center"/>
    </xf>
    <xf numFmtId="49" fontId="2" fillId="0" borderId="1" xfId="0" applyNumberFormat="1" applyFont="1" applyFill="1" applyBorder="1" applyAlignment="1">
      <alignment vertical="center"/>
    </xf>
    <xf numFmtId="49" fontId="50" fillId="0" borderId="1" xfId="0" applyNumberFormat="1" applyFont="1" applyFill="1" applyBorder="1" applyAlignment="1">
      <alignment horizontal="left" vertical="center" wrapText="1"/>
    </xf>
    <xf numFmtId="1" fontId="2" fillId="0" borderId="1" xfId="0" applyNumberFormat="1" applyFont="1" applyBorder="1" applyAlignment="1">
      <alignment horizontal="right" vertical="center"/>
    </xf>
    <xf numFmtId="0" fontId="50" fillId="0" borderId="1" xfId="12" applyNumberFormat="1" applyFont="1" applyFill="1" applyBorder="1" applyAlignment="1">
      <alignment horizontal="right" vertical="center"/>
    </xf>
    <xf numFmtId="1" fontId="50" fillId="0" borderId="1" xfId="12" applyNumberFormat="1" applyFont="1" applyFill="1" applyBorder="1" applyAlignment="1">
      <alignment horizontal="right" vertical="center"/>
    </xf>
    <xf numFmtId="49" fontId="2" fillId="0" borderId="1" xfId="0" applyNumberFormat="1" applyFont="1" applyBorder="1" applyAlignment="1">
      <alignment vertical="center"/>
    </xf>
    <xf numFmtId="1" fontId="2" fillId="0" borderId="1" xfId="0" applyNumberFormat="1" applyFont="1" applyBorder="1" applyAlignment="1">
      <alignment vertical="center"/>
    </xf>
    <xf numFmtId="49" fontId="5" fillId="0" borderId="1" xfId="12" applyNumberFormat="1" applyFont="1" applyFill="1" applyBorder="1" applyAlignment="1">
      <alignment horizontal="right" vertical="center"/>
    </xf>
    <xf numFmtId="49" fontId="50" fillId="0" borderId="1" xfId="12" applyNumberFormat="1" applyFont="1" applyFill="1" applyBorder="1" applyAlignment="1">
      <alignment vertical="center" wrapText="1"/>
    </xf>
    <xf numFmtId="0" fontId="2" fillId="0" borderId="1" xfId="0" applyFont="1" applyFill="1" applyBorder="1" applyAlignment="1">
      <alignment horizontal="left" vertical="center"/>
    </xf>
    <xf numFmtId="0" fontId="2" fillId="0" borderId="0" xfId="0" applyFont="1" applyFill="1"/>
    <xf numFmtId="49" fontId="50" fillId="0" borderId="1" xfId="0" applyNumberFormat="1" applyFont="1" applyFill="1" applyBorder="1" applyAlignment="1">
      <alignment horizontal="left" vertical="center"/>
    </xf>
    <xf numFmtId="0" fontId="2" fillId="0" borderId="1" xfId="0" applyNumberFormat="1" applyFont="1" applyBorder="1" applyAlignment="1">
      <alignment horizontal="right" vertical="center"/>
    </xf>
    <xf numFmtId="0" fontId="2" fillId="0" borderId="1" xfId="0" applyFont="1" applyFill="1" applyBorder="1" applyAlignment="1">
      <alignment horizontal="right" vertical="center"/>
    </xf>
    <xf numFmtId="1" fontId="2" fillId="0" borderId="1" xfId="0" applyNumberFormat="1" applyFont="1" applyBorder="1" applyAlignment="1" applyProtection="1">
      <alignment vertical="center"/>
    </xf>
    <xf numFmtId="49" fontId="40" fillId="0" borderId="1" xfId="12" applyNumberFormat="1" applyFont="1" applyFill="1" applyBorder="1" applyAlignment="1">
      <alignment horizontal="right" vertical="center"/>
    </xf>
    <xf numFmtId="49" fontId="67" fillId="0" borderId="1" xfId="12" applyNumberFormat="1" applyFont="1" applyFill="1" applyBorder="1" applyAlignment="1">
      <alignment horizontal="right" vertical="center"/>
    </xf>
    <xf numFmtId="49" fontId="41" fillId="0" borderId="1" xfId="12" applyNumberFormat="1" applyFont="1" applyFill="1" applyBorder="1" applyAlignment="1">
      <alignment horizontal="right" vertical="center"/>
    </xf>
    <xf numFmtId="0" fontId="2" fillId="0" borderId="1" xfId="0" applyFont="1" applyFill="1" applyBorder="1" applyAlignment="1">
      <alignment vertical="center"/>
    </xf>
    <xf numFmtId="1" fontId="2" fillId="0" borderId="1" xfId="0" applyNumberFormat="1" applyFont="1" applyFill="1" applyBorder="1" applyAlignment="1">
      <alignment horizontal="right" vertical="center"/>
    </xf>
    <xf numFmtId="1" fontId="2" fillId="0" borderId="1" xfId="0" applyNumberFormat="1" applyFont="1" applyFill="1" applyBorder="1" applyAlignment="1">
      <alignment vertical="center"/>
    </xf>
    <xf numFmtId="0" fontId="2" fillId="0" borderId="1" xfId="0" applyNumberFormat="1" applyFont="1" applyFill="1" applyBorder="1" applyAlignment="1">
      <alignment horizontal="left" vertical="center"/>
    </xf>
    <xf numFmtId="1" fontId="2" fillId="0" borderId="1" xfId="0" applyNumberFormat="1" applyFont="1" applyFill="1" applyBorder="1" applyAlignment="1" applyProtection="1">
      <alignment vertical="center"/>
    </xf>
    <xf numFmtId="172" fontId="50" fillId="0" borderId="1" xfId="0" applyNumberFormat="1" applyFont="1" applyFill="1" applyBorder="1" applyAlignment="1">
      <alignment horizontal="right"/>
    </xf>
    <xf numFmtId="0" fontId="2" fillId="0" borderId="1" xfId="0" applyNumberFormat="1" applyFont="1" applyFill="1" applyBorder="1" applyAlignment="1">
      <alignment horizontal="right" vertical="center"/>
    </xf>
    <xf numFmtId="15" fontId="2" fillId="0" borderId="1" xfId="0" applyNumberFormat="1" applyFont="1" applyFill="1" applyBorder="1" applyAlignment="1">
      <alignment horizontal="right" vertical="center"/>
    </xf>
    <xf numFmtId="0" fontId="50" fillId="0" borderId="1" xfId="0" applyNumberFormat="1" applyFont="1" applyFill="1" applyBorder="1" applyAlignment="1">
      <alignment horizontal="left" vertical="center" wrapText="1"/>
    </xf>
    <xf numFmtId="49" fontId="50" fillId="0" borderId="1" xfId="12" applyNumberFormat="1" applyFont="1" applyFill="1" applyBorder="1" applyAlignment="1">
      <alignment vertical="center"/>
    </xf>
    <xf numFmtId="49" fontId="50" fillId="0" borderId="1" xfId="12" applyNumberFormat="1" applyFont="1" applyFill="1" applyBorder="1" applyAlignment="1">
      <alignment horizontal="right" vertical="center"/>
    </xf>
    <xf numFmtId="0" fontId="50" fillId="0" borderId="1" xfId="0" applyNumberFormat="1" applyFont="1" applyFill="1" applyBorder="1" applyAlignment="1">
      <alignment horizontal="left" vertical="center"/>
    </xf>
    <xf numFmtId="49" fontId="2" fillId="0" borderId="1" xfId="0" applyNumberFormat="1" applyFont="1" applyFill="1" applyBorder="1" applyAlignment="1" applyProtection="1">
      <alignment horizontal="left" vertical="center" wrapText="1"/>
      <protection locked="0"/>
    </xf>
    <xf numFmtId="1" fontId="50" fillId="0" borderId="0" xfId="12" applyNumberFormat="1" applyFont="1" applyFill="1" applyBorder="1" applyAlignment="1">
      <alignment horizontal="right" vertical="center"/>
    </xf>
    <xf numFmtId="49" fontId="2" fillId="0" borderId="5" xfId="0" applyNumberFormat="1" applyFont="1" applyFill="1" applyBorder="1" applyAlignment="1">
      <alignment vertical="center"/>
    </xf>
    <xf numFmtId="49" fontId="2" fillId="0" borderId="5" xfId="0" applyNumberFormat="1" applyFont="1" applyFill="1" applyBorder="1" applyAlignment="1">
      <alignment horizontal="left" vertical="center"/>
    </xf>
    <xf numFmtId="49" fontId="50" fillId="0" borderId="5" xfId="0" applyNumberFormat="1" applyFont="1" applyFill="1" applyBorder="1" applyAlignment="1">
      <alignment horizontal="left" vertical="center"/>
    </xf>
    <xf numFmtId="49" fontId="2" fillId="0" borderId="5" xfId="0" applyNumberFormat="1" applyFont="1" applyBorder="1" applyAlignment="1">
      <alignment vertical="center"/>
    </xf>
    <xf numFmtId="1" fontId="2" fillId="0" borderId="5" xfId="0" applyNumberFormat="1" applyFont="1" applyBorder="1" applyAlignment="1" applyProtection="1">
      <alignment vertical="center"/>
    </xf>
    <xf numFmtId="49" fontId="40" fillId="0" borderId="5" xfId="12" applyNumberFormat="1" applyFont="1" applyFill="1" applyBorder="1" applyAlignment="1">
      <alignment horizontal="right" vertical="center"/>
    </xf>
    <xf numFmtId="0" fontId="2" fillId="0" borderId="0" xfId="0" applyFont="1" applyAlignment="1"/>
    <xf numFmtId="49" fontId="50" fillId="0" borderId="1" xfId="12" applyNumberFormat="1" applyFont="1" applyFill="1" applyBorder="1" applyAlignment="1">
      <alignment horizontal="left" vertical="center"/>
    </xf>
    <xf numFmtId="0" fontId="2" fillId="0" borderId="0" xfId="0" applyFont="1" applyFill="1" applyAlignment="1"/>
    <xf numFmtId="0" fontId="2" fillId="33" borderId="0" xfId="0" applyFont="1" applyFill="1" applyAlignment="1"/>
    <xf numFmtId="1" fontId="2" fillId="0" borderId="5" xfId="0" applyNumberFormat="1" applyFont="1" applyBorder="1" applyAlignment="1">
      <alignment horizontal="right" vertical="center"/>
    </xf>
    <xf numFmtId="1" fontId="2" fillId="0" borderId="5" xfId="0" applyNumberFormat="1" applyFont="1" applyBorder="1" applyAlignment="1">
      <alignment vertical="center"/>
    </xf>
    <xf numFmtId="0" fontId="2" fillId="0" borderId="0" xfId="0" applyFont="1" applyAlignment="1">
      <alignment horizontal="left"/>
    </xf>
    <xf numFmtId="0" fontId="2" fillId="0" borderId="0" xfId="0" applyFont="1" applyFill="1" applyAlignment="1">
      <alignment horizontal="right"/>
    </xf>
    <xf numFmtId="1" fontId="2" fillId="0" borderId="0" xfId="0" applyNumberFormat="1" applyFont="1" applyFill="1" applyAlignment="1">
      <alignment horizontal="right"/>
    </xf>
    <xf numFmtId="0" fontId="2" fillId="0" borderId="0" xfId="0" applyFont="1" applyAlignment="1">
      <alignment horizontal="right"/>
    </xf>
    <xf numFmtId="0" fontId="15" fillId="41" borderId="50" xfId="6" applyFont="1" applyFill="1" applyBorder="1" applyAlignment="1">
      <alignment vertical="center"/>
    </xf>
    <xf numFmtId="0" fontId="15" fillId="41" borderId="50" xfId="6" applyFont="1" applyFill="1" applyBorder="1" applyAlignment="1">
      <alignment horizontal="left" vertical="center"/>
    </xf>
    <xf numFmtId="0" fontId="15" fillId="41" borderId="50" xfId="6" applyFont="1" applyFill="1" applyBorder="1" applyAlignment="1">
      <alignment horizontal="right"/>
    </xf>
    <xf numFmtId="0" fontId="15" fillId="41" borderId="0" xfId="6" applyFont="1" applyFill="1" applyBorder="1" applyAlignment="1">
      <alignment vertical="center"/>
    </xf>
    <xf numFmtId="0" fontId="15" fillId="41" borderId="0" xfId="6" applyFont="1" applyFill="1" applyBorder="1" applyAlignment="1">
      <alignment horizontal="left" vertical="center"/>
    </xf>
    <xf numFmtId="0" fontId="15" fillId="41" borderId="0" xfId="6" applyFont="1" applyFill="1" applyBorder="1" applyAlignment="1">
      <alignment horizontal="right"/>
    </xf>
    <xf numFmtId="0" fontId="15" fillId="41" borderId="51" xfId="6" applyFont="1" applyFill="1" applyBorder="1" applyAlignment="1">
      <alignment vertical="center"/>
    </xf>
    <xf numFmtId="0" fontId="15" fillId="41" borderId="51" xfId="6" applyFont="1" applyFill="1" applyBorder="1" applyAlignment="1">
      <alignment horizontal="left" vertical="center"/>
    </xf>
    <xf numFmtId="0" fontId="15" fillId="41" borderId="51" xfId="6" applyFont="1" applyFill="1" applyBorder="1" applyAlignment="1">
      <alignment horizontal="right"/>
    </xf>
    <xf numFmtId="0" fontId="50" fillId="0" borderId="1" xfId="15" applyFont="1" applyFill="1" applyBorder="1" applyAlignment="1">
      <alignment horizontal="left" vertical="center"/>
    </xf>
    <xf numFmtId="0" fontId="2" fillId="0" borderId="1" xfId="0" applyFont="1" applyFill="1" applyBorder="1" applyAlignment="1">
      <alignment horizontal="right" vertical="center" wrapText="1"/>
    </xf>
    <xf numFmtId="0" fontId="25" fillId="41" borderId="0" xfId="6" applyFont="1" applyFill="1" applyBorder="1" applyAlignment="1">
      <alignment horizontal="left" vertical="center"/>
    </xf>
    <xf numFmtId="0" fontId="50" fillId="0" borderId="0" xfId="15" applyFont="1" applyFill="1" applyBorder="1" applyAlignment="1">
      <alignment horizontal="right" vertical="center"/>
    </xf>
    <xf numFmtId="0" fontId="50" fillId="0" borderId="1" xfId="15" applyFont="1" applyFill="1" applyBorder="1" applyAlignment="1">
      <alignment horizontal="right" vertical="center"/>
    </xf>
    <xf numFmtId="0" fontId="50" fillId="0" borderId="1" xfId="15" applyNumberFormat="1" applyFont="1" applyBorder="1" applyAlignment="1">
      <alignment horizontal="right" vertical="center"/>
    </xf>
    <xf numFmtId="0" fontId="62" fillId="0" borderId="55" xfId="5" applyFont="1" applyFill="1" applyBorder="1" applyAlignment="1">
      <alignment vertical="center"/>
    </xf>
    <xf numFmtId="0" fontId="2" fillId="0" borderId="1" xfId="0" applyNumberFormat="1" applyFont="1" applyFill="1" applyBorder="1" applyAlignment="1">
      <alignment vertical="center"/>
    </xf>
    <xf numFmtId="49" fontId="50" fillId="0" borderId="1" xfId="18" applyNumberFormat="1" applyFont="1" applyFill="1" applyBorder="1" applyAlignment="1">
      <alignment horizontal="left"/>
    </xf>
    <xf numFmtId="0" fontId="11" fillId="2" borderId="57" xfId="5" applyFont="1" applyFill="1" applyBorder="1" applyAlignment="1">
      <alignment vertical="center"/>
    </xf>
    <xf numFmtId="0" fontId="11" fillId="2" borderId="55" xfId="5" applyFont="1" applyFill="1" applyBorder="1" applyAlignment="1">
      <alignment vertical="center"/>
    </xf>
    <xf numFmtId="0" fontId="62" fillId="17" borderId="55" xfId="5" applyFont="1" applyFill="1" applyBorder="1" applyAlignment="1">
      <alignment vertical="center"/>
    </xf>
    <xf numFmtId="165" fontId="62" fillId="17" borderId="57" xfId="7" applyNumberFormat="1" applyFont="1" applyFill="1" applyBorder="1" applyAlignment="1">
      <alignment vertical="center"/>
    </xf>
    <xf numFmtId="0" fontId="11" fillId="0" borderId="0" xfId="0" applyFont="1" applyAlignment="1">
      <alignment horizontal="center"/>
    </xf>
    <xf numFmtId="0" fontId="2" fillId="0" borderId="0" xfId="0" applyFont="1" applyAlignment="1">
      <alignment horizontal="center"/>
    </xf>
    <xf numFmtId="0" fontId="5" fillId="0" borderId="0" xfId="0" applyFont="1" applyAlignment="1">
      <alignment horizontal="center"/>
    </xf>
    <xf numFmtId="0" fontId="2" fillId="0" borderId="1" xfId="0" applyNumberFormat="1" applyFont="1" applyFill="1" applyBorder="1" applyAlignment="1" applyProtection="1">
      <alignment horizontal="left" vertical="center"/>
      <protection locked="0"/>
    </xf>
    <xf numFmtId="0" fontId="2" fillId="0" borderId="1" xfId="0" applyFont="1" applyFill="1" applyBorder="1" applyAlignment="1">
      <alignment horizontal="left"/>
    </xf>
    <xf numFmtId="0" fontId="2" fillId="0" borderId="2" xfId="0" applyNumberFormat="1" applyFont="1" applyBorder="1" applyAlignment="1">
      <alignment horizontal="right" vertical="center"/>
    </xf>
    <xf numFmtId="1" fontId="2" fillId="0" borderId="2" xfId="0" applyNumberFormat="1" applyFont="1" applyBorder="1" applyAlignment="1">
      <alignment horizontal="right" vertical="center"/>
    </xf>
    <xf numFmtId="1" fontId="2" fillId="0" borderId="2" xfId="0" applyNumberFormat="1" applyFont="1" applyFill="1" applyBorder="1" applyAlignment="1">
      <alignment horizontal="right" vertical="center"/>
    </xf>
    <xf numFmtId="0" fontId="2" fillId="0" borderId="18" xfId="0" applyNumberFormat="1" applyFont="1" applyBorder="1" applyAlignment="1">
      <alignment horizontal="right" vertical="center"/>
    </xf>
    <xf numFmtId="49" fontId="50" fillId="0" borderId="5" xfId="0" applyNumberFormat="1" applyFont="1" applyFill="1" applyBorder="1" applyAlignment="1">
      <alignment horizontal="left" vertical="center" wrapText="1"/>
    </xf>
    <xf numFmtId="0" fontId="50" fillId="0" borderId="5" xfId="12" applyNumberFormat="1" applyFont="1" applyFill="1" applyBorder="1" applyAlignment="1">
      <alignment horizontal="right" vertical="center"/>
    </xf>
    <xf numFmtId="1" fontId="50" fillId="0" borderId="5" xfId="12" applyNumberFormat="1" applyFont="1" applyFill="1" applyBorder="1" applyAlignment="1">
      <alignment horizontal="right" vertical="center"/>
    </xf>
    <xf numFmtId="49" fontId="5" fillId="0" borderId="5" xfId="0" applyNumberFormat="1" applyFont="1" applyFill="1" applyBorder="1" applyAlignment="1">
      <alignment vertical="center"/>
    </xf>
    <xf numFmtId="49" fontId="5" fillId="0" borderId="5" xfId="12" applyNumberFormat="1" applyFont="1" applyFill="1" applyBorder="1" applyAlignment="1">
      <alignment horizontal="right" vertical="center"/>
    </xf>
    <xf numFmtId="49" fontId="50" fillId="0" borderId="5" xfId="12" applyNumberFormat="1" applyFont="1" applyFill="1" applyBorder="1" applyAlignment="1">
      <alignment vertical="center" wrapText="1"/>
    </xf>
    <xf numFmtId="49" fontId="41" fillId="0" borderId="5" xfId="12" applyNumberFormat="1" applyFont="1" applyFill="1" applyBorder="1" applyAlignment="1">
      <alignment horizontal="right" vertical="center"/>
    </xf>
    <xf numFmtId="0" fontId="2" fillId="0" borderId="5" xfId="0" applyFont="1" applyFill="1" applyBorder="1" applyAlignment="1">
      <alignment horizontal="right" vertical="center"/>
    </xf>
    <xf numFmtId="1" fontId="2" fillId="0" borderId="5" xfId="0" applyNumberFormat="1" applyFont="1" applyFill="1" applyBorder="1" applyAlignment="1">
      <alignment horizontal="right" vertical="center"/>
    </xf>
    <xf numFmtId="1" fontId="2" fillId="0" borderId="5" xfId="0" applyNumberFormat="1" applyFont="1" applyFill="1" applyBorder="1" applyAlignment="1">
      <alignment vertical="center"/>
    </xf>
    <xf numFmtId="0" fontId="50" fillId="0" borderId="5" xfId="0" applyNumberFormat="1" applyFont="1" applyFill="1" applyBorder="1" applyAlignment="1">
      <alignment horizontal="left" vertical="center" wrapText="1"/>
    </xf>
    <xf numFmtId="49" fontId="2" fillId="0" borderId="5" xfId="0" applyNumberFormat="1" applyFont="1" applyFill="1" applyBorder="1" applyAlignment="1" applyProtection="1">
      <alignment horizontal="left" vertical="center" wrapText="1"/>
      <protection locked="0"/>
    </xf>
    <xf numFmtId="49" fontId="50" fillId="0" borderId="5" xfId="12" applyNumberFormat="1" applyFont="1" applyFill="1" applyBorder="1" applyAlignment="1">
      <alignment horizontal="right" vertical="center"/>
    </xf>
    <xf numFmtId="1" fontId="2" fillId="0" borderId="5" xfId="0" applyNumberFormat="1" applyFont="1" applyFill="1" applyBorder="1" applyAlignment="1" applyProtection="1">
      <alignment vertical="center"/>
    </xf>
    <xf numFmtId="0" fontId="2" fillId="0" borderId="5" xfId="0" applyNumberFormat="1" applyFont="1" applyFill="1" applyBorder="1" applyAlignment="1">
      <alignment horizontal="right" vertical="center"/>
    </xf>
    <xf numFmtId="49" fontId="40" fillId="0" borderId="5" xfId="0" applyNumberFormat="1" applyFont="1" applyFill="1" applyBorder="1" applyAlignment="1">
      <alignment horizontal="right" vertical="center"/>
    </xf>
    <xf numFmtId="49" fontId="2" fillId="0" borderId="11" xfId="0" applyNumberFormat="1" applyFont="1" applyFill="1" applyBorder="1" applyAlignment="1">
      <alignment vertical="center"/>
    </xf>
    <xf numFmtId="49" fontId="2" fillId="0" borderId="11" xfId="0" applyNumberFormat="1" applyFont="1" applyFill="1" applyBorder="1" applyAlignment="1">
      <alignment horizontal="left" vertical="center"/>
    </xf>
    <xf numFmtId="49" fontId="50" fillId="0" borderId="11" xfId="0" applyNumberFormat="1" applyFont="1" applyFill="1" applyBorder="1" applyAlignment="1">
      <alignment horizontal="left" vertical="center" wrapText="1"/>
    </xf>
    <xf numFmtId="0" fontId="50" fillId="0" borderId="11" xfId="12" applyNumberFormat="1" applyFont="1" applyFill="1" applyBorder="1" applyAlignment="1">
      <alignment horizontal="right" vertical="center"/>
    </xf>
    <xf numFmtId="1" fontId="50" fillId="0" borderId="11" xfId="12" applyNumberFormat="1" applyFont="1" applyFill="1" applyBorder="1" applyAlignment="1">
      <alignment horizontal="right" vertical="center"/>
    </xf>
    <xf numFmtId="49" fontId="5" fillId="0" borderId="11" xfId="0" applyNumberFormat="1" applyFont="1" applyFill="1" applyBorder="1" applyAlignment="1">
      <alignment vertical="center"/>
    </xf>
    <xf numFmtId="49" fontId="2" fillId="0" borderId="11" xfId="0" applyNumberFormat="1" applyFont="1" applyBorder="1" applyAlignment="1">
      <alignment vertical="center"/>
    </xf>
    <xf numFmtId="1" fontId="2" fillId="0" borderId="11" xfId="0" applyNumberFormat="1" applyFont="1" applyBorder="1" applyAlignment="1">
      <alignment vertical="center"/>
    </xf>
    <xf numFmtId="49" fontId="5" fillId="0" borderId="11" xfId="12" applyNumberFormat="1" applyFont="1" applyFill="1" applyBorder="1" applyAlignment="1">
      <alignment horizontal="right" vertical="center"/>
    </xf>
    <xf numFmtId="49" fontId="50" fillId="0" borderId="11" xfId="12" applyNumberFormat="1" applyFont="1" applyFill="1" applyBorder="1" applyAlignment="1">
      <alignment vertical="center" wrapText="1"/>
    </xf>
    <xf numFmtId="49" fontId="2" fillId="0" borderId="9" xfId="0" applyNumberFormat="1" applyFont="1" applyFill="1" applyBorder="1" applyAlignment="1">
      <alignment vertical="center"/>
    </xf>
    <xf numFmtId="49" fontId="2" fillId="0" borderId="9" xfId="0" applyNumberFormat="1" applyFont="1" applyFill="1" applyBorder="1" applyAlignment="1">
      <alignment horizontal="left" vertical="center"/>
    </xf>
    <xf numFmtId="49" fontId="50" fillId="0" borderId="9" xfId="0" applyNumberFormat="1" applyFont="1" applyFill="1" applyBorder="1" applyAlignment="1">
      <alignment horizontal="left" vertical="center" wrapText="1"/>
    </xf>
    <xf numFmtId="0" fontId="50" fillId="0" borderId="9" xfId="12" applyNumberFormat="1" applyFont="1" applyFill="1" applyBorder="1" applyAlignment="1">
      <alignment horizontal="right" vertical="center"/>
    </xf>
    <xf numFmtId="1" fontId="50" fillId="0" borderId="9" xfId="12" applyNumberFormat="1" applyFont="1" applyFill="1" applyBorder="1" applyAlignment="1">
      <alignment horizontal="right" vertical="center"/>
    </xf>
    <xf numFmtId="49" fontId="5" fillId="0" borderId="9" xfId="0" applyNumberFormat="1" applyFont="1" applyFill="1" applyBorder="1" applyAlignment="1">
      <alignment vertical="center"/>
    </xf>
    <xf numFmtId="49" fontId="2" fillId="0" borderId="9" xfId="0" applyNumberFormat="1" applyFont="1" applyBorder="1" applyAlignment="1">
      <alignment vertical="center"/>
    </xf>
    <xf numFmtId="1" fontId="2" fillId="0" borderId="9" xfId="0" applyNumberFormat="1" applyFont="1" applyBorder="1" applyAlignment="1">
      <alignment vertical="center"/>
    </xf>
    <xf numFmtId="49" fontId="5" fillId="0" borderId="9" xfId="12" applyNumberFormat="1" applyFont="1" applyFill="1" applyBorder="1" applyAlignment="1">
      <alignment horizontal="right" vertical="center"/>
    </xf>
    <xf numFmtId="49" fontId="50" fillId="0" borderId="9" xfId="12" applyNumberFormat="1" applyFont="1" applyFill="1" applyBorder="1" applyAlignment="1">
      <alignment vertical="center" wrapText="1"/>
    </xf>
    <xf numFmtId="0" fontId="2" fillId="0" borderId="9" xfId="0" applyFont="1" applyFill="1" applyBorder="1" applyAlignment="1">
      <alignment horizontal="left" vertical="center"/>
    </xf>
    <xf numFmtId="49" fontId="67" fillId="0" borderId="9" xfId="12" applyNumberFormat="1" applyFont="1" applyFill="1" applyBorder="1" applyAlignment="1">
      <alignment horizontal="right" vertical="center"/>
    </xf>
    <xf numFmtId="168" fontId="5" fillId="0" borderId="11" xfId="12" applyNumberFormat="1" applyFont="1" applyFill="1" applyBorder="1" applyAlignment="1">
      <alignment horizontal="right" vertical="center"/>
    </xf>
    <xf numFmtId="49" fontId="40" fillId="0" borderId="9" xfId="12" applyNumberFormat="1" applyFont="1" applyFill="1" applyBorder="1" applyAlignment="1">
      <alignment horizontal="right" vertical="center"/>
    </xf>
    <xf numFmtId="49" fontId="50" fillId="0" borderId="9" xfId="0" applyNumberFormat="1" applyFont="1" applyFill="1" applyBorder="1" applyAlignment="1">
      <alignment horizontal="left" vertical="center"/>
    </xf>
    <xf numFmtId="0" fontId="2" fillId="0" borderId="9" xfId="0" applyNumberFormat="1" applyFont="1" applyFill="1" applyBorder="1" applyAlignment="1">
      <alignment horizontal="right" vertical="center"/>
    </xf>
    <xf numFmtId="1" fontId="2" fillId="0" borderId="9" xfId="0" applyNumberFormat="1" applyFont="1" applyFill="1" applyBorder="1" applyAlignment="1">
      <alignment horizontal="right" vertical="center"/>
    </xf>
    <xf numFmtId="1" fontId="2" fillId="0" borderId="9" xfId="0" applyNumberFormat="1" applyFont="1" applyBorder="1" applyAlignment="1" applyProtection="1">
      <alignment vertical="center"/>
    </xf>
    <xf numFmtId="49" fontId="40" fillId="0" borderId="9" xfId="0" applyNumberFormat="1" applyFont="1" applyFill="1" applyBorder="1" applyAlignment="1">
      <alignment horizontal="right" vertical="center"/>
    </xf>
    <xf numFmtId="15" fontId="2" fillId="0" borderId="9" xfId="0" applyNumberFormat="1" applyFont="1" applyFill="1" applyBorder="1" applyAlignment="1">
      <alignment horizontal="right" vertical="center"/>
    </xf>
    <xf numFmtId="1" fontId="2" fillId="0" borderId="9" xfId="0" applyNumberFormat="1" applyFont="1" applyFill="1" applyBorder="1" applyAlignment="1" applyProtection="1">
      <alignment vertical="center"/>
    </xf>
    <xf numFmtId="49" fontId="50" fillId="0" borderId="11" xfId="0" applyNumberFormat="1" applyFont="1" applyFill="1" applyBorder="1" applyAlignment="1">
      <alignment horizontal="left" vertical="center"/>
    </xf>
    <xf numFmtId="0" fontId="2" fillId="0" borderId="11" xfId="0" applyFont="1" applyFill="1" applyBorder="1" applyAlignment="1">
      <alignment horizontal="right" vertical="center"/>
    </xf>
    <xf numFmtId="1" fontId="2" fillId="0" borderId="11" xfId="0" applyNumberFormat="1" applyFont="1" applyFill="1" applyBorder="1" applyAlignment="1">
      <alignment horizontal="right" vertical="center"/>
    </xf>
    <xf numFmtId="49" fontId="5" fillId="0" borderId="11" xfId="0" applyNumberFormat="1" applyFont="1" applyFill="1" applyBorder="1" applyAlignment="1">
      <alignment horizontal="right" vertical="center"/>
    </xf>
    <xf numFmtId="1" fontId="2" fillId="0" borderId="11" xfId="0" applyNumberFormat="1" applyFont="1" applyBorder="1" applyAlignment="1" applyProtection="1">
      <alignment vertical="center"/>
    </xf>
    <xf numFmtId="0" fontId="2" fillId="0" borderId="9" xfId="0" applyFont="1" applyFill="1" applyBorder="1" applyAlignment="1">
      <alignment horizontal="right" vertical="center"/>
    </xf>
    <xf numFmtId="49" fontId="5" fillId="0" borderId="9" xfId="0" applyNumberFormat="1" applyFont="1" applyFill="1" applyBorder="1" applyAlignment="1">
      <alignment horizontal="right" vertical="center"/>
    </xf>
    <xf numFmtId="49" fontId="41" fillId="0" borderId="9" xfId="12" applyNumberFormat="1" applyFont="1" applyFill="1" applyBorder="1" applyAlignment="1">
      <alignment horizontal="right" vertical="center"/>
    </xf>
    <xf numFmtId="49" fontId="40" fillId="0" borderId="11" xfId="12" applyNumberFormat="1" applyFont="1" applyFill="1" applyBorder="1" applyAlignment="1">
      <alignment horizontal="right" vertical="center"/>
    </xf>
    <xf numFmtId="1" fontId="2" fillId="0" borderId="11" xfId="0" applyNumberFormat="1" applyFont="1" applyFill="1" applyBorder="1" applyAlignment="1">
      <alignment vertical="center"/>
    </xf>
    <xf numFmtId="49" fontId="50" fillId="0" borderId="11" xfId="12" applyNumberFormat="1" applyFont="1" applyFill="1" applyBorder="1" applyAlignment="1">
      <alignment vertical="center"/>
    </xf>
    <xf numFmtId="49" fontId="41" fillId="0" borderId="11" xfId="12" applyNumberFormat="1" applyFont="1" applyFill="1" applyBorder="1" applyAlignment="1">
      <alignment horizontal="right" vertical="center"/>
    </xf>
    <xf numFmtId="168" fontId="5" fillId="0" borderId="9" xfId="12" applyNumberFormat="1" applyFont="1" applyFill="1" applyBorder="1" applyAlignment="1">
      <alignment horizontal="right" vertical="center"/>
    </xf>
    <xf numFmtId="49" fontId="50" fillId="0" borderId="9" xfId="12" applyNumberFormat="1" applyFont="1" applyFill="1" applyBorder="1" applyAlignment="1">
      <alignment horizontal="right" vertical="center"/>
    </xf>
    <xf numFmtId="49" fontId="2" fillId="0" borderId="9" xfId="0" applyNumberFormat="1" applyFont="1" applyFill="1" applyBorder="1" applyAlignment="1" applyProtection="1">
      <alignment horizontal="left" vertical="center" wrapText="1"/>
      <protection locked="0"/>
    </xf>
    <xf numFmtId="0" fontId="2" fillId="0" borderId="11" xfId="0" applyNumberFormat="1" applyFont="1" applyFill="1" applyBorder="1" applyAlignment="1">
      <alignment horizontal="right" vertical="center"/>
    </xf>
    <xf numFmtId="49" fontId="40" fillId="0" borderId="11" xfId="0" applyNumberFormat="1" applyFont="1" applyFill="1" applyBorder="1" applyAlignment="1">
      <alignment horizontal="right" vertical="center"/>
    </xf>
    <xf numFmtId="1" fontId="2" fillId="0" borderId="9" xfId="0" applyNumberFormat="1" applyFont="1" applyFill="1" applyBorder="1" applyAlignment="1">
      <alignment vertical="center"/>
    </xf>
    <xf numFmtId="49" fontId="2" fillId="0" borderId="63" xfId="0" applyNumberFormat="1" applyFont="1" applyFill="1" applyBorder="1" applyAlignment="1">
      <alignment horizontal="left" vertical="center"/>
    </xf>
    <xf numFmtId="49" fontId="50" fillId="0" borderId="63" xfId="0" applyNumberFormat="1" applyFont="1" applyFill="1" applyBorder="1" applyAlignment="1">
      <alignment horizontal="left" vertical="center" wrapText="1"/>
    </xf>
    <xf numFmtId="0" fontId="2" fillId="0" borderId="9" xfId="0" applyFont="1" applyFill="1" applyBorder="1" applyAlignment="1">
      <alignment vertical="center"/>
    </xf>
    <xf numFmtId="0" fontId="15" fillId="41" borderId="18" xfId="6" applyFont="1" applyFill="1" applyBorder="1" applyAlignment="1">
      <alignment horizontal="left" vertical="center"/>
    </xf>
    <xf numFmtId="0" fontId="62" fillId="0" borderId="54" xfId="5" applyFont="1" applyFill="1" applyBorder="1" applyAlignment="1">
      <alignment horizontal="left" vertical="center"/>
    </xf>
    <xf numFmtId="0" fontId="62" fillId="0" borderId="59" xfId="5" applyFont="1" applyFill="1" applyBorder="1" applyAlignment="1">
      <alignment horizontal="left" vertical="center"/>
    </xf>
    <xf numFmtId="0" fontId="62" fillId="0" borderId="60" xfId="5" applyFont="1" applyFill="1" applyBorder="1" applyAlignment="1">
      <alignment horizontal="left" vertical="center"/>
    </xf>
    <xf numFmtId="49" fontId="50" fillId="0" borderId="25" xfId="12" applyNumberFormat="1" applyFont="1" applyFill="1" applyBorder="1" applyAlignment="1">
      <alignment horizontal="left" vertical="center" wrapText="1"/>
    </xf>
    <xf numFmtId="49" fontId="50" fillId="0" borderId="1" xfId="12" applyNumberFormat="1" applyFont="1" applyFill="1" applyBorder="1" applyAlignment="1">
      <alignment horizontal="left" vertical="center" wrapText="1"/>
    </xf>
    <xf numFmtId="49" fontId="50" fillId="0" borderId="39" xfId="12" applyNumberFormat="1" applyFont="1" applyFill="1" applyBorder="1" applyAlignment="1">
      <alignment horizontal="left" vertical="center" wrapText="1"/>
    </xf>
    <xf numFmtId="49" fontId="50" fillId="0" borderId="17" xfId="12" applyNumberFormat="1" applyFont="1" applyFill="1" applyBorder="1" applyAlignment="1">
      <alignment horizontal="left" vertical="center" wrapText="1"/>
    </xf>
    <xf numFmtId="49" fontId="50" fillId="0" borderId="3" xfId="12" applyNumberFormat="1" applyFont="1" applyFill="1" applyBorder="1" applyAlignment="1">
      <alignment horizontal="left" vertical="center" wrapText="1"/>
    </xf>
    <xf numFmtId="49" fontId="11" fillId="0" borderId="11" xfId="0" applyNumberFormat="1" applyFont="1" applyFill="1" applyBorder="1" applyAlignment="1">
      <alignment horizontal="left" vertical="center"/>
    </xf>
    <xf numFmtId="0" fontId="50" fillId="0" borderId="1" xfId="12" applyFont="1" applyFill="1" applyBorder="1" applyAlignment="1">
      <alignment horizontal="left" vertical="center" wrapText="1"/>
    </xf>
    <xf numFmtId="0" fontId="50" fillId="0" borderId="17" xfId="12" applyFont="1" applyFill="1" applyBorder="1" applyAlignment="1">
      <alignment horizontal="left" vertical="center" wrapText="1"/>
    </xf>
    <xf numFmtId="49" fontId="50" fillId="0" borderId="39" xfId="12" applyNumberFormat="1" applyFont="1" applyFill="1" applyBorder="1" applyAlignment="1">
      <alignment horizontal="left" vertical="center"/>
    </xf>
    <xf numFmtId="49" fontId="11" fillId="0" borderId="9" xfId="0" applyNumberFormat="1" applyFont="1" applyFill="1" applyBorder="1" applyAlignment="1">
      <alignment horizontal="left" vertical="center"/>
    </xf>
    <xf numFmtId="0" fontId="50" fillId="0" borderId="1" xfId="12" applyFont="1" applyFill="1" applyBorder="1" applyAlignment="1">
      <alignment horizontal="left" vertical="center"/>
    </xf>
    <xf numFmtId="0" fontId="2" fillId="0" borderId="0" xfId="0" applyFont="1" applyBorder="1" applyAlignment="1">
      <alignment horizontal="left"/>
    </xf>
    <xf numFmtId="0" fontId="2" fillId="0" borderId="0" xfId="0" applyFont="1" applyFill="1" applyAlignment="1">
      <alignment horizontal="left"/>
    </xf>
    <xf numFmtId="1" fontId="2" fillId="0" borderId="0" xfId="0" applyNumberFormat="1" applyFont="1" applyFill="1" applyAlignment="1">
      <alignment horizontal="left"/>
    </xf>
    <xf numFmtId="0" fontId="15" fillId="41" borderId="50" xfId="6" applyFont="1" applyFill="1" applyBorder="1" applyAlignment="1">
      <alignment horizontal="right" vertical="center"/>
    </xf>
    <xf numFmtId="0" fontId="15" fillId="41" borderId="0" xfId="6" applyFont="1" applyFill="1" applyBorder="1" applyAlignment="1">
      <alignment horizontal="right" vertical="center"/>
    </xf>
    <xf numFmtId="2" fontId="15" fillId="41" borderId="0" xfId="6" applyNumberFormat="1" applyFont="1" applyFill="1" applyBorder="1" applyAlignment="1">
      <alignment horizontal="right" vertical="center"/>
    </xf>
    <xf numFmtId="0" fontId="15" fillId="41" borderId="51" xfId="6" applyFont="1" applyFill="1" applyBorder="1" applyAlignment="1">
      <alignment horizontal="right" vertical="center"/>
    </xf>
    <xf numFmtId="2" fontId="15" fillId="41" borderId="51" xfId="6" applyNumberFormat="1" applyFont="1" applyFill="1" applyBorder="1" applyAlignment="1">
      <alignment horizontal="right" vertical="center"/>
    </xf>
    <xf numFmtId="0" fontId="62" fillId="0" borderId="55" xfId="5" applyFont="1" applyFill="1" applyBorder="1" applyAlignment="1">
      <alignment horizontal="right" vertical="center"/>
    </xf>
    <xf numFmtId="0" fontId="2" fillId="0" borderId="55" xfId="0" applyFont="1" applyBorder="1" applyAlignment="1">
      <alignment horizontal="right" vertical="center"/>
    </xf>
    <xf numFmtId="2" fontId="62" fillId="0" borderId="57" xfId="5" applyNumberFormat="1" applyFont="1" applyFill="1" applyBorder="1" applyAlignment="1">
      <alignment horizontal="right" vertical="center"/>
    </xf>
    <xf numFmtId="2" fontId="5" fillId="0" borderId="5" xfId="0" applyNumberFormat="1" applyFont="1" applyFill="1" applyBorder="1" applyAlignment="1">
      <alignment horizontal="right" vertical="center"/>
    </xf>
    <xf numFmtId="0" fontId="50" fillId="0" borderId="3" xfId="15" applyFont="1" applyFill="1" applyBorder="1" applyAlignment="1">
      <alignment horizontal="right" vertical="center"/>
    </xf>
    <xf numFmtId="2" fontId="5" fillId="0" borderId="1" xfId="0" applyNumberFormat="1" applyFont="1" applyFill="1" applyBorder="1" applyAlignment="1">
      <alignment horizontal="right" vertical="center"/>
    </xf>
    <xf numFmtId="2" fontId="5" fillId="0" borderId="11" xfId="0" applyNumberFormat="1" applyFont="1" applyFill="1" applyBorder="1" applyAlignment="1">
      <alignment horizontal="right" vertical="center"/>
    </xf>
    <xf numFmtId="2" fontId="5" fillId="0" borderId="9" xfId="0" applyNumberFormat="1" applyFont="1" applyFill="1" applyBorder="1" applyAlignment="1">
      <alignment horizontal="right" vertical="center"/>
    </xf>
    <xf numFmtId="0" fontId="50" fillId="0" borderId="3" xfId="15" applyNumberFormat="1" applyFont="1" applyBorder="1" applyAlignment="1">
      <alignment horizontal="right" vertical="center"/>
    </xf>
    <xf numFmtId="0" fontId="2" fillId="0" borderId="3" xfId="0" applyFont="1" applyFill="1" applyBorder="1" applyAlignment="1">
      <alignment horizontal="right" vertical="center"/>
    </xf>
    <xf numFmtId="0" fontId="50" fillId="0" borderId="1" xfId="15" applyNumberFormat="1" applyFont="1" applyFill="1" applyBorder="1" applyAlignment="1">
      <alignment horizontal="right" vertical="center"/>
    </xf>
    <xf numFmtId="0" fontId="11" fillId="0" borderId="1" xfId="15" applyFont="1" applyFill="1" applyBorder="1" applyAlignment="1">
      <alignment horizontal="right" vertical="center"/>
    </xf>
    <xf numFmtId="0" fontId="50" fillId="43" borderId="1" xfId="15" applyFont="1" applyFill="1" applyBorder="1" applyAlignment="1">
      <alignment horizontal="right" vertical="center"/>
    </xf>
    <xf numFmtId="0" fontId="2" fillId="0" borderId="3" xfId="0" applyFont="1" applyFill="1" applyBorder="1" applyAlignment="1">
      <alignment horizontal="right"/>
    </xf>
    <xf numFmtId="0" fontId="2" fillId="0" borderId="1" xfId="0" applyFont="1" applyFill="1" applyBorder="1" applyAlignment="1">
      <alignment horizontal="right"/>
    </xf>
    <xf numFmtId="0" fontId="2" fillId="0" borderId="3" xfId="0" applyFont="1" applyBorder="1" applyAlignment="1">
      <alignment horizontal="right"/>
    </xf>
    <xf numFmtId="0" fontId="2" fillId="0" borderId="1" xfId="0" applyFont="1" applyBorder="1" applyAlignment="1">
      <alignment horizontal="right"/>
    </xf>
    <xf numFmtId="0" fontId="50" fillId="0" borderId="25" xfId="15" applyFont="1" applyFill="1" applyBorder="1" applyAlignment="1">
      <alignment horizontal="right" vertical="center"/>
    </xf>
    <xf numFmtId="0" fontId="50" fillId="0" borderId="5" xfId="15" applyFont="1" applyFill="1" applyBorder="1" applyAlignment="1">
      <alignment horizontal="right" vertical="center"/>
    </xf>
    <xf numFmtId="0" fontId="50" fillId="0" borderId="62" xfId="15" applyFont="1" applyFill="1" applyBorder="1" applyAlignment="1">
      <alignment horizontal="right" vertical="center"/>
    </xf>
    <xf numFmtId="2" fontId="2" fillId="0" borderId="0" xfId="0" applyNumberFormat="1" applyFont="1" applyAlignment="1">
      <alignment horizontal="right"/>
    </xf>
    <xf numFmtId="0" fontId="2" fillId="0" borderId="9" xfId="0" applyNumberFormat="1" applyFont="1" applyFill="1" applyBorder="1" applyAlignment="1">
      <alignment vertical="center"/>
    </xf>
    <xf numFmtId="0" fontId="2" fillId="0" borderId="11" xfId="0" applyFont="1" applyFill="1" applyBorder="1" applyAlignment="1">
      <alignment vertical="center"/>
    </xf>
    <xf numFmtId="0" fontId="2" fillId="0" borderId="5" xfId="0" applyFont="1" applyFill="1" applyBorder="1" applyAlignment="1">
      <alignment vertical="center"/>
    </xf>
    <xf numFmtId="0" fontId="2" fillId="0" borderId="11" xfId="0" applyNumberFormat="1" applyFont="1" applyFill="1" applyBorder="1" applyAlignment="1">
      <alignment vertical="center"/>
    </xf>
    <xf numFmtId="14" fontId="15" fillId="41" borderId="50" xfId="6" applyNumberFormat="1" applyFont="1" applyFill="1" applyBorder="1" applyAlignment="1">
      <alignment horizontal="right" vertical="center"/>
    </xf>
    <xf numFmtId="1" fontId="15" fillId="41" borderId="50" xfId="6" applyNumberFormat="1" applyFont="1" applyFill="1" applyBorder="1" applyAlignment="1">
      <alignment horizontal="right" vertical="center"/>
    </xf>
    <xf numFmtId="0" fontId="2" fillId="41" borderId="50" xfId="0" applyFont="1" applyFill="1" applyBorder="1" applyAlignment="1">
      <alignment horizontal="right"/>
    </xf>
    <xf numFmtId="14" fontId="15" fillId="41" borderId="0" xfId="6" applyNumberFormat="1" applyFont="1" applyFill="1" applyBorder="1" applyAlignment="1">
      <alignment horizontal="right" vertical="center"/>
    </xf>
    <xf numFmtId="1" fontId="15" fillId="41" borderId="0" xfId="6" applyNumberFormat="1" applyFont="1" applyFill="1" applyBorder="1" applyAlignment="1">
      <alignment horizontal="right" vertical="center"/>
    </xf>
    <xf numFmtId="0" fontId="2" fillId="41" borderId="0" xfId="0" applyFont="1" applyFill="1" applyBorder="1" applyAlignment="1">
      <alignment horizontal="right"/>
    </xf>
    <xf numFmtId="14" fontId="15" fillId="41" borderId="51" xfId="6" applyNumberFormat="1" applyFont="1" applyFill="1" applyBorder="1" applyAlignment="1">
      <alignment horizontal="right" vertical="center"/>
    </xf>
    <xf numFmtId="1" fontId="15" fillId="41" borderId="51" xfId="6" applyNumberFormat="1" applyFont="1" applyFill="1" applyBorder="1" applyAlignment="1">
      <alignment horizontal="right" vertical="center"/>
    </xf>
    <xf numFmtId="0" fontId="2" fillId="41" borderId="51" xfId="0" applyFont="1" applyFill="1" applyBorder="1" applyAlignment="1">
      <alignment horizontal="right"/>
    </xf>
    <xf numFmtId="14" fontId="2" fillId="0" borderId="55" xfId="0" applyNumberFormat="1" applyFont="1" applyBorder="1" applyAlignment="1">
      <alignment horizontal="right" vertical="center"/>
    </xf>
    <xf numFmtId="1" fontId="2" fillId="0" borderId="57" xfId="0" applyNumberFormat="1" applyFont="1" applyBorder="1" applyAlignment="1">
      <alignment horizontal="right" vertical="center"/>
    </xf>
    <xf numFmtId="0" fontId="62" fillId="0" borderId="58" xfId="5" applyFont="1" applyFill="1" applyBorder="1" applyAlignment="1">
      <alignment horizontal="right" vertical="center"/>
    </xf>
    <xf numFmtId="15" fontId="62" fillId="0" borderId="60" xfId="5" applyNumberFormat="1" applyFont="1" applyFill="1" applyBorder="1" applyAlignment="1">
      <alignment horizontal="right" vertical="center"/>
    </xf>
    <xf numFmtId="14" fontId="2" fillId="0" borderId="5" xfId="0" applyNumberFormat="1" applyFont="1" applyBorder="1" applyAlignment="1">
      <alignment horizontal="right" vertical="center"/>
    </xf>
    <xf numFmtId="49" fontId="2" fillId="0" borderId="5" xfId="0" applyNumberFormat="1" applyFont="1" applyBorder="1" applyAlignment="1">
      <alignment horizontal="right" vertical="center"/>
    </xf>
    <xf numFmtId="49" fontId="2" fillId="0" borderId="5" xfId="0" applyNumberFormat="1" applyFont="1" applyFill="1" applyBorder="1" applyAlignment="1">
      <alignment horizontal="right" vertical="center"/>
    </xf>
    <xf numFmtId="22" fontId="2" fillId="0" borderId="5" xfId="0" applyNumberFormat="1" applyFont="1" applyFill="1" applyBorder="1" applyAlignment="1">
      <alignment horizontal="right" vertical="center"/>
    </xf>
    <xf numFmtId="49" fontId="50" fillId="0" borderId="5" xfId="12" applyNumberFormat="1" applyFont="1" applyFill="1" applyBorder="1" applyAlignment="1">
      <alignment horizontal="right" vertical="center" wrapText="1"/>
    </xf>
    <xf numFmtId="14" fontId="2" fillId="0" borderId="1" xfId="0" applyNumberFormat="1" applyFont="1" applyBorder="1" applyAlignment="1" applyProtection="1">
      <alignment horizontal="right" vertical="center"/>
    </xf>
    <xf numFmtId="1" fontId="2" fillId="0" borderId="1" xfId="0" applyNumberFormat="1" applyFont="1" applyBorder="1" applyAlignment="1" applyProtection="1">
      <alignment horizontal="right" vertical="center"/>
    </xf>
    <xf numFmtId="49" fontId="2" fillId="0" borderId="1" xfId="0" applyNumberFormat="1" applyFont="1" applyFill="1" applyBorder="1" applyAlignment="1">
      <alignment horizontal="right" vertical="center"/>
    </xf>
    <xf numFmtId="49" fontId="2" fillId="0" borderId="1" xfId="0" applyNumberFormat="1" applyFont="1" applyFill="1" applyBorder="1" applyAlignment="1">
      <alignment horizontal="right" vertical="center" wrapText="1"/>
    </xf>
    <xf numFmtId="49" fontId="50" fillId="0" borderId="1" xfId="12" applyNumberFormat="1" applyFont="1" applyFill="1" applyBorder="1" applyAlignment="1">
      <alignment horizontal="right" vertical="center" wrapText="1"/>
    </xf>
    <xf numFmtId="14" fontId="2" fillId="0" borderId="11" xfId="0" applyNumberFormat="1" applyFont="1" applyBorder="1" applyAlignment="1">
      <alignment horizontal="right" vertical="center"/>
    </xf>
    <xf numFmtId="1" fontId="2" fillId="0" borderId="11" xfId="0" applyNumberFormat="1" applyFont="1" applyBorder="1" applyAlignment="1">
      <alignment horizontal="right" vertical="center"/>
    </xf>
    <xf numFmtId="49" fontId="2" fillId="0" borderId="11" xfId="0" applyNumberFormat="1" applyFont="1" applyBorder="1" applyAlignment="1">
      <alignment horizontal="right" vertical="center"/>
    </xf>
    <xf numFmtId="49" fontId="2" fillId="0" borderId="11" xfId="0" applyNumberFormat="1" applyFont="1" applyFill="1" applyBorder="1" applyAlignment="1">
      <alignment horizontal="right" vertical="center"/>
    </xf>
    <xf numFmtId="22" fontId="2" fillId="0" borderId="11" xfId="0" applyNumberFormat="1" applyFont="1" applyFill="1" applyBorder="1" applyAlignment="1">
      <alignment horizontal="right" vertical="center"/>
    </xf>
    <xf numFmtId="49" fontId="50" fillId="0" borderId="11" xfId="12" applyNumberFormat="1" applyFont="1" applyFill="1" applyBorder="1" applyAlignment="1">
      <alignment horizontal="right" vertical="center" wrapText="1"/>
    </xf>
    <xf numFmtId="14" fontId="2" fillId="0" borderId="9" xfId="0" applyNumberFormat="1" applyFont="1" applyBorder="1" applyAlignment="1">
      <alignment horizontal="right" vertical="center"/>
    </xf>
    <xf numFmtId="1" fontId="2" fillId="0" borderId="9" xfId="0" applyNumberFormat="1" applyFont="1" applyBorder="1" applyAlignment="1">
      <alignment horizontal="right" vertical="center"/>
    </xf>
    <xf numFmtId="49" fontId="2" fillId="0" borderId="9" xfId="0" applyNumberFormat="1" applyFont="1" applyBorder="1" applyAlignment="1">
      <alignment horizontal="right" vertical="center"/>
    </xf>
    <xf numFmtId="49" fontId="2" fillId="0" borderId="9" xfId="0" applyNumberFormat="1" applyFont="1" applyFill="1" applyBorder="1" applyAlignment="1">
      <alignment horizontal="right" vertical="center"/>
    </xf>
    <xf numFmtId="22" fontId="2" fillId="0" borderId="9" xfId="0" applyNumberFormat="1" applyFont="1" applyFill="1" applyBorder="1" applyAlignment="1">
      <alignment horizontal="right" vertical="center"/>
    </xf>
    <xf numFmtId="49" fontId="50" fillId="0" borderId="9" xfId="12" applyNumberFormat="1" applyFont="1" applyFill="1" applyBorder="1" applyAlignment="1">
      <alignment horizontal="right" vertical="center" wrapText="1"/>
    </xf>
    <xf numFmtId="14" fontId="2" fillId="0" borderId="1" xfId="0" applyNumberFormat="1" applyFont="1" applyBorder="1" applyAlignment="1">
      <alignment horizontal="right" vertical="center"/>
    </xf>
    <xf numFmtId="49" fontId="2" fillId="0" borderId="1" xfId="0" applyNumberFormat="1" applyFont="1" applyBorder="1" applyAlignment="1">
      <alignment horizontal="right" vertical="center"/>
    </xf>
    <xf numFmtId="22" fontId="2" fillId="0" borderId="1" xfId="0" applyNumberFormat="1" applyFont="1" applyFill="1" applyBorder="1" applyAlignment="1">
      <alignment horizontal="right" vertical="center"/>
    </xf>
    <xf numFmtId="15" fontId="2" fillId="0" borderId="5" xfId="0" applyNumberFormat="1" applyFont="1" applyFill="1" applyBorder="1" applyAlignment="1">
      <alignment horizontal="right" vertical="center"/>
    </xf>
    <xf numFmtId="14" fontId="2" fillId="0" borderId="9" xfId="0" applyNumberFormat="1" applyFont="1" applyBorder="1" applyAlignment="1" applyProtection="1">
      <alignment horizontal="right" vertical="center"/>
    </xf>
    <xf numFmtId="15" fontId="50" fillId="0" borderId="11" xfId="12" applyNumberFormat="1" applyFont="1" applyFill="1" applyBorder="1" applyAlignment="1">
      <alignment horizontal="right" vertical="center" wrapText="1"/>
    </xf>
    <xf numFmtId="49" fontId="2" fillId="0" borderId="11" xfId="0" applyNumberFormat="1" applyFont="1" applyFill="1" applyBorder="1" applyAlignment="1">
      <alignment horizontal="right" vertical="center" wrapText="1"/>
    </xf>
    <xf numFmtId="14" fontId="2" fillId="0" borderId="1" xfId="0" applyNumberFormat="1" applyFont="1" applyFill="1" applyBorder="1" applyAlignment="1">
      <alignment horizontal="right" vertical="center"/>
    </xf>
    <xf numFmtId="14" fontId="2" fillId="0" borderId="5" xfId="0" applyNumberFormat="1" applyFont="1" applyBorder="1" applyAlignment="1" applyProtection="1">
      <alignment horizontal="right" vertical="center"/>
    </xf>
    <xf numFmtId="0" fontId="5" fillId="0" borderId="1" xfId="0" applyFont="1" applyFill="1" applyBorder="1" applyAlignment="1">
      <alignment horizontal="right" vertical="center"/>
    </xf>
    <xf numFmtId="14" fontId="2" fillId="0" borderId="9" xfId="0" applyNumberFormat="1" applyFont="1" applyFill="1" applyBorder="1" applyAlignment="1" applyProtection="1">
      <alignment horizontal="right" vertical="center"/>
    </xf>
    <xf numFmtId="1" fontId="2" fillId="0" borderId="9" xfId="0" applyNumberFormat="1" applyFont="1" applyBorder="1" applyAlignment="1" applyProtection="1">
      <alignment horizontal="right" vertical="center"/>
    </xf>
    <xf numFmtId="49" fontId="2" fillId="0" borderId="9" xfId="0" applyNumberFormat="1" applyFont="1" applyFill="1" applyBorder="1" applyAlignment="1">
      <alignment horizontal="right" vertical="center" wrapText="1"/>
    </xf>
    <xf numFmtId="14" fontId="2" fillId="0" borderId="11" xfId="0" applyNumberFormat="1" applyFont="1" applyFill="1" applyBorder="1" applyAlignment="1">
      <alignment horizontal="right" vertical="center"/>
    </xf>
    <xf numFmtId="15" fontId="2" fillId="0" borderId="11" xfId="0" applyNumberFormat="1" applyFont="1" applyFill="1" applyBorder="1" applyAlignment="1">
      <alignment horizontal="right" vertical="center"/>
    </xf>
    <xf numFmtId="14" fontId="2" fillId="0" borderId="9" xfId="0" applyNumberFormat="1" applyFont="1" applyFill="1" applyBorder="1" applyAlignment="1">
      <alignment horizontal="right" vertical="center"/>
    </xf>
    <xf numFmtId="15" fontId="50" fillId="0" borderId="1" xfId="12" applyNumberFormat="1" applyFont="1" applyFill="1" applyBorder="1" applyAlignment="1">
      <alignment horizontal="right" vertical="center" wrapText="1"/>
    </xf>
    <xf numFmtId="49" fontId="11" fillId="0" borderId="1" xfId="12" applyNumberFormat="1" applyFont="1" applyFill="1" applyBorder="1" applyAlignment="1">
      <alignment horizontal="right" vertical="center" wrapText="1"/>
    </xf>
    <xf numFmtId="1" fontId="2" fillId="0" borderId="5" xfId="0" applyNumberFormat="1" applyFont="1" applyBorder="1" applyAlignment="1" applyProtection="1">
      <alignment horizontal="right" vertical="center"/>
    </xf>
    <xf numFmtId="49" fontId="50" fillId="0" borderId="11" xfId="12" applyNumberFormat="1" applyFont="1" applyFill="1" applyBorder="1" applyAlignment="1">
      <alignment horizontal="right" vertical="center"/>
    </xf>
    <xf numFmtId="14" fontId="2" fillId="0" borderId="11" xfId="0" applyNumberFormat="1" applyFont="1" applyBorder="1" applyAlignment="1" applyProtection="1">
      <alignment horizontal="right" vertical="center"/>
    </xf>
    <xf numFmtId="1" fontId="2" fillId="0" borderId="11" xfId="0" applyNumberFormat="1" applyFont="1" applyBorder="1" applyAlignment="1" applyProtection="1">
      <alignment horizontal="right" vertical="center"/>
    </xf>
    <xf numFmtId="14" fontId="2" fillId="0" borderId="5" xfId="0" applyNumberFormat="1" applyFont="1" applyFill="1" applyBorder="1" applyAlignment="1">
      <alignment horizontal="right" vertical="center"/>
    </xf>
    <xf numFmtId="17" fontId="2" fillId="0" borderId="5" xfId="0" applyNumberFormat="1" applyFont="1" applyFill="1" applyBorder="1" applyAlignment="1">
      <alignment horizontal="right" vertical="center"/>
    </xf>
    <xf numFmtId="49" fontId="2" fillId="0" borderId="5" xfId="0" applyNumberFormat="1" applyFont="1" applyFill="1" applyBorder="1" applyAlignment="1">
      <alignment horizontal="right" vertical="center" wrapText="1"/>
    </xf>
    <xf numFmtId="14" fontId="2" fillId="0" borderId="5" xfId="0" applyNumberFormat="1" applyFont="1" applyFill="1" applyBorder="1" applyAlignment="1" applyProtection="1">
      <alignment horizontal="right" vertical="center"/>
    </xf>
    <xf numFmtId="1" fontId="2" fillId="0" borderId="5" xfId="0" applyNumberFormat="1" applyFont="1" applyFill="1" applyBorder="1" applyAlignment="1" applyProtection="1">
      <alignment horizontal="right" vertical="center"/>
    </xf>
    <xf numFmtId="14" fontId="2" fillId="0" borderId="1" xfId="0" applyNumberFormat="1" applyFont="1" applyFill="1" applyBorder="1" applyAlignment="1" applyProtection="1">
      <alignment horizontal="right" vertical="center"/>
    </xf>
    <xf numFmtId="1" fontId="2" fillId="0" borderId="9" xfId="0" applyNumberFormat="1" applyFont="1" applyFill="1" applyBorder="1" applyAlignment="1" applyProtection="1">
      <alignment horizontal="right" vertical="center"/>
    </xf>
    <xf numFmtId="14" fontId="2" fillId="0" borderId="0" xfId="0" applyNumberFormat="1" applyFont="1" applyAlignment="1">
      <alignment horizontal="right"/>
    </xf>
    <xf numFmtId="1" fontId="2" fillId="0" borderId="0" xfId="0" applyNumberFormat="1" applyFont="1" applyAlignment="1">
      <alignment horizontal="right"/>
    </xf>
    <xf numFmtId="0" fontId="2" fillId="41" borderId="50" xfId="0" applyFont="1" applyFill="1" applyBorder="1" applyAlignment="1"/>
    <xf numFmtId="165" fontId="2" fillId="41" borderId="50" xfId="7" applyNumberFormat="1" applyFont="1" applyFill="1" applyBorder="1" applyAlignment="1"/>
    <xf numFmtId="0" fontId="2" fillId="41" borderId="0" xfId="0" applyFont="1" applyFill="1" applyBorder="1" applyAlignment="1"/>
    <xf numFmtId="165" fontId="2" fillId="41" borderId="0" xfId="7" applyNumberFormat="1" applyFont="1" applyFill="1" applyBorder="1" applyAlignment="1"/>
    <xf numFmtId="0" fontId="2" fillId="41" borderId="51" xfId="0" applyFont="1" applyFill="1" applyBorder="1" applyAlignment="1"/>
    <xf numFmtId="165" fontId="2" fillId="41" borderId="51" xfId="7" applyNumberFormat="1" applyFont="1" applyFill="1" applyBorder="1" applyAlignment="1"/>
    <xf numFmtId="165" fontId="2" fillId="0" borderId="5" xfId="7" applyNumberFormat="1" applyFont="1" applyFill="1" applyBorder="1" applyAlignment="1">
      <alignment vertical="center"/>
    </xf>
    <xf numFmtId="165" fontId="2" fillId="0" borderId="1" xfId="7" applyNumberFormat="1" applyFont="1" applyFill="1" applyBorder="1" applyAlignment="1">
      <alignment vertical="center"/>
    </xf>
    <xf numFmtId="165" fontId="2" fillId="0" borderId="11" xfId="7" applyNumberFormat="1" applyFont="1" applyFill="1" applyBorder="1" applyAlignment="1">
      <alignment vertical="center"/>
    </xf>
    <xf numFmtId="165" fontId="2" fillId="0" borderId="9" xfId="7" applyNumberFormat="1" applyFont="1" applyFill="1" applyBorder="1" applyAlignment="1">
      <alignment vertical="center"/>
    </xf>
    <xf numFmtId="165" fontId="2" fillId="0" borderId="0" xfId="7" applyNumberFormat="1" applyFont="1" applyAlignment="1"/>
    <xf numFmtId="0" fontId="68" fillId="0" borderId="1" xfId="19" applyFont="1" applyFill="1" applyBorder="1" applyAlignment="1">
      <alignment horizontal="left"/>
    </xf>
    <xf numFmtId="0" fontId="68" fillId="0" borderId="1" xfId="15" applyFont="1" applyFill="1" applyBorder="1" applyAlignment="1">
      <alignment horizontal="left" vertical="center"/>
    </xf>
    <xf numFmtId="0" fontId="25" fillId="41" borderId="4" xfId="6" applyFont="1" applyFill="1" applyBorder="1" applyAlignment="1">
      <alignment horizontal="left" vertical="center"/>
    </xf>
    <xf numFmtId="49" fontId="0" fillId="0" borderId="9" xfId="0" applyNumberFormat="1" applyFont="1" applyFill="1" applyBorder="1" applyAlignment="1">
      <alignment horizontal="right" vertical="center" wrapText="1"/>
    </xf>
    <xf numFmtId="0" fontId="5" fillId="0" borderId="1" xfId="15" applyFont="1" applyFill="1" applyBorder="1" applyAlignment="1">
      <alignment horizontal="right" vertical="center"/>
    </xf>
    <xf numFmtId="0" fontId="5" fillId="0" borderId="3" xfId="0" applyFont="1" applyBorder="1" applyAlignment="1">
      <alignment horizontal="right"/>
    </xf>
    <xf numFmtId="0" fontId="5" fillId="0" borderId="1" xfId="0" applyFont="1" applyBorder="1" applyAlignment="1">
      <alignment horizontal="right"/>
    </xf>
    <xf numFmtId="0" fontId="50" fillId="3" borderId="1" xfId="15" applyFont="1" applyFill="1" applyBorder="1" applyAlignment="1">
      <alignment horizontal="right" vertical="center"/>
    </xf>
    <xf numFmtId="0" fontId="2" fillId="3" borderId="3" xfId="0" applyFont="1" applyFill="1" applyBorder="1" applyAlignment="1">
      <alignment horizontal="right" vertical="center"/>
    </xf>
    <xf numFmtId="0" fontId="2" fillId="3" borderId="1" xfId="0" applyFont="1" applyFill="1" applyBorder="1" applyAlignment="1">
      <alignment horizontal="right" vertical="center"/>
    </xf>
    <xf numFmtId="0" fontId="50" fillId="3" borderId="3" xfId="15" applyFont="1" applyFill="1" applyBorder="1" applyAlignment="1">
      <alignment horizontal="right" vertical="center"/>
    </xf>
    <xf numFmtId="0" fontId="2" fillId="41" borderId="25" xfId="0" applyFont="1" applyFill="1" applyBorder="1" applyAlignment="1">
      <alignment horizontal="right"/>
    </xf>
    <xf numFmtId="0" fontId="2" fillId="41" borderId="39" xfId="0" applyFont="1" applyFill="1" applyBorder="1" applyAlignment="1">
      <alignment horizontal="right"/>
    </xf>
    <xf numFmtId="0" fontId="2" fillId="41" borderId="17" xfId="0" applyFont="1" applyFill="1" applyBorder="1" applyAlignment="1">
      <alignment horizontal="right"/>
    </xf>
    <xf numFmtId="165" fontId="62" fillId="17" borderId="56" xfId="7" applyNumberFormat="1" applyFont="1" applyFill="1" applyBorder="1" applyAlignment="1">
      <alignment horizontal="right"/>
    </xf>
    <xf numFmtId="49" fontId="2" fillId="0" borderId="18" xfId="0" applyNumberFormat="1" applyFont="1" applyFill="1" applyBorder="1" applyAlignment="1">
      <alignment horizontal="right"/>
    </xf>
    <xf numFmtId="0" fontId="2" fillId="0" borderId="1" xfId="0" applyNumberFormat="1" applyFont="1" applyFill="1" applyBorder="1" applyAlignment="1">
      <alignment horizontal="right"/>
    </xf>
    <xf numFmtId="49" fontId="2" fillId="0" borderId="1" xfId="0" applyNumberFormat="1" applyFont="1" applyFill="1" applyBorder="1" applyAlignment="1">
      <alignment horizontal="right"/>
    </xf>
    <xf numFmtId="49" fontId="2" fillId="0" borderId="4" xfId="0" applyNumberFormat="1" applyFont="1" applyFill="1" applyBorder="1" applyAlignment="1">
      <alignment horizontal="right"/>
    </xf>
    <xf numFmtId="49" fontId="2" fillId="0" borderId="23" xfId="0" applyNumberFormat="1" applyFont="1" applyFill="1" applyBorder="1" applyAlignment="1">
      <alignment horizontal="right"/>
    </xf>
    <xf numFmtId="49" fontId="2" fillId="0" borderId="2" xfId="0" applyNumberFormat="1" applyFont="1" applyFill="1" applyBorder="1" applyAlignment="1">
      <alignment horizontal="right"/>
    </xf>
    <xf numFmtId="0" fontId="2" fillId="0" borderId="23" xfId="0" applyNumberFormat="1" applyFont="1" applyFill="1" applyBorder="1" applyAlignment="1">
      <alignment horizontal="right"/>
    </xf>
    <xf numFmtId="0" fontId="11" fillId="2" borderId="57" xfId="5" applyFont="1" applyFill="1" applyBorder="1" applyAlignment="1">
      <alignment horizontal="right" vertical="center"/>
    </xf>
    <xf numFmtId="0" fontId="0" fillId="0" borderId="55" xfId="0" applyFont="1" applyBorder="1" applyAlignment="1">
      <alignment horizontal="right" vertical="center"/>
    </xf>
    <xf numFmtId="0" fontId="50" fillId="0" borderId="25" xfId="12" applyFont="1" applyFill="1" applyBorder="1" applyAlignment="1">
      <alignment horizontal="left" vertical="center" wrapText="1"/>
    </xf>
    <xf numFmtId="0" fontId="50" fillId="0" borderId="39" xfId="12" applyFont="1" applyFill="1" applyBorder="1" applyAlignment="1">
      <alignment horizontal="left" vertical="center" wrapText="1"/>
    </xf>
    <xf numFmtId="0" fontId="50" fillId="0" borderId="3" xfId="12" applyFont="1" applyFill="1" applyBorder="1" applyAlignment="1">
      <alignment horizontal="left" vertical="center" wrapText="1"/>
    </xf>
    <xf numFmtId="0" fontId="50" fillId="0" borderId="25" xfId="12" applyFont="1" applyFill="1" applyBorder="1" applyAlignment="1">
      <alignment horizontal="left" vertical="center"/>
    </xf>
    <xf numFmtId="0" fontId="2" fillId="0" borderId="5" xfId="0" applyFont="1" applyFill="1" applyBorder="1" applyAlignment="1">
      <alignment horizontal="left" vertical="center"/>
    </xf>
    <xf numFmtId="0" fontId="2" fillId="0" borderId="11" xfId="0" applyFont="1" applyFill="1" applyBorder="1" applyAlignment="1">
      <alignment horizontal="left" vertical="center"/>
    </xf>
    <xf numFmtId="0" fontId="50" fillId="0" borderId="1" xfId="0" applyFont="1" applyFill="1" applyBorder="1" applyAlignment="1">
      <alignment horizontal="left"/>
    </xf>
    <xf numFmtId="49" fontId="2" fillId="2" borderId="1" xfId="0" applyNumberFormat="1" applyFont="1" applyFill="1" applyBorder="1" applyAlignment="1">
      <alignment horizontal="left" vertical="center"/>
    </xf>
    <xf numFmtId="49" fontId="2" fillId="0" borderId="11" xfId="0" applyNumberFormat="1" applyFont="1" applyFill="1" applyBorder="1" applyAlignment="1" applyProtection="1">
      <alignment horizontal="left" vertical="center" wrapText="1"/>
      <protection locked="0"/>
    </xf>
    <xf numFmtId="0" fontId="2" fillId="0" borderId="5" xfId="0" applyNumberFormat="1" applyFont="1" applyFill="1" applyBorder="1" applyAlignment="1">
      <alignment horizontal="left" vertical="center"/>
    </xf>
    <xf numFmtId="0" fontId="2" fillId="0" borderId="11" xfId="0" applyNumberFormat="1" applyFont="1" applyFill="1" applyBorder="1" applyAlignment="1">
      <alignment horizontal="left" vertical="center"/>
    </xf>
    <xf numFmtId="0" fontId="2" fillId="0" borderId="9" xfId="0" applyNumberFormat="1" applyFont="1" applyFill="1" applyBorder="1" applyAlignment="1">
      <alignment horizontal="left" vertical="center"/>
    </xf>
    <xf numFmtId="0" fontId="2" fillId="0" borderId="11" xfId="0" applyNumberFormat="1" applyFont="1" applyFill="1" applyBorder="1" applyAlignment="1" applyProtection="1">
      <alignment horizontal="left" vertical="center" wrapText="1"/>
      <protection locked="0"/>
    </xf>
    <xf numFmtId="49" fontId="0" fillId="0" borderId="5" xfId="0" applyNumberFormat="1" applyFont="1" applyFill="1" applyBorder="1" applyAlignment="1">
      <alignment horizontal="left" vertical="center"/>
    </xf>
    <xf numFmtId="0" fontId="2" fillId="0" borderId="3" xfId="4" applyFont="1" applyBorder="1" applyAlignment="1">
      <alignment horizontal="right" vertical="center"/>
    </xf>
    <xf numFmtId="172" fontId="50" fillId="0" borderId="3" xfId="0" applyNumberFormat="1" applyFont="1" applyFill="1" applyBorder="1" applyAlignment="1">
      <alignment horizontal="right"/>
    </xf>
    <xf numFmtId="0" fontId="11" fillId="0" borderId="9" xfId="0" applyFont="1" applyFill="1" applyBorder="1" applyAlignment="1">
      <alignment horizontal="right" vertical="center"/>
    </xf>
    <xf numFmtId="0" fontId="11" fillId="0" borderId="5" xfId="0" applyFont="1" applyFill="1" applyBorder="1" applyAlignment="1">
      <alignment horizontal="right" vertical="center"/>
    </xf>
    <xf numFmtId="0" fontId="5" fillId="0" borderId="5" xfId="0" applyFont="1" applyFill="1" applyBorder="1" applyAlignment="1">
      <alignment vertical="center"/>
    </xf>
    <xf numFmtId="0" fontId="5" fillId="0" borderId="11" xfId="0" applyFont="1" applyFill="1" applyBorder="1" applyAlignment="1">
      <alignment vertical="center"/>
    </xf>
    <xf numFmtId="0" fontId="5" fillId="0" borderId="9" xfId="0" applyFont="1" applyFill="1" applyBorder="1" applyAlignment="1">
      <alignment vertical="center"/>
    </xf>
    <xf numFmtId="168" fontId="5" fillId="0" borderId="1" xfId="12" applyNumberFormat="1" applyFont="1" applyFill="1" applyBorder="1" applyAlignment="1">
      <alignment horizontal="right" vertical="center"/>
    </xf>
    <xf numFmtId="49" fontId="41" fillId="0" borderId="1" xfId="0" applyNumberFormat="1" applyFont="1" applyFill="1" applyBorder="1" applyAlignment="1">
      <alignment horizontal="right" vertical="center"/>
    </xf>
    <xf numFmtId="0" fontId="5" fillId="0" borderId="5" xfId="0" applyFont="1" applyFill="1" applyBorder="1" applyAlignment="1">
      <alignment horizontal="right" vertical="center"/>
    </xf>
    <xf numFmtId="0" fontId="5" fillId="0" borderId="11" xfId="0" applyFont="1" applyFill="1" applyBorder="1" applyAlignment="1">
      <alignment horizontal="right" vertical="center"/>
    </xf>
    <xf numFmtId="0" fontId="5" fillId="0" borderId="9" xfId="0" applyFont="1" applyFill="1" applyBorder="1" applyAlignment="1">
      <alignment horizontal="right" vertical="center"/>
    </xf>
    <xf numFmtId="15" fontId="50" fillId="0" borderId="9" xfId="12" applyNumberFormat="1" applyFont="1" applyFill="1" applyBorder="1" applyAlignment="1">
      <alignment horizontal="right" vertical="center" wrapText="1"/>
    </xf>
    <xf numFmtId="22" fontId="50" fillId="0" borderId="1" xfId="12" applyNumberFormat="1" applyFont="1" applyFill="1" applyBorder="1" applyAlignment="1">
      <alignment horizontal="right" vertical="center" wrapText="1"/>
    </xf>
    <xf numFmtId="0" fontId="2" fillId="0" borderId="5" xfId="0" applyFont="1" applyFill="1" applyBorder="1" applyAlignment="1">
      <alignment horizontal="right" vertical="center" wrapText="1"/>
    </xf>
    <xf numFmtId="0" fontId="2" fillId="0" borderId="11" xfId="0" applyFont="1" applyFill="1" applyBorder="1" applyAlignment="1">
      <alignment horizontal="right" vertical="center" wrapText="1"/>
    </xf>
    <xf numFmtId="0" fontId="2" fillId="0" borderId="9" xfId="0" applyFont="1" applyFill="1" applyBorder="1" applyAlignment="1">
      <alignment horizontal="right" vertical="center" wrapText="1"/>
    </xf>
    <xf numFmtId="1" fontId="2" fillId="0" borderId="11" xfId="0" applyNumberFormat="1" applyFont="1" applyFill="1" applyBorder="1" applyAlignment="1" applyProtection="1">
      <alignment vertical="center"/>
    </xf>
    <xf numFmtId="0" fontId="2" fillId="0" borderId="5" xfId="0" applyNumberFormat="1" applyFont="1" applyFill="1" applyBorder="1" applyAlignment="1">
      <alignment vertical="center"/>
    </xf>
    <xf numFmtId="0" fontId="2" fillId="0" borderId="18" xfId="0" applyNumberFormat="1" applyFont="1" applyFill="1" applyBorder="1" applyAlignment="1">
      <alignment horizontal="right"/>
    </xf>
    <xf numFmtId="0" fontId="2" fillId="0" borderId="4" xfId="0" applyNumberFormat="1" applyFont="1" applyFill="1" applyBorder="1" applyAlignment="1">
      <alignment horizontal="right"/>
    </xf>
    <xf numFmtId="0" fontId="2" fillId="0" borderId="2" xfId="0" applyNumberFormat="1" applyFont="1" applyFill="1" applyBorder="1" applyAlignment="1">
      <alignment horizontal="right"/>
    </xf>
    <xf numFmtId="9" fontId="52" fillId="5" borderId="0" xfId="8" applyFont="1" applyFill="1" applyBorder="1"/>
    <xf numFmtId="9" fontId="52" fillId="5" borderId="0" xfId="0" applyNumberFormat="1" applyFont="1" applyFill="1" applyBorder="1"/>
    <xf numFmtId="0" fontId="14" fillId="19" borderId="0" xfId="0" applyFont="1" applyFill="1" applyAlignment="1">
      <alignment horizontal="center" vertical="center"/>
    </xf>
    <xf numFmtId="0" fontId="10" fillId="10" borderId="0" xfId="0" applyFont="1" applyFill="1" applyAlignment="1">
      <alignment horizontal="left"/>
    </xf>
    <xf numFmtId="0" fontId="14" fillId="16" borderId="0" xfId="0" applyFont="1" applyFill="1" applyAlignment="1">
      <alignment horizontal="center"/>
    </xf>
    <xf numFmtId="166" fontId="35" fillId="11" borderId="0" xfId="6" applyNumberFormat="1" applyFont="1" applyFill="1" applyBorder="1" applyAlignment="1">
      <alignment horizontal="left" vertical="center"/>
    </xf>
    <xf numFmtId="166" fontId="25" fillId="41" borderId="23" xfId="6" applyNumberFormat="1" applyFont="1" applyFill="1" applyBorder="1" applyAlignment="1">
      <alignment horizontal="left" vertical="center"/>
    </xf>
    <xf numFmtId="166" fontId="25" fillId="41" borderId="51" xfId="6" applyNumberFormat="1" applyFont="1" applyFill="1" applyBorder="1" applyAlignment="1">
      <alignment horizontal="left" vertical="center"/>
    </xf>
    <xf numFmtId="166" fontId="63" fillId="11" borderId="23" xfId="6" applyNumberFormat="1" applyFont="1" applyFill="1" applyBorder="1" applyAlignment="1">
      <alignment horizontal="left" vertical="center"/>
    </xf>
    <xf numFmtId="166" fontId="63" fillId="11" borderId="51" xfId="6" applyNumberFormat="1" applyFont="1" applyFill="1" applyBorder="1" applyAlignment="1">
      <alignment horizontal="left" vertical="center"/>
    </xf>
    <xf numFmtId="0" fontId="32" fillId="41" borderId="0" xfId="6" applyFont="1" applyFill="1" applyBorder="1" applyAlignment="1">
      <alignment horizontal="left" vertical="center"/>
    </xf>
    <xf numFmtId="166" fontId="35" fillId="41" borderId="51" xfId="6" applyNumberFormat="1" applyFont="1" applyFill="1" applyBorder="1" applyAlignment="1">
      <alignment horizontal="left" vertical="center"/>
    </xf>
    <xf numFmtId="0" fontId="9" fillId="41" borderId="0" xfId="6" applyFont="1" applyFill="1" applyBorder="1" applyAlignment="1">
      <alignment horizontal="left" vertical="center"/>
    </xf>
    <xf numFmtId="0" fontId="30" fillId="10" borderId="2" xfId="0" applyFont="1" applyFill="1" applyBorder="1" applyAlignment="1">
      <alignment horizontal="center" vertical="top"/>
    </xf>
    <xf numFmtId="0" fontId="30" fillId="10" borderId="8" xfId="0" applyFont="1" applyFill="1" applyBorder="1" applyAlignment="1">
      <alignment horizontal="center" vertical="top"/>
    </xf>
    <xf numFmtId="0" fontId="30" fillId="10" borderId="3" xfId="0" applyFont="1" applyFill="1" applyBorder="1" applyAlignment="1">
      <alignment horizontal="center" vertical="top"/>
    </xf>
    <xf numFmtId="0" fontId="32" fillId="41" borderId="4" xfId="6" applyFont="1" applyFill="1" applyBorder="1" applyAlignment="1">
      <alignment horizontal="left" vertical="center"/>
    </xf>
    <xf numFmtId="166" fontId="35" fillId="41" borderId="23" xfId="6" applyNumberFormat="1" applyFont="1" applyFill="1" applyBorder="1" applyAlignment="1">
      <alignment horizontal="left" vertical="center"/>
    </xf>
    <xf numFmtId="0" fontId="32" fillId="11" borderId="4" xfId="6" applyFont="1" applyFill="1" applyBorder="1" applyAlignment="1">
      <alignment horizontal="left" vertical="center"/>
    </xf>
    <xf numFmtId="0" fontId="32" fillId="11" borderId="0" xfId="6" applyFont="1" applyFill="1" applyBorder="1" applyAlignment="1">
      <alignment horizontal="left" vertical="center"/>
    </xf>
    <xf numFmtId="166" fontId="35" fillId="11" borderId="23" xfId="6" applyNumberFormat="1" applyFont="1" applyFill="1" applyBorder="1" applyAlignment="1">
      <alignment horizontal="left" vertical="center"/>
    </xf>
    <xf numFmtId="166" fontId="35" fillId="11" borderId="51" xfId="6" applyNumberFormat="1" applyFont="1" applyFill="1" applyBorder="1" applyAlignment="1">
      <alignment horizontal="left" vertical="center"/>
    </xf>
    <xf numFmtId="166" fontId="35" fillId="11" borderId="17" xfId="6" applyNumberFormat="1" applyFont="1" applyFill="1" applyBorder="1" applyAlignment="1">
      <alignment horizontal="left" vertical="center"/>
    </xf>
    <xf numFmtId="0" fontId="55" fillId="41" borderId="0" xfId="6" applyFont="1" applyFill="1" applyBorder="1" applyAlignment="1">
      <alignment horizontal="left" vertical="center"/>
    </xf>
    <xf numFmtId="0" fontId="25" fillId="0" borderId="4" xfId="6" applyFont="1" applyFill="1" applyBorder="1" applyAlignment="1">
      <alignment horizontal="left" vertical="center"/>
    </xf>
    <xf numFmtId="0" fontId="25" fillId="0" borderId="0" xfId="6" applyFont="1" applyFill="1" applyBorder="1" applyAlignment="1">
      <alignment horizontal="left" vertical="center"/>
    </xf>
    <xf numFmtId="0" fontId="0" fillId="2" borderId="29" xfId="0" applyFill="1" applyBorder="1" applyAlignment="1">
      <alignment horizontal="center" wrapText="1"/>
    </xf>
    <xf numFmtId="0" fontId="0" fillId="2" borderId="30" xfId="0" applyFill="1" applyBorder="1" applyAlignment="1">
      <alignment horizontal="center" wrapText="1"/>
    </xf>
    <xf numFmtId="0" fontId="0" fillId="2" borderId="31" xfId="0" applyFill="1" applyBorder="1" applyAlignment="1">
      <alignment horizontal="center" wrapText="1"/>
    </xf>
    <xf numFmtId="0" fontId="0" fillId="34" borderId="29" xfId="0" applyFill="1" applyBorder="1" applyAlignment="1">
      <alignment horizontal="center" wrapText="1"/>
    </xf>
    <xf numFmtId="0" fontId="0" fillId="34" borderId="30" xfId="0" applyFill="1" applyBorder="1" applyAlignment="1">
      <alignment horizontal="center" wrapText="1"/>
    </xf>
    <xf numFmtId="0" fontId="0" fillId="34" borderId="31" xfId="0" applyFill="1" applyBorder="1" applyAlignment="1">
      <alignment horizontal="center" wrapText="1"/>
    </xf>
    <xf numFmtId="0" fontId="0" fillId="5" borderId="29" xfId="0" applyFill="1" applyBorder="1" applyAlignment="1">
      <alignment horizontal="center" wrapText="1"/>
    </xf>
    <xf numFmtId="0" fontId="0" fillId="5" borderId="30" xfId="0" applyFill="1" applyBorder="1" applyAlignment="1">
      <alignment horizontal="center" wrapText="1"/>
    </xf>
    <xf numFmtId="0" fontId="0" fillId="5" borderId="31" xfId="0" applyFill="1" applyBorder="1" applyAlignment="1">
      <alignment horizontal="center" wrapText="1"/>
    </xf>
    <xf numFmtId="0" fontId="0" fillId="3" borderId="61" xfId="0" applyFill="1" applyBorder="1" applyAlignment="1">
      <alignment horizontal="center" textRotation="90"/>
    </xf>
    <xf numFmtId="0" fontId="0" fillId="3" borderId="57" xfId="0" applyFill="1" applyBorder="1" applyAlignment="1">
      <alignment horizontal="center" textRotation="90"/>
    </xf>
    <xf numFmtId="0" fontId="0" fillId="3" borderId="13" xfId="0" applyFill="1" applyBorder="1" applyAlignment="1">
      <alignment horizontal="center" textRotation="90"/>
    </xf>
    <xf numFmtId="0" fontId="0" fillId="3" borderId="55" xfId="0" applyFill="1" applyBorder="1" applyAlignment="1">
      <alignment horizontal="center" textRotation="90"/>
    </xf>
    <xf numFmtId="0" fontId="0" fillId="3" borderId="12" xfId="0" applyFill="1" applyBorder="1" applyAlignment="1">
      <alignment horizontal="center" textRotation="90"/>
    </xf>
    <xf numFmtId="0" fontId="0" fillId="3" borderId="54" xfId="0" applyFill="1" applyBorder="1" applyAlignment="1">
      <alignment horizontal="center" textRotation="90"/>
    </xf>
    <xf numFmtId="0" fontId="0" fillId="9" borderId="29" xfId="0" applyFill="1" applyBorder="1" applyAlignment="1">
      <alignment horizontal="center"/>
    </xf>
    <xf numFmtId="0" fontId="0" fillId="9" borderId="30" xfId="0" applyFill="1" applyBorder="1" applyAlignment="1">
      <alignment horizontal="center"/>
    </xf>
    <xf numFmtId="0" fontId="0" fillId="9" borderId="31" xfId="0" applyFill="1" applyBorder="1" applyAlignment="1">
      <alignment horizontal="center"/>
    </xf>
    <xf numFmtId="0" fontId="0" fillId="8" borderId="27" xfId="0" applyFill="1" applyBorder="1" applyAlignment="1">
      <alignment horizontal="center"/>
    </xf>
    <xf numFmtId="0" fontId="0" fillId="4" borderId="27" xfId="0" applyFill="1" applyBorder="1" applyAlignment="1">
      <alignment horizontal="center" textRotation="90" wrapText="1"/>
    </xf>
    <xf numFmtId="0" fontId="0" fillId="5" borderId="27" xfId="0" applyFill="1" applyBorder="1" applyAlignment="1">
      <alignment horizontal="center" textRotation="90" wrapText="1"/>
    </xf>
    <xf numFmtId="0" fontId="0" fillId="6" borderId="27" xfId="0" applyFill="1" applyBorder="1" applyAlignment="1">
      <alignment horizontal="center" textRotation="90" wrapText="1"/>
    </xf>
    <xf numFmtId="0" fontId="0" fillId="32" borderId="29" xfId="0" applyFill="1" applyBorder="1" applyAlignment="1">
      <alignment horizontal="center" wrapText="1"/>
    </xf>
    <xf numFmtId="0" fontId="0" fillId="32" borderId="30" xfId="0" applyFill="1" applyBorder="1" applyAlignment="1">
      <alignment horizontal="center" wrapText="1"/>
    </xf>
    <xf numFmtId="0" fontId="0" fillId="32" borderId="31" xfId="0" applyFill="1" applyBorder="1" applyAlignment="1">
      <alignment horizontal="center" wrapText="1"/>
    </xf>
    <xf numFmtId="0" fontId="0" fillId="33" borderId="29" xfId="0" applyFill="1" applyBorder="1" applyAlignment="1">
      <alignment horizontal="center" wrapText="1"/>
    </xf>
    <xf numFmtId="0" fontId="0" fillId="33" borderId="30" xfId="0" applyFill="1" applyBorder="1" applyAlignment="1">
      <alignment horizontal="center" wrapText="1"/>
    </xf>
    <xf numFmtId="0" fontId="0" fillId="33" borderId="31" xfId="0" applyFill="1" applyBorder="1" applyAlignment="1">
      <alignment horizontal="center" wrapText="1"/>
    </xf>
    <xf numFmtId="0" fontId="12" fillId="11" borderId="2" xfId="0" applyFont="1" applyFill="1" applyBorder="1" applyAlignment="1">
      <alignment horizontal="center" vertical="center" wrapText="1"/>
    </xf>
    <xf numFmtId="0" fontId="12" fillId="11" borderId="8" xfId="0" applyFont="1" applyFill="1" applyBorder="1" applyAlignment="1">
      <alignment horizontal="center" vertical="center" wrapText="1"/>
    </xf>
    <xf numFmtId="0" fontId="12" fillId="11" borderId="3" xfId="0" applyFont="1" applyFill="1" applyBorder="1" applyAlignment="1">
      <alignment horizontal="center" vertical="center" wrapText="1"/>
    </xf>
    <xf numFmtId="0" fontId="12" fillId="11" borderId="35" xfId="0" applyFont="1" applyFill="1" applyBorder="1" applyAlignment="1">
      <alignment horizontal="center" vertical="center" wrapText="1"/>
    </xf>
    <xf numFmtId="0" fontId="12" fillId="11" borderId="19" xfId="0" applyFont="1" applyFill="1" applyBorder="1" applyAlignment="1">
      <alignment horizontal="center" vertical="center" wrapText="1"/>
    </xf>
    <xf numFmtId="0" fontId="12" fillId="11" borderId="36" xfId="0" applyFont="1" applyFill="1" applyBorder="1" applyAlignment="1">
      <alignment horizontal="center" vertical="center" wrapText="1"/>
    </xf>
    <xf numFmtId="0" fontId="12" fillId="11" borderId="1" xfId="0" applyFont="1" applyFill="1" applyBorder="1" applyAlignment="1">
      <alignment horizontal="center" vertical="center" wrapText="1"/>
    </xf>
    <xf numFmtId="166" fontId="25" fillId="41" borderId="0" xfId="6" applyNumberFormat="1" applyFont="1" applyFill="1" applyBorder="1" applyAlignment="1">
      <alignment horizontal="left" wrapText="1"/>
    </xf>
  </cellXfs>
  <cellStyles count="20">
    <cellStyle name="Calculation" xfId="9" builtinId="22"/>
    <cellStyle name="Comma" xfId="7" builtinId="3"/>
    <cellStyle name="Comma 2" xfId="1"/>
    <cellStyle name="Comma 3" xfId="16"/>
    <cellStyle name="Comma 4" xfId="17"/>
    <cellStyle name="Comma 4 10" xfId="10"/>
    <cellStyle name="Hyperlink" xfId="6" builtinId="8"/>
    <cellStyle name="Normal" xfId="0" builtinId="0"/>
    <cellStyle name="Normal 2" xfId="2"/>
    <cellStyle name="Normal 2 2" xfId="3"/>
    <cellStyle name="Normal 4" xfId="4"/>
    <cellStyle name="Normal 5" xfId="11"/>
    <cellStyle name="Normal 6" xfId="13"/>
    <cellStyle name="Normal_6_Village Tracts" xfId="18"/>
    <cellStyle name="Normal_Sheet1" xfId="15"/>
    <cellStyle name="Normal_Sheet1_1" xfId="19"/>
    <cellStyle name="Normal_Sheet11" xfId="5"/>
    <cellStyle name="Normal_Sheet3" xfId="14"/>
    <cellStyle name="Normal_Sheet3_1" xfId="12"/>
    <cellStyle name="Percent" xfId="8" builtinId="5"/>
  </cellStyles>
  <dxfs count="896">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1"/>
        <color rgb="FFFF0000"/>
        <name val="Calibri"/>
        <scheme val="minor"/>
      </font>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1"/>
        <color rgb="FFFF0000"/>
        <name val="Calibri"/>
        <scheme val="minor"/>
      </font>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1"/>
        <color rgb="FFFF0000"/>
        <name val="Calibri"/>
        <scheme val="minor"/>
      </font>
    </dxf>
    <dxf>
      <numFmt numFmtId="0" formatCode="General"/>
      <border diagonalUp="0" diagonalDown="0">
        <left style="thin">
          <color indexed="64"/>
        </left>
        <right/>
        <top style="thin">
          <color indexed="64"/>
        </top>
        <bottom style="thin">
          <color indexed="64"/>
        </bottom>
        <vertical style="thin">
          <color indexed="64"/>
        </vertical>
        <horizontal style="thin">
          <color indexed="64"/>
        </horizontal>
      </border>
    </dxf>
    <dxf>
      <numFmt numFmtId="0" formatCode="Genera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border>
        <bottom style="thin">
          <color indexed="64"/>
        </bottom>
      </border>
    </dxf>
    <dxf>
      <alignment textRotation="0" wrapText="1" indent="0" justifyLastLine="0" shrinkToFit="0" readingOrder="0"/>
      <border diagonalUp="0" diagonalDown="0" outline="0">
        <left style="thin">
          <color indexed="64"/>
        </left>
        <right style="thin">
          <color indexed="64"/>
        </right>
        <top/>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165" formatCode="_-* #,##0_-;\-* #,##0_-;_-* &quot;-&quot;??_-;_-@_-"/>
    </dxf>
    <dxf>
      <alignment wrapText="1" readingOrder="0"/>
    </dxf>
    <dxf>
      <alignment wrapText="1" readingOrder="0"/>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165" formatCode="_-* #,##0_-;\-* #,##0_-;_-* &quot;-&quot;??_-;_-@_-"/>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165" formatCode="_-* #,##0_-;\-* #,##0_-;_-* &quot;-&quot;??_-;_-@_-"/>
    </dxf>
    <dxf>
      <numFmt numFmtId="173" formatCode="m/d/yyyy"/>
    </dxf>
    <dxf>
      <font>
        <strike val="0"/>
        <outline val="0"/>
        <shadow val="0"/>
        <u val="none"/>
        <vertAlign val="baseline"/>
        <sz val="10"/>
        <color auto="1"/>
        <name val="Calibri"/>
        <scheme val="minor"/>
      </font>
      <fill>
        <patternFill patternType="none">
          <fgColor indexed="64"/>
          <bgColor auto="1"/>
        </patternFill>
      </fill>
      <alignment vertical="center" indent="0" justifyLastLine="0" shrinkToFit="0" readingOrder="0"/>
      <border diagonalUp="0" diagonalDown="0" outline="0">
        <left style="thin">
          <color indexed="64"/>
        </left>
        <right/>
        <top style="thin">
          <color indexed="64"/>
        </top>
        <bottom style="thin">
          <color indexed="64"/>
        </bottom>
      </border>
    </dxf>
    <dxf>
      <font>
        <strike val="0"/>
        <outline val="0"/>
        <shadow val="0"/>
        <u val="none"/>
        <vertAlign val="baseline"/>
        <sz val="10"/>
        <color auto="1"/>
        <name val="Calibri"/>
        <scheme val="minor"/>
      </font>
      <fill>
        <patternFill patternType="none">
          <fgColor indexed="64"/>
          <bgColor auto="1"/>
        </patternFill>
      </fill>
      <alignment vertical="center"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Calibri"/>
        <scheme val="minor"/>
      </font>
      <numFmt numFmtId="1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scheme val="minor"/>
      </font>
      <numFmt numFmtId="0" formatCode="General"/>
      <fill>
        <patternFill patternType="none">
          <fgColor indexed="64"/>
          <bgColor indexed="65"/>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scheme val="minor"/>
      </font>
      <numFmt numFmtId="1" formatCode="0"/>
      <fill>
        <patternFill patternType="none">
          <fgColor indexed="64"/>
          <bgColor indexed="65"/>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Calibri"/>
        <scheme val="minor"/>
      </font>
      <numFmt numFmtId="0" formatCode="General"/>
      <fill>
        <patternFill patternType="none">
          <fgColor indexed="64"/>
          <bgColor auto="1"/>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scheme val="minor"/>
      </font>
      <numFmt numFmtId="0" formatCode="General"/>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0"/>
        <color auto="1"/>
        <name val="Calibri"/>
        <scheme val="minor"/>
      </font>
      <numFmt numFmtId="0" formatCode="General"/>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scheme val="minor"/>
      </font>
      <numFmt numFmtId="0" formatCode="General"/>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scheme val="minor"/>
      </font>
      <numFmt numFmtId="0" formatCode="General"/>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0"/>
        <color auto="1"/>
        <name val="Calibri"/>
        <scheme val="minor"/>
      </font>
      <numFmt numFmtId="0" formatCode="General"/>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0"/>
        <color auto="1"/>
        <name val="Calibri"/>
        <scheme val="minor"/>
      </font>
      <numFmt numFmtId="30" formatCode="@"/>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0"/>
        <color auto="1"/>
        <name val="Calibri"/>
        <scheme val="minor"/>
      </font>
      <numFmt numFmtId="0" formatCode="General"/>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scheme val="minor"/>
      </font>
      <numFmt numFmtId="0" formatCode="General"/>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scheme val="minor"/>
      </font>
      <numFmt numFmtId="0" formatCode="General"/>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scheme val="minor"/>
      </font>
      <numFmt numFmtId="0" formatCode="General"/>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Calibri"/>
        <scheme val="minor"/>
      </font>
      <numFmt numFmtId="0" formatCode="General"/>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Calibri"/>
        <scheme val="minor"/>
      </font>
      <numFmt numFmtId="0" formatCode="General"/>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Calibri"/>
        <scheme val="minor"/>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Calibri"/>
        <scheme val="minor"/>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Calibri"/>
        <scheme val="minor"/>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Calibri"/>
        <scheme val="minor"/>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Calibri"/>
        <scheme val="minor"/>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Calibri"/>
        <scheme val="minor"/>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Calibri"/>
        <scheme val="minor"/>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Calibri"/>
        <scheme val="minor"/>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Calibri"/>
        <scheme val="minor"/>
      </font>
      <fill>
        <patternFill patternType="none">
          <fgColor indexed="64"/>
          <bgColor indexed="65"/>
        </patternFill>
      </fill>
      <alignment vertical="center"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Calibri"/>
        <scheme val="minor"/>
      </font>
      <fill>
        <patternFill patternType="none">
          <fgColor indexed="64"/>
          <bgColor indexed="65"/>
        </patternFill>
      </fill>
      <alignment vertical="center"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scheme val="minor"/>
      </font>
      <fill>
        <patternFill patternType="none">
          <fgColor indexed="64"/>
          <bgColor indexed="65"/>
        </patternFill>
      </fill>
      <alignment vertical="center"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scheme val="minor"/>
      </font>
      <fill>
        <patternFill patternType="none">
          <fgColor indexed="64"/>
          <bgColor indexed="65"/>
        </patternFill>
      </fill>
      <alignment vertical="center"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scheme val="minor"/>
      </font>
      <fill>
        <patternFill patternType="none">
          <fgColor indexed="64"/>
          <bgColor indexed="65"/>
        </patternFill>
      </fill>
      <alignment vertical="center"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Calibri"/>
        <scheme val="minor"/>
      </font>
      <numFmt numFmtId="169" formatCode="dd\-mmm\-yyyy"/>
      <fill>
        <patternFill patternType="none">
          <fgColor indexed="64"/>
          <bgColor indexed="65"/>
        </patternFill>
      </fill>
      <alignment vertical="center"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Calibri"/>
        <scheme val="minor"/>
      </font>
      <numFmt numFmtId="1" formatCode="0"/>
      <fill>
        <patternFill patternType="none">
          <fgColor indexed="64"/>
          <bgColor indexed="65"/>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auto="1"/>
        <name val="Calibri"/>
        <scheme val="minor"/>
      </font>
      <fill>
        <patternFill patternType="none">
          <fgColor indexed="64"/>
          <bgColor auto="1"/>
        </patternFill>
      </fill>
      <alignment vertical="center" indent="0" justifyLastLine="0" shrinkToFit="0" readingOrder="0"/>
    </dxf>
    <dxf>
      <border>
        <bottom style="thin">
          <color indexed="64"/>
        </bottom>
      </border>
    </dxf>
    <dxf>
      <fill>
        <patternFill patternType="solid">
          <fgColor indexed="64"/>
          <bgColor theme="3" tint="0.79998168889431442"/>
        </patternFill>
      </fill>
      <alignment horizontal="center" vertical="center" textRotation="0" wrapText="1" indent="0" justifyLastLine="0" shrinkToFit="0" readingOrder="0"/>
      <border diagonalUp="0" diagonalDown="0" outline="0">
        <left style="thin">
          <color indexed="64"/>
        </left>
        <right style="thin">
          <color indexed="64"/>
        </right>
        <top/>
        <bottom/>
      </border>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numFmt numFmtId="165" formatCode="_-* #,##0_-;\-* #,##0_-;_-* &quot;-&quot;??_-;_-@_-"/>
      <border diagonalUp="0" diagonalDown="0">
        <left style="thin">
          <color indexed="64"/>
        </left>
        <right/>
        <top style="thin">
          <color indexed="64"/>
        </top>
        <bottom style="thin">
          <color indexed="64"/>
        </bottom>
        <vertical style="thin">
          <color indexed="64"/>
        </vertical>
        <horizontal style="thin">
          <color indexed="64"/>
        </horizontal>
      </border>
    </dxf>
    <dxf>
      <numFmt numFmtId="165" formatCode="_-* #,##0_-;\-* #,##0_-;_-* &quot;-&quot;??_-;_-@_-"/>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165" formatCode="_-* #,##0_-;\-* #,##0_-;_-* &quot;-&quot;??_-;_-@_-"/>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border>
        <bottom style="thin">
          <color indexed="64"/>
        </bottom>
      </border>
    </dxf>
    <dxf>
      <border diagonalUp="0" diagonalDown="0">
        <left style="thin">
          <color indexed="64"/>
        </left>
        <right style="thin">
          <color indexed="64"/>
        </right>
        <top/>
        <bottom/>
        <vertical style="thin">
          <color indexed="64"/>
        </vertical>
        <horizontal style="thin">
          <color indexed="64"/>
        </horizontal>
      </border>
    </dxf>
    <dxf>
      <border>
        <left style="medium">
          <color indexed="64"/>
        </left>
        <right style="medium">
          <color indexed="64"/>
        </right>
        <top style="medium">
          <color indexed="64"/>
        </top>
        <bottom style="medium">
          <color indexed="64"/>
        </bottom>
      </border>
    </dxf>
    <dxf>
      <alignment horizontal="left" readingOrder="0"/>
    </dxf>
    <dxf>
      <alignment horizontal="right" readingOrder="0"/>
    </dxf>
    <dxf>
      <alignment vertical="top" readingOrder="0"/>
    </dxf>
    <dxf>
      <alignment vertical="top" readingOrder="0"/>
    </dxf>
    <dxf>
      <alignment wrapText="1" readingOrder="0"/>
    </dxf>
    <dxf>
      <alignment wrapText="1" readingOrder="0"/>
    </dxf>
    <dxf>
      <numFmt numFmtId="3" formatCode="#,##0"/>
    </dxf>
    <dxf>
      <numFmt numFmtId="165" formatCode="_-* #,##0_-;\-* #,##0_-;_-* &quot;-&quot;??_-;_-@_-"/>
    </dxf>
    <dxf>
      <numFmt numFmtId="165" formatCode="_-* #,##0_-;\-* #,##0_-;_-* &quot;-&quot;??_-;_-@_-"/>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right style="thin">
          <color indexed="64"/>
        </right>
      </border>
    </dxf>
    <dxf>
      <border>
        <right style="thin">
          <color indexed="64"/>
        </right>
      </border>
    </dxf>
    <dxf>
      <border>
        <left style="thin">
          <color indexed="64"/>
        </left>
        <right style="thin">
          <color indexed="64"/>
        </right>
        <top style="thin">
          <color indexed="64"/>
        </top>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13" formatCode="0%"/>
    </dxf>
    <dxf>
      <numFmt numFmtId="13" formatCode="0%"/>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border>
        <left style="thin">
          <color indexed="64"/>
        </left>
      </border>
    </dxf>
    <dxf>
      <border>
        <left style="thin">
          <color indexed="64"/>
        </lef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left style="thin">
          <color indexed="64"/>
        </left>
        <right style="thin">
          <color indexed="64"/>
        </right>
        <top style="thin">
          <color indexed="64"/>
        </top>
        <bottom style="thin">
          <color indexed="64"/>
        </bottom>
      </border>
    </dxf>
    <dxf>
      <fill>
        <patternFill patternType="solid">
          <bgColor rgb="FFFFC800"/>
        </patternFill>
      </fill>
    </dxf>
    <dxf>
      <fill>
        <patternFill patternType="solid">
          <bgColor rgb="FFFFC800"/>
        </patternFill>
      </fill>
    </dxf>
    <dxf>
      <numFmt numFmtId="165" formatCode="_-* #,##0_-;\-* #,##0_-;_-* &quot;-&quot;??_-;_-@_-"/>
    </dxf>
    <dxf>
      <numFmt numFmtId="170" formatCode="0.0%"/>
    </dxf>
    <dxf>
      <numFmt numFmtId="170" formatCode="0.0%"/>
    </dxf>
    <dxf>
      <numFmt numFmtId="165" formatCode="_-* #,##0_-;\-* #,##0_-;_-* &quot;-&quot;??_-;_-@_-"/>
    </dxf>
    <dxf>
      <numFmt numFmtId="13" formatCode="0%"/>
    </dxf>
    <dxf>
      <numFmt numFmtId="13" formatCode="0%"/>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bgColor rgb="FFDCE6F1"/>
        </patternFill>
      </fill>
    </dxf>
    <dxf>
      <fill>
        <patternFill>
          <bgColor rgb="FFDCE6F1"/>
        </patternFill>
      </fill>
    </dxf>
    <dxf>
      <fill>
        <patternFill>
          <bgColor rgb="FFDCE6F1"/>
        </patternFill>
      </fill>
    </dxf>
    <dxf>
      <fill>
        <patternFill>
          <bgColor rgb="FFDCE6F1"/>
        </patternFill>
      </fill>
    </dxf>
    <dxf>
      <fill>
        <patternFill>
          <bgColor rgb="FFDCE6F1"/>
        </patternFill>
      </fill>
    </dxf>
    <dxf>
      <fill>
        <patternFill>
          <bgColor rgb="FFDCE6F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numFmt numFmtId="13" formatCode="0%"/>
    </dxf>
    <dxf>
      <numFmt numFmtId="13" formatCode="0%"/>
    </dxf>
    <dxf>
      <alignment horizontal="left" readingOrder="0"/>
    </dxf>
    <dxf>
      <alignment vertical="top" readingOrder="0"/>
    </dxf>
    <dxf>
      <border>
        <bottom style="thin">
          <color indexed="64"/>
        </bottom>
        <vertical style="thin">
          <color indexed="64"/>
        </vertical>
        <horizontal style="thin">
          <color indexed="64"/>
        </horizontal>
      </border>
    </dxf>
    <dxf>
      <border>
        <bottom style="thin">
          <color indexed="64"/>
        </bottom>
        <vertical style="thin">
          <color indexed="64"/>
        </vertical>
        <horizontal style="thin">
          <color indexed="64"/>
        </horizontal>
      </border>
    </dxf>
    <dxf>
      <border>
        <bottom style="thin">
          <color indexed="64"/>
        </bottom>
      </border>
    </dxf>
    <dxf>
      <border>
        <bottom style="thin">
          <color indexed="64"/>
        </bottom>
      </border>
    </dxf>
    <dxf>
      <border>
        <left style="thin">
          <color indexed="64"/>
        </left>
        <right style="thin">
          <color indexed="64"/>
        </right>
        <top style="thin">
          <color indexed="64"/>
        </top>
        <bottom style="thin">
          <color indexed="64"/>
        </bottom>
      </border>
    </dxf>
    <dxf>
      <numFmt numFmtId="165" formatCode="_-* #,##0_-;\-* #,##0_-;_-* &quot;-&quot;??_-;_-@_-"/>
    </dxf>
    <dxf>
      <alignment horizontal="left" readingOrder="0"/>
    </dxf>
    <dxf>
      <alignment vertical="top" readingOrder="0"/>
    </dxf>
    <dxf>
      <border>
        <vertical style="thin">
          <color indexed="64"/>
        </vertical>
        <horizontal style="thin">
          <color indexed="64"/>
        </horizontal>
      </border>
    </dxf>
    <dxf>
      <border>
        <vertical style="thin">
          <color indexed="64"/>
        </vertical>
        <horizontal style="thin">
          <color indexed="64"/>
        </horizontal>
      </border>
    </dxf>
    <dxf>
      <border>
        <bottom style="thin">
          <color indexed="64"/>
        </bottom>
        <vertical style="thin">
          <color indexed="64"/>
        </vertical>
        <horizontal style="thin">
          <color indexed="64"/>
        </horizontal>
      </border>
    </dxf>
    <dxf>
      <border>
        <bottom style="thin">
          <color indexed="64"/>
        </bottom>
        <vertical style="thin">
          <color indexed="64"/>
        </vertical>
        <horizontal style="thin">
          <color indexed="64"/>
        </horizontal>
      </border>
    </dxf>
    <dxf>
      <border>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rgb="FFDCE6F1"/>
        </patternFill>
      </fill>
    </dxf>
    <dxf>
      <fill>
        <patternFill>
          <bgColor rgb="FFDCE6F1"/>
        </patternFill>
      </fill>
    </dxf>
    <dxf>
      <numFmt numFmtId="165" formatCode="_-* #,##0_-;\-* #,##0_-;_-* &quot;-&quot;??_-;_-@_-"/>
    </dxf>
    <dxf>
      <alignment horizontal="left" readingOrder="0"/>
    </dxf>
    <dxf>
      <alignment vertical="top" readingOrder="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1"/>
        <name val="Calibri"/>
        <scheme val="minor"/>
      </font>
      <numFmt numFmtId="0" formatCode="General"/>
      <fill>
        <patternFill patternType="none">
          <fgColor indexed="64"/>
          <bgColor auto="1"/>
        </patternFill>
      </fill>
      <border diagonalUp="0" diagonalDown="0">
        <left style="thin">
          <color indexed="64"/>
        </left>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Calibri"/>
        <scheme val="minor"/>
      </font>
      <numFmt numFmtId="13" formatCode="0%"/>
      <fill>
        <patternFill patternType="none">
          <fgColor indexed="64"/>
          <bgColor indexed="65"/>
        </patternFill>
      </fill>
      <border diagonalUp="0" diagonalDown="0">
        <left style="thin">
          <color indexed="64"/>
        </left>
        <right/>
        <top style="thin">
          <color indexed="64"/>
        </top>
        <bottom/>
        <vertical/>
        <horizontal/>
      </border>
    </dxf>
    <dxf>
      <font>
        <strike val="0"/>
        <outline val="0"/>
        <shadow val="0"/>
        <u val="none"/>
        <vertAlign val="baseline"/>
        <sz val="11"/>
        <name val="Calibri"/>
        <scheme val="minor"/>
      </font>
      <numFmt numFmtId="13" formatCode="0%"/>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1"/>
        <name val="Calibri"/>
        <scheme val="minor"/>
      </font>
      <numFmt numFmtId="0" formatCode="General"/>
      <fill>
        <patternFill patternType="none">
          <fgColor indexed="64"/>
          <bgColor indexed="65"/>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1"/>
        <name val="Calibri"/>
        <scheme val="minor"/>
      </font>
      <numFmt numFmtId="0" formatCode="General"/>
      <fill>
        <patternFill patternType="none">
          <fgColor indexed="64"/>
          <bgColor indexed="65"/>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1"/>
        <name val="Calibri"/>
        <scheme val="minor"/>
      </font>
      <numFmt numFmtId="0" formatCode="General"/>
      <fill>
        <patternFill patternType="none">
          <fgColor indexed="64"/>
          <bgColor indexed="65"/>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1"/>
        <name val="Calibri"/>
        <scheme val="minor"/>
      </font>
      <numFmt numFmtId="0" formatCode="General"/>
      <fill>
        <patternFill patternType="none">
          <fgColor indexed="64"/>
          <bgColor indexed="65"/>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1"/>
        <name val="Calibri"/>
        <scheme val="minor"/>
      </font>
      <numFmt numFmtId="0" formatCode="General"/>
      <fill>
        <patternFill patternType="none">
          <fgColor indexed="64"/>
          <bgColor indexed="65"/>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1"/>
        <name val="Calibri"/>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1"/>
        <name val="Calibri"/>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1"/>
        <name val="Calibri"/>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1"/>
        <name val="Calibri"/>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1"/>
        <name val="Calibri"/>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1"/>
        <name val="Calibri"/>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1"/>
        <name val="Calibri"/>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1"/>
        <name val="Calibri"/>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1"/>
        <color auto="1"/>
        <name val="Calibri"/>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1"/>
        <color auto="1"/>
        <name val="Calibri"/>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1"/>
        <color auto="1"/>
        <name val="Calibri"/>
        <scheme val="minor"/>
      </font>
      <fill>
        <patternFill patternType="none">
          <fgColor indexed="64"/>
          <bgColor indexed="65"/>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1"/>
        <color auto="1"/>
        <name val="Calibri"/>
        <scheme val="minor"/>
      </font>
      <fill>
        <patternFill patternType="none">
          <fgColor indexed="64"/>
          <bgColor indexed="65"/>
        </patternFill>
      </fill>
      <alignment horizontal="general"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1"/>
        <color auto="1"/>
        <name val="Calibri"/>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1"/>
        <color auto="1"/>
        <name val="Calibri"/>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1"/>
        <name val="Calibri"/>
        <scheme val="minor"/>
      </font>
      <numFmt numFmtId="20" formatCode="dd\-mmm\-yy"/>
      <fill>
        <patternFill patternType="none">
          <fgColor indexed="64"/>
          <bgColor indexed="65"/>
        </patternFill>
      </fill>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Calibri"/>
        <scheme val="minor"/>
      </font>
    </dxf>
    <dxf>
      <border>
        <bottom style="thin">
          <color indexed="64"/>
        </bottom>
      </border>
    </dxf>
    <dxf>
      <font>
        <strike val="0"/>
        <outline val="0"/>
        <shadow val="0"/>
        <u val="none"/>
        <vertAlign val="baseline"/>
        <sz val="11"/>
        <color auto="1"/>
        <name val="Calibri"/>
        <scheme val="minor"/>
      </font>
      <fill>
        <patternFill patternType="solid">
          <fgColor indexed="64"/>
          <bgColor theme="9" tint="0.39997558519241921"/>
        </patternFill>
      </fill>
      <alignment horizontal="general" vertical="bottom" textRotation="0" wrapText="1" indent="0" justifyLastLine="0" shrinkToFit="0" readingOrder="0"/>
      <border diagonalUp="0" diagonalDown="0" outline="0">
        <left style="thin">
          <color indexed="64"/>
        </left>
        <right style="thin">
          <color indexed="64"/>
        </right>
        <top/>
        <bottom/>
      </border>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b val="0"/>
        <i val="0"/>
        <strike val="0"/>
        <condense val="0"/>
        <extend val="0"/>
        <outline val="0"/>
        <shadow val="0"/>
        <u val="none"/>
        <vertAlign val="baseline"/>
        <sz val="16"/>
        <color theme="1"/>
        <name val="Calibri"/>
        <scheme val="minor"/>
      </font>
      <numFmt numFmtId="165" formatCode="_-* #,##0_-;\-* #,##0_-;_-* &quot;-&quot;??_-;_-@_-"/>
      <fill>
        <patternFill patternType="none">
          <fgColor indexed="64"/>
          <bgColor indexed="65"/>
        </patternFill>
      </fill>
      <border diagonalUp="0" diagonalDown="0" outline="0">
        <left style="thin">
          <color indexed="64"/>
        </left>
        <right/>
        <top style="thin">
          <color rgb="FF000000"/>
        </top>
        <bottom/>
      </border>
    </dxf>
    <dxf>
      <font>
        <b val="0"/>
        <i val="0"/>
        <strike val="0"/>
        <condense val="0"/>
        <extend val="0"/>
        <outline val="0"/>
        <shadow val="0"/>
        <u val="none"/>
        <vertAlign val="baseline"/>
        <sz val="16"/>
        <color rgb="FF000000"/>
        <name val="Calibri"/>
        <scheme val="none"/>
      </font>
      <numFmt numFmtId="165" formatCode="_-* #,##0_-;\-* #,##0_-;_-* &quot;-&quot;??_-;_-@_-"/>
      <fill>
        <patternFill patternType="none">
          <fgColor rgb="FF000000"/>
          <bgColor rgb="FFFFFFFF"/>
        </patternFill>
      </fill>
    </dxf>
    <dxf>
      <font>
        <b/>
        <i val="0"/>
        <strike val="0"/>
        <condense val="0"/>
        <extend val="0"/>
        <outline val="0"/>
        <shadow val="0"/>
        <u val="none"/>
        <vertAlign val="baseline"/>
        <sz val="16"/>
        <color theme="1"/>
        <name val="Calibri"/>
        <scheme val="minor"/>
      </font>
      <numFmt numFmtId="1" formatCode="0"/>
      <fill>
        <patternFill patternType="none">
          <fgColor indexed="64"/>
          <bgColor indexed="65"/>
        </patternFill>
      </fill>
      <border diagonalUp="0" diagonalDown="0" outline="0">
        <left style="thin">
          <color indexed="64"/>
        </left>
        <right/>
        <top style="thin">
          <color indexed="64"/>
        </top>
        <bottom/>
      </border>
    </dxf>
    <dxf>
      <font>
        <b/>
        <strike val="0"/>
        <outline val="0"/>
        <shadow val="0"/>
        <u val="none"/>
        <vertAlign val="baseline"/>
        <sz val="16"/>
        <name val="Calibri"/>
      </font>
      <numFmt numFmtId="1" formatCode="0"/>
      <fill>
        <patternFill patternType="none">
          <fgColor indexed="64"/>
          <bgColor indexed="65"/>
        </patternFill>
      </fill>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16"/>
        <color theme="1"/>
        <name val="Calibri"/>
        <scheme val="minor"/>
      </font>
      <numFmt numFmtId="0" formatCode="General"/>
      <fill>
        <patternFill patternType="none">
          <fgColor indexed="64"/>
          <bgColor indexed="65"/>
        </patternFill>
      </fill>
      <border diagonalUp="0" diagonalDown="0" outline="0">
        <left/>
        <right style="thin">
          <color indexed="64"/>
        </right>
        <top style="thin">
          <color indexed="64"/>
        </top>
        <bottom/>
      </border>
    </dxf>
    <dxf>
      <font>
        <b/>
        <strike val="0"/>
        <outline val="0"/>
        <shadow val="0"/>
        <u val="none"/>
        <vertAlign val="baseline"/>
        <sz val="16"/>
        <name val="Calibri"/>
      </font>
      <numFmt numFmtId="0" formatCode="General"/>
      <fill>
        <patternFill patternType="none">
          <fgColor indexed="64"/>
          <bgColor indexed="65"/>
        </patternFill>
      </fill>
      <border diagonalUp="0" diagonalDown="0" outline="0">
        <left style="medium">
          <color indexed="64"/>
        </left>
        <right style="thin">
          <color indexed="64"/>
        </right>
        <top style="thin">
          <color indexed="64"/>
        </top>
        <bottom style="thin">
          <color indexed="64"/>
        </bottom>
      </border>
    </dxf>
    <dxf>
      <font>
        <b val="0"/>
        <i val="0"/>
        <strike val="0"/>
        <condense val="0"/>
        <extend val="0"/>
        <outline val="0"/>
        <shadow val="0"/>
        <u val="none"/>
        <vertAlign val="baseline"/>
        <sz val="16"/>
        <color theme="1"/>
        <name val="Calibri"/>
        <scheme val="minor"/>
      </font>
      <numFmt numFmtId="13" formatCode="0%"/>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6"/>
        <color theme="1"/>
        <name val="Calibri"/>
        <scheme val="minor"/>
      </font>
      <fill>
        <patternFill patternType="none">
          <fgColor indexed="64"/>
          <bgColor indexed="65"/>
        </patternFill>
      </fill>
    </dxf>
    <dxf>
      <font>
        <b val="0"/>
        <i val="0"/>
        <strike val="0"/>
        <condense val="0"/>
        <extend val="0"/>
        <outline val="0"/>
        <shadow val="0"/>
        <u val="none"/>
        <vertAlign val="baseline"/>
        <sz val="16"/>
        <color theme="1"/>
        <name val="Calibri"/>
        <scheme val="minor"/>
      </font>
      <numFmt numFmtId="13" formatCode="0%"/>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6"/>
        <color theme="1"/>
        <name val="Calibri"/>
        <scheme val="minor"/>
      </font>
      <fill>
        <patternFill patternType="none">
          <fgColor indexed="64"/>
          <bgColor indexed="65"/>
        </patternFill>
      </fill>
    </dxf>
    <dxf>
      <font>
        <b val="0"/>
        <i val="0"/>
        <strike val="0"/>
        <condense val="0"/>
        <extend val="0"/>
        <outline val="0"/>
        <shadow val="0"/>
        <u val="none"/>
        <vertAlign val="baseline"/>
        <sz val="16"/>
        <color theme="1"/>
        <name val="Calibri"/>
        <scheme val="minor"/>
      </font>
      <numFmt numFmtId="13" formatCode="0%"/>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6"/>
        <color theme="1"/>
        <name val="Calibri"/>
        <scheme val="minor"/>
      </font>
      <fill>
        <patternFill patternType="none">
          <fgColor indexed="64"/>
          <bgColor indexed="65"/>
        </patternFill>
      </fill>
    </dxf>
    <dxf>
      <font>
        <b val="0"/>
        <i val="0"/>
        <strike val="0"/>
        <condense val="0"/>
        <extend val="0"/>
        <outline val="0"/>
        <shadow val="0"/>
        <u val="none"/>
        <vertAlign val="baseline"/>
        <sz val="16"/>
        <color theme="1"/>
        <name val="Calibri"/>
        <scheme val="minor"/>
      </font>
      <numFmt numFmtId="13" formatCode="0%"/>
      <fill>
        <patternFill patternType="solid">
          <fgColor indexed="64"/>
          <bgColor theme="3" tint="0.79998168889431442"/>
        </patternFill>
      </fill>
      <border diagonalUp="0" diagonalDown="0" outline="0">
        <left/>
        <right/>
        <top/>
        <bottom/>
      </border>
    </dxf>
    <dxf>
      <font>
        <b val="0"/>
        <i val="0"/>
        <strike val="0"/>
        <condense val="0"/>
        <extend val="0"/>
        <outline val="0"/>
        <shadow val="0"/>
        <u val="none"/>
        <vertAlign val="baseline"/>
        <sz val="16"/>
        <color theme="1"/>
        <name val="Calibri"/>
        <scheme val="minor"/>
      </font>
      <fill>
        <patternFill patternType="solid">
          <fgColor indexed="64"/>
          <bgColor theme="3" tint="0.79998168889431442"/>
        </patternFill>
      </fill>
    </dxf>
    <dxf>
      <font>
        <b val="0"/>
        <i val="0"/>
        <strike val="0"/>
        <condense val="0"/>
        <extend val="0"/>
        <outline val="0"/>
        <shadow val="0"/>
        <u val="none"/>
        <vertAlign val="baseline"/>
        <sz val="16"/>
        <color theme="1"/>
        <name val="Calibri"/>
        <scheme val="minor"/>
      </font>
      <numFmt numFmtId="0" formatCode="General"/>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6"/>
        <color theme="1"/>
        <name val="Calibri"/>
        <scheme val="minor"/>
      </font>
      <numFmt numFmtId="0" formatCode="General"/>
      <fill>
        <patternFill patternType="none">
          <fgColor indexed="64"/>
          <bgColor indexed="65"/>
        </patternFill>
      </fill>
    </dxf>
    <dxf>
      <font>
        <b val="0"/>
        <i val="0"/>
        <strike val="0"/>
        <condense val="0"/>
        <extend val="0"/>
        <outline val="0"/>
        <shadow val="0"/>
        <u val="none"/>
        <vertAlign val="baseline"/>
        <sz val="16"/>
        <color theme="1"/>
        <name val="Calibri"/>
        <scheme val="minor"/>
      </font>
      <numFmt numFmtId="165" formatCode="_-* #,##0_-;\-* #,##0_-;_-* &quot;-&quot;??_-;_-@_-"/>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6"/>
        <color theme="1"/>
        <name val="Calibri"/>
        <scheme val="minor"/>
      </font>
      <numFmt numFmtId="165" formatCode="_-* #,##0_-;\-* #,##0_-;_-* &quot;-&quot;??_-;_-@_-"/>
      <fill>
        <patternFill patternType="none">
          <fgColor indexed="64"/>
          <bgColor indexed="65"/>
        </patternFill>
      </fill>
    </dxf>
    <dxf>
      <font>
        <b val="0"/>
        <i val="0"/>
        <strike val="0"/>
        <condense val="0"/>
        <extend val="0"/>
        <outline val="0"/>
        <shadow val="0"/>
        <u val="none"/>
        <vertAlign val="baseline"/>
        <sz val="16"/>
        <color theme="1"/>
        <name val="Calibri"/>
        <scheme val="minor"/>
      </font>
      <numFmt numFmtId="165" formatCode="_-* #,##0_-;\-* #,##0_-;_-* &quot;-&quot;??_-;_-@_-"/>
      <fill>
        <patternFill patternType="none">
          <fgColor indexed="64"/>
          <bgColor indexed="65"/>
        </patternFill>
      </fill>
      <border diagonalUp="0" diagonalDown="0" outline="0">
        <left/>
        <right/>
        <top/>
        <bottom/>
      </border>
    </dxf>
    <dxf>
      <font>
        <strike val="0"/>
        <outline val="0"/>
        <shadow val="0"/>
        <u val="none"/>
        <vertAlign val="baseline"/>
        <sz val="16"/>
        <color theme="1"/>
        <name val="Calibri"/>
        <scheme val="minor"/>
      </font>
      <fill>
        <patternFill patternType="none">
          <fgColor indexed="64"/>
          <bgColor indexed="65"/>
        </patternFill>
      </fill>
    </dxf>
    <dxf>
      <font>
        <b val="0"/>
        <i val="0"/>
        <strike val="0"/>
        <condense val="0"/>
        <extend val="0"/>
        <outline val="0"/>
        <shadow val="0"/>
        <u val="none"/>
        <vertAlign val="baseline"/>
        <sz val="16"/>
        <color theme="1"/>
        <name val="Calibri"/>
        <scheme val="minor"/>
      </font>
      <numFmt numFmtId="2" formatCode="0.00"/>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6"/>
        <color theme="1"/>
        <name val="Calibri"/>
        <scheme val="minor"/>
      </font>
      <numFmt numFmtId="2" formatCode="0.00"/>
      <fill>
        <patternFill patternType="none">
          <fgColor indexed="64"/>
          <bgColor indexed="65"/>
        </patternFill>
      </fill>
    </dxf>
    <dxf>
      <font>
        <b val="0"/>
        <i val="0"/>
        <strike val="0"/>
        <condense val="0"/>
        <extend val="0"/>
        <outline val="0"/>
        <shadow val="0"/>
        <u val="none"/>
        <vertAlign val="baseline"/>
        <sz val="16"/>
        <color theme="1"/>
        <name val="Calibri"/>
        <scheme val="minor"/>
      </font>
      <numFmt numFmtId="2" formatCode="0.00"/>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6"/>
        <color theme="1"/>
        <name val="Calibri"/>
        <scheme val="minor"/>
      </font>
      <numFmt numFmtId="2" formatCode="0.00"/>
      <fill>
        <patternFill patternType="solid">
          <fgColor theme="5" tint="0.79998168889431442"/>
          <bgColor theme="5" tint="0.79998168889431442"/>
        </patternFill>
      </fill>
    </dxf>
    <dxf>
      <font>
        <b val="0"/>
        <i val="0"/>
        <strike val="0"/>
        <condense val="0"/>
        <extend val="0"/>
        <outline val="0"/>
        <shadow val="0"/>
        <u val="none"/>
        <vertAlign val="baseline"/>
        <sz val="16"/>
        <color theme="1"/>
        <name val="Calibri"/>
        <scheme val="minor"/>
      </font>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6"/>
        <color theme="1"/>
        <name val="Calibri"/>
        <scheme val="minor"/>
      </font>
      <fill>
        <patternFill patternType="none">
          <fgColor indexed="64"/>
          <bgColor indexed="65"/>
        </patternFill>
      </fill>
    </dxf>
    <dxf>
      <font>
        <b val="0"/>
        <i val="0"/>
        <strike val="0"/>
        <condense val="0"/>
        <extend val="0"/>
        <outline val="0"/>
        <shadow val="0"/>
        <u val="none"/>
        <vertAlign val="baseline"/>
        <sz val="16"/>
        <color theme="1"/>
        <name val="Calibri"/>
        <scheme val="minor"/>
      </font>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6"/>
        <color theme="1"/>
        <name val="Calibri"/>
        <scheme val="minor"/>
      </font>
      <fill>
        <patternFill patternType="solid">
          <fgColor theme="5" tint="0.79998168889431442"/>
          <bgColor theme="5" tint="0.79998168889431442"/>
        </patternFill>
      </fill>
    </dxf>
    <dxf>
      <border outline="0">
        <top style="thin">
          <color rgb="FF000000"/>
        </top>
      </border>
    </dxf>
    <dxf>
      <font>
        <strike val="0"/>
        <outline val="0"/>
        <shadow val="0"/>
        <u val="none"/>
        <vertAlign val="baseline"/>
        <sz val="16"/>
        <name val="Calibri"/>
      </font>
    </dxf>
    <dxf>
      <border diagonalUp="0" diagonalDown="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6"/>
        <color rgb="FF000000"/>
        <name val="Calibri"/>
        <scheme val="none"/>
      </font>
      <fill>
        <patternFill patternType="none">
          <fgColor rgb="FF000000"/>
          <bgColor rgb="FFFFFFFF"/>
        </patternFill>
      </fill>
    </dxf>
    <dxf>
      <border outline="0">
        <bottom style="thin">
          <color rgb="FF000000"/>
        </bottom>
      </border>
    </dxf>
    <dxf>
      <font>
        <b/>
        <i val="0"/>
        <strike val="0"/>
        <condense val="0"/>
        <extend val="0"/>
        <outline val="0"/>
        <shadow val="0"/>
        <u val="none"/>
        <vertAlign val="baseline"/>
        <sz val="16"/>
        <color theme="1"/>
        <name val="Calibri"/>
        <scheme val="minor"/>
      </font>
      <fill>
        <patternFill patternType="none">
          <fgColor indexed="64"/>
          <bgColor indexed="65"/>
        </patternFill>
      </fill>
    </dxf>
    <dxf>
      <fill>
        <patternFill>
          <bgColor rgb="FFFF0000"/>
        </patternFill>
      </fill>
    </dxf>
    <dxf>
      <fill>
        <patternFill>
          <bgColor rgb="FFFFC800"/>
        </patternFill>
      </fill>
    </dxf>
    <dxf>
      <fill>
        <patternFill>
          <bgColor rgb="FF0000FF"/>
        </patternFill>
      </fill>
    </dxf>
    <dxf>
      <fill>
        <patternFill>
          <bgColor rgb="FF00FF00"/>
        </patternFill>
      </fill>
    </dxf>
    <dxf>
      <fill>
        <patternFill>
          <bgColor rgb="FFFFFF00"/>
        </patternFill>
      </fill>
    </dxf>
    <dxf>
      <border>
        <left style="thin">
          <color indexed="64"/>
        </left>
        <right style="thin">
          <color indexed="64"/>
        </right>
        <top style="thin">
          <color indexed="64"/>
        </top>
        <bottom style="thin">
          <color indexed="64"/>
        </bottom>
      </border>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fill>
        <patternFill patternType="none">
          <bgColor auto="1"/>
        </patternFill>
      </fill>
    </dxf>
    <dxf>
      <fill>
        <patternFill patternType="none">
          <bgColor auto="1"/>
        </patternFill>
      </fill>
    </dxf>
    <dxf>
      <fill>
        <patternFill patternType="none">
          <bgColor auto="1"/>
        </patternFill>
      </fill>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vertical="center" readingOrder="0"/>
    </dxf>
    <dxf>
      <alignment vertical="center" readingOrder="0"/>
    </dxf>
    <dxf>
      <font>
        <color theme="0"/>
      </font>
    </dxf>
    <dxf>
      <font>
        <color theme="0"/>
      </font>
    </dxf>
    <dxf>
      <fill>
        <patternFill patternType="solid">
          <bgColor theme="1"/>
        </patternFill>
      </fill>
    </dxf>
    <dxf>
      <fill>
        <patternFill patternType="solid">
          <bgColor theme="1"/>
        </patternFill>
      </fill>
    </dxf>
    <dxf>
      <numFmt numFmtId="165" formatCode="_-* #,##0_-;\-* #,##0_-;_-* &quot;-&quot;??_-;_-@_-"/>
    </dxf>
    <dxf>
      <numFmt numFmtId="165" formatCode="_-* #,##0_-;\-* #,##0_-;_-* &quot;-&quot;??_-;_-@_-"/>
    </dxf>
    <dxf>
      <fill>
        <patternFill>
          <bgColor rgb="FFFFFFFF"/>
        </patternFill>
      </fill>
    </dxf>
    <dxf>
      <fill>
        <patternFill>
          <bgColor rgb="FFFFFFFF"/>
        </patternFill>
      </fill>
    </dxf>
    <dxf>
      <border>
        <left style="thin">
          <color indexed="64"/>
        </left>
        <right style="thin">
          <color indexed="64"/>
        </right>
        <top style="thin">
          <color indexed="64"/>
        </top>
        <bottom style="thin">
          <color indexed="64"/>
        </bottom>
      </border>
    </dxf>
    <dxf>
      <fill>
        <patternFill patternType="solid">
          <bgColor rgb="FFDCE6F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rgb="FFFFFFFF"/>
        </patternFill>
      </fill>
    </dxf>
    <dxf>
      <fill>
        <patternFill>
          <bgColor rgb="FFFFFFFF"/>
        </patternFill>
      </fill>
    </dxf>
    <dxf>
      <fill>
        <patternFill>
          <bgColor rgb="FFDCE6F1"/>
        </patternFill>
      </fill>
    </dxf>
    <dxf>
      <fill>
        <patternFill>
          <bgColor rgb="FFDCE6F1"/>
        </patternFill>
      </fill>
    </dxf>
    <dxf>
      <border>
        <left style="thin">
          <color indexed="64"/>
        </left>
        <right style="thin">
          <color indexed="64"/>
        </right>
        <top style="thin">
          <color indexed="64"/>
        </top>
        <bottom style="thin">
          <color indexed="64"/>
        </bottom>
      </border>
    </dxf>
    <dxf>
      <fill>
        <patternFill>
          <bgColor theme="0"/>
        </patternFill>
      </fill>
    </dxf>
    <dxf>
      <numFmt numFmtId="165" formatCode="_-* #,##0_-;\-* #,##0_-;_-* &quot;-&quot;??_-;_-@_-"/>
    </dxf>
    <dxf>
      <numFmt numFmtId="165" formatCode="_-* #,##0_-;\-* #,##0_-;_-* &quot;-&quot;??_-;_-@_-"/>
    </dxf>
    <dxf>
      <numFmt numFmtId="165" formatCode="_-* #,##0_-;\-* #,##0_-;_-* &quot;-&quot;??_-;_-@_-"/>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rgb="FFDCE6F1"/>
        </patternFill>
      </fill>
    </dxf>
    <dxf>
      <fill>
        <patternFill>
          <bgColor rgb="FFDCE6F1"/>
        </patternFill>
      </fill>
    </dxf>
    <dxf>
      <fill>
        <patternFill>
          <bgColor rgb="FFDCE6F1"/>
        </patternFill>
      </fill>
    </dxf>
    <dxf>
      <fill>
        <patternFill>
          <bgColor rgb="FFDCE6F1"/>
        </patternFill>
      </fill>
    </dxf>
    <dxf>
      <fill>
        <patternFill>
          <bgColor rgb="FFDCE6F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patternFill>
      </fill>
    </dxf>
    <dxf>
      <fill>
        <patternFill>
          <bgColor theme="0"/>
        </patternFill>
      </fill>
    </dxf>
    <dxf>
      <numFmt numFmtId="165" formatCode="_-* #,##0_-;\-* #,##0_-;_-* &quot;-&quot;??_-;_-@_-"/>
    </dxf>
    <dxf>
      <numFmt numFmtId="165" formatCode="_-* #,##0_-;\-* #,##0_-;_-* &quot;-&quot;??_-;_-@_-"/>
    </dxf>
    <dxf>
      <numFmt numFmtId="165" formatCode="_-* #,##0_-;\-* #,##0_-;_-* &quot;-&quot;??_-;_-@_-"/>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border>
        <left style="thin">
          <color indexed="64"/>
        </left>
        <right style="thin">
          <color indexed="64"/>
        </right>
        <top style="thin">
          <color indexed="64"/>
        </top>
        <bottom style="thin">
          <color indexed="64"/>
        </bottom>
      </border>
    </dxf>
    <dxf>
      <fill>
        <patternFill>
          <bgColor rgb="FFDCE6F1"/>
        </patternFill>
      </fill>
    </dxf>
    <dxf>
      <fill>
        <patternFill>
          <bgColor rgb="FFDCE6F1"/>
        </patternFill>
      </fill>
    </dxf>
    <dxf>
      <fill>
        <patternFill>
          <bgColor rgb="FFDCE6F1"/>
        </patternFill>
      </fill>
    </dxf>
    <dxf>
      <fill>
        <patternFill>
          <bgColor rgb="FFDCE6F1"/>
        </patternFill>
      </fill>
    </dxf>
    <dxf>
      <fill>
        <patternFill>
          <bgColor rgb="FFDCE6F1"/>
        </patternFill>
      </fill>
    </dxf>
    <dxf>
      <fill>
        <patternFill>
          <bgColor rgb="FFDCE6F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numFmt numFmtId="13" formatCode="0%"/>
    </dxf>
    <dxf>
      <numFmt numFmtId="13" formatCode="0%"/>
    </dxf>
    <dxf>
      <numFmt numFmtId="13" formatCode="0%"/>
    </dxf>
    <dxf>
      <numFmt numFmtId="13" formatCode="0%"/>
    </dxf>
    <dxf>
      <numFmt numFmtId="13" formatCode="0%"/>
    </dxf>
    <dxf>
      <numFmt numFmtId="14" formatCode="0.00%"/>
    </dxf>
    <dxf>
      <numFmt numFmtId="165" formatCode="_-* #,##0_-;\-* #,##0_-;_-* &quot;-&quot;??_-;_-@_-"/>
    </dxf>
    <dxf>
      <numFmt numFmtId="165" formatCode="_-* #,##0_-;\-* #,##0_-;_-* &quot;-&quot;??_-;_-@_-"/>
    </dxf>
    <dxf>
      <numFmt numFmtId="165" formatCode="_-* #,##0_-;\-* #,##0_-;_-* &quot;-&quot;??_-;_-@_-"/>
    </dxf>
    <dxf>
      <fill>
        <patternFill>
          <bgColor theme="4" tint="0.79998168889431442"/>
        </patternFill>
      </fill>
    </dxf>
    <dxf>
      <fill>
        <patternFill>
          <bgColor theme="4" tint="0.79998168889431442"/>
        </patternFill>
      </fill>
    </dxf>
    <dxf>
      <fill>
        <patternFill>
          <bgColor theme="0"/>
        </patternFill>
      </fill>
    </dxf>
    <dxf>
      <border>
        <left style="thin">
          <color indexed="64"/>
        </left>
        <right style="thin">
          <color indexed="64"/>
        </right>
        <top style="thin">
          <color indexed="64"/>
        </top>
        <bottom style="thin">
          <color indexed="64"/>
        </bottom>
      </border>
    </dxf>
    <dxf>
      <numFmt numFmtId="165" formatCode="_-* #,##0_-;\-* #,##0_-;_-* &quot;-&quot;??_-;_-@_-"/>
    </dxf>
    <dxf>
      <numFmt numFmtId="171" formatCode="0.0"/>
      <fill>
        <patternFill patternType="none">
          <fgColor indexed="64"/>
          <bgColor indexed="65"/>
        </patternFill>
      </fill>
      <alignment horizontal="left" vertical="center" textRotation="0" wrapText="0" indent="0" justifyLastLine="0" shrinkToFit="0" readingOrder="0"/>
    </dxf>
    <dxf>
      <fill>
        <patternFill patternType="none">
          <fgColor indexed="64"/>
          <bgColor indexed="65"/>
        </patternFill>
      </fill>
      <alignment horizontal="left" vertical="center" textRotation="0" wrapText="0" indent="0" justifyLastLine="0" shrinkToFit="0" readingOrder="0"/>
    </dxf>
    <dxf>
      <fill>
        <patternFill patternType="solid">
          <fgColor indexed="64"/>
          <bgColor rgb="FFFFC000"/>
        </patternFill>
      </fill>
      <alignment horizontal="general" vertical="center" textRotation="0" wrapText="0" indent="0" justifyLastLine="0" shrinkToFit="0" readingOrder="0"/>
    </dxf>
    <dxf>
      <font>
        <strike val="0"/>
        <outline val="0"/>
        <shadow val="0"/>
        <u val="none"/>
        <vertAlign val="baseline"/>
        <sz val="11"/>
        <name val="Calibri"/>
        <scheme val="minor"/>
      </font>
      <numFmt numFmtId="0" formatCode="General"/>
      <fill>
        <patternFill patternType="none">
          <fgColor indexed="64"/>
          <bgColor auto="1"/>
        </patternFill>
      </fill>
      <alignment horizontal="right" vertical="bottom" textRotation="0" wrapText="0" indent="0" justifyLastLine="0" shrinkToFit="0" readingOrder="0"/>
      <border diagonalUp="0" diagonalDown="0" outline="0">
        <left style="thin">
          <color indexed="64"/>
        </left>
        <right/>
        <top style="thin">
          <color indexed="64"/>
        </top>
        <bottom style="thin">
          <color indexed="64"/>
        </bottom>
      </border>
    </dxf>
    <dxf>
      <font>
        <strike val="0"/>
        <outline val="0"/>
        <shadow val="0"/>
        <u val="none"/>
        <vertAlign val="baseline"/>
        <sz val="11"/>
        <name val="Calibri"/>
        <scheme val="minor"/>
      </font>
      <numFmt numFmtId="165" formatCode="_-* #,##0_-;\-* #,##0_-;_-* &quot;-&quot;??_-;_-@_-"/>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Calibri"/>
        <scheme val="minor"/>
      </font>
      <numFmt numFmtId="0" formatCode="General"/>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Calibri"/>
        <scheme val="minor"/>
      </font>
      <numFmt numFmtId="0" formatCode="General"/>
      <fill>
        <patternFill patternType="none">
          <fgColor indexed="64"/>
          <bgColor auto="1"/>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Calibri"/>
        <scheme val="minor"/>
      </font>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Calibri"/>
        <scheme val="minor"/>
      </font>
      <numFmt numFmtId="0" formatCode="General"/>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Calibri"/>
        <scheme val="minor"/>
      </font>
      <numFmt numFmtId="1" formatCode="0"/>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strike val="0"/>
        <outline val="0"/>
        <shadow val="0"/>
        <u val="none"/>
        <vertAlign val="baseline"/>
        <sz val="11"/>
        <name val="Calibri"/>
        <scheme val="minor"/>
      </font>
      <fill>
        <patternFill patternType="none">
          <fgColor indexed="64"/>
          <bgColor indexed="65"/>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Calibri"/>
        <scheme val="minor"/>
      </font>
      <fill>
        <patternFill patternType="none">
          <fgColor indexed="64"/>
          <bgColor indexed="65"/>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Calibri"/>
        <scheme val="minor"/>
      </font>
      <fill>
        <patternFill patternType="none">
          <fgColor indexed="64"/>
          <bgColor indexed="65"/>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Calibri"/>
        <scheme val="minor"/>
      </font>
      <fill>
        <patternFill patternType="none">
          <fgColor indexed="64"/>
          <bgColor indexed="65"/>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Calibri"/>
        <scheme val="minor"/>
      </font>
      <alignment horizontal="right" vertical="center" textRotation="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Calibri"/>
        <scheme val="minor"/>
      </font>
      <numFmt numFmtId="1" formatCode="0"/>
      <alignment horizontal="right" vertical="center" textRotation="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Calibri"/>
        <scheme val="minor"/>
      </font>
      <numFmt numFmtId="173" formatCode="m/d/yyyy"/>
      <fill>
        <patternFill patternType="none">
          <fgColor indexed="64"/>
          <bgColor indexed="65"/>
        </patternFill>
      </fill>
      <alignment horizontal="right" vertical="center" textRotation="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Calibri"/>
        <scheme val="minor"/>
      </font>
      <fill>
        <patternFill patternType="none">
          <fgColor indexed="64"/>
          <bgColor indexed="65"/>
        </patternFill>
      </fill>
      <alignment horizontal="general" vertical="center" textRotation="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rgb="FFFF0000"/>
        <name val="Calibri"/>
        <scheme val="minor"/>
      </font>
      <fill>
        <patternFill patternType="none">
          <fgColor indexed="64"/>
          <bgColor indexed="65"/>
        </patternFill>
      </fill>
      <alignment horizontal="general" vertical="center" textRotation="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color rgb="FFFF0000"/>
        <name val="Calibri"/>
        <scheme val="minor"/>
      </font>
      <numFmt numFmtId="30" formatCode="@"/>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rgb="FFFF0000"/>
        <name val="Calibri"/>
        <scheme val="minor"/>
      </font>
      <fill>
        <patternFill patternType="none">
          <fgColor indexed="64"/>
          <bgColor indexed="65"/>
        </patternFill>
      </fill>
      <alignment horizontal="general" vertical="center" textRotation="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color rgb="FFFF0000"/>
        <name val="Calibri"/>
        <scheme val="minor"/>
      </font>
      <numFmt numFmtId="2" formatCode="0.00"/>
      <fill>
        <patternFill patternType="none">
          <fgColor indexed="64"/>
          <bgColor indexed="65"/>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Calibri"/>
        <scheme val="minor"/>
      </font>
      <numFmt numFmtId="1" formatCode="0"/>
      <fill>
        <patternFill patternType="none">
          <fgColor indexed="64"/>
          <bgColor auto="1"/>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Calibri"/>
        <scheme val="minor"/>
      </font>
      <fill>
        <patternFill patternType="none">
          <fgColor indexed="64"/>
          <bgColor auto="1"/>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Calibri"/>
        <scheme val="minor"/>
      </font>
      <numFmt numFmtId="1" formatCode="0"/>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Calibri"/>
        <scheme val="minor"/>
      </font>
      <fill>
        <patternFill patternType="none">
          <fgColor indexed="64"/>
          <bgColor indexed="65"/>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Calibri"/>
        <scheme val="minor"/>
      </font>
      <fill>
        <patternFill patternType="none">
          <fgColor indexed="64"/>
          <bgColor indexed="65"/>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Calibri"/>
        <scheme val="minor"/>
      </font>
      <fill>
        <patternFill patternType="none">
          <fgColor indexed="64"/>
          <bgColor indexed="65"/>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Calibri"/>
        <scheme val="minor"/>
      </font>
      <fill>
        <patternFill patternType="none">
          <fgColor indexed="64"/>
          <bgColor auto="1"/>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Calibri"/>
        <scheme val="minor"/>
      </font>
      <fill>
        <patternFill patternType="none">
          <fgColor indexed="64"/>
          <bgColor auto="1"/>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Calibri"/>
        <scheme val="minor"/>
      </font>
      <fill>
        <patternFill patternType="none">
          <fgColor indexed="64"/>
          <bgColor auto="1"/>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Calibri"/>
        <scheme val="minor"/>
      </font>
      <numFmt numFmtId="0" formatCode="General"/>
      <fill>
        <patternFill patternType="none">
          <fgColor indexed="64"/>
          <bgColor indexed="65"/>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Calibri"/>
        <scheme val="minor"/>
      </font>
      <fill>
        <patternFill patternType="none">
          <fgColor indexed="64"/>
          <bgColor auto="1"/>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Calibri"/>
        <scheme val="minor"/>
      </font>
      <fill>
        <patternFill patternType="none">
          <fgColor indexed="64"/>
          <bgColor indexed="65"/>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Calibri"/>
        <scheme val="minor"/>
      </font>
      <fill>
        <patternFill patternType="none">
          <fgColor indexed="64"/>
          <bgColor indexed="65"/>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Calibri"/>
        <scheme val="minor"/>
      </font>
      <fill>
        <patternFill patternType="none">
          <fgColor indexed="64"/>
          <bgColor indexed="65"/>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Calibri"/>
        <scheme val="minor"/>
      </font>
      <fill>
        <patternFill patternType="none">
          <fgColor indexed="64"/>
          <bgColor indexed="65"/>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Calibri"/>
        <scheme val="minor"/>
      </font>
      <fill>
        <patternFill patternType="none">
          <fgColor indexed="64"/>
          <bgColor indexed="65"/>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Calibri"/>
        <scheme val="minor"/>
      </font>
      <fill>
        <patternFill patternType="none">
          <fgColor indexed="64"/>
          <bgColor indexed="65"/>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color indexed="8"/>
        <name val="Calibri"/>
        <scheme val="minor"/>
      </font>
      <fill>
        <patternFill patternType="none">
          <fgColor indexed="64"/>
          <bgColor indexed="65"/>
        </patternFill>
      </fill>
      <alignment horizontal="left" vertical="center" textRotation="0" wrapText="1"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Calibri"/>
        <scheme val="minor"/>
      </font>
      <fill>
        <patternFill patternType="none">
          <fgColor indexed="64"/>
          <bgColor auto="1"/>
        </patternFill>
      </fill>
      <alignment horizontal="left" vertical="center" textRotation="0" wrapText="0" indent="0" justifyLastLine="0" shrinkToFit="0" readingOrder="0"/>
    </dxf>
    <dxf>
      <border>
        <bottom style="medium">
          <color indexed="64"/>
        </bottom>
      </border>
    </dxf>
    <dxf>
      <font>
        <b val="0"/>
        <i val="0"/>
        <strike val="0"/>
        <condense val="0"/>
        <extend val="0"/>
        <outline val="0"/>
        <shadow val="0"/>
        <u val="none"/>
        <vertAlign val="baseline"/>
        <sz val="11"/>
        <color theme="0"/>
        <name val="Calibri"/>
        <scheme val="minor"/>
      </font>
      <fill>
        <patternFill patternType="none">
          <fgColor indexed="64"/>
          <bgColor auto="1"/>
        </patternFill>
      </fill>
      <alignment horizontal="center" vertical="center" textRotation="0" wrapText="0" indent="0" justifyLastLine="0" shrinkToFit="0" readingOrder="0"/>
      <border diagonalUp="0" diagonalDown="0" outline="0">
        <left/>
        <right/>
        <top/>
        <bottom/>
      </border>
    </dxf>
    <dxf>
      <fill>
        <patternFill>
          <bgColor rgb="FFFF0000"/>
        </patternFill>
      </fill>
    </dxf>
    <dxf>
      <fill>
        <patternFill>
          <bgColor rgb="FFFFFF00"/>
        </patternFill>
      </fill>
    </dxf>
    <dxf>
      <fill>
        <patternFill>
          <bgColor rgb="FFFF0000"/>
        </patternFill>
      </fill>
    </dxf>
    <dxf>
      <font>
        <color theme="4" tint="-0.24994659260841701"/>
      </font>
    </dxf>
    <dxf>
      <font>
        <color theme="6" tint="-0.24994659260841701"/>
      </font>
    </dxf>
    <dxf>
      <font>
        <color rgb="FFFF0000"/>
      </font>
    </dxf>
    <dxf>
      <fill>
        <patternFill>
          <bgColor rgb="FFFF0000"/>
        </patternFill>
      </fill>
    </dxf>
    <dxf>
      <font>
        <color theme="4" tint="-0.24994659260841701"/>
      </font>
    </dxf>
    <dxf>
      <font>
        <color theme="6" tint="-0.24994659260841701"/>
      </font>
    </dxf>
    <dxf>
      <font>
        <color rgb="FFFF0000"/>
      </font>
    </dxf>
    <dxf>
      <fill>
        <patternFill>
          <bgColor rgb="FFFFFF00"/>
        </patternFill>
      </fill>
    </dxf>
    <dxf>
      <font>
        <color theme="4" tint="-0.24994659260841701"/>
      </font>
    </dxf>
    <dxf>
      <font>
        <color theme="6" tint="-0.24994659260841701"/>
      </font>
    </dxf>
    <dxf>
      <font>
        <color rgb="FFFF0000"/>
      </font>
    </dxf>
    <dxf>
      <fill>
        <patternFill>
          <bgColor rgb="FFFF0000"/>
        </patternFill>
      </fill>
    </dxf>
    <dxf>
      <font>
        <color theme="4" tint="-0.24994659260841701"/>
      </font>
    </dxf>
    <dxf>
      <font>
        <color theme="6" tint="-0.24994659260841701"/>
      </font>
    </dxf>
    <dxf>
      <font>
        <color rgb="FFFF0000"/>
      </font>
    </dxf>
    <dxf>
      <fill>
        <patternFill>
          <bgColor rgb="FFFF0000"/>
        </patternFill>
      </fill>
    </dxf>
    <dxf>
      <font>
        <color theme="4" tint="-0.24994659260841701"/>
      </font>
    </dxf>
    <dxf>
      <font>
        <color theme="6" tint="-0.24994659260841701"/>
      </font>
    </dxf>
    <dxf>
      <font>
        <color rgb="FFFF000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2" defaultPivotStyle="PivotStyleLight16"/>
  <colors>
    <mruColors>
      <color rgb="FFDCE6F1"/>
      <color rgb="FFFFFF00"/>
      <color rgb="FFFF0000"/>
      <color rgb="FFFFFFFF"/>
      <color rgb="FFFD2361"/>
      <color rgb="FFFFC800"/>
      <color rgb="FFFFEB00"/>
      <color rgb="FF00FF00"/>
      <color rgb="FFCC00CC"/>
      <color rgb="FFFF8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xmlMaps.xml><?xml version="1.0" encoding="utf-8"?>
<MapInfo xmlns="http://schemas.openxmlformats.org/spreadsheetml/2006/main" SelectionNamespaces="">
  <Schema ID="Schema3">
    <xsd:schema xmlns:xsd="http://www.w3.org/2001/XMLSchema" xmlns:od="urn:schemas-microsoft-com:officedata" xmlns="">
      <xsd:element name="dataroot">
        <xsd:complexType>
          <xsd:sequence>
            <xsd:element ref="NFI_x0020_Tracking" minOccurs="0" maxOccurs="unbounded"/>
          </xsd:sequence>
          <xsd:attribute name="generated" type="xsd:dateTime"/>
        </xsd:complexType>
      </xsd:element>
      <xsd:element name="NFI_x0020_Tracking">
        <xsd:annotation>
          <xsd:appinfo>
            <od:tableProperty name="GUID" type="9" value="TcbAza8QpEOzy/FC2SMtYg==&#10;"/>
            <od:tableProperty name="Orientation" type="2" value="0"/>
            <od:tableProperty name="OrderByOn" type="1" value="0"/>
            <od:tableProperty name="NameMap" type="11" value="CswOVQAAAABNxsDNrxCkQ7PL8ULZIy1iAAAAALkxZD+TjuRAAAAAAAAAAABOAEYA&#10;SQAgAFQAcgBhAGMAawBpAG4AZwAAAAAAAADgYbebhsGDQ5EB0UGz4p1SBwAAAE3G&#10;wM2vEKRDs8vxQtkjLWJNAG8AbgB0AGgAcwAAAAAAAACm4L3L4ZnAQLCXUUJxaKP7&#10;BwAAAE3GwM2vEKRDs8vxQtkjLWJEAGkAcwB0AHIAaQBiAHUAdABpAG8AbgAgAEQA&#10;YQB0AGUAAAAAAAAAkAo8bwM3bUaTDHwFA5CS/gcAAABNxsDNrxCkQ7PL8ULZIy1i&#10;TwByAGcAYQBuAGkAegBhAHQAaQBvAG4AAAAAAAAArxp3bnhXC0e2ilmlALcGzgcA&#10;AABNxsDNrxCkQ7PL8ULZIy1iSQBtAHAAbABlAG0AZQBuAHQAaQBuAGcAIABQAGEA&#10;cgB0AG4AZQByAAAAAAAAAI4/OGKJvglCkAEUYIUckaIHAAAATcbAza8QpEOzy/FC&#10;2SMtYlMAdABhAHQAZQAAAAAAAACiOHmjZelRTbJLhXAYcv9MBwAAAE3GwM2vEKRD&#10;s8vxQtkjLWJUAG8AdwBuAHMAaABpAHAAAAAAAAAAA0gZol/AaEWovO+PCjZs5gcA&#10;AABNxsDNrxCkQ7PL8ULZIy1iQwBhAG0AcAAgAE4AYQBtAGUAAAAAAAAAaIt2SEKd&#10;ZkmFBw+WLYJZ/gcAAABNxsDNrxCkQ7PL8ULZIy1iSAB5AGcAaQBlAG4AZQAgAEsA&#10;aQB0AAAAAAAAAFtgAovPv0hCm7om6o+K8lQHAAAATcbAza8QpEOzy/FC2SMtYk4A&#10;RgBJACAAQwBvAHIAZQAgAEsAaQB0AAAAAAAAAEuMgBpNOjJMr0+DbqjU77kHAAAA&#10;TcbAza8QpEOzy/FC2SMtYlMAYQBuAGkAdABhAHIAeQAgAEsAaQB0AAAAAAAAAFcN&#10;xxcxN0NDmfTjqYkf6ToHAAAATcbAza8QpEOzy/FC2SMtYk0AbwBzAHEAdQBpAHQA&#10;bwAgAG4AZQB0AAAAAAAAAAaLApB54bNAtQKcjP/tLgEHAAAATcbAza8QpEOzy/FC&#10;2SMtYlQAYQByAHAAYQB1AGwAaQBuAAAAAAAAAJ6U7Y8A4fhGqDG9y00NQAQHAAAA&#10;TcbAza8QpEOzy/FC2SMtYkIAbABhAG4AawBlAHQAAAAAAAAA+Mzc51Rkk0u8BvWq&#10;SuyluQcAAABNxsDNrxCkQ7PL8ULZIy1iSwBpAHQAYwBoAGUAbgAgAFMAZQB0AAAA&#10;AAAAAPRrkdRwZmZNvtgQoAh27vEHAAAATcbAza8QpEOzy/FC2SMtYkMAbABvAHQA&#10;aABlAHMAIABLAGkAdAAAAAAAAAAaHn6Y84wsRI9dPfVzPE5JBwAAAE3GwM2vEKRD&#10;s8vxQtkjLWJQAGwAYQBzAHQAaQBjACAAQgB1AGMAawBlAHQAAAAAAAAAhQ3uR3v4&#10;XUeKN0M/Jf9rggcAAABNxsDNrxCkQ7PL8ULZIy1iUABsAGEAcwB0AGkAYwAgAE0A&#10;YQB0AAAAAAAAAM7OIDpeE4ZIrxiJe0ZytvcHAAAATcbAza8QpEOzy/FC2SMtYlcA&#10;aQBuAHQAZQByACAAQwBsAG8AdABoAGUAcwAgAEEAZAB1AGwAdAAAAAAAAAARiAgH&#10;yWrATLlwtEUFjAW3BwAAAE3GwM2vEKRDs8vxQtkjLWJXAGkAbgB0AGUAcgAgAEMA&#10;bABvAHQAaABlAHMAIABDAGgAaQBsAGQAcgBlAG4AAAAAAAAAK+Pg9peltkSxy24L&#10;a+6C+gcAAABNxsDNrxCkQ7PL8ULZIy1iVwBpAG4AdABlAHIAIABJAHQAZQBtAHMA&#10;IABPAHQAaABlAHIAAAAAAAAATmsHvGhu5UCYnUnwtH54kwcAAABNxsDNrxCkQ7PL&#10;8ULZIy1iVwBpAG4AdABlAHIAIABCAGwAYQBuAGsAZQB0AAAAAAAAAMAWQOVCvR5L&#10;rZRgB5oA/+cHAAAATcbAza8QpEOzy/FC2SMtYkgAeQBnAGkAZQBuAGUAIABLAGkA&#10;dABfAEwAUwAAAAAAAADBoTSfvzTKTa+SN9Xc1b9mBwAAAE3GwM2vEKRDs8vxQtkj&#10;LWJOAEYASQAgAEMAbwByAGUAIABLAGkAdABfAEwAUwAAAAAAAAB2sriDgWXFSajs&#10;HGo9dn8lBwAAAE3GwM2vEKRDs8vxQtkjLWJTAGEAbgBpAHQAYQByAHkAIABLAGkA&#10;dABfAEwAUwAAAAAAAADlsUZD0IbmTKSrUWQWQTyIBwAAAE3GwM2vEKRDs8vxQtkj&#10;LWJNAG8AcwBxAHUAaQB0AG8AIABuAGUAdABfAEwAUwAAAAAAAAAFGAtHQQ5IRqa/&#10;YcMMJmN1BwAAAE3GwM2vEKRDs8vxQtkjLWJUAGEAcgBwAGEAdQBsAGkAbgBfAEwA&#10;UwAAAAAAAADDjgNiq8dxRZch9L+Vn0xPBwAAAE3GwM2vEKRDs8vxQtkjLWJCAGwA&#10;YQBuAGsAZQB0AF8ATABTAAAAAAAAAI1xDylF+kJLlHIprKRNRjoHAAAATcbAza8Q&#10;pEOzy/FC2SMtYksAaQB0AGMAaABlAG4AIABTAGUAdABfAEwAUwAAAAAAAABwBmdq&#10;s7cKQ4K4tK5SlI99BwAAAE3GwM2vEKRDs8vxQtkjLWJDAGwAbwB0AGgAZQBzACAA&#10;SwBpAHQAXwBMAFMAAAAAAAAA/BTztatMVEuJ6GH0UXb3TwcAAABNxsDNrxCkQ7PL&#10;8ULZIy1iUABsAGEAcwB0AGkAYwAgAEIAdQBjAGsAZQB0ACAAXwBMAFMAAAAAAAAA&#10;qzRl5grt0kyMZgUzV8hKXAcAAABNxsDNrxCkQ7PL8ULZIy1iUABsAGEAcwB0AGkA&#10;YwAgACAATQBhAHQAXwBMAFMAAAAAAAAABwkbqvDoiUqptJ8Z9saJlgcAAABNxsDN&#10;rxCkQ7PL8ULZIy1iVwBpAG4AdABlAHIAIABDAGwAbwB0AGgAZQBzACAAQQBkAHUA&#10;bAB0AF8ATABTAAAAAAAAAHZNSIW4RwxFjr0A+0KMtNUHAAAATcbAza8QpEOzy/FC&#10;2SMtYlcAaQBuAHQAZQByACAAQwBsAG8AdABoAGUAcwAgAEMAaABpAGwAZAByAGUA&#10;bgBfAEwAUwAAAAAAAACi86ZcDPspS52PTgnQ9lcaBwAAAE3GwM2vEKRDs8vxQtkj&#10;LWJXAGkAbgB0AGUAcgAgAEkAdABlAG0AcwAgAE8AdABoAGUAcgBfAEwAUwAAAAAA&#10;AABuEJEDlgwlTq23hCKsna+bBwAAAE3GwM2vEKRDs8vxQtkjLWJXAGkAbgB0AGUA&#10;cgAgAEIAbABhAG4AawBlAHQAXwBMAFMAAAAAAAAAGcVs9+FqGkKJnevE199WNAcA&#10;AABNxsDNrxCkQ7PL8ULZIy1iVwBpAG4AdABlAHIAAAAAAAAA+UFRdr69UE683Iv2&#10;OQBW7gcAAABNxsDNrxCkQ7PL8ULZIy1iUABjAG8AZABlAAAAAAAAAOb1ragG2z9F&#10;lC5S4/yj8KEHAAAATcbAza8QpEOzy/FC2SMtYm8AcABlAG4AaQBuAGcAXwBkAGEA&#10;dABlAAAAAAAAAE8VvCE9LudAmlbzx6ssujMHAAAATcbAza8QpEOzy/FC2SMtYlMA&#10;dABhAHQAdQBzAAAAAAAAAMb1dbL74XdIhJVZHtfy7E8HAAAATcbAza8QpEOzy/FC&#10;2SMtYlAAcgBpAG8AcgBpAHQAeQAAAAAAAAD73RmezktYT5t7zgYtHRyTBwAAAE3G&#10;wM2vEKRDs8vxQtkjLWJDAG8AdgBlAHIAYQBnAGUAAAAAAAAAEFIlx8WVmESmIo59&#10;YCYKlgcAAABNxsDNrxCkQ7PL8ULZIy1iUABsAGEAbgBuAGUAZAAgAEQAaQBzAHQA&#10;cgBpAGIAdQB0AGkAbwBuAAAAAAAAAHH3UqYGcQ9MuFHeXWEKgssHAAAATcbAza8Q&#10;pEOzy/FC2SMtYkMAbwBtAG0AZQBuAHQAAAAAAAAAAAAAAAAAAAAAAAAAAAAAAAwA&#10;AAAFAAAAAAAAAAAAAAAAAAAAAAA=&#10;"/>
            <od:tableProperty name="DefaultView" type="2" value="2"/>
            <od:tableProperty name="DisplayViewsOnSharePointSite" type="2" value="1"/>
            <od:tableProperty name="TotalsRow" type="1" value="0"/>
            <od:tableProperty name="FilterOnLoad" type="1" value="0"/>
            <od:tableProperty name="OrderByOnLoad" type="1" value="1"/>
            <od:tableProperty name="HideNewField" type="1" value="0"/>
            <od:tableProperty name="BackTint" type="6" value="100"/>
            <od:tableProperty name="BackShade" type="6" value="100"/>
            <od:tableProperty name="ThemeFontIndex" type="4" value="-1"/>
            <od:tableProperty name="AlternateBackThemeColorIndex" type="4" value="-1"/>
            <od:tableProperty name="AlternateBackTint" type="6" value="100"/>
            <od:tableProperty name="AlternateBackShade" type="6" value="100"/>
            <od:tableProperty name="ReadOnlyWhenDisconnected" type="1" value="0"/>
            <od:tableProperty name="DatasheetGridlinesThemeColorIndex" type="4" value="-1"/>
            <od:tableProperty name="DatasheetForeThemeColorIndex" type="4" value="-1"/>
          </xsd:appinfo>
        </xsd:annotation>
        <xsd:complexType>
          <xsd:sequence>
            <xsd:element name="Months" minOccurs="0" od:jetType="double" od:sqlSType="float" type="xsd:double">
              <xsd:annotation>
                <xsd:appinfo>
                  <od:fieldProperty name="Format" type="10" value="0"/>
                  <od:fieldProperty name="GUID" type="9" value="4GG3m4bBg0ORAdFBs+KdUg==&#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Distribution_x0020_Date" minOccurs="0" od:jetType="datetime" od:sqlSType="datetime" type="xsd:dateTime">
              <xsd:annotation>
                <xsd:appinfo>
                  <od:fieldProperty name="Format" type="10" value="dd-mmm-yyyy"/>
                  <od:fieldProperty name="GUID" type="9" value="puC9y+GZwECwl1FCcWij+w==&#10;"/>
                  <od:fieldProperty name="ColumnWidth" type="3" value="-1"/>
                  <od:fieldProperty name="ColumnOrder" type="3" value="0"/>
                  <od:fieldProperty name="ColumnHidden" type="1" value="0"/>
                  <od:fieldProperty name="Required" type="1" value="0"/>
                  <od:fieldProperty name="IMEMode" type="2" value="0"/>
                  <od:fieldProperty name="IMESentenceMode" type="2" value="3"/>
                  <od:fieldProperty name="TextAlign" type="2" value="0"/>
                  <od:fieldProperty name="AggregateType" type="4" value="-1"/>
                  <od:fieldProperty name="ShowDatePicker" type="3" value="1"/>
                  <od:fieldProperty name="ResultType" type="2" value="0"/>
                  <od:fieldProperty name="CurrencyLCID" type="4" value="0"/>
                </xsd:appinfo>
              </xsd:annotation>
            </xsd:element>
            <xsd:element name="Organization" minOccurs="0" od:jetType="text" od:sqlSType="nvarchar">
              <xsd:annotation>
                <xsd:appinfo>
                  <od:fieldProperty name="Format" type="10" value="@"/>
                  <od:fieldProperty name="GUID" type="9" value="kAo8bwM3bUaTDHwFA5CS/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Implementing_x0020_Partner" minOccurs="0" od:jetType="text" od:sqlSType="nvarchar">
              <xsd:annotation>
                <xsd:appinfo>
                  <od:fieldProperty name="Format" type="10" value="@"/>
                  <od:fieldProperty name="GUID" type="9" value="rxp3bnhXC0e2ilmlALcGz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tate" minOccurs="0" od:jetType="text" od:sqlSType="nvarchar">
              <xsd:annotation>
                <xsd:appinfo>
                  <od:fieldProperty name="Format" type="10" value="@"/>
                  <od:fieldProperty name="GUID" type="9" value="jj84Yom+CUKQARRghRyRo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ownship" minOccurs="0" od:jetType="text" od:sqlSType="nvarchar">
              <xsd:annotation>
                <xsd:appinfo>
                  <od:fieldProperty name="Format" type="10" value="@"/>
                  <od:fieldProperty name="GUID" type="9" value="ojh5o2XpUU2yS4VwGHL/T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amp_x0020_Name" minOccurs="0" od:jetType="text" od:sqlSType="nvarchar">
              <xsd:annotation>
                <xsd:appinfo>
                  <od:fieldProperty name="Format" type="10" value="@"/>
                  <od:fieldProperty name="GUID" type="9" value="A0gZol/AaEWovO+PCjZs5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Hygiene_x0020_Kit" minOccurs="0" od:jetType="text" od:sqlSType="nvarchar">
              <xsd:annotation>
                <xsd:appinfo>
                  <od:fieldProperty name="Format" type="10" value="@"/>
                  <od:fieldProperty name="GUID" type="9" value="aIt2SEKdZkmFBw+WLYJZ/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NFI_x0020_Core_x0020_Kit" minOccurs="0" od:jetType="text" od:sqlSType="nvarchar">
              <xsd:annotation>
                <xsd:appinfo>
                  <od:fieldProperty name="Format" type="10" value="@"/>
                  <od:fieldProperty name="GUID" type="9" value="W2ACi8+/SEKbuibqj4ryV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anitary_x0020_Kit" minOccurs="0" od:jetType="text" od:sqlSType="nvarchar">
              <xsd:annotation>
                <xsd:appinfo>
                  <od:fieldProperty name="Format" type="10" value="@"/>
                  <od:fieldProperty name="GUID" type="9" value="S4yAGk06MkyvT4NuqNTvu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Mosquito_x0020_net" minOccurs="0" od:jetType="double" od:sqlSType="float" type="xsd:double">
              <xsd:annotation>
                <xsd:appinfo>
                  <od:fieldProperty name="Format" type="10" value="General Number"/>
                  <od:fieldProperty name="GUID" type="9" value="Vw3HFzE3Q0OZ9OOpiR/pOg==&#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Tarpaulin" minOccurs="0" od:jetType="double" od:sqlSType="float" type="xsd:double">
              <xsd:annotation>
                <xsd:appinfo>
                  <od:fieldProperty name="Format" type="10" value="General Number"/>
                  <od:fieldProperty name="GUID" type="9" value="BosCkHnhs0C1ApyM/+0uAQ==&#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Blanket" minOccurs="0" od:jetType="double" od:sqlSType="float" type="xsd:double">
              <xsd:annotation>
                <xsd:appinfo>
                  <od:fieldProperty name="Format" type="10" value="General Number"/>
                  <od:fieldProperty name="GUID" type="9" value="npTtjwDh+EaoMb3LTQ1AB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Kitchen_x0020_Set" minOccurs="0" od:jetType="double" od:sqlSType="float" type="xsd:double">
              <xsd:annotation>
                <xsd:appinfo>
                  <od:fieldProperty name="Format" type="10" value="General Number"/>
                  <od:fieldProperty name="GUID" type="9" value="+Mzc51Rkk0u8BvWqSuyluQ==&#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Clothes_x0020_Kit" minOccurs="0" od:jetType="double" od:sqlSType="float" type="xsd:double">
              <xsd:annotation>
                <xsd:appinfo>
                  <od:fieldProperty name="Format" type="10" value="General Number"/>
                  <od:fieldProperty name="GUID" type="9" value="9GuR1HBmZk2+2BCgCHbu8Q==&#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Plastic_x0020_Bucket" minOccurs="0" od:jetType="double" od:sqlSType="float" type="xsd:double">
              <xsd:annotation>
                <xsd:appinfo>
                  <od:fieldProperty name="Format" type="10" value="General Number"/>
                  <od:fieldProperty name="GUID" type="9" value="Gh5+mPOMLESPXT31czxOSQ==&#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Plastic_x0020_Mat" minOccurs="0" od:jetType="double" od:sqlSType="float" type="xsd:double">
              <xsd:annotation>
                <xsd:appinfo>
                  <od:fieldProperty name="Format" type="10" value="General Number"/>
                  <od:fieldProperty name="GUID" type="9" value="hQ3uR3v4XUeKN0M/Jf9rgg==&#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Winter_x0020_Clothes_x0020_Adult" minOccurs="0" od:jetType="text" od:sqlSType="nvarchar">
              <xsd:annotation>
                <xsd:appinfo>
                  <od:fieldProperty name="Format" type="10" value="@"/>
                  <od:fieldProperty name="GUID" type="9" value="zs4gOl4ThkivGIl7RnK29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Winter_x0020_Clothes_x0020_Children" minOccurs="0" od:jetType="text" od:sqlSType="nvarchar">
              <xsd:annotation>
                <xsd:appinfo>
                  <od:fieldProperty name="Format" type="10" value="@"/>
                  <od:fieldProperty name="GUID" type="9" value="EYgIB8lqwEy5cLRFBYwFt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Winter_x0020_Items_x0020_Other" minOccurs="0" od:jetType="text" od:sqlSType="nvarchar">
              <xsd:annotation>
                <xsd:appinfo>
                  <od:fieldProperty name="Format" type="10" value="@"/>
                  <od:fieldProperty name="GUID" type="9" value="K+Pg9peltkSxy24La+6C+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Winter_x0020_Blanket" minOccurs="0" od:jetType="text" od:sqlSType="nvarchar">
              <xsd:annotation>
                <xsd:appinfo>
                  <od:fieldProperty name="Format" type="10" value="@"/>
                  <od:fieldProperty name="GUID" type="9" value="TmsHvGhu5UCYnUnwtH54k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Hygiene_x0020_Kit_LS" minOccurs="0" od:jetType="text" od:sqlSType="nvarchar">
              <xsd:annotation>
                <xsd:appinfo>
                  <od:fieldProperty name="Format" type="10" value="@"/>
                  <od:fieldProperty name="GUID" type="9" value="wBZA5UK9HkutlGAHmgD/5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NFI_x0020_Core_x0020_Kit_LS" minOccurs="0" od:jetType="text" od:sqlSType="nvarchar">
              <xsd:annotation>
                <xsd:appinfo>
                  <od:fieldProperty name="Format" type="10" value="@"/>
                  <od:fieldProperty name="GUID" type="9" value="waE0n780yk2vkjfV3NW/Z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anitary_x0020_Kit_LS" minOccurs="0" od:jetType="text" od:sqlSType="nvarchar">
              <xsd:annotation>
                <xsd:appinfo>
                  <od:fieldProperty name="Format" type="10" value="@"/>
                  <od:fieldProperty name="GUID" type="9" value="drK4g4FlxUmo7BxqPXZ/J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Mosquito_x0020_net_LS" minOccurs="0" od:jetType="text" od:sqlSType="nvarchar">
              <xsd:annotation>
                <xsd:appinfo>
                  <od:fieldProperty name="Format" type="10" value="@"/>
                  <od:fieldProperty name="GUID" type="9" value="5bFGQ9CG5kykq1FkFkE8i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arpaulin_LS" minOccurs="0" od:jetType="text" od:sqlSType="nvarchar">
              <xsd:annotation>
                <xsd:appinfo>
                  <od:fieldProperty name="Format" type="10" value="@"/>
                  <od:fieldProperty name="GUID" type="9" value="BRgLR0EOSEamv2HDDCZjd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Blanket_LS" minOccurs="0" od:jetType="text" od:sqlSType="nvarchar">
              <xsd:annotation>
                <xsd:appinfo>
                  <od:fieldProperty name="Format" type="10" value="@"/>
                  <od:fieldProperty name="GUID" type="9" value="w44DYqvHcUWXIfS/lZ9MT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Kitchen_x0020_Set_LS" minOccurs="0" od:jetType="text" od:sqlSType="nvarchar">
              <xsd:annotation>
                <xsd:appinfo>
                  <od:fieldProperty name="Format" type="10" value="@"/>
                  <od:fieldProperty name="GUID" type="9" value="jXEPKUX6QkuUcimspE1GO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lothes_x0020_Kit_LS" minOccurs="0" od:jetType="text" od:sqlSType="nvarchar">
              <xsd:annotation>
                <xsd:appinfo>
                  <od:fieldProperty name="Format" type="10" value="@"/>
                  <od:fieldProperty name="GUID" type="9" value="cAZnarO3CkOCuLSuUpSPf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Plastic_x0020_Bucket_x0020__LS" minOccurs="0" od:jetType="text" od:sqlSType="nvarchar">
              <xsd:annotation>
                <xsd:appinfo>
                  <od:fieldProperty name="Format" type="10" value="@"/>
                  <od:fieldProperty name="GUID" type="9" value="/BTztatMVEuJ6GH0UXb3T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Plastic_x0020__x0020_Mat_LS" minOccurs="0" od:jetType="text" od:sqlSType="nvarchar">
              <xsd:annotation>
                <xsd:appinfo>
                  <od:fieldProperty name="Format" type="10" value="@"/>
                  <od:fieldProperty name="GUID" type="9" value="qzRl5grt0kyMZgUzV8hKX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Winter_x0020_Clothes_x0020_Adult_LS" minOccurs="0" od:jetType="text" od:sqlSType="nvarchar">
              <xsd:annotation>
                <xsd:appinfo>
                  <od:fieldProperty name="Format" type="10" value="@"/>
                  <od:fieldProperty name="GUID" type="9" value="BwkbqvDoiUqptJ8Z9saJl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Winter_x0020_Clothes_x0020_Children_LS" minOccurs="0" od:jetType="text" od:sqlSType="nvarchar">
              <xsd:annotation>
                <xsd:appinfo>
                  <od:fieldProperty name="Format" type="10" value="@"/>
                  <od:fieldProperty name="GUID" type="9" value="dk1IhbhHDEWOvQD7Qoy01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Winter_x0020_Items_x0020_Other_LS" minOccurs="0" od:jetType="text" od:sqlSType="nvarchar">
              <xsd:annotation>
                <xsd:appinfo>
                  <od:fieldProperty name="Format" type="10" value="@"/>
                  <od:fieldProperty name="GUID" type="9" value="ovOmXAz7KUudj04J0PZXG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Winter_x0020_Blanket_LS" minOccurs="0" od:jetType="text" od:sqlSType="nvarchar">
              <xsd:annotation>
                <xsd:appinfo>
                  <od:fieldProperty name="Format" type="10" value="@"/>
                  <od:fieldProperty name="GUID" type="9" value="bhCRA5YMJU6tt4QirJ2vm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Winter" minOccurs="0" od:jetType="double" od:sqlSType="float" type="xsd:double">
              <xsd:annotation>
                <xsd:appinfo>
                  <od:fieldProperty name="Format" type="10" value="General Number"/>
                  <od:fieldProperty name="GUID" type="9" value="GcVs9+FqGkKJnevE199WN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Pcode" minOccurs="0" od:jetType="text" od:sqlSType="nvarchar">
              <xsd:annotation>
                <xsd:appinfo>
                  <od:fieldProperty name="Format" type="10" value="@"/>
                  <od:fieldProperty name="GUID" type="9" value="+UFRdr69UE683Iv2OQBW7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opening_date" minOccurs="0" od:jetType="double" od:sqlSType="float" type="xsd:double">
              <xsd:annotation>
                <xsd:appinfo>
                  <od:fieldProperty name="Format" type="10" value="0"/>
                  <od:fieldProperty name="GUID" type="9" value="5vWtqAbbP0WULlLj/KPwoQ==&#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Status" minOccurs="0" od:jetType="text" od:sqlSType="nvarchar">
              <xsd:annotation>
                <xsd:appinfo>
                  <od:fieldProperty name="Format" type="10" value="@"/>
                  <od:fieldProperty name="GUID" type="9" value="TxW8IT0u50CaVvPHqyy6M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Priority" minOccurs="0" od:jetType="text" od:sqlSType="nvarchar">
              <xsd:annotation>
                <xsd:appinfo>
                  <od:fieldProperty name="Format" type="10" value="@"/>
                  <od:fieldProperty name="GUID" type="9" value="xvV1svvhd0iElVke1/LsT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overage" minOccurs="0" od:jetType="double" od:sqlSType="float" type="xsd:double">
              <xsd:annotation>
                <xsd:appinfo>
                  <od:fieldProperty name="Format" type="10" value="0%"/>
                  <od:fieldProperty name="GUID" type="9" value="+90Zns5LWE+be84GLR0ckw==&#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Planned_x0020_Distribution" minOccurs="0" od:jetType="text" od:sqlSType="nvarchar">
              <xsd:annotation>
                <xsd:appinfo>
                  <od:fieldProperty name="Format" type="10" value="@"/>
                  <od:fieldProperty name="GUID" type="9" value="EFIlx8WVmESmIo59YCYKl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omment" minOccurs="0" od:jetType="text" od:sqlSType="nvarchar">
              <xsd:annotation>
                <xsd:appinfo>
                  <od:fieldProperty name="Format" type="10" value="@"/>
                  <od:fieldProperty name="GUID" type="9" value="cfdSpgZxD0y4Ud5dYQqCy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sequence>
        </xsd:complexType>
      </xsd:element>
    </xsd:schema>
  </Schema>
  <Schema ID="Schema4">
    <xsd:schema xmlns:xsd="http://www.w3.org/2001/XMLSchema" xmlns:od="urn:schemas-microsoft-com:officedata" xmlns="">
      <xsd:element name="dataroot">
        <xsd:complexType>
          <xsd:sequence>
            <xsd:element ref="Shelter_x0020_Tracking" minOccurs="0" maxOccurs="unbounded"/>
          </xsd:sequence>
          <xsd:attribute name="generated" type="xsd:dateTime"/>
        </xsd:complexType>
      </xsd:element>
      <xsd:element name="Shelter_x0020_Tracking">
        <xsd:annotation>
          <xsd:appinfo>
            <od:tableProperty name="GUID" type="9" value="YO73FFSW+ECfnr+AeTol5g==&#10;"/>
            <od:tableProperty name="Orientation" type="2" value="0"/>
            <od:tableProperty name="OrderByOn" type="1" value="0"/>
            <od:tableProperty name="NameMap" type="11" value="CswOVQAAAABg7vcUVJb4QJ+ev4B5OiXmAAAAAMLhaACTjuRAAAAAAAAAAABTAGgA&#10;ZQBsAHQAZQByACAAVAByAGEAYwBrAGkAbgBnAAAAAAAAAG388E1NF7dDjS2Wob4K&#10;S2cHAAAAYO73FFSW+ECfnr+AeTol5lUAcABkAGEAdABlACAARABhAHQAZQAAAAAA&#10;AAD/6ip1X4x5R70ifeAHFvcbBwAAAGDu9xRUlvhAn56/gHk6JeZPAHIAZwBhAG4A&#10;aQB6AGEAdABpAG8AbgAAAAAAAADpRsbOITt5ToyvkM+shrYFBwAAAGDu9xRUlvhA&#10;n56/gHk6JeZJAG0AcABsAGUAbQBlAG4AdABpAG4AZwBQAGEAcgB0AG4AZQByAAAA&#10;AAAAAAW0ejRoGrBFtqynbXCKeCoHAAAAYO73FFSW+ECfnr+AeTol5lMAdABhAHQA&#10;ZQAAAAAAAAAEsjOtmHPSQqYLkIlreUdEBwAAAGDu9xRUlvhAn56/gHk6JeZUAG8A&#10;dwBuAHMAaABpAHAAAAAAAAAAMcd3cD+VoUycwTFYazYUPAcAAABg7vcUVJb4QJ+e&#10;v4B5OiXmQwBhAG0AcABOAGEAbQBlAAAAAAAAAF1FB37aMzJKqp3qykVWZKgHAAAA&#10;YO73FFSW+ECfnr+AeTol5kgASABwAGUAcgBTAGgAZQBsAHQAZQByAAAAAAAAAO8f&#10;ylwbVXJIo8SYiJVLvU8HAAAAYO73FFSW+ECfnr+AeTol5iMAbwBmAEYAYQBtAGkA&#10;bAB5AFQAZQBuAHQAUABsAGEAbgBuAGUAZAAoAFQAYQByAGcAZQB0ACkAAAAAAAAA&#10;XNlh419hQECh9iX7YFVsdQcAAABg7vcUVJb4QJ+ev4B5OiXmIwBvAGYARgBhAG0A&#10;aQBsAHkAVABlAG4AdABEAGkAcwB0AHIAaQBiAHUAdABlAGQAAAAAAAAAqmY/fm8d&#10;hEupPMCkvxB9hwcAAABg7vcUVJb4QJ+ev4B5OiXmIwBvAGYAVABlAG0AcABvAHIA&#10;YQByAHkAUwBoAGUAbAB0AGUAcgBVAG4AaQB0AHMAUABsAGEAbgBuAGUAZAAoAFQA&#10;YQByAGcAZQB0ACkAAAAAAAAArgZjs5py5E+5otpreoBGnwcAAABg7vcUVJb4QJ+e&#10;v4B5OiXmIwBvAGYAVABlAG0AcABvAHIAYQByAHkAUwBoAGUAbAB0AGUAcgBVAG4A&#10;aQB0AHMAQgB1AGkAbAB0AAAAAAAAAAm+8np5MG1CqvZbyELeFKEHAAAAYO73FFSW&#10;+ECfnr+AeTol5iMAbwBmAFQAZQBtAHAAbwByAGEAcgB5AFMAaABlAGwAdABlAHIA&#10;VQBuAGQAZQByAEMAbwBuAHMAdAByAHUAYwB0AGkAbwBuAAAAAAAAALzpiGqyMfFK&#10;hiXJakdOZQAHAAAAYO73FFSW+ECfnr+AeTol5iMAbwBmAFAAZQByAG0AYQBuAGUA&#10;bgB0AEgAbwB1AHMAZQBQAGwAYQBuAG4AZQBkACgAVABhAHIAZwBlAHQAKQAAAAAA&#10;AADN8+YOi9T5TqyvSW6Wj4DtBwAAAGDu9xRUlvhAn56/gHk6JeYjAG8AZgBQAGUA&#10;cgBtAGEAbgBlAG4AdABIAG8AdQBzAGUAQgB1AGkAbAB0AAAAAAAAAGicIzVoCG5D&#10;smHzah+JKIoHAAAAYO73FFSW+ECfnr+AeTol5iMAbwBmAFAAZQByAG0AYQBuAGUA&#10;bgB0AEgAbwB1AHMAZQBVAG4AZABlAHIAQwBvAG4AcwB0AHIAdQBjAHQAaQBvAG4A&#10;AAAAAAAA3n3GAbhOfk2NEYszO523CwcAAABg7vcUVJb4QJ+ev4B5OiXmSABIAEMA&#10;bwB2AGUAcgBlAGQAAAAAAAAAOqbmjV0wbk+vF/wzTiDzKAcAAABg7vcUVJb4QJ+e&#10;v4B5OiXmUABsAGEAbgBuAGUAZAAgAFIAZQBuAG8AdgBhAHQAaQBvAG4AAAAAAAAA&#10;F8wsjI8YUkKiy5Gi/ODJYAcAAABg7vcUVJb4QJ+ev4B5OiXmUgBlAG4AbwB2AGEA&#10;dABlAGQAAAAAAAAAYytU2IprSkq+Kbt5ju2mBQcAAABg7vcUVJb4QJ+ev4B5OiXm&#10;UABjAG8AZABlAAAAAAAAAJ4tOSqkrQFIot05SzaZ0N4HAAAAYO73FFSW+ECfnr+A&#10;eTol5lMAdABhAHQAdQBzAAAAAAAAAEVVhwjtxKxErCkaWQAwxVoHAAAAYO73FFSW&#10;+ECfnr+AeTol5kMAbwB2AGUAcgBhAGcAZQAAAAAAAADjR2fivuOPQZzdSAl7hzyv&#10;BwAAAGDu9xRUlvhAn56/gHk6JeZDAG8AbQBtAGUAbgB0AHMAAAAAAAAAAAAAAAAA&#10;AAAAAAAAAAAAAAwAAAAFAAAAAAAAAAAAAAAAAAAAAAA=&#10;"/>
            <od:tableProperty name="DefaultView" type="2" value="2"/>
            <od:tableProperty name="DisplayViewsOnSharePointSite" type="2" value="1"/>
            <od:tableProperty name="TotalsRow" type="1" value="0"/>
            <od:tableProperty name="FilterOnLoad" type="1" value="0"/>
            <od:tableProperty name="OrderByOnLoad" type="1" value="1"/>
            <od:tableProperty name="HideNewField" type="1" value="0"/>
            <od:tableProperty name="BackTint" type="6" value="100"/>
            <od:tableProperty name="BackShade" type="6" value="100"/>
            <od:tableProperty name="ThemeFontIndex" type="4" value="-1"/>
            <od:tableProperty name="AlternateBackThemeColorIndex" type="4" value="-1"/>
            <od:tableProperty name="AlternateBackTint" type="6" value="100"/>
            <od:tableProperty name="AlternateBackShade" type="6" value="100"/>
            <od:tableProperty name="ReadOnlyWhenDisconnected" type="1" value="0"/>
            <od:tableProperty name="DatasheetGridlinesThemeColorIndex" type="4" value="-1"/>
            <od:tableProperty name="DatasheetForeThemeColorIndex" type="4" value="-1"/>
            <od:tableProperty name="PublishToWeb" type="2" value="1"/>
          </xsd:appinfo>
        </xsd:annotation>
        <xsd:complexType>
          <xsd:sequence>
            <xsd:element name="Update_x0020_Date" minOccurs="0" od:jetType="datetime" od:sqlSType="datetime" type="xsd:dateTime">
              <xsd:annotation>
                <xsd:appinfo>
                  <od:fieldProperty name="Format" type="10" value="dd-mmm-yy"/>
                  <od:fieldProperty name="GUID" type="9" value="bfzwTU0Xt0ONLZahvgpLZw==&#10;"/>
                  <od:fieldProperty name="ColumnWidth" type="3" value="-1"/>
                  <od:fieldProperty name="ColumnOrder" type="3" value="0"/>
                  <od:fieldProperty name="ColumnHidden" type="1" value="0"/>
                  <od:fieldProperty name="Required" type="1" value="0"/>
                  <od:fieldProperty name="IMEMode" type="2" value="0"/>
                  <od:fieldProperty name="IMESentenceMode" type="2" value="3"/>
                  <od:fieldProperty name="TextAlign" type="2" value="0"/>
                  <od:fieldProperty name="AggregateType" type="4" value="-1"/>
                  <od:fieldProperty name="ShowDatePicker" type="3" value="1"/>
                  <od:fieldProperty name="ResultType" type="2" value="0"/>
                  <od:fieldProperty name="CurrencyLCID" type="4" value="0"/>
                </xsd:appinfo>
              </xsd:annotation>
            </xsd:element>
            <xsd:element name="Organization" minOccurs="0" od:jetType="text" od:sqlSType="nvarchar">
              <xsd:annotation>
                <xsd:appinfo>
                  <od:fieldProperty name="Format" type="10" value="@"/>
                  <od:fieldProperty name="GUID" type="9" value="/+oqdV+MeUe9In3gBxb3G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ImplementingPartner" minOccurs="0" od:jetType="text" od:sqlSType="nvarchar">
              <xsd:annotation>
                <xsd:appinfo>
                  <od:fieldProperty name="Format" type="10" value="@"/>
                  <od:fieldProperty name="GUID" type="9" value="6UbGziE7eU6Mr5DPrIa2B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tate" minOccurs="0" od:jetType="text" od:sqlSType="nvarchar">
              <xsd:annotation>
                <xsd:appinfo>
                  <od:fieldProperty name="Format" type="10" value="@"/>
                  <od:fieldProperty name="GUID" type="9" value="BbR6NGgasEW2rKdtcIp4K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ownship" minOccurs="0" od:jetType="text" od:sqlSType="nvarchar">
              <xsd:annotation>
                <xsd:appinfo>
                  <od:fieldProperty name="Format" type="10" value="@"/>
                  <od:fieldProperty name="GUID" type="9" value="BLIzrZhz0kKmC5CJa3lHR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ampName" minOccurs="0" od:jetType="text" od:sqlSType="nvarchar">
              <xsd:annotation>
                <xsd:appinfo>
                  <od:fieldProperty name="Format" type="10" value="@"/>
                  <od:fieldProperty name="GUID" type="9" value="Mcd3cD+VoUycwTFYazYUP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HHperShelter" minOccurs="0" od:jetType="double" od:sqlSType="float" type="xsd:double">
              <xsd:annotation>
                <xsd:appinfo>
                  <od:fieldProperty name="Format" type="10" value="General Number"/>
                  <od:fieldProperty name="GUID" type="9" value="XUUHftozMkqqnerKRVZkq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_x0023_ofFamilyTentPlanned_x0028_Target_x0029_" minOccurs="0" od:jetType="double" od:sqlSType="float" type="xsd:double">
              <xsd:annotation>
                <xsd:appinfo>
                  <od:fieldProperty name="GUID" type="9" value="7x/KXBtVckijxJiIlUu9Tw==&#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_x0023_ofFamilyTentDistributed" minOccurs="0" od:jetType="double" od:sqlSType="float" type="xsd:double">
              <xsd:annotation>
                <xsd:appinfo>
                  <od:fieldProperty name="GUID" type="9" value="XNlh419hQECh9iX7YFVsdQ==&#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_x0023_ofTemporaryShelterUnitsPlanned_x0028_Target_x0029_" minOccurs="0" od:jetType="double" od:sqlSType="float" type="xsd:double">
              <xsd:annotation>
                <xsd:appinfo>
                  <od:fieldProperty name="GUID" type="9" value="qmY/fm8dhEupPMCkvxB9hw==&#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_x0023_ofTemporaryShelterUnitsBuilt" minOccurs="0" od:jetType="double" od:sqlSType="float" type="xsd:double">
              <xsd:annotation>
                <xsd:appinfo>
                  <od:fieldProperty name="GUID" type="9" value="rgZjs5py5E+5otpreoBGnw==&#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_x0023_ofTemporaryShelterUnderConstruction" minOccurs="0" od:jetType="text" od:sqlSType="nvarchar">
              <xsd:annotation>
                <xsd:appinfo>
                  <od:fieldProperty name="GUID" type="9" value="Cb7yenkwbUKq9lvIQt4Uo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_x0023_ofPermanentHousePlanned_x0028_Target_x0029_" minOccurs="0" od:jetType="text" od:sqlSType="nvarchar">
              <xsd:annotation>
                <xsd:appinfo>
                  <od:fieldProperty name="GUID" type="9" value="vOmIarIx8UqGJclqR05lA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_x0023_ofPermanentHouseBuilt" minOccurs="0" od:jetType="text" od:sqlSType="nvarchar">
              <xsd:annotation>
                <xsd:appinfo>
                  <od:fieldProperty name="GUID" type="9" value="zfPmDovU+U6sr0lulo+A7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_x0023_ofPermanentHouseUnderConstruction" minOccurs="0" od:jetType="text" od:sqlSType="nvarchar">
              <xsd:annotation>
                <xsd:appinfo>
                  <od:fieldProperty name="GUID" type="9" value="aJwjNWgIbkOyYfNqH4koi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HHCovered" minOccurs="0" od:jetType="double" od:sqlSType="float" type="xsd:double">
              <xsd:annotation>
                <xsd:appinfo>
                  <od:fieldProperty name="Format" type="10" value="General Number"/>
                  <od:fieldProperty name="GUID" type="9" value="3n3GAbhOfk2NEYszO523Cw==&#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Planned_x0020_Renovation" minOccurs="0" od:jetType="double" od:sqlSType="float" type="xsd:double">
              <xsd:annotation>
                <xsd:appinfo>
                  <od:fieldProperty name="Format" type="10" value="General Number"/>
                  <od:fieldProperty name="GUID" type="9" value="OqbmjV0wbk+vF/wzTiDzK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Renovated" minOccurs="0" od:jetType="text" od:sqlSType="nvarchar">
              <xsd:annotation>
                <xsd:appinfo>
                  <od:fieldProperty name="Format" type="10" value="@"/>
                  <od:fieldProperty name="GUID" type="9" value="F8wsjI8YUkKiy5Gi/ODJY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Pcode" minOccurs="0" od:jetType="text" od:sqlSType="nvarchar">
              <xsd:annotation>
                <xsd:appinfo>
                  <od:fieldProperty name="Format" type="10" value="@"/>
                  <od:fieldProperty name="GUID" type="9" value="YytU2IprSkq+Kbt5ju2mB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tatus" minOccurs="0" od:jetType="text" od:sqlSType="nvarchar">
              <xsd:annotation>
                <xsd:appinfo>
                  <od:fieldProperty name="Format" type="10" value="@"/>
                  <od:fieldProperty name="GUID" type="9" value="ni05KqStAUii3TlLNpnQ3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overage" minOccurs="0" od:jetType="double" od:sqlSType="float" type="xsd:double">
              <xsd:annotation>
                <xsd:appinfo>
                  <od:fieldProperty name="Format" type="10" value="0%"/>
                  <od:fieldProperty name="GUID" type="9" value="RVWHCO3ErESsKRpZADDFWg==&#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Comments" minOccurs="0" od:jetType="text" od:sqlSType="nvarchar">
              <xsd:annotation>
                <xsd:appinfo>
                  <od:fieldProperty name="Format" type="10" value="@"/>
                  <od:fieldProperty name="GUID" type="9" value="40dn4r7jj0Gc3UgJe4c8r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sequence>
        </xsd:complexType>
      </xsd:element>
    </xsd:schema>
  </Schema>
  <Schema ID="Schema5">
    <xsd:schema xmlns:xsd="http://www.w3.org/2001/XMLSchema" xmlns:od="urn:schemas-microsoft-com:officedata" xmlns="">
      <xsd:element name="dataroot">
        <xsd:complexType>
          <xsd:sequence>
            <xsd:element ref="Camp_x0020_List" minOccurs="0" maxOccurs="unbounded"/>
          </xsd:sequence>
          <xsd:attribute name="generated" type="xsd:dateTime"/>
        </xsd:complexType>
      </xsd:element>
      <xsd:element name="Camp_x0020_List">
        <xsd:annotation>
          <xsd:appinfo>
            <od:tableProperty name="GUID" type="9" value="sZcxHH6uv0WIJLdeMotupA==&#10;"/>
            <od:tableProperty name="Orientation" type="2" value="0"/>
            <od:tableProperty name="OrderByOn" type="1" value="0"/>
            <od:tableProperty name="NameMap" type="11" value="CswOVQAAAACxlzEcfq6/RYgkt14yi26kAAAAAD4bGx7ujuRAAAAAAAAAAABDAGEA&#10;bQBwACAATABpAHMAdAAAAAAAAACCnkck0uuwQ669OqGQ2oERBwAAALGXMRx+rr9F&#10;iCS3XjKLbqRTAHQAYQB0AHUAcwAAAAAAAACD4hezTMJ+QLfyeq1ea7dvBwAAALGX&#10;MRx+rr9FiCS3XjKLbqRTAHQAYQB0AGUAAAAAAAAAj/cXMkH89UWKWd8Un/iBiAcA&#10;AACxlzEcfq6/RYgkt14yi26kUwBfAFAAYwBvAGQAZQAAAAAAAABsv5CPay7kTpOq&#10;+udpLfm4BwAAALGXMRx+rr9FiCS3XjKLbqREAGkAcwB0AHIAaQBjAHQAAAAAAAAA&#10;G/B7TXHkNUqBLVFo7MRFMwcAAACxlzEcfq6/RYgkt14yi26kRABfAFAAYwBvAGQA&#10;ZQAAAAAAAACNrOp3eJBHS7L+ERK6XIIKBwAAALGXMRx+rr9FiCS3XjKLbqRUAG8A&#10;dwBuAHMAaABpAHAAAAAAAAAA6z/QUKs0skyTg5B22v+9wwcAAACxlzEcfq6/RYgk&#10;t14yi26kVABfAFAAYwBvAGQAZQAAAAAAAADAPyFICeRtQaGqi1yQs9EIBwAAALGX&#10;MRx+rr9FiCS3XjKLbqRWAGkAbABsAGEAZwBlAFQAcgBhAGMASwBUAG8AdwBuAAAA&#10;AAAAAFO72Ja+tKJFoDIRE3G8KQoHAAAAsZcxHH6uv0WIJLdeMotupFYAVABUAF8A&#10;UABjAG8AZABlAAAAAAAAAF2ptGHGy6JJgADhZFRieugHAAAAsZcxHH6uv0WIJLde&#10;MotupFYAaQBsAGwAYQBnAGUAVwBhAHIAZABfAE4AYQBtAGUAAAAAAAAAZbV1c/kd&#10;nUGZwTSs90INswcAAACxlzEcfq6/RYgkt14yi26kVgBXAF8AUABjAG8AZABlAAAA&#10;AAAAAO6V0XqayrVEgv4aC38xYacHAAAAsZcxHH6uv0WIJLdeMotupEMAYQBtAHAA&#10;AAAAAAAAWOF92M10Dk+aWDCLeRwL+wcAAACxlzEcfq6/RYgkt14yi26kQwBQAF8A&#10;UABjAG8AZABlAAAAAAAAALhl99q2tppMmJAAEGebhn8HAAAAsZcxHH6uv0WIJLde&#10;MotupEwAbwBuAGcAaQB0AHUAZABlAAAAAAAAAO8dfNeJKuhIn6VxqJK8NfQHAAAA&#10;sZcxHH6uv0WIJLdeMotupEwAYQB0AGkAdAB1AGQAZQAAAAAAAAAwhK4iEWlWRJ8E&#10;TyqXstgABwAAALGXMRx+rr9FiCS3XjKLbqRBAGwAdABpAHQAdQBkAGUAAAAAAAAA&#10;JUqY+KaGwE+ruWNWwPyRLgcAAACxlzEcfq6/RYgkt14yi26kSABIAAAAAAAAAHL2&#10;cffS4BtCszqmRKBp4mkHAAAAsZcxHH6uv0WIJLdeMotupFQAbwB0AGEAbAAAAAAA&#10;AADtHgjW4t/9QJGxJy6KKrEdBwAAALGXMRx+rr9FiCS3XjKLbqRBAHYAZwAAAAAA&#10;AADDdLcrbEaWSY1jpuiCzev1BwAAALGXMRx+rr9FiCS3XjKLbqRBAGMAYwBlAHMA&#10;cwBpAGIAaQBsAGkAdAB5AAAAAAAAAFD5EMGbMklKjtAT9RKcMBEHAAAAsZcxHH6u&#10;v0WIJLdeMotupFQAeQBwAGUAIABvAGYAIABBAGMAYwBvAG0AbwBkAGEAdABpAG8A&#10;bgAAAAAAAAD/uItF+gY3Sr8jZTd2BxbEBwAAALGXMRx+rr9FiCS3XjKLbqRUAHkA&#10;cABlACAAbwBmACAATABvAGMAYQB0AGkAbwBuAAAAAAAAAEaI44BdOF5Mtwi/Wr38&#10;YNMHAAAAsZcxHH6uv0WIJLdeMotupEEAZgBmAGUAYwB0AGUAZAAgAFAAbwBwAHUA&#10;bABhAHQAaQBvAG4AAAAAAAAA3VNebSmIg0qA3MBKUpmDvAcAAACxlzEcfq6/RYgk&#10;t14yi26kTwBwAGUAbgBpAG4AZwAgAEQAYQB0AGUAAAAAAAAAlGSU8E/HTUGYzW1h&#10;16eX6QcAAACxlzEcfq6/RYgkt14yi26kQwBNAC8ARgBQAAAAAAAAAFfbmCwqnwBL&#10;lbjXLOq20kMHAAAAsZcxHH6uv0WIJLdeMotupFIAZQBzAHAAbwBuAHMAaQBiAGwA&#10;ZQAgAEEAZwBlAG4AYwB5AAAAAAAAAC6H/eez6dBKrUyTcmfDEf4HAAAAsZcxHH6u&#10;v0WIJLdeMotupFMAbwB1AHIAYwBlAAAAAAAAAKIE4qy8P+ZEoxyYxqTFPWIHAAAA&#10;sZcxHH6uv0WIJLdeMotupE0AZQB0AGgAbwBkAAAAAAAAAASCI6Eeq4RHsmvuFjvF&#10;XjUHAAAAsZcxHH6uv0WIJLdeMotupFUAcABkAGEAdABlACAARABhAHQAZQAAAAAA&#10;AAAk+/YWEcrVRoxde0XlZQ4kBwAAALGXMRx+rr9FiCS3XjKLbqRDAG8AbQBtAGUA&#10;bgB0AAAAAAAAAOeT/Lwbz8pDpqA1w39iLEsHAAAAsZcxHH6uv0WIJLdeMotupFAA&#10;cgBpAG8AcgBpAHQAeQAAAAAAAABhKEOjGG1yQJwEArvucRs9BwAAALGXMRx+rr9F&#10;iCS3XjKLbqRTAGgAZQBsAHQAZQByACAARwBhAHAAAAAAAAAArgql18D+dEyh9P6f&#10;LIx+IgcAAACxlzEcfq6/RYgkt14yi26kTABhAG4AZAAgAFMAdABhAHQAdQBzAAAA&#10;AAAAAKM0DjXyLnNIkQQgYweznrkHAAAAsZcxHH6uv0WIJLdeMotupFMAaABlAGwA&#10;dABlAHIAIABQAG8AcwBzAGkAYgBsAGUAAAAAAAAAWPPGEsqklkCfYTuIUZYzuAcA&#10;AACxlzEcfq6/RYgkt14yi26kTgBlAGEAcgBlAHMAdABfAFQAbwB3AG4AAAAAAAAA&#10;qLwk7jh/K0mrerNlbU1bGQcAAACxlzEcfq6/RYgkt14yi26kRABpAHMAdABhAG4A&#10;YwBlAAAAAAAAAF04KShzBY9MjSkgZVZ6xMkHAAAAsZcxHH6uv0WIJLdeMotupEQA&#10;aQBzAHQAYQBuAGMAZQBfAEMAYQB0AAAAAAAAAAAAAAAAAAAAAAAAAAAAAAAMAAAA&#10;BQAAAAAAAAAAAAAAAAAAAAAA&#10;"/>
            <od:tableProperty name="DefaultView" type="2" value="2"/>
            <od:tableProperty name="DisplayViewsOnSharePointSite" type="2" value="1"/>
            <od:tableProperty name="TotalsRow" type="1" value="0"/>
            <od:tableProperty name="FilterOnLoad" type="1" value="0"/>
            <od:tableProperty name="OrderByOnLoad" type="1" value="1"/>
            <od:tableProperty name="HideNewField" type="1" value="0"/>
            <od:tableProperty name="BackTint" type="6" value="100"/>
            <od:tableProperty name="BackShade" type="6" value="100"/>
            <od:tableProperty name="ThemeFontIndex" type="4" value="-1"/>
            <od:tableProperty name="AlternateBackThemeColorIndex" type="4" value="-1"/>
            <od:tableProperty name="AlternateBackTint" type="6" value="100"/>
            <od:tableProperty name="AlternateBackShade" type="6" value="100"/>
            <od:tableProperty name="ReadOnlyWhenDisconnected" type="1" value="0"/>
            <od:tableProperty name="DatasheetGridlinesThemeColorIndex" type="4" value="-1"/>
            <od:tableProperty name="DatasheetForeThemeColorIndex" type="4" value="-1"/>
            <od:tableProperty name="PublishToWeb" type="2" value="1"/>
          </xsd:appinfo>
        </xsd:annotation>
        <xsd:complexType>
          <xsd:sequence>
            <xsd:element name="Status" minOccurs="0" od:jetType="text" od:sqlSType="nvarchar">
              <xsd:annotation>
                <xsd:appinfo>
                  <od:fieldProperty name="Format" type="10" value="@"/>
                  <od:fieldProperty name="GUID" type="9" value="gp5HJNLrsEOuvTqhkNqBEQ==&#10;"/>
                  <od:fieldProperty name="ColumnWidth" type="3" value="-1"/>
                  <od:fieldProperty name="ColumnOrder" type="3" value="1"/>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tate" minOccurs="0" od:jetType="text" od:sqlSType="nvarchar">
              <xsd:annotation>
                <xsd:appinfo>
                  <od:fieldProperty name="Format" type="10" value="@"/>
                  <od:fieldProperty name="GUID" type="9" value="g+IXs0zCfkC38nqtXmu3bw==&#10;"/>
                  <od:fieldProperty name="ColumnWidth" type="3" value="-1"/>
                  <od:fieldProperty name="ColumnOrder" type="3" value="2"/>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_Pcode" minOccurs="0" od:jetType="text" od:sqlSType="nvarchar">
              <xsd:annotation>
                <xsd:appinfo>
                  <od:fieldProperty name="Format" type="10" value="@"/>
                  <od:fieldProperty name="GUID" type="9" value="j/cXMkH89UWKWd8Un/iBiA==&#10;"/>
                  <od:fieldProperty name="ColumnWidth" type="3" value="-1"/>
                  <od:fieldProperty name="ColumnOrder" type="3" value="3"/>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District" minOccurs="0" od:jetType="text" od:sqlSType="nvarchar">
              <xsd:annotation>
                <xsd:appinfo>
                  <od:fieldProperty name="Format" type="10" value="@"/>
                  <od:fieldProperty name="GUID" type="9" value="bL+Qj2su5E6TqvrnaS35uA==&#10;"/>
                  <od:fieldProperty name="ColumnWidth" type="3" value="-1"/>
                  <od:fieldProperty name="ColumnOrder" type="3" value="4"/>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D_Pcode" minOccurs="0" od:jetType="text" od:sqlSType="nvarchar">
              <xsd:annotation>
                <xsd:appinfo>
                  <od:fieldProperty name="Format" type="10" value="@"/>
                  <od:fieldProperty name="GUID" type="9" value="G/B7TXHkNUqBLVFo7MRFMw==&#10;"/>
                  <od:fieldProperty name="ColumnWidth" type="3" value="-1"/>
                  <od:fieldProperty name="ColumnOrder" type="3" value="5"/>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ownship" minOccurs="0" od:jetType="text" od:sqlSType="nvarchar">
              <xsd:annotation>
                <xsd:appinfo>
                  <od:fieldProperty name="Format" type="10" value="@"/>
                  <od:fieldProperty name="GUID" type="9" value="jazqd3iQR0uy/hESulyCCg==&#10;"/>
                  <od:fieldProperty name="ColumnWidth" type="3" value="-1"/>
                  <od:fieldProperty name="ColumnOrder" type="3" value="6"/>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_Pcode" minOccurs="0" od:jetType="text" od:sqlSType="nvarchar">
              <xsd:annotation>
                <xsd:appinfo>
                  <od:fieldProperty name="Format" type="10" value="@"/>
                  <od:fieldProperty name="GUID" type="9" value="6z/QUKs0skyTg5B22v+9ww==&#10;"/>
                  <od:fieldProperty name="ColumnWidth" type="3" value="-1"/>
                  <od:fieldProperty name="ColumnOrder" type="3" value="7"/>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VillageTracKTown" minOccurs="0" od:jetType="text" od:sqlSType="nvarchar">
              <xsd:annotation>
                <xsd:appinfo>
                  <od:fieldProperty name="Format" type="10" value="@"/>
                  <od:fieldProperty name="GUID" type="9" value="wD8hSAnkbUGhqotckLPRCA==&#10;"/>
                  <od:fieldProperty name="ColumnWidth" type="3" value="-1"/>
                  <od:fieldProperty name="ColumnOrder" type="3" value="8"/>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VTT_Pcode" minOccurs="0" od:jetType="text" od:sqlSType="nvarchar">
              <xsd:annotation>
                <xsd:appinfo>
                  <od:fieldProperty name="Format" type="10" value="@"/>
                  <od:fieldProperty name="GUID" type="9" value="U7vYlr60okWgMhETcbwpCg==&#10;"/>
                  <od:fieldProperty name="ColumnWidth" type="3" value="-1"/>
                  <od:fieldProperty name="ColumnOrder" type="3" value="9"/>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VillageWard_Name" minOccurs="0" od:jetType="text" od:sqlSType="nvarchar">
              <xsd:annotation>
                <xsd:appinfo>
                  <od:fieldProperty name="Format" type="10" value="@"/>
                  <od:fieldProperty name="GUID" type="9" value="Xam0YcbLokmAAOFkVGJ66A==&#10;"/>
                  <od:fieldProperty name="ColumnWidth" type="3" value="-1"/>
                  <od:fieldProperty name="ColumnOrder" type="3" value="1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VW_Pcode" minOccurs="0" od:jetType="text" od:sqlSType="nvarchar">
              <xsd:annotation>
                <xsd:appinfo>
                  <od:fieldProperty name="Format" type="10" value="@"/>
                  <od:fieldProperty name="GUID" type="9" value="ZbV1c/kdnUGZwTSs90INsw==&#10;"/>
                  <od:fieldProperty name="ColumnWidth" type="3" value="-1"/>
                  <od:fieldProperty name="ColumnOrder" type="3" value="11"/>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amp" minOccurs="0" od:jetType="text" od:sqlSType="nvarchar">
              <xsd:annotation>
                <xsd:appinfo>
                  <od:fieldProperty name="Format" type="10" value="@"/>
                  <od:fieldProperty name="GUID" type="9" value="7pXReprKtUSC/hoLfzFhpw==&#10;"/>
                  <od:fieldProperty name="ColumnWidth" type="3" value="-1"/>
                  <od:fieldProperty name="ColumnOrder" type="3" value="12"/>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P_Pcode" minOccurs="0" od:jetType="text" od:sqlSType="nvarchar">
              <xsd:annotation>
                <xsd:appinfo>
                  <od:fieldProperty name="Format" type="10" value="@"/>
                  <od:fieldProperty name="GUID" type="9" value="WOF92M10Dk+aWDCLeRwL+w==&#10;"/>
                  <od:fieldProperty name="ColumnWidth" type="3" value="-1"/>
                  <od:fieldProperty name="ColumnOrder" type="3" value="13"/>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Longitude" minOccurs="0" od:jetType="double" od:sqlSType="float" type="xsd:double">
              <xsd:annotation>
                <xsd:appinfo>
                  <od:fieldProperty name="Format" type="10" value="General Number"/>
                  <od:fieldProperty name="GUID" type="9" value="uGX32ra2mkyYkAAQZ5uGfw==&#10;"/>
                  <od:fieldProperty name="ColumnWidth" type="3" value="-1"/>
                  <od:fieldProperty name="ColumnOrder" type="3" value="14"/>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Latitude" minOccurs="0" od:jetType="double" od:sqlSType="float" type="xsd:double">
              <xsd:annotation>
                <xsd:appinfo>
                  <od:fieldProperty name="Format" type="10" value="General Number"/>
                  <od:fieldProperty name="GUID" type="9" value="7x1814kq6EifpXGokrw19A==&#10;"/>
                  <od:fieldProperty name="ColumnWidth" type="3" value="-1"/>
                  <od:fieldProperty name="ColumnOrder" type="3" value="15"/>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Altitude" minOccurs="0" od:jetType="double" od:sqlSType="float" type="xsd:double">
              <xsd:annotation>
                <xsd:appinfo>
                  <od:fieldProperty name="Format" type="10" value="0"/>
                  <od:fieldProperty name="GUID" type="9" value="MISuIhFpVkSfBE8ql7LYAA==&#10;"/>
                  <od:fieldProperty name="ColumnWidth" type="3" value="-1"/>
                  <od:fieldProperty name="ColumnOrder" type="3" value="16"/>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HH" minOccurs="0" od:jetType="double" od:sqlSType="float" type="xsd:double">
              <xsd:annotation>
                <xsd:appinfo>
                  <od:fieldProperty name="Format" type="10" value="General Number"/>
                  <od:fieldProperty name="GUID" type="9" value="JUqY+KaGwE+ruWNWwPyRLg==&#10;"/>
                  <od:fieldProperty name="ColumnWidth" type="3" value="-1"/>
                  <od:fieldProperty name="ColumnOrder" type="3" value="17"/>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Total" minOccurs="0" od:jetType="double" od:sqlSType="float" type="xsd:double">
              <xsd:annotation>
                <xsd:appinfo>
                  <od:fieldProperty name="Format" type="10" value="General Number"/>
                  <od:fieldProperty name="GUID" type="9" value="cvZx99LgG0KzOqZEoGniaQ==&#10;"/>
                  <od:fieldProperty name="ColumnWidth" type="3" value="-1"/>
                  <od:fieldProperty name="ColumnOrder" type="3" value="18"/>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Avg" minOccurs="0" od:jetType="text" od:sqlSType="nvarchar">
              <xsd:annotation>
                <xsd:appinfo>
                  <od:fieldProperty name="Format" type="10" value="Fixed"/>
                  <od:fieldProperty name="GUID" type="9" value="7R4I1uLf/UCRsScuiiqxHQ==&#10;"/>
                  <od:fieldProperty name="ColumnWidth" type="3" value="-1"/>
                  <od:fieldProperty name="ColumnOrder" type="3" value="19"/>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Accessibility" minOccurs="0" od:jetType="text" od:sqlSType="nvarchar">
              <xsd:annotation>
                <xsd:appinfo>
                  <od:fieldProperty name="Format" type="10" value="@"/>
                  <od:fieldProperty name="GUID" type="9" value="w3S3K2xGlkmNY6bogs3r9Q==&#10;"/>
                  <od:fieldProperty name="ColumnWidth" type="3" value="-1"/>
                  <od:fieldProperty name="ColumnOrder" type="3" value="2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ype_x0020_of_x0020_Accomodation" minOccurs="0" od:jetType="text" od:sqlSType="nvarchar">
              <xsd:annotation>
                <xsd:appinfo>
                  <od:fieldProperty name="Format" type="10" value="@"/>
                  <od:fieldProperty name="GUID" type="9" value="UPkQwZsySUqO0BP1EpwwEQ==&#10;"/>
                  <od:fieldProperty name="ColumnWidth" type="3" value="-1"/>
                  <od:fieldProperty name="ColumnOrder" type="3" value="22"/>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ype_x0020_of_x0020_Location" minOccurs="0" od:jetType="text" od:sqlSType="nvarchar">
              <xsd:annotation>
                <xsd:appinfo>
                  <od:fieldProperty name="Format" type="10" value="@"/>
                  <od:fieldProperty name="GUID" type="9" value="/7iLRfoGN0q/I2U3dgcWxA==&#10;"/>
                  <od:fieldProperty name="ColumnWidth" type="3" value="-1"/>
                  <od:fieldProperty name="ColumnOrder" type="3" value="23"/>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Affected_x0020_Population" minOccurs="0" od:jetType="text" od:sqlSType="nvarchar">
              <xsd:annotation>
                <xsd:appinfo>
                  <od:fieldProperty name="Format" type="10" value="@"/>
                  <od:fieldProperty name="GUID" type="9" value="RojjgF04Xky3CL9avfxg0w==&#10;"/>
                  <od:fieldProperty name="ColumnWidth" type="3" value="2595"/>
                  <od:fieldProperty name="ColumnOrder" type="3" value="21"/>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Opening_x0020_Date" minOccurs="0" od:jetType="datetime" od:sqlSType="datetime" type="xsd:dateTime">
              <xsd:annotation>
                <xsd:appinfo>
                  <od:fieldProperty name="Format" type="10" value="yyyy-mm-dd"/>
                  <od:fieldProperty name="GUID" type="9" value="3VNebSmIg0qA3MBKUpmDvA==&#10;"/>
                  <od:fieldProperty name="ColumnWidth" type="3" value="-1"/>
                  <od:fieldProperty name="ColumnOrder" type="3" value="24"/>
                  <od:fieldProperty name="ColumnHidden" type="1" value="0"/>
                  <od:fieldProperty name="Required" type="1" value="0"/>
                  <od:fieldProperty name="IMEMode" type="2" value="0"/>
                  <od:fieldProperty name="IMESentenceMode" type="2" value="3"/>
                  <od:fieldProperty name="TextAlign" type="2" value="0"/>
                  <od:fieldProperty name="AggregateType" type="4" value="-1"/>
                  <od:fieldProperty name="ShowDatePicker" type="3" value="1"/>
                  <od:fieldProperty name="ResultType" type="2" value="0"/>
                  <od:fieldProperty name="CurrencyLCID" type="4" value="0"/>
                </xsd:appinfo>
              </xsd:annotation>
            </xsd:element>
            <xsd:element name="CM_x002F_FP" minOccurs="0" od:jetType="double" od:sqlSType="float" type="xsd:double">
              <xsd:annotation>
                <xsd:appinfo>
                  <od:fieldProperty name="Format" type="10" value="0"/>
                  <od:fieldProperty name="GUID" type="9" value="lGSU8E/HTUGYzW1h16eX6Q==&#10;"/>
                  <od:fieldProperty name="ColumnWidth" type="3" value="-1"/>
                  <od:fieldProperty name="ColumnOrder" type="3" value="25"/>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Responsible_x0020_Agency" minOccurs="0" od:jetType="text" od:sqlSType="nvarchar">
              <xsd:annotation>
                <xsd:appinfo>
                  <od:fieldProperty name="Format" type="10" value="@"/>
                  <od:fieldProperty name="GUID" type="9" value="V9uYLCqfAEuVuNcs6rbSQw==&#10;"/>
                  <od:fieldProperty name="ColumnWidth" type="3" value="-1"/>
                  <od:fieldProperty name="ColumnOrder" type="3" value="26"/>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ource" minOccurs="0" od:jetType="text" od:sqlSType="nvarchar">
              <xsd:annotation>
                <xsd:appinfo>
                  <od:fieldProperty name="Format" type="10" value="@"/>
                  <od:fieldProperty name="GUID" type="9" value="Lof957Pp0EqtTJNyZ8MR/g==&#10;"/>
                  <od:fieldProperty name="ColumnWidth" type="3" value="-1"/>
                  <od:fieldProperty name="ColumnOrder" type="3" value="27"/>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Method" minOccurs="0" od:jetType="text" od:sqlSType="nvarchar">
              <xsd:annotation>
                <xsd:appinfo>
                  <od:fieldProperty name="Format" type="10" value="@"/>
                  <od:fieldProperty name="GUID" type="9" value="ogTirLw/5kSjHJjGpMU9Yg==&#10;"/>
                  <od:fieldProperty name="ColumnWidth" type="3" value="-1"/>
                  <od:fieldProperty name="ColumnOrder" type="3" value="28"/>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Update_x0020_Date" minOccurs="0" od:jetType="datetime" od:sqlSType="datetime" type="xsd:dateTime">
              <xsd:annotation>
                <xsd:appinfo>
                  <od:fieldProperty name="Format" type="10" value="dd-mmm-yy"/>
                  <od:fieldProperty name="GUID" type="9" value="BIIjoR6rhEeya+4WO8VeNQ==&#10;"/>
                  <od:fieldProperty name="ColumnWidth" type="3" value="-1"/>
                  <od:fieldProperty name="ColumnOrder" type="3" value="29"/>
                  <od:fieldProperty name="ColumnHidden" type="1" value="0"/>
                  <od:fieldProperty name="Required" type="1" value="0"/>
                  <od:fieldProperty name="IMEMode" type="2" value="0"/>
                  <od:fieldProperty name="IMESentenceMode" type="2" value="3"/>
                  <od:fieldProperty name="TextAlign" type="2" value="0"/>
                  <od:fieldProperty name="AggregateType" type="4" value="-1"/>
                  <od:fieldProperty name="ShowDatePicker" type="3" value="1"/>
                  <od:fieldProperty name="ResultType" type="2" value="0"/>
                  <od:fieldProperty name="CurrencyLCID" type="4" value="0"/>
                </xsd:appinfo>
              </xsd:annotation>
            </xsd:element>
            <xsd:element name="Comment" minOccurs="0" od:jetType="text" od:sqlSType="nvarchar">
              <xsd:annotation>
                <xsd:appinfo>
                  <od:fieldProperty name="Format" type="10" value="@"/>
                  <od:fieldProperty name="GUID" type="9" value="JPv2FhHK1UaMXXtF5WUOJA==&#10;"/>
                  <od:fieldProperty name="ColumnWidth" type="3" value="-1"/>
                  <od:fieldProperty name="ColumnOrder" type="3" value="3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Priority" minOccurs="0" od:jetType="text" od:sqlSType="nvarchar">
              <xsd:annotation>
                <xsd:appinfo>
                  <od:fieldProperty name="Format" type="10" value="0"/>
                  <od:fieldProperty name="GUID" type="9" value="55P8vBvPykOmoDXDf2IsSw==&#10;"/>
                  <od:fieldProperty name="ColumnWidth" type="3" value="-1"/>
                  <od:fieldProperty name="ColumnOrder" type="3" value="31"/>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helter_x0020_Gap" minOccurs="0" od:jetType="double" od:sqlSType="float" type="xsd:double">
              <xsd:annotation>
                <xsd:appinfo>
                  <od:fieldProperty name="Format" type="10" value="General Number"/>
                  <od:fieldProperty name="GUID" type="9" value="YShDoxhtckCcBAK77nEbPQ==&#10;"/>
                  <od:fieldProperty name="ColumnWidth" type="3" value="-1"/>
                  <od:fieldProperty name="ColumnOrder" type="3" value="32"/>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Land_x0020_Status" minOccurs="0" od:jetType="text" od:sqlSType="nvarchar">
              <xsd:annotation>
                <xsd:appinfo>
                  <od:fieldProperty name="Format" type="10" value="@"/>
                  <od:fieldProperty name="GUID" type="9" value="rgql18D+dEyh9P6fLIx+Ig==&#10;"/>
                  <od:fieldProperty name="ColumnWidth" type="3" value="-1"/>
                  <od:fieldProperty name="ColumnOrder" type="3" value="33"/>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helter_x0020_Possible" minOccurs="0" od:jetType="double" od:sqlSType="float" type="xsd:double">
              <xsd:annotation>
                <xsd:appinfo>
                  <od:fieldProperty name="Format" type="10" value="General Number"/>
                  <od:fieldProperty name="GUID" type="9" value="ozQONfIuc0iRBCBjB7OeuQ==&#10;"/>
                  <od:fieldProperty name="ColumnWidth" type="3" value="-1"/>
                  <od:fieldProperty name="ColumnOrder" type="3" value="34"/>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Nearest_Town" minOccurs="0" od:jetType="text" od:sqlSType="nvarchar">
              <xsd:annotation>
                <xsd:appinfo>
                  <od:fieldProperty name="Format" type="10" value="@"/>
                  <od:fieldProperty name="GUID" type="9" value="WPPGEsqklkCfYTuIUZYzuA==&#10;"/>
                  <od:fieldProperty name="ColumnWidth" type="3" value="-1"/>
                  <od:fieldProperty name="ColumnOrder" type="3" value="35"/>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Distance" minOccurs="0" od:jetType="text" od:sqlSType="nvarchar">
              <xsd:annotation>
                <xsd:appinfo>
                  <od:fieldProperty name="Format" type="10" value="* #,##0;-* #,##0;* -00"/>
                  <od:fieldProperty name="GUID" type="9" value="qLwk7jh/K0mrerNlbU1bGQ==&#10;"/>
                  <od:fieldProperty name="ColumnWidth" type="3" value="-1"/>
                  <od:fieldProperty name="ColumnOrder" type="3" value="36"/>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Distance_Cat" minOccurs="0" od:jetType="text" od:sqlSType="nvarchar">
              <xsd:annotation>
                <xsd:appinfo>
                  <od:fieldProperty name="Format" type="10" value="@"/>
                  <od:fieldProperty name="GUID" type="9" value="XTgpKHMFj0yNKSBlVnrEyQ==&#10;"/>
                  <od:fieldProperty name="ColumnWidth" type="3" value="-1"/>
                  <od:fieldProperty name="ColumnOrder" type="3" value="37"/>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sequence>
        </xsd:complexType>
      </xsd:element>
    </xsd:schema>
  </Schema>
  <Map ID="11" Name="CampList_Map" RootElement="dataroot" SchemaID="Schema5" ShowImportExportValidationErrors="false" AutoFit="true" Append="false" PreserveSortAFLayout="true" PreserveFormat="true"/>
  <Map ID="8" Name="NFITracking_Map" RootElement="dataroot" SchemaID="Schema3" ShowImportExportValidationErrors="false" AutoFit="true" Append="false" PreserveSortAFLayout="true" PreserveFormat="true"/>
  <Map ID="9" Name="ShelterTracking_Map" RootElement="dataroot" SchemaID="Schema4" ShowImportExportValidationErrors="false" AutoFit="true" Append="false" PreserveSortAFLayout="true" PreserveFormat="true"/>
</MapInfo>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pivotCacheDefinition" Target="pivotCache/pivotCacheDefinition2.xml"/><Relationship Id="rId39" Type="http://schemas.openxmlformats.org/officeDocument/2006/relationships/customXml" Target="../customXml/item7.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2.xml"/><Relationship Id="rId42" Type="http://schemas.openxmlformats.org/officeDocument/2006/relationships/customXml" Target="../customXml/item10.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pivotCacheDefinition" Target="pivotCache/pivotCacheDefinition1.xml"/><Relationship Id="rId33" Type="http://schemas.openxmlformats.org/officeDocument/2006/relationships/customXml" Target="../customXml/item1.xml"/><Relationship Id="rId38" Type="http://schemas.openxmlformats.org/officeDocument/2006/relationships/customXml" Target="../customXml/item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41" Type="http://schemas.openxmlformats.org/officeDocument/2006/relationships/customXml" Target="../customXml/item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xml"/><Relationship Id="rId32" Type="http://schemas.openxmlformats.org/officeDocument/2006/relationships/calcChain" Target="calcChain.xml"/><Relationship Id="rId37" Type="http://schemas.openxmlformats.org/officeDocument/2006/relationships/customXml" Target="../customXml/item5.xml"/><Relationship Id="rId40" Type="http://schemas.openxmlformats.org/officeDocument/2006/relationships/customXml" Target="../customXml/item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pivotCacheDefinition" Target="pivotCache/pivotCacheDefinition4.xml"/><Relationship Id="rId36" Type="http://schemas.openxmlformats.org/officeDocument/2006/relationships/customXml" Target="../customXml/item4.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4" Type="http://schemas.openxmlformats.org/officeDocument/2006/relationships/xmlMaps" Target="xmlMap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pivotCacheDefinition" Target="pivotCache/pivotCacheDefinition3.xml"/><Relationship Id="rId30" Type="http://schemas.openxmlformats.org/officeDocument/2006/relationships/styles" Target="styles.xml"/><Relationship Id="rId35" Type="http://schemas.openxmlformats.org/officeDocument/2006/relationships/customXml" Target="../customXml/item3.xml"/><Relationship Id="rId43" Type="http://schemas.openxmlformats.org/officeDocument/2006/relationships/customXml" Target="../customXml/item11.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activeX1.xml><?xml version="1.0" encoding="utf-8"?>
<ax:ocx xmlns:ax="http://schemas.microsoft.com/office/2006/activeX" xmlns:r="http://schemas.openxmlformats.org/officeDocument/2006/relationships" ax:classid="{D7053240-CE69-11CD-A777-00DD01143C57}" ax:persistence="persistStreamInit" r:id="rId1"/>
</file>

<file path=xl/activeX/activeX2.xml><?xml version="1.0" encoding="utf-8"?>
<ax:ocx xmlns:ax="http://schemas.microsoft.com/office/2006/activeX" xmlns:r="http://schemas.openxmlformats.org/officeDocument/2006/relationships" ax:classid="{D7053240-CE69-11CD-A777-00DD01143C57}" ax:persistence="persistStreamInit" r:id="rId1"/>
</file>

<file path=xl/activeX/activeX3.xml><?xml version="1.0" encoding="utf-8"?>
<ax:ocx xmlns:ax="http://schemas.microsoft.com/office/2006/activeX" xmlns:r="http://schemas.openxmlformats.org/officeDocument/2006/relationships" ax:classid="{D7053240-CE69-11CD-A777-00DD01143C57}" ax:persistence="persistStreamInit" r:id="rId1"/>
</file>

<file path=xl/activeX/activeX4.xml><?xml version="1.0" encoding="utf-8"?>
<ax:ocx xmlns:ax="http://schemas.microsoft.com/office/2006/activeX" xmlns:r="http://schemas.openxmlformats.org/officeDocument/2006/relationships" ax:classid="{D7053240-CE69-11CD-A777-00DD01143C57}" ax:persistence="persistStreamInit" r:id="rId1"/>
</file>

<file path=xl/charts/_rels/chart2.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[Shelter-NFI-CCCM Kachin Northern Shan Cluster Analysis Report 1st June 2016.xlsx]Camp Analysis!PivotTable2</c:name>
    <c:fmtId val="6"/>
  </c:pivotSource>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n-US" sz="1800" b="1" i="0" baseline="0">
                <a:effectLst/>
              </a:rPr>
              <a:t>Kachin &amp; Northern Shan States </a:t>
            </a:r>
          </a:p>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n-US" sz="1800" b="1" i="0" baseline="0">
                <a:effectLst/>
              </a:rPr>
              <a:t># of IDPs /Township</a:t>
            </a:r>
            <a:endParaRPr lang="en-US"/>
          </a:p>
        </c:rich>
      </c:tx>
      <c:layout>
        <c:manualLayout>
          <c:xMode val="edge"/>
          <c:yMode val="edge"/>
          <c:x val="0.17802355264037256"/>
          <c:y val="2.9020565069248325E-3"/>
        </c:manualLayout>
      </c:layout>
      <c:overlay val="0"/>
    </c:title>
    <c:autoTitleDeleted val="0"/>
    <c:pivotFmts>
      <c:pivotFmt>
        <c:idx val="0"/>
      </c:pivotFmt>
      <c:pivotFmt>
        <c:idx val="1"/>
      </c:pivotFmt>
      <c:pivotFmt>
        <c:idx val="2"/>
      </c:pivotFmt>
      <c:pivotFmt>
        <c:idx val="3"/>
        <c:marker>
          <c:symbol val="none"/>
        </c:marker>
      </c:pivotFmt>
    </c:pivotFmts>
    <c:plotArea>
      <c:layout>
        <c:manualLayout>
          <c:layoutTarget val="inner"/>
          <c:xMode val="edge"/>
          <c:yMode val="edge"/>
          <c:x val="0.18959818142938484"/>
          <c:y val="0.13559827434694499"/>
          <c:w val="0.75948171769126471"/>
          <c:h val="0.77055567472927888"/>
        </c:manualLayout>
      </c:layout>
      <c:barChart>
        <c:barDir val="bar"/>
        <c:grouping val="clustered"/>
        <c:varyColors val="0"/>
        <c:ser>
          <c:idx val="0"/>
          <c:order val="0"/>
          <c:tx>
            <c:strRef>
              <c:f>'Camp Analysis'!$Q$11</c:f>
              <c:strCache>
                <c:ptCount val="1"/>
                <c:pt idx="0">
                  <c:v>Total</c:v>
                </c:pt>
              </c:strCache>
            </c:strRef>
          </c:tx>
          <c:invertIfNegative val="0"/>
          <c:cat>
            <c:multiLvlStrRef>
              <c:f>'Camp Analysis'!$P$12:$P$45</c:f>
              <c:multiLvlStrCache>
                <c:ptCount val="21"/>
                <c:lvl>
                  <c:pt idx="0">
                    <c:v>Bhamo</c:v>
                  </c:pt>
                  <c:pt idx="1">
                    <c:v>Chipwi</c:v>
                  </c:pt>
                  <c:pt idx="2">
                    <c:v>Hpakant</c:v>
                  </c:pt>
                  <c:pt idx="3">
                    <c:v>Hseni</c:v>
                  </c:pt>
                  <c:pt idx="4">
                    <c:v>Injangyang</c:v>
                  </c:pt>
                  <c:pt idx="5">
                    <c:v>Khaunglanhpu</c:v>
                  </c:pt>
                  <c:pt idx="6">
                    <c:v>Machanbaw</c:v>
                  </c:pt>
                  <c:pt idx="7">
                    <c:v>Manton</c:v>
                  </c:pt>
                  <c:pt idx="8">
                    <c:v>Mogaung</c:v>
                  </c:pt>
                  <c:pt idx="9">
                    <c:v>Mohnyin</c:v>
                  </c:pt>
                  <c:pt idx="10">
                    <c:v>Muse</c:v>
                  </c:pt>
                  <c:pt idx="11">
                    <c:v>Namtu</c:v>
                  </c:pt>
                  <c:pt idx="12">
                    <c:v>Puta-O</c:v>
                  </c:pt>
                  <c:pt idx="13">
                    <c:v>Shwegu</c:v>
                  </c:pt>
                  <c:pt idx="14">
                    <c:v>Sumprabum</c:v>
                  </c:pt>
                  <c:pt idx="15">
                    <c:v>Kutkai</c:v>
                  </c:pt>
                  <c:pt idx="16">
                    <c:v>Mansi</c:v>
                  </c:pt>
                  <c:pt idx="17">
                    <c:v>Momauk</c:v>
                  </c:pt>
                  <c:pt idx="18">
                    <c:v>Myitkyina</c:v>
                  </c:pt>
                  <c:pt idx="19">
                    <c:v>Namhkan</c:v>
                  </c:pt>
                  <c:pt idx="20">
                    <c:v>Waingmaw</c:v>
                  </c:pt>
                </c:lvl>
                <c:lvl>
                  <c:pt idx="0">
                    <c:v>Bhamo</c:v>
                  </c:pt>
                  <c:pt idx="1">
                    <c:v>Chipwi</c:v>
                  </c:pt>
                  <c:pt idx="2">
                    <c:v>Hpakant</c:v>
                  </c:pt>
                  <c:pt idx="3">
                    <c:v>Hseni</c:v>
                  </c:pt>
                  <c:pt idx="4">
                    <c:v>Injangyang</c:v>
                  </c:pt>
                  <c:pt idx="5">
                    <c:v>Group1</c:v>
                  </c:pt>
                  <c:pt idx="15">
                    <c:v>Kutkai</c:v>
                  </c:pt>
                  <c:pt idx="16">
                    <c:v>Mansi</c:v>
                  </c:pt>
                  <c:pt idx="17">
                    <c:v>Momauk</c:v>
                  </c:pt>
                  <c:pt idx="18">
                    <c:v>Myitkyina</c:v>
                  </c:pt>
                  <c:pt idx="19">
                    <c:v>Namhkan</c:v>
                  </c:pt>
                  <c:pt idx="20">
                    <c:v>Waingmaw</c:v>
                  </c:pt>
                </c:lvl>
              </c:multiLvlStrCache>
            </c:multiLvlStrRef>
          </c:cat>
          <c:val>
            <c:numRef>
              <c:f>'Camp Analysis'!$Q$12:$Q$45</c:f>
              <c:numCache>
                <c:formatCode>General</c:formatCode>
                <c:ptCount val="21"/>
                <c:pt idx="0">
                  <c:v>8180</c:v>
                </c:pt>
                <c:pt idx="1">
                  <c:v>2511</c:v>
                </c:pt>
                <c:pt idx="2">
                  <c:v>3526</c:v>
                </c:pt>
                <c:pt idx="3">
                  <c:v>564</c:v>
                </c:pt>
                <c:pt idx="4">
                  <c:v>0</c:v>
                </c:pt>
                <c:pt idx="5">
                  <c:v>17</c:v>
                </c:pt>
                <c:pt idx="6">
                  <c:v>0</c:v>
                </c:pt>
                <c:pt idx="7">
                  <c:v>342</c:v>
                </c:pt>
                <c:pt idx="8">
                  <c:v>442</c:v>
                </c:pt>
                <c:pt idx="9">
                  <c:v>372</c:v>
                </c:pt>
                <c:pt idx="10">
                  <c:v>1013</c:v>
                </c:pt>
                <c:pt idx="11">
                  <c:v>557</c:v>
                </c:pt>
                <c:pt idx="12">
                  <c:v>355</c:v>
                </c:pt>
                <c:pt idx="13">
                  <c:v>2182</c:v>
                </c:pt>
                <c:pt idx="14">
                  <c:v>1232</c:v>
                </c:pt>
                <c:pt idx="15">
                  <c:v>3377</c:v>
                </c:pt>
                <c:pt idx="16">
                  <c:v>12727</c:v>
                </c:pt>
                <c:pt idx="17">
                  <c:v>15492</c:v>
                </c:pt>
                <c:pt idx="18">
                  <c:v>7179</c:v>
                </c:pt>
                <c:pt idx="19">
                  <c:v>1739</c:v>
                </c:pt>
                <c:pt idx="20">
                  <c:v>37143</c:v>
                </c:pt>
              </c:numCache>
            </c:numRef>
          </c:val>
        </c:ser>
        <c:dLbls>
          <c:showLegendKey val="0"/>
          <c:showVal val="0"/>
          <c:showCatName val="0"/>
          <c:showSerName val="0"/>
          <c:showPercent val="0"/>
          <c:showBubbleSize val="0"/>
        </c:dLbls>
        <c:gapWidth val="150"/>
        <c:axId val="607673040"/>
        <c:axId val="378127544"/>
      </c:barChart>
      <c:catAx>
        <c:axId val="607673040"/>
        <c:scaling>
          <c:orientation val="minMax"/>
        </c:scaling>
        <c:delete val="0"/>
        <c:axPos val="l"/>
        <c:numFmt formatCode="General" sourceLinked="0"/>
        <c:majorTickMark val="out"/>
        <c:minorTickMark val="none"/>
        <c:tickLblPos val="nextTo"/>
        <c:crossAx val="378127544"/>
        <c:crosses val="autoZero"/>
        <c:auto val="1"/>
        <c:lblAlgn val="ctr"/>
        <c:lblOffset val="100"/>
        <c:noMultiLvlLbl val="1"/>
      </c:catAx>
      <c:valAx>
        <c:axId val="378127544"/>
        <c:scaling>
          <c:orientation val="minMax"/>
        </c:scaling>
        <c:delete val="0"/>
        <c:axPos val="b"/>
        <c:majorGridlines/>
        <c:numFmt formatCode="General" sourceLinked="1"/>
        <c:majorTickMark val="out"/>
        <c:minorTickMark val="none"/>
        <c:tickLblPos val="nextTo"/>
        <c:crossAx val="607673040"/>
        <c:crosses val="autoZero"/>
        <c:crossBetween val="between"/>
        <c:dispUnits>
          <c:builtInUnit val="thousands"/>
          <c:dispUnitsLbl>
            <c:layout/>
          </c:dispUnitsLbl>
        </c:dispUnits>
      </c:valAx>
    </c:plotArea>
    <c:plotVisOnly val="1"/>
    <c:dispBlanksAs val="gap"/>
    <c:showDLblsOverMax val="0"/>
  </c:chart>
  <c:printSettings>
    <c:headerFooter/>
    <c:pageMargins b="0.75" l="0.7" r="0.7" t="0.75" header="0.3" footer="0.3"/>
    <c:pageSetup/>
  </c:printSettings>
  <c:extLst>
    <c:ext xmlns:c14="http://schemas.microsoft.com/office/drawing/2007/8/2/chart" uri="{781A3756-C4B2-4CAC-9D66-4F8BD8637D16}">
      <c14:pivotOptions>
        <c14:dropZonesVisible val="1"/>
      </c14:pivotOptions>
    </c:ext>
  </c:extLst>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[Shelter-NFI-CCCM Kachin Northern Shan Cluster Analysis Report 1st June 2016.xlsx]Shelter Summary (by Agency)!PivotTable3</c:name>
    <c:fmtId val="4"/>
  </c:pivotSource>
  <c:chart>
    <c:title>
      <c:tx>
        <c:rich>
          <a:bodyPr/>
          <a:lstStyle/>
          <a:p>
            <a:pPr>
              <a:defRPr/>
            </a:pPr>
            <a:r>
              <a:rPr lang="en-US"/>
              <a:t># Shelters built/Agency</a:t>
            </a:r>
          </a:p>
        </c:rich>
      </c:tx>
      <c:layout/>
      <c:overlay val="0"/>
    </c:title>
    <c:autoTitleDeleted val="0"/>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marker>
          <c:symbol val="none"/>
        </c:marker>
      </c:pivotFmt>
      <c:pivotFmt>
        <c:idx val="5"/>
        <c:marker>
          <c:symbol val="none"/>
        </c:marker>
      </c:pivotFmt>
      <c:pivotFmt>
        <c:idx val="6"/>
        <c:marker>
          <c:symbol val="none"/>
        </c:marker>
      </c:pivotFmt>
      <c:pivotFmt>
        <c:idx val="7"/>
        <c:marker>
          <c:symbol val="none"/>
        </c:marker>
      </c:pivotFmt>
      <c:pivotFmt>
        <c:idx val="8"/>
        <c:marker>
          <c:symbol val="none"/>
        </c:marker>
      </c:pivotFmt>
      <c:pivotFmt>
        <c:idx val="9"/>
        <c:marker>
          <c:symbol val="none"/>
        </c:marker>
      </c:pivotFmt>
      <c:pivotFmt>
        <c:idx val="10"/>
        <c:marker>
          <c:symbol val="none"/>
        </c:marker>
      </c:pivotFmt>
      <c:pivotFmt>
        <c:idx val="11"/>
        <c:marker>
          <c:symbol val="none"/>
        </c:marker>
      </c:pivotFmt>
      <c:pivotFmt>
        <c:idx val="12"/>
      </c:pivotFmt>
      <c:pivotFmt>
        <c:idx val="13"/>
      </c:pivotFmt>
      <c:pivotFmt>
        <c:idx val="14"/>
        <c:marker>
          <c:symbol val="none"/>
        </c:marker>
        <c:dLbl>
          <c:idx val="0"/>
          <c:showLegendKey val="0"/>
          <c:showVal val="1"/>
          <c:showCatName val="0"/>
          <c:showSerName val="0"/>
          <c:showPercent val="0"/>
          <c:showBubbleSize val="0"/>
          <c:extLst>
            <c:ext xmlns:c15="http://schemas.microsoft.com/office/drawing/2012/chart" uri="{CE6537A1-D6FC-4f65-9D91-7224C49458BB}"/>
          </c:extLst>
        </c:dLbl>
      </c:pivotFmt>
      <c:pivotFmt>
        <c:idx val="15"/>
        <c:dLbl>
          <c:idx val="0"/>
          <c:layout>
            <c:manualLayout>
              <c:x val="-5.1282061635788741E-3"/>
              <c:y val="-0.24119857774587364"/>
            </c:manualLayout>
          </c:layout>
          <c:showLegendKey val="0"/>
          <c:showVal val="1"/>
          <c:showCatName val="0"/>
          <c:showSerName val="0"/>
          <c:showPercent val="0"/>
          <c:showBubbleSize val="0"/>
          <c:extLst>
            <c:ext xmlns:c15="http://schemas.microsoft.com/office/drawing/2012/chart" uri="{CE6537A1-D6FC-4f65-9D91-7224C49458BB}"/>
          </c:extLst>
        </c:dLbl>
      </c:pivotFmt>
      <c:pivotFmt>
        <c:idx val="16"/>
        <c:dLbl>
          <c:idx val="0"/>
          <c:layout>
            <c:manualLayout>
              <c:x val="2.5641030817894371E-3"/>
              <c:y val="-6.6416999669153612E-2"/>
            </c:manualLayout>
          </c:layout>
          <c:showLegendKey val="0"/>
          <c:showVal val="1"/>
          <c:showCatName val="0"/>
          <c:showSerName val="0"/>
          <c:showPercent val="0"/>
          <c:showBubbleSize val="0"/>
          <c:extLst>
            <c:ext xmlns:c15="http://schemas.microsoft.com/office/drawing/2012/chart" uri="{CE6537A1-D6FC-4f65-9D91-7224C49458BB}"/>
          </c:extLst>
        </c:dLbl>
      </c:pivotFmt>
      <c:pivotFmt>
        <c:idx val="17"/>
        <c:dLbl>
          <c:idx val="0"/>
          <c:layout>
            <c:manualLayout>
              <c:x val="0"/>
              <c:y val="-5.5930104984550408E-2"/>
            </c:manualLayout>
          </c:layout>
          <c:showLegendKey val="0"/>
          <c:showVal val="1"/>
          <c:showCatName val="0"/>
          <c:showSerName val="0"/>
          <c:showPercent val="0"/>
          <c:showBubbleSize val="0"/>
          <c:extLst>
            <c:ext xmlns:c15="http://schemas.microsoft.com/office/drawing/2012/chart" uri="{CE6537A1-D6FC-4f65-9D91-7224C49458BB}"/>
          </c:extLst>
        </c:dLbl>
      </c:pivotFmt>
      <c:pivotFmt>
        <c:idx val="18"/>
        <c:dLbl>
          <c:idx val="0"/>
          <c:layout>
            <c:manualLayout>
              <c:x val="5.1282061635788741E-3"/>
              <c:y val="-6.6416999669153612E-2"/>
            </c:manualLayout>
          </c:layout>
          <c:showLegendKey val="0"/>
          <c:showVal val="1"/>
          <c:showCatName val="0"/>
          <c:showSerName val="0"/>
          <c:showPercent val="0"/>
          <c:showBubbleSize val="0"/>
          <c:extLst>
            <c:ext xmlns:c15="http://schemas.microsoft.com/office/drawing/2012/chart" uri="{CE6537A1-D6FC-4f65-9D91-7224C49458BB}"/>
          </c:extLst>
        </c:dLbl>
      </c:pivotFmt>
      <c:pivotFmt>
        <c:idx val="19"/>
        <c:dLbl>
          <c:idx val="0"/>
          <c:layout>
            <c:manualLayout>
              <c:x val="0"/>
              <c:y val="-9.4382052161428823E-2"/>
            </c:manualLayout>
          </c:layout>
          <c:showLegendKey val="0"/>
          <c:showVal val="1"/>
          <c:showCatName val="0"/>
          <c:showSerName val="0"/>
          <c:showPercent val="0"/>
          <c:showBubbleSize val="0"/>
          <c:extLst>
            <c:ext xmlns:c15="http://schemas.microsoft.com/office/drawing/2012/chart" uri="{CE6537A1-D6FC-4f65-9D91-7224C49458BB}"/>
          </c:extLst>
        </c:dLbl>
      </c:pivotFmt>
      <c:pivotFmt>
        <c:idx val="20"/>
        <c:dLbl>
          <c:idx val="0"/>
          <c:layout>
            <c:manualLayout>
              <c:x val="0"/>
              <c:y val="-5.5930104984550408E-2"/>
            </c:manualLayout>
          </c:layout>
          <c:showLegendKey val="0"/>
          <c:showVal val="1"/>
          <c:showCatName val="0"/>
          <c:showSerName val="0"/>
          <c:showPercent val="0"/>
          <c:showBubbleSize val="0"/>
          <c:extLst>
            <c:ext xmlns:c15="http://schemas.microsoft.com/office/drawing/2012/chart" uri="{CE6537A1-D6FC-4f65-9D91-7224C49458BB}"/>
          </c:extLst>
        </c:dLbl>
      </c:pivotFmt>
      <c:pivotFmt>
        <c:idx val="21"/>
        <c:dLbl>
          <c:idx val="0"/>
          <c:layout>
            <c:manualLayout>
              <c:x val="-2.0189788045586118E-7"/>
              <c:y val="-4.8938841861481605E-2"/>
            </c:manualLayout>
          </c:layout>
          <c:showLegendKey val="0"/>
          <c:showVal val="1"/>
          <c:showCatName val="0"/>
          <c:showSerName val="0"/>
          <c:showPercent val="0"/>
          <c:showBubbleSize val="0"/>
          <c:extLst>
            <c:ext xmlns:c15="http://schemas.microsoft.com/office/drawing/2012/chart" uri="{CE6537A1-D6FC-4f65-9D91-7224C49458BB}"/>
          </c:extLst>
        </c:dLbl>
      </c:pivotFmt>
      <c:pivotFmt>
        <c:idx val="22"/>
        <c:dLbl>
          <c:idx val="0"/>
          <c:layout>
            <c:manualLayout>
              <c:x val="-7.6923092453684049E-3"/>
              <c:y val="-6.9912631230688013E-2"/>
            </c:manualLayout>
          </c:layout>
          <c:showLegendKey val="0"/>
          <c:showVal val="1"/>
          <c:showCatName val="0"/>
          <c:showSerName val="0"/>
          <c:showPercent val="0"/>
          <c:showBubbleSize val="0"/>
          <c:extLst>
            <c:ext xmlns:c15="http://schemas.microsoft.com/office/drawing/2012/chart" uri="{CE6537A1-D6FC-4f65-9D91-7224C49458BB}"/>
          </c:extLst>
        </c:dLbl>
      </c:pivotFmt>
      <c:pivotFmt>
        <c:idx val="23"/>
        <c:dLbl>
          <c:idx val="0"/>
          <c:layout>
            <c:manualLayout>
              <c:x val="-5.1282061635788741E-3"/>
              <c:y val="-4.5443210299947211E-2"/>
            </c:manualLayout>
          </c:layout>
          <c:showLegendKey val="0"/>
          <c:showVal val="1"/>
          <c:showCatName val="0"/>
          <c:showSerName val="0"/>
          <c:showPercent val="0"/>
          <c:showBubbleSize val="0"/>
          <c:extLst>
            <c:ext xmlns:c15="http://schemas.microsoft.com/office/drawing/2012/chart" uri="{CE6537A1-D6FC-4f65-9D91-7224C49458BB}"/>
          </c:extLst>
        </c:dLbl>
      </c:pivotFmt>
      <c:pivotFmt>
        <c:idx val="24"/>
        <c:dLbl>
          <c:idx val="0"/>
          <c:layout>
            <c:manualLayout>
              <c:x val="0"/>
              <c:y val="-4.1947578738412809E-2"/>
            </c:manualLayout>
          </c:layout>
          <c:showLegendKey val="0"/>
          <c:showVal val="1"/>
          <c:showCatName val="0"/>
          <c:showSerName val="0"/>
          <c:showPercent val="0"/>
          <c:showBubbleSize val="0"/>
          <c:extLst>
            <c:ext xmlns:c15="http://schemas.microsoft.com/office/drawing/2012/chart" uri="{CE6537A1-D6FC-4f65-9D91-7224C49458BB}"/>
          </c:extLst>
        </c:dLbl>
      </c:pivotFmt>
      <c:pivotFmt>
        <c:idx val="25"/>
        <c:dLbl>
          <c:idx val="0"/>
          <c:layout>
            <c:manualLayout>
              <c:x val="-4.7008013458890184E-17"/>
              <c:y val="-5.2434473423016006E-2"/>
            </c:manualLayout>
          </c:layout>
          <c:showLegendKey val="0"/>
          <c:showVal val="1"/>
          <c:showCatName val="0"/>
          <c:showSerName val="0"/>
          <c:showPercent val="0"/>
          <c:showBubbleSize val="0"/>
          <c:extLst>
            <c:ext xmlns:c15="http://schemas.microsoft.com/office/drawing/2012/chart" uri="{CE6537A1-D6FC-4f65-9D91-7224C49458BB}"/>
          </c:extLst>
        </c:dLbl>
      </c:pivotFmt>
      <c:pivotFmt>
        <c:idx val="26"/>
        <c:dLbl>
          <c:idx val="0"/>
          <c:layout>
            <c:manualLayout>
              <c:x val="0"/>
              <c:y val="-0.13632963089984163"/>
            </c:manualLayout>
          </c:layout>
          <c:showLegendKey val="0"/>
          <c:showVal val="1"/>
          <c:showCatName val="0"/>
          <c:showSerName val="0"/>
          <c:showPercent val="0"/>
          <c:showBubbleSize val="0"/>
          <c:extLst>
            <c:ext xmlns:c15="http://schemas.microsoft.com/office/drawing/2012/chart" uri="{CE6537A1-D6FC-4f65-9D91-7224C49458BB}"/>
          </c:extLst>
        </c:dLbl>
      </c:pivotFmt>
      <c:pivotFmt>
        <c:idx val="27"/>
        <c:dLbl>
          <c:idx val="0"/>
          <c:layout>
            <c:manualLayout>
              <c:x val="0"/>
              <c:y val="-7.3408262792222345E-2"/>
            </c:manualLayout>
          </c:layout>
          <c:showLegendKey val="0"/>
          <c:showVal val="1"/>
          <c:showCatName val="0"/>
          <c:showSerName val="0"/>
          <c:showPercent val="0"/>
          <c:showBubbleSize val="0"/>
          <c:extLst>
            <c:ext xmlns:c15="http://schemas.microsoft.com/office/drawing/2012/chart" uri="{CE6537A1-D6FC-4f65-9D91-7224C49458BB}"/>
          </c:extLst>
        </c:dLbl>
      </c:pivotFmt>
      <c:pivotFmt>
        <c:idx val="28"/>
        <c:dLbl>
          <c:idx val="0"/>
          <c:layout>
            <c:manualLayout>
              <c:x val="-2.5643049796698928E-3"/>
              <c:y val="-7.6903894353756816E-2"/>
            </c:manualLayout>
          </c:layout>
          <c:showLegendKey val="0"/>
          <c:showVal val="1"/>
          <c:showCatName val="0"/>
          <c:showSerName val="0"/>
          <c:showPercent val="0"/>
          <c:showBubbleSize val="0"/>
          <c:extLst>
            <c:ext xmlns:c15="http://schemas.microsoft.com/office/drawing/2012/chart" uri="{CE6537A1-D6FC-4f65-9D91-7224C49458BB}"/>
          </c:extLst>
        </c:dLbl>
      </c:pivotFmt>
      <c:pivotFmt>
        <c:idx val="29"/>
        <c:dLbl>
          <c:idx val="0"/>
          <c:layout>
            <c:manualLayout>
              <c:x val="0"/>
              <c:y val="-2.9629638270527347E-2"/>
            </c:manualLayout>
          </c:layout>
          <c:showLegendKey val="0"/>
          <c:showVal val="1"/>
          <c:showCatName val="0"/>
          <c:showSerName val="0"/>
          <c:showPercent val="0"/>
          <c:showBubbleSize val="0"/>
          <c:extLst>
            <c:ext xmlns:c15="http://schemas.microsoft.com/office/drawing/2012/chart" uri="{CE6537A1-D6FC-4f65-9D91-7224C49458BB}"/>
          </c:extLst>
        </c:dLbl>
      </c:pivotFmt>
      <c:pivotFmt>
        <c:idx val="30"/>
        <c:dLbl>
          <c:idx val="0"/>
          <c:layout>
            <c:manualLayout>
              <c:x val="0"/>
              <c:y val="-3.7037047838159254E-2"/>
            </c:manualLayout>
          </c:layout>
          <c:showLegendKey val="0"/>
          <c:showVal val="1"/>
          <c:showCatName val="0"/>
          <c:showSerName val="0"/>
          <c:showPercent val="0"/>
          <c:showBubbleSize val="0"/>
          <c:extLst>
            <c:ext xmlns:c15="http://schemas.microsoft.com/office/drawing/2012/chart" uri="{CE6537A1-D6FC-4f65-9D91-7224C49458BB}"/>
          </c:extLst>
        </c:dLbl>
      </c:pivotFmt>
      <c:pivotFmt>
        <c:idx val="31"/>
        <c:dLbl>
          <c:idx val="0"/>
          <c:layout>
            <c:manualLayout>
              <c:x val="-2.5672373615106838E-3"/>
              <c:y val="-3.7037047838159184E-2"/>
            </c:manualLayout>
          </c:layout>
          <c:showLegendKey val="0"/>
          <c:showVal val="1"/>
          <c:showCatName val="0"/>
          <c:showSerName val="0"/>
          <c:showPercent val="0"/>
          <c:showBubbleSize val="0"/>
          <c:extLst>
            <c:ext xmlns:c15="http://schemas.microsoft.com/office/drawing/2012/chart" uri="{CE6537A1-D6FC-4f65-9D91-7224C49458BB}"/>
          </c:extLst>
        </c:dLbl>
      </c:pivotFmt>
      <c:pivotFmt>
        <c:idx val="32"/>
        <c:dLbl>
          <c:idx val="0"/>
          <c:layout>
            <c:manualLayout>
              <c:x val="0"/>
              <c:y val="-4.8148162189606936E-2"/>
            </c:manualLayout>
          </c:layout>
          <c:showLegendKey val="0"/>
          <c:showVal val="1"/>
          <c:showCatName val="0"/>
          <c:showSerName val="0"/>
          <c:showPercent val="0"/>
          <c:showBubbleSize val="0"/>
          <c:extLst>
            <c:ext xmlns:c15="http://schemas.microsoft.com/office/drawing/2012/chart" uri="{CE6537A1-D6FC-4f65-9D91-7224C49458BB}"/>
          </c:extLst>
        </c:dLbl>
      </c:pivotFmt>
      <c:pivotFmt>
        <c:idx val="33"/>
        <c:dLbl>
          <c:idx val="0"/>
          <c:layout>
            <c:manualLayout>
              <c:x val="-2.5672373615106838E-3"/>
              <c:y val="-3.3333343054343267E-2"/>
            </c:manualLayout>
          </c:layout>
          <c:showLegendKey val="0"/>
          <c:showVal val="1"/>
          <c:showCatName val="0"/>
          <c:showSerName val="0"/>
          <c:showPercent val="0"/>
          <c:showBubbleSize val="0"/>
          <c:extLst>
            <c:ext xmlns:c15="http://schemas.microsoft.com/office/drawing/2012/chart" uri="{CE6537A1-D6FC-4f65-9D91-7224C49458BB}"/>
          </c:extLst>
        </c:dLbl>
      </c:pivotFmt>
      <c:pivotFmt>
        <c:idx val="34"/>
        <c:dLbl>
          <c:idx val="0"/>
          <c:layout>
            <c:manualLayout>
              <c:x val="0"/>
              <c:y val="-3.7037047838159184E-2"/>
            </c:manualLayout>
          </c:layout>
          <c:showLegendKey val="0"/>
          <c:showVal val="1"/>
          <c:showCatName val="0"/>
          <c:showSerName val="0"/>
          <c:showPercent val="0"/>
          <c:showBubbleSize val="0"/>
          <c:extLst>
            <c:ext xmlns:c15="http://schemas.microsoft.com/office/drawing/2012/chart" uri="{CE6537A1-D6FC-4f65-9D91-7224C49458BB}"/>
          </c:extLst>
        </c:dLbl>
      </c:pivotFmt>
      <c:pivotFmt>
        <c:idx val="35"/>
        <c:marker>
          <c:symbol val="none"/>
        </c:marker>
        <c:dLbl>
          <c:idx val="0"/>
          <c:showLegendKey val="0"/>
          <c:showVal val="1"/>
          <c:showCatName val="0"/>
          <c:showSerName val="0"/>
          <c:showPercent val="0"/>
          <c:showBubbleSize val="0"/>
          <c:extLst>
            <c:ext xmlns:c15="http://schemas.microsoft.com/office/drawing/2012/chart" uri="{CE6537A1-D6FC-4f65-9D91-7224C49458BB}"/>
          </c:extLst>
        </c:dLbl>
      </c:pivotFmt>
      <c:pivotFmt>
        <c:idx val="36"/>
        <c:dLbl>
          <c:idx val="0"/>
          <c:layout>
            <c:manualLayout>
              <c:x val="2.5732932683053345E-3"/>
              <c:y val="-7.7348088730757603E-2"/>
            </c:manualLayout>
          </c:layout>
          <c:showLegendKey val="0"/>
          <c:showVal val="1"/>
          <c:showCatName val="0"/>
          <c:showSerName val="0"/>
          <c:showPercent val="0"/>
          <c:showBubbleSize val="0"/>
          <c:extLst>
            <c:ext xmlns:c15="http://schemas.microsoft.com/office/drawing/2012/chart" uri="{CE6537A1-D6FC-4f65-9D91-7224C49458BB}"/>
          </c:extLst>
        </c:dLbl>
      </c:pivotFmt>
      <c:pivotFmt>
        <c:idx val="37"/>
        <c:dLbl>
          <c:idx val="0"/>
          <c:layout>
            <c:manualLayout>
              <c:x val="0"/>
              <c:y val="-4.4198907846147197E-2"/>
            </c:manualLayout>
          </c:layout>
          <c:showLegendKey val="0"/>
          <c:showVal val="1"/>
          <c:showCatName val="0"/>
          <c:showSerName val="0"/>
          <c:showPercent val="0"/>
          <c:showBubbleSize val="0"/>
          <c:extLst>
            <c:ext xmlns:c15="http://schemas.microsoft.com/office/drawing/2012/chart" uri="{CE6537A1-D6FC-4f65-9D91-7224C49458BB}"/>
          </c:extLst>
        </c:dLbl>
      </c:pivotFmt>
      <c:pivotFmt>
        <c:idx val="38"/>
        <c:dLbl>
          <c:idx val="0"/>
          <c:layout>
            <c:manualLayout>
              <c:x val="0"/>
              <c:y val="-0.1325967235384416"/>
            </c:manualLayout>
          </c:layout>
          <c:showLegendKey val="0"/>
          <c:showVal val="1"/>
          <c:showCatName val="0"/>
          <c:showSerName val="0"/>
          <c:showPercent val="0"/>
          <c:showBubbleSize val="0"/>
          <c:extLst>
            <c:ext xmlns:c15="http://schemas.microsoft.com/office/drawing/2012/chart" uri="{CE6537A1-D6FC-4f65-9D91-7224C49458BB}"/>
          </c:extLst>
        </c:dLbl>
      </c:pivotFmt>
      <c:pivotFmt>
        <c:idx val="39"/>
        <c:dLbl>
          <c:idx val="0"/>
          <c:layout>
            <c:manualLayout>
              <c:x val="0"/>
              <c:y val="-3.6832423205122665E-2"/>
            </c:manualLayout>
          </c:layout>
          <c:showLegendKey val="0"/>
          <c:showVal val="1"/>
          <c:showCatName val="0"/>
          <c:showSerName val="0"/>
          <c:showPercent val="0"/>
          <c:showBubbleSize val="0"/>
          <c:extLst>
            <c:ext xmlns:c15="http://schemas.microsoft.com/office/drawing/2012/chart" uri="{CE6537A1-D6FC-4f65-9D91-7224C49458BB}"/>
          </c:extLst>
        </c:dLbl>
      </c:pivotFmt>
      <c:pivotFmt>
        <c:idx val="40"/>
        <c:dLbl>
          <c:idx val="0"/>
          <c:layout>
            <c:manualLayout>
              <c:x val="0"/>
              <c:y val="-3.6832423205122665E-2"/>
            </c:manualLayout>
          </c:layout>
          <c:showLegendKey val="0"/>
          <c:showVal val="1"/>
          <c:showCatName val="0"/>
          <c:showSerName val="0"/>
          <c:showPercent val="0"/>
          <c:showBubbleSize val="0"/>
          <c:extLst>
            <c:ext xmlns:c15="http://schemas.microsoft.com/office/drawing/2012/chart" uri="{CE6537A1-D6FC-4f65-9D91-7224C49458BB}"/>
          </c:extLst>
        </c:dLbl>
      </c:pivotFmt>
      <c:pivotFmt>
        <c:idx val="41"/>
        <c:dLbl>
          <c:idx val="0"/>
          <c:layout>
            <c:manualLayout>
              <c:x val="0"/>
              <c:y val="-6.6298361769220798E-2"/>
            </c:manualLayout>
          </c:layout>
          <c:showLegendKey val="0"/>
          <c:showVal val="1"/>
          <c:showCatName val="0"/>
          <c:showSerName val="0"/>
          <c:showPercent val="0"/>
          <c:showBubbleSize val="0"/>
          <c:extLst>
            <c:ext xmlns:c15="http://schemas.microsoft.com/office/drawing/2012/chart" uri="{CE6537A1-D6FC-4f65-9D91-7224C49458BB}"/>
          </c:extLst>
        </c:dLbl>
      </c:pivotFmt>
      <c:pivotFmt>
        <c:idx val="42"/>
        <c:dLbl>
          <c:idx val="0"/>
          <c:layout>
            <c:manualLayout>
              <c:x val="0"/>
              <c:y val="-3.6832423205122596E-2"/>
            </c:manualLayout>
          </c:layout>
          <c:showLegendKey val="0"/>
          <c:showVal val="1"/>
          <c:showCatName val="0"/>
          <c:showSerName val="0"/>
          <c:showPercent val="0"/>
          <c:showBubbleSize val="0"/>
          <c:extLst>
            <c:ext xmlns:c15="http://schemas.microsoft.com/office/drawing/2012/chart" uri="{CE6537A1-D6FC-4f65-9D91-7224C49458BB}"/>
          </c:extLst>
        </c:dLbl>
      </c:pivotFmt>
      <c:pivotFmt>
        <c:idx val="43"/>
        <c:dLbl>
          <c:idx val="0"/>
          <c:layout>
            <c:manualLayout>
              <c:x val="9.4352996530661547E-17"/>
              <c:y val="-4.7882150166659532E-2"/>
            </c:manualLayout>
          </c:layout>
          <c:showLegendKey val="0"/>
          <c:showVal val="1"/>
          <c:showCatName val="0"/>
          <c:showSerName val="0"/>
          <c:showPercent val="0"/>
          <c:showBubbleSize val="0"/>
          <c:extLst>
            <c:ext xmlns:c15="http://schemas.microsoft.com/office/drawing/2012/chart" uri="{CE6537A1-D6FC-4f65-9D91-7224C49458BB}"/>
          </c:extLst>
        </c:dLbl>
      </c:pivotFmt>
      <c:pivotFmt>
        <c:idx val="44"/>
        <c:dLbl>
          <c:idx val="0"/>
          <c:layout>
            <c:manualLayout>
              <c:x val="-2.5732932683053345E-3"/>
              <c:y val="-0.24309399315380956"/>
            </c:manualLayout>
          </c:layout>
          <c:showLegendKey val="0"/>
          <c:showVal val="1"/>
          <c:showCatName val="0"/>
          <c:showSerName val="0"/>
          <c:showPercent val="0"/>
          <c:showBubbleSize val="0"/>
          <c:extLst>
            <c:ext xmlns:c15="http://schemas.microsoft.com/office/drawing/2012/chart" uri="{CE6537A1-D6FC-4f65-9D91-7224C49458BB}"/>
          </c:extLst>
        </c:dLbl>
      </c:pivotFmt>
      <c:pivotFmt>
        <c:idx val="45"/>
        <c:dLbl>
          <c:idx val="0"/>
          <c:layout>
            <c:manualLayout>
              <c:x val="-9.4352996530661547E-17"/>
              <c:y val="-4.4198907846147197E-2"/>
            </c:manualLayout>
          </c:layout>
          <c:showLegendKey val="0"/>
          <c:showVal val="1"/>
          <c:showCatName val="0"/>
          <c:showSerName val="0"/>
          <c:showPercent val="0"/>
          <c:showBubbleSize val="0"/>
          <c:extLst>
            <c:ext xmlns:c15="http://schemas.microsoft.com/office/drawing/2012/chart" uri="{CE6537A1-D6FC-4f65-9D91-7224C49458BB}"/>
          </c:extLst>
        </c:dLbl>
      </c:pivotFmt>
      <c:pivotFmt>
        <c:idx val="46"/>
        <c:dLbl>
          <c:idx val="0"/>
          <c:layout>
            <c:manualLayout>
              <c:x val="0"/>
              <c:y val="-4.0515665525634861E-2"/>
            </c:manualLayout>
          </c:layout>
          <c:showLegendKey val="0"/>
          <c:showVal val="1"/>
          <c:showCatName val="0"/>
          <c:showSerName val="0"/>
          <c:showPercent val="0"/>
          <c:showBubbleSize val="0"/>
          <c:extLst>
            <c:ext xmlns:c15="http://schemas.microsoft.com/office/drawing/2012/chart" uri="{CE6537A1-D6FC-4f65-9D91-7224C49458BB}"/>
          </c:extLst>
        </c:dLbl>
      </c:pivotFmt>
      <c:pivotFmt>
        <c:idx val="47"/>
        <c:marker>
          <c:symbol val="none"/>
        </c:marker>
      </c:pivotFmt>
    </c:pivotFmts>
    <c:plotArea>
      <c:layout/>
      <c:barChart>
        <c:barDir val="col"/>
        <c:grouping val="stacked"/>
        <c:varyColors val="0"/>
        <c:ser>
          <c:idx val="0"/>
          <c:order val="0"/>
          <c:tx>
            <c:strRef>
              <c:f>'Shelter Summary (by Agency)'!$F$7</c:f>
              <c:strCache>
                <c:ptCount val="1"/>
                <c:pt idx="0">
                  <c:v>Total</c:v>
                </c:pt>
              </c:strCache>
            </c:strRef>
          </c:tx>
          <c:invertIfNegative val="0"/>
          <c:cat>
            <c:strRef>
              <c:f>'Shelter Summary (by Agency)'!$E$8:$E$22</c:f>
              <c:strCache>
                <c:ptCount val="14"/>
                <c:pt idx="0">
                  <c:v>Caritas</c:v>
                </c:pt>
                <c:pt idx="1">
                  <c:v>CC</c:v>
                </c:pt>
                <c:pt idx="2">
                  <c:v>COC</c:v>
                </c:pt>
                <c:pt idx="3">
                  <c:v>DFID</c:v>
                </c:pt>
                <c:pt idx="4">
                  <c:v>DRC</c:v>
                </c:pt>
                <c:pt idx="5">
                  <c:v>FSD</c:v>
                </c:pt>
                <c:pt idx="6">
                  <c:v>IRRC</c:v>
                </c:pt>
                <c:pt idx="7">
                  <c:v>KBC Zonal</c:v>
                </c:pt>
                <c:pt idx="8">
                  <c:v>Metta</c:v>
                </c:pt>
                <c:pt idx="9">
                  <c:v>Misereor</c:v>
                </c:pt>
                <c:pt idx="10">
                  <c:v>Oxfam</c:v>
                </c:pt>
                <c:pt idx="11">
                  <c:v>UNHCR</c:v>
                </c:pt>
                <c:pt idx="12">
                  <c:v>World Vision</c:v>
                </c:pt>
                <c:pt idx="13">
                  <c:v>Yedai Foundation</c:v>
                </c:pt>
              </c:strCache>
            </c:strRef>
          </c:cat>
          <c:val>
            <c:numRef>
              <c:f>'Shelter Summary (by Agency)'!$F$8:$F$22</c:f>
              <c:numCache>
                <c:formatCode>_-* #,##0_-;\-* #,##0_-;_-* "-"??_-;_-@_-</c:formatCode>
                <c:ptCount val="14"/>
                <c:pt idx="0">
                  <c:v>725</c:v>
                </c:pt>
                <c:pt idx="1">
                  <c:v>279</c:v>
                </c:pt>
                <c:pt idx="2">
                  <c:v>20</c:v>
                </c:pt>
                <c:pt idx="3">
                  <c:v>350</c:v>
                </c:pt>
                <c:pt idx="4">
                  <c:v>2603</c:v>
                </c:pt>
                <c:pt idx="5">
                  <c:v>269</c:v>
                </c:pt>
                <c:pt idx="6">
                  <c:v>32</c:v>
                </c:pt>
                <c:pt idx="7">
                  <c:v>205</c:v>
                </c:pt>
                <c:pt idx="8">
                  <c:v>900</c:v>
                </c:pt>
                <c:pt idx="9">
                  <c:v>12</c:v>
                </c:pt>
                <c:pt idx="10">
                  <c:v>405</c:v>
                </c:pt>
                <c:pt idx="11">
                  <c:v>7061</c:v>
                </c:pt>
                <c:pt idx="12">
                  <c:v>77</c:v>
                </c:pt>
                <c:pt idx="13">
                  <c:v>10</c:v>
                </c:pt>
              </c:numCache>
            </c:numRef>
          </c:val>
        </c:ser>
        <c:dLbls>
          <c:showLegendKey val="0"/>
          <c:showVal val="0"/>
          <c:showCatName val="0"/>
          <c:showSerName val="0"/>
          <c:showPercent val="0"/>
          <c:showBubbleSize val="0"/>
        </c:dLbls>
        <c:gapWidth val="150"/>
        <c:overlap val="100"/>
        <c:axId val="412956080"/>
        <c:axId val="152452312"/>
      </c:barChart>
      <c:catAx>
        <c:axId val="412956080"/>
        <c:scaling>
          <c:orientation val="minMax"/>
        </c:scaling>
        <c:delete val="0"/>
        <c:axPos val="b"/>
        <c:numFmt formatCode="General" sourceLinked="0"/>
        <c:majorTickMark val="out"/>
        <c:minorTickMark val="none"/>
        <c:tickLblPos val="nextTo"/>
        <c:crossAx val="152452312"/>
        <c:crosses val="autoZero"/>
        <c:auto val="1"/>
        <c:lblAlgn val="ctr"/>
        <c:lblOffset val="100"/>
        <c:noMultiLvlLbl val="0"/>
      </c:catAx>
      <c:valAx>
        <c:axId val="152452312"/>
        <c:scaling>
          <c:orientation val="minMax"/>
        </c:scaling>
        <c:delete val="0"/>
        <c:axPos val="l"/>
        <c:majorGridlines/>
        <c:title>
          <c:tx>
            <c:rich>
              <a:bodyPr rot="-5400000" vert="horz"/>
              <a:lstStyle/>
              <a:p>
                <a:pPr>
                  <a:defRPr/>
                </a:pPr>
                <a:r>
                  <a:rPr lang="en-US"/>
                  <a:t># of Individual Units</a:t>
                </a:r>
              </a:p>
            </c:rich>
          </c:tx>
          <c:layout/>
          <c:overlay val="0"/>
        </c:title>
        <c:numFmt formatCode="_-* #,##0_-;\-* #,##0_-;_-* &quot;-&quot;??_-;_-@_-" sourceLinked="1"/>
        <c:majorTickMark val="out"/>
        <c:minorTickMark val="none"/>
        <c:tickLblPos val="nextTo"/>
        <c:crossAx val="412956080"/>
        <c:crosses val="autoZero"/>
        <c:crossBetween val="between"/>
        <c:majorUnit val="1000"/>
      </c:valAx>
    </c:plotArea>
    <c:plotVisOnly val="1"/>
    <c:dispBlanksAs val="gap"/>
    <c:showDLblsOverMax val="0"/>
  </c:chart>
  <c:txPr>
    <a:bodyPr/>
    <a:lstStyle/>
    <a:p>
      <a:pPr>
        <a:defRPr sz="800"/>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Lst>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a:t>Shelter Situation</a:t>
            </a:r>
          </a:p>
        </c:rich>
      </c:tx>
      <c:layout/>
      <c:overlay val="0"/>
    </c:title>
    <c:autoTitleDeleted val="0"/>
    <c:plotArea>
      <c:layout/>
      <c:pieChart>
        <c:varyColors val="1"/>
        <c:ser>
          <c:idx val="0"/>
          <c:order val="0"/>
          <c:dPt>
            <c:idx val="0"/>
            <c:bubble3D val="0"/>
            <c:spPr>
              <a:solidFill>
                <a:schemeClr val="accent3">
                  <a:lumMod val="75000"/>
                </a:schemeClr>
              </a:solidFill>
            </c:spPr>
          </c:dPt>
          <c:dPt>
            <c:idx val="2"/>
            <c:bubble3D val="0"/>
            <c:spPr>
              <a:solidFill>
                <a:schemeClr val="tx1"/>
              </a:solidFill>
            </c:spPr>
          </c:dPt>
          <c:dLbls>
            <c:dLbl>
              <c:idx val="2"/>
              <c:layout>
                <c:manualLayout>
                  <c:x val="0.12752496154304624"/>
                  <c:y val="0.10181859507517793"/>
                </c:manualLayout>
              </c:layout>
              <c:showLegendKey val="0"/>
              <c:showVal val="0"/>
              <c:showCatName val="0"/>
              <c:showSerName val="0"/>
              <c:showPercent val="1"/>
              <c:showBubbleSize val="0"/>
              <c:extLst>
                <c:ext xmlns:c15="http://schemas.microsoft.com/office/drawing/2012/chart" uri="{CE6537A1-D6FC-4f65-9D91-7224C49458BB}">
                  <c15:layout/>
                </c:ext>
              </c:extLst>
            </c:dLbl>
            <c:spPr>
              <a:noFill/>
              <a:ln>
                <a:noFill/>
              </a:ln>
              <a:effectLst/>
            </c:spPr>
            <c:txPr>
              <a:bodyPr/>
              <a:lstStyle/>
              <a:p>
                <a:pPr>
                  <a:defRPr sz="800">
                    <a:solidFill>
                      <a:schemeClr val="bg1"/>
                    </a:solidFill>
                  </a:defRPr>
                </a:pPr>
                <a:endParaRPr lang="en-US"/>
              </a:p>
            </c:txPr>
            <c:showLegendKey val="0"/>
            <c:showVal val="0"/>
            <c:showCatName val="0"/>
            <c:showSerName val="0"/>
            <c:showPercent val="1"/>
            <c:showBubbleSize val="0"/>
            <c:showLeaderLines val="1"/>
            <c:extLst>
              <c:ext xmlns:c15="http://schemas.microsoft.com/office/drawing/2012/chart" uri="{CE6537A1-D6FC-4f65-9D91-7224C49458BB}">
                <c15:layout/>
              </c:ext>
            </c:extLst>
          </c:dLbls>
          <c:cat>
            <c:multiLvlStrRef>
              <c:f>('[1]Shelter Coverage &amp; Gaps'!$S$7,'[1]Shelter Coverage &amp; Gaps'!$S$9:$S$10)</c:f>
            </c:multiLvlStrRef>
          </c:cat>
          <c:val>
            <c:numRef>
              <c:f>('[1]Shelter Coverage &amp; Gaps'!$T$7,'[1]Shelter Coverage &amp; Gaps'!$T$9:$T$10)</c:f>
              <c:numCache>
                <c:formatCode>General</c:formatCode>
                <c:ptCount val="3"/>
                <c:pt idx="0">
                  <c:v>11764</c:v>
                </c:pt>
                <c:pt idx="1">
                  <c:v>5677</c:v>
                </c:pt>
                <c:pt idx="2">
                  <c:v>84</c:v>
                </c:pt>
              </c:numCache>
            </c:numRef>
          </c:val>
        </c:ser>
        <c:dLbls>
          <c:showLegendKey val="0"/>
          <c:showVal val="0"/>
          <c:showCatName val="0"/>
          <c:showSerName val="0"/>
          <c:showPercent val="1"/>
          <c:showBubbleSize val="0"/>
          <c:showLeaderLines val="1"/>
        </c:dLbls>
        <c:firstSliceAng val="0"/>
      </c:pieChart>
    </c:plotArea>
    <c:legend>
      <c:legendPos val="r"/>
      <c:layout>
        <c:manualLayout>
          <c:xMode val="edge"/>
          <c:yMode val="edge"/>
          <c:x val="0.55840681863257957"/>
          <c:y val="0.36150408145732416"/>
          <c:w val="0.43437583290758552"/>
          <c:h val="0.51831633036161839"/>
        </c:manualLayout>
      </c:layout>
      <c:overlay val="0"/>
    </c:legend>
    <c:plotVisOnly val="1"/>
    <c:dispBlanksAs val="gap"/>
    <c:showDLblsOverMax val="0"/>
  </c:chart>
  <c:spPr>
    <a:solidFill>
      <a:schemeClr val="bg1">
        <a:lumMod val="95000"/>
      </a:schemeClr>
    </a:solidFill>
  </c:sp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NFI Distribution in Rakhine State by Agency</a:t>
            </a:r>
          </a:p>
        </c:rich>
      </c:tx>
      <c:overlay val="0"/>
    </c:title>
    <c:autoTitleDeleted val="0"/>
    <c:plotArea>
      <c:layout/>
      <c:barChart>
        <c:barDir val="bar"/>
        <c:grouping val="clustered"/>
        <c:varyColors val="0"/>
        <c:ser>
          <c:idx val="0"/>
          <c:order val="0"/>
          <c:invertIfNegative val="0"/>
          <c:val>
            <c:numRef>
              <c:f>#REF!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Lst>
        </c:ser>
        <c:ser>
          <c:idx val="1"/>
          <c:order val="1"/>
          <c:invertIfNegative val="0"/>
          <c:val>
            <c:numRef>
              <c:f>#REF!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Lst>
        </c:ser>
        <c:ser>
          <c:idx val="2"/>
          <c:order val="2"/>
          <c:invertIfNegative val="0"/>
          <c:val>
            <c:numRef>
              <c:f>#REF!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Lst>
        </c:ser>
        <c:ser>
          <c:idx val="3"/>
          <c:order val="3"/>
          <c:invertIfNegative val="0"/>
          <c:val>
            <c:numRef>
              <c:f>#REF!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Lst>
        </c:ser>
        <c:ser>
          <c:idx val="4"/>
          <c:order val="4"/>
          <c:invertIfNegative val="0"/>
          <c:val>
            <c:numRef>
              <c:f>#REF!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Lst>
        </c:ser>
        <c:ser>
          <c:idx val="5"/>
          <c:order val="5"/>
          <c:invertIfNegative val="0"/>
          <c:val>
            <c:numRef>
              <c:f>#REF!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Lst>
        </c:ser>
        <c:ser>
          <c:idx val="6"/>
          <c:order val="6"/>
          <c:invertIfNegative val="0"/>
          <c:val>
            <c:numRef>
              <c:f>#REF!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Lst>
        </c:ser>
        <c:ser>
          <c:idx val="7"/>
          <c:order val="7"/>
          <c:invertIfNegative val="0"/>
          <c:val>
            <c:numRef>
              <c:f>#REF!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Lst>
        </c:ser>
        <c:dLbls>
          <c:showLegendKey val="0"/>
          <c:showVal val="0"/>
          <c:showCatName val="0"/>
          <c:showSerName val="0"/>
          <c:showPercent val="0"/>
          <c:showBubbleSize val="0"/>
        </c:dLbls>
        <c:gapWidth val="150"/>
        <c:axId val="258183752"/>
        <c:axId val="258184144"/>
      </c:barChart>
      <c:catAx>
        <c:axId val="258183752"/>
        <c:scaling>
          <c:orientation val="minMax"/>
        </c:scaling>
        <c:delete val="0"/>
        <c:axPos val="l"/>
        <c:majorTickMark val="none"/>
        <c:minorTickMark val="none"/>
        <c:tickLblPos val="nextTo"/>
        <c:crossAx val="258184144"/>
        <c:crosses val="autoZero"/>
        <c:auto val="1"/>
        <c:lblAlgn val="ctr"/>
        <c:lblOffset val="100"/>
        <c:noMultiLvlLbl val="0"/>
      </c:catAx>
      <c:valAx>
        <c:axId val="258184144"/>
        <c:scaling>
          <c:orientation val="minMax"/>
        </c:scaling>
        <c:delete val="0"/>
        <c:axPos val="b"/>
        <c:majorGridlines/>
        <c:numFmt formatCode="General" sourceLinked="1"/>
        <c:majorTickMark val="none"/>
        <c:minorTickMark val="none"/>
        <c:tickLblPos val="nextTo"/>
        <c:crossAx val="258183752"/>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title>
      <c:tx>
        <c:rich>
          <a:bodyPr/>
          <a:lstStyle/>
          <a:p>
            <a:pPr>
              <a:defRPr sz="1100" b="1">
                <a:latin typeface="+mn-lt"/>
              </a:defRPr>
            </a:pPr>
            <a:r>
              <a:rPr lang="en-US" sz="1100" b="1">
                <a:latin typeface="+mn-lt"/>
              </a:rPr>
              <a:t>Coverage</a:t>
            </a:r>
            <a:r>
              <a:rPr lang="en-US" sz="1100" b="1" baseline="0">
                <a:latin typeface="+mn-lt"/>
              </a:rPr>
              <a:t> &amp; Gaps / Items</a:t>
            </a:r>
            <a:endParaRPr lang="en-US" sz="1100" b="1">
              <a:latin typeface="+mn-lt"/>
            </a:endParaRPr>
          </a:p>
        </c:rich>
      </c:tx>
      <c:layout>
        <c:manualLayout>
          <c:xMode val="edge"/>
          <c:yMode val="edge"/>
          <c:x val="0.2306514653125229"/>
          <c:y val="0"/>
        </c:manualLayout>
      </c:layout>
      <c:overlay val="0"/>
    </c:title>
    <c:autoTitleDeleted val="0"/>
    <c:plotArea>
      <c:layout>
        <c:manualLayout>
          <c:layoutTarget val="inner"/>
          <c:xMode val="edge"/>
          <c:yMode val="edge"/>
          <c:x val="0.14939203728374265"/>
          <c:y val="0.20269797903419415"/>
          <c:w val="0.6339556147360994"/>
          <c:h val="0.32959123111299371"/>
        </c:manualLayout>
      </c:layout>
      <c:barChart>
        <c:barDir val="col"/>
        <c:grouping val="stacked"/>
        <c:varyColors val="0"/>
        <c:ser>
          <c:idx val="1"/>
          <c:order val="0"/>
          <c:tx>
            <c:strRef>
              <c:f>'NFI Summary'!$G$12</c:f>
              <c:strCache>
                <c:ptCount val="1"/>
                <c:pt idx="0">
                  <c:v>% Distributed</c:v>
                </c:pt>
              </c:strCache>
            </c:strRef>
          </c:tx>
          <c:spPr>
            <a:solidFill>
              <a:srgbClr val="25FF88"/>
            </a:solidFill>
          </c:spPr>
          <c:invertIfNegative val="0"/>
          <c:cat>
            <c:strRef>
              <c:f>'NFI Summary'!$C$13:$C$19</c:f>
              <c:strCache>
                <c:ptCount val="7"/>
                <c:pt idx="0">
                  <c:v>Mosquito net</c:v>
                </c:pt>
                <c:pt idx="1">
                  <c:v>Tarpaulin</c:v>
                </c:pt>
                <c:pt idx="2">
                  <c:v>Blanket</c:v>
                </c:pt>
                <c:pt idx="3">
                  <c:v>Kitchen Set</c:v>
                </c:pt>
                <c:pt idx="4">
                  <c:v>Clothes Kit</c:v>
                </c:pt>
                <c:pt idx="5">
                  <c:v>Plastic Bucket</c:v>
                </c:pt>
                <c:pt idx="6">
                  <c:v>Plastic Mat</c:v>
                </c:pt>
              </c:strCache>
            </c:strRef>
          </c:cat>
          <c:val>
            <c:numRef>
              <c:f>'NFI Summary'!$G$13:$G$19</c:f>
              <c:numCache>
                <c:formatCode>0%</c:formatCode>
                <c:ptCount val="7"/>
                <c:pt idx="0">
                  <c:v>5.5841924398625431E-3</c:v>
                </c:pt>
                <c:pt idx="1">
                  <c:v>6.0137457044673543E-3</c:v>
                </c:pt>
                <c:pt idx="2">
                  <c:v>5.5841924398625431E-3</c:v>
                </c:pt>
                <c:pt idx="3">
                  <c:v>6.0137457044673543E-3</c:v>
                </c:pt>
                <c:pt idx="4">
                  <c:v>6.0137457044673543E-3</c:v>
                </c:pt>
                <c:pt idx="5">
                  <c:v>1.1168384879725086E-2</c:v>
                </c:pt>
                <c:pt idx="6">
                  <c:v>0</c:v>
                </c:pt>
              </c:numCache>
            </c:numRef>
          </c:val>
        </c:ser>
        <c:ser>
          <c:idx val="3"/>
          <c:order val="1"/>
          <c:tx>
            <c:strRef>
              <c:f>'NFI Summary'!$I$12</c:f>
              <c:strCache>
                <c:ptCount val="1"/>
                <c:pt idx="0">
                  <c:v>% In Stock</c:v>
                </c:pt>
              </c:strCache>
            </c:strRef>
          </c:tx>
          <c:spPr>
            <a:solidFill>
              <a:schemeClr val="accent1">
                <a:lumMod val="40000"/>
                <a:lumOff val="60000"/>
              </a:schemeClr>
            </a:solidFill>
            <a:ln>
              <a:noFill/>
            </a:ln>
          </c:spPr>
          <c:invertIfNegative val="0"/>
          <c:cat>
            <c:strRef>
              <c:f>'NFI Summary'!$C$13:$C$19</c:f>
              <c:strCache>
                <c:ptCount val="7"/>
                <c:pt idx="0">
                  <c:v>Mosquito net</c:v>
                </c:pt>
                <c:pt idx="1">
                  <c:v>Tarpaulin</c:v>
                </c:pt>
                <c:pt idx="2">
                  <c:v>Blanket</c:v>
                </c:pt>
                <c:pt idx="3">
                  <c:v>Kitchen Set</c:v>
                </c:pt>
                <c:pt idx="4">
                  <c:v>Clothes Kit</c:v>
                </c:pt>
                <c:pt idx="5">
                  <c:v>Plastic Bucket</c:v>
                </c:pt>
                <c:pt idx="6">
                  <c:v>Plastic Mat</c:v>
                </c:pt>
              </c:strCache>
            </c:strRef>
          </c:cat>
          <c:val>
            <c:numRef>
              <c:f>'NFI Summary'!$I$13:$I$19</c:f>
              <c:numCache>
                <c:formatCode>0%</c:formatCode>
                <c:ptCount val="7"/>
                <c:pt idx="0">
                  <c:v>2.6151202749140894</c:v>
                </c:pt>
                <c:pt idx="1">
                  <c:v>2.5317869415807559</c:v>
                </c:pt>
                <c:pt idx="2">
                  <c:v>4.4450171821305844</c:v>
                </c:pt>
                <c:pt idx="3">
                  <c:v>2.0532646048109964</c:v>
                </c:pt>
                <c:pt idx="4">
                  <c:v>0</c:v>
                </c:pt>
                <c:pt idx="5">
                  <c:v>1.8376288659793814</c:v>
                </c:pt>
                <c:pt idx="6">
                  <c:v>1.892955326460481</c:v>
                </c:pt>
              </c:numCache>
            </c:numRef>
          </c:val>
        </c:ser>
        <c:ser>
          <c:idx val="0"/>
          <c:order val="2"/>
          <c:tx>
            <c:strRef>
              <c:f>'NFI Summary'!$J$12</c:f>
              <c:strCache>
                <c:ptCount val="1"/>
                <c:pt idx="0">
                  <c:v>% Gap</c:v>
                </c:pt>
              </c:strCache>
            </c:strRef>
          </c:tx>
          <c:spPr>
            <a:solidFill>
              <a:srgbClr val="FD2361"/>
            </a:solidFill>
          </c:spPr>
          <c:invertIfNegative val="0"/>
          <c:val>
            <c:numRef>
              <c:f>'NFI Summary'!$J$13:$J$19</c:f>
              <c:numCache>
                <c:formatCode>0%</c:formatCode>
                <c:ptCount val="7"/>
                <c:pt idx="0">
                  <c:v>0</c:v>
                </c:pt>
                <c:pt idx="1">
                  <c:v>0</c:v>
                </c:pt>
                <c:pt idx="2">
                  <c:v>0</c:v>
                </c:pt>
                <c:pt idx="3">
                  <c:v>0</c:v>
                </c:pt>
                <c:pt idx="4">
                  <c:v>0.99398625429553267</c:v>
                </c:pt>
                <c:pt idx="5">
                  <c:v>0</c:v>
                </c:pt>
                <c:pt idx="6">
                  <c:v>0</c:v>
                </c:pt>
              </c:numCache>
            </c:numRef>
          </c:val>
        </c:ser>
        <c:dLbls>
          <c:showLegendKey val="0"/>
          <c:showVal val="0"/>
          <c:showCatName val="0"/>
          <c:showSerName val="0"/>
          <c:showPercent val="0"/>
          <c:showBubbleSize val="0"/>
        </c:dLbls>
        <c:gapWidth val="55"/>
        <c:overlap val="100"/>
        <c:axId val="258184928"/>
        <c:axId val="413136336"/>
      </c:barChart>
      <c:catAx>
        <c:axId val="258184928"/>
        <c:scaling>
          <c:orientation val="minMax"/>
        </c:scaling>
        <c:delete val="0"/>
        <c:axPos val="b"/>
        <c:numFmt formatCode="General" sourceLinked="1"/>
        <c:majorTickMark val="none"/>
        <c:minorTickMark val="none"/>
        <c:tickLblPos val="nextTo"/>
        <c:txPr>
          <a:bodyPr rot="-5400000" vert="horz" anchor="t" anchorCtr="0"/>
          <a:lstStyle/>
          <a:p>
            <a:pPr>
              <a:defRPr sz="800" b="0" i="0" u="none" strike="noStrike" baseline="0">
                <a:solidFill>
                  <a:srgbClr val="000000"/>
                </a:solidFill>
                <a:latin typeface="Calibri"/>
                <a:ea typeface="Calibri"/>
                <a:cs typeface="Calibri"/>
              </a:defRPr>
            </a:pPr>
            <a:endParaRPr lang="en-US"/>
          </a:p>
        </c:txPr>
        <c:crossAx val="413136336"/>
        <c:crosses val="autoZero"/>
        <c:auto val="1"/>
        <c:lblAlgn val="ctr"/>
        <c:lblOffset val="0"/>
        <c:noMultiLvlLbl val="0"/>
      </c:catAx>
      <c:valAx>
        <c:axId val="413136336"/>
        <c:scaling>
          <c:orientation val="minMax"/>
          <c:max val="1"/>
        </c:scaling>
        <c:delete val="0"/>
        <c:axPos val="l"/>
        <c:majorGridlines>
          <c:spPr>
            <a:ln>
              <a:solidFill>
                <a:schemeClr val="accent1"/>
              </a:solidFill>
            </a:ln>
          </c:spPr>
        </c:majorGridlines>
        <c:numFmt formatCode="0%" sourceLinked="1"/>
        <c:majorTickMark val="none"/>
        <c:minorTickMark val="none"/>
        <c:tickLblPos val="nextTo"/>
        <c:txPr>
          <a:bodyPr rot="0" vert="horz"/>
          <a:lstStyle/>
          <a:p>
            <a:pPr>
              <a:defRPr sz="800" b="0" i="0" u="none" strike="noStrike" baseline="0">
                <a:solidFill>
                  <a:srgbClr val="000000"/>
                </a:solidFill>
                <a:latin typeface="Calibri"/>
                <a:ea typeface="Calibri"/>
                <a:cs typeface="Calibri"/>
              </a:defRPr>
            </a:pPr>
            <a:endParaRPr lang="en-US"/>
          </a:p>
        </c:txPr>
        <c:crossAx val="258184928"/>
        <c:crosses val="autoZero"/>
        <c:crossBetween val="between"/>
        <c:majorUnit val="0.2"/>
      </c:valAx>
      <c:spPr>
        <a:noFill/>
        <a:ln w="25400">
          <a:noFill/>
        </a:ln>
      </c:spPr>
    </c:plotArea>
    <c:legend>
      <c:legendPos val="r"/>
      <c:layout/>
      <c:overlay val="0"/>
      <c:txPr>
        <a:bodyPr/>
        <a:lstStyle/>
        <a:p>
          <a:pPr>
            <a:defRPr sz="800"/>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0.75000000000000011" l="0.70000000000000007" r="0.70000000000000007" t="0.75000000000000011" header="0.30000000000000004" footer="0.30000000000000004"/>
    <c:pageSetup paperSize="132" orientation="landscape" horizontalDpi="300" verticalDpi="300"/>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[Shelter-NFI-CCCM Kachin Northern Shan Cluster Analysis Report 1st June 2016.xlsx]NFI Distribution (by Tship)!PivotTable3</c:name>
    <c:fmtId val="5"/>
  </c:pivotSource>
  <c:chart>
    <c:title>
      <c:tx>
        <c:rich>
          <a:bodyPr/>
          <a:lstStyle/>
          <a:p>
            <a:pPr>
              <a:defRPr/>
            </a:pPr>
            <a:r>
              <a:rPr lang="en-US"/>
              <a:t>Per Oraganization</a:t>
            </a:r>
          </a:p>
        </c:rich>
      </c:tx>
      <c:layout>
        <c:manualLayout>
          <c:xMode val="edge"/>
          <c:yMode val="edge"/>
          <c:x val="0.30904386990904809"/>
          <c:y val="3.2689095681221664E-2"/>
        </c:manualLayout>
      </c:layout>
      <c:overlay val="1"/>
    </c:title>
    <c:autoTitleDeleted val="0"/>
    <c:pivotFmts>
      <c:pivotFmt>
        <c:idx val="0"/>
      </c:pivotFmt>
      <c:pivotFmt>
        <c:idx val="1"/>
      </c:pivotFmt>
      <c:pivotFmt>
        <c:idx val="2"/>
      </c:pivotFmt>
      <c:pivotFmt>
        <c:idx val="3"/>
      </c:pivotFmt>
      <c:pivotFmt>
        <c:idx val="4"/>
      </c:pivotFmt>
      <c:pivotFmt>
        <c:idx val="5"/>
      </c:pivotFmt>
      <c:pivotFmt>
        <c:idx val="6"/>
      </c:pivotFmt>
      <c:pivotFmt>
        <c:idx val="7"/>
      </c:pivotFmt>
      <c:pivotFmt>
        <c:idx val="8"/>
      </c:pivotFmt>
      <c:pivotFmt>
        <c:idx val="9"/>
      </c:pivotFmt>
      <c:pivotFmt>
        <c:idx val="10"/>
      </c:pivotFmt>
      <c:pivotFmt>
        <c:idx val="11"/>
      </c:pivotFmt>
      <c:pivotFmt>
        <c:idx val="12"/>
      </c:pivotFmt>
      <c:pivotFmt>
        <c:idx val="13"/>
      </c:pivotFmt>
      <c:pivotFmt>
        <c:idx val="14"/>
      </c:pivotFmt>
      <c:pivotFmt>
        <c:idx val="15"/>
      </c:pivotFmt>
      <c:pivotFmt>
        <c:idx val="16"/>
      </c:pivotFmt>
      <c:pivotFmt>
        <c:idx val="17"/>
      </c:pivotFmt>
      <c:pivotFmt>
        <c:idx val="18"/>
      </c:pivotFmt>
      <c:pivotFmt>
        <c:idx val="19"/>
      </c:pivotFmt>
      <c:pivotFmt>
        <c:idx val="20"/>
      </c:pivotFmt>
      <c:pivotFmt>
        <c:idx val="21"/>
      </c:pivotFmt>
      <c:pivotFmt>
        <c:idx val="22"/>
        <c:marker>
          <c:symbol val="none"/>
        </c:marker>
      </c:pivotFmt>
      <c:pivotFmt>
        <c:idx val="23"/>
        <c:marker>
          <c:symbol val="none"/>
        </c:marker>
      </c:pivotFmt>
      <c:pivotFmt>
        <c:idx val="24"/>
        <c:marker>
          <c:symbol val="none"/>
        </c:marker>
      </c:pivotFmt>
      <c:pivotFmt>
        <c:idx val="25"/>
        <c:marker>
          <c:symbol val="none"/>
        </c:marker>
      </c:pivotFmt>
      <c:pivotFmt>
        <c:idx val="26"/>
        <c:marker>
          <c:symbol val="none"/>
        </c:marker>
      </c:pivotFmt>
      <c:pivotFmt>
        <c:idx val="27"/>
        <c:marker>
          <c:symbol val="none"/>
        </c:marker>
      </c:pivotFmt>
      <c:pivotFmt>
        <c:idx val="28"/>
        <c:marker>
          <c:symbol val="none"/>
        </c:marker>
      </c:pivotFmt>
      <c:pivotFmt>
        <c:idx val="29"/>
        <c:marker>
          <c:symbol val="none"/>
        </c:marker>
      </c:pivotFmt>
      <c:pivotFmt>
        <c:idx val="30"/>
        <c:marker>
          <c:symbol val="none"/>
        </c:marker>
      </c:pivotFmt>
      <c:pivotFmt>
        <c:idx val="31"/>
        <c:marker>
          <c:symbol val="none"/>
        </c:marker>
      </c:pivotFmt>
      <c:pivotFmt>
        <c:idx val="32"/>
        <c:marker>
          <c:symbol val="none"/>
        </c:marker>
      </c:pivotFmt>
      <c:pivotFmt>
        <c:idx val="33"/>
        <c:marker>
          <c:symbol val="none"/>
        </c:marker>
      </c:pivotFmt>
      <c:pivotFmt>
        <c:idx val="34"/>
        <c:marker>
          <c:symbol val="none"/>
        </c:marker>
      </c:pivotFmt>
      <c:pivotFmt>
        <c:idx val="35"/>
        <c:marker>
          <c:symbol val="none"/>
        </c:marker>
      </c:pivotFmt>
      <c:pivotFmt>
        <c:idx val="36"/>
        <c:marker>
          <c:symbol val="none"/>
        </c:marker>
      </c:pivotFmt>
      <c:pivotFmt>
        <c:idx val="37"/>
        <c:marker>
          <c:symbol val="none"/>
        </c:marker>
      </c:pivotFmt>
      <c:pivotFmt>
        <c:idx val="38"/>
        <c:marker>
          <c:symbol val="none"/>
        </c:marker>
      </c:pivotFmt>
      <c:pivotFmt>
        <c:idx val="39"/>
        <c:marker>
          <c:symbol val="none"/>
        </c:marker>
      </c:pivotFmt>
      <c:pivotFmt>
        <c:idx val="40"/>
        <c:marker>
          <c:symbol val="none"/>
        </c:marker>
      </c:pivotFmt>
      <c:pivotFmt>
        <c:idx val="41"/>
        <c:marker>
          <c:symbol val="none"/>
        </c:marker>
      </c:pivotFmt>
    </c:pivotFmts>
    <c:plotArea>
      <c:layout>
        <c:manualLayout>
          <c:layoutTarget val="inner"/>
          <c:xMode val="edge"/>
          <c:yMode val="edge"/>
          <c:x val="0.13372460706783282"/>
          <c:y val="0.1712043664996421"/>
          <c:w val="0.56123337707786525"/>
          <c:h val="0.68340359530308714"/>
        </c:manualLayout>
      </c:layout>
      <c:barChart>
        <c:barDir val="col"/>
        <c:grouping val="clustered"/>
        <c:varyColors val="0"/>
        <c:ser>
          <c:idx val="0"/>
          <c:order val="0"/>
          <c:tx>
            <c:strRef>
              <c:f>'NFI Distribution (by Tship)'!$B$62</c:f>
              <c:strCache>
                <c:ptCount val="1"/>
                <c:pt idx="0">
                  <c:v>Mosquito net </c:v>
                </c:pt>
              </c:strCache>
            </c:strRef>
          </c:tx>
          <c:invertIfNegative val="0"/>
          <c:cat>
            <c:strRef>
              <c:f>'NFI Distribution (by Tship)'!$A$63:$A$65</c:f>
              <c:strCache>
                <c:ptCount val="2"/>
                <c:pt idx="0">
                  <c:v>Solidarities</c:v>
                </c:pt>
                <c:pt idx="1">
                  <c:v>UNHCR</c:v>
                </c:pt>
              </c:strCache>
            </c:strRef>
          </c:cat>
          <c:val>
            <c:numRef>
              <c:f>'NFI Distribution (by Tship)'!$B$63:$B$65</c:f>
              <c:numCache>
                <c:formatCode>_-* #,##0_-;\-* #,##0_-;_-* "-"??_-;_-@_-</c:formatCode>
                <c:ptCount val="2"/>
                <c:pt idx="1">
                  <c:v>753</c:v>
                </c:pt>
              </c:numCache>
            </c:numRef>
          </c:val>
        </c:ser>
        <c:ser>
          <c:idx val="1"/>
          <c:order val="1"/>
          <c:tx>
            <c:strRef>
              <c:f>'NFI Distribution (by Tship)'!$C$62</c:f>
              <c:strCache>
                <c:ptCount val="1"/>
                <c:pt idx="0">
                  <c:v>Tarpaulin</c:v>
                </c:pt>
              </c:strCache>
            </c:strRef>
          </c:tx>
          <c:invertIfNegative val="0"/>
          <c:cat>
            <c:strRef>
              <c:f>'NFI Distribution (by Tship)'!$A$63:$A$65</c:f>
              <c:strCache>
                <c:ptCount val="2"/>
                <c:pt idx="0">
                  <c:v>Solidarities</c:v>
                </c:pt>
                <c:pt idx="1">
                  <c:v>UNHCR</c:v>
                </c:pt>
              </c:strCache>
            </c:strRef>
          </c:cat>
          <c:val>
            <c:numRef>
              <c:f>'NFI Distribution (by Tship)'!$C$63:$C$65</c:f>
              <c:numCache>
                <c:formatCode>_-* #,##0_-;\-* #,##0_-;_-* "-"??_-;_-@_-</c:formatCode>
                <c:ptCount val="2"/>
                <c:pt idx="1">
                  <c:v>407</c:v>
                </c:pt>
              </c:numCache>
            </c:numRef>
          </c:val>
        </c:ser>
        <c:ser>
          <c:idx val="2"/>
          <c:order val="2"/>
          <c:tx>
            <c:strRef>
              <c:f>'NFI Distribution (by Tship)'!$D$62</c:f>
              <c:strCache>
                <c:ptCount val="1"/>
                <c:pt idx="0">
                  <c:v>Blanket</c:v>
                </c:pt>
              </c:strCache>
            </c:strRef>
          </c:tx>
          <c:invertIfNegative val="0"/>
          <c:cat>
            <c:strRef>
              <c:f>'NFI Distribution (by Tship)'!$A$63:$A$65</c:f>
              <c:strCache>
                <c:ptCount val="2"/>
                <c:pt idx="0">
                  <c:v>Solidarities</c:v>
                </c:pt>
                <c:pt idx="1">
                  <c:v>UNHCR</c:v>
                </c:pt>
              </c:strCache>
            </c:strRef>
          </c:cat>
          <c:val>
            <c:numRef>
              <c:f>'NFI Distribution (by Tship)'!$D$63:$D$65</c:f>
              <c:numCache>
                <c:formatCode>_-* #,##0_-;\-* #,##0_-;_-* "-"??_-;_-@_-</c:formatCode>
                <c:ptCount val="2"/>
                <c:pt idx="1">
                  <c:v>878</c:v>
                </c:pt>
              </c:numCache>
            </c:numRef>
          </c:val>
        </c:ser>
        <c:ser>
          <c:idx val="3"/>
          <c:order val="3"/>
          <c:tx>
            <c:strRef>
              <c:f>'NFI Distribution (by Tship)'!$E$62</c:f>
              <c:strCache>
                <c:ptCount val="1"/>
                <c:pt idx="0">
                  <c:v>Kitchen Set</c:v>
                </c:pt>
              </c:strCache>
            </c:strRef>
          </c:tx>
          <c:invertIfNegative val="0"/>
          <c:cat>
            <c:strRef>
              <c:f>'NFI Distribution (by Tship)'!$A$63:$A$65</c:f>
              <c:strCache>
                <c:ptCount val="2"/>
                <c:pt idx="0">
                  <c:v>Solidarities</c:v>
                </c:pt>
                <c:pt idx="1">
                  <c:v>UNHCR</c:v>
                </c:pt>
              </c:strCache>
            </c:strRef>
          </c:cat>
          <c:val>
            <c:numRef>
              <c:f>'NFI Distribution (by Tship)'!$E$63:$E$65</c:f>
              <c:numCache>
                <c:formatCode>_-* #,##0_-;\-* #,##0_-;_-* "-"??_-;_-@_-</c:formatCode>
                <c:ptCount val="2"/>
                <c:pt idx="1">
                  <c:v>207</c:v>
                </c:pt>
              </c:numCache>
            </c:numRef>
          </c:val>
        </c:ser>
        <c:ser>
          <c:idx val="4"/>
          <c:order val="4"/>
          <c:tx>
            <c:strRef>
              <c:f>'NFI Distribution (by Tship)'!$F$62</c:f>
              <c:strCache>
                <c:ptCount val="1"/>
                <c:pt idx="0">
                  <c:v>Plastic Bucket </c:v>
                </c:pt>
              </c:strCache>
            </c:strRef>
          </c:tx>
          <c:invertIfNegative val="0"/>
          <c:cat>
            <c:strRef>
              <c:f>'NFI Distribution (by Tship)'!$A$63:$A$65</c:f>
              <c:strCache>
                <c:ptCount val="2"/>
                <c:pt idx="0">
                  <c:v>Solidarities</c:v>
                </c:pt>
                <c:pt idx="1">
                  <c:v>UNHCR</c:v>
                </c:pt>
              </c:strCache>
            </c:strRef>
          </c:cat>
          <c:val>
            <c:numRef>
              <c:f>'NFI Distribution (by Tship)'!$F$63:$F$65</c:f>
              <c:numCache>
                <c:formatCode>_-* #,##0_-;\-* #,##0_-;_-* "-"??_-;_-@_-</c:formatCode>
                <c:ptCount val="2"/>
                <c:pt idx="1">
                  <c:v>213</c:v>
                </c:pt>
              </c:numCache>
            </c:numRef>
          </c:val>
        </c:ser>
        <c:ser>
          <c:idx val="5"/>
          <c:order val="5"/>
          <c:tx>
            <c:strRef>
              <c:f>'NFI Distribution (by Tship)'!$G$62</c:f>
              <c:strCache>
                <c:ptCount val="1"/>
                <c:pt idx="0">
                  <c:v>Plastic Mat </c:v>
                </c:pt>
              </c:strCache>
            </c:strRef>
          </c:tx>
          <c:invertIfNegative val="0"/>
          <c:cat>
            <c:strRef>
              <c:f>'NFI Distribution (by Tship)'!$A$63:$A$65</c:f>
              <c:strCache>
                <c:ptCount val="2"/>
                <c:pt idx="0">
                  <c:v>Solidarities</c:v>
                </c:pt>
                <c:pt idx="1">
                  <c:v>UNHCR</c:v>
                </c:pt>
              </c:strCache>
            </c:strRef>
          </c:cat>
          <c:val>
            <c:numRef>
              <c:f>'NFI Distribution (by Tship)'!$G$63:$G$65</c:f>
              <c:numCache>
                <c:formatCode>_-* #,##0_-;\-* #,##0_-;_-* "-"??_-;_-@_-</c:formatCode>
                <c:ptCount val="2"/>
                <c:pt idx="1">
                  <c:v>975</c:v>
                </c:pt>
              </c:numCache>
            </c:numRef>
          </c:val>
        </c:ser>
        <c:dLbls>
          <c:showLegendKey val="0"/>
          <c:showVal val="0"/>
          <c:showCatName val="0"/>
          <c:showSerName val="0"/>
          <c:showPercent val="0"/>
          <c:showBubbleSize val="0"/>
        </c:dLbls>
        <c:gapWidth val="150"/>
        <c:axId val="413137120"/>
        <c:axId val="413137512"/>
      </c:barChart>
      <c:catAx>
        <c:axId val="413137120"/>
        <c:scaling>
          <c:orientation val="minMax"/>
        </c:scaling>
        <c:delete val="0"/>
        <c:axPos val="b"/>
        <c:numFmt formatCode="General" sourceLinked="0"/>
        <c:majorTickMark val="out"/>
        <c:minorTickMark val="none"/>
        <c:tickLblPos val="nextTo"/>
        <c:crossAx val="413137512"/>
        <c:crosses val="autoZero"/>
        <c:auto val="1"/>
        <c:lblAlgn val="ctr"/>
        <c:lblOffset val="100"/>
        <c:noMultiLvlLbl val="0"/>
      </c:catAx>
      <c:valAx>
        <c:axId val="413137512"/>
        <c:scaling>
          <c:orientation val="minMax"/>
          <c:max val="1200"/>
          <c:min val="0"/>
        </c:scaling>
        <c:delete val="0"/>
        <c:axPos val="l"/>
        <c:majorGridlines/>
        <c:numFmt formatCode="_-* #,##0_-;\-* #,##0_-;_-* &quot;-&quot;??_-;_-@_-" sourceLinked="1"/>
        <c:majorTickMark val="out"/>
        <c:minorTickMark val="none"/>
        <c:tickLblPos val="nextTo"/>
        <c:crossAx val="413137120"/>
        <c:crosses val="autoZero"/>
        <c:crossBetween val="between"/>
      </c:valAx>
    </c:plotArea>
    <c:legend>
      <c:legendPos val="r"/>
      <c:layout>
        <c:manualLayout>
          <c:xMode val="edge"/>
          <c:yMode val="edge"/>
          <c:x val="0.70043357218032565"/>
          <c:y val="2.6869178193169082E-2"/>
          <c:w val="0.29690288713910762"/>
          <c:h val="0.9391539292882507"/>
        </c:manualLayout>
      </c:layout>
      <c:overlay val="0"/>
    </c:legend>
    <c:plotVisOnly val="1"/>
    <c:dispBlanksAs val="gap"/>
    <c:showDLblsOverMax val="0"/>
  </c:chart>
  <c:txPr>
    <a:bodyPr/>
    <a:lstStyle/>
    <a:p>
      <a:pPr>
        <a:defRPr sz="800"/>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[Shelter-NFI-CCCM Kachin Northern Shan Cluster Analysis Report 1st June 2016.xlsx]NFI Distribution (by Tship)!PivotTable4</c:name>
    <c:fmtId val="10"/>
  </c:pivotSource>
  <c:chart>
    <c:title>
      <c:tx>
        <c:rich>
          <a:bodyPr/>
          <a:lstStyle/>
          <a:p>
            <a:pPr algn="ctr" rtl="0">
              <a:defRPr lang="en-US" sz="960" b="1" i="0" u="none" strike="noStrike" kern="1200" baseline="0">
                <a:solidFill>
                  <a:sysClr val="windowText" lastClr="000000"/>
                </a:solidFill>
                <a:latin typeface="+mn-lt"/>
                <a:ea typeface="+mn-ea"/>
                <a:cs typeface="+mn-cs"/>
              </a:defRPr>
            </a:pPr>
            <a:r>
              <a:rPr lang="en-US" sz="960" b="1" i="0" u="none" strike="noStrike" kern="1200" baseline="0">
                <a:solidFill>
                  <a:sysClr val="windowText" lastClr="000000"/>
                </a:solidFill>
                <a:latin typeface="+mn-lt"/>
                <a:ea typeface="+mn-ea"/>
                <a:cs typeface="+mn-cs"/>
              </a:rPr>
              <a:t>Per Organization</a:t>
            </a:r>
          </a:p>
        </c:rich>
      </c:tx>
      <c:layout>
        <c:manualLayout>
          <c:xMode val="edge"/>
          <c:yMode val="edge"/>
          <c:x val="0.28193757716714046"/>
          <c:y val="1.8491995650205377E-3"/>
        </c:manualLayout>
      </c:layout>
      <c:overlay val="1"/>
    </c:title>
    <c:autoTitleDeleted val="0"/>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marker>
          <c:symbol val="none"/>
        </c:marker>
      </c:pivotFmt>
      <c:pivotFmt>
        <c:idx val="5"/>
        <c:marker>
          <c:symbol val="none"/>
        </c:marker>
      </c:pivotFmt>
      <c:pivotFmt>
        <c:idx val="6"/>
        <c:marker>
          <c:symbol val="none"/>
        </c:marker>
      </c:pivotFmt>
      <c:pivotFmt>
        <c:idx val="7"/>
        <c:marker>
          <c:symbol val="none"/>
        </c:marker>
      </c:pivotFmt>
      <c:pivotFmt>
        <c:idx val="8"/>
        <c:marker>
          <c:symbol val="none"/>
        </c:marker>
      </c:pivotFmt>
    </c:pivotFmts>
    <c:plotArea>
      <c:layout>
        <c:manualLayout>
          <c:layoutTarget val="inner"/>
          <c:xMode val="edge"/>
          <c:yMode val="edge"/>
          <c:x val="0.10722761076176529"/>
          <c:y val="0.12121204890715288"/>
          <c:w val="0.57053297728773655"/>
          <c:h val="0.51973841580862812"/>
        </c:manualLayout>
      </c:layout>
      <c:barChart>
        <c:barDir val="col"/>
        <c:grouping val="clustered"/>
        <c:varyColors val="0"/>
        <c:ser>
          <c:idx val="0"/>
          <c:order val="0"/>
          <c:tx>
            <c:strRef>
              <c:f>'NFI Distribution (by Tship)'!$B$72</c:f>
              <c:strCache>
                <c:ptCount val="1"/>
                <c:pt idx="0">
                  <c:v>Winter Clothes Adult </c:v>
                </c:pt>
              </c:strCache>
            </c:strRef>
          </c:tx>
          <c:invertIfNegative val="0"/>
          <c:cat>
            <c:strRef>
              <c:f>'NFI Distribution (by Tship)'!$A$73:$A$79</c:f>
              <c:strCache>
                <c:ptCount val="6"/>
                <c:pt idx="0">
                  <c:v>CRCS</c:v>
                </c:pt>
                <c:pt idx="1">
                  <c:v>DRC</c:v>
                </c:pt>
                <c:pt idx="2">
                  <c:v>ICRC</c:v>
                </c:pt>
                <c:pt idx="3">
                  <c:v>Plan-Myanmar</c:v>
                </c:pt>
                <c:pt idx="4">
                  <c:v>Solidarities</c:v>
                </c:pt>
                <c:pt idx="5">
                  <c:v>UNHCR</c:v>
                </c:pt>
              </c:strCache>
            </c:strRef>
          </c:cat>
          <c:val>
            <c:numRef>
              <c:f>'NFI Distribution (by Tship)'!$B$73:$B$79</c:f>
              <c:numCache>
                <c:formatCode>_-* #,##0_-;\-* #,##0_-;_-* "-"??_-;_-@_-</c:formatCode>
                <c:ptCount val="6"/>
                <c:pt idx="1">
                  <c:v>944</c:v>
                </c:pt>
                <c:pt idx="2">
                  <c:v>941</c:v>
                </c:pt>
                <c:pt idx="4">
                  <c:v>1155</c:v>
                </c:pt>
                <c:pt idx="5">
                  <c:v>2342</c:v>
                </c:pt>
              </c:numCache>
            </c:numRef>
          </c:val>
        </c:ser>
        <c:ser>
          <c:idx val="1"/>
          <c:order val="1"/>
          <c:tx>
            <c:strRef>
              <c:f>'NFI Distribution (by Tship)'!$C$72</c:f>
              <c:strCache>
                <c:ptCount val="1"/>
                <c:pt idx="0">
                  <c:v>Winter Clothes Children </c:v>
                </c:pt>
              </c:strCache>
            </c:strRef>
          </c:tx>
          <c:invertIfNegative val="0"/>
          <c:cat>
            <c:strRef>
              <c:f>'NFI Distribution (by Tship)'!$A$73:$A$79</c:f>
              <c:strCache>
                <c:ptCount val="6"/>
                <c:pt idx="0">
                  <c:v>CRCS</c:v>
                </c:pt>
                <c:pt idx="1">
                  <c:v>DRC</c:v>
                </c:pt>
                <c:pt idx="2">
                  <c:v>ICRC</c:v>
                </c:pt>
                <c:pt idx="3">
                  <c:v>Plan-Myanmar</c:v>
                </c:pt>
                <c:pt idx="4">
                  <c:v>Solidarities</c:v>
                </c:pt>
                <c:pt idx="5">
                  <c:v>UNHCR</c:v>
                </c:pt>
              </c:strCache>
            </c:strRef>
          </c:cat>
          <c:val>
            <c:numRef>
              <c:f>'NFI Distribution (by Tship)'!$C$73:$C$79</c:f>
              <c:numCache>
                <c:formatCode>_-* #,##0_-;\-* #,##0_-;_-* "-"??_-;_-@_-</c:formatCode>
                <c:ptCount val="6"/>
                <c:pt idx="1">
                  <c:v>553</c:v>
                </c:pt>
                <c:pt idx="2">
                  <c:v>619</c:v>
                </c:pt>
                <c:pt idx="3">
                  <c:v>1333</c:v>
                </c:pt>
                <c:pt idx="4">
                  <c:v>2263</c:v>
                </c:pt>
                <c:pt idx="5">
                  <c:v>4566</c:v>
                </c:pt>
              </c:numCache>
            </c:numRef>
          </c:val>
        </c:ser>
        <c:ser>
          <c:idx val="2"/>
          <c:order val="2"/>
          <c:tx>
            <c:strRef>
              <c:f>'NFI Distribution (by Tship)'!$D$72</c:f>
              <c:strCache>
                <c:ptCount val="1"/>
                <c:pt idx="0">
                  <c:v>Winter Blanket </c:v>
                </c:pt>
              </c:strCache>
            </c:strRef>
          </c:tx>
          <c:invertIfNegative val="0"/>
          <c:cat>
            <c:strRef>
              <c:f>'NFI Distribution (by Tship)'!$A$73:$A$79</c:f>
              <c:strCache>
                <c:ptCount val="6"/>
                <c:pt idx="0">
                  <c:v>CRCS</c:v>
                </c:pt>
                <c:pt idx="1">
                  <c:v>DRC</c:v>
                </c:pt>
                <c:pt idx="2">
                  <c:v>ICRC</c:v>
                </c:pt>
                <c:pt idx="3">
                  <c:v>Plan-Myanmar</c:v>
                </c:pt>
                <c:pt idx="4">
                  <c:v>Solidarities</c:v>
                </c:pt>
                <c:pt idx="5">
                  <c:v>UNHCR</c:v>
                </c:pt>
              </c:strCache>
            </c:strRef>
          </c:cat>
          <c:val>
            <c:numRef>
              <c:f>'NFI Distribution (by Tship)'!$D$73:$D$79</c:f>
              <c:numCache>
                <c:formatCode>_-* #,##0_-;\-* #,##0_-;_-* "-"??_-;_-@_-</c:formatCode>
                <c:ptCount val="6"/>
                <c:pt idx="0">
                  <c:v>684</c:v>
                </c:pt>
                <c:pt idx="2">
                  <c:v>549</c:v>
                </c:pt>
                <c:pt idx="4">
                  <c:v>3418</c:v>
                </c:pt>
                <c:pt idx="5">
                  <c:v>3416</c:v>
                </c:pt>
              </c:numCache>
            </c:numRef>
          </c:val>
        </c:ser>
        <c:dLbls>
          <c:showLegendKey val="0"/>
          <c:showVal val="0"/>
          <c:showCatName val="0"/>
          <c:showSerName val="0"/>
          <c:showPercent val="0"/>
          <c:showBubbleSize val="0"/>
        </c:dLbls>
        <c:gapWidth val="150"/>
        <c:axId val="413451848"/>
        <c:axId val="413452240"/>
      </c:barChart>
      <c:catAx>
        <c:axId val="413451848"/>
        <c:scaling>
          <c:orientation val="minMax"/>
        </c:scaling>
        <c:delete val="0"/>
        <c:axPos val="b"/>
        <c:numFmt formatCode="General" sourceLinked="0"/>
        <c:majorTickMark val="out"/>
        <c:minorTickMark val="none"/>
        <c:tickLblPos val="nextTo"/>
        <c:txPr>
          <a:bodyPr/>
          <a:lstStyle/>
          <a:p>
            <a:pPr>
              <a:defRPr sz="800"/>
            </a:pPr>
            <a:endParaRPr lang="en-US"/>
          </a:p>
        </c:txPr>
        <c:crossAx val="413452240"/>
        <c:crosses val="autoZero"/>
        <c:auto val="1"/>
        <c:lblAlgn val="ctr"/>
        <c:lblOffset val="100"/>
        <c:noMultiLvlLbl val="0"/>
      </c:catAx>
      <c:valAx>
        <c:axId val="413452240"/>
        <c:scaling>
          <c:orientation val="minMax"/>
        </c:scaling>
        <c:delete val="0"/>
        <c:axPos val="l"/>
        <c:majorGridlines/>
        <c:numFmt formatCode="_-* #,##0_-;\-* #,##0_-;_-* &quot;-&quot;??_-;_-@_-" sourceLinked="1"/>
        <c:majorTickMark val="out"/>
        <c:minorTickMark val="none"/>
        <c:tickLblPos val="nextTo"/>
        <c:txPr>
          <a:bodyPr/>
          <a:lstStyle/>
          <a:p>
            <a:pPr>
              <a:defRPr sz="800"/>
            </a:pPr>
            <a:endParaRPr lang="en-US"/>
          </a:p>
        </c:txPr>
        <c:crossAx val="413451848"/>
        <c:crosses val="autoZero"/>
        <c:crossBetween val="between"/>
        <c:majorUnit val="1000"/>
      </c:valAx>
    </c:plotArea>
    <c:legend>
      <c:legendPos val="r"/>
      <c:layout/>
      <c:overlay val="0"/>
      <c:txPr>
        <a:bodyPr/>
        <a:lstStyle/>
        <a:p>
          <a:pPr>
            <a:defRPr sz="800"/>
          </a:pPr>
          <a:endParaRPr lang="en-US"/>
        </a:p>
      </c:txPr>
    </c:legend>
    <c:plotVisOnly val="1"/>
    <c:dispBlanksAs val="gap"/>
    <c:showDLblsOverMax val="0"/>
  </c:chart>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title>
      <c:tx>
        <c:rich>
          <a:bodyPr/>
          <a:lstStyle/>
          <a:p>
            <a:pPr>
              <a:defRPr sz="1100" b="1">
                <a:latin typeface="+mn-lt"/>
              </a:defRPr>
            </a:pPr>
            <a:r>
              <a:rPr lang="en-US" sz="1100" b="1">
                <a:latin typeface="+mn-lt"/>
              </a:rPr>
              <a:t>Coverage</a:t>
            </a:r>
            <a:r>
              <a:rPr lang="en-US" sz="1100" b="1" baseline="0">
                <a:latin typeface="+mn-lt"/>
              </a:rPr>
              <a:t> &amp; Gaps / Items</a:t>
            </a:r>
            <a:endParaRPr lang="en-US" sz="1100" b="1">
              <a:latin typeface="+mn-lt"/>
            </a:endParaRPr>
          </a:p>
        </c:rich>
      </c:tx>
      <c:layout>
        <c:manualLayout>
          <c:xMode val="edge"/>
          <c:yMode val="edge"/>
          <c:x val="0.2306514653125229"/>
          <c:y val="0"/>
        </c:manualLayout>
      </c:layout>
      <c:overlay val="0"/>
    </c:title>
    <c:autoTitleDeleted val="0"/>
    <c:plotArea>
      <c:layout>
        <c:manualLayout>
          <c:layoutTarget val="inner"/>
          <c:xMode val="edge"/>
          <c:yMode val="edge"/>
          <c:x val="0.14939203728374265"/>
          <c:y val="0.20269797903419415"/>
          <c:w val="0.6339556147360994"/>
          <c:h val="0.32959123111299371"/>
        </c:manualLayout>
      </c:layout>
      <c:barChart>
        <c:barDir val="col"/>
        <c:grouping val="stacked"/>
        <c:varyColors val="0"/>
        <c:ser>
          <c:idx val="1"/>
          <c:order val="0"/>
          <c:tx>
            <c:strRef>
              <c:f>'NFI Summary'!$P$12</c:f>
              <c:strCache>
                <c:ptCount val="1"/>
                <c:pt idx="0">
                  <c:v>% Distributed</c:v>
                </c:pt>
              </c:strCache>
            </c:strRef>
          </c:tx>
          <c:spPr>
            <a:solidFill>
              <a:srgbClr val="25FF88"/>
            </a:solidFill>
          </c:spPr>
          <c:invertIfNegative val="0"/>
          <c:cat>
            <c:strRef>
              <c:f>'NFI Summary'!$L$13:$L$15</c:f>
              <c:strCache>
                <c:ptCount val="3"/>
                <c:pt idx="0">
                  <c:v>Winter Clothes Adult</c:v>
                </c:pt>
                <c:pt idx="1">
                  <c:v>Winter Clothes Children</c:v>
                </c:pt>
                <c:pt idx="2">
                  <c:v>Winter Blanket</c:v>
                </c:pt>
              </c:strCache>
            </c:strRef>
          </c:cat>
          <c:val>
            <c:numRef>
              <c:f>'NFI Summary'!$P$13:$P$15</c:f>
              <c:numCache>
                <c:formatCode>0%</c:formatCode>
                <c:ptCount val="3"/>
                <c:pt idx="0">
                  <c:v>0.19733185102834908</c:v>
                </c:pt>
                <c:pt idx="1">
                  <c:v>0.39744302390216785</c:v>
                </c:pt>
                <c:pt idx="2">
                  <c:v>9.6164535853251812E-2</c:v>
                </c:pt>
              </c:numCache>
            </c:numRef>
          </c:val>
        </c:ser>
        <c:ser>
          <c:idx val="3"/>
          <c:order val="1"/>
          <c:tx>
            <c:strRef>
              <c:f>'NFI Summary'!$R$12</c:f>
              <c:strCache>
                <c:ptCount val="1"/>
                <c:pt idx="0">
                  <c:v>% In Stock</c:v>
                </c:pt>
              </c:strCache>
            </c:strRef>
          </c:tx>
          <c:spPr>
            <a:solidFill>
              <a:schemeClr val="accent1">
                <a:lumMod val="40000"/>
                <a:lumOff val="60000"/>
              </a:schemeClr>
            </a:solidFill>
            <a:ln>
              <a:noFill/>
            </a:ln>
          </c:spPr>
          <c:invertIfNegative val="0"/>
          <c:cat>
            <c:strRef>
              <c:f>'NFI Summary'!$L$13:$L$15</c:f>
              <c:strCache>
                <c:ptCount val="3"/>
                <c:pt idx="0">
                  <c:v>Winter Clothes Adult</c:v>
                </c:pt>
                <c:pt idx="1">
                  <c:v>Winter Clothes Children</c:v>
                </c:pt>
                <c:pt idx="2">
                  <c:v>Winter Blanket</c:v>
                </c:pt>
              </c:strCache>
            </c:strRef>
          </c:cat>
          <c:val>
            <c:numRef>
              <c:f>'NFI Summary'!$R$13:$R$15</c:f>
              <c:numCache>
                <c:formatCode>0%</c:formatCode>
                <c:ptCount val="3"/>
                <c:pt idx="0">
                  <c:v>0</c:v>
                </c:pt>
                <c:pt idx="1">
                  <c:v>8.6158977209560866E-2</c:v>
                </c:pt>
                <c:pt idx="2">
                  <c:v>0.37076153418565871</c:v>
                </c:pt>
              </c:numCache>
            </c:numRef>
          </c:val>
        </c:ser>
        <c:ser>
          <c:idx val="0"/>
          <c:order val="2"/>
          <c:tx>
            <c:strRef>
              <c:f>'NFI Summary'!$S$12</c:f>
              <c:strCache>
                <c:ptCount val="1"/>
                <c:pt idx="0">
                  <c:v>% Gap</c:v>
                </c:pt>
              </c:strCache>
            </c:strRef>
          </c:tx>
          <c:spPr>
            <a:solidFill>
              <a:srgbClr val="FD2361"/>
            </a:solidFill>
          </c:spPr>
          <c:invertIfNegative val="0"/>
          <c:cat>
            <c:strRef>
              <c:f>'NFI Summary'!$L$13:$L$15</c:f>
              <c:strCache>
                <c:ptCount val="3"/>
                <c:pt idx="0">
                  <c:v>Winter Clothes Adult</c:v>
                </c:pt>
                <c:pt idx="1">
                  <c:v>Winter Clothes Children</c:v>
                </c:pt>
                <c:pt idx="2">
                  <c:v>Winter Blanket</c:v>
                </c:pt>
              </c:strCache>
            </c:strRef>
          </c:cat>
          <c:val>
            <c:numRef>
              <c:f>'NFI Summary'!$S$13:$S$15</c:f>
              <c:numCache>
                <c:formatCode>0%</c:formatCode>
                <c:ptCount val="3"/>
                <c:pt idx="0">
                  <c:v>0.80266814897165095</c:v>
                </c:pt>
                <c:pt idx="1">
                  <c:v>0.51639799888827131</c:v>
                </c:pt>
                <c:pt idx="2">
                  <c:v>0.53307392996108949</c:v>
                </c:pt>
              </c:numCache>
            </c:numRef>
          </c:val>
        </c:ser>
        <c:dLbls>
          <c:showLegendKey val="0"/>
          <c:showVal val="0"/>
          <c:showCatName val="0"/>
          <c:showSerName val="0"/>
          <c:showPercent val="0"/>
          <c:showBubbleSize val="0"/>
        </c:dLbls>
        <c:gapWidth val="55"/>
        <c:overlap val="100"/>
        <c:axId val="413453024"/>
        <c:axId val="413453416"/>
      </c:barChart>
      <c:catAx>
        <c:axId val="413453024"/>
        <c:scaling>
          <c:orientation val="minMax"/>
        </c:scaling>
        <c:delete val="0"/>
        <c:axPos val="b"/>
        <c:numFmt formatCode="General" sourceLinked="1"/>
        <c:majorTickMark val="none"/>
        <c:minorTickMark val="none"/>
        <c:tickLblPos val="nextTo"/>
        <c:txPr>
          <a:bodyPr rot="-5400000" vert="horz" anchor="t" anchorCtr="0"/>
          <a:lstStyle/>
          <a:p>
            <a:pPr>
              <a:defRPr sz="800" b="0" i="0" u="none" strike="noStrike" baseline="0">
                <a:solidFill>
                  <a:srgbClr val="000000"/>
                </a:solidFill>
                <a:latin typeface="Calibri"/>
                <a:ea typeface="Calibri"/>
                <a:cs typeface="Calibri"/>
              </a:defRPr>
            </a:pPr>
            <a:endParaRPr lang="en-US"/>
          </a:p>
        </c:txPr>
        <c:crossAx val="413453416"/>
        <c:crosses val="autoZero"/>
        <c:auto val="1"/>
        <c:lblAlgn val="ctr"/>
        <c:lblOffset val="0"/>
        <c:noMultiLvlLbl val="0"/>
      </c:catAx>
      <c:valAx>
        <c:axId val="413453416"/>
        <c:scaling>
          <c:orientation val="minMax"/>
          <c:max val="1"/>
        </c:scaling>
        <c:delete val="0"/>
        <c:axPos val="l"/>
        <c:majorGridlines>
          <c:spPr>
            <a:ln>
              <a:solidFill>
                <a:schemeClr val="accent1"/>
              </a:solidFill>
            </a:ln>
          </c:spPr>
        </c:majorGridlines>
        <c:numFmt formatCode="0%" sourceLinked="1"/>
        <c:majorTickMark val="none"/>
        <c:minorTickMark val="none"/>
        <c:tickLblPos val="nextTo"/>
        <c:txPr>
          <a:bodyPr rot="0" vert="horz"/>
          <a:lstStyle/>
          <a:p>
            <a:pPr>
              <a:defRPr sz="800" b="0" i="0" u="none" strike="noStrike" baseline="0">
                <a:solidFill>
                  <a:srgbClr val="000000"/>
                </a:solidFill>
                <a:latin typeface="Calibri"/>
                <a:ea typeface="Calibri"/>
                <a:cs typeface="Calibri"/>
              </a:defRPr>
            </a:pPr>
            <a:endParaRPr lang="en-US"/>
          </a:p>
        </c:txPr>
        <c:crossAx val="413453024"/>
        <c:crosses val="autoZero"/>
        <c:crossBetween val="between"/>
        <c:majorUnit val="0.2"/>
      </c:valAx>
      <c:spPr>
        <a:noFill/>
        <a:ln w="25400">
          <a:noFill/>
        </a:ln>
      </c:spPr>
    </c:plotArea>
    <c:legend>
      <c:legendPos val="r"/>
      <c:layout/>
      <c:overlay val="0"/>
      <c:txPr>
        <a:bodyPr/>
        <a:lstStyle/>
        <a:p>
          <a:pPr>
            <a:defRPr sz="800"/>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0.75000000000000011" l="0.70000000000000007" r="0.70000000000000007" t="0.75000000000000011" header="0.30000000000000004" footer="0.30000000000000004"/>
    <c:pageSetup paperSize="132" orientation="landscape" horizontalDpi="300" verticalDpi="300"/>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210267035245554"/>
          <c:y val="0.12384638035160944"/>
          <c:w val="0.3389589174721096"/>
          <c:h val="0.84739662382217174"/>
        </c:manualLayout>
      </c:layout>
      <c:pieChart>
        <c:varyColors val="1"/>
        <c:ser>
          <c:idx val="0"/>
          <c:order val="0"/>
          <c:dPt>
            <c:idx val="0"/>
            <c:bubble3D val="0"/>
            <c:spPr>
              <a:solidFill>
                <a:schemeClr val="accent6">
                  <a:lumMod val="20000"/>
                  <a:lumOff val="80000"/>
                </a:schemeClr>
              </a:solidFill>
            </c:spPr>
          </c:dPt>
          <c:dPt>
            <c:idx val="1"/>
            <c:bubble3D val="0"/>
            <c:spPr>
              <a:solidFill>
                <a:schemeClr val="accent6">
                  <a:lumMod val="60000"/>
                  <a:lumOff val="40000"/>
                </a:schemeClr>
              </a:solidFill>
            </c:spPr>
          </c:dPt>
          <c:dPt>
            <c:idx val="2"/>
            <c:bubble3D val="0"/>
            <c:spPr>
              <a:solidFill>
                <a:schemeClr val="accent6">
                  <a:lumMod val="75000"/>
                </a:schemeClr>
              </a:solidFill>
            </c:spPr>
          </c:dPt>
          <c:dPt>
            <c:idx val="3"/>
            <c:bubble3D val="0"/>
            <c:spPr>
              <a:solidFill>
                <a:schemeClr val="accent6">
                  <a:lumMod val="50000"/>
                </a:schemeClr>
              </a:solidFill>
            </c:spPr>
          </c:dPt>
          <c:dLbls>
            <c:dLbl>
              <c:idx val="0"/>
              <c:layout>
                <c:manualLayout>
                  <c:x val="6.3457274879298836E-2"/>
                  <c:y val="5.149886733320843E-2"/>
                </c:manualLayout>
              </c:layout>
              <c:showLegendKey val="0"/>
              <c:showVal val="0"/>
              <c:showCatName val="0"/>
              <c:showSerName val="0"/>
              <c:showPercent val="1"/>
              <c:showBubbleSize val="0"/>
              <c:extLst>
                <c:ext xmlns:c15="http://schemas.microsoft.com/office/drawing/2012/chart" uri="{CE6537A1-D6FC-4f65-9D91-7224C49458BB}">
                  <c15:layout/>
                </c:ext>
              </c:extLst>
            </c:dLbl>
            <c:dLbl>
              <c:idx val="1"/>
              <c:layout>
                <c:manualLayout>
                  <c:x val="-0.15358433959500667"/>
                  <c:y val="2.7747781506021019E-2"/>
                </c:manualLayout>
              </c:layout>
              <c:showLegendKey val="0"/>
              <c:showVal val="0"/>
              <c:showCatName val="0"/>
              <c:showSerName val="0"/>
              <c:showPercent val="1"/>
              <c:showBubbleSize val="0"/>
              <c:extLst>
                <c:ext xmlns:c15="http://schemas.microsoft.com/office/drawing/2012/chart" uri="{CE6537A1-D6FC-4f65-9D91-7224C49458BB}">
                  <c15:layout/>
                </c:ext>
              </c:extLst>
            </c:dLbl>
            <c:dLbl>
              <c:idx val="3"/>
              <c:layout>
                <c:manualLayout>
                  <c:x val="1.170659900033893E-2"/>
                  <c:y val="6.5171773602902355E-2"/>
                </c:manualLayout>
              </c:layout>
              <c:showLegendKey val="0"/>
              <c:showVal val="0"/>
              <c:showCatName val="0"/>
              <c:showSerName val="0"/>
              <c:showPercent val="1"/>
              <c:showBubbleSize val="0"/>
              <c:extLst>
                <c:ext xmlns:c15="http://schemas.microsoft.com/office/drawing/2012/chart" uri="{CE6537A1-D6FC-4f65-9D91-7224C49458BB}">
                  <c15:layout/>
                </c:ext>
              </c:extLst>
            </c:dLbl>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15:layout/>
              </c:ext>
            </c:extLst>
          </c:dLbls>
          <c:cat>
            <c:strRef>
              <c:f>'CCCM Dashboard'!$AL$6:$AO$6</c:f>
              <c:strCache>
                <c:ptCount val="4"/>
                <c:pt idx="0">
                  <c:v>1-100</c:v>
                </c:pt>
                <c:pt idx="1">
                  <c:v>100-1k</c:v>
                </c:pt>
                <c:pt idx="2">
                  <c:v>1k-5k</c:v>
                </c:pt>
                <c:pt idx="3">
                  <c:v>5k-10k</c:v>
                </c:pt>
              </c:strCache>
            </c:strRef>
          </c:cat>
          <c:val>
            <c:numRef>
              <c:f>'CCCM Dashboard'!$AL$29:$AO$29</c:f>
              <c:numCache>
                <c:formatCode>0%</c:formatCode>
                <c:ptCount val="4"/>
                <c:pt idx="0">
                  <c:v>2.2518518518518518E-2</c:v>
                </c:pt>
                <c:pt idx="1">
                  <c:v>0.38537566137566137</c:v>
                </c:pt>
                <c:pt idx="2">
                  <c:v>0.42933333333333334</c:v>
                </c:pt>
                <c:pt idx="3">
                  <c:v>0.16277248677248676</c:v>
                </c:pt>
              </c:numCache>
            </c:numRef>
          </c:val>
        </c:ser>
        <c:dLbls>
          <c:showLegendKey val="0"/>
          <c:showVal val="0"/>
          <c:showCatName val="0"/>
          <c:showSerName val="0"/>
          <c:showPercent val="1"/>
          <c:showBubbleSize val="0"/>
          <c:showLeaderLines val="1"/>
        </c:dLbls>
        <c:firstSliceAng val="0"/>
      </c:pieChart>
      <c:spPr>
        <a:noFill/>
      </c:spPr>
    </c:plotArea>
    <c:legend>
      <c:legendPos val="t"/>
      <c:layout>
        <c:manualLayout>
          <c:xMode val="edge"/>
          <c:yMode val="edge"/>
          <c:x val="0.5423475469625233"/>
          <c:y val="0.15856269275199508"/>
          <c:w val="0.41963903879643244"/>
          <c:h val="0.78717706568002177"/>
        </c:manualLayout>
      </c:layout>
      <c:overlay val="0"/>
      <c:txPr>
        <a:bodyPr/>
        <a:lstStyle/>
        <a:p>
          <a:pPr rtl="0">
            <a:defRPr/>
          </a:pPr>
          <a:endParaRPr lang="en-US"/>
        </a:p>
      </c:txPr>
    </c:legend>
    <c:plotVisOnly val="1"/>
    <c:dispBlanksAs val="gap"/>
    <c:showDLblsOverMax val="0"/>
  </c:chart>
  <c:spPr>
    <a:solidFill>
      <a:schemeClr val="bg1">
        <a:alpha val="50000"/>
      </a:schemeClr>
    </a:solidFill>
    <a:ln>
      <a:noFill/>
    </a:ln>
  </c:spPr>
  <c:printSettings>
    <c:headerFooter/>
    <c:pageMargins b="0.75" l="0.7" r="0.7" t="0.75" header="0.3" footer="0.3"/>
    <c:pageSetup orientation="portrait"/>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365031407086608"/>
          <c:y val="0.15663962176887972"/>
          <c:w val="0.8588819417282495"/>
          <c:h val="0.5499497192339885"/>
        </c:manualLayout>
      </c:layout>
      <c:barChart>
        <c:barDir val="col"/>
        <c:grouping val="stacked"/>
        <c:varyColors val="0"/>
        <c:ser>
          <c:idx val="3"/>
          <c:order val="0"/>
          <c:tx>
            <c:strRef>
              <c:f>'CCCM Dashboard'!$AL$35</c:f>
              <c:strCache>
                <c:ptCount val="1"/>
                <c:pt idx="0">
                  <c:v>1-100</c:v>
                </c:pt>
              </c:strCache>
            </c:strRef>
          </c:tx>
          <c:invertIfNegative val="0"/>
          <c:cat>
            <c:strRef>
              <c:f>'CCCM Dashboard'!$AK$36:$AK$56</c:f>
              <c:strCache>
                <c:ptCount val="21"/>
                <c:pt idx="0">
                  <c:v>Bhamo</c:v>
                </c:pt>
                <c:pt idx="1">
                  <c:v>Chipwi</c:v>
                </c:pt>
                <c:pt idx="2">
                  <c:v>Hpakant</c:v>
                </c:pt>
                <c:pt idx="3">
                  <c:v>Hseni</c:v>
                </c:pt>
                <c:pt idx="4">
                  <c:v>Injangyang</c:v>
                </c:pt>
                <c:pt idx="5">
                  <c:v>Khaunglanhpu</c:v>
                </c:pt>
                <c:pt idx="6">
                  <c:v>Kutkai</c:v>
                </c:pt>
                <c:pt idx="7">
                  <c:v>Machanbaw</c:v>
                </c:pt>
                <c:pt idx="8">
                  <c:v>Mansi</c:v>
                </c:pt>
                <c:pt idx="9">
                  <c:v>Manton</c:v>
                </c:pt>
                <c:pt idx="10">
                  <c:v>Mogaung</c:v>
                </c:pt>
                <c:pt idx="11">
                  <c:v>Mohnyin</c:v>
                </c:pt>
                <c:pt idx="12">
                  <c:v>Momauk</c:v>
                </c:pt>
                <c:pt idx="13">
                  <c:v>Muse</c:v>
                </c:pt>
                <c:pt idx="14">
                  <c:v>Myitkyina</c:v>
                </c:pt>
                <c:pt idx="15">
                  <c:v>Namhkan</c:v>
                </c:pt>
                <c:pt idx="16">
                  <c:v>Namtu</c:v>
                </c:pt>
                <c:pt idx="17">
                  <c:v>Puta-O</c:v>
                </c:pt>
                <c:pt idx="18">
                  <c:v>Shwegu</c:v>
                </c:pt>
                <c:pt idx="19">
                  <c:v>Sumprabum</c:v>
                </c:pt>
                <c:pt idx="20">
                  <c:v>Waingmaw</c:v>
                </c:pt>
              </c:strCache>
            </c:strRef>
          </c:cat>
          <c:val>
            <c:numRef>
              <c:f>'CCCM Dashboard'!$AL$36:$AL$56</c:f>
              <c:numCache>
                <c:formatCode>_-* #,##0_-;\-* #,##0_-;_-* "-"??_-;_-@_-</c:formatCode>
                <c:ptCount val="21"/>
                <c:pt idx="0">
                  <c:v>4</c:v>
                </c:pt>
                <c:pt idx="1">
                  <c:v>0</c:v>
                </c:pt>
                <c:pt idx="2">
                  <c:v>10</c:v>
                </c:pt>
                <c:pt idx="3">
                  <c:v>0</c:v>
                </c:pt>
                <c:pt idx="4">
                  <c:v>0</c:v>
                </c:pt>
                <c:pt idx="5">
                  <c:v>1</c:v>
                </c:pt>
                <c:pt idx="6">
                  <c:v>0</c:v>
                </c:pt>
                <c:pt idx="7">
                  <c:v>0</c:v>
                </c:pt>
                <c:pt idx="8">
                  <c:v>0</c:v>
                </c:pt>
                <c:pt idx="9">
                  <c:v>0</c:v>
                </c:pt>
                <c:pt idx="10">
                  <c:v>5</c:v>
                </c:pt>
                <c:pt idx="11">
                  <c:v>3</c:v>
                </c:pt>
                <c:pt idx="12">
                  <c:v>5</c:v>
                </c:pt>
                <c:pt idx="13">
                  <c:v>0</c:v>
                </c:pt>
                <c:pt idx="14">
                  <c:v>6</c:v>
                </c:pt>
                <c:pt idx="15">
                  <c:v>0</c:v>
                </c:pt>
                <c:pt idx="16">
                  <c:v>1</c:v>
                </c:pt>
                <c:pt idx="17">
                  <c:v>2</c:v>
                </c:pt>
                <c:pt idx="18">
                  <c:v>1</c:v>
                </c:pt>
                <c:pt idx="19">
                  <c:v>1</c:v>
                </c:pt>
                <c:pt idx="20">
                  <c:v>1</c:v>
                </c:pt>
              </c:numCache>
            </c:numRef>
          </c:val>
        </c:ser>
        <c:ser>
          <c:idx val="0"/>
          <c:order val="1"/>
          <c:tx>
            <c:strRef>
              <c:f>'CCCM Dashboard'!$AM$35</c:f>
              <c:strCache>
                <c:ptCount val="1"/>
                <c:pt idx="0">
                  <c:v>100-1k</c:v>
                </c:pt>
              </c:strCache>
            </c:strRef>
          </c:tx>
          <c:spPr>
            <a:solidFill>
              <a:srgbClr val="FFC000"/>
            </a:solidFill>
          </c:spPr>
          <c:invertIfNegative val="0"/>
          <c:cat>
            <c:strRef>
              <c:f>'CCCM Dashboard'!$AK$36:$AK$56</c:f>
              <c:strCache>
                <c:ptCount val="21"/>
                <c:pt idx="0">
                  <c:v>Bhamo</c:v>
                </c:pt>
                <c:pt idx="1">
                  <c:v>Chipwi</c:v>
                </c:pt>
                <c:pt idx="2">
                  <c:v>Hpakant</c:v>
                </c:pt>
                <c:pt idx="3">
                  <c:v>Hseni</c:v>
                </c:pt>
                <c:pt idx="4">
                  <c:v>Injangyang</c:v>
                </c:pt>
                <c:pt idx="5">
                  <c:v>Khaunglanhpu</c:v>
                </c:pt>
                <c:pt idx="6">
                  <c:v>Kutkai</c:v>
                </c:pt>
                <c:pt idx="7">
                  <c:v>Machanbaw</c:v>
                </c:pt>
                <c:pt idx="8">
                  <c:v>Mansi</c:v>
                </c:pt>
                <c:pt idx="9">
                  <c:v>Manton</c:v>
                </c:pt>
                <c:pt idx="10">
                  <c:v>Mogaung</c:v>
                </c:pt>
                <c:pt idx="11">
                  <c:v>Mohnyin</c:v>
                </c:pt>
                <c:pt idx="12">
                  <c:v>Momauk</c:v>
                </c:pt>
                <c:pt idx="13">
                  <c:v>Muse</c:v>
                </c:pt>
                <c:pt idx="14">
                  <c:v>Myitkyina</c:v>
                </c:pt>
                <c:pt idx="15">
                  <c:v>Namhkan</c:v>
                </c:pt>
                <c:pt idx="16">
                  <c:v>Namtu</c:v>
                </c:pt>
                <c:pt idx="17">
                  <c:v>Puta-O</c:v>
                </c:pt>
                <c:pt idx="18">
                  <c:v>Shwegu</c:v>
                </c:pt>
                <c:pt idx="19">
                  <c:v>Sumprabum</c:v>
                </c:pt>
                <c:pt idx="20">
                  <c:v>Waingmaw</c:v>
                </c:pt>
              </c:strCache>
            </c:strRef>
          </c:cat>
          <c:val>
            <c:numRef>
              <c:f>'CCCM Dashboard'!$AM$36:$AM$56</c:f>
              <c:numCache>
                <c:formatCode>_-* #,##0_-;\-* #,##0_-;_-* "-"??_-;_-@_-</c:formatCode>
                <c:ptCount val="21"/>
                <c:pt idx="0">
                  <c:v>5</c:v>
                </c:pt>
                <c:pt idx="1">
                  <c:v>5</c:v>
                </c:pt>
                <c:pt idx="2">
                  <c:v>10</c:v>
                </c:pt>
                <c:pt idx="3">
                  <c:v>2</c:v>
                </c:pt>
                <c:pt idx="4">
                  <c:v>0</c:v>
                </c:pt>
                <c:pt idx="5">
                  <c:v>0</c:v>
                </c:pt>
                <c:pt idx="6">
                  <c:v>9</c:v>
                </c:pt>
                <c:pt idx="7">
                  <c:v>0</c:v>
                </c:pt>
                <c:pt idx="8">
                  <c:v>7</c:v>
                </c:pt>
                <c:pt idx="9">
                  <c:v>2</c:v>
                </c:pt>
                <c:pt idx="10">
                  <c:v>1</c:v>
                </c:pt>
                <c:pt idx="11">
                  <c:v>1</c:v>
                </c:pt>
                <c:pt idx="12">
                  <c:v>7</c:v>
                </c:pt>
                <c:pt idx="13">
                  <c:v>4</c:v>
                </c:pt>
                <c:pt idx="14">
                  <c:v>17</c:v>
                </c:pt>
                <c:pt idx="15">
                  <c:v>5</c:v>
                </c:pt>
                <c:pt idx="16">
                  <c:v>1</c:v>
                </c:pt>
                <c:pt idx="17">
                  <c:v>1</c:v>
                </c:pt>
                <c:pt idx="18">
                  <c:v>2</c:v>
                </c:pt>
                <c:pt idx="19">
                  <c:v>2</c:v>
                </c:pt>
                <c:pt idx="20">
                  <c:v>14</c:v>
                </c:pt>
              </c:numCache>
            </c:numRef>
          </c:val>
        </c:ser>
        <c:ser>
          <c:idx val="1"/>
          <c:order val="2"/>
          <c:tx>
            <c:strRef>
              <c:f>'CCCM Dashboard'!$AN$35</c:f>
              <c:strCache>
                <c:ptCount val="1"/>
                <c:pt idx="0">
                  <c:v>1k - 5k</c:v>
                </c:pt>
              </c:strCache>
            </c:strRef>
          </c:tx>
          <c:invertIfNegative val="0"/>
          <c:cat>
            <c:strRef>
              <c:f>'CCCM Dashboard'!$AK$36:$AK$56</c:f>
              <c:strCache>
                <c:ptCount val="21"/>
                <c:pt idx="0">
                  <c:v>Bhamo</c:v>
                </c:pt>
                <c:pt idx="1">
                  <c:v>Chipwi</c:v>
                </c:pt>
                <c:pt idx="2">
                  <c:v>Hpakant</c:v>
                </c:pt>
                <c:pt idx="3">
                  <c:v>Hseni</c:v>
                </c:pt>
                <c:pt idx="4">
                  <c:v>Injangyang</c:v>
                </c:pt>
                <c:pt idx="5">
                  <c:v>Khaunglanhpu</c:v>
                </c:pt>
                <c:pt idx="6">
                  <c:v>Kutkai</c:v>
                </c:pt>
                <c:pt idx="7">
                  <c:v>Machanbaw</c:v>
                </c:pt>
                <c:pt idx="8">
                  <c:v>Mansi</c:v>
                </c:pt>
                <c:pt idx="9">
                  <c:v>Manton</c:v>
                </c:pt>
                <c:pt idx="10">
                  <c:v>Mogaung</c:v>
                </c:pt>
                <c:pt idx="11">
                  <c:v>Mohnyin</c:v>
                </c:pt>
                <c:pt idx="12">
                  <c:v>Momauk</c:v>
                </c:pt>
                <c:pt idx="13">
                  <c:v>Muse</c:v>
                </c:pt>
                <c:pt idx="14">
                  <c:v>Myitkyina</c:v>
                </c:pt>
                <c:pt idx="15">
                  <c:v>Namhkan</c:v>
                </c:pt>
                <c:pt idx="16">
                  <c:v>Namtu</c:v>
                </c:pt>
                <c:pt idx="17">
                  <c:v>Puta-O</c:v>
                </c:pt>
                <c:pt idx="18">
                  <c:v>Shwegu</c:v>
                </c:pt>
                <c:pt idx="19">
                  <c:v>Sumprabum</c:v>
                </c:pt>
                <c:pt idx="20">
                  <c:v>Waingmaw</c:v>
                </c:pt>
              </c:strCache>
            </c:strRef>
          </c:cat>
          <c:val>
            <c:numRef>
              <c:f>'CCCM Dashboard'!$AN$36:$AN$56</c:f>
              <c:numCache>
                <c:formatCode>_-* #,##0_-;\-* #,##0_-;_-* "-"??_-;_-@_-</c:formatCode>
                <c:ptCount val="21"/>
                <c:pt idx="0">
                  <c:v>2</c:v>
                </c:pt>
                <c:pt idx="1">
                  <c:v>0</c:v>
                </c:pt>
                <c:pt idx="2">
                  <c:v>0</c:v>
                </c:pt>
                <c:pt idx="3">
                  <c:v>0</c:v>
                </c:pt>
                <c:pt idx="4">
                  <c:v>0</c:v>
                </c:pt>
                <c:pt idx="5">
                  <c:v>0</c:v>
                </c:pt>
                <c:pt idx="6">
                  <c:v>0</c:v>
                </c:pt>
                <c:pt idx="7">
                  <c:v>0</c:v>
                </c:pt>
                <c:pt idx="8">
                  <c:v>5</c:v>
                </c:pt>
                <c:pt idx="9">
                  <c:v>0</c:v>
                </c:pt>
                <c:pt idx="10">
                  <c:v>0</c:v>
                </c:pt>
                <c:pt idx="11">
                  <c:v>0</c:v>
                </c:pt>
                <c:pt idx="12">
                  <c:v>7</c:v>
                </c:pt>
                <c:pt idx="13">
                  <c:v>0</c:v>
                </c:pt>
                <c:pt idx="14">
                  <c:v>1</c:v>
                </c:pt>
                <c:pt idx="15">
                  <c:v>0</c:v>
                </c:pt>
                <c:pt idx="16">
                  <c:v>0</c:v>
                </c:pt>
                <c:pt idx="17">
                  <c:v>0</c:v>
                </c:pt>
                <c:pt idx="18">
                  <c:v>1</c:v>
                </c:pt>
                <c:pt idx="19">
                  <c:v>0</c:v>
                </c:pt>
                <c:pt idx="20">
                  <c:v>6</c:v>
                </c:pt>
              </c:numCache>
            </c:numRef>
          </c:val>
        </c:ser>
        <c:ser>
          <c:idx val="2"/>
          <c:order val="3"/>
          <c:tx>
            <c:strRef>
              <c:f>'CCCM Dashboard'!$AO$35</c:f>
              <c:strCache>
                <c:ptCount val="1"/>
                <c:pt idx="0">
                  <c:v>5k-10k</c:v>
                </c:pt>
              </c:strCache>
            </c:strRef>
          </c:tx>
          <c:invertIfNegative val="0"/>
          <c:cat>
            <c:strRef>
              <c:f>'CCCM Dashboard'!$AK$36:$AK$56</c:f>
              <c:strCache>
                <c:ptCount val="21"/>
                <c:pt idx="0">
                  <c:v>Bhamo</c:v>
                </c:pt>
                <c:pt idx="1">
                  <c:v>Chipwi</c:v>
                </c:pt>
                <c:pt idx="2">
                  <c:v>Hpakant</c:v>
                </c:pt>
                <c:pt idx="3">
                  <c:v>Hseni</c:v>
                </c:pt>
                <c:pt idx="4">
                  <c:v>Injangyang</c:v>
                </c:pt>
                <c:pt idx="5">
                  <c:v>Khaunglanhpu</c:v>
                </c:pt>
                <c:pt idx="6">
                  <c:v>Kutkai</c:v>
                </c:pt>
                <c:pt idx="7">
                  <c:v>Machanbaw</c:v>
                </c:pt>
                <c:pt idx="8">
                  <c:v>Mansi</c:v>
                </c:pt>
                <c:pt idx="9">
                  <c:v>Manton</c:v>
                </c:pt>
                <c:pt idx="10">
                  <c:v>Mogaung</c:v>
                </c:pt>
                <c:pt idx="11">
                  <c:v>Mohnyin</c:v>
                </c:pt>
                <c:pt idx="12">
                  <c:v>Momauk</c:v>
                </c:pt>
                <c:pt idx="13">
                  <c:v>Muse</c:v>
                </c:pt>
                <c:pt idx="14">
                  <c:v>Myitkyina</c:v>
                </c:pt>
                <c:pt idx="15">
                  <c:v>Namhkan</c:v>
                </c:pt>
                <c:pt idx="16">
                  <c:v>Namtu</c:v>
                </c:pt>
                <c:pt idx="17">
                  <c:v>Puta-O</c:v>
                </c:pt>
                <c:pt idx="18">
                  <c:v>Shwegu</c:v>
                </c:pt>
                <c:pt idx="19">
                  <c:v>Sumprabum</c:v>
                </c:pt>
                <c:pt idx="20">
                  <c:v>Waingmaw</c:v>
                </c:pt>
              </c:strCache>
            </c:strRef>
          </c:cat>
          <c:val>
            <c:numRef>
              <c:f>'CCCM Dashboard'!$AO$36:$AO$56</c:f>
              <c:numCache>
                <c:formatCode>_-* #,##0_-;\-* #,##0_-;_-* "-"??_-;_-@_-</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2</c:v>
                </c:pt>
              </c:numCache>
            </c:numRef>
          </c:val>
        </c:ser>
        <c:ser>
          <c:idx val="4"/>
          <c:order val="4"/>
          <c:tx>
            <c:strRef>
              <c:f>'CCCM Dashboard'!$AP$35</c:f>
              <c:strCache>
                <c:ptCount val="1"/>
                <c:pt idx="0">
                  <c:v>Unknown</c:v>
                </c:pt>
              </c:strCache>
            </c:strRef>
          </c:tx>
          <c:spPr>
            <a:solidFill>
              <a:schemeClr val="tx1"/>
            </a:solidFill>
          </c:spPr>
          <c:invertIfNegative val="0"/>
          <c:cat>
            <c:strRef>
              <c:f>'CCCM Dashboard'!$AK$36:$AK$56</c:f>
              <c:strCache>
                <c:ptCount val="21"/>
                <c:pt idx="0">
                  <c:v>Bhamo</c:v>
                </c:pt>
                <c:pt idx="1">
                  <c:v>Chipwi</c:v>
                </c:pt>
                <c:pt idx="2">
                  <c:v>Hpakant</c:v>
                </c:pt>
                <c:pt idx="3">
                  <c:v>Hseni</c:v>
                </c:pt>
                <c:pt idx="4">
                  <c:v>Injangyang</c:v>
                </c:pt>
                <c:pt idx="5">
                  <c:v>Khaunglanhpu</c:v>
                </c:pt>
                <c:pt idx="6">
                  <c:v>Kutkai</c:v>
                </c:pt>
                <c:pt idx="7">
                  <c:v>Machanbaw</c:v>
                </c:pt>
                <c:pt idx="8">
                  <c:v>Mansi</c:v>
                </c:pt>
                <c:pt idx="9">
                  <c:v>Manton</c:v>
                </c:pt>
                <c:pt idx="10">
                  <c:v>Mogaung</c:v>
                </c:pt>
                <c:pt idx="11">
                  <c:v>Mohnyin</c:v>
                </c:pt>
                <c:pt idx="12">
                  <c:v>Momauk</c:v>
                </c:pt>
                <c:pt idx="13">
                  <c:v>Muse</c:v>
                </c:pt>
                <c:pt idx="14">
                  <c:v>Myitkyina</c:v>
                </c:pt>
                <c:pt idx="15">
                  <c:v>Namhkan</c:v>
                </c:pt>
                <c:pt idx="16">
                  <c:v>Namtu</c:v>
                </c:pt>
                <c:pt idx="17">
                  <c:v>Puta-O</c:v>
                </c:pt>
                <c:pt idx="18">
                  <c:v>Shwegu</c:v>
                </c:pt>
                <c:pt idx="19">
                  <c:v>Sumprabum</c:v>
                </c:pt>
                <c:pt idx="20">
                  <c:v>Waingmaw</c:v>
                </c:pt>
              </c:strCache>
            </c:strRef>
          </c:cat>
          <c:val>
            <c:numRef>
              <c:f>'CCCM Dashboard'!$AP$36:$AP$56</c:f>
              <c:numCache>
                <c:formatCode>General</c:formatCode>
                <c:ptCount val="21"/>
                <c:pt idx="0">
                  <c:v>1</c:v>
                </c:pt>
                <c:pt idx="1">
                  <c:v>0</c:v>
                </c:pt>
                <c:pt idx="2">
                  <c:v>0</c:v>
                </c:pt>
                <c:pt idx="3">
                  <c:v>0</c:v>
                </c:pt>
                <c:pt idx="4">
                  <c:v>0</c:v>
                </c:pt>
                <c:pt idx="5">
                  <c:v>0</c:v>
                </c:pt>
                <c:pt idx="6">
                  <c:v>0</c:v>
                </c:pt>
                <c:pt idx="7">
                  <c:v>0</c:v>
                </c:pt>
                <c:pt idx="8">
                  <c:v>0</c:v>
                </c:pt>
                <c:pt idx="9">
                  <c:v>0</c:v>
                </c:pt>
                <c:pt idx="10">
                  <c:v>0</c:v>
                </c:pt>
                <c:pt idx="11">
                  <c:v>1</c:v>
                </c:pt>
                <c:pt idx="12">
                  <c:v>2</c:v>
                </c:pt>
                <c:pt idx="13">
                  <c:v>0</c:v>
                </c:pt>
                <c:pt idx="14">
                  <c:v>0</c:v>
                </c:pt>
                <c:pt idx="15">
                  <c:v>0</c:v>
                </c:pt>
                <c:pt idx="16">
                  <c:v>0</c:v>
                </c:pt>
                <c:pt idx="17">
                  <c:v>0</c:v>
                </c:pt>
                <c:pt idx="18">
                  <c:v>0</c:v>
                </c:pt>
                <c:pt idx="19">
                  <c:v>0</c:v>
                </c:pt>
                <c:pt idx="20">
                  <c:v>0</c:v>
                </c:pt>
              </c:numCache>
            </c:numRef>
          </c:val>
        </c:ser>
        <c:dLbls>
          <c:showLegendKey val="0"/>
          <c:showVal val="0"/>
          <c:showCatName val="0"/>
          <c:showSerName val="0"/>
          <c:showPercent val="0"/>
          <c:showBubbleSize val="0"/>
        </c:dLbls>
        <c:gapWidth val="150"/>
        <c:overlap val="100"/>
        <c:axId val="378129112"/>
        <c:axId val="327007832"/>
      </c:barChart>
      <c:catAx>
        <c:axId val="378129112"/>
        <c:scaling>
          <c:orientation val="minMax"/>
        </c:scaling>
        <c:delete val="0"/>
        <c:axPos val="b"/>
        <c:numFmt formatCode="General" sourceLinked="0"/>
        <c:majorTickMark val="out"/>
        <c:minorTickMark val="none"/>
        <c:tickLblPos val="nextTo"/>
        <c:txPr>
          <a:bodyPr/>
          <a:lstStyle/>
          <a:p>
            <a:pPr>
              <a:defRPr sz="900"/>
            </a:pPr>
            <a:endParaRPr lang="en-US"/>
          </a:p>
        </c:txPr>
        <c:crossAx val="327007832"/>
        <c:crosses val="autoZero"/>
        <c:auto val="1"/>
        <c:lblAlgn val="ctr"/>
        <c:lblOffset val="100"/>
        <c:noMultiLvlLbl val="0"/>
      </c:catAx>
      <c:valAx>
        <c:axId val="327007832"/>
        <c:scaling>
          <c:orientation val="minMax"/>
        </c:scaling>
        <c:delete val="0"/>
        <c:axPos val="l"/>
        <c:majorGridlines/>
        <c:numFmt formatCode="_-* #,##0_-;\-* #,##0_-;_-* &quot;-&quot;??_-;_-@_-" sourceLinked="1"/>
        <c:majorTickMark val="out"/>
        <c:minorTickMark val="none"/>
        <c:tickLblPos val="nextTo"/>
        <c:crossAx val="378129112"/>
        <c:crosses val="autoZero"/>
        <c:crossBetween val="between"/>
      </c:valAx>
    </c:plotArea>
    <c:legend>
      <c:legendPos val="b"/>
      <c:layout>
        <c:manualLayout>
          <c:xMode val="edge"/>
          <c:yMode val="edge"/>
          <c:x val="5.0000065859752973E-2"/>
          <c:y val="0.9084422693848786"/>
          <c:w val="0.89999978021446669"/>
          <c:h val="6.0339219428528192E-2"/>
        </c:manualLayout>
      </c:layout>
      <c:overlay val="0"/>
    </c:legend>
    <c:plotVisOnly val="1"/>
    <c:dispBlanksAs val="gap"/>
    <c:showDLblsOverMax val="0"/>
  </c:chart>
  <c:spPr>
    <a:ln>
      <a:noFill/>
    </a:ln>
  </c:sp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rtl="0">
              <a:defRPr lang="en-US" sz="1800" b="1" i="0" u="none" strike="noStrike" kern="1200" baseline="0">
                <a:solidFill>
                  <a:sysClr val="windowText" lastClr="000000"/>
                </a:solidFill>
                <a:effectLst/>
                <a:latin typeface="+mn-lt"/>
                <a:ea typeface="+mn-ea"/>
                <a:cs typeface="+mn-cs"/>
              </a:defRPr>
            </a:pPr>
            <a:r>
              <a:rPr lang="en-US" sz="1800" b="1" i="0" u="none" strike="noStrike" kern="1200" baseline="0">
                <a:solidFill>
                  <a:sysClr val="windowText" lastClr="000000"/>
                </a:solidFill>
                <a:effectLst/>
                <a:latin typeface="+mn-lt"/>
                <a:ea typeface="+mn-ea"/>
                <a:cs typeface="+mn-cs"/>
              </a:rPr>
              <a:t>Shelters (% pop covered) in Rakhine State by Township</a:t>
            </a:r>
          </a:p>
        </c:rich>
      </c:tx>
      <c:overlay val="0"/>
    </c:title>
    <c:autoTitleDeleted val="0"/>
    <c:plotArea>
      <c:layout/>
      <c:barChart>
        <c:barDir val="col"/>
        <c:grouping val="clustered"/>
        <c:varyColors val="0"/>
        <c:ser>
          <c:idx val="5"/>
          <c:order val="0"/>
          <c:spPr>
            <a:solidFill>
              <a:srgbClr val="92D050"/>
            </a:solidFill>
          </c:spPr>
          <c:invertIfNegative val="0"/>
          <c:val>
            <c:numRef>
              <c:f>Shelter_Progress!#REF!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Shelter_Progress!#REF!</c15:sqref>
                        </c15:formulaRef>
                      </c:ext>
                    </c:extLst>
                  </c:multiLvlStrRef>
                </c15:cat>
              </c15:filteredCategoryTitle>
            </c:ext>
          </c:extLst>
        </c:ser>
        <c:dLbls>
          <c:showLegendKey val="0"/>
          <c:showVal val="0"/>
          <c:showCatName val="0"/>
          <c:showSerName val="0"/>
          <c:showPercent val="0"/>
          <c:showBubbleSize val="0"/>
        </c:dLbls>
        <c:gapWidth val="75"/>
        <c:axId val="327002080"/>
        <c:axId val="327002472"/>
      </c:barChart>
      <c:catAx>
        <c:axId val="327002080"/>
        <c:scaling>
          <c:orientation val="minMax"/>
        </c:scaling>
        <c:delete val="0"/>
        <c:axPos val="b"/>
        <c:majorTickMark val="none"/>
        <c:minorTickMark val="none"/>
        <c:tickLblPos val="nextTo"/>
        <c:crossAx val="327002472"/>
        <c:crosses val="autoZero"/>
        <c:auto val="1"/>
        <c:lblAlgn val="ctr"/>
        <c:lblOffset val="100"/>
        <c:noMultiLvlLbl val="0"/>
      </c:catAx>
      <c:valAx>
        <c:axId val="327002472"/>
        <c:scaling>
          <c:orientation val="minMax"/>
        </c:scaling>
        <c:delete val="0"/>
        <c:axPos val="l"/>
        <c:majorGridlines/>
        <c:numFmt formatCode="General" sourceLinked="1"/>
        <c:majorTickMark val="none"/>
        <c:minorTickMark val="none"/>
        <c:tickLblPos val="nextTo"/>
        <c:spPr>
          <a:ln w="9525">
            <a:noFill/>
          </a:ln>
        </c:spPr>
        <c:crossAx val="327002080"/>
        <c:crosses val="autoZero"/>
        <c:crossBetween val="between"/>
      </c:valAx>
      <c:spPr>
        <a:ln>
          <a:solidFill>
            <a:schemeClr val="accent1"/>
          </a:solidFill>
        </a:ln>
      </c:spPr>
    </c:plotArea>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rtl="0">
              <a:defRPr lang="en-US" sz="1800" b="1" i="0" u="none" strike="noStrike" kern="1200" baseline="0">
                <a:solidFill>
                  <a:sysClr val="windowText" lastClr="000000"/>
                </a:solidFill>
                <a:effectLst/>
                <a:latin typeface="+mn-lt"/>
                <a:ea typeface="+mn-ea"/>
                <a:cs typeface="+mn-cs"/>
              </a:defRPr>
            </a:pPr>
            <a:r>
              <a:rPr lang="en-US" sz="1800" b="1" i="0" u="none" strike="noStrike" kern="1200" baseline="0">
                <a:solidFill>
                  <a:sysClr val="windowText" lastClr="000000"/>
                </a:solidFill>
                <a:effectLst/>
                <a:latin typeface="+mn-lt"/>
                <a:ea typeface="+mn-ea"/>
                <a:cs typeface="+mn-cs"/>
              </a:rPr>
              <a:t>Shelters (% pop covered) in Kachin  &amp; Northern Shan State  by township</a:t>
            </a:r>
          </a:p>
        </c:rich>
      </c:tx>
      <c:layout/>
      <c:overlay val="0"/>
    </c:title>
    <c:autoTitleDeleted val="0"/>
    <c:plotArea>
      <c:layout/>
      <c:barChart>
        <c:barDir val="col"/>
        <c:grouping val="clustered"/>
        <c:varyColors val="0"/>
        <c:ser>
          <c:idx val="5"/>
          <c:order val="0"/>
          <c:tx>
            <c:strRef>
              <c:f>'Shelter Progress'!$N$6</c:f>
              <c:strCache>
                <c:ptCount val="1"/>
                <c:pt idx="0">
                  <c:v>Covered</c:v>
                </c:pt>
              </c:strCache>
            </c:strRef>
          </c:tx>
          <c:spPr>
            <a:solidFill>
              <a:srgbClr val="92D050"/>
            </a:solidFill>
          </c:spPr>
          <c:invertIfNegative val="0"/>
          <c:cat>
            <c:strRef>
              <c:f>'Shelter Progress'!$A$7:$A$27</c:f>
              <c:strCache>
                <c:ptCount val="21"/>
                <c:pt idx="0">
                  <c:v>Bhamo</c:v>
                </c:pt>
                <c:pt idx="1">
                  <c:v>Chipwi</c:v>
                </c:pt>
                <c:pt idx="2">
                  <c:v>Hpakant</c:v>
                </c:pt>
                <c:pt idx="3">
                  <c:v>Hseni</c:v>
                </c:pt>
                <c:pt idx="4">
                  <c:v>Injangyang</c:v>
                </c:pt>
                <c:pt idx="5">
                  <c:v>Khaunglanhpu</c:v>
                </c:pt>
                <c:pt idx="6">
                  <c:v>Kutkai</c:v>
                </c:pt>
                <c:pt idx="7">
                  <c:v>Machanbaw</c:v>
                </c:pt>
                <c:pt idx="8">
                  <c:v>Mansi</c:v>
                </c:pt>
                <c:pt idx="9">
                  <c:v>Manton</c:v>
                </c:pt>
                <c:pt idx="10">
                  <c:v>Mogaung</c:v>
                </c:pt>
                <c:pt idx="11">
                  <c:v>Mohnyin</c:v>
                </c:pt>
                <c:pt idx="12">
                  <c:v>Momauk</c:v>
                </c:pt>
                <c:pt idx="13">
                  <c:v>Muse</c:v>
                </c:pt>
                <c:pt idx="14">
                  <c:v>Myitkyina</c:v>
                </c:pt>
                <c:pt idx="15">
                  <c:v>Namhkan</c:v>
                </c:pt>
                <c:pt idx="16">
                  <c:v>Namtu</c:v>
                </c:pt>
                <c:pt idx="17">
                  <c:v>Puta-O</c:v>
                </c:pt>
                <c:pt idx="18">
                  <c:v>Shwegu</c:v>
                </c:pt>
                <c:pt idx="19">
                  <c:v>Sumprabum</c:v>
                </c:pt>
                <c:pt idx="20">
                  <c:v>Waingmaw</c:v>
                </c:pt>
              </c:strCache>
            </c:strRef>
          </c:cat>
          <c:val>
            <c:numRef>
              <c:f>'Shelter Progress'!$N$7:$N$27</c:f>
              <c:numCache>
                <c:formatCode>0%</c:formatCode>
                <c:ptCount val="21"/>
                <c:pt idx="0">
                  <c:v>0.80852713178294577</c:v>
                </c:pt>
                <c:pt idx="1">
                  <c:v>0.36290322580645162</c:v>
                </c:pt>
                <c:pt idx="2">
                  <c:v>0.6053748231966054</c:v>
                </c:pt>
                <c:pt idx="3">
                  <c:v>0.92105263157894735</c:v>
                </c:pt>
                <c:pt idx="4">
                  <c:v>0</c:v>
                </c:pt>
                <c:pt idx="5">
                  <c:v>0</c:v>
                </c:pt>
                <c:pt idx="6">
                  <c:v>0.64723032069970843</c:v>
                </c:pt>
                <c:pt idx="7">
                  <c:v>0</c:v>
                </c:pt>
                <c:pt idx="8">
                  <c:v>0.61214767764986111</c:v>
                </c:pt>
                <c:pt idx="9">
                  <c:v>1</c:v>
                </c:pt>
                <c:pt idx="10">
                  <c:v>0.98765432098765427</c:v>
                </c:pt>
                <c:pt idx="11">
                  <c:v>1</c:v>
                </c:pt>
                <c:pt idx="12">
                  <c:v>1</c:v>
                </c:pt>
                <c:pt idx="13">
                  <c:v>1</c:v>
                </c:pt>
                <c:pt idx="14">
                  <c:v>0.78642149929278637</c:v>
                </c:pt>
                <c:pt idx="15">
                  <c:v>0.67521367521367526</c:v>
                </c:pt>
                <c:pt idx="16">
                  <c:v>1</c:v>
                </c:pt>
                <c:pt idx="17">
                  <c:v>1</c:v>
                </c:pt>
                <c:pt idx="18">
                  <c:v>0.69291338582677164</c:v>
                </c:pt>
                <c:pt idx="19">
                  <c:v>0</c:v>
                </c:pt>
                <c:pt idx="20">
                  <c:v>0.54979319121858095</c:v>
                </c:pt>
              </c:numCache>
            </c:numRef>
          </c:val>
        </c:ser>
        <c:dLbls>
          <c:showLegendKey val="0"/>
          <c:showVal val="0"/>
          <c:showCatName val="0"/>
          <c:showSerName val="0"/>
          <c:showPercent val="0"/>
          <c:showBubbleSize val="0"/>
        </c:dLbls>
        <c:gapWidth val="75"/>
        <c:axId val="327003256"/>
        <c:axId val="378462824"/>
      </c:barChart>
      <c:catAx>
        <c:axId val="327003256"/>
        <c:scaling>
          <c:orientation val="minMax"/>
        </c:scaling>
        <c:delete val="0"/>
        <c:axPos val="b"/>
        <c:numFmt formatCode="General" sourceLinked="0"/>
        <c:majorTickMark val="none"/>
        <c:minorTickMark val="none"/>
        <c:tickLblPos val="nextTo"/>
        <c:crossAx val="378462824"/>
        <c:crosses val="autoZero"/>
        <c:auto val="1"/>
        <c:lblAlgn val="ctr"/>
        <c:lblOffset val="100"/>
        <c:noMultiLvlLbl val="0"/>
      </c:catAx>
      <c:valAx>
        <c:axId val="378462824"/>
        <c:scaling>
          <c:orientation val="minMax"/>
        </c:scaling>
        <c:delete val="0"/>
        <c:axPos val="l"/>
        <c:majorGridlines/>
        <c:numFmt formatCode="0%" sourceLinked="1"/>
        <c:majorTickMark val="none"/>
        <c:minorTickMark val="none"/>
        <c:tickLblPos val="nextTo"/>
        <c:spPr>
          <a:ln w="9525">
            <a:noFill/>
          </a:ln>
        </c:spPr>
        <c:crossAx val="327003256"/>
        <c:crosses val="autoZero"/>
        <c:crossBetween val="between"/>
      </c:valAx>
      <c:spPr>
        <a:ln>
          <a:solidFill>
            <a:schemeClr val="accent1"/>
          </a:solidFill>
        </a:ln>
      </c:spPr>
    </c:plotArea>
    <c:plotVisOnly val="1"/>
    <c:dispBlanksAs val="gap"/>
    <c:showDLblsOverMax val="0"/>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[Myanmar_Shelter_NFI_CCCM_Cluster_Analysis Report_Kachin_V03 01-Apr-14.xlsm]Shelter_Progress!PivotTable3</c:name>
    <c:fmtId val="2"/>
  </c:pivotSource>
  <c:chart>
    <c:title>
      <c:tx>
        <c:rich>
          <a:bodyPr/>
          <a:lstStyle/>
          <a:p>
            <a:pPr algn="ctr" rtl="0">
              <a:defRPr lang="en-US" sz="1800" b="1" i="0" u="none" strike="noStrike" kern="1200" baseline="0">
                <a:solidFill>
                  <a:sysClr val="windowText" lastClr="000000"/>
                </a:solidFill>
                <a:effectLst/>
                <a:latin typeface="+mn-lt"/>
                <a:ea typeface="+mn-ea"/>
                <a:cs typeface="+mn-cs"/>
              </a:defRPr>
            </a:pPr>
            <a:r>
              <a:rPr lang="en-US" sz="1800" b="1" i="0" u="none" strike="noStrike" kern="1200" baseline="0">
                <a:solidFill>
                  <a:sysClr val="windowText" lastClr="000000"/>
                </a:solidFill>
                <a:effectLst/>
                <a:latin typeface="+mn-lt"/>
                <a:ea typeface="+mn-ea"/>
                <a:cs typeface="+mn-cs"/>
              </a:rPr>
              <a:t>Temporary Shelter Construction in Rakhine State by Agency </a:t>
            </a:r>
          </a:p>
        </c:rich>
      </c:tx>
      <c:overlay val="0"/>
    </c:title>
    <c:autoTitleDeleted val="0"/>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spPr>
          <a:solidFill>
            <a:srgbClr val="92D050"/>
          </a:solidFill>
        </c:spPr>
        <c:marker>
          <c:symbol val="none"/>
        </c:marker>
      </c:pivotFmt>
      <c:pivotFmt>
        <c:idx val="5"/>
        <c:spPr>
          <a:solidFill>
            <a:srgbClr val="FFC000"/>
          </a:solidFill>
        </c:spPr>
        <c:marker>
          <c:symbol val="none"/>
        </c:marker>
      </c:pivotFmt>
      <c:pivotFmt>
        <c:idx val="6"/>
        <c:marker>
          <c:symbol val="none"/>
        </c:marker>
      </c:pivotFmt>
      <c:pivotFmt>
        <c:idx val="7"/>
        <c:marker>
          <c:symbol val="none"/>
        </c:marker>
      </c:pivotFmt>
      <c:pivotFmt>
        <c:idx val="8"/>
        <c:marker>
          <c:symbol val="none"/>
        </c:marker>
      </c:pivotFmt>
    </c:pivotFmts>
    <c:plotArea>
      <c:layout/>
      <c:barChart>
        <c:barDir val="col"/>
        <c:grouping val="stacked"/>
        <c:varyColors val="0"/>
        <c:ser>
          <c:idx val="0"/>
          <c:order val="0"/>
          <c:tx>
            <c:strRef>
              <c:f>Shelter_Progress!$B$83</c:f>
              <c:strCache>
                <c:ptCount val="1"/>
                <c:pt idx="0">
                  <c:v>Total</c:v>
                </c:pt>
              </c:strCache>
            </c:strRef>
          </c:tx>
          <c:invertIfNegative val="0"/>
          <c:cat>
            <c:strRef>
              <c:f>Shelter_Progress!$A$84:$A$97</c:f>
              <c:strCache>
                <c:ptCount val="13"/>
                <c:pt idx="0">
                  <c:v>DRC</c:v>
                </c:pt>
                <c:pt idx="1">
                  <c:v>UNHCR</c:v>
                </c:pt>
                <c:pt idx="2">
                  <c:v>World Vision</c:v>
                </c:pt>
                <c:pt idx="3">
                  <c:v>Oxfam</c:v>
                </c:pt>
                <c:pt idx="4">
                  <c:v>IRRC</c:v>
                </c:pt>
                <c:pt idx="5">
                  <c:v>Caritas</c:v>
                </c:pt>
                <c:pt idx="6">
                  <c:v>Metta</c:v>
                </c:pt>
                <c:pt idx="7">
                  <c:v>CC</c:v>
                </c:pt>
                <c:pt idx="8">
                  <c:v>KBC Zonal</c:v>
                </c:pt>
                <c:pt idx="9">
                  <c:v>Misereor</c:v>
                </c:pt>
                <c:pt idx="10">
                  <c:v>Yedai Foundation</c:v>
                </c:pt>
                <c:pt idx="11">
                  <c:v>ACTED</c:v>
                </c:pt>
                <c:pt idx="12">
                  <c:v>(blank)</c:v>
                </c:pt>
              </c:strCache>
            </c:strRef>
          </c:cat>
          <c:val>
            <c:numRef>
              <c:f>Shelter_Progress!$B$84:$B$97</c:f>
              <c:numCache>
                <c:formatCode>General</c:formatCode>
                <c:ptCount val="13"/>
                <c:pt idx="0">
                  <c:v>2144</c:v>
                </c:pt>
                <c:pt idx="1">
                  <c:v>5097</c:v>
                </c:pt>
                <c:pt idx="2">
                  <c:v>87</c:v>
                </c:pt>
                <c:pt idx="3">
                  <c:v>385</c:v>
                </c:pt>
                <c:pt idx="4">
                  <c:v>356</c:v>
                </c:pt>
                <c:pt idx="5">
                  <c:v>901</c:v>
                </c:pt>
                <c:pt idx="6">
                  <c:v>724</c:v>
                </c:pt>
                <c:pt idx="7">
                  <c:v>155</c:v>
                </c:pt>
                <c:pt idx="8">
                  <c:v>32</c:v>
                </c:pt>
                <c:pt idx="9">
                  <c:v>12</c:v>
                </c:pt>
                <c:pt idx="10">
                  <c:v>10</c:v>
                </c:pt>
                <c:pt idx="11">
                  <c:v>0</c:v>
                </c:pt>
                <c:pt idx="12">
                  <c:v>122</c:v>
                </c:pt>
              </c:numCache>
            </c:numRef>
          </c:val>
        </c:ser>
        <c:dLbls>
          <c:showLegendKey val="0"/>
          <c:showVal val="0"/>
          <c:showCatName val="0"/>
          <c:showSerName val="0"/>
          <c:showPercent val="0"/>
          <c:showBubbleSize val="0"/>
        </c:dLbls>
        <c:gapWidth val="150"/>
        <c:overlap val="100"/>
        <c:axId val="378464000"/>
        <c:axId val="378464392"/>
      </c:barChart>
      <c:catAx>
        <c:axId val="378464000"/>
        <c:scaling>
          <c:orientation val="minMax"/>
        </c:scaling>
        <c:delete val="0"/>
        <c:axPos val="b"/>
        <c:numFmt formatCode="General" sourceLinked="0"/>
        <c:majorTickMark val="out"/>
        <c:minorTickMark val="none"/>
        <c:tickLblPos val="nextTo"/>
        <c:crossAx val="378464392"/>
        <c:crosses val="autoZero"/>
        <c:auto val="1"/>
        <c:lblAlgn val="ctr"/>
        <c:lblOffset val="100"/>
        <c:noMultiLvlLbl val="0"/>
      </c:catAx>
      <c:valAx>
        <c:axId val="378464392"/>
        <c:scaling>
          <c:orientation val="minMax"/>
        </c:scaling>
        <c:delete val="0"/>
        <c:axPos val="l"/>
        <c:majorGridlines/>
        <c:numFmt formatCode="General" sourceLinked="1"/>
        <c:majorTickMark val="out"/>
        <c:minorTickMark val="none"/>
        <c:tickLblPos val="nextTo"/>
        <c:crossAx val="378464000"/>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[Shelter-NFI-CCCM Kachin Northern Shan Cluster Analysis Report 1st June 2016.xlsx]Shelter Progress!PivotTable3</c:name>
    <c:fmtId val="6"/>
  </c:pivotSource>
  <c:chart>
    <c:title>
      <c:tx>
        <c:rich>
          <a:bodyPr/>
          <a:lstStyle/>
          <a:p>
            <a:pPr>
              <a:defRPr/>
            </a:pPr>
            <a:r>
              <a:rPr lang="en-US" sz="1800" b="1" i="0" baseline="0">
                <a:effectLst/>
              </a:rPr>
              <a:t>Temporary Shelter Built in Kachin   &amp; Northern Shan States by Agency</a:t>
            </a:r>
            <a:r>
              <a:rPr lang="en-US" sz="1800" b="0" i="0" baseline="0">
                <a:effectLst/>
              </a:rPr>
              <a:t> </a:t>
            </a:r>
            <a:endParaRPr lang="en-US">
              <a:effectLst/>
            </a:endParaRPr>
          </a:p>
        </c:rich>
      </c:tx>
      <c:layout/>
      <c:overlay val="0"/>
    </c:title>
    <c:autoTitleDeleted val="0"/>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marker>
          <c:symbol val="none"/>
        </c:marker>
      </c:pivotFmt>
      <c:pivotFmt>
        <c:idx val="5"/>
        <c:marker>
          <c:symbol val="none"/>
        </c:marker>
      </c:pivotFmt>
      <c:pivotFmt>
        <c:idx val="6"/>
        <c:spPr>
          <a:solidFill>
            <a:srgbClr val="92D050"/>
          </a:solidFill>
        </c:spPr>
        <c:marker>
          <c:symbol val="none"/>
        </c:marker>
      </c:pivotFmt>
      <c:pivotFmt>
        <c:idx val="7"/>
        <c:marker>
          <c:symbol val="none"/>
        </c:marker>
      </c:pivotFmt>
      <c:pivotFmt>
        <c:idx val="8"/>
      </c:pivotFmt>
      <c:pivotFmt>
        <c:idx val="9"/>
        <c:marker>
          <c:symbol val="none"/>
        </c:marker>
      </c:pivotFmt>
      <c:pivotFmt>
        <c:idx val="10"/>
        <c:marker>
          <c:symbol val="none"/>
        </c:marker>
      </c:pivotFmt>
      <c:pivotFmt>
        <c:idx val="11"/>
        <c:marker>
          <c:symbol val="none"/>
        </c:marker>
      </c:pivotFmt>
      <c:pivotFmt>
        <c:idx val="12"/>
        <c:marker>
          <c:symbol val="none"/>
        </c:marker>
      </c:pivotFmt>
      <c:pivotFmt>
        <c:idx val="13"/>
        <c:marker>
          <c:symbol val="none"/>
        </c:marker>
      </c:pivotFmt>
      <c:pivotFmt>
        <c:idx val="14"/>
        <c:marker>
          <c:symbol val="none"/>
        </c:marker>
      </c:pivotFmt>
    </c:pivotFmts>
    <c:plotArea>
      <c:layout/>
      <c:barChart>
        <c:barDir val="col"/>
        <c:grouping val="stacked"/>
        <c:varyColors val="0"/>
        <c:ser>
          <c:idx val="0"/>
          <c:order val="0"/>
          <c:tx>
            <c:strRef>
              <c:f>'Shelter Progress'!$B$83</c:f>
              <c:strCache>
                <c:ptCount val="1"/>
                <c:pt idx="0">
                  <c:v>Total</c:v>
                </c:pt>
              </c:strCache>
            </c:strRef>
          </c:tx>
          <c:invertIfNegative val="0"/>
          <c:cat>
            <c:strRef>
              <c:f>'Shelter Progress'!$A$84:$A$100</c:f>
              <c:strCache>
                <c:ptCount val="16"/>
                <c:pt idx="0">
                  <c:v>DRC</c:v>
                </c:pt>
                <c:pt idx="1">
                  <c:v>UNHCR</c:v>
                </c:pt>
                <c:pt idx="2">
                  <c:v>World Vision</c:v>
                </c:pt>
                <c:pt idx="3">
                  <c:v>Oxfam</c:v>
                </c:pt>
                <c:pt idx="4">
                  <c:v>IRRC</c:v>
                </c:pt>
                <c:pt idx="5">
                  <c:v>Caritas</c:v>
                </c:pt>
                <c:pt idx="6">
                  <c:v>Metta</c:v>
                </c:pt>
                <c:pt idx="7">
                  <c:v>CC</c:v>
                </c:pt>
                <c:pt idx="8">
                  <c:v>KBC Zonal</c:v>
                </c:pt>
                <c:pt idx="9">
                  <c:v>Misereor</c:v>
                </c:pt>
                <c:pt idx="10">
                  <c:v>Yedai Foundation</c:v>
                </c:pt>
                <c:pt idx="11">
                  <c:v>ACTED</c:v>
                </c:pt>
                <c:pt idx="12">
                  <c:v>(blank)</c:v>
                </c:pt>
                <c:pt idx="13">
                  <c:v>COC</c:v>
                </c:pt>
                <c:pt idx="14">
                  <c:v>FSD</c:v>
                </c:pt>
                <c:pt idx="15">
                  <c:v>DFID</c:v>
                </c:pt>
              </c:strCache>
            </c:strRef>
          </c:cat>
          <c:val>
            <c:numRef>
              <c:f>'Shelter Progress'!$B$84:$B$100</c:f>
              <c:numCache>
                <c:formatCode>General</c:formatCode>
                <c:ptCount val="16"/>
                <c:pt idx="0">
                  <c:v>2603</c:v>
                </c:pt>
                <c:pt idx="1">
                  <c:v>7061</c:v>
                </c:pt>
                <c:pt idx="2">
                  <c:v>77</c:v>
                </c:pt>
                <c:pt idx="3">
                  <c:v>405</c:v>
                </c:pt>
                <c:pt idx="4">
                  <c:v>32</c:v>
                </c:pt>
                <c:pt idx="5">
                  <c:v>725</c:v>
                </c:pt>
                <c:pt idx="6">
                  <c:v>900</c:v>
                </c:pt>
                <c:pt idx="7">
                  <c:v>279</c:v>
                </c:pt>
                <c:pt idx="8">
                  <c:v>205</c:v>
                </c:pt>
                <c:pt idx="9">
                  <c:v>12</c:v>
                </c:pt>
                <c:pt idx="10">
                  <c:v>10</c:v>
                </c:pt>
                <c:pt idx="11">
                  <c:v>0</c:v>
                </c:pt>
                <c:pt idx="12">
                  <c:v>122</c:v>
                </c:pt>
                <c:pt idx="13">
                  <c:v>20</c:v>
                </c:pt>
                <c:pt idx="14">
                  <c:v>269</c:v>
                </c:pt>
                <c:pt idx="15">
                  <c:v>350</c:v>
                </c:pt>
              </c:numCache>
            </c:numRef>
          </c:val>
        </c:ser>
        <c:dLbls>
          <c:showLegendKey val="0"/>
          <c:showVal val="0"/>
          <c:showCatName val="0"/>
          <c:showSerName val="0"/>
          <c:showPercent val="0"/>
          <c:showBubbleSize val="0"/>
        </c:dLbls>
        <c:gapWidth val="150"/>
        <c:overlap val="100"/>
        <c:axId val="257472920"/>
        <c:axId val="257473312"/>
      </c:barChart>
      <c:catAx>
        <c:axId val="257472920"/>
        <c:scaling>
          <c:orientation val="minMax"/>
        </c:scaling>
        <c:delete val="0"/>
        <c:axPos val="b"/>
        <c:numFmt formatCode="General" sourceLinked="0"/>
        <c:majorTickMark val="out"/>
        <c:minorTickMark val="none"/>
        <c:tickLblPos val="nextTo"/>
        <c:crossAx val="257473312"/>
        <c:crosses val="autoZero"/>
        <c:auto val="1"/>
        <c:lblAlgn val="ctr"/>
        <c:lblOffset val="100"/>
        <c:noMultiLvlLbl val="0"/>
      </c:catAx>
      <c:valAx>
        <c:axId val="257473312"/>
        <c:scaling>
          <c:orientation val="minMax"/>
        </c:scaling>
        <c:delete val="0"/>
        <c:axPos val="l"/>
        <c:majorGridlines/>
        <c:numFmt formatCode="General" sourceLinked="1"/>
        <c:majorTickMark val="out"/>
        <c:minorTickMark val="none"/>
        <c:tickLblPos val="nextTo"/>
        <c:crossAx val="257472920"/>
        <c:crosses val="autoZero"/>
        <c:crossBetween val="between"/>
      </c:valAx>
    </c:plotArea>
    <c:legend>
      <c:legendPos val="b"/>
      <c:layout/>
      <c:overlay val="0"/>
    </c:legend>
    <c:plotVisOnly val="1"/>
    <c:dispBlanksAs val="gap"/>
    <c:showDLblsOverMax val="0"/>
  </c:chart>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21"/>
    </mc:Choice>
    <mc:Fallback>
      <c:style val="21"/>
    </mc:Fallback>
  </mc:AlternateContent>
  <c:chart>
    <c:autoTitleDeleted val="1"/>
    <c:pivotFmts>
      <c:pivotFmt>
        <c:idx val="0"/>
        <c:spPr>
          <a:solidFill>
            <a:srgbClr val="FF0000">
              <a:alpha val="45000"/>
            </a:srgbClr>
          </a:solidFill>
        </c:spPr>
        <c:marker>
          <c:symbol val="none"/>
        </c:marker>
      </c:pivotFmt>
      <c:pivotFmt>
        <c:idx val="1"/>
        <c:spPr>
          <a:solidFill>
            <a:srgbClr val="00B0F0">
              <a:alpha val="45000"/>
            </a:srgbClr>
          </a:solidFill>
        </c:spPr>
        <c:marker>
          <c:symbol val="none"/>
        </c:marker>
      </c:pivotFmt>
      <c:pivotFmt>
        <c:idx val="2"/>
        <c:spPr>
          <a:solidFill>
            <a:srgbClr val="00B0F0">
              <a:alpha val="45000"/>
            </a:srgbClr>
          </a:solidFill>
          <a:ln>
            <a:solidFill>
              <a:schemeClr val="tx1">
                <a:alpha val="20000"/>
              </a:schemeClr>
            </a:solidFill>
          </a:ln>
        </c:spPr>
        <c:marker>
          <c:symbol val="none"/>
        </c:marker>
      </c:pivotFmt>
      <c:pivotFmt>
        <c:idx val="3"/>
        <c:spPr>
          <a:solidFill>
            <a:srgbClr val="FF0000">
              <a:alpha val="45000"/>
            </a:srgbClr>
          </a:solidFill>
          <a:ln>
            <a:solidFill>
              <a:schemeClr val="tx1">
                <a:alpha val="20000"/>
              </a:schemeClr>
            </a:solidFill>
          </a:ln>
        </c:spPr>
        <c:marker>
          <c:symbol val="none"/>
        </c:marker>
      </c:pivotFmt>
    </c:pivotFmts>
    <c:plotArea>
      <c:layout>
        <c:manualLayout>
          <c:layoutTarget val="inner"/>
          <c:xMode val="edge"/>
          <c:yMode val="edge"/>
          <c:x val="0.17247844331587769"/>
          <c:y val="0.12886224083038805"/>
          <c:w val="0.76165896262398292"/>
          <c:h val="0.66512276873211684"/>
        </c:manualLayout>
      </c:layout>
      <c:barChart>
        <c:barDir val="bar"/>
        <c:grouping val="stacked"/>
        <c:varyColors val="0"/>
        <c:ser>
          <c:idx val="10"/>
          <c:order val="0"/>
          <c:tx>
            <c:strRef>
              <c:f>'Shelter Progress'!$L$6</c:f>
              <c:strCache>
                <c:ptCount val="1"/>
                <c:pt idx="0">
                  <c:v> Coverage (in Pop)</c:v>
                </c:pt>
              </c:strCache>
            </c:strRef>
          </c:tx>
          <c:spPr>
            <a:solidFill>
              <a:srgbClr val="92D050"/>
            </a:solidFill>
          </c:spPr>
          <c:invertIfNegative val="0"/>
          <c:cat>
            <c:strRef>
              <c:f>'Shelter Progress'!$A$7:$A$27</c:f>
              <c:strCache>
                <c:ptCount val="21"/>
                <c:pt idx="0">
                  <c:v>Bhamo</c:v>
                </c:pt>
                <c:pt idx="1">
                  <c:v>Chipwi</c:v>
                </c:pt>
                <c:pt idx="2">
                  <c:v>Hpakant</c:v>
                </c:pt>
                <c:pt idx="3">
                  <c:v>Hseni</c:v>
                </c:pt>
                <c:pt idx="4">
                  <c:v>Injangyang</c:v>
                </c:pt>
                <c:pt idx="5">
                  <c:v>Khaunglanhpu</c:v>
                </c:pt>
                <c:pt idx="6">
                  <c:v>Kutkai</c:v>
                </c:pt>
                <c:pt idx="7">
                  <c:v>Machanbaw</c:v>
                </c:pt>
                <c:pt idx="8">
                  <c:v>Mansi</c:v>
                </c:pt>
                <c:pt idx="9">
                  <c:v>Manton</c:v>
                </c:pt>
                <c:pt idx="10">
                  <c:v>Mogaung</c:v>
                </c:pt>
                <c:pt idx="11">
                  <c:v>Mohnyin</c:v>
                </c:pt>
                <c:pt idx="12">
                  <c:v>Momauk</c:v>
                </c:pt>
                <c:pt idx="13">
                  <c:v>Muse</c:v>
                </c:pt>
                <c:pt idx="14">
                  <c:v>Myitkyina</c:v>
                </c:pt>
                <c:pt idx="15">
                  <c:v>Namhkan</c:v>
                </c:pt>
                <c:pt idx="16">
                  <c:v>Namtu</c:v>
                </c:pt>
                <c:pt idx="17">
                  <c:v>Puta-O</c:v>
                </c:pt>
                <c:pt idx="18">
                  <c:v>Shwegu</c:v>
                </c:pt>
                <c:pt idx="19">
                  <c:v>Sumprabum</c:v>
                </c:pt>
                <c:pt idx="20">
                  <c:v>Waingmaw</c:v>
                </c:pt>
              </c:strCache>
            </c:strRef>
          </c:cat>
          <c:val>
            <c:numRef>
              <c:f>'Shelter Progress'!$L$7:$L$27</c:f>
              <c:numCache>
                <c:formatCode>_(* #,##0_);_(* \(#,##0\);_(* "-"??_);_(@_)</c:formatCode>
                <c:ptCount val="21"/>
                <c:pt idx="0">
                  <c:v>5814.118604651163</c:v>
                </c:pt>
                <c:pt idx="1">
                  <c:v>911.25</c:v>
                </c:pt>
                <c:pt idx="2">
                  <c:v>2134.5516265912306</c:v>
                </c:pt>
                <c:pt idx="3">
                  <c:v>158.42105263157893</c:v>
                </c:pt>
                <c:pt idx="4">
                  <c:v>0</c:v>
                </c:pt>
                <c:pt idx="5">
                  <c:v>0</c:v>
                </c:pt>
                <c:pt idx="6">
                  <c:v>2185.6967930029155</c:v>
                </c:pt>
                <c:pt idx="7">
                  <c:v>0</c:v>
                </c:pt>
                <c:pt idx="8">
                  <c:v>7123.562524811432</c:v>
                </c:pt>
                <c:pt idx="9">
                  <c:v>402.35294117647061</c:v>
                </c:pt>
                <c:pt idx="10">
                  <c:v>354.5679012345679</c:v>
                </c:pt>
                <c:pt idx="11">
                  <c:v>210</c:v>
                </c:pt>
                <c:pt idx="12">
                  <c:v>21528.269158878506</c:v>
                </c:pt>
                <c:pt idx="13">
                  <c:v>347.84615384615387</c:v>
                </c:pt>
                <c:pt idx="14">
                  <c:v>5645.7199434229142</c:v>
                </c:pt>
                <c:pt idx="15">
                  <c:v>1174.1965811965811</c:v>
                </c:pt>
                <c:pt idx="16">
                  <c:v>41.111111111111107</c:v>
                </c:pt>
                <c:pt idx="17">
                  <c:v>238.98305084745763</c:v>
                </c:pt>
                <c:pt idx="18">
                  <c:v>319.43307086614175</c:v>
                </c:pt>
                <c:pt idx="19">
                  <c:v>0</c:v>
                </c:pt>
                <c:pt idx="20">
                  <c:v>17398.755329303214</c:v>
                </c:pt>
              </c:numCache>
            </c:numRef>
          </c:val>
        </c:ser>
        <c:dLbls>
          <c:showLegendKey val="0"/>
          <c:showVal val="0"/>
          <c:showCatName val="0"/>
          <c:showSerName val="0"/>
          <c:showPercent val="0"/>
          <c:showBubbleSize val="0"/>
        </c:dLbls>
        <c:gapWidth val="75"/>
        <c:overlap val="100"/>
        <c:axId val="257474096"/>
        <c:axId val="412954512"/>
      </c:barChart>
      <c:catAx>
        <c:axId val="257474096"/>
        <c:scaling>
          <c:orientation val="minMax"/>
        </c:scaling>
        <c:delete val="0"/>
        <c:axPos val="l"/>
        <c:numFmt formatCode="General" sourceLinked="0"/>
        <c:majorTickMark val="none"/>
        <c:minorTickMark val="none"/>
        <c:tickLblPos val="nextTo"/>
        <c:crossAx val="412954512"/>
        <c:crosses val="autoZero"/>
        <c:auto val="1"/>
        <c:lblAlgn val="ctr"/>
        <c:lblOffset val="100"/>
        <c:noMultiLvlLbl val="0"/>
      </c:catAx>
      <c:valAx>
        <c:axId val="412954512"/>
        <c:scaling>
          <c:orientation val="minMax"/>
          <c:min val="0"/>
        </c:scaling>
        <c:delete val="0"/>
        <c:axPos val="b"/>
        <c:numFmt formatCode="#,##0" sourceLinked="0"/>
        <c:majorTickMark val="cross"/>
        <c:minorTickMark val="none"/>
        <c:tickLblPos val="low"/>
        <c:spPr>
          <a:ln w="9525">
            <a:solidFill>
              <a:schemeClr val="accent1"/>
            </a:solidFill>
          </a:ln>
        </c:spPr>
        <c:crossAx val="257474096"/>
        <c:crosses val="autoZero"/>
        <c:crossBetween val="between"/>
        <c:dispUnits>
          <c:builtInUnit val="thousands"/>
          <c:dispUnitsLbl>
            <c:layout/>
          </c:dispUnitsLbl>
        </c:dispUnits>
      </c:valAx>
    </c:plotArea>
    <c:legend>
      <c:legendPos val="b"/>
      <c:layout>
        <c:manualLayout>
          <c:xMode val="edge"/>
          <c:yMode val="edge"/>
          <c:x val="0.37403278363789433"/>
          <c:y val="0.86115636330036516"/>
          <c:w val="0.27160766532401082"/>
          <c:h val="4.1467779513830266E-2"/>
        </c:manualLayout>
      </c:layout>
      <c:overlay val="0"/>
    </c:legend>
    <c:plotVisOnly val="1"/>
    <c:dispBlanksAs val="gap"/>
    <c:showDLblsOverMax val="0"/>
  </c:chart>
  <c:spPr>
    <a:solidFill>
      <a:schemeClr val="lt1"/>
    </a:solidFill>
    <a:ln w="25400" cap="flat" cmpd="sng" algn="ctr">
      <a:solidFill>
        <a:schemeClr val="accent5"/>
      </a:solidFill>
      <a:prstDash val="solid"/>
    </a:ln>
    <a:effectLst/>
  </c:spPr>
  <c:txPr>
    <a:bodyPr/>
    <a:lstStyle/>
    <a:p>
      <a:pPr>
        <a:defRPr>
          <a:solidFill>
            <a:schemeClr val="dk1"/>
          </a:solidFill>
          <a:latin typeface="+mn-lt"/>
          <a:ea typeface="+mn-ea"/>
          <a:cs typeface="+mn-cs"/>
        </a:defRPr>
      </a:pPr>
      <a:endParaRPr lang="en-US"/>
    </a:p>
  </c:txPr>
  <c:printSettings>
    <c:headerFooter/>
    <c:pageMargins b="0.75" l="0.7" r="0.7" t="0.75" header="0.3" footer="0.3"/>
    <c:pageSetup orientation="portrait"/>
  </c:printSettings>
  <c:userShapes r:id="rId1"/>
  <c:extLst/>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[Shelter-NFI-CCCM Kachin Northern Shan Cluster Analysis Report 1st June 2016.xlsx]Shelter Summary (by Agency)!PivotTable3</c:name>
    <c:fmtId val="5"/>
  </c:pivotSource>
  <c:chart>
    <c:autoTitleDeleted val="1"/>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marker>
          <c:symbol val="none"/>
        </c:marker>
      </c:pivotFmt>
      <c:pivotFmt>
        <c:idx val="5"/>
        <c:marker>
          <c:symbol val="none"/>
        </c:marker>
      </c:pivotFmt>
      <c:pivotFmt>
        <c:idx val="6"/>
        <c:marker>
          <c:symbol val="none"/>
        </c:marker>
      </c:pivotFmt>
      <c:pivotFmt>
        <c:idx val="7"/>
        <c:marker>
          <c:symbol val="none"/>
        </c:marker>
      </c:pivotFmt>
      <c:pivotFmt>
        <c:idx val="8"/>
        <c:marker>
          <c:symbol val="none"/>
        </c:marker>
      </c:pivotFmt>
      <c:pivotFmt>
        <c:idx val="9"/>
        <c:marker>
          <c:symbol val="none"/>
        </c:marker>
      </c:pivotFmt>
      <c:pivotFmt>
        <c:idx val="10"/>
        <c:marker>
          <c:symbol val="none"/>
        </c:marker>
      </c:pivotFmt>
    </c:pivotFmts>
    <c:plotArea>
      <c:layout>
        <c:manualLayout>
          <c:layoutTarget val="inner"/>
          <c:xMode val="edge"/>
          <c:yMode val="edge"/>
          <c:x val="0.21971330435638536"/>
          <c:y val="0.10400020189783968"/>
          <c:w val="0.75070251906783347"/>
          <c:h val="0.82603028467595385"/>
        </c:manualLayout>
      </c:layout>
      <c:barChart>
        <c:barDir val="bar"/>
        <c:grouping val="clustered"/>
        <c:varyColors val="0"/>
        <c:ser>
          <c:idx val="0"/>
          <c:order val="0"/>
          <c:tx>
            <c:strRef>
              <c:f>'Shelter Summary (by Agency)'!$F$7</c:f>
              <c:strCache>
                <c:ptCount val="1"/>
                <c:pt idx="0">
                  <c:v>Total</c:v>
                </c:pt>
              </c:strCache>
            </c:strRef>
          </c:tx>
          <c:invertIfNegative val="0"/>
          <c:cat>
            <c:strRef>
              <c:f>'Shelter Summary (by Agency)'!$E$8:$E$22</c:f>
              <c:strCache>
                <c:ptCount val="14"/>
                <c:pt idx="0">
                  <c:v>Caritas</c:v>
                </c:pt>
                <c:pt idx="1">
                  <c:v>CC</c:v>
                </c:pt>
                <c:pt idx="2">
                  <c:v>COC</c:v>
                </c:pt>
                <c:pt idx="3">
                  <c:v>DFID</c:v>
                </c:pt>
                <c:pt idx="4">
                  <c:v>DRC</c:v>
                </c:pt>
                <c:pt idx="5">
                  <c:v>FSD</c:v>
                </c:pt>
                <c:pt idx="6">
                  <c:v>IRRC</c:v>
                </c:pt>
                <c:pt idx="7">
                  <c:v>KBC Zonal</c:v>
                </c:pt>
                <c:pt idx="8">
                  <c:v>Metta</c:v>
                </c:pt>
                <c:pt idx="9">
                  <c:v>Misereor</c:v>
                </c:pt>
                <c:pt idx="10">
                  <c:v>Oxfam</c:v>
                </c:pt>
                <c:pt idx="11">
                  <c:v>UNHCR</c:v>
                </c:pt>
                <c:pt idx="12">
                  <c:v>World Vision</c:v>
                </c:pt>
                <c:pt idx="13">
                  <c:v>Yedai Foundation</c:v>
                </c:pt>
              </c:strCache>
            </c:strRef>
          </c:cat>
          <c:val>
            <c:numRef>
              <c:f>'Shelter Summary (by Agency)'!$F$8:$F$22</c:f>
              <c:numCache>
                <c:formatCode>_-* #,##0_-;\-* #,##0_-;_-* "-"??_-;_-@_-</c:formatCode>
                <c:ptCount val="14"/>
                <c:pt idx="0">
                  <c:v>725</c:v>
                </c:pt>
                <c:pt idx="1">
                  <c:v>279</c:v>
                </c:pt>
                <c:pt idx="2">
                  <c:v>20</c:v>
                </c:pt>
                <c:pt idx="3">
                  <c:v>350</c:v>
                </c:pt>
                <c:pt idx="4">
                  <c:v>2603</c:v>
                </c:pt>
                <c:pt idx="5">
                  <c:v>269</c:v>
                </c:pt>
                <c:pt idx="6">
                  <c:v>32</c:v>
                </c:pt>
                <c:pt idx="7">
                  <c:v>205</c:v>
                </c:pt>
                <c:pt idx="8">
                  <c:v>900</c:v>
                </c:pt>
                <c:pt idx="9">
                  <c:v>12</c:v>
                </c:pt>
                <c:pt idx="10">
                  <c:v>405</c:v>
                </c:pt>
                <c:pt idx="11">
                  <c:v>7061</c:v>
                </c:pt>
                <c:pt idx="12">
                  <c:v>77</c:v>
                </c:pt>
                <c:pt idx="13">
                  <c:v>10</c:v>
                </c:pt>
              </c:numCache>
            </c:numRef>
          </c:val>
        </c:ser>
        <c:dLbls>
          <c:showLegendKey val="0"/>
          <c:showVal val="0"/>
          <c:showCatName val="0"/>
          <c:showSerName val="0"/>
          <c:showPercent val="0"/>
          <c:showBubbleSize val="0"/>
        </c:dLbls>
        <c:gapWidth val="55"/>
        <c:axId val="378463608"/>
        <c:axId val="412955296"/>
      </c:barChart>
      <c:catAx>
        <c:axId val="378463608"/>
        <c:scaling>
          <c:orientation val="minMax"/>
        </c:scaling>
        <c:delete val="0"/>
        <c:axPos val="l"/>
        <c:numFmt formatCode="General" sourceLinked="0"/>
        <c:majorTickMark val="out"/>
        <c:minorTickMark val="none"/>
        <c:tickLblPos val="nextTo"/>
        <c:spPr>
          <a:ln>
            <a:noFill/>
          </a:ln>
        </c:spPr>
        <c:crossAx val="412955296"/>
        <c:crosses val="autoZero"/>
        <c:auto val="1"/>
        <c:lblAlgn val="ctr"/>
        <c:lblOffset val="100"/>
        <c:noMultiLvlLbl val="0"/>
      </c:catAx>
      <c:valAx>
        <c:axId val="412955296"/>
        <c:scaling>
          <c:orientation val="minMax"/>
          <c:min val="0"/>
        </c:scaling>
        <c:delete val="0"/>
        <c:axPos val="b"/>
        <c:majorGridlines>
          <c:spPr>
            <a:ln>
              <a:solidFill>
                <a:schemeClr val="bg1">
                  <a:lumMod val="50000"/>
                  <a:alpha val="12000"/>
                </a:schemeClr>
              </a:solidFill>
            </a:ln>
          </c:spPr>
        </c:majorGridlines>
        <c:title>
          <c:tx>
            <c:rich>
              <a:bodyPr/>
              <a:lstStyle/>
              <a:p>
                <a:pPr>
                  <a:defRPr/>
                </a:pPr>
                <a:r>
                  <a:rPr lang="en-US"/>
                  <a:t># of HH</a:t>
                </a:r>
              </a:p>
              <a:p>
                <a:pPr>
                  <a:defRPr/>
                </a:pPr>
                <a:r>
                  <a:rPr lang="en-US"/>
                  <a:t>(in Thousands)</a:t>
                </a:r>
              </a:p>
            </c:rich>
          </c:tx>
          <c:layout>
            <c:manualLayout>
              <c:xMode val="edge"/>
              <c:yMode val="edge"/>
              <c:x val="5.4807767597606596E-2"/>
              <c:y val="0.91077615298087744"/>
            </c:manualLayout>
          </c:layout>
          <c:overlay val="0"/>
        </c:title>
        <c:numFmt formatCode="#,##0" sourceLinked="0"/>
        <c:majorTickMark val="out"/>
        <c:minorTickMark val="none"/>
        <c:tickLblPos val="nextTo"/>
        <c:crossAx val="378463608"/>
        <c:crosses val="autoZero"/>
        <c:crossBetween val="between"/>
        <c:majorUnit val="1000"/>
        <c:dispUnits>
          <c:builtInUnit val="thousands"/>
        </c:dispUnits>
      </c:valAx>
      <c:spPr>
        <a:noFill/>
        <a:ln>
          <a:noFill/>
        </a:ln>
      </c:spPr>
    </c:plotArea>
    <c:plotVisOnly val="1"/>
    <c:dispBlanksAs val="gap"/>
    <c:showDLblsOverMax val="0"/>
  </c:chart>
  <c:spPr>
    <a:solidFill>
      <a:schemeClr val="lt1"/>
    </a:solidFill>
    <a:ln w="25400" cap="flat" cmpd="sng" algn="ctr">
      <a:solidFill>
        <a:schemeClr val="accent1"/>
      </a:solidFill>
      <a:prstDash val="solid"/>
    </a:ln>
    <a:effectLst/>
  </c:spPr>
  <c:txPr>
    <a:bodyPr/>
    <a:lstStyle/>
    <a:p>
      <a:pPr>
        <a:defRPr>
          <a:solidFill>
            <a:schemeClr val="dk1"/>
          </a:solidFill>
          <a:latin typeface="+mn-lt"/>
          <a:ea typeface="+mn-ea"/>
          <a:cs typeface="+mn-cs"/>
        </a:defRPr>
      </a:pPr>
      <a:endParaRPr lang="en-US"/>
    </a:p>
  </c:txPr>
  <c:printSettings>
    <c:headerFooter/>
    <c:pageMargins b="0.75" l="0.7" r="0.7" t="0.75" header="0.3" footer="0.3"/>
    <c:pageSetup/>
  </c:printSettings>
  <c:userShapes r:id="rId1"/>
  <c:extLst>
    <c:ext xmlns:c14="http://schemas.microsoft.com/office/drawing/2007/8/2/chart" uri="{781A3756-C4B2-4CAC-9D66-4F8BD8637D16}">
      <c14:pivotOptions>
        <c14:dropZoneFilter val="1"/>
        <c14:dropZoneCategories val="1"/>
        <c14:dropZoneData val="1"/>
      </c14:pivotOptions>
    </c:ext>
  </c:extLst>
</c:chartSpace>
</file>

<file path=xl/ctrlProps/ctrlProp1.xml><?xml version="1.0" encoding="utf-8"?>
<formControlPr xmlns="http://schemas.microsoft.com/office/spreadsheetml/2009/9/main" objectType="Label" lockText="1"/>
</file>

<file path=xl/ctrlProps/ctrlProp2.xml><?xml version="1.0" encoding="utf-8"?>
<formControlPr xmlns="http://schemas.microsoft.com/office/spreadsheetml/2009/9/main" objectType="Label" lockText="1"/>
</file>

<file path=xl/ctrlProps/ctrlProp3.xml><?xml version="1.0" encoding="utf-8"?>
<formControlPr xmlns="http://schemas.microsoft.com/office/spreadsheetml/2009/9/main" objectType="Label" lockText="1"/>
</file>

<file path=xl/ctrlProps/ctrlProp4.xml><?xml version="1.0" encoding="utf-8"?>
<formControlPr xmlns="http://schemas.microsoft.com/office/spreadsheetml/2009/9/main" objectType="Label" lockText="1"/>
</file>

<file path=xl/drawings/_rels/drawing1.xml.rels><?xml version="1.0" encoding="UTF-8" standalone="yes"?>
<Relationships xmlns="http://schemas.openxmlformats.org/package/2006/relationships"><Relationship Id="rId8" Type="http://schemas.openxmlformats.org/officeDocument/2006/relationships/hyperlink" Target="#'NFI Tracking'!A1"/><Relationship Id="rId3" Type="http://schemas.openxmlformats.org/officeDocument/2006/relationships/hyperlink" Target="#'Shelter Tracking'!A1"/><Relationship Id="rId7" Type="http://schemas.openxmlformats.org/officeDocument/2006/relationships/image" Target="../media/image5.wmf"/><Relationship Id="rId12" Type="http://schemas.openxmlformats.org/officeDocument/2006/relationships/image" Target="../media/image7.png"/><Relationship Id="rId2" Type="http://schemas.openxmlformats.org/officeDocument/2006/relationships/hyperlink" Target="#'Camp List'!A1"/><Relationship Id="rId1" Type="http://schemas.openxmlformats.org/officeDocument/2006/relationships/hyperlink" Target="#'Camp Analysis'!A1"/><Relationship Id="rId6" Type="http://schemas.openxmlformats.org/officeDocument/2006/relationships/image" Target="../media/image4.wmf"/><Relationship Id="rId11" Type="http://schemas.openxmlformats.org/officeDocument/2006/relationships/image" Target="../media/image6.png"/><Relationship Id="rId5" Type="http://schemas.openxmlformats.org/officeDocument/2006/relationships/image" Target="../media/image3.wmf"/><Relationship Id="rId10" Type="http://schemas.openxmlformats.org/officeDocument/2006/relationships/hyperlink" Target="#'Shelter Summary (by Agency)'!A1"/><Relationship Id="rId4" Type="http://schemas.openxmlformats.org/officeDocument/2006/relationships/hyperlink" Target="#'Shelter Progress'!A1"/><Relationship Id="rId9" Type="http://schemas.openxmlformats.org/officeDocument/2006/relationships/hyperlink" Target="#'NFI Distribution (by Tship)'!A1"/></Relationships>
</file>

<file path=xl/drawings/_rels/drawing10.xml.rels><?xml version="1.0" encoding="UTF-8" standalone="yes"?>
<Relationships xmlns="http://schemas.openxmlformats.org/package/2006/relationships"><Relationship Id="rId8" Type="http://schemas.openxmlformats.org/officeDocument/2006/relationships/hyperlink" Target="#'Shelter Coverage &amp; Gaps'!A1"/><Relationship Id="rId3" Type="http://schemas.openxmlformats.org/officeDocument/2006/relationships/chart" Target="../charts/chart8.xml"/><Relationship Id="rId7" Type="http://schemas.openxmlformats.org/officeDocument/2006/relationships/hyperlink" Target="#'Shelter Summary (by Agency)'!A1"/><Relationship Id="rId2" Type="http://schemas.openxmlformats.org/officeDocument/2006/relationships/image" Target="../media/image9.png"/><Relationship Id="rId1" Type="http://schemas.openxmlformats.org/officeDocument/2006/relationships/image" Target="../media/image6.png"/><Relationship Id="rId6" Type="http://schemas.openxmlformats.org/officeDocument/2006/relationships/hyperlink" Target="#'Shelter Tracking'!A1"/><Relationship Id="rId5" Type="http://schemas.openxmlformats.org/officeDocument/2006/relationships/hyperlink" Target="#'Shelter Progress'!A1"/><Relationship Id="rId4" Type="http://schemas.openxmlformats.org/officeDocument/2006/relationships/hyperlink" Target="#Home!A1"/><Relationship Id="rId9" Type="http://schemas.openxmlformats.org/officeDocument/2006/relationships/chart" Target="../charts/chart9.xml"/></Relationships>
</file>

<file path=xl/drawings/_rels/drawing13.xml.rels><?xml version="1.0" encoding="UTF-8" standalone="yes"?>
<Relationships xmlns="http://schemas.openxmlformats.org/package/2006/relationships"><Relationship Id="rId8" Type="http://schemas.openxmlformats.org/officeDocument/2006/relationships/hyperlink" Target="#'Shelter Coverage &amp; Gaps'!A1"/><Relationship Id="rId3" Type="http://schemas.openxmlformats.org/officeDocument/2006/relationships/image" Target="../media/image9.png"/><Relationship Id="rId7" Type="http://schemas.openxmlformats.org/officeDocument/2006/relationships/hyperlink" Target="#'Shelter Summary (by Agency)'!A1"/><Relationship Id="rId2" Type="http://schemas.openxmlformats.org/officeDocument/2006/relationships/image" Target="../media/image6.png"/><Relationship Id="rId1" Type="http://schemas.openxmlformats.org/officeDocument/2006/relationships/image" Target="../media/image20.jpg"/><Relationship Id="rId6" Type="http://schemas.openxmlformats.org/officeDocument/2006/relationships/hyperlink" Target="#'Shelter Tracking'!A1"/><Relationship Id="rId5" Type="http://schemas.openxmlformats.org/officeDocument/2006/relationships/hyperlink" Target="#'Shelter Progress'!A1"/><Relationship Id="rId10" Type="http://schemas.openxmlformats.org/officeDocument/2006/relationships/chart" Target="../charts/chart11.xml"/><Relationship Id="rId4" Type="http://schemas.openxmlformats.org/officeDocument/2006/relationships/hyperlink" Target="#Home!A1"/><Relationship Id="rId9" Type="http://schemas.openxmlformats.org/officeDocument/2006/relationships/chart" Target="../charts/chart10.xml"/></Relationships>
</file>

<file path=xl/drawings/_rels/drawing14.xml.rels><?xml version="1.0" encoding="UTF-8" standalone="yes"?>
<Relationships xmlns="http://schemas.openxmlformats.org/package/2006/relationships"><Relationship Id="rId3" Type="http://schemas.openxmlformats.org/officeDocument/2006/relationships/hyperlink" Target="#Home!A1"/><Relationship Id="rId2" Type="http://schemas.openxmlformats.org/officeDocument/2006/relationships/image" Target="../media/image9.png"/><Relationship Id="rId1" Type="http://schemas.openxmlformats.org/officeDocument/2006/relationships/image" Target="../media/image6.png"/><Relationship Id="rId6" Type="http://schemas.openxmlformats.org/officeDocument/2006/relationships/hyperlink" Target="#'NFI Distribution (by Tship)'!A1"/><Relationship Id="rId5" Type="http://schemas.openxmlformats.org/officeDocument/2006/relationships/hyperlink" Target="#'NFI Summary'!A1"/><Relationship Id="rId4" Type="http://schemas.openxmlformats.org/officeDocument/2006/relationships/hyperlink" Target="#'NFI Tracking'!A1"/></Relationships>
</file>

<file path=xl/drawings/_rels/drawing15.xml.rels><?xml version="1.0" encoding="UTF-8" standalone="yes"?>
<Relationships xmlns="http://schemas.openxmlformats.org/package/2006/relationships"><Relationship Id="rId3" Type="http://schemas.openxmlformats.org/officeDocument/2006/relationships/image" Target="../media/image9.png"/><Relationship Id="rId7" Type="http://schemas.openxmlformats.org/officeDocument/2006/relationships/hyperlink" Target="#'NFI Distribution (by Tship)'!A1"/><Relationship Id="rId2" Type="http://schemas.openxmlformats.org/officeDocument/2006/relationships/image" Target="../media/image6.png"/><Relationship Id="rId1" Type="http://schemas.openxmlformats.org/officeDocument/2006/relationships/hyperlink" Target="#NFIAnalysis!A1"/><Relationship Id="rId6" Type="http://schemas.openxmlformats.org/officeDocument/2006/relationships/hyperlink" Target="#'NFI Summary'!A1"/><Relationship Id="rId5" Type="http://schemas.openxmlformats.org/officeDocument/2006/relationships/hyperlink" Target="#'NFI Tracking'!A1"/><Relationship Id="rId4" Type="http://schemas.openxmlformats.org/officeDocument/2006/relationships/hyperlink" Target="#Home!A1"/></Relationships>
</file>

<file path=xl/drawings/_rels/drawing16.xml.rels><?xml version="1.0" encoding="UTF-8" standalone="yes"?>
<Relationships xmlns="http://schemas.openxmlformats.org/package/2006/relationships"><Relationship Id="rId3" Type="http://schemas.openxmlformats.org/officeDocument/2006/relationships/image" Target="../media/image9.png"/><Relationship Id="rId7" Type="http://schemas.openxmlformats.org/officeDocument/2006/relationships/hyperlink" Target="#'NFI Distribution (by Tship)'!A1"/><Relationship Id="rId2" Type="http://schemas.openxmlformats.org/officeDocument/2006/relationships/image" Target="../media/image6.png"/><Relationship Id="rId1" Type="http://schemas.openxmlformats.org/officeDocument/2006/relationships/chart" Target="../charts/chart12.xml"/><Relationship Id="rId6" Type="http://schemas.openxmlformats.org/officeDocument/2006/relationships/hyperlink" Target="#'NFI Summary'!A1"/><Relationship Id="rId5" Type="http://schemas.openxmlformats.org/officeDocument/2006/relationships/hyperlink" Target="#'NFI Tracking'!A1"/><Relationship Id="rId4" Type="http://schemas.openxmlformats.org/officeDocument/2006/relationships/hyperlink" Target="#Home!A1"/></Relationships>
</file>

<file path=xl/drawings/_rels/drawing17.xml.rels><?xml version="1.0" encoding="UTF-8" standalone="yes"?>
<Relationships xmlns="http://schemas.openxmlformats.org/package/2006/relationships"><Relationship Id="rId8" Type="http://schemas.openxmlformats.org/officeDocument/2006/relationships/hyperlink" Target="#'NFI Distribution (by Tship)'!A1"/><Relationship Id="rId3" Type="http://schemas.openxmlformats.org/officeDocument/2006/relationships/image" Target="../media/image9.png"/><Relationship Id="rId7" Type="http://schemas.openxmlformats.org/officeDocument/2006/relationships/hyperlink" Target="#'NFI Summary'!A1"/><Relationship Id="rId2" Type="http://schemas.openxmlformats.org/officeDocument/2006/relationships/image" Target="../media/image6.png"/><Relationship Id="rId1" Type="http://schemas.openxmlformats.org/officeDocument/2006/relationships/chart" Target="../charts/chart13.xml"/><Relationship Id="rId6" Type="http://schemas.openxmlformats.org/officeDocument/2006/relationships/hyperlink" Target="#'NFI Tracking'!A1"/><Relationship Id="rId11" Type="http://schemas.openxmlformats.org/officeDocument/2006/relationships/chart" Target="../charts/chart16.xml"/><Relationship Id="rId5" Type="http://schemas.openxmlformats.org/officeDocument/2006/relationships/hyperlink" Target="#Home!A1"/><Relationship Id="rId10" Type="http://schemas.openxmlformats.org/officeDocument/2006/relationships/chart" Target="../charts/chart15.xml"/><Relationship Id="rId4" Type="http://schemas.openxmlformats.org/officeDocument/2006/relationships/hyperlink" Target="http://www.sheltercluster.org/library/standards-and-guidelines-nfi" TargetMode="External"/><Relationship Id="rId9" Type="http://schemas.openxmlformats.org/officeDocument/2006/relationships/chart" Target="../charts/chart14.xml"/></Relationships>
</file>

<file path=xl/drawings/_rels/drawing2.xml.rels><?xml version="1.0" encoding="UTF-8" standalone="yes"?>
<Relationships xmlns="http://schemas.openxmlformats.org/package/2006/relationships"><Relationship Id="rId3" Type="http://schemas.openxmlformats.org/officeDocument/2006/relationships/hyperlink" Target="#'CCCM Dashboard'!A1"/><Relationship Id="rId7" Type="http://schemas.openxmlformats.org/officeDocument/2006/relationships/hyperlink" Target="#'Camp Analysis'!A1"/><Relationship Id="rId2" Type="http://schemas.openxmlformats.org/officeDocument/2006/relationships/image" Target="../media/image8.png"/><Relationship Id="rId1" Type="http://schemas.openxmlformats.org/officeDocument/2006/relationships/image" Target="../media/image6.png"/><Relationship Id="rId6" Type="http://schemas.openxmlformats.org/officeDocument/2006/relationships/hyperlink" Target="#'Camp List (printable)'!A1"/><Relationship Id="rId5" Type="http://schemas.openxmlformats.org/officeDocument/2006/relationships/hyperlink" Target="#'Camp List'!A1"/><Relationship Id="rId4" Type="http://schemas.openxmlformats.org/officeDocument/2006/relationships/hyperlink" Target="#Home!A1"/></Relationships>
</file>

<file path=xl/drawings/_rels/drawing3.xml.rels><?xml version="1.0" encoding="UTF-8" standalone="yes"?>
<Relationships xmlns="http://schemas.openxmlformats.org/package/2006/relationships"><Relationship Id="rId8" Type="http://schemas.openxmlformats.org/officeDocument/2006/relationships/hyperlink" Target="#'Camp Analysis'!A1"/><Relationship Id="rId3" Type="http://schemas.openxmlformats.org/officeDocument/2006/relationships/image" Target="../media/image9.png"/><Relationship Id="rId7" Type="http://schemas.openxmlformats.org/officeDocument/2006/relationships/hyperlink" Target="#'Camp List (printable)'!A1"/><Relationship Id="rId2" Type="http://schemas.openxmlformats.org/officeDocument/2006/relationships/image" Target="../media/image6.png"/><Relationship Id="rId1" Type="http://schemas.openxmlformats.org/officeDocument/2006/relationships/chart" Target="../charts/chart1.xml"/><Relationship Id="rId6" Type="http://schemas.openxmlformats.org/officeDocument/2006/relationships/hyperlink" Target="#'Camp List'!A1"/><Relationship Id="rId5" Type="http://schemas.openxmlformats.org/officeDocument/2006/relationships/hyperlink" Target="#Home!A1"/><Relationship Id="rId4" Type="http://schemas.openxmlformats.org/officeDocument/2006/relationships/hyperlink" Target="#'CCCM Dashboard'!A1"/></Relationships>
</file>

<file path=xl/drawings/_rels/drawing4.xml.rels><?xml version="1.0" encoding="UTF-8" standalone="yes"?>
<Relationships xmlns="http://schemas.openxmlformats.org/package/2006/relationships"><Relationship Id="rId3" Type="http://schemas.openxmlformats.org/officeDocument/2006/relationships/hyperlink" Target="#'CCCM Dashboard'!A1"/><Relationship Id="rId7" Type="http://schemas.openxmlformats.org/officeDocument/2006/relationships/hyperlink" Target="#'Camp Analysis'!A1"/><Relationship Id="rId2" Type="http://schemas.openxmlformats.org/officeDocument/2006/relationships/image" Target="../media/image10.png"/><Relationship Id="rId1" Type="http://schemas.openxmlformats.org/officeDocument/2006/relationships/image" Target="../media/image6.png"/><Relationship Id="rId6" Type="http://schemas.openxmlformats.org/officeDocument/2006/relationships/hyperlink" Target="#'Camp List (printable)'!A1"/><Relationship Id="rId5" Type="http://schemas.openxmlformats.org/officeDocument/2006/relationships/hyperlink" Target="#'Camp List'!A1"/><Relationship Id="rId4" Type="http://schemas.openxmlformats.org/officeDocument/2006/relationships/hyperlink" Target="#Home!A1"/></Relationships>
</file>

<file path=xl/drawings/_rels/drawing5.xml.rels><?xml version="1.0" encoding="UTF-8" standalone="yes"?>
<Relationships xmlns="http://schemas.openxmlformats.org/package/2006/relationships"><Relationship Id="rId8" Type="http://schemas.openxmlformats.org/officeDocument/2006/relationships/hyperlink" Target="#'Camp List (printable)'!A1"/><Relationship Id="rId3" Type="http://schemas.openxmlformats.org/officeDocument/2006/relationships/image" Target="../media/image9.png"/><Relationship Id="rId7" Type="http://schemas.openxmlformats.org/officeDocument/2006/relationships/hyperlink" Target="#'Camp List'!A1"/><Relationship Id="rId2" Type="http://schemas.openxmlformats.org/officeDocument/2006/relationships/image" Target="../media/image6.png"/><Relationship Id="rId1" Type="http://schemas.openxmlformats.org/officeDocument/2006/relationships/chart" Target="../charts/chart2.xml"/><Relationship Id="rId6" Type="http://schemas.openxmlformats.org/officeDocument/2006/relationships/hyperlink" Target="#Home!A1"/><Relationship Id="rId5" Type="http://schemas.openxmlformats.org/officeDocument/2006/relationships/hyperlink" Target="#'CCCM Dashboard'!A1"/><Relationship Id="rId10" Type="http://schemas.openxmlformats.org/officeDocument/2006/relationships/image" Target="../media/image11.png"/><Relationship Id="rId4" Type="http://schemas.openxmlformats.org/officeDocument/2006/relationships/chart" Target="../charts/chart3.xml"/><Relationship Id="rId9" Type="http://schemas.openxmlformats.org/officeDocument/2006/relationships/hyperlink" Target="#'Camp Analysis'!A1"/></Relationships>
</file>

<file path=xl/drawings/_rels/drawing7.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image" Target="../media/image14.png"/><Relationship Id="rId1" Type="http://schemas.openxmlformats.org/officeDocument/2006/relationships/image" Target="../media/image13.png"/><Relationship Id="rId4" Type="http://schemas.openxmlformats.org/officeDocument/2006/relationships/image" Target="../media/image16.jpeg"/></Relationships>
</file>

<file path=xl/drawings/_rels/drawing8.xml.rels><?xml version="1.0" encoding="UTF-8" standalone="yes"?>
<Relationships xmlns="http://schemas.openxmlformats.org/package/2006/relationships"><Relationship Id="rId3" Type="http://schemas.openxmlformats.org/officeDocument/2006/relationships/hyperlink" Target="#Home!A1"/><Relationship Id="rId7" Type="http://schemas.openxmlformats.org/officeDocument/2006/relationships/hyperlink" Target="#'Shelter Coverage &amp; Gaps'!A1"/><Relationship Id="rId2" Type="http://schemas.openxmlformats.org/officeDocument/2006/relationships/image" Target="../media/image9.png"/><Relationship Id="rId1" Type="http://schemas.openxmlformats.org/officeDocument/2006/relationships/image" Target="../media/image6.png"/><Relationship Id="rId6" Type="http://schemas.openxmlformats.org/officeDocument/2006/relationships/hyperlink" Target="#'Shelter Summary (by Agency)'!A1"/><Relationship Id="rId5" Type="http://schemas.openxmlformats.org/officeDocument/2006/relationships/hyperlink" Target="#'Shelter Tracking'!A1"/><Relationship Id="rId4" Type="http://schemas.openxmlformats.org/officeDocument/2006/relationships/hyperlink" Target="#'Shelter Progress'!A1"/></Relationships>
</file>

<file path=xl/drawings/_rels/drawing9.xml.rels><?xml version="1.0" encoding="UTF-8" standalone="yes"?>
<Relationships xmlns="http://schemas.openxmlformats.org/package/2006/relationships"><Relationship Id="rId8" Type="http://schemas.openxmlformats.org/officeDocument/2006/relationships/hyperlink" Target="#'Shelter Tracking'!A1"/><Relationship Id="rId3" Type="http://schemas.openxmlformats.org/officeDocument/2006/relationships/chart" Target="../charts/chart6.xml"/><Relationship Id="rId7" Type="http://schemas.openxmlformats.org/officeDocument/2006/relationships/hyperlink" Target="#'Shelter Progress'!A1"/><Relationship Id="rId2" Type="http://schemas.openxmlformats.org/officeDocument/2006/relationships/chart" Target="../charts/chart5.xml"/><Relationship Id="rId1" Type="http://schemas.openxmlformats.org/officeDocument/2006/relationships/chart" Target="../charts/chart4.xml"/><Relationship Id="rId6" Type="http://schemas.openxmlformats.org/officeDocument/2006/relationships/hyperlink" Target="#Home!A1"/><Relationship Id="rId11" Type="http://schemas.openxmlformats.org/officeDocument/2006/relationships/chart" Target="../charts/chart7.xml"/><Relationship Id="rId5" Type="http://schemas.openxmlformats.org/officeDocument/2006/relationships/image" Target="../media/image9.png"/><Relationship Id="rId10" Type="http://schemas.openxmlformats.org/officeDocument/2006/relationships/hyperlink" Target="#'Shelter Coverage &amp; Gaps'!A1"/><Relationship Id="rId4" Type="http://schemas.openxmlformats.org/officeDocument/2006/relationships/image" Target="../media/image6.png"/><Relationship Id="rId9" Type="http://schemas.openxmlformats.org/officeDocument/2006/relationships/hyperlink" Target="#'Shelter Summary (by Agency)'!A1"/></Relationships>
</file>

<file path=xl/drawings/_rels/vmlDrawing1.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12.emf"/></Relationships>
</file>

<file path=xl/drawings/_rels/vmlDrawing3.vml.rels><?xml version="1.0" encoding="UTF-8" standalone="yes"?>
<Relationships xmlns="http://schemas.openxmlformats.org/package/2006/relationships"><Relationship Id="rId2" Type="http://schemas.openxmlformats.org/officeDocument/2006/relationships/image" Target="../media/image18.png"/><Relationship Id="rId1" Type="http://schemas.openxmlformats.org/officeDocument/2006/relationships/image" Target="../media/image17.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9.emf"/></Relationships>
</file>

<file path=xl/drawings/drawing1.xml><?xml version="1.0" encoding="utf-8"?>
<xdr:wsDr xmlns:xdr="http://schemas.openxmlformats.org/drawingml/2006/spreadsheetDrawing" xmlns:a="http://schemas.openxmlformats.org/drawingml/2006/main">
  <xdr:twoCellAnchor>
    <xdr:from>
      <xdr:col>5</xdr:col>
      <xdr:colOff>0</xdr:colOff>
      <xdr:row>7</xdr:row>
      <xdr:rowOff>66675</xdr:rowOff>
    </xdr:from>
    <xdr:to>
      <xdr:col>7</xdr:col>
      <xdr:colOff>180975</xdr:colOff>
      <xdr:row>8</xdr:row>
      <xdr:rowOff>95251</xdr:rowOff>
    </xdr:to>
    <xdr:sp macro="" textlink="">
      <xdr:nvSpPr>
        <xdr:cNvPr id="2" name="Rounded Rectangle 1">
          <a:hlinkClick xmlns:r="http://schemas.openxmlformats.org/officeDocument/2006/relationships" r:id="rId1"/>
        </xdr:cNvPr>
        <xdr:cNvSpPr/>
      </xdr:nvSpPr>
      <xdr:spPr>
        <a:xfrm>
          <a:off x="2181225" y="1009650"/>
          <a:ext cx="1400175" cy="21907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Analysis</a:t>
          </a:r>
        </a:p>
      </xdr:txBody>
    </xdr:sp>
    <xdr:clientData/>
  </xdr:twoCellAnchor>
  <xdr:twoCellAnchor>
    <xdr:from>
      <xdr:col>1</xdr:col>
      <xdr:colOff>0</xdr:colOff>
      <xdr:row>1</xdr:row>
      <xdr:rowOff>0</xdr:rowOff>
    </xdr:from>
    <xdr:to>
      <xdr:col>23</xdr:col>
      <xdr:colOff>209549</xdr:colOff>
      <xdr:row>24</xdr:row>
      <xdr:rowOff>161925</xdr:rowOff>
    </xdr:to>
    <xdr:sp macro="" textlink="">
      <xdr:nvSpPr>
        <xdr:cNvPr id="4" name="Rounded Rectangle 3"/>
        <xdr:cNvSpPr/>
      </xdr:nvSpPr>
      <xdr:spPr>
        <a:xfrm>
          <a:off x="133350" y="66675"/>
          <a:ext cx="12058649" cy="4352925"/>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9527</xdr:colOff>
      <xdr:row>9</xdr:row>
      <xdr:rowOff>38100</xdr:rowOff>
    </xdr:from>
    <xdr:to>
      <xdr:col>7</xdr:col>
      <xdr:colOff>180975</xdr:colOff>
      <xdr:row>10</xdr:row>
      <xdr:rowOff>85725</xdr:rowOff>
    </xdr:to>
    <xdr:sp macro="" textlink="">
      <xdr:nvSpPr>
        <xdr:cNvPr id="6" name="Rounded Rectangle 5">
          <a:hlinkClick xmlns:r="http://schemas.openxmlformats.org/officeDocument/2006/relationships" r:id="rId2"/>
        </xdr:cNvPr>
        <xdr:cNvSpPr/>
      </xdr:nvSpPr>
      <xdr:spPr>
        <a:xfrm>
          <a:off x="2190752" y="1562100"/>
          <a:ext cx="1390648"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Detailed Camp List</a:t>
          </a:r>
        </a:p>
      </xdr:txBody>
    </xdr:sp>
    <xdr:clientData/>
  </xdr:twoCellAnchor>
  <xdr:twoCellAnchor>
    <xdr:from>
      <xdr:col>5</xdr:col>
      <xdr:colOff>38100</xdr:colOff>
      <xdr:row>17</xdr:row>
      <xdr:rowOff>38100</xdr:rowOff>
    </xdr:from>
    <xdr:to>
      <xdr:col>7</xdr:col>
      <xdr:colOff>200025</xdr:colOff>
      <xdr:row>18</xdr:row>
      <xdr:rowOff>95250</xdr:rowOff>
    </xdr:to>
    <xdr:sp macro="" textlink="">
      <xdr:nvSpPr>
        <xdr:cNvPr id="7" name="Rounded Rectangle 6">
          <a:hlinkClick xmlns:r="http://schemas.openxmlformats.org/officeDocument/2006/relationships" r:id="rId3"/>
        </xdr:cNvPr>
        <xdr:cNvSpPr/>
      </xdr:nvSpPr>
      <xdr:spPr>
        <a:xfrm>
          <a:off x="2219325" y="2886075"/>
          <a:ext cx="1381125" cy="24765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Detail Sheet</a:t>
          </a:r>
          <a:endParaRPr lang="en-US" sz="1100" b="1"/>
        </a:p>
      </xdr:txBody>
    </xdr:sp>
    <xdr:clientData/>
  </xdr:twoCellAnchor>
  <xdr:twoCellAnchor>
    <xdr:from>
      <xdr:col>5</xdr:col>
      <xdr:colOff>28576</xdr:colOff>
      <xdr:row>13</xdr:row>
      <xdr:rowOff>76201</xdr:rowOff>
    </xdr:from>
    <xdr:to>
      <xdr:col>7</xdr:col>
      <xdr:colOff>180975</xdr:colOff>
      <xdr:row>14</xdr:row>
      <xdr:rowOff>114301</xdr:rowOff>
    </xdr:to>
    <xdr:sp macro="" textlink="">
      <xdr:nvSpPr>
        <xdr:cNvPr id="8" name="Rounded Rectangle 7">
          <a:hlinkClick xmlns:r="http://schemas.openxmlformats.org/officeDocument/2006/relationships" r:id="rId4"/>
        </xdr:cNvPr>
        <xdr:cNvSpPr/>
      </xdr:nvSpPr>
      <xdr:spPr>
        <a:xfrm>
          <a:off x="2209801" y="2238376"/>
          <a:ext cx="1371599" cy="2286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Progress</a:t>
          </a:r>
          <a:endParaRPr lang="en-US" sz="1100" b="1"/>
        </a:p>
      </xdr:txBody>
    </xdr:sp>
    <xdr:clientData/>
  </xdr:twoCellAnchor>
  <xdr:twoCellAnchor>
    <xdr:from>
      <xdr:col>19</xdr:col>
      <xdr:colOff>295275</xdr:colOff>
      <xdr:row>1</xdr:row>
      <xdr:rowOff>123825</xdr:rowOff>
    </xdr:from>
    <xdr:to>
      <xdr:col>20</xdr:col>
      <xdr:colOff>95250</xdr:colOff>
      <xdr:row>3</xdr:row>
      <xdr:rowOff>152400</xdr:rowOff>
    </xdr:to>
    <xdr:pic>
      <xdr:nvPicPr>
        <xdr:cNvPr id="9" name="Picture 1964"/>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0048875" y="314325"/>
          <a:ext cx="409575" cy="409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95250</xdr:colOff>
      <xdr:row>1</xdr:row>
      <xdr:rowOff>123825</xdr:rowOff>
    </xdr:from>
    <xdr:to>
      <xdr:col>20</xdr:col>
      <xdr:colOff>495300</xdr:colOff>
      <xdr:row>3</xdr:row>
      <xdr:rowOff>142875</xdr:rowOff>
    </xdr:to>
    <xdr:pic>
      <xdr:nvPicPr>
        <xdr:cNvPr id="10" name="Picture 1135"/>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0458450" y="314325"/>
          <a:ext cx="400050" cy="400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533400</xdr:colOff>
      <xdr:row>1</xdr:row>
      <xdr:rowOff>123825</xdr:rowOff>
    </xdr:from>
    <xdr:to>
      <xdr:col>21</xdr:col>
      <xdr:colOff>333375</xdr:colOff>
      <xdr:row>3</xdr:row>
      <xdr:rowOff>152400</xdr:rowOff>
    </xdr:to>
    <xdr:pic>
      <xdr:nvPicPr>
        <xdr:cNvPr id="11" name="Picture 1966"/>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0896600" y="314325"/>
          <a:ext cx="409575" cy="409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26194</xdr:colOff>
      <xdr:row>20</xdr:row>
      <xdr:rowOff>78580</xdr:rowOff>
    </xdr:from>
    <xdr:to>
      <xdr:col>7</xdr:col>
      <xdr:colOff>150020</xdr:colOff>
      <xdr:row>21</xdr:row>
      <xdr:rowOff>126205</xdr:rowOff>
    </xdr:to>
    <xdr:sp macro="" textlink="">
      <xdr:nvSpPr>
        <xdr:cNvPr id="13" name="Rounded Rectangle 12">
          <a:hlinkClick xmlns:r="http://schemas.openxmlformats.org/officeDocument/2006/relationships" r:id="rId8"/>
        </xdr:cNvPr>
        <xdr:cNvSpPr/>
      </xdr:nvSpPr>
      <xdr:spPr>
        <a:xfrm>
          <a:off x="2193132" y="3507580"/>
          <a:ext cx="1338263"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Detail Sheet</a:t>
          </a:r>
          <a:endParaRPr lang="en-US" sz="1100" b="1"/>
        </a:p>
      </xdr:txBody>
    </xdr:sp>
    <xdr:clientData/>
  </xdr:twoCellAnchor>
  <xdr:twoCellAnchor>
    <xdr:from>
      <xdr:col>5</xdr:col>
      <xdr:colOff>28575</xdr:colOff>
      <xdr:row>22</xdr:row>
      <xdr:rowOff>76200</xdr:rowOff>
    </xdr:from>
    <xdr:to>
      <xdr:col>7</xdr:col>
      <xdr:colOff>171450</xdr:colOff>
      <xdr:row>23</xdr:row>
      <xdr:rowOff>104776</xdr:rowOff>
    </xdr:to>
    <xdr:sp macro="" textlink="">
      <xdr:nvSpPr>
        <xdr:cNvPr id="16" name="Rounded Rectangle 15">
          <a:hlinkClick xmlns:r="http://schemas.openxmlformats.org/officeDocument/2006/relationships" r:id="rId9"/>
        </xdr:cNvPr>
        <xdr:cNvSpPr/>
      </xdr:nvSpPr>
      <xdr:spPr>
        <a:xfrm>
          <a:off x="2209800" y="3876675"/>
          <a:ext cx="1362075" cy="21907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a:t>
          </a:r>
          <a:r>
            <a:rPr lang="en-US" sz="1100" b="1" i="1" baseline="0"/>
            <a:t>Township</a:t>
          </a:r>
          <a:endParaRPr lang="en-US" sz="1100" b="1" i="1"/>
        </a:p>
      </xdr:txBody>
    </xdr:sp>
    <xdr:clientData/>
  </xdr:twoCellAnchor>
  <xdr:twoCellAnchor>
    <xdr:from>
      <xdr:col>5</xdr:col>
      <xdr:colOff>19050</xdr:colOff>
      <xdr:row>15</xdr:row>
      <xdr:rowOff>57149</xdr:rowOff>
    </xdr:from>
    <xdr:to>
      <xdr:col>7</xdr:col>
      <xdr:colOff>219075</xdr:colOff>
      <xdr:row>16</xdr:row>
      <xdr:rowOff>104774</xdr:rowOff>
    </xdr:to>
    <xdr:sp macro="" textlink="">
      <xdr:nvSpPr>
        <xdr:cNvPr id="15" name="Rounded Rectangle 14">
          <a:hlinkClick xmlns:r="http://schemas.openxmlformats.org/officeDocument/2006/relationships" r:id="rId10"/>
        </xdr:cNvPr>
        <xdr:cNvSpPr/>
      </xdr:nvSpPr>
      <xdr:spPr>
        <a:xfrm>
          <a:off x="2200275" y="2524124"/>
          <a:ext cx="1419225"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a:t>
          </a:r>
          <a:r>
            <a:rPr lang="en-US" sz="1100" b="1" baseline="0"/>
            <a:t> by Agency</a:t>
          </a:r>
          <a:endParaRPr lang="en-US" sz="1100" b="1"/>
        </a:p>
      </xdr:txBody>
    </xdr:sp>
    <xdr:clientData/>
  </xdr:twoCellAnchor>
  <xdr:twoCellAnchor editAs="oneCell">
    <xdr:from>
      <xdr:col>7</xdr:col>
      <xdr:colOff>178593</xdr:colOff>
      <xdr:row>1</xdr:row>
      <xdr:rowOff>47625</xdr:rowOff>
    </xdr:from>
    <xdr:to>
      <xdr:col>11</xdr:col>
      <xdr:colOff>94468</xdr:colOff>
      <xdr:row>3</xdr:row>
      <xdr:rowOff>11906</xdr:rowOff>
    </xdr:to>
    <xdr:pic>
      <xdr:nvPicPr>
        <xdr:cNvPr id="17" name="Picture 16"/>
        <xdr:cNvPicPr>
          <a:picLocks noChangeAspect="1"/>
        </xdr:cNvPicPr>
      </xdr:nvPicPr>
      <xdr:blipFill>
        <a:blip xmlns:r="http://schemas.openxmlformats.org/officeDocument/2006/relationships" r:embed="rId11"/>
        <a:stretch>
          <a:fillRect/>
        </a:stretch>
      </xdr:blipFill>
      <xdr:spPr>
        <a:xfrm>
          <a:off x="3559968" y="119063"/>
          <a:ext cx="1951844" cy="297656"/>
        </a:xfrm>
        <a:prstGeom prst="rect">
          <a:avLst/>
        </a:prstGeom>
      </xdr:spPr>
    </xdr:pic>
    <xdr:clientData/>
  </xdr:twoCellAnchor>
  <xdr:twoCellAnchor>
    <xdr:from>
      <xdr:col>11</xdr:col>
      <xdr:colOff>321469</xdr:colOff>
      <xdr:row>1</xdr:row>
      <xdr:rowOff>23812</xdr:rowOff>
    </xdr:from>
    <xdr:to>
      <xdr:col>22</xdr:col>
      <xdr:colOff>78906</xdr:colOff>
      <xdr:row>3</xdr:row>
      <xdr:rowOff>34042</xdr:rowOff>
    </xdr:to>
    <xdr:pic>
      <xdr:nvPicPr>
        <xdr:cNvPr id="18" name="Picture 17" descr="CCCM sdc-2"/>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5738813" y="95250"/>
          <a:ext cx="1793406" cy="3436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25</xdr:col>
          <xdr:colOff>180975</xdr:colOff>
          <xdr:row>6</xdr:row>
          <xdr:rowOff>0</xdr:rowOff>
        </xdr:from>
        <xdr:to>
          <xdr:col>27</xdr:col>
          <xdr:colOff>447675</xdr:colOff>
          <xdr:row>8</xdr:row>
          <xdr:rowOff>66675</xdr:rowOff>
        </xdr:to>
        <xdr:sp macro="" textlink="">
          <xdr:nvSpPr>
            <xdr:cNvPr id="1025" name="Main_Export_Data" hidden="1">
              <a:extLst>
                <a:ext uri="{63B3BB69-23CF-44E3-9099-C40C66FF867C}">
                  <a14:compatExt spid="_x0000_s102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133350</xdr:colOff>
          <xdr:row>10</xdr:row>
          <xdr:rowOff>9525</xdr:rowOff>
        </xdr:from>
        <xdr:to>
          <xdr:col>27</xdr:col>
          <xdr:colOff>476250</xdr:colOff>
          <xdr:row>11</xdr:row>
          <xdr:rowOff>152400</xdr:rowOff>
        </xdr:to>
        <xdr:sp macro="" textlink="">
          <xdr:nvSpPr>
            <xdr:cNvPr id="1026" name="Print_Report" hidden="1">
              <a:extLst>
                <a:ext uri="{63B3BB69-23CF-44E3-9099-C40C66FF867C}">
                  <a14:compatExt spid="_x0000_s102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xdr:twoCellAnchor>
    <xdr:from>
      <xdr:col>2</xdr:col>
      <xdr:colOff>3190875</xdr:colOff>
      <xdr:row>1</xdr:row>
      <xdr:rowOff>269875</xdr:rowOff>
    </xdr:from>
    <xdr:to>
      <xdr:col>5</xdr:col>
      <xdr:colOff>646431</xdr:colOff>
      <xdr:row>1</xdr:row>
      <xdr:rowOff>845344</xdr:rowOff>
    </xdr:to>
    <xdr:grpSp>
      <xdr:nvGrpSpPr>
        <xdr:cNvPr id="6" name="Group 5"/>
        <xdr:cNvGrpSpPr/>
      </xdr:nvGrpSpPr>
      <xdr:grpSpPr>
        <a:xfrm>
          <a:off x="4569619" y="722313"/>
          <a:ext cx="4006375" cy="442119"/>
          <a:chOff x="6500812" y="317500"/>
          <a:chExt cx="6186806" cy="575469"/>
        </a:xfrm>
      </xdr:grpSpPr>
      <xdr:pic>
        <xdr:nvPicPr>
          <xdr:cNvPr id="7" name="Picture 6"/>
          <xdr:cNvPicPr>
            <a:picLocks noChangeAspect="1"/>
          </xdr:cNvPicPr>
        </xdr:nvPicPr>
        <xdr:blipFill>
          <a:blip xmlns:r="http://schemas.openxmlformats.org/officeDocument/2006/relationships" r:embed="rId1"/>
          <a:stretch>
            <a:fillRect/>
          </a:stretch>
        </xdr:blipFill>
        <xdr:spPr>
          <a:xfrm>
            <a:off x="8886031" y="317500"/>
            <a:ext cx="3801587" cy="573015"/>
          </a:xfrm>
          <a:prstGeom prst="rect">
            <a:avLst/>
          </a:prstGeom>
        </xdr:spPr>
      </xdr:pic>
      <xdr:pic>
        <xdr:nvPicPr>
          <xdr:cNvPr id="8" name="Picture 7" descr="CCCM sdc-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0</xdr:col>
      <xdr:colOff>95250</xdr:colOff>
      <xdr:row>25</xdr:row>
      <xdr:rowOff>174625</xdr:rowOff>
    </xdr:from>
    <xdr:to>
      <xdr:col>3</xdr:col>
      <xdr:colOff>11906</xdr:colOff>
      <xdr:row>54</xdr:row>
      <xdr:rowOff>5763</xdr:rowOff>
    </xdr:to>
    <xdr:graphicFrame macro="">
      <xdr:nvGraphicFramePr>
        <xdr:cNvPr id="9" name="Chart 8"/>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19050</xdr:rowOff>
    </xdr:from>
    <xdr:to>
      <xdr:col>1</xdr:col>
      <xdr:colOff>46969</xdr:colOff>
      <xdr:row>0</xdr:row>
      <xdr:rowOff>384810</xdr:rowOff>
    </xdr:to>
    <xdr:sp macro="" textlink="">
      <xdr:nvSpPr>
        <xdr:cNvPr id="16" name="Rounded Rectangle 15">
          <a:hlinkClick xmlns:r="http://schemas.openxmlformats.org/officeDocument/2006/relationships" r:id="rId4"/>
        </xdr:cNvPr>
        <xdr:cNvSpPr/>
      </xdr:nvSpPr>
      <xdr:spPr>
        <a:xfrm>
          <a:off x="0" y="19050"/>
          <a:ext cx="1440000" cy="36576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1</xdr:col>
      <xdr:colOff>266711</xdr:colOff>
      <xdr:row>0</xdr:row>
      <xdr:rowOff>19050</xdr:rowOff>
    </xdr:from>
    <xdr:to>
      <xdr:col>2</xdr:col>
      <xdr:colOff>373211</xdr:colOff>
      <xdr:row>0</xdr:row>
      <xdr:rowOff>384810</xdr:rowOff>
    </xdr:to>
    <xdr:sp macro="" textlink="">
      <xdr:nvSpPr>
        <xdr:cNvPr id="12" name="Rounded Rectangle 11">
          <a:hlinkClick xmlns:r="http://schemas.openxmlformats.org/officeDocument/2006/relationships" r:id="rId5"/>
        </xdr:cNvPr>
        <xdr:cNvSpPr/>
      </xdr:nvSpPr>
      <xdr:spPr>
        <a:xfrm>
          <a:off x="1659742" y="19050"/>
          <a:ext cx="1606688" cy="36576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Progress</a:t>
          </a:r>
          <a:endParaRPr lang="en-US" sz="1100" b="1"/>
        </a:p>
      </xdr:txBody>
    </xdr:sp>
    <xdr:clientData/>
  </xdr:twoCellAnchor>
  <xdr:twoCellAnchor>
    <xdr:from>
      <xdr:col>3</xdr:col>
      <xdr:colOff>752479</xdr:colOff>
      <xdr:row>0</xdr:row>
      <xdr:rowOff>11906</xdr:rowOff>
    </xdr:from>
    <xdr:to>
      <xdr:col>4</xdr:col>
      <xdr:colOff>516079</xdr:colOff>
      <xdr:row>0</xdr:row>
      <xdr:rowOff>379644</xdr:rowOff>
    </xdr:to>
    <xdr:sp macro="" textlink="">
      <xdr:nvSpPr>
        <xdr:cNvPr id="13" name="Rounded Rectangle 12">
          <a:hlinkClick xmlns:r="http://schemas.openxmlformats.org/officeDocument/2006/relationships" r:id="rId6"/>
        </xdr:cNvPr>
        <xdr:cNvSpPr/>
      </xdr:nvSpPr>
      <xdr:spPr>
        <a:xfrm>
          <a:off x="5324479" y="11906"/>
          <a:ext cx="1442381" cy="367738"/>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Detail Sheet</a:t>
          </a:r>
          <a:endParaRPr lang="en-US" sz="1100" b="1"/>
        </a:p>
      </xdr:txBody>
    </xdr:sp>
    <xdr:clientData/>
  </xdr:twoCellAnchor>
  <xdr:twoCellAnchor>
    <xdr:from>
      <xdr:col>2</xdr:col>
      <xdr:colOff>645330</xdr:colOff>
      <xdr:row>0</xdr:row>
      <xdr:rowOff>11908</xdr:rowOff>
    </xdr:from>
    <xdr:to>
      <xdr:col>3</xdr:col>
      <xdr:colOff>408930</xdr:colOff>
      <xdr:row>0</xdr:row>
      <xdr:rowOff>381002</xdr:rowOff>
    </xdr:to>
    <xdr:sp macro="" textlink="">
      <xdr:nvSpPr>
        <xdr:cNvPr id="14" name="Rounded Rectangle 13">
          <a:hlinkClick xmlns:r="http://schemas.openxmlformats.org/officeDocument/2006/relationships" r:id="rId7"/>
        </xdr:cNvPr>
        <xdr:cNvSpPr/>
      </xdr:nvSpPr>
      <xdr:spPr>
        <a:xfrm>
          <a:off x="3538549" y="11908"/>
          <a:ext cx="1442381" cy="369094"/>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a:t>
          </a:r>
          <a:r>
            <a:rPr lang="en-US" sz="1100" b="1" baseline="0"/>
            <a:t> by Agency</a:t>
          </a:r>
          <a:endParaRPr lang="en-US" sz="1100" b="1"/>
        </a:p>
      </xdr:txBody>
    </xdr:sp>
    <xdr:clientData/>
  </xdr:twoCellAnchor>
  <xdr:twoCellAnchor>
    <xdr:from>
      <xdr:col>4</xdr:col>
      <xdr:colOff>821543</xdr:colOff>
      <xdr:row>0</xdr:row>
      <xdr:rowOff>0</xdr:rowOff>
    </xdr:from>
    <xdr:to>
      <xdr:col>5</xdr:col>
      <xdr:colOff>889946</xdr:colOff>
      <xdr:row>0</xdr:row>
      <xdr:rowOff>365760</xdr:rowOff>
    </xdr:to>
    <xdr:sp macro="" textlink="">
      <xdr:nvSpPr>
        <xdr:cNvPr id="15" name="Rounded Rectangle 14">
          <a:hlinkClick xmlns:r="http://schemas.openxmlformats.org/officeDocument/2006/relationships" r:id="rId8"/>
        </xdr:cNvPr>
        <xdr:cNvSpPr/>
      </xdr:nvSpPr>
      <xdr:spPr>
        <a:xfrm>
          <a:off x="7072324" y="0"/>
          <a:ext cx="1747185" cy="36576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Shelter Summary</a:t>
          </a:r>
          <a:endParaRPr lang="en-US" sz="1100" b="1"/>
        </a:p>
      </xdr:txBody>
    </xdr:sp>
    <xdr:clientData/>
  </xdr:twoCellAnchor>
  <xdr:twoCellAnchor>
    <xdr:from>
      <xdr:col>3</xdr:col>
      <xdr:colOff>785812</xdr:colOff>
      <xdr:row>26</xdr:row>
      <xdr:rowOff>11906</xdr:rowOff>
    </xdr:from>
    <xdr:to>
      <xdr:col>6</xdr:col>
      <xdr:colOff>396874</xdr:colOff>
      <xdr:row>54</xdr:row>
      <xdr:rowOff>11906</xdr:rowOff>
    </xdr:to>
    <xdr:graphicFrame macro="">
      <xdr:nvGraphicFramePr>
        <xdr:cNvPr id="17"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11.xml><?xml version="1.0" encoding="utf-8"?>
<c:userShapes xmlns:c="http://schemas.openxmlformats.org/drawingml/2006/chart">
  <cdr:absSizeAnchor xmlns:cdr="http://schemas.openxmlformats.org/drawingml/2006/chartDrawing">
    <cdr:from>
      <cdr:x>0</cdr:x>
      <cdr:y>0.00597</cdr:y>
    </cdr:from>
    <cdr:ext cx="4304506" cy="228598"/>
    <cdr:sp macro="" textlink="">
      <cdr:nvSpPr>
        <cdr:cNvPr id="4" name="TextBox 3"/>
        <cdr:cNvSpPr txBox="1">
          <a:spLocks xmlns:a="http://schemas.openxmlformats.org/drawingml/2006/main"/>
        </cdr:cNvSpPr>
      </cdr:nvSpPr>
      <cdr:spPr>
        <a:xfrm xmlns:a="http://schemas.openxmlformats.org/drawingml/2006/main">
          <a:off x="0" y="31859"/>
          <a:ext cx="4304506" cy="228598"/>
        </a:xfrm>
        <a:prstGeom xmlns:a="http://schemas.openxmlformats.org/drawingml/2006/main" prst="rect">
          <a:avLst/>
        </a:prstGeom>
        <a:solidFill xmlns:a="http://schemas.openxmlformats.org/drawingml/2006/main">
          <a:schemeClr val="bg1">
            <a:alpha val="70000"/>
          </a:schemeClr>
        </a:solidFill>
        <a:ln xmlns:a="http://schemas.openxmlformats.org/drawingml/2006/main" w="9525" cmpd="sng">
          <a:noFill/>
        </a:ln>
        <a:effectLst xmlns:a="http://schemas.openxmlformats.org/drawingml/2006/main">
          <a:outerShdw blurRad="88900" dist="25400" dir="5400000" algn="t" rotWithShape="0">
            <a:prstClr val="black">
              <a:alpha val="11000"/>
            </a:prstClr>
          </a:outerShdw>
        </a:effectLst>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tIns="0"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n-GB" sz="1400" baseline="0">
              <a:latin typeface="Franklin Gothic Medium Cond" pitchFamily="34" charset="0"/>
            </a:rPr>
            <a:t>Shelter coverage by township (# of people)</a:t>
          </a:r>
          <a:endParaRPr lang="en-GB" sz="1400">
            <a:latin typeface="Franklin Gothic Medium Cond" pitchFamily="34" charset="0"/>
          </a:endParaRPr>
        </a:p>
      </cdr:txBody>
    </cdr:sp>
  </cdr:absSizeAnchor>
</c:userShapes>
</file>

<file path=xl/drawings/drawing12.xml><?xml version="1.0" encoding="utf-8"?>
<c:userShapes xmlns:c="http://schemas.openxmlformats.org/drawingml/2006/chart">
  <cdr:absSizeAnchor xmlns:cdr="http://schemas.openxmlformats.org/drawingml/2006/chartDrawing">
    <cdr:from>
      <cdr:x>0</cdr:x>
      <cdr:y>0.00923</cdr:y>
    </cdr:from>
    <cdr:ext cx="4416424" cy="240486"/>
    <cdr:sp macro="" textlink="">
      <cdr:nvSpPr>
        <cdr:cNvPr id="2" name="TextBox 3"/>
        <cdr:cNvSpPr txBox="1">
          <a:spLocks xmlns:a="http://schemas.openxmlformats.org/drawingml/2006/main"/>
        </cdr:cNvSpPr>
      </cdr:nvSpPr>
      <cdr:spPr>
        <a:xfrm xmlns:a="http://schemas.openxmlformats.org/drawingml/2006/main">
          <a:off x="0" y="49233"/>
          <a:ext cx="4416424" cy="240486"/>
        </a:xfrm>
        <a:prstGeom xmlns:a="http://schemas.openxmlformats.org/drawingml/2006/main" prst="rect">
          <a:avLst/>
        </a:prstGeom>
        <a:solidFill xmlns:a="http://schemas.openxmlformats.org/drawingml/2006/main">
          <a:schemeClr val="bg1">
            <a:alpha val="70000"/>
          </a:schemeClr>
        </a:solidFill>
        <a:ln xmlns:a="http://schemas.openxmlformats.org/drawingml/2006/main" w="9525" cmpd="sng">
          <a:noFill/>
        </a:ln>
        <a:effectLst xmlns:a="http://schemas.openxmlformats.org/drawingml/2006/main">
          <a:outerShdw blurRad="88900" dist="25400" dir="5400000" algn="t" rotWithShape="0">
            <a:prstClr val="black">
              <a:alpha val="11000"/>
            </a:prstClr>
          </a:outerShdw>
        </a:effectLst>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tIns="0"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n-GB" sz="1400" baseline="0">
              <a:latin typeface="Franklin Gothic Medium Cond" pitchFamily="34" charset="0"/>
            </a:rPr>
            <a:t>Coverage by Shelter (# of HH) by Organization</a:t>
          </a:r>
          <a:endParaRPr lang="en-GB" sz="1400">
            <a:latin typeface="Franklin Gothic Medium Cond" pitchFamily="34" charset="0"/>
          </a:endParaRPr>
        </a:p>
      </cdr:txBody>
    </cdr:sp>
  </cdr:absSizeAnchor>
</c:userShapes>
</file>

<file path=xl/drawings/drawing13.xml><?xml version="1.0" encoding="utf-8"?>
<xdr:wsDr xmlns:xdr="http://schemas.openxmlformats.org/drawingml/2006/spreadsheetDrawing" xmlns:a="http://schemas.openxmlformats.org/drawingml/2006/main">
  <xdr:twoCellAnchor editAs="oneCell">
    <xdr:from>
      <xdr:col>8</xdr:col>
      <xdr:colOff>183599</xdr:colOff>
      <xdr:row>11</xdr:row>
      <xdr:rowOff>62700</xdr:rowOff>
    </xdr:from>
    <xdr:to>
      <xdr:col>14</xdr:col>
      <xdr:colOff>90859</xdr:colOff>
      <xdr:row>47</xdr:row>
      <xdr:rowOff>69476</xdr:rowOff>
    </xdr:to>
    <xdr:pic>
      <xdr:nvPicPr>
        <xdr:cNvPr id="8" name="Picture 7"/>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961787" y="1792888"/>
          <a:ext cx="4748201" cy="5403529"/>
        </a:xfrm>
        <a:prstGeom prst="rect">
          <a:avLst/>
        </a:prstGeom>
        <a:ln w="28575">
          <a:solidFill>
            <a:schemeClr val="tx2">
              <a:lumMod val="40000"/>
              <a:lumOff val="60000"/>
            </a:schemeClr>
          </a:solidFill>
        </a:ln>
      </xdr:spPr>
    </xdr:pic>
    <xdr:clientData/>
  </xdr:twoCellAnchor>
  <xdr:oneCellAnchor>
    <xdr:from>
      <xdr:col>9</xdr:col>
      <xdr:colOff>504825</xdr:colOff>
      <xdr:row>15</xdr:row>
      <xdr:rowOff>28575</xdr:rowOff>
    </xdr:from>
    <xdr:ext cx="184731" cy="264560"/>
    <xdr:sp macro="" textlink="">
      <xdr:nvSpPr>
        <xdr:cNvPr id="7" name="TextBox 6"/>
        <xdr:cNvSpPr txBox="1"/>
      </xdr:nvSpPr>
      <xdr:spPr>
        <a:xfrm>
          <a:off x="4714875" y="2809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twoCellAnchor>
    <xdr:from>
      <xdr:col>9</xdr:col>
      <xdr:colOff>79648</xdr:colOff>
      <xdr:row>3</xdr:row>
      <xdr:rowOff>163114</xdr:rowOff>
    </xdr:from>
    <xdr:to>
      <xdr:col>13</xdr:col>
      <xdr:colOff>346576</xdr:colOff>
      <xdr:row>4</xdr:row>
      <xdr:rowOff>172639</xdr:rowOff>
    </xdr:to>
    <xdr:grpSp>
      <xdr:nvGrpSpPr>
        <xdr:cNvPr id="35" name="Group 34"/>
        <xdr:cNvGrpSpPr/>
      </xdr:nvGrpSpPr>
      <xdr:grpSpPr>
        <a:xfrm>
          <a:off x="5514501" y="667379"/>
          <a:ext cx="3583869" cy="300878"/>
          <a:chOff x="6500812" y="317500"/>
          <a:chExt cx="6186806" cy="575469"/>
        </a:xfrm>
      </xdr:grpSpPr>
      <xdr:pic>
        <xdr:nvPicPr>
          <xdr:cNvPr id="36" name="Picture 35"/>
          <xdr:cNvPicPr>
            <a:picLocks noChangeAspect="1"/>
          </xdr:cNvPicPr>
        </xdr:nvPicPr>
        <xdr:blipFill>
          <a:blip xmlns:r="http://schemas.openxmlformats.org/officeDocument/2006/relationships" r:embed="rId2"/>
          <a:stretch>
            <a:fillRect/>
          </a:stretch>
        </xdr:blipFill>
        <xdr:spPr>
          <a:xfrm>
            <a:off x="8886031" y="317500"/>
            <a:ext cx="3801587" cy="573015"/>
          </a:xfrm>
          <a:prstGeom prst="rect">
            <a:avLst/>
          </a:prstGeom>
        </xdr:spPr>
      </xdr:pic>
      <xdr:pic>
        <xdr:nvPicPr>
          <xdr:cNvPr id="41" name="Picture 40" descr="CCCM sdc-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8</xdr:col>
      <xdr:colOff>139701</xdr:colOff>
      <xdr:row>6</xdr:row>
      <xdr:rowOff>47625</xdr:rowOff>
    </xdr:from>
    <xdr:to>
      <xdr:col>14</xdr:col>
      <xdr:colOff>90238</xdr:colOff>
      <xdr:row>10</xdr:row>
      <xdr:rowOff>44904</xdr:rowOff>
    </xdr:to>
    <xdr:sp macro="" textlink="">
      <xdr:nvSpPr>
        <xdr:cNvPr id="43" name="Rounded Rectangle 42"/>
        <xdr:cNvSpPr/>
      </xdr:nvSpPr>
      <xdr:spPr>
        <a:xfrm>
          <a:off x="6149976" y="1647825"/>
          <a:ext cx="4665412" cy="730704"/>
        </a:xfrm>
        <a:prstGeom prst="roundRect">
          <a:avLst/>
        </a:prstGeom>
        <a:solidFill>
          <a:schemeClr val="bg1">
            <a:lumMod val="95000"/>
          </a:schemeClr>
        </a:solidFill>
      </xdr:spPr>
      <xdr:style>
        <a:lnRef idx="2">
          <a:schemeClr val="accent1">
            <a:shade val="50000"/>
          </a:schemeClr>
        </a:lnRef>
        <a:fillRef idx="1001">
          <a:schemeClr val="lt2"/>
        </a:fillRef>
        <a:effectRef idx="0">
          <a:schemeClr val="accent1"/>
        </a:effectRef>
        <a:fontRef idx="minor">
          <a:schemeClr val="lt1"/>
        </a:fontRef>
      </xdr:style>
      <xdr:txBody>
        <a:bodyPr vertOverflow="clip" horzOverflow="clip" lIns="18000" tIns="18000" rIns="18000" bIns="18000" rtlCol="0" anchor="t"/>
        <a:lstStyle/>
        <a:p>
          <a:pPr algn="l"/>
          <a:r>
            <a:rPr lang="en-US" sz="950">
              <a:solidFill>
                <a:sysClr val="windowText" lastClr="000000"/>
              </a:solidFill>
              <a:effectLst/>
              <a:latin typeface="+mn-lt"/>
              <a:ea typeface="+mn-ea"/>
              <a:cs typeface="+mn-cs"/>
            </a:rPr>
            <a:t>Shelter Cluster coverage is approximately 60% in Kachin and Northern Shan States. Churches and private organizations also built shelters. Some managed to build their own shelters. Due to these reasons,  the dispersal of sites and access issues, the total numbers of shelters built is not deemed totally exhaustive.</a:t>
          </a:r>
        </a:p>
        <a:p>
          <a:pPr algn="l"/>
          <a:r>
            <a:rPr lang="en-US" sz="1000">
              <a:solidFill>
                <a:schemeClr val="lt1"/>
              </a:solidFill>
              <a:effectLst/>
              <a:latin typeface="+mn-lt"/>
              <a:ea typeface="+mn-ea"/>
              <a:cs typeface="+mn-cs"/>
            </a:rPr>
            <a:t>.</a:t>
          </a:r>
          <a:endParaRPr lang="en-US" sz="1000">
            <a:solidFill>
              <a:sysClr val="windowText" lastClr="000000"/>
            </a:solidFill>
          </a:endParaRPr>
        </a:p>
      </xdr:txBody>
    </xdr:sp>
    <xdr:clientData/>
  </xdr:twoCellAnchor>
  <xdr:twoCellAnchor>
    <xdr:from>
      <xdr:col>2</xdr:col>
      <xdr:colOff>94555</xdr:colOff>
      <xdr:row>48</xdr:row>
      <xdr:rowOff>2107</xdr:rowOff>
    </xdr:from>
    <xdr:to>
      <xdr:col>14</xdr:col>
      <xdr:colOff>136071</xdr:colOff>
      <xdr:row>49</xdr:row>
      <xdr:rowOff>367549</xdr:rowOff>
    </xdr:to>
    <xdr:grpSp>
      <xdr:nvGrpSpPr>
        <xdr:cNvPr id="6" name="Group 5"/>
        <xdr:cNvGrpSpPr/>
      </xdr:nvGrpSpPr>
      <xdr:grpSpPr>
        <a:xfrm>
          <a:off x="374702" y="7162666"/>
          <a:ext cx="8905369" cy="410265"/>
          <a:chOff x="57611" y="11352338"/>
          <a:chExt cx="9057814" cy="216285"/>
        </a:xfrm>
      </xdr:grpSpPr>
      <xdr:sp macro="" textlink="">
        <xdr:nvSpPr>
          <xdr:cNvPr id="45" name="Line 2"/>
          <xdr:cNvSpPr>
            <a:spLocks noChangeShapeType="1"/>
          </xdr:cNvSpPr>
        </xdr:nvSpPr>
        <xdr:spPr bwMode="auto">
          <a:xfrm flipV="1">
            <a:off x="196277" y="11352338"/>
            <a:ext cx="8919148" cy="20407"/>
          </a:xfrm>
          <a:prstGeom prst="line">
            <a:avLst/>
          </a:prstGeom>
          <a:noFill/>
          <a:ln w="12700">
            <a:solidFill>
              <a:srgbClr val="808080"/>
            </a:solidFill>
            <a:round/>
            <a:headEnd/>
            <a:tailEnd/>
          </a:ln>
          <a:extLst>
            <a:ext uri="{909E8E84-426E-40DD-AFC4-6F175D3DCCD1}">
              <a14:hiddenFill xmlns:a14="http://schemas.microsoft.com/office/drawing/2010/main">
                <a:noFill/>
              </a14:hiddenFill>
            </a:ext>
          </a:extLst>
        </xdr:spPr>
      </xdr:sp>
      <xdr:grpSp>
        <xdr:nvGrpSpPr>
          <xdr:cNvPr id="5" name="Group 4"/>
          <xdr:cNvGrpSpPr/>
        </xdr:nvGrpSpPr>
        <xdr:grpSpPr>
          <a:xfrm>
            <a:off x="57611" y="11374127"/>
            <a:ext cx="8866396" cy="194496"/>
            <a:chOff x="57611" y="11269352"/>
            <a:chExt cx="8866396" cy="194496"/>
          </a:xfrm>
        </xdr:grpSpPr>
        <xdr:sp macro="" textlink="">
          <xdr:nvSpPr>
            <xdr:cNvPr id="48" name="TextBox 47"/>
            <xdr:cNvSpPr txBox="1"/>
          </xdr:nvSpPr>
          <xdr:spPr>
            <a:xfrm>
              <a:off x="57611" y="11269352"/>
              <a:ext cx="3125422" cy="194496"/>
            </a:xfrm>
            <a:prstGeom prst="rect">
              <a:avLst/>
            </a:prstGeom>
            <a:solidFill>
              <a:srgbClr val="FDFDFD">
                <a:alpha val="77000"/>
              </a:srgb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tIns="18000" rtlCol="0" anchor="t"/>
            <a:lstStyle/>
            <a:p>
              <a:pPr marL="0" marR="0" indent="0" defTabSz="914400" eaLnBrk="1" fontAlgn="auto" latinLnBrk="0" hangingPunct="1">
                <a:lnSpc>
                  <a:spcPct val="100000"/>
                </a:lnSpc>
                <a:spcBef>
                  <a:spcPts val="0"/>
                </a:spcBef>
                <a:spcAft>
                  <a:spcPts val="0"/>
                </a:spcAft>
                <a:buClrTx/>
                <a:buSzTx/>
                <a:buFontTx/>
                <a:buNone/>
                <a:tabLst/>
                <a:defRPr/>
              </a:pPr>
              <a:r>
                <a:rPr lang="en-GB" sz="1000" baseline="0">
                  <a:solidFill>
                    <a:schemeClr val="dk1"/>
                  </a:solidFill>
                  <a:effectLst/>
                  <a:latin typeface="Franklin Gothic Book" pitchFamily="34" charset="0"/>
                  <a:ea typeface="+mn-ea"/>
                  <a:cs typeface="+mn-cs"/>
                </a:rPr>
                <a:t>Sources: UNHCR, Myanmar Information Management Unit (MIMU) &amp; other humanitarian organizations</a:t>
              </a:r>
              <a:endParaRPr lang="en-GB" sz="1000">
                <a:latin typeface="Franklin Gothic Book" pitchFamily="34" charset="0"/>
              </a:endParaRPr>
            </a:p>
          </xdr:txBody>
        </xdr:sp>
        <xdr:sp macro="" textlink="">
          <xdr:nvSpPr>
            <xdr:cNvPr id="49" name="TextBox 48"/>
            <xdr:cNvSpPr txBox="1">
              <a:spLocks/>
            </xdr:cNvSpPr>
          </xdr:nvSpPr>
          <xdr:spPr>
            <a:xfrm>
              <a:off x="3144146" y="11314991"/>
              <a:ext cx="3891302" cy="97987"/>
            </a:xfrm>
            <a:prstGeom prst="rect">
              <a:avLst/>
            </a:prstGeom>
            <a:solidFill>
              <a:srgbClr val="FDFDFD">
                <a:alpha val="92000"/>
              </a:srgb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0" rIns="0" rtlCol="0" anchor="t">
              <a:noAutofit/>
            </a:bodyPr>
            <a:lstStyle/>
            <a:p>
              <a:pPr algn="r"/>
              <a:r>
                <a:rPr lang="en-GB" sz="1000" baseline="0">
                  <a:latin typeface="Franklin Gothic Medium Cond" pitchFamily="34" charset="0"/>
                </a:rPr>
                <a:t>For more information contact the Cluster Coordinator  Edward Benson</a:t>
              </a:r>
              <a:r>
                <a:rPr lang="en-GB" sz="1200" baseline="0">
                  <a:latin typeface="Franklin Gothic Medium Cond" pitchFamily="34" charset="0"/>
                </a:rPr>
                <a:t>:   </a:t>
              </a:r>
              <a:endParaRPr lang="en-GB" sz="1400">
                <a:latin typeface="Franklin Gothic Medium Cond" pitchFamily="34" charset="0"/>
              </a:endParaRPr>
            </a:p>
          </xdr:txBody>
        </xdr:sp>
        <xdr:sp macro="" textlink="">
          <xdr:nvSpPr>
            <xdr:cNvPr id="50" name="TextBox 49"/>
            <xdr:cNvSpPr txBox="1"/>
          </xdr:nvSpPr>
          <xdr:spPr>
            <a:xfrm>
              <a:off x="7328407" y="11314992"/>
              <a:ext cx="1595600" cy="123329"/>
            </a:xfrm>
            <a:prstGeom prst="rect">
              <a:avLst/>
            </a:prstGeom>
            <a:solidFill>
              <a:srgbClr val="FDFDFD">
                <a:alpha val="77000"/>
              </a:srgb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25200"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n-GB" sz="1000" b="0" baseline="0">
                  <a:solidFill>
                    <a:srgbClr val="0070C0"/>
                  </a:solidFill>
                  <a:effectLst/>
                  <a:latin typeface="Franklin Gothic Demi" pitchFamily="34" charset="0"/>
                  <a:ea typeface="+mn-ea"/>
                  <a:cs typeface="+mn-cs"/>
                </a:rPr>
                <a:t>benson@unhcr.org</a:t>
              </a:r>
            </a:p>
          </xdr:txBody>
        </xdr:sp>
      </xdr:grpSp>
    </xdr:grpSp>
    <xdr:clientData/>
  </xdr:twoCellAnchor>
  <xdr:twoCellAnchor>
    <xdr:from>
      <xdr:col>2</xdr:col>
      <xdr:colOff>0</xdr:colOff>
      <xdr:row>2</xdr:row>
      <xdr:rowOff>28575</xdr:rowOff>
    </xdr:from>
    <xdr:to>
      <xdr:col>3</xdr:col>
      <xdr:colOff>293775</xdr:colOff>
      <xdr:row>2</xdr:row>
      <xdr:rowOff>352575</xdr:rowOff>
    </xdr:to>
    <xdr:sp macro="" textlink="">
      <xdr:nvSpPr>
        <xdr:cNvPr id="60" name="Rounded Rectangle 59">
          <a:hlinkClick xmlns:r="http://schemas.openxmlformats.org/officeDocument/2006/relationships" r:id="rId4"/>
        </xdr:cNvPr>
        <xdr:cNvSpPr/>
      </xdr:nvSpPr>
      <xdr:spPr>
        <a:xfrm>
          <a:off x="0" y="28575"/>
          <a:ext cx="1332000" cy="324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3</xdr:col>
      <xdr:colOff>293775</xdr:colOff>
      <xdr:row>2</xdr:row>
      <xdr:rowOff>28575</xdr:rowOff>
    </xdr:from>
    <xdr:to>
      <xdr:col>5</xdr:col>
      <xdr:colOff>139875</xdr:colOff>
      <xdr:row>2</xdr:row>
      <xdr:rowOff>352575</xdr:rowOff>
    </xdr:to>
    <xdr:sp macro="" textlink="">
      <xdr:nvSpPr>
        <xdr:cNvPr id="34" name="Rounded Rectangle 33">
          <a:hlinkClick xmlns:r="http://schemas.openxmlformats.org/officeDocument/2006/relationships" r:id="rId5"/>
        </xdr:cNvPr>
        <xdr:cNvSpPr/>
      </xdr:nvSpPr>
      <xdr:spPr>
        <a:xfrm>
          <a:off x="1332000" y="28575"/>
          <a:ext cx="1332000" cy="324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Progress</a:t>
          </a:r>
          <a:endParaRPr lang="en-US" sz="1100" b="1"/>
        </a:p>
      </xdr:txBody>
    </xdr:sp>
    <xdr:clientData/>
  </xdr:twoCellAnchor>
  <xdr:twoCellAnchor>
    <xdr:from>
      <xdr:col>6</xdr:col>
      <xdr:colOff>643200</xdr:colOff>
      <xdr:row>2</xdr:row>
      <xdr:rowOff>26597</xdr:rowOff>
    </xdr:from>
    <xdr:to>
      <xdr:col>7</xdr:col>
      <xdr:colOff>689325</xdr:colOff>
      <xdr:row>2</xdr:row>
      <xdr:rowOff>350597</xdr:rowOff>
    </xdr:to>
    <xdr:sp macro="" textlink="">
      <xdr:nvSpPr>
        <xdr:cNvPr id="37" name="Rounded Rectangle 36">
          <a:hlinkClick xmlns:r="http://schemas.openxmlformats.org/officeDocument/2006/relationships" r:id="rId6"/>
        </xdr:cNvPr>
        <xdr:cNvSpPr/>
      </xdr:nvSpPr>
      <xdr:spPr>
        <a:xfrm>
          <a:off x="3996000" y="26597"/>
          <a:ext cx="1332000" cy="324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Detail Sheet</a:t>
          </a:r>
          <a:endParaRPr lang="en-US" sz="1100" b="1"/>
        </a:p>
      </xdr:txBody>
    </xdr:sp>
    <xdr:clientData/>
  </xdr:twoCellAnchor>
  <xdr:twoCellAnchor>
    <xdr:from>
      <xdr:col>5</xdr:col>
      <xdr:colOff>139875</xdr:colOff>
      <xdr:row>2</xdr:row>
      <xdr:rowOff>25241</xdr:rowOff>
    </xdr:from>
    <xdr:to>
      <xdr:col>6</xdr:col>
      <xdr:colOff>643200</xdr:colOff>
      <xdr:row>2</xdr:row>
      <xdr:rowOff>349241</xdr:rowOff>
    </xdr:to>
    <xdr:sp macro="" textlink="">
      <xdr:nvSpPr>
        <xdr:cNvPr id="38" name="Rounded Rectangle 37">
          <a:hlinkClick xmlns:r="http://schemas.openxmlformats.org/officeDocument/2006/relationships" r:id="rId7"/>
        </xdr:cNvPr>
        <xdr:cNvSpPr/>
      </xdr:nvSpPr>
      <xdr:spPr>
        <a:xfrm>
          <a:off x="2664000" y="25241"/>
          <a:ext cx="1332000" cy="324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a:t>
          </a:r>
          <a:r>
            <a:rPr lang="en-US" sz="1100" b="1" baseline="0"/>
            <a:t> by Agency</a:t>
          </a:r>
          <a:endParaRPr lang="en-US" sz="1100" b="1"/>
        </a:p>
      </xdr:txBody>
    </xdr:sp>
    <xdr:clientData/>
  </xdr:twoCellAnchor>
  <xdr:twoCellAnchor>
    <xdr:from>
      <xdr:col>7</xdr:col>
      <xdr:colOff>689325</xdr:colOff>
      <xdr:row>2</xdr:row>
      <xdr:rowOff>25241</xdr:rowOff>
    </xdr:from>
    <xdr:to>
      <xdr:col>8</xdr:col>
      <xdr:colOff>525900</xdr:colOff>
      <xdr:row>2</xdr:row>
      <xdr:rowOff>349241</xdr:rowOff>
    </xdr:to>
    <xdr:sp macro="" textlink="">
      <xdr:nvSpPr>
        <xdr:cNvPr id="39" name="Rounded Rectangle 38">
          <a:hlinkClick xmlns:r="http://schemas.openxmlformats.org/officeDocument/2006/relationships" r:id="rId8"/>
        </xdr:cNvPr>
        <xdr:cNvSpPr/>
      </xdr:nvSpPr>
      <xdr:spPr>
        <a:xfrm>
          <a:off x="5328000" y="25241"/>
          <a:ext cx="1332000" cy="324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Shelter Summary</a:t>
          </a:r>
          <a:endParaRPr lang="en-US" sz="1100" b="1"/>
        </a:p>
      </xdr:txBody>
    </xdr:sp>
    <xdr:clientData/>
  </xdr:twoCellAnchor>
  <xdr:twoCellAnchor>
    <xdr:from>
      <xdr:col>1</xdr:col>
      <xdr:colOff>116418</xdr:colOff>
      <xdr:row>33</xdr:row>
      <xdr:rowOff>52920</xdr:rowOff>
    </xdr:from>
    <xdr:to>
      <xdr:col>7</xdr:col>
      <xdr:colOff>518585</xdr:colOff>
      <xdr:row>45</xdr:row>
      <xdr:rowOff>80682</xdr:rowOff>
    </xdr:to>
    <xdr:graphicFrame macro="">
      <xdr:nvGraphicFramePr>
        <xdr:cNvPr id="42" name="Chart 4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95250</xdr:colOff>
      <xdr:row>6</xdr:row>
      <xdr:rowOff>45893</xdr:rowOff>
    </xdr:from>
    <xdr:to>
      <xdr:col>7</xdr:col>
      <xdr:colOff>482601</xdr:colOff>
      <xdr:row>14</xdr:row>
      <xdr:rowOff>9163</xdr:rowOff>
    </xdr:to>
    <xdr:grpSp>
      <xdr:nvGrpSpPr>
        <xdr:cNvPr id="4" name="Group 3"/>
        <xdr:cNvGrpSpPr/>
      </xdr:nvGrpSpPr>
      <xdr:grpSpPr>
        <a:xfrm>
          <a:off x="252132" y="1099246"/>
          <a:ext cx="4130116" cy="949388"/>
          <a:chOff x="13464536" y="3170464"/>
          <a:chExt cx="5303561" cy="1295551"/>
        </a:xfrm>
      </xdr:grpSpPr>
      <xdr:grpSp>
        <xdr:nvGrpSpPr>
          <xdr:cNvPr id="3" name="Group 2"/>
          <xdr:cNvGrpSpPr/>
        </xdr:nvGrpSpPr>
        <xdr:grpSpPr>
          <a:xfrm>
            <a:off x="13464536" y="3170464"/>
            <a:ext cx="4320000" cy="1295551"/>
            <a:chOff x="13299490" y="3238499"/>
            <a:chExt cx="4320000" cy="1295551"/>
          </a:xfrm>
        </xdr:grpSpPr>
        <xdr:sp macro="" textlink="">
          <xdr:nvSpPr>
            <xdr:cNvPr id="54" name="Rectangle 53"/>
            <xdr:cNvSpPr/>
          </xdr:nvSpPr>
          <xdr:spPr>
            <a:xfrm>
              <a:off x="13299490" y="3238499"/>
              <a:ext cx="4320000" cy="324000"/>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tIns="0" rtlCol="0" anchor="ctr"/>
            <a:lstStyle/>
            <a:p>
              <a:pPr marL="0" indent="0" algn="l"/>
              <a:r>
                <a:rPr lang="en-GB" sz="1400" b="1">
                  <a:solidFill>
                    <a:schemeClr val="dk1"/>
                  </a:solidFill>
                  <a:latin typeface="+mn-lt"/>
                  <a:ea typeface="+mn-ea"/>
                  <a:cs typeface="+mn-cs"/>
                </a:rPr>
                <a:t># Camps</a:t>
              </a:r>
            </a:p>
          </xdr:txBody>
        </xdr:sp>
        <xdr:sp macro="" textlink="">
          <xdr:nvSpPr>
            <xdr:cNvPr id="62" name="Rectangle 61"/>
            <xdr:cNvSpPr/>
          </xdr:nvSpPr>
          <xdr:spPr>
            <a:xfrm>
              <a:off x="13299490" y="3562349"/>
              <a:ext cx="4320000" cy="324000"/>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tIns="0" rtlCol="0" anchor="ctr"/>
            <a:lstStyle/>
            <a:p>
              <a:pPr marL="0" indent="0" algn="l"/>
              <a:r>
                <a:rPr lang="en-GB" sz="1400" b="1">
                  <a:solidFill>
                    <a:schemeClr val="dk1"/>
                  </a:solidFill>
                  <a:latin typeface="+mn-lt"/>
                  <a:ea typeface="+mn-ea"/>
                  <a:cs typeface="+mn-cs"/>
                </a:rPr>
                <a:t># Households</a:t>
              </a:r>
            </a:p>
          </xdr:txBody>
        </xdr:sp>
        <xdr:sp macro="" textlink="">
          <xdr:nvSpPr>
            <xdr:cNvPr id="63" name="Rectangle 62"/>
            <xdr:cNvSpPr/>
          </xdr:nvSpPr>
          <xdr:spPr>
            <a:xfrm>
              <a:off x="13299490" y="3886199"/>
              <a:ext cx="4320000" cy="324000"/>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tIns="0" rIns="0" rtlCol="0" anchor="ctr"/>
            <a:lstStyle/>
            <a:p>
              <a:pPr marL="0" indent="0" algn="l"/>
              <a:r>
                <a:rPr lang="en-GB" sz="1400" b="1">
                  <a:solidFill>
                    <a:schemeClr val="dk1"/>
                  </a:solidFill>
                  <a:latin typeface="+mn-lt"/>
                  <a:ea typeface="+mn-ea"/>
                  <a:cs typeface="+mn-cs"/>
                </a:rPr>
                <a:t>#</a:t>
              </a:r>
              <a:r>
                <a:rPr lang="en-GB" sz="1400" b="1" baseline="0">
                  <a:solidFill>
                    <a:schemeClr val="dk1"/>
                  </a:solidFill>
                  <a:latin typeface="+mn-lt"/>
                  <a:ea typeface="+mn-ea"/>
                  <a:cs typeface="+mn-cs"/>
                </a:rPr>
                <a:t> Households still not covered by the Cluster</a:t>
              </a:r>
              <a:endParaRPr lang="en-GB" sz="1400" b="1">
                <a:solidFill>
                  <a:schemeClr val="dk1"/>
                </a:solidFill>
                <a:latin typeface="+mn-lt"/>
                <a:ea typeface="+mn-ea"/>
                <a:cs typeface="+mn-cs"/>
              </a:endParaRPr>
            </a:p>
          </xdr:txBody>
        </xdr:sp>
        <xdr:sp macro="" textlink="">
          <xdr:nvSpPr>
            <xdr:cNvPr id="64" name="Rectangle 63"/>
            <xdr:cNvSpPr/>
          </xdr:nvSpPr>
          <xdr:spPr>
            <a:xfrm>
              <a:off x="13299490" y="4210050"/>
              <a:ext cx="4320000" cy="324000"/>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tIns="0" rtlCol="0" anchor="ctr"/>
            <a:lstStyle/>
            <a:p>
              <a:pPr marL="0" indent="0" algn="l"/>
              <a:r>
                <a:rPr lang="en-GB" sz="1400" b="1">
                  <a:solidFill>
                    <a:schemeClr val="dk1"/>
                  </a:solidFill>
                  <a:latin typeface="+mn-lt"/>
                  <a:ea typeface="+mn-ea"/>
                  <a:cs typeface="+mn-cs"/>
                </a:rPr>
                <a:t># Identified shelters to be built</a:t>
              </a:r>
              <a:r>
                <a:rPr lang="en-GB" sz="1400" b="1" baseline="0">
                  <a:solidFill>
                    <a:schemeClr val="dk1"/>
                  </a:solidFill>
                  <a:latin typeface="+mn-lt"/>
                  <a:ea typeface="+mn-ea"/>
                  <a:cs typeface="+mn-cs"/>
                </a:rPr>
                <a:t> </a:t>
              </a:r>
              <a:endParaRPr lang="en-GB" sz="1400" b="1">
                <a:solidFill>
                  <a:schemeClr val="dk1"/>
                </a:solidFill>
                <a:latin typeface="+mn-lt"/>
                <a:ea typeface="+mn-ea"/>
                <a:cs typeface="+mn-cs"/>
              </a:endParaRPr>
            </a:p>
          </xdr:txBody>
        </xdr:sp>
      </xdr:grpSp>
      <xdr:grpSp>
        <xdr:nvGrpSpPr>
          <xdr:cNvPr id="65" name="Group 64"/>
          <xdr:cNvGrpSpPr/>
        </xdr:nvGrpSpPr>
        <xdr:grpSpPr>
          <a:xfrm>
            <a:off x="17784536" y="3170464"/>
            <a:ext cx="983561" cy="1295551"/>
            <a:chOff x="13299490" y="3238499"/>
            <a:chExt cx="983561" cy="1295551"/>
          </a:xfrm>
        </xdr:grpSpPr>
        <xdr:sp macro="" textlink="$T$5">
          <xdr:nvSpPr>
            <xdr:cNvPr id="66" name="Rectangle 65"/>
            <xdr:cNvSpPr/>
          </xdr:nvSpPr>
          <xdr:spPr>
            <a:xfrm>
              <a:off x="13299490" y="3238499"/>
              <a:ext cx="983561" cy="324000"/>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tIns="0" rtlCol="0" anchor="ctr"/>
            <a:lstStyle/>
            <a:p>
              <a:pPr marL="0" indent="0" algn="r"/>
              <a:fld id="{DBCCC494-A7D7-4F64-A0D4-1D5F0C8B219D}" type="TxLink">
                <a:rPr lang="en-GB" sz="1400" b="1">
                  <a:solidFill>
                    <a:schemeClr val="dk1"/>
                  </a:solidFill>
                  <a:latin typeface="+mn-lt"/>
                  <a:ea typeface="+mn-ea"/>
                  <a:cs typeface="+mn-cs"/>
                </a:rPr>
                <a:pPr marL="0" indent="0" algn="r"/>
                <a:t> 136 </a:t>
              </a:fld>
              <a:endParaRPr lang="en-GB" sz="1400" b="1">
                <a:solidFill>
                  <a:schemeClr val="dk1"/>
                </a:solidFill>
                <a:latin typeface="+mn-lt"/>
                <a:ea typeface="+mn-ea"/>
                <a:cs typeface="+mn-cs"/>
              </a:endParaRPr>
            </a:p>
          </xdr:txBody>
        </xdr:sp>
        <xdr:sp macro="" textlink="$T$4">
          <xdr:nvSpPr>
            <xdr:cNvPr id="67" name="Rectangle 66"/>
            <xdr:cNvSpPr/>
          </xdr:nvSpPr>
          <xdr:spPr>
            <a:xfrm>
              <a:off x="13299490" y="3562349"/>
              <a:ext cx="983561" cy="324000"/>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tIns="0" rtlCol="0" anchor="ctr"/>
            <a:lstStyle/>
            <a:p>
              <a:pPr marL="0" indent="0" algn="r"/>
              <a:fld id="{F2E79470-5447-4600-A2E1-F8E30C0A7E02}" type="TxLink">
                <a:rPr lang="en-GB" sz="1400" b="1">
                  <a:solidFill>
                    <a:schemeClr val="dk1"/>
                  </a:solidFill>
                  <a:latin typeface="+mn-lt"/>
                  <a:ea typeface="+mn-ea"/>
                  <a:cs typeface="+mn-cs"/>
                </a:rPr>
                <a:pPr marL="0" indent="0" algn="r"/>
                <a:t> 17,092 </a:t>
              </a:fld>
              <a:endParaRPr lang="en-GB" sz="1400" b="1">
                <a:solidFill>
                  <a:schemeClr val="dk1"/>
                </a:solidFill>
                <a:latin typeface="+mn-lt"/>
                <a:ea typeface="+mn-ea"/>
                <a:cs typeface="+mn-cs"/>
              </a:endParaRPr>
            </a:p>
          </xdr:txBody>
        </xdr:sp>
        <xdr:sp macro="" textlink="$T$8">
          <xdr:nvSpPr>
            <xdr:cNvPr id="68" name="Rectangle 67"/>
            <xdr:cNvSpPr/>
          </xdr:nvSpPr>
          <xdr:spPr>
            <a:xfrm>
              <a:off x="13299490" y="3886199"/>
              <a:ext cx="983561" cy="324000"/>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tIns="0" rtlCol="0" anchor="ctr"/>
            <a:lstStyle/>
            <a:p>
              <a:pPr marL="0" indent="0" algn="r"/>
              <a:fld id="{2F401146-2B21-436F-8867-1B210D59D5EE}" type="TxLink">
                <a:rPr lang="en-GB" sz="1400" b="1">
                  <a:solidFill>
                    <a:schemeClr val="dk1"/>
                  </a:solidFill>
                  <a:latin typeface="+mn-lt"/>
                  <a:ea typeface="+mn-ea"/>
                  <a:cs typeface="+mn-cs"/>
                </a:rPr>
                <a:pPr marL="0" indent="0" algn="r"/>
                <a:t> 5,309 </a:t>
              </a:fld>
              <a:endParaRPr lang="en-GB" sz="1400" b="1">
                <a:solidFill>
                  <a:schemeClr val="dk1"/>
                </a:solidFill>
                <a:latin typeface="+mn-lt"/>
                <a:ea typeface="+mn-ea"/>
                <a:cs typeface="+mn-cs"/>
              </a:endParaRPr>
            </a:p>
          </xdr:txBody>
        </xdr:sp>
        <xdr:sp macro="" textlink="$T$9">
          <xdr:nvSpPr>
            <xdr:cNvPr id="69" name="Rectangle 68"/>
            <xdr:cNvSpPr/>
          </xdr:nvSpPr>
          <xdr:spPr>
            <a:xfrm>
              <a:off x="13299490" y="4210050"/>
              <a:ext cx="983561" cy="324000"/>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tIns="0" rtlCol="0" anchor="ctr"/>
            <a:lstStyle/>
            <a:p>
              <a:pPr marL="0" indent="0" algn="r"/>
              <a:fld id="{10044934-3A2E-4F32-A429-28F138646F7A}" type="TxLink">
                <a:rPr lang="en-GB" sz="1400" b="1">
                  <a:solidFill>
                    <a:schemeClr val="dk1"/>
                  </a:solidFill>
                  <a:latin typeface="+mn-lt"/>
                  <a:ea typeface="+mn-ea"/>
                  <a:cs typeface="+mn-cs"/>
                </a:rPr>
                <a:pPr marL="0" indent="0" algn="r"/>
                <a:t> 5,225 </a:t>
              </a:fld>
              <a:endParaRPr lang="en-GB" sz="1400" b="1">
                <a:solidFill>
                  <a:schemeClr val="dk1"/>
                </a:solidFill>
                <a:latin typeface="+mn-lt"/>
                <a:ea typeface="+mn-ea"/>
                <a:cs typeface="+mn-cs"/>
              </a:endParaRPr>
            </a:p>
          </xdr:txBody>
        </xdr:sp>
      </xdr:grpSp>
    </xdr:grpSp>
    <xdr:clientData/>
  </xdr:twoCellAnchor>
  <mc:AlternateContent xmlns:mc="http://schemas.openxmlformats.org/markup-compatibility/2006">
    <mc:Choice xmlns:a14="http://schemas.microsoft.com/office/drawing/2010/main" Requires="a14">
      <xdr:twoCellAnchor editAs="oneCell">
        <xdr:from>
          <xdr:col>23</xdr:col>
          <xdr:colOff>19050</xdr:colOff>
          <xdr:row>32</xdr:row>
          <xdr:rowOff>66675</xdr:rowOff>
        </xdr:from>
        <xdr:to>
          <xdr:col>24</xdr:col>
          <xdr:colOff>523876</xdr:colOff>
          <xdr:row>33</xdr:row>
          <xdr:rowOff>171450</xdr:rowOff>
        </xdr:to>
        <xdr:sp macro="" textlink="">
          <xdr:nvSpPr>
            <xdr:cNvPr id="9217" name="CommandButton1" hidden="1">
              <a:extLst>
                <a:ext uri="{63B3BB69-23CF-44E3-9099-C40C66FF867C}">
                  <a14:compatExt spid="_x0000_s921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9</xdr:col>
      <xdr:colOff>951441</xdr:colOff>
      <xdr:row>37</xdr:row>
      <xdr:rowOff>19589</xdr:rowOff>
    </xdr:from>
    <xdr:to>
      <xdr:col>10</xdr:col>
      <xdr:colOff>73885</xdr:colOff>
      <xdr:row>39</xdr:row>
      <xdr:rowOff>33559</xdr:rowOff>
    </xdr:to>
    <xdr:grpSp>
      <xdr:nvGrpSpPr>
        <xdr:cNvPr id="78" name="Bhamo"/>
        <xdr:cNvGrpSpPr/>
      </xdr:nvGrpSpPr>
      <xdr:grpSpPr>
        <a:xfrm>
          <a:off x="6386294" y="5342383"/>
          <a:ext cx="187003" cy="394970"/>
          <a:chOff x="13959520" y="6574534"/>
          <a:chExt cx="235841" cy="456070"/>
        </a:xfrm>
      </xdr:grpSpPr>
      <xdr:sp macro="" textlink="">
        <xdr:nvSpPr>
          <xdr:cNvPr id="79" name="V_1"/>
          <xdr:cNvSpPr/>
        </xdr:nvSpPr>
        <xdr:spPr>
          <a:xfrm>
            <a:off x="13959520" y="6574534"/>
            <a:ext cx="54002" cy="456070"/>
          </a:xfrm>
          <a:prstGeom prst="rect">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en-US" sz="1100"/>
          </a:p>
        </xdr:txBody>
      </xdr:sp>
      <xdr:sp macro="" textlink="">
        <xdr:nvSpPr>
          <xdr:cNvPr id="80" name="V_2"/>
          <xdr:cNvSpPr/>
        </xdr:nvSpPr>
        <xdr:spPr>
          <a:xfrm flipH="1">
            <a:off x="14050441" y="6897155"/>
            <a:ext cx="54002" cy="133448"/>
          </a:xfrm>
          <a:prstGeom prst="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n-US" sz="1100"/>
          </a:p>
        </xdr:txBody>
      </xdr:sp>
      <xdr:sp macro="" textlink="">
        <xdr:nvSpPr>
          <xdr:cNvPr id="81" name="V_3"/>
          <xdr:cNvSpPr/>
        </xdr:nvSpPr>
        <xdr:spPr>
          <a:xfrm>
            <a:off x="14141359" y="6989542"/>
            <a:ext cx="54002" cy="41061"/>
          </a:xfrm>
          <a:prstGeom prst="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US" sz="1100"/>
          </a:p>
        </xdr:txBody>
      </xdr:sp>
    </xdr:grpSp>
    <xdr:clientData/>
  </xdr:twoCellAnchor>
  <xdr:twoCellAnchor>
    <xdr:from>
      <xdr:col>11</xdr:col>
      <xdr:colOff>507498</xdr:colOff>
      <xdr:row>26</xdr:row>
      <xdr:rowOff>91080</xdr:rowOff>
    </xdr:from>
    <xdr:to>
      <xdr:col>12</xdr:col>
      <xdr:colOff>112215</xdr:colOff>
      <xdr:row>27</xdr:row>
      <xdr:rowOff>76343</xdr:rowOff>
    </xdr:to>
    <xdr:grpSp>
      <xdr:nvGrpSpPr>
        <xdr:cNvPr id="82" name="Chipwi"/>
        <xdr:cNvGrpSpPr/>
      </xdr:nvGrpSpPr>
      <xdr:grpSpPr>
        <a:xfrm>
          <a:off x="8071469" y="3441639"/>
          <a:ext cx="209834" cy="153351"/>
          <a:chOff x="13959520" y="7733918"/>
          <a:chExt cx="235841" cy="162745"/>
        </a:xfrm>
      </xdr:grpSpPr>
      <xdr:sp macro="" textlink="">
        <xdr:nvSpPr>
          <xdr:cNvPr id="83" name="V_1"/>
          <xdr:cNvSpPr/>
        </xdr:nvSpPr>
        <xdr:spPr>
          <a:xfrm>
            <a:off x="13959520" y="7792284"/>
            <a:ext cx="53999" cy="77255"/>
          </a:xfrm>
          <a:prstGeom prst="rect">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en-US" sz="1100"/>
          </a:p>
        </xdr:txBody>
      </xdr:sp>
      <xdr:sp macro="" textlink="">
        <xdr:nvSpPr>
          <xdr:cNvPr id="84" name="V_2"/>
          <xdr:cNvSpPr/>
        </xdr:nvSpPr>
        <xdr:spPr>
          <a:xfrm flipH="1">
            <a:off x="14050441" y="7733918"/>
            <a:ext cx="53999" cy="135625"/>
          </a:xfrm>
          <a:prstGeom prst="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n-US" sz="1100"/>
          </a:p>
        </xdr:txBody>
      </xdr:sp>
      <xdr:sp macro="" textlink="">
        <xdr:nvSpPr>
          <xdr:cNvPr id="85" name="V_3"/>
          <xdr:cNvSpPr/>
        </xdr:nvSpPr>
        <xdr:spPr>
          <a:xfrm>
            <a:off x="14141362" y="7895053"/>
            <a:ext cx="53999" cy="1610"/>
          </a:xfrm>
          <a:prstGeom prst="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US" sz="1100"/>
          </a:p>
        </xdr:txBody>
      </xdr:sp>
    </xdr:grpSp>
    <xdr:clientData/>
  </xdr:twoCellAnchor>
  <xdr:twoCellAnchor>
    <xdr:from>
      <xdr:col>9</xdr:col>
      <xdr:colOff>113575</xdr:colOff>
      <xdr:row>28</xdr:row>
      <xdr:rowOff>64783</xdr:rowOff>
    </xdr:from>
    <xdr:to>
      <xdr:col>9</xdr:col>
      <xdr:colOff>365871</xdr:colOff>
      <xdr:row>29</xdr:row>
      <xdr:rowOff>78513</xdr:rowOff>
    </xdr:to>
    <xdr:grpSp>
      <xdr:nvGrpSpPr>
        <xdr:cNvPr id="86" name="Hpakant"/>
        <xdr:cNvGrpSpPr/>
      </xdr:nvGrpSpPr>
      <xdr:grpSpPr>
        <a:xfrm>
          <a:off x="5548428" y="3751518"/>
          <a:ext cx="252296" cy="181819"/>
          <a:chOff x="13959520" y="11577897"/>
          <a:chExt cx="235841" cy="245627"/>
        </a:xfrm>
      </xdr:grpSpPr>
      <xdr:sp macro="" textlink="">
        <xdr:nvSpPr>
          <xdr:cNvPr id="87" name="V_1"/>
          <xdr:cNvSpPr/>
        </xdr:nvSpPr>
        <xdr:spPr>
          <a:xfrm>
            <a:off x="13959520" y="11577897"/>
            <a:ext cx="54000" cy="222831"/>
          </a:xfrm>
          <a:prstGeom prst="rect">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en-US" sz="1100"/>
          </a:p>
        </xdr:txBody>
      </xdr:sp>
      <xdr:sp macro="" textlink="">
        <xdr:nvSpPr>
          <xdr:cNvPr id="88" name="V_2"/>
          <xdr:cNvSpPr/>
        </xdr:nvSpPr>
        <xdr:spPr>
          <a:xfrm flipH="1">
            <a:off x="14050441" y="11634570"/>
            <a:ext cx="54000" cy="166161"/>
          </a:xfrm>
          <a:prstGeom prst="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n-US" sz="1100"/>
          </a:p>
        </xdr:txBody>
      </xdr:sp>
      <xdr:sp macro="" textlink="">
        <xdr:nvSpPr>
          <xdr:cNvPr id="89" name="V_3"/>
          <xdr:cNvSpPr/>
        </xdr:nvSpPr>
        <xdr:spPr>
          <a:xfrm>
            <a:off x="14141361" y="11821460"/>
            <a:ext cx="54000" cy="2064"/>
          </a:xfrm>
          <a:prstGeom prst="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US" sz="1100"/>
          </a:p>
        </xdr:txBody>
      </xdr:sp>
    </xdr:grpSp>
    <xdr:clientData/>
  </xdr:twoCellAnchor>
  <xdr:twoCellAnchor>
    <xdr:from>
      <xdr:col>11</xdr:col>
      <xdr:colOff>178631</xdr:colOff>
      <xdr:row>41</xdr:row>
      <xdr:rowOff>190144</xdr:rowOff>
    </xdr:from>
    <xdr:to>
      <xdr:col>11</xdr:col>
      <xdr:colOff>410166</xdr:colOff>
      <xdr:row>42</xdr:row>
      <xdr:rowOff>180314</xdr:rowOff>
    </xdr:to>
    <xdr:grpSp>
      <xdr:nvGrpSpPr>
        <xdr:cNvPr id="90" name="Kutkai"/>
        <xdr:cNvGrpSpPr/>
      </xdr:nvGrpSpPr>
      <xdr:grpSpPr>
        <a:xfrm>
          <a:off x="7742602" y="6274938"/>
          <a:ext cx="231535" cy="180670"/>
          <a:chOff x="13959520" y="4151910"/>
          <a:chExt cx="235841" cy="258121"/>
        </a:xfrm>
      </xdr:grpSpPr>
      <xdr:sp macro="" textlink="">
        <xdr:nvSpPr>
          <xdr:cNvPr id="91" name="V_1"/>
          <xdr:cNvSpPr/>
        </xdr:nvSpPr>
        <xdr:spPr>
          <a:xfrm>
            <a:off x="13959520" y="4151910"/>
            <a:ext cx="54000" cy="228014"/>
          </a:xfrm>
          <a:prstGeom prst="rect">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en-US" sz="1100"/>
          </a:p>
        </xdr:txBody>
      </xdr:sp>
      <xdr:sp macro="" textlink="">
        <xdr:nvSpPr>
          <xdr:cNvPr id="92" name="V_2"/>
          <xdr:cNvSpPr/>
        </xdr:nvSpPr>
        <xdr:spPr>
          <a:xfrm flipH="1">
            <a:off x="14050442" y="4193040"/>
            <a:ext cx="54000" cy="186887"/>
          </a:xfrm>
          <a:prstGeom prst="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n-US" sz="1100"/>
          </a:p>
        </xdr:txBody>
      </xdr:sp>
      <xdr:sp macro="" textlink="">
        <xdr:nvSpPr>
          <xdr:cNvPr id="93" name="V_3"/>
          <xdr:cNvSpPr/>
        </xdr:nvSpPr>
        <xdr:spPr>
          <a:xfrm>
            <a:off x="14141361" y="4407762"/>
            <a:ext cx="54000" cy="2269"/>
          </a:xfrm>
          <a:prstGeom prst="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US" sz="1100"/>
          </a:p>
        </xdr:txBody>
      </xdr:sp>
    </xdr:grpSp>
    <xdr:clientData/>
  </xdr:twoCellAnchor>
  <xdr:twoCellAnchor>
    <xdr:from>
      <xdr:col>10</xdr:col>
      <xdr:colOff>123123</xdr:colOff>
      <xdr:row>37</xdr:row>
      <xdr:rowOff>41832</xdr:rowOff>
    </xdr:from>
    <xdr:to>
      <xdr:col>10</xdr:col>
      <xdr:colOff>362442</xdr:colOff>
      <xdr:row>40</xdr:row>
      <xdr:rowOff>131051</xdr:rowOff>
    </xdr:to>
    <xdr:grpSp>
      <xdr:nvGrpSpPr>
        <xdr:cNvPr id="94" name="mansi"/>
        <xdr:cNvGrpSpPr/>
      </xdr:nvGrpSpPr>
      <xdr:grpSpPr>
        <a:xfrm>
          <a:off x="6622535" y="5364626"/>
          <a:ext cx="239319" cy="660719"/>
          <a:chOff x="13959520" y="7658157"/>
          <a:chExt cx="235841" cy="723020"/>
        </a:xfrm>
      </xdr:grpSpPr>
      <xdr:sp macro="" textlink="">
        <xdr:nvSpPr>
          <xdr:cNvPr id="95" name="V_1"/>
          <xdr:cNvSpPr/>
        </xdr:nvSpPr>
        <xdr:spPr>
          <a:xfrm>
            <a:off x="13959520" y="7658157"/>
            <a:ext cx="54000" cy="714333"/>
          </a:xfrm>
          <a:prstGeom prst="rect">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en-US" sz="1100"/>
          </a:p>
        </xdr:txBody>
      </xdr:sp>
      <xdr:sp macro="" textlink="">
        <xdr:nvSpPr>
          <xdr:cNvPr id="96" name="V_2"/>
          <xdr:cNvSpPr/>
        </xdr:nvSpPr>
        <xdr:spPr>
          <a:xfrm flipH="1">
            <a:off x="14050441" y="7919898"/>
            <a:ext cx="54000" cy="452596"/>
          </a:xfrm>
          <a:prstGeom prst="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n-US" sz="1100"/>
          </a:p>
        </xdr:txBody>
      </xdr:sp>
      <xdr:sp macro="" textlink="">
        <xdr:nvSpPr>
          <xdr:cNvPr id="97" name="V_3"/>
          <xdr:cNvSpPr/>
        </xdr:nvSpPr>
        <xdr:spPr>
          <a:xfrm>
            <a:off x="14141361" y="8379439"/>
            <a:ext cx="54000" cy="1738"/>
          </a:xfrm>
          <a:prstGeom prst="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US" sz="1100"/>
          </a:p>
        </xdr:txBody>
      </xdr:sp>
    </xdr:grpSp>
    <xdr:clientData/>
  </xdr:twoCellAnchor>
  <xdr:twoCellAnchor>
    <xdr:from>
      <xdr:col>10</xdr:col>
      <xdr:colOff>243935</xdr:colOff>
      <xdr:row>31</xdr:row>
      <xdr:rowOff>145756</xdr:rowOff>
    </xdr:from>
    <xdr:to>
      <xdr:col>10</xdr:col>
      <xdr:colOff>487567</xdr:colOff>
      <xdr:row>37</xdr:row>
      <xdr:rowOff>40692</xdr:rowOff>
    </xdr:to>
    <xdr:grpSp>
      <xdr:nvGrpSpPr>
        <xdr:cNvPr id="98" name="Momauk"/>
        <xdr:cNvGrpSpPr/>
      </xdr:nvGrpSpPr>
      <xdr:grpSpPr>
        <a:xfrm>
          <a:off x="6743347" y="4336756"/>
          <a:ext cx="243632" cy="1026730"/>
          <a:chOff x="13959520" y="7780382"/>
          <a:chExt cx="235841" cy="1116723"/>
        </a:xfrm>
      </xdr:grpSpPr>
      <xdr:sp macro="" textlink="">
        <xdr:nvSpPr>
          <xdr:cNvPr id="99" name="V_1"/>
          <xdr:cNvSpPr/>
        </xdr:nvSpPr>
        <xdr:spPr>
          <a:xfrm>
            <a:off x="13959520" y="7780382"/>
            <a:ext cx="54000" cy="1108025"/>
          </a:xfrm>
          <a:prstGeom prst="rect">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en-US" sz="1100"/>
          </a:p>
        </xdr:txBody>
      </xdr:sp>
      <xdr:sp macro="" textlink="">
        <xdr:nvSpPr>
          <xdr:cNvPr id="100" name="V_2"/>
          <xdr:cNvSpPr/>
        </xdr:nvSpPr>
        <xdr:spPr>
          <a:xfrm flipH="1">
            <a:off x="14050441" y="8759909"/>
            <a:ext cx="54000" cy="128507"/>
          </a:xfrm>
          <a:prstGeom prst="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n-US" sz="1100"/>
          </a:p>
        </xdr:txBody>
      </xdr:sp>
      <xdr:sp macro="" textlink="">
        <xdr:nvSpPr>
          <xdr:cNvPr id="101" name="V_3"/>
          <xdr:cNvSpPr/>
        </xdr:nvSpPr>
        <xdr:spPr>
          <a:xfrm>
            <a:off x="14141361" y="8895371"/>
            <a:ext cx="54000" cy="1734"/>
          </a:xfrm>
          <a:prstGeom prst="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US" sz="1100"/>
          </a:p>
        </xdr:txBody>
      </xdr:sp>
    </xdr:grpSp>
    <xdr:clientData/>
  </xdr:twoCellAnchor>
  <xdr:twoCellAnchor>
    <xdr:from>
      <xdr:col>10</xdr:col>
      <xdr:colOff>94178</xdr:colOff>
      <xdr:row>28</xdr:row>
      <xdr:rowOff>158859</xdr:rowOff>
    </xdr:from>
    <xdr:to>
      <xdr:col>10</xdr:col>
      <xdr:colOff>333002</xdr:colOff>
      <xdr:row>31</xdr:row>
      <xdr:rowOff>77604</xdr:rowOff>
    </xdr:to>
    <xdr:grpSp>
      <xdr:nvGrpSpPr>
        <xdr:cNvPr id="102" name="Myitkyina"/>
        <xdr:cNvGrpSpPr/>
      </xdr:nvGrpSpPr>
      <xdr:grpSpPr>
        <a:xfrm>
          <a:off x="6593590" y="3845594"/>
          <a:ext cx="238824" cy="423010"/>
          <a:chOff x="13959520" y="12555859"/>
          <a:chExt cx="235841" cy="436796"/>
        </a:xfrm>
      </xdr:grpSpPr>
      <xdr:sp macro="" textlink="">
        <xdr:nvSpPr>
          <xdr:cNvPr id="103" name="V_1"/>
          <xdr:cNvSpPr/>
        </xdr:nvSpPr>
        <xdr:spPr>
          <a:xfrm>
            <a:off x="13959520" y="12555859"/>
            <a:ext cx="54000" cy="413893"/>
          </a:xfrm>
          <a:prstGeom prst="rect">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en-US" sz="1100"/>
          </a:p>
        </xdr:txBody>
      </xdr:sp>
      <xdr:sp macro="" textlink="">
        <xdr:nvSpPr>
          <xdr:cNvPr id="104" name="V_2"/>
          <xdr:cNvSpPr/>
        </xdr:nvSpPr>
        <xdr:spPr>
          <a:xfrm flipH="1">
            <a:off x="14050441" y="12795454"/>
            <a:ext cx="54000" cy="174293"/>
          </a:xfrm>
          <a:prstGeom prst="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n-US" sz="1100"/>
          </a:p>
        </xdr:txBody>
      </xdr:sp>
      <xdr:sp macro="" textlink="">
        <xdr:nvSpPr>
          <xdr:cNvPr id="105" name="V_3"/>
          <xdr:cNvSpPr/>
        </xdr:nvSpPr>
        <xdr:spPr>
          <a:xfrm>
            <a:off x="14141361" y="12991095"/>
            <a:ext cx="54000" cy="1560"/>
          </a:xfrm>
          <a:prstGeom prst="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US" sz="1100"/>
          </a:p>
        </xdr:txBody>
      </xdr:sp>
    </xdr:grpSp>
    <xdr:clientData/>
  </xdr:twoCellAnchor>
  <xdr:twoCellAnchor>
    <xdr:from>
      <xdr:col>10</xdr:col>
      <xdr:colOff>420665</xdr:colOff>
      <xdr:row>41</xdr:row>
      <xdr:rowOff>127505</xdr:rowOff>
    </xdr:from>
    <xdr:to>
      <xdr:col>10</xdr:col>
      <xdr:colOff>656506</xdr:colOff>
      <xdr:row>42</xdr:row>
      <xdr:rowOff>33389</xdr:rowOff>
    </xdr:to>
    <xdr:grpSp>
      <xdr:nvGrpSpPr>
        <xdr:cNvPr id="106" name="Namhkan"/>
        <xdr:cNvGrpSpPr/>
      </xdr:nvGrpSpPr>
      <xdr:grpSpPr>
        <a:xfrm>
          <a:off x="6920077" y="6212299"/>
          <a:ext cx="235841" cy="96384"/>
          <a:chOff x="13959520" y="4457414"/>
          <a:chExt cx="235841" cy="104250"/>
        </a:xfrm>
      </xdr:grpSpPr>
      <xdr:sp macro="" textlink="">
        <xdr:nvSpPr>
          <xdr:cNvPr id="107" name="V_1"/>
          <xdr:cNvSpPr/>
        </xdr:nvSpPr>
        <xdr:spPr>
          <a:xfrm>
            <a:off x="13959520" y="4457414"/>
            <a:ext cx="54000" cy="95698"/>
          </a:xfrm>
          <a:prstGeom prst="rect">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en-US" sz="1100"/>
          </a:p>
        </xdr:txBody>
      </xdr:sp>
      <xdr:sp macro="" textlink="">
        <xdr:nvSpPr>
          <xdr:cNvPr id="108" name="V_2"/>
          <xdr:cNvSpPr/>
        </xdr:nvSpPr>
        <xdr:spPr>
          <a:xfrm flipH="1">
            <a:off x="14050441" y="4488094"/>
            <a:ext cx="54000" cy="65019"/>
          </a:xfrm>
          <a:prstGeom prst="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n-US" sz="1100"/>
          </a:p>
        </xdr:txBody>
      </xdr:sp>
      <xdr:sp macro="" textlink="">
        <xdr:nvSpPr>
          <xdr:cNvPr id="109" name="V_3"/>
          <xdr:cNvSpPr/>
        </xdr:nvSpPr>
        <xdr:spPr>
          <a:xfrm>
            <a:off x="14141361" y="4559946"/>
            <a:ext cx="54000" cy="1718"/>
          </a:xfrm>
          <a:prstGeom prst="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US" sz="1100"/>
          </a:p>
        </xdr:txBody>
      </xdr:sp>
    </xdr:grpSp>
    <xdr:clientData/>
  </xdr:twoCellAnchor>
  <xdr:twoCellAnchor>
    <xdr:from>
      <xdr:col>10</xdr:col>
      <xdr:colOff>657126</xdr:colOff>
      <xdr:row>21</xdr:row>
      <xdr:rowOff>89975</xdr:rowOff>
    </xdr:from>
    <xdr:to>
      <xdr:col>10</xdr:col>
      <xdr:colOff>892967</xdr:colOff>
      <xdr:row>32</xdr:row>
      <xdr:rowOff>1460</xdr:rowOff>
    </xdr:to>
    <xdr:grpSp>
      <xdr:nvGrpSpPr>
        <xdr:cNvPr id="110" name="Waingmaw"/>
        <xdr:cNvGrpSpPr/>
      </xdr:nvGrpSpPr>
      <xdr:grpSpPr>
        <a:xfrm>
          <a:off x="7156538" y="2600093"/>
          <a:ext cx="235841" cy="1760455"/>
          <a:chOff x="13959520" y="9218497"/>
          <a:chExt cx="235841" cy="1875540"/>
        </a:xfrm>
      </xdr:grpSpPr>
      <xdr:sp macro="" textlink="">
        <xdr:nvSpPr>
          <xdr:cNvPr id="111" name="V_1"/>
          <xdr:cNvSpPr/>
        </xdr:nvSpPr>
        <xdr:spPr>
          <a:xfrm>
            <a:off x="13959520" y="9218497"/>
            <a:ext cx="54000" cy="1867378"/>
          </a:xfrm>
          <a:prstGeom prst="rect">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en-US" sz="1100"/>
          </a:p>
        </xdr:txBody>
      </xdr:sp>
      <xdr:sp macro="" textlink="">
        <xdr:nvSpPr>
          <xdr:cNvPr id="112" name="V_2"/>
          <xdr:cNvSpPr/>
        </xdr:nvSpPr>
        <xdr:spPr>
          <a:xfrm flipH="1">
            <a:off x="14050441" y="10239818"/>
            <a:ext cx="54000" cy="846061"/>
          </a:xfrm>
          <a:prstGeom prst="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n-US" sz="1100"/>
          </a:p>
        </xdr:txBody>
      </xdr:sp>
      <xdr:sp macro="" textlink="">
        <xdr:nvSpPr>
          <xdr:cNvPr id="113" name="V_3"/>
          <xdr:cNvSpPr/>
        </xdr:nvSpPr>
        <xdr:spPr>
          <a:xfrm>
            <a:off x="14141361" y="11092418"/>
            <a:ext cx="54000" cy="1619"/>
          </a:xfrm>
          <a:prstGeom prst="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US" sz="1100"/>
          </a:p>
        </xdr:txBody>
      </xdr:sp>
    </xdr:grpSp>
    <xdr:clientData/>
  </xdr:twoCellAnchor>
  <xdr:twoCellAnchor>
    <xdr:from>
      <xdr:col>11</xdr:col>
      <xdr:colOff>83058</xdr:colOff>
      <xdr:row>44</xdr:row>
      <xdr:rowOff>159962</xdr:rowOff>
    </xdr:from>
    <xdr:to>
      <xdr:col>11</xdr:col>
      <xdr:colOff>318899</xdr:colOff>
      <xdr:row>45</xdr:row>
      <xdr:rowOff>892</xdr:rowOff>
    </xdr:to>
    <xdr:grpSp>
      <xdr:nvGrpSpPr>
        <xdr:cNvPr id="74" name="Hseni"/>
        <xdr:cNvGrpSpPr/>
      </xdr:nvGrpSpPr>
      <xdr:grpSpPr>
        <a:xfrm>
          <a:off x="7647029" y="6816256"/>
          <a:ext cx="235841" cy="31430"/>
          <a:chOff x="13959520" y="6049816"/>
          <a:chExt cx="235841" cy="30531"/>
        </a:xfrm>
      </xdr:grpSpPr>
      <xdr:sp macro="" textlink="">
        <xdr:nvSpPr>
          <xdr:cNvPr id="75" name="V_1"/>
          <xdr:cNvSpPr/>
        </xdr:nvSpPr>
        <xdr:spPr>
          <a:xfrm>
            <a:off x="13959520" y="6049816"/>
            <a:ext cx="54000" cy="18999"/>
          </a:xfrm>
          <a:prstGeom prst="rect">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en-US" sz="1100"/>
          </a:p>
        </xdr:txBody>
      </xdr:sp>
      <xdr:sp macro="" textlink="">
        <xdr:nvSpPr>
          <xdr:cNvPr id="76" name="V_2"/>
          <xdr:cNvSpPr/>
        </xdr:nvSpPr>
        <xdr:spPr>
          <a:xfrm flipH="1">
            <a:off x="14050441" y="6068772"/>
            <a:ext cx="54000" cy="2036"/>
          </a:xfrm>
          <a:prstGeom prst="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n-US" sz="1100"/>
          </a:p>
        </xdr:txBody>
      </xdr:sp>
      <xdr:sp macro="" textlink="">
        <xdr:nvSpPr>
          <xdr:cNvPr id="77" name="V_3"/>
          <xdr:cNvSpPr/>
        </xdr:nvSpPr>
        <xdr:spPr>
          <a:xfrm>
            <a:off x="14141361" y="6078311"/>
            <a:ext cx="54000" cy="2036"/>
          </a:xfrm>
          <a:prstGeom prst="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US" sz="1100"/>
          </a:p>
        </xdr:txBody>
      </xdr:sp>
    </xdr:grpSp>
    <xdr:clientData/>
  </xdr:twoCellAnchor>
  <xdr:twoCellAnchor>
    <xdr:from>
      <xdr:col>18</xdr:col>
      <xdr:colOff>605118</xdr:colOff>
      <xdr:row>40</xdr:row>
      <xdr:rowOff>150159</xdr:rowOff>
    </xdr:from>
    <xdr:to>
      <xdr:col>18</xdr:col>
      <xdr:colOff>840959</xdr:colOff>
      <xdr:row>42</xdr:row>
      <xdr:rowOff>129160</xdr:rowOff>
    </xdr:to>
    <xdr:grpSp>
      <xdr:nvGrpSpPr>
        <xdr:cNvPr id="73" name="Shelter_Situation_Group"/>
        <xdr:cNvGrpSpPr/>
      </xdr:nvGrpSpPr>
      <xdr:grpSpPr>
        <a:xfrm>
          <a:off x="10587318" y="6192371"/>
          <a:ext cx="0" cy="355518"/>
          <a:chOff x="13959520" y="5708810"/>
          <a:chExt cx="235841" cy="360001"/>
        </a:xfrm>
      </xdr:grpSpPr>
      <xdr:sp macro="" textlink="">
        <xdr:nvSpPr>
          <xdr:cNvPr id="114" name="V_1"/>
          <xdr:cNvSpPr/>
        </xdr:nvSpPr>
        <xdr:spPr>
          <a:xfrm>
            <a:off x="13959520" y="5708811"/>
            <a:ext cx="54000" cy="360000"/>
          </a:xfrm>
          <a:prstGeom prst="rect">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en-US" sz="1100"/>
          </a:p>
        </xdr:txBody>
      </xdr:sp>
      <xdr:sp macro="" textlink="">
        <xdr:nvSpPr>
          <xdr:cNvPr id="115" name="V_2"/>
          <xdr:cNvSpPr/>
        </xdr:nvSpPr>
        <xdr:spPr>
          <a:xfrm flipH="1">
            <a:off x="14050441" y="5708810"/>
            <a:ext cx="54000" cy="360000"/>
          </a:xfrm>
          <a:prstGeom prst="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n-US" sz="1100"/>
          </a:p>
        </xdr:txBody>
      </xdr:sp>
      <xdr:sp macro="" textlink="">
        <xdr:nvSpPr>
          <xdr:cNvPr id="116" name="V_3"/>
          <xdr:cNvSpPr/>
        </xdr:nvSpPr>
        <xdr:spPr>
          <a:xfrm>
            <a:off x="14141361" y="5708810"/>
            <a:ext cx="54000" cy="360000"/>
          </a:xfrm>
          <a:prstGeom prst="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US" sz="1100"/>
          </a:p>
        </xdr:txBody>
      </xdr:sp>
    </xdr:grpSp>
    <xdr:clientData/>
  </xdr:twoCellAnchor>
  <xdr:twoCellAnchor>
    <xdr:from>
      <xdr:col>18</xdr:col>
      <xdr:colOff>623047</xdr:colOff>
      <xdr:row>41</xdr:row>
      <xdr:rowOff>0</xdr:rowOff>
    </xdr:from>
    <xdr:to>
      <xdr:col>18</xdr:col>
      <xdr:colOff>853845</xdr:colOff>
      <xdr:row>42</xdr:row>
      <xdr:rowOff>169501</xdr:rowOff>
    </xdr:to>
    <xdr:grpSp>
      <xdr:nvGrpSpPr>
        <xdr:cNvPr id="117" name="Mansi"/>
        <xdr:cNvGrpSpPr/>
      </xdr:nvGrpSpPr>
      <xdr:grpSpPr>
        <a:xfrm>
          <a:off x="10587318" y="6230471"/>
          <a:ext cx="0" cy="357759"/>
          <a:chOff x="13959520" y="5708810"/>
          <a:chExt cx="235841" cy="360001"/>
        </a:xfrm>
      </xdr:grpSpPr>
      <xdr:sp macro="" textlink="">
        <xdr:nvSpPr>
          <xdr:cNvPr id="118" name="V_1"/>
          <xdr:cNvSpPr/>
        </xdr:nvSpPr>
        <xdr:spPr>
          <a:xfrm>
            <a:off x="13959520" y="5708811"/>
            <a:ext cx="54000" cy="360000"/>
          </a:xfrm>
          <a:prstGeom prst="rect">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en-US" sz="1100"/>
          </a:p>
        </xdr:txBody>
      </xdr:sp>
      <xdr:sp macro="" textlink="">
        <xdr:nvSpPr>
          <xdr:cNvPr id="119" name="V_2"/>
          <xdr:cNvSpPr/>
        </xdr:nvSpPr>
        <xdr:spPr>
          <a:xfrm flipH="1">
            <a:off x="14050441" y="5708810"/>
            <a:ext cx="54000" cy="360000"/>
          </a:xfrm>
          <a:prstGeom prst="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n-US" sz="1100"/>
          </a:p>
        </xdr:txBody>
      </xdr:sp>
      <xdr:sp macro="" textlink="">
        <xdr:nvSpPr>
          <xdr:cNvPr id="120" name="V_3"/>
          <xdr:cNvSpPr/>
        </xdr:nvSpPr>
        <xdr:spPr>
          <a:xfrm>
            <a:off x="14141361" y="5708810"/>
            <a:ext cx="54000" cy="360000"/>
          </a:xfrm>
          <a:prstGeom prst="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US" sz="1100"/>
          </a:p>
        </xdr:txBody>
      </xdr:sp>
    </xdr:grpSp>
    <xdr:clientData/>
  </xdr:twoCellAnchor>
  <xdr:twoCellAnchor>
    <xdr:from>
      <xdr:col>8</xdr:col>
      <xdr:colOff>190500</xdr:colOff>
      <xdr:row>11</xdr:row>
      <xdr:rowOff>78441</xdr:rowOff>
    </xdr:from>
    <xdr:to>
      <xdr:col>9</xdr:col>
      <xdr:colOff>947754</xdr:colOff>
      <xdr:row>25</xdr:row>
      <xdr:rowOff>82604</xdr:rowOff>
    </xdr:to>
    <xdr:graphicFrame macro="">
      <xdr:nvGraphicFramePr>
        <xdr:cNvPr id="121" name="Chart 1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6</xdr:col>
      <xdr:colOff>1942042</xdr:colOff>
      <xdr:row>0</xdr:row>
      <xdr:rowOff>285750</xdr:rowOff>
    </xdr:from>
    <xdr:to>
      <xdr:col>17</xdr:col>
      <xdr:colOff>105833</xdr:colOff>
      <xdr:row>2</xdr:row>
      <xdr:rowOff>95250</xdr:rowOff>
    </xdr:to>
    <xdr:grpSp>
      <xdr:nvGrpSpPr>
        <xdr:cNvPr id="10" name="Group 9"/>
        <xdr:cNvGrpSpPr/>
      </xdr:nvGrpSpPr>
      <xdr:grpSpPr>
        <a:xfrm>
          <a:off x="7381875" y="285750"/>
          <a:ext cx="6524625" cy="687917"/>
          <a:chOff x="6500812" y="317500"/>
          <a:chExt cx="6186806" cy="575469"/>
        </a:xfrm>
      </xdr:grpSpPr>
      <xdr:pic>
        <xdr:nvPicPr>
          <xdr:cNvPr id="11" name="Picture 10"/>
          <xdr:cNvPicPr>
            <a:picLocks noChangeAspect="1"/>
          </xdr:cNvPicPr>
        </xdr:nvPicPr>
        <xdr:blipFill>
          <a:blip xmlns:r="http://schemas.openxmlformats.org/officeDocument/2006/relationships" r:embed="rId1"/>
          <a:stretch>
            <a:fillRect/>
          </a:stretch>
        </xdr:blipFill>
        <xdr:spPr>
          <a:xfrm>
            <a:off x="8886031" y="317500"/>
            <a:ext cx="3801587" cy="573015"/>
          </a:xfrm>
          <a:prstGeom prst="rect">
            <a:avLst/>
          </a:prstGeom>
        </xdr:spPr>
      </xdr:pic>
      <xdr:pic>
        <xdr:nvPicPr>
          <xdr:cNvPr id="13" name="Picture 12" descr="CCCM sdc-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0</xdr:col>
      <xdr:colOff>0</xdr:colOff>
      <xdr:row>0</xdr:row>
      <xdr:rowOff>9525</xdr:rowOff>
    </xdr:from>
    <xdr:to>
      <xdr:col>1</xdr:col>
      <xdr:colOff>658939</xdr:colOff>
      <xdr:row>1</xdr:row>
      <xdr:rowOff>50863</xdr:rowOff>
    </xdr:to>
    <xdr:sp macro="" textlink="">
      <xdr:nvSpPr>
        <xdr:cNvPr id="19" name="Rounded Rectangle 18">
          <a:hlinkClick xmlns:r="http://schemas.openxmlformats.org/officeDocument/2006/relationships" r:id="rId3"/>
        </xdr:cNvPr>
        <xdr:cNvSpPr/>
      </xdr:nvSpPr>
      <xdr:spPr>
        <a:xfrm>
          <a:off x="0" y="9525"/>
          <a:ext cx="1439989" cy="498538"/>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5</xdr:col>
      <xdr:colOff>661181</xdr:colOff>
      <xdr:row>0</xdr:row>
      <xdr:rowOff>9525</xdr:rowOff>
    </xdr:from>
    <xdr:to>
      <xdr:col>6</xdr:col>
      <xdr:colOff>1079487</xdr:colOff>
      <xdr:row>1</xdr:row>
      <xdr:rowOff>50863</xdr:rowOff>
    </xdr:to>
    <xdr:sp macro="" textlink="">
      <xdr:nvSpPr>
        <xdr:cNvPr id="20" name="Rounded Rectangle 19">
          <a:hlinkClick xmlns:r="http://schemas.openxmlformats.org/officeDocument/2006/relationships" r:id="rId4"/>
        </xdr:cNvPr>
        <xdr:cNvSpPr/>
      </xdr:nvSpPr>
      <xdr:spPr>
        <a:xfrm>
          <a:off x="5275514" y="9525"/>
          <a:ext cx="1339056" cy="496421"/>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Detail Sheet</a:t>
          </a:r>
          <a:endParaRPr lang="en-US" sz="1100" b="1"/>
        </a:p>
      </xdr:txBody>
    </xdr:sp>
    <xdr:clientData/>
  </xdr:twoCellAnchor>
  <xdr:twoCellAnchor>
    <xdr:from>
      <xdr:col>2</xdr:col>
      <xdr:colOff>47095</xdr:colOff>
      <xdr:row>0</xdr:row>
      <xdr:rowOff>9525</xdr:rowOff>
    </xdr:from>
    <xdr:to>
      <xdr:col>3</xdr:col>
      <xdr:colOff>479816</xdr:colOff>
      <xdr:row>1</xdr:row>
      <xdr:rowOff>50863</xdr:rowOff>
    </xdr:to>
    <xdr:sp macro="" textlink="">
      <xdr:nvSpPr>
        <xdr:cNvPr id="21" name="Rounded Rectangle 20">
          <a:hlinkClick xmlns:r="http://schemas.openxmlformats.org/officeDocument/2006/relationships" r:id="rId5"/>
        </xdr:cNvPr>
        <xdr:cNvSpPr/>
      </xdr:nvSpPr>
      <xdr:spPr>
        <a:xfrm>
          <a:off x="1828270" y="9525"/>
          <a:ext cx="1442371" cy="498538"/>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Summary</a:t>
          </a:r>
          <a:endParaRPr lang="en-US" sz="1100" b="1"/>
        </a:p>
      </xdr:txBody>
    </xdr:sp>
    <xdr:clientData/>
  </xdr:twoCellAnchor>
  <xdr:twoCellAnchor>
    <xdr:from>
      <xdr:col>4</xdr:col>
      <xdr:colOff>263</xdr:colOff>
      <xdr:row>0</xdr:row>
      <xdr:rowOff>9525</xdr:rowOff>
    </xdr:from>
    <xdr:to>
      <xdr:col>5</xdr:col>
      <xdr:colOff>275166</xdr:colOff>
      <xdr:row>1</xdr:row>
      <xdr:rowOff>50863</xdr:rowOff>
    </xdr:to>
    <xdr:sp macro="" textlink="">
      <xdr:nvSpPr>
        <xdr:cNvPr id="22" name="Rounded Rectangle 21">
          <a:hlinkClick xmlns:r="http://schemas.openxmlformats.org/officeDocument/2006/relationships" r:id="rId6"/>
        </xdr:cNvPr>
        <xdr:cNvSpPr/>
      </xdr:nvSpPr>
      <xdr:spPr>
        <a:xfrm>
          <a:off x="3662096" y="9525"/>
          <a:ext cx="1227403" cy="496421"/>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Agency</a:t>
          </a:r>
          <a:endParaRPr lang="en-US" sz="1100" b="1"/>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5</xdr:col>
      <xdr:colOff>279398</xdr:colOff>
      <xdr:row>0</xdr:row>
      <xdr:rowOff>25403</xdr:rowOff>
    </xdr:from>
    <xdr:to>
      <xdr:col>7</xdr:col>
      <xdr:colOff>549400</xdr:colOff>
      <xdr:row>1</xdr:row>
      <xdr:rowOff>3940</xdr:rowOff>
    </xdr:to>
    <xdr:sp macro="" textlink="">
      <xdr:nvSpPr>
        <xdr:cNvPr id="7" name="Rounded Rectangle 6">
          <a:hlinkClick xmlns:r="http://schemas.openxmlformats.org/officeDocument/2006/relationships" r:id="rId1"/>
        </xdr:cNvPr>
        <xdr:cNvSpPr/>
      </xdr:nvSpPr>
      <xdr:spPr>
        <a:xfrm>
          <a:off x="4597398" y="25403"/>
          <a:ext cx="1444752" cy="438912"/>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Township</a:t>
          </a:r>
          <a:endParaRPr lang="en-US" sz="1100" b="1"/>
        </a:p>
      </xdr:txBody>
    </xdr:sp>
    <xdr:clientData/>
  </xdr:twoCellAnchor>
  <xdr:twoCellAnchor>
    <xdr:from>
      <xdr:col>15</xdr:col>
      <xdr:colOff>202406</xdr:colOff>
      <xdr:row>1</xdr:row>
      <xdr:rowOff>257969</xdr:rowOff>
    </xdr:from>
    <xdr:to>
      <xdr:col>25</xdr:col>
      <xdr:colOff>91281</xdr:colOff>
      <xdr:row>2</xdr:row>
      <xdr:rowOff>37307</xdr:rowOff>
    </xdr:to>
    <xdr:grpSp>
      <xdr:nvGrpSpPr>
        <xdr:cNvPr id="10" name="Group 9"/>
        <xdr:cNvGrpSpPr/>
      </xdr:nvGrpSpPr>
      <xdr:grpSpPr>
        <a:xfrm>
          <a:off x="7643812" y="710407"/>
          <a:ext cx="5449094" cy="612775"/>
          <a:chOff x="6500812" y="317500"/>
          <a:chExt cx="6186806" cy="575469"/>
        </a:xfrm>
      </xdr:grpSpPr>
      <xdr:pic>
        <xdr:nvPicPr>
          <xdr:cNvPr id="11" name="Picture 10"/>
          <xdr:cNvPicPr>
            <a:picLocks noChangeAspect="1"/>
          </xdr:cNvPicPr>
        </xdr:nvPicPr>
        <xdr:blipFill>
          <a:blip xmlns:r="http://schemas.openxmlformats.org/officeDocument/2006/relationships" r:embed="rId2"/>
          <a:stretch>
            <a:fillRect/>
          </a:stretch>
        </xdr:blipFill>
        <xdr:spPr>
          <a:xfrm>
            <a:off x="8886031" y="317500"/>
            <a:ext cx="3801587" cy="573015"/>
          </a:xfrm>
          <a:prstGeom prst="rect">
            <a:avLst/>
          </a:prstGeom>
        </xdr:spPr>
      </xdr:pic>
      <xdr:pic>
        <xdr:nvPicPr>
          <xdr:cNvPr id="12" name="Picture 11" descr="CCCM sdc-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0</xdr:col>
      <xdr:colOff>0</xdr:colOff>
      <xdr:row>0</xdr:row>
      <xdr:rowOff>19050</xdr:rowOff>
    </xdr:from>
    <xdr:to>
      <xdr:col>1</xdr:col>
      <xdr:colOff>692277</xdr:colOff>
      <xdr:row>1</xdr:row>
      <xdr:rowOff>64770</xdr:rowOff>
    </xdr:to>
    <xdr:sp macro="" textlink="">
      <xdr:nvSpPr>
        <xdr:cNvPr id="17" name="Rounded Rectangle 16">
          <a:hlinkClick xmlns:r="http://schemas.openxmlformats.org/officeDocument/2006/relationships" r:id="rId4"/>
        </xdr:cNvPr>
        <xdr:cNvSpPr/>
      </xdr:nvSpPr>
      <xdr:spPr>
        <a:xfrm>
          <a:off x="0" y="19050"/>
          <a:ext cx="1444752" cy="50292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16</xdr:col>
      <xdr:colOff>380206</xdr:colOff>
      <xdr:row>0</xdr:row>
      <xdr:rowOff>19050</xdr:rowOff>
    </xdr:from>
    <xdr:to>
      <xdr:col>19</xdr:col>
      <xdr:colOff>53308</xdr:colOff>
      <xdr:row>1</xdr:row>
      <xdr:rowOff>64770</xdr:rowOff>
    </xdr:to>
    <xdr:sp macro="" textlink="">
      <xdr:nvSpPr>
        <xdr:cNvPr id="13" name="Rounded Rectangle 12">
          <a:hlinkClick xmlns:r="http://schemas.openxmlformats.org/officeDocument/2006/relationships" r:id="rId5"/>
        </xdr:cNvPr>
        <xdr:cNvSpPr/>
      </xdr:nvSpPr>
      <xdr:spPr>
        <a:xfrm>
          <a:off x="5609431" y="19050"/>
          <a:ext cx="1444752" cy="50292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Detail Sheet</a:t>
          </a:r>
          <a:endParaRPr lang="en-US" sz="1100" b="1"/>
        </a:p>
      </xdr:txBody>
    </xdr:sp>
    <xdr:clientData/>
  </xdr:twoCellAnchor>
  <xdr:twoCellAnchor>
    <xdr:from>
      <xdr:col>2</xdr:col>
      <xdr:colOff>286277</xdr:colOff>
      <xdr:row>0</xdr:row>
      <xdr:rowOff>19050</xdr:rowOff>
    </xdr:from>
    <xdr:to>
      <xdr:col>4</xdr:col>
      <xdr:colOff>87967</xdr:colOff>
      <xdr:row>1</xdr:row>
      <xdr:rowOff>64770</xdr:rowOff>
    </xdr:to>
    <xdr:sp macro="" textlink="">
      <xdr:nvSpPr>
        <xdr:cNvPr id="14" name="Rounded Rectangle 13">
          <a:hlinkClick xmlns:r="http://schemas.openxmlformats.org/officeDocument/2006/relationships" r:id="rId6"/>
        </xdr:cNvPr>
        <xdr:cNvSpPr/>
      </xdr:nvSpPr>
      <xdr:spPr>
        <a:xfrm>
          <a:off x="1607871" y="19050"/>
          <a:ext cx="956596" cy="498158"/>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Summary</a:t>
          </a:r>
          <a:endParaRPr lang="en-US" sz="1100" b="1"/>
        </a:p>
      </xdr:txBody>
    </xdr:sp>
    <xdr:clientData/>
  </xdr:twoCellAnchor>
  <xdr:twoCellAnchor>
    <xdr:from>
      <xdr:col>4</xdr:col>
      <xdr:colOff>386817</xdr:colOff>
      <xdr:row>0</xdr:row>
      <xdr:rowOff>19050</xdr:rowOff>
    </xdr:from>
    <xdr:to>
      <xdr:col>16</xdr:col>
      <xdr:colOff>81350</xdr:colOff>
      <xdr:row>1</xdr:row>
      <xdr:rowOff>64770</xdr:rowOff>
    </xdr:to>
    <xdr:sp macro="" textlink="">
      <xdr:nvSpPr>
        <xdr:cNvPr id="15" name="Rounded Rectangle 14">
          <a:hlinkClick xmlns:r="http://schemas.openxmlformats.org/officeDocument/2006/relationships" r:id="rId7"/>
        </xdr:cNvPr>
        <xdr:cNvSpPr/>
      </xdr:nvSpPr>
      <xdr:spPr>
        <a:xfrm>
          <a:off x="2863317" y="19050"/>
          <a:ext cx="1623346" cy="498158"/>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Agency</a:t>
          </a:r>
          <a:endParaRPr lang="en-US" sz="1100" b="1"/>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23</xdr:col>
      <xdr:colOff>79375</xdr:colOff>
      <xdr:row>4</xdr:row>
      <xdr:rowOff>0</xdr:rowOff>
    </xdr:from>
    <xdr:to>
      <xdr:col>33</xdr:col>
      <xdr:colOff>431799</xdr:colOff>
      <xdr:row>4</xdr:row>
      <xdr:rowOff>0</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889000</xdr:colOff>
      <xdr:row>0</xdr:row>
      <xdr:rowOff>317500</xdr:rowOff>
    </xdr:from>
    <xdr:to>
      <xdr:col>13</xdr:col>
      <xdr:colOff>360362</xdr:colOff>
      <xdr:row>2</xdr:row>
      <xdr:rowOff>136071</xdr:rowOff>
    </xdr:to>
    <xdr:grpSp>
      <xdr:nvGrpSpPr>
        <xdr:cNvPr id="16" name="Group 15"/>
        <xdr:cNvGrpSpPr/>
      </xdr:nvGrpSpPr>
      <xdr:grpSpPr>
        <a:xfrm>
          <a:off x="11271250" y="317500"/>
          <a:ext cx="2492148" cy="716642"/>
          <a:chOff x="6500812" y="317500"/>
          <a:chExt cx="6186806" cy="575469"/>
        </a:xfrm>
      </xdr:grpSpPr>
      <xdr:pic>
        <xdr:nvPicPr>
          <xdr:cNvPr id="17" name="Picture 16"/>
          <xdr:cNvPicPr>
            <a:picLocks noChangeAspect="1"/>
          </xdr:cNvPicPr>
        </xdr:nvPicPr>
        <xdr:blipFill>
          <a:blip xmlns:r="http://schemas.openxmlformats.org/officeDocument/2006/relationships" r:embed="rId2"/>
          <a:stretch>
            <a:fillRect/>
          </a:stretch>
        </xdr:blipFill>
        <xdr:spPr>
          <a:xfrm>
            <a:off x="8886031" y="317500"/>
            <a:ext cx="3801587" cy="573015"/>
          </a:xfrm>
          <a:prstGeom prst="rect">
            <a:avLst/>
          </a:prstGeom>
        </xdr:spPr>
      </xdr:pic>
      <xdr:pic>
        <xdr:nvPicPr>
          <xdr:cNvPr id="18" name="Picture 17" descr="CCCM sdc-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0</xdr:col>
      <xdr:colOff>0</xdr:colOff>
      <xdr:row>0</xdr:row>
      <xdr:rowOff>9525</xdr:rowOff>
    </xdr:from>
    <xdr:to>
      <xdr:col>1</xdr:col>
      <xdr:colOff>130302</xdr:colOff>
      <xdr:row>1</xdr:row>
      <xdr:rowOff>55245</xdr:rowOff>
    </xdr:to>
    <xdr:sp macro="" textlink="">
      <xdr:nvSpPr>
        <xdr:cNvPr id="20" name="Rounded Rectangle 19">
          <a:hlinkClick xmlns:r="http://schemas.openxmlformats.org/officeDocument/2006/relationships" r:id="rId4"/>
        </xdr:cNvPr>
        <xdr:cNvSpPr/>
      </xdr:nvSpPr>
      <xdr:spPr>
        <a:xfrm>
          <a:off x="0" y="9525"/>
          <a:ext cx="1444752" cy="50292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5</xdr:col>
      <xdr:colOff>208756</xdr:colOff>
      <xdr:row>0</xdr:row>
      <xdr:rowOff>9525</xdr:rowOff>
    </xdr:from>
    <xdr:to>
      <xdr:col>5</xdr:col>
      <xdr:colOff>1653508</xdr:colOff>
      <xdr:row>1</xdr:row>
      <xdr:rowOff>55245</xdr:rowOff>
    </xdr:to>
    <xdr:sp macro="" textlink="">
      <xdr:nvSpPr>
        <xdr:cNvPr id="13" name="Rounded Rectangle 12">
          <a:hlinkClick xmlns:r="http://schemas.openxmlformats.org/officeDocument/2006/relationships" r:id="rId5"/>
        </xdr:cNvPr>
        <xdr:cNvSpPr/>
      </xdr:nvSpPr>
      <xdr:spPr>
        <a:xfrm>
          <a:off x="5657056" y="9525"/>
          <a:ext cx="1444752" cy="50292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Detail Sheet</a:t>
          </a:r>
          <a:endParaRPr lang="en-US" sz="1100" b="1"/>
        </a:p>
      </xdr:txBody>
    </xdr:sp>
    <xdr:clientData/>
  </xdr:twoCellAnchor>
  <xdr:twoCellAnchor>
    <xdr:from>
      <xdr:col>1</xdr:col>
      <xdr:colOff>571235</xdr:colOff>
      <xdr:row>0</xdr:row>
      <xdr:rowOff>9525</xdr:rowOff>
    </xdr:from>
    <xdr:to>
      <xdr:col>2</xdr:col>
      <xdr:colOff>739637</xdr:colOff>
      <xdr:row>1</xdr:row>
      <xdr:rowOff>55245</xdr:rowOff>
    </xdr:to>
    <xdr:sp macro="" textlink="">
      <xdr:nvSpPr>
        <xdr:cNvPr id="14" name="Rounded Rectangle 13">
          <a:hlinkClick xmlns:r="http://schemas.openxmlformats.org/officeDocument/2006/relationships" r:id="rId6"/>
        </xdr:cNvPr>
        <xdr:cNvSpPr/>
      </xdr:nvSpPr>
      <xdr:spPr>
        <a:xfrm>
          <a:off x="1885685" y="9525"/>
          <a:ext cx="1444752" cy="50292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Summary</a:t>
          </a:r>
          <a:endParaRPr lang="en-US" sz="1100" b="1"/>
        </a:p>
      </xdr:txBody>
    </xdr:sp>
    <xdr:clientData/>
  </xdr:twoCellAnchor>
  <xdr:twoCellAnchor>
    <xdr:from>
      <xdr:col>3</xdr:col>
      <xdr:colOff>247120</xdr:colOff>
      <xdr:row>0</xdr:row>
      <xdr:rowOff>9525</xdr:rowOff>
    </xdr:from>
    <xdr:to>
      <xdr:col>4</xdr:col>
      <xdr:colOff>891772</xdr:colOff>
      <xdr:row>1</xdr:row>
      <xdr:rowOff>55245</xdr:rowOff>
    </xdr:to>
    <xdr:sp macro="" textlink="">
      <xdr:nvSpPr>
        <xdr:cNvPr id="15" name="Rounded Rectangle 14">
          <a:hlinkClick xmlns:r="http://schemas.openxmlformats.org/officeDocument/2006/relationships" r:id="rId7"/>
        </xdr:cNvPr>
        <xdr:cNvSpPr/>
      </xdr:nvSpPr>
      <xdr:spPr>
        <a:xfrm>
          <a:off x="3771370" y="9525"/>
          <a:ext cx="1444752" cy="50292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Agency</a:t>
          </a:r>
          <a:endParaRPr lang="en-US" sz="1100" b="1"/>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2</xdr:col>
      <xdr:colOff>0</xdr:colOff>
      <xdr:row>19</xdr:row>
      <xdr:rowOff>47625</xdr:rowOff>
    </xdr:from>
    <xdr:to>
      <xdr:col>10</xdr:col>
      <xdr:colOff>276676</xdr:colOff>
      <xdr:row>26</xdr:row>
      <xdr:rowOff>177165</xdr:rowOff>
    </xdr:to>
    <xdr:graphicFrame macro="">
      <xdr:nvGraphicFramePr>
        <xdr:cNvPr id="16"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1050925</xdr:colOff>
      <xdr:row>3</xdr:row>
      <xdr:rowOff>92075</xdr:rowOff>
    </xdr:from>
    <xdr:to>
      <xdr:col>18</xdr:col>
      <xdr:colOff>438150</xdr:colOff>
      <xdr:row>4</xdr:row>
      <xdr:rowOff>110671</xdr:rowOff>
    </xdr:to>
    <xdr:grpSp>
      <xdr:nvGrpSpPr>
        <xdr:cNvPr id="22" name="Group 21"/>
        <xdr:cNvGrpSpPr/>
      </xdr:nvGrpSpPr>
      <xdr:grpSpPr>
        <a:xfrm>
          <a:off x="5832475" y="720725"/>
          <a:ext cx="3321050" cy="332921"/>
          <a:chOff x="6500812" y="317500"/>
          <a:chExt cx="6186806" cy="575469"/>
        </a:xfrm>
      </xdr:grpSpPr>
      <xdr:pic>
        <xdr:nvPicPr>
          <xdr:cNvPr id="23" name="Picture 22"/>
          <xdr:cNvPicPr>
            <a:picLocks noChangeAspect="1"/>
          </xdr:cNvPicPr>
        </xdr:nvPicPr>
        <xdr:blipFill>
          <a:blip xmlns:r="http://schemas.openxmlformats.org/officeDocument/2006/relationships" r:embed="rId2"/>
          <a:stretch>
            <a:fillRect/>
          </a:stretch>
        </xdr:blipFill>
        <xdr:spPr>
          <a:xfrm>
            <a:off x="8886031" y="317500"/>
            <a:ext cx="3801587" cy="573015"/>
          </a:xfrm>
          <a:prstGeom prst="rect">
            <a:avLst/>
          </a:prstGeom>
        </xdr:spPr>
      </xdr:pic>
      <xdr:pic>
        <xdr:nvPicPr>
          <xdr:cNvPr id="24" name="Picture 23" descr="CCCM sdc-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2</xdr:col>
      <xdr:colOff>0</xdr:colOff>
      <xdr:row>5</xdr:row>
      <xdr:rowOff>9525</xdr:rowOff>
    </xdr:from>
    <xdr:to>
      <xdr:col>18</xdr:col>
      <xdr:colOff>438150</xdr:colOff>
      <xdr:row>5</xdr:row>
      <xdr:rowOff>504825</xdr:rowOff>
    </xdr:to>
    <xdr:sp macro="" textlink="">
      <xdr:nvSpPr>
        <xdr:cNvPr id="31" name="Rounded Rectangle 30">
          <a:hlinkClick xmlns:r="http://schemas.openxmlformats.org/officeDocument/2006/relationships" r:id="rId4"/>
        </xdr:cNvPr>
        <xdr:cNvSpPr/>
      </xdr:nvSpPr>
      <xdr:spPr>
        <a:xfrm>
          <a:off x="139700" y="1047750"/>
          <a:ext cx="9518650" cy="495300"/>
        </a:xfrm>
        <a:prstGeom prst="roundRect">
          <a:avLst/>
        </a:prstGeom>
      </xdr:spPr>
      <xdr:style>
        <a:lnRef idx="2">
          <a:schemeClr val="accent1">
            <a:shade val="50000"/>
          </a:schemeClr>
        </a:lnRef>
        <a:fillRef idx="1001">
          <a:schemeClr val="lt2"/>
        </a:fillRef>
        <a:effectRef idx="0">
          <a:schemeClr val="accent1"/>
        </a:effectRef>
        <a:fontRef idx="minor">
          <a:schemeClr val="lt1"/>
        </a:fontRef>
      </xdr:style>
      <xdr:txBody>
        <a:bodyPr vertOverflow="clip" horzOverflow="clip" rtlCol="0" anchor="t"/>
        <a:lstStyle/>
        <a:p>
          <a:r>
            <a:rPr lang="en-US" sz="1100">
              <a:solidFill>
                <a:sysClr val="windowText" lastClr="000000"/>
              </a:solidFill>
            </a:rPr>
            <a:t>For more information</a:t>
          </a:r>
          <a:r>
            <a:rPr lang="en-US" sz="1100" baseline="0">
              <a:solidFill>
                <a:sysClr val="windowText" lastClr="000000"/>
              </a:solidFill>
            </a:rPr>
            <a:t> </a:t>
          </a:r>
          <a:r>
            <a:rPr lang="en-US" sz="1100">
              <a:solidFill>
                <a:sysClr val="windowText" lastClr="000000"/>
              </a:solidFill>
            </a:rPr>
            <a:t>on NFI Standards please consult the</a:t>
          </a:r>
          <a:r>
            <a:rPr lang="en-US" sz="1100" baseline="0">
              <a:solidFill>
                <a:sysClr val="windowText" lastClr="000000"/>
              </a:solidFill>
            </a:rPr>
            <a:t> </a:t>
          </a:r>
          <a:r>
            <a:rPr lang="en-US" sz="1100">
              <a:solidFill>
                <a:sysClr val="windowText" lastClr="000000"/>
              </a:solidFill>
            </a:rPr>
            <a:t>Standard sand</a:t>
          </a:r>
          <a:r>
            <a:rPr lang="en-US" sz="1100" baseline="0">
              <a:solidFill>
                <a:sysClr val="windowText" lastClr="000000"/>
              </a:solidFill>
            </a:rPr>
            <a:t> </a:t>
          </a:r>
          <a:r>
            <a:rPr lang="en-US" sz="1100">
              <a:solidFill>
                <a:sysClr val="windowText" lastClr="000000"/>
              </a:solidFill>
            </a:rPr>
            <a:t>Guidelines page on the CCCM/Shelter/NFI Clusters website:</a:t>
          </a:r>
          <a:r>
            <a:rPr lang="en-US" sz="1100" baseline="0">
              <a:solidFill>
                <a:sysClr val="windowText" lastClr="000000"/>
              </a:solidFill>
            </a:rPr>
            <a:t> </a:t>
          </a:r>
          <a:r>
            <a:rPr lang="en-US" sz="1100" u="sng">
              <a:solidFill>
                <a:schemeClr val="lt1"/>
              </a:solidFill>
              <a:effectLst/>
              <a:latin typeface="+mn-lt"/>
              <a:ea typeface="+mn-ea"/>
              <a:cs typeface="+mn-cs"/>
              <a:hlinkClick xmlns:r="http://schemas.openxmlformats.org/officeDocument/2006/relationships" r:id=""/>
            </a:rPr>
            <a:t>http://www.sheltercluster.org/library/standards-and-guidelines-nfi</a:t>
          </a:r>
          <a:endParaRPr lang="en-US" sz="1100">
            <a:solidFill>
              <a:schemeClr val="lt1"/>
            </a:solidFill>
            <a:effectLst/>
            <a:latin typeface="+mn-lt"/>
            <a:ea typeface="+mn-ea"/>
            <a:cs typeface="+mn-cs"/>
          </a:endParaRPr>
        </a:p>
      </xdr:txBody>
    </xdr:sp>
    <xdr:clientData/>
  </xdr:twoCellAnchor>
  <xdr:twoCellAnchor>
    <xdr:from>
      <xdr:col>2</xdr:col>
      <xdr:colOff>0</xdr:colOff>
      <xdr:row>37</xdr:row>
      <xdr:rowOff>63520</xdr:rowOff>
    </xdr:from>
    <xdr:to>
      <xdr:col>18</xdr:col>
      <xdr:colOff>352425</xdr:colOff>
      <xdr:row>38</xdr:row>
      <xdr:rowOff>225825</xdr:rowOff>
    </xdr:to>
    <xdr:grpSp>
      <xdr:nvGrpSpPr>
        <xdr:cNvPr id="32" name="Group 31"/>
        <xdr:cNvGrpSpPr/>
      </xdr:nvGrpSpPr>
      <xdr:grpSpPr>
        <a:xfrm>
          <a:off x="304800" y="7350145"/>
          <a:ext cx="8763000" cy="352805"/>
          <a:chOff x="11907" y="7524748"/>
          <a:chExt cx="8977312" cy="270043"/>
        </a:xfrm>
        <a:solidFill>
          <a:srgbClr val="FFFFFF"/>
        </a:solidFill>
        <a:effectLst/>
      </xdr:grpSpPr>
      <xdr:sp macro="" textlink="">
        <xdr:nvSpPr>
          <xdr:cNvPr id="33" name="Line 2"/>
          <xdr:cNvSpPr>
            <a:spLocks noChangeShapeType="1"/>
          </xdr:cNvSpPr>
        </xdr:nvSpPr>
        <xdr:spPr bwMode="auto">
          <a:xfrm>
            <a:off x="47625" y="7524748"/>
            <a:ext cx="8941594" cy="1"/>
          </a:xfrm>
          <a:prstGeom prst="line">
            <a:avLst/>
          </a:prstGeom>
          <a:grpFill/>
          <a:ln w="12700">
            <a:solidFill>
              <a:srgbClr val="808080"/>
            </a:solidFill>
            <a:round/>
            <a:headEnd/>
            <a:tailEnd/>
          </a:ln>
          <a:extLst/>
        </xdr:spPr>
      </xdr:sp>
      <xdr:grpSp>
        <xdr:nvGrpSpPr>
          <xdr:cNvPr id="34" name="Group 33"/>
          <xdr:cNvGrpSpPr/>
        </xdr:nvGrpSpPr>
        <xdr:grpSpPr>
          <a:xfrm>
            <a:off x="11907" y="7536625"/>
            <a:ext cx="8941593" cy="258166"/>
            <a:chOff x="6083301" y="9200286"/>
            <a:chExt cx="7309756" cy="195483"/>
          </a:xfrm>
          <a:grpFill/>
        </xdr:grpSpPr>
        <xdr:sp macro="" textlink="">
          <xdr:nvSpPr>
            <xdr:cNvPr id="35" name="TextBox 34"/>
            <xdr:cNvSpPr txBox="1"/>
          </xdr:nvSpPr>
          <xdr:spPr>
            <a:xfrm>
              <a:off x="6083301" y="9200286"/>
              <a:ext cx="3601345" cy="195483"/>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marL="0" marR="0" indent="0" defTabSz="914400" eaLnBrk="1" fontAlgn="auto" latinLnBrk="0" hangingPunct="1">
                <a:lnSpc>
                  <a:spcPct val="100000"/>
                </a:lnSpc>
                <a:spcBef>
                  <a:spcPts val="0"/>
                </a:spcBef>
                <a:spcAft>
                  <a:spcPts val="0"/>
                </a:spcAft>
                <a:buClrTx/>
                <a:buSzTx/>
                <a:buFontTx/>
                <a:buNone/>
                <a:tabLst/>
                <a:defRPr/>
              </a:pPr>
              <a:r>
                <a:rPr lang="en-GB" sz="1000" baseline="0">
                  <a:solidFill>
                    <a:schemeClr val="dk1"/>
                  </a:solidFill>
                  <a:effectLst/>
                  <a:latin typeface="Franklin Gothic Book" pitchFamily="34" charset="0"/>
                  <a:ea typeface="+mn-ea"/>
                  <a:cs typeface="+mn-cs"/>
                </a:rPr>
                <a:t>Sources: UNHCR, Myanmar Information Management Unit (MIMU)</a:t>
              </a:r>
            </a:p>
            <a:p>
              <a:pPr marL="0" marR="0" indent="0" defTabSz="914400" eaLnBrk="1" fontAlgn="auto" latinLnBrk="0" hangingPunct="1">
                <a:lnSpc>
                  <a:spcPct val="100000"/>
                </a:lnSpc>
                <a:spcBef>
                  <a:spcPts val="0"/>
                </a:spcBef>
                <a:spcAft>
                  <a:spcPts val="0"/>
                </a:spcAft>
                <a:buClrTx/>
                <a:buSzTx/>
                <a:buFontTx/>
                <a:buNone/>
                <a:tabLst/>
                <a:defRPr/>
              </a:pPr>
              <a:r>
                <a:rPr lang="en-GB" sz="1000" baseline="0">
                  <a:solidFill>
                    <a:schemeClr val="dk1"/>
                  </a:solidFill>
                  <a:effectLst/>
                  <a:latin typeface="Franklin Gothic Book" pitchFamily="34" charset="0"/>
                  <a:ea typeface="+mn-ea"/>
                  <a:cs typeface="+mn-cs"/>
                </a:rPr>
                <a:t>                &amp; other humanitarian organizations</a:t>
              </a:r>
              <a:endParaRPr lang="en-GB" sz="1000">
                <a:latin typeface="Franklin Gothic Book" pitchFamily="34" charset="0"/>
              </a:endParaRPr>
            </a:p>
          </xdr:txBody>
        </xdr:sp>
        <xdr:sp macro="" textlink="">
          <xdr:nvSpPr>
            <xdr:cNvPr id="36" name="TextBox 35"/>
            <xdr:cNvSpPr txBox="1">
              <a:spLocks/>
            </xdr:cNvSpPr>
          </xdr:nvSpPr>
          <xdr:spPr>
            <a:xfrm>
              <a:off x="9178511" y="9207942"/>
              <a:ext cx="3212009" cy="126484"/>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0" rIns="0" rtlCol="0" anchor="t">
              <a:noAutofit/>
            </a:bodyPr>
            <a:lstStyle/>
            <a:p>
              <a:pPr algn="r"/>
              <a:r>
                <a:rPr lang="en-GB" sz="1000" baseline="0">
                  <a:latin typeface="Franklin Gothic Medium Cond" pitchFamily="34" charset="0"/>
                </a:rPr>
                <a:t>For more information contact the Cluster Coordinator  Edward Benson</a:t>
              </a:r>
              <a:r>
                <a:rPr lang="en-GB" sz="1200" baseline="0">
                  <a:latin typeface="Franklin Gothic Medium Cond" pitchFamily="34" charset="0"/>
                </a:rPr>
                <a:t>:   </a:t>
              </a:r>
              <a:endParaRPr lang="en-GB" sz="1400">
                <a:latin typeface="Franklin Gothic Medium Cond" pitchFamily="34" charset="0"/>
              </a:endParaRPr>
            </a:p>
          </xdr:txBody>
        </xdr:sp>
        <xdr:sp macro="" textlink="">
          <xdr:nvSpPr>
            <xdr:cNvPr id="37" name="TextBox 36"/>
            <xdr:cNvSpPr txBox="1"/>
          </xdr:nvSpPr>
          <xdr:spPr>
            <a:xfrm>
              <a:off x="12380786" y="9207943"/>
              <a:ext cx="1012271" cy="123189"/>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25200"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n-GB" sz="1000" b="0" baseline="0">
                  <a:solidFill>
                    <a:srgbClr val="0070C0"/>
                  </a:solidFill>
                  <a:effectLst/>
                  <a:latin typeface="Franklin Gothic Demi" pitchFamily="34" charset="0"/>
                  <a:ea typeface="+mn-ea"/>
                  <a:cs typeface="+mn-cs"/>
                </a:rPr>
                <a:t>benson@unhcr.org</a:t>
              </a:r>
            </a:p>
          </xdr:txBody>
        </xdr:sp>
      </xdr:grpSp>
    </xdr:grpSp>
    <xdr:clientData/>
  </xdr:twoCellAnchor>
  <xdr:twoCellAnchor>
    <xdr:from>
      <xdr:col>2</xdr:col>
      <xdr:colOff>0</xdr:colOff>
      <xdr:row>2</xdr:row>
      <xdr:rowOff>13575</xdr:rowOff>
    </xdr:from>
    <xdr:to>
      <xdr:col>2</xdr:col>
      <xdr:colOff>1263777</xdr:colOff>
      <xdr:row>2</xdr:row>
      <xdr:rowOff>379335</xdr:rowOff>
    </xdr:to>
    <xdr:sp macro="" textlink="">
      <xdr:nvSpPr>
        <xdr:cNvPr id="40" name="Rounded Rectangle 39">
          <a:hlinkClick xmlns:r="http://schemas.openxmlformats.org/officeDocument/2006/relationships" r:id="rId5"/>
        </xdr:cNvPr>
        <xdr:cNvSpPr/>
      </xdr:nvSpPr>
      <xdr:spPr>
        <a:xfrm>
          <a:off x="0" y="13575"/>
          <a:ext cx="1444752" cy="36576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9</xdr:col>
      <xdr:colOff>342106</xdr:colOff>
      <xdr:row>2</xdr:row>
      <xdr:rowOff>14979</xdr:rowOff>
    </xdr:from>
    <xdr:to>
      <xdr:col>12</xdr:col>
      <xdr:colOff>424783</xdr:colOff>
      <xdr:row>2</xdr:row>
      <xdr:rowOff>380739</xdr:rowOff>
    </xdr:to>
    <xdr:sp macro="" textlink="">
      <xdr:nvSpPr>
        <xdr:cNvPr id="18" name="Rounded Rectangle 17">
          <a:hlinkClick xmlns:r="http://schemas.openxmlformats.org/officeDocument/2006/relationships" r:id="rId6"/>
        </xdr:cNvPr>
        <xdr:cNvSpPr/>
      </xdr:nvSpPr>
      <xdr:spPr>
        <a:xfrm>
          <a:off x="4266406" y="405504"/>
          <a:ext cx="2130552" cy="36576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Detail Sheet</a:t>
          </a:r>
          <a:endParaRPr lang="en-US" sz="1100" b="1"/>
        </a:p>
      </xdr:txBody>
    </xdr:sp>
    <xdr:clientData/>
  </xdr:twoCellAnchor>
  <xdr:twoCellAnchor>
    <xdr:from>
      <xdr:col>3</xdr:col>
      <xdr:colOff>344145</xdr:colOff>
      <xdr:row>2</xdr:row>
      <xdr:rowOff>21075</xdr:rowOff>
    </xdr:from>
    <xdr:to>
      <xdr:col>5</xdr:col>
      <xdr:colOff>360147</xdr:colOff>
      <xdr:row>2</xdr:row>
      <xdr:rowOff>386835</xdr:rowOff>
    </xdr:to>
    <xdr:sp macro="" textlink="">
      <xdr:nvSpPr>
        <xdr:cNvPr id="19" name="Rounded Rectangle 18">
          <a:hlinkClick xmlns:r="http://schemas.openxmlformats.org/officeDocument/2006/relationships" r:id="rId7"/>
        </xdr:cNvPr>
        <xdr:cNvSpPr/>
      </xdr:nvSpPr>
      <xdr:spPr>
        <a:xfrm>
          <a:off x="1525245" y="411600"/>
          <a:ext cx="930402" cy="36576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Summary</a:t>
          </a:r>
          <a:endParaRPr lang="en-US" sz="1100" b="1"/>
        </a:p>
      </xdr:txBody>
    </xdr:sp>
    <xdr:clientData/>
  </xdr:twoCellAnchor>
  <xdr:twoCellAnchor>
    <xdr:from>
      <xdr:col>6</xdr:col>
      <xdr:colOff>216919</xdr:colOff>
      <xdr:row>2</xdr:row>
      <xdr:rowOff>14979</xdr:rowOff>
    </xdr:from>
    <xdr:to>
      <xdr:col>8</xdr:col>
      <xdr:colOff>423421</xdr:colOff>
      <xdr:row>2</xdr:row>
      <xdr:rowOff>380739</xdr:rowOff>
    </xdr:to>
    <xdr:sp macro="" textlink="">
      <xdr:nvSpPr>
        <xdr:cNvPr id="20" name="Rounded Rectangle 19">
          <a:hlinkClick xmlns:r="http://schemas.openxmlformats.org/officeDocument/2006/relationships" r:id="rId8"/>
        </xdr:cNvPr>
        <xdr:cNvSpPr/>
      </xdr:nvSpPr>
      <xdr:spPr>
        <a:xfrm>
          <a:off x="2769619" y="405504"/>
          <a:ext cx="1120902" cy="36576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Agency</a:t>
          </a:r>
          <a:endParaRPr lang="en-US" sz="1100" b="1"/>
        </a:p>
      </xdr:txBody>
    </xdr:sp>
    <xdr:clientData/>
  </xdr:twoCellAnchor>
  <xdr:twoCellAnchor>
    <xdr:from>
      <xdr:col>2</xdr:col>
      <xdr:colOff>1</xdr:colOff>
      <xdr:row>27</xdr:row>
      <xdr:rowOff>49530</xdr:rowOff>
    </xdr:from>
    <xdr:to>
      <xdr:col>10</xdr:col>
      <xdr:colOff>276676</xdr:colOff>
      <xdr:row>36</xdr:row>
      <xdr:rowOff>11430</xdr:rowOff>
    </xdr:to>
    <xdr:graphicFrame macro="">
      <xdr:nvGraphicFramePr>
        <xdr:cNvPr id="21"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11</xdr:col>
      <xdr:colOff>38101</xdr:colOff>
      <xdr:row>27</xdr:row>
      <xdr:rowOff>49529</xdr:rowOff>
    </xdr:from>
    <xdr:to>
      <xdr:col>19</xdr:col>
      <xdr:colOff>451</xdr:colOff>
      <xdr:row>36</xdr:row>
      <xdr:rowOff>11430</xdr:rowOff>
    </xdr:to>
    <xdr:graphicFrame macro="">
      <xdr:nvGraphicFramePr>
        <xdr:cNvPr id="26" name="Chart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xdr:col>
      <xdr:colOff>38100</xdr:colOff>
      <xdr:row>7</xdr:row>
      <xdr:rowOff>9524</xdr:rowOff>
    </xdr:from>
    <xdr:to>
      <xdr:col>10</xdr:col>
      <xdr:colOff>0</xdr:colOff>
      <xdr:row>10</xdr:row>
      <xdr:rowOff>67349</xdr:rowOff>
    </xdr:to>
    <xdr:sp macro="" textlink="">
      <xdr:nvSpPr>
        <xdr:cNvPr id="25" name="Rounded Rectangle 24"/>
        <xdr:cNvSpPr/>
      </xdr:nvSpPr>
      <xdr:spPr>
        <a:xfrm>
          <a:off x="38100" y="1609724"/>
          <a:ext cx="3981450" cy="543600"/>
        </a:xfrm>
        <a:prstGeom prst="roundRect">
          <a:avLst/>
        </a:prstGeom>
      </xdr:spPr>
      <xdr:style>
        <a:lnRef idx="2">
          <a:schemeClr val="accent1">
            <a:shade val="50000"/>
          </a:schemeClr>
        </a:lnRef>
        <a:fillRef idx="1001">
          <a:schemeClr val="lt2"/>
        </a:fillRef>
        <a:effectRef idx="0">
          <a:schemeClr val="accent1"/>
        </a:effectRef>
        <a:fontRef idx="minor">
          <a:schemeClr val="lt1"/>
        </a:fontRef>
      </xdr:style>
      <xdr:txBody>
        <a:bodyPr vertOverflow="clip" horzOverflow="clip" rtlCol="0" anchor="t"/>
        <a:lstStyle/>
        <a:p>
          <a:pPr algn="l"/>
          <a:r>
            <a:rPr lang="en-US" sz="800">
              <a:solidFill>
                <a:schemeClr val="tx2">
                  <a:lumMod val="40000"/>
                  <a:lumOff val="60000"/>
                </a:schemeClr>
              </a:solidFill>
              <a:latin typeface="Franklin Gothic Demi" pitchFamily="34" charset="0"/>
            </a:rPr>
            <a:t>NFI Core Kit : #  targetted households</a:t>
          </a:r>
          <a:r>
            <a:rPr lang="en-US" sz="800" baseline="0">
              <a:solidFill>
                <a:schemeClr val="tx2">
                  <a:lumMod val="40000"/>
                  <a:lumOff val="60000"/>
                </a:schemeClr>
              </a:solidFill>
              <a:latin typeface="Franklin Gothic Demi" pitchFamily="34" charset="0"/>
            </a:rPr>
            <a:t> </a:t>
          </a:r>
          <a:endParaRPr lang="en-US" sz="800">
            <a:solidFill>
              <a:schemeClr val="tx2">
                <a:lumMod val="40000"/>
                <a:lumOff val="60000"/>
              </a:schemeClr>
            </a:solidFill>
            <a:latin typeface="Franklin Gothic Demi" pitchFamily="34" charset="0"/>
          </a:endParaRPr>
        </a:p>
      </xdr:txBody>
    </xdr:sp>
    <xdr:clientData/>
  </xdr:twoCellAnchor>
  <xdr:twoCellAnchor>
    <xdr:from>
      <xdr:col>11</xdr:col>
      <xdr:colOff>9525</xdr:colOff>
      <xdr:row>7</xdr:row>
      <xdr:rowOff>38100</xdr:rowOff>
    </xdr:from>
    <xdr:to>
      <xdr:col>18</xdr:col>
      <xdr:colOff>447675</xdr:colOff>
      <xdr:row>10</xdr:row>
      <xdr:rowOff>95925</xdr:rowOff>
    </xdr:to>
    <xdr:sp macro="" textlink="">
      <xdr:nvSpPr>
        <xdr:cNvPr id="28" name="Rounded Rectangle 27"/>
        <xdr:cNvSpPr/>
      </xdr:nvSpPr>
      <xdr:spPr>
        <a:xfrm>
          <a:off x="4486275" y="1638300"/>
          <a:ext cx="4314825" cy="543600"/>
        </a:xfrm>
        <a:prstGeom prst="roundRect">
          <a:avLst/>
        </a:prstGeom>
      </xdr:spPr>
      <xdr:style>
        <a:lnRef idx="2">
          <a:schemeClr val="accent1">
            <a:shade val="50000"/>
          </a:schemeClr>
        </a:lnRef>
        <a:fillRef idx="1001">
          <a:schemeClr val="lt2"/>
        </a:fillRef>
        <a:effectRef idx="0">
          <a:schemeClr val="accent1"/>
        </a:effectRef>
        <a:fontRef idx="minor">
          <a:schemeClr val="lt1"/>
        </a:fontRef>
      </xdr:style>
      <xdr:txBody>
        <a:bodyPr vertOverflow="clip" horzOverflow="clip" rtlCol="0" anchor="t"/>
        <a:lstStyle/>
        <a:p>
          <a:pPr algn="l"/>
          <a:r>
            <a:rPr lang="en-US" sz="800">
              <a:solidFill>
                <a:schemeClr val="tx2">
                  <a:lumMod val="40000"/>
                  <a:lumOff val="60000"/>
                </a:schemeClr>
              </a:solidFill>
              <a:latin typeface="Franklin Gothic Demi" pitchFamily="34" charset="0"/>
            </a:rPr>
            <a:t>Winter</a:t>
          </a:r>
          <a:r>
            <a:rPr lang="en-US" sz="800" baseline="0">
              <a:solidFill>
                <a:schemeClr val="tx2">
                  <a:lumMod val="40000"/>
                  <a:lumOff val="60000"/>
                </a:schemeClr>
              </a:solidFill>
              <a:latin typeface="Franklin Gothic Demi" pitchFamily="34" charset="0"/>
            </a:rPr>
            <a:t> Items : # targetted households</a:t>
          </a:r>
          <a:endParaRPr lang="en-US" sz="800">
            <a:solidFill>
              <a:schemeClr val="tx2">
                <a:lumMod val="40000"/>
                <a:lumOff val="60000"/>
              </a:schemeClr>
            </a:solidFill>
            <a:latin typeface="Franklin Gothic Demi" pitchFamily="34" charset="0"/>
          </a:endParaRPr>
        </a:p>
      </xdr:txBody>
    </xdr:sp>
    <xdr:clientData/>
  </xdr:twoCellAnchor>
  <xdr:twoCellAnchor>
    <xdr:from>
      <xdr:col>11</xdr:col>
      <xdr:colOff>38101</xdr:colOff>
      <xdr:row>19</xdr:row>
      <xdr:rowOff>38100</xdr:rowOff>
    </xdr:from>
    <xdr:to>
      <xdr:col>18</xdr:col>
      <xdr:colOff>468630</xdr:colOff>
      <xdr:row>26</xdr:row>
      <xdr:rowOff>167640</xdr:rowOff>
    </xdr:to>
    <xdr:graphicFrame macro="">
      <xdr:nvGraphicFramePr>
        <xdr:cNvPr id="30"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5</xdr:col>
      <xdr:colOff>152401</xdr:colOff>
      <xdr:row>7</xdr:row>
      <xdr:rowOff>9524</xdr:rowOff>
    </xdr:from>
    <xdr:to>
      <xdr:col>6</xdr:col>
      <xdr:colOff>247651</xdr:colOff>
      <xdr:row>10</xdr:row>
      <xdr:rowOff>67349</xdr:rowOff>
    </xdr:to>
    <xdr:sp macro="" textlink="$W$4">
      <xdr:nvSpPr>
        <xdr:cNvPr id="39" name="Rounded Rectangle 38"/>
        <xdr:cNvSpPr/>
      </xdr:nvSpPr>
      <xdr:spPr>
        <a:xfrm>
          <a:off x="1885951" y="1609724"/>
          <a:ext cx="552450" cy="543600"/>
        </a:xfrm>
        <a:prstGeom prst="roundRect">
          <a:avLst/>
        </a:prstGeom>
        <a:noFill/>
        <a:ln>
          <a:noFill/>
        </a:ln>
      </xdr:spPr>
      <xdr:style>
        <a:lnRef idx="2">
          <a:schemeClr val="accent1">
            <a:shade val="50000"/>
          </a:schemeClr>
        </a:lnRef>
        <a:fillRef idx="1001">
          <a:schemeClr val="lt2"/>
        </a:fillRef>
        <a:effectRef idx="0">
          <a:schemeClr val="accent1"/>
        </a:effectRef>
        <a:fontRef idx="minor">
          <a:schemeClr val="lt1"/>
        </a:fontRef>
      </xdr:style>
      <xdr:txBody>
        <a:bodyPr vertOverflow="clip" horzOverflow="clip" rtlCol="0" anchor="t"/>
        <a:lstStyle/>
        <a:p>
          <a:pPr algn="l"/>
          <a:fld id="{866AAD63-F696-4B61-B8A1-8F667A21ADA1}" type="TxLink">
            <a:rPr lang="en-US" sz="800">
              <a:solidFill>
                <a:schemeClr val="tx2">
                  <a:lumMod val="40000"/>
                  <a:lumOff val="60000"/>
                </a:schemeClr>
              </a:solidFill>
              <a:latin typeface="Franklin Gothic Demi" pitchFamily="34" charset="0"/>
            </a:rPr>
            <a:pPr algn="l"/>
            <a:t> 1,164 </a:t>
          </a:fld>
          <a:endParaRPr lang="en-US" sz="800">
            <a:solidFill>
              <a:schemeClr val="tx2">
                <a:lumMod val="40000"/>
                <a:lumOff val="60000"/>
              </a:schemeClr>
            </a:solidFill>
            <a:latin typeface="Franklin Gothic Demi" pitchFamily="34" charset="0"/>
          </a:endParaRPr>
        </a:p>
      </xdr:txBody>
    </xdr:sp>
    <xdr:clientData/>
  </xdr:twoCellAnchor>
  <xdr:twoCellAnchor>
    <xdr:from>
      <xdr:col>13</xdr:col>
      <xdr:colOff>342900</xdr:colOff>
      <xdr:row>7</xdr:row>
      <xdr:rowOff>38100</xdr:rowOff>
    </xdr:from>
    <xdr:to>
      <xdr:col>14</xdr:col>
      <xdr:colOff>438150</xdr:colOff>
      <xdr:row>10</xdr:row>
      <xdr:rowOff>95925</xdr:rowOff>
    </xdr:to>
    <xdr:sp macro="" textlink="$W$5">
      <xdr:nvSpPr>
        <xdr:cNvPr id="41" name="Rounded Rectangle 40"/>
        <xdr:cNvSpPr/>
      </xdr:nvSpPr>
      <xdr:spPr>
        <a:xfrm>
          <a:off x="6410325" y="1638300"/>
          <a:ext cx="552450" cy="543600"/>
        </a:xfrm>
        <a:prstGeom prst="roundRect">
          <a:avLst/>
        </a:prstGeom>
        <a:noFill/>
        <a:ln>
          <a:noFill/>
        </a:ln>
      </xdr:spPr>
      <xdr:style>
        <a:lnRef idx="2">
          <a:schemeClr val="accent1">
            <a:shade val="50000"/>
          </a:schemeClr>
        </a:lnRef>
        <a:fillRef idx="1001">
          <a:schemeClr val="lt2"/>
        </a:fillRef>
        <a:effectRef idx="0">
          <a:schemeClr val="accent1"/>
        </a:effectRef>
        <a:fontRef idx="minor">
          <a:schemeClr val="lt1"/>
        </a:fontRef>
      </xdr:style>
      <xdr:txBody>
        <a:bodyPr vertOverflow="clip" horzOverflow="clip" rtlCol="0" anchor="t"/>
        <a:lstStyle/>
        <a:p>
          <a:pPr marL="0" indent="0" algn="l"/>
          <a:fld id="{51CE7971-745A-4014-873E-EC6C604327F5}" type="TxLink">
            <a:rPr lang="en-US" sz="800">
              <a:solidFill>
                <a:schemeClr val="tx2">
                  <a:lumMod val="40000"/>
                  <a:lumOff val="60000"/>
                </a:schemeClr>
              </a:solidFill>
              <a:latin typeface="Franklin Gothic Demi" pitchFamily="34" charset="0"/>
              <a:ea typeface="+mn-ea"/>
              <a:cs typeface="+mn-cs"/>
            </a:rPr>
            <a:pPr marL="0" indent="0" algn="l"/>
            <a:t> 1,799 </a:t>
          </a:fld>
          <a:endParaRPr lang="en-US" sz="800">
            <a:solidFill>
              <a:schemeClr val="tx2">
                <a:lumMod val="40000"/>
                <a:lumOff val="60000"/>
              </a:schemeClr>
            </a:solidFill>
            <a:latin typeface="Franklin Gothic Demi" pitchFamily="34" charset="0"/>
            <a:ea typeface="+mn-ea"/>
            <a:cs typeface="+mn-cs"/>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700353</xdr:colOff>
      <xdr:row>1</xdr:row>
      <xdr:rowOff>31856</xdr:rowOff>
    </xdr:from>
    <xdr:to>
      <xdr:col>7</xdr:col>
      <xdr:colOff>1166813</xdr:colOff>
      <xdr:row>2</xdr:row>
      <xdr:rowOff>67469</xdr:rowOff>
    </xdr:to>
    <xdr:grpSp>
      <xdr:nvGrpSpPr>
        <xdr:cNvPr id="6" name="Group 5"/>
        <xdr:cNvGrpSpPr/>
      </xdr:nvGrpSpPr>
      <xdr:grpSpPr>
        <a:xfrm>
          <a:off x="4555177" y="558532"/>
          <a:ext cx="2808489" cy="226113"/>
          <a:chOff x="6500812" y="296130"/>
          <a:chExt cx="6668867" cy="596839"/>
        </a:xfrm>
      </xdr:grpSpPr>
      <xdr:pic>
        <xdr:nvPicPr>
          <xdr:cNvPr id="4" name="Picture 3"/>
          <xdr:cNvPicPr>
            <a:picLocks noChangeAspect="1"/>
          </xdr:cNvPicPr>
        </xdr:nvPicPr>
        <xdr:blipFill>
          <a:blip xmlns:r="http://schemas.openxmlformats.org/officeDocument/2006/relationships" r:embed="rId1"/>
          <a:stretch>
            <a:fillRect/>
          </a:stretch>
        </xdr:blipFill>
        <xdr:spPr>
          <a:xfrm>
            <a:off x="9226312" y="296130"/>
            <a:ext cx="3943367" cy="594384"/>
          </a:xfrm>
          <a:prstGeom prst="rect">
            <a:avLst/>
          </a:prstGeom>
        </xdr:spPr>
      </xdr:pic>
      <xdr:pic>
        <xdr:nvPicPr>
          <xdr:cNvPr id="5" name="Picture 4" descr="CCCM sdc-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9</xdr:col>
      <xdr:colOff>5482</xdr:colOff>
      <xdr:row>0</xdr:row>
      <xdr:rowOff>16402</xdr:rowOff>
    </xdr:from>
    <xdr:to>
      <xdr:col>10</xdr:col>
      <xdr:colOff>267607</xdr:colOff>
      <xdr:row>0</xdr:row>
      <xdr:rowOff>376991</xdr:rowOff>
    </xdr:to>
    <xdr:sp macro="" textlink="">
      <xdr:nvSpPr>
        <xdr:cNvPr id="12" name="Rounded Rectangle 11">
          <a:hlinkClick xmlns:r="http://schemas.openxmlformats.org/officeDocument/2006/relationships" r:id="rId3"/>
        </xdr:cNvPr>
        <xdr:cNvSpPr/>
      </xdr:nvSpPr>
      <xdr:spPr>
        <a:xfrm>
          <a:off x="8577982" y="16402"/>
          <a:ext cx="1548000" cy="360589"/>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CCCM</a:t>
          </a:r>
          <a:r>
            <a:rPr lang="en-US" sz="1100" b="1" baseline="0"/>
            <a:t> Dashboard</a:t>
          </a:r>
          <a:endParaRPr lang="en-US" sz="1100" b="1"/>
        </a:p>
      </xdr:txBody>
    </xdr:sp>
    <xdr:clientData/>
  </xdr:twoCellAnchor>
  <xdr:twoCellAnchor>
    <xdr:from>
      <xdr:col>0</xdr:col>
      <xdr:colOff>47626</xdr:colOff>
      <xdr:row>0</xdr:row>
      <xdr:rowOff>33262</xdr:rowOff>
    </xdr:from>
    <xdr:to>
      <xdr:col>5</xdr:col>
      <xdr:colOff>35907</xdr:colOff>
      <xdr:row>0</xdr:row>
      <xdr:rowOff>393851</xdr:rowOff>
    </xdr:to>
    <xdr:sp macro="" textlink="">
      <xdr:nvSpPr>
        <xdr:cNvPr id="13" name="Rounded Rectangle 12">
          <a:hlinkClick xmlns:r="http://schemas.openxmlformats.org/officeDocument/2006/relationships" r:id="rId4"/>
        </xdr:cNvPr>
        <xdr:cNvSpPr/>
      </xdr:nvSpPr>
      <xdr:spPr>
        <a:xfrm>
          <a:off x="47626" y="33262"/>
          <a:ext cx="1548000" cy="360589"/>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5</xdr:col>
      <xdr:colOff>346793</xdr:colOff>
      <xdr:row>0</xdr:row>
      <xdr:rowOff>28310</xdr:rowOff>
    </xdr:from>
    <xdr:to>
      <xdr:col>6</xdr:col>
      <xdr:colOff>1047747</xdr:colOff>
      <xdr:row>0</xdr:row>
      <xdr:rowOff>388899</xdr:rowOff>
    </xdr:to>
    <xdr:sp macro="" textlink="">
      <xdr:nvSpPr>
        <xdr:cNvPr id="14" name="Rounded Rectangle 13">
          <a:hlinkClick xmlns:r="http://schemas.openxmlformats.org/officeDocument/2006/relationships" r:id="rId5"/>
        </xdr:cNvPr>
        <xdr:cNvSpPr/>
      </xdr:nvSpPr>
      <xdr:spPr>
        <a:xfrm>
          <a:off x="2001762" y="28310"/>
          <a:ext cx="1986829" cy="360589"/>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List</a:t>
          </a:r>
        </a:p>
      </xdr:txBody>
    </xdr:sp>
    <xdr:clientData/>
  </xdr:twoCellAnchor>
  <xdr:twoCellAnchor>
    <xdr:from>
      <xdr:col>7</xdr:col>
      <xdr:colOff>71438</xdr:colOff>
      <xdr:row>0</xdr:row>
      <xdr:rowOff>28309</xdr:rowOff>
    </xdr:from>
    <xdr:to>
      <xdr:col>7</xdr:col>
      <xdr:colOff>1619438</xdr:colOff>
      <xdr:row>0</xdr:row>
      <xdr:rowOff>388898</xdr:rowOff>
    </xdr:to>
    <xdr:sp macro="" textlink="">
      <xdr:nvSpPr>
        <xdr:cNvPr id="15" name="Rounded Rectangle 14">
          <a:hlinkClick xmlns:r="http://schemas.openxmlformats.org/officeDocument/2006/relationships" r:id="rId6"/>
        </xdr:cNvPr>
        <xdr:cNvSpPr/>
      </xdr:nvSpPr>
      <xdr:spPr>
        <a:xfrm>
          <a:off x="4298157" y="28309"/>
          <a:ext cx="1548000" cy="360589"/>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List - Printable</a:t>
          </a:r>
        </a:p>
      </xdr:txBody>
    </xdr:sp>
    <xdr:clientData/>
  </xdr:twoCellAnchor>
  <xdr:twoCellAnchor>
    <xdr:from>
      <xdr:col>7</xdr:col>
      <xdr:colOff>1993913</xdr:colOff>
      <xdr:row>0</xdr:row>
      <xdr:rowOff>28308</xdr:rowOff>
    </xdr:from>
    <xdr:to>
      <xdr:col>8</xdr:col>
      <xdr:colOff>869156</xdr:colOff>
      <xdr:row>0</xdr:row>
      <xdr:rowOff>388897</xdr:rowOff>
    </xdr:to>
    <xdr:sp macro="" textlink="">
      <xdr:nvSpPr>
        <xdr:cNvPr id="16" name="Rounded Rectangle 15">
          <a:hlinkClick xmlns:r="http://schemas.openxmlformats.org/officeDocument/2006/relationships" r:id="rId7"/>
        </xdr:cNvPr>
        <xdr:cNvSpPr/>
      </xdr:nvSpPr>
      <xdr:spPr>
        <a:xfrm>
          <a:off x="6220632" y="28308"/>
          <a:ext cx="1935149" cy="360589"/>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Analysis</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4</xdr:col>
      <xdr:colOff>133071</xdr:colOff>
      <xdr:row>5</xdr:row>
      <xdr:rowOff>52667</xdr:rowOff>
    </xdr:from>
    <xdr:to>
      <xdr:col>10</xdr:col>
      <xdr:colOff>487176</xdr:colOff>
      <xdr:row>42</xdr:row>
      <xdr:rowOff>78441</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127000</xdr:colOff>
      <xdr:row>1</xdr:row>
      <xdr:rowOff>412750</xdr:rowOff>
    </xdr:from>
    <xdr:to>
      <xdr:col>10</xdr:col>
      <xdr:colOff>714375</xdr:colOff>
      <xdr:row>2</xdr:row>
      <xdr:rowOff>31750</xdr:rowOff>
    </xdr:to>
    <xdr:grpSp>
      <xdr:nvGrpSpPr>
        <xdr:cNvPr id="7" name="Group 6"/>
        <xdr:cNvGrpSpPr/>
      </xdr:nvGrpSpPr>
      <xdr:grpSpPr>
        <a:xfrm>
          <a:off x="4183529" y="872191"/>
          <a:ext cx="4757084" cy="425824"/>
          <a:chOff x="6500812" y="317500"/>
          <a:chExt cx="6186806" cy="575469"/>
        </a:xfrm>
      </xdr:grpSpPr>
      <xdr:pic>
        <xdr:nvPicPr>
          <xdr:cNvPr id="8" name="Picture 7"/>
          <xdr:cNvPicPr>
            <a:picLocks noChangeAspect="1"/>
          </xdr:cNvPicPr>
        </xdr:nvPicPr>
        <xdr:blipFill>
          <a:blip xmlns:r="http://schemas.openxmlformats.org/officeDocument/2006/relationships" r:embed="rId2"/>
          <a:stretch>
            <a:fillRect/>
          </a:stretch>
        </xdr:blipFill>
        <xdr:spPr>
          <a:xfrm>
            <a:off x="8886031" y="317500"/>
            <a:ext cx="3801587" cy="573015"/>
          </a:xfrm>
          <a:prstGeom prst="rect">
            <a:avLst/>
          </a:prstGeom>
        </xdr:spPr>
      </xdr:pic>
      <xdr:pic>
        <xdr:nvPicPr>
          <xdr:cNvPr id="9" name="Picture 8" descr="CCCM sdc-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8</xdr:col>
      <xdr:colOff>285145</xdr:colOff>
      <xdr:row>0</xdr:row>
      <xdr:rowOff>21166</xdr:rowOff>
    </xdr:from>
    <xdr:to>
      <xdr:col>10</xdr:col>
      <xdr:colOff>491657</xdr:colOff>
      <xdr:row>0</xdr:row>
      <xdr:rowOff>381755</xdr:rowOff>
    </xdr:to>
    <xdr:sp macro="" textlink="">
      <xdr:nvSpPr>
        <xdr:cNvPr id="10" name="Rounded Rectangle 9">
          <a:hlinkClick xmlns:r="http://schemas.openxmlformats.org/officeDocument/2006/relationships" r:id="rId4"/>
        </xdr:cNvPr>
        <xdr:cNvSpPr/>
      </xdr:nvSpPr>
      <xdr:spPr>
        <a:xfrm>
          <a:off x="7000270" y="21166"/>
          <a:ext cx="1444762" cy="360589"/>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CCCM</a:t>
          </a:r>
          <a:r>
            <a:rPr lang="en-US" sz="1100" b="1" baseline="0"/>
            <a:t> Dashboard</a:t>
          </a:r>
          <a:endParaRPr lang="en-US" sz="1100" b="1"/>
        </a:p>
      </xdr:txBody>
    </xdr:sp>
    <xdr:clientData/>
  </xdr:twoCellAnchor>
  <xdr:twoCellAnchor>
    <xdr:from>
      <xdr:col>0</xdr:col>
      <xdr:colOff>0</xdr:colOff>
      <xdr:row>0</xdr:row>
      <xdr:rowOff>33262</xdr:rowOff>
    </xdr:from>
    <xdr:to>
      <xdr:col>1</xdr:col>
      <xdr:colOff>499406</xdr:colOff>
      <xdr:row>0</xdr:row>
      <xdr:rowOff>393851</xdr:rowOff>
    </xdr:to>
    <xdr:sp macro="" textlink="">
      <xdr:nvSpPr>
        <xdr:cNvPr id="11" name="Rounded Rectangle 10">
          <a:hlinkClick xmlns:r="http://schemas.openxmlformats.org/officeDocument/2006/relationships" r:id="rId5"/>
        </xdr:cNvPr>
        <xdr:cNvSpPr/>
      </xdr:nvSpPr>
      <xdr:spPr>
        <a:xfrm>
          <a:off x="0" y="33262"/>
          <a:ext cx="1440000" cy="360589"/>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1</xdr:col>
      <xdr:colOff>777535</xdr:colOff>
      <xdr:row>0</xdr:row>
      <xdr:rowOff>30691</xdr:rowOff>
    </xdr:from>
    <xdr:to>
      <xdr:col>3</xdr:col>
      <xdr:colOff>707823</xdr:colOff>
      <xdr:row>0</xdr:row>
      <xdr:rowOff>391280</xdr:rowOff>
    </xdr:to>
    <xdr:sp macro="" textlink="">
      <xdr:nvSpPr>
        <xdr:cNvPr id="12" name="Rounded Rectangle 11">
          <a:hlinkClick xmlns:r="http://schemas.openxmlformats.org/officeDocument/2006/relationships" r:id="rId6"/>
        </xdr:cNvPr>
        <xdr:cNvSpPr/>
      </xdr:nvSpPr>
      <xdr:spPr>
        <a:xfrm>
          <a:off x="1749085" y="30691"/>
          <a:ext cx="1740038" cy="360589"/>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List</a:t>
          </a:r>
        </a:p>
      </xdr:txBody>
    </xdr:sp>
    <xdr:clientData/>
  </xdr:twoCellAnchor>
  <xdr:twoCellAnchor>
    <xdr:from>
      <xdr:col>4</xdr:col>
      <xdr:colOff>47625</xdr:colOff>
      <xdr:row>0</xdr:row>
      <xdr:rowOff>11641</xdr:rowOff>
    </xdr:from>
    <xdr:to>
      <xdr:col>6</xdr:col>
      <xdr:colOff>35915</xdr:colOff>
      <xdr:row>0</xdr:row>
      <xdr:rowOff>372230</xdr:rowOff>
    </xdr:to>
    <xdr:sp macro="" textlink="">
      <xdr:nvSpPr>
        <xdr:cNvPr id="13" name="Rounded Rectangle 12">
          <a:hlinkClick xmlns:r="http://schemas.openxmlformats.org/officeDocument/2006/relationships" r:id="rId7"/>
        </xdr:cNvPr>
        <xdr:cNvSpPr/>
      </xdr:nvSpPr>
      <xdr:spPr>
        <a:xfrm>
          <a:off x="3724275" y="11641"/>
          <a:ext cx="1207490" cy="360589"/>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l"/>
          <a:r>
            <a:rPr lang="en-US" sz="1100" b="1"/>
            <a:t>Camp List - Printable</a:t>
          </a:r>
        </a:p>
      </xdr:txBody>
    </xdr:sp>
    <xdr:clientData/>
  </xdr:twoCellAnchor>
  <xdr:twoCellAnchor>
    <xdr:from>
      <xdr:col>6</xdr:col>
      <xdr:colOff>229914</xdr:colOff>
      <xdr:row>0</xdr:row>
      <xdr:rowOff>21166</xdr:rowOff>
    </xdr:from>
    <xdr:to>
      <xdr:col>8</xdr:col>
      <xdr:colOff>176870</xdr:colOff>
      <xdr:row>0</xdr:row>
      <xdr:rowOff>381755</xdr:rowOff>
    </xdr:to>
    <xdr:sp macro="" textlink="">
      <xdr:nvSpPr>
        <xdr:cNvPr id="14" name="Rounded Rectangle 13">
          <a:hlinkClick xmlns:r="http://schemas.openxmlformats.org/officeDocument/2006/relationships" r:id="rId8"/>
        </xdr:cNvPr>
        <xdr:cNvSpPr/>
      </xdr:nvSpPr>
      <xdr:spPr>
        <a:xfrm>
          <a:off x="5449614" y="21166"/>
          <a:ext cx="1442381" cy="360589"/>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Analysis</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3</xdr:col>
      <xdr:colOff>1009650</xdr:colOff>
      <xdr:row>1</xdr:row>
      <xdr:rowOff>333376</xdr:rowOff>
    </xdr:from>
    <xdr:to>
      <xdr:col>7</xdr:col>
      <xdr:colOff>428625</xdr:colOff>
      <xdr:row>2</xdr:row>
      <xdr:rowOff>295275</xdr:rowOff>
    </xdr:to>
    <xdr:grpSp>
      <xdr:nvGrpSpPr>
        <xdr:cNvPr id="2" name="Group 1"/>
        <xdr:cNvGrpSpPr/>
      </xdr:nvGrpSpPr>
      <xdr:grpSpPr>
        <a:xfrm>
          <a:off x="5740400" y="523876"/>
          <a:ext cx="3228975" cy="321732"/>
          <a:chOff x="6500812" y="317500"/>
          <a:chExt cx="6186806" cy="575469"/>
        </a:xfrm>
      </xdr:grpSpPr>
      <xdr:pic>
        <xdr:nvPicPr>
          <xdr:cNvPr id="3" name="Picture 2"/>
          <xdr:cNvPicPr>
            <a:picLocks noChangeAspect="1"/>
          </xdr:cNvPicPr>
        </xdr:nvPicPr>
        <xdr:blipFill>
          <a:blip xmlns:r="http://schemas.openxmlformats.org/officeDocument/2006/relationships" r:embed="rId1"/>
          <a:stretch>
            <a:fillRect/>
          </a:stretch>
        </xdr:blipFill>
        <xdr:spPr>
          <a:xfrm>
            <a:off x="8886031" y="317500"/>
            <a:ext cx="3801587" cy="573015"/>
          </a:xfrm>
          <a:prstGeom prst="rect">
            <a:avLst/>
          </a:prstGeom>
        </xdr:spPr>
      </xdr:pic>
      <xdr:pic>
        <xdr:nvPicPr>
          <xdr:cNvPr id="4" name="Picture 3" descr="CCCM sdc-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4</xdr:col>
      <xdr:colOff>599470</xdr:colOff>
      <xdr:row>0</xdr:row>
      <xdr:rowOff>21166</xdr:rowOff>
    </xdr:from>
    <xdr:to>
      <xdr:col>6</xdr:col>
      <xdr:colOff>382120</xdr:colOff>
      <xdr:row>1</xdr:row>
      <xdr:rowOff>755</xdr:rowOff>
    </xdr:to>
    <xdr:sp macro="" textlink="">
      <xdr:nvSpPr>
        <xdr:cNvPr id="5" name="Rounded Rectangle 4">
          <a:hlinkClick xmlns:r="http://schemas.openxmlformats.org/officeDocument/2006/relationships" r:id="rId3"/>
        </xdr:cNvPr>
        <xdr:cNvSpPr/>
      </xdr:nvSpPr>
      <xdr:spPr>
        <a:xfrm>
          <a:off x="6609745" y="21166"/>
          <a:ext cx="1582875" cy="170089"/>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CCCM</a:t>
          </a:r>
          <a:r>
            <a:rPr lang="en-US" sz="1100" b="1" baseline="0"/>
            <a:t> Dashboard</a:t>
          </a:r>
          <a:endParaRPr lang="en-US" sz="1100" b="1"/>
        </a:p>
      </xdr:txBody>
    </xdr:sp>
    <xdr:clientData/>
  </xdr:twoCellAnchor>
  <xdr:twoCellAnchor>
    <xdr:from>
      <xdr:col>0</xdr:col>
      <xdr:colOff>0</xdr:colOff>
      <xdr:row>0</xdr:row>
      <xdr:rowOff>33262</xdr:rowOff>
    </xdr:from>
    <xdr:to>
      <xdr:col>1</xdr:col>
      <xdr:colOff>687525</xdr:colOff>
      <xdr:row>0</xdr:row>
      <xdr:rowOff>393851</xdr:rowOff>
    </xdr:to>
    <xdr:sp macro="" textlink="">
      <xdr:nvSpPr>
        <xdr:cNvPr id="6" name="Rounded Rectangle 5">
          <a:hlinkClick xmlns:r="http://schemas.openxmlformats.org/officeDocument/2006/relationships" r:id="rId4"/>
        </xdr:cNvPr>
        <xdr:cNvSpPr/>
      </xdr:nvSpPr>
      <xdr:spPr>
        <a:xfrm>
          <a:off x="0" y="33262"/>
          <a:ext cx="1440000" cy="360589"/>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1</xdr:col>
      <xdr:colOff>822779</xdr:colOff>
      <xdr:row>0</xdr:row>
      <xdr:rowOff>21166</xdr:rowOff>
    </xdr:from>
    <xdr:to>
      <xdr:col>2</xdr:col>
      <xdr:colOff>1524000</xdr:colOff>
      <xdr:row>1</xdr:row>
      <xdr:rowOff>9525</xdr:rowOff>
    </xdr:to>
    <xdr:sp macro="" textlink="">
      <xdr:nvSpPr>
        <xdr:cNvPr id="7" name="Rounded Rectangle 6">
          <a:hlinkClick xmlns:r="http://schemas.openxmlformats.org/officeDocument/2006/relationships" r:id="rId5"/>
        </xdr:cNvPr>
        <xdr:cNvSpPr/>
      </xdr:nvSpPr>
      <xdr:spPr>
        <a:xfrm>
          <a:off x="1575254" y="21166"/>
          <a:ext cx="1548946" cy="178859"/>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List</a:t>
          </a:r>
        </a:p>
      </xdr:txBody>
    </xdr:sp>
    <xdr:clientData/>
  </xdr:twoCellAnchor>
  <xdr:twoCellAnchor>
    <xdr:from>
      <xdr:col>2</xdr:col>
      <xdr:colOff>1700843</xdr:colOff>
      <xdr:row>0</xdr:row>
      <xdr:rowOff>21166</xdr:rowOff>
    </xdr:from>
    <xdr:to>
      <xdr:col>3</xdr:col>
      <xdr:colOff>7118</xdr:colOff>
      <xdr:row>1</xdr:row>
      <xdr:rowOff>755</xdr:rowOff>
    </xdr:to>
    <xdr:sp macro="" textlink="">
      <xdr:nvSpPr>
        <xdr:cNvPr id="8" name="Rounded Rectangle 7">
          <a:hlinkClick xmlns:r="http://schemas.openxmlformats.org/officeDocument/2006/relationships" r:id="rId6"/>
        </xdr:cNvPr>
        <xdr:cNvSpPr/>
      </xdr:nvSpPr>
      <xdr:spPr>
        <a:xfrm>
          <a:off x="3301043" y="21166"/>
          <a:ext cx="1440000" cy="170089"/>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List - Printable</a:t>
          </a:r>
        </a:p>
      </xdr:txBody>
    </xdr:sp>
    <xdr:clientData/>
  </xdr:twoCellAnchor>
  <xdr:twoCellAnchor>
    <xdr:from>
      <xdr:col>3</xdr:col>
      <xdr:colOff>178607</xdr:colOff>
      <xdr:row>0</xdr:row>
      <xdr:rowOff>21166</xdr:rowOff>
    </xdr:from>
    <xdr:to>
      <xdr:col>4</xdr:col>
      <xdr:colOff>408932</xdr:colOff>
      <xdr:row>1</xdr:row>
      <xdr:rowOff>755</xdr:rowOff>
    </xdr:to>
    <xdr:sp macro="" textlink="">
      <xdr:nvSpPr>
        <xdr:cNvPr id="9" name="Rounded Rectangle 8">
          <a:hlinkClick xmlns:r="http://schemas.openxmlformats.org/officeDocument/2006/relationships" r:id="rId7"/>
        </xdr:cNvPr>
        <xdr:cNvSpPr/>
      </xdr:nvSpPr>
      <xdr:spPr>
        <a:xfrm>
          <a:off x="4912532" y="21166"/>
          <a:ext cx="1506675" cy="170089"/>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Analysis</a:t>
          </a:r>
        </a:p>
      </xdr:txBody>
    </xdr:sp>
    <xdr:clientData/>
  </xdr:twoCellAnchor>
</xdr:wsDr>
</file>

<file path=xl/drawings/drawing5.xml><?xml version="1.0" encoding="utf-8"?>
<xdr:wsDr xmlns:xdr="http://schemas.openxmlformats.org/drawingml/2006/spreadsheetDrawing" xmlns:a="http://schemas.openxmlformats.org/drawingml/2006/main">
  <xdr:oneCellAnchor>
    <xdr:from>
      <xdr:col>18</xdr:col>
      <xdr:colOff>504825</xdr:colOff>
      <xdr:row>10</xdr:row>
      <xdr:rowOff>0</xdr:rowOff>
    </xdr:from>
    <xdr:ext cx="184731" cy="264560"/>
    <xdr:sp macro="" textlink="">
      <xdr:nvSpPr>
        <xdr:cNvPr id="7" name="TextBox 6"/>
        <xdr:cNvSpPr txBox="1"/>
      </xdr:nvSpPr>
      <xdr:spPr>
        <a:xfrm>
          <a:off x="3914775" y="203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twoCellAnchor>
    <xdr:from>
      <xdr:col>1</xdr:col>
      <xdr:colOff>104775</xdr:colOff>
      <xdr:row>5</xdr:row>
      <xdr:rowOff>41282</xdr:rowOff>
    </xdr:from>
    <xdr:to>
      <xdr:col>9</xdr:col>
      <xdr:colOff>85724</xdr:colOff>
      <xdr:row>10</xdr:row>
      <xdr:rowOff>9525</xdr:rowOff>
    </xdr:to>
    <xdr:grpSp>
      <xdr:nvGrpSpPr>
        <xdr:cNvPr id="2" name="Group 1"/>
        <xdr:cNvGrpSpPr/>
      </xdr:nvGrpSpPr>
      <xdr:grpSpPr>
        <a:xfrm>
          <a:off x="231775" y="1268949"/>
          <a:ext cx="5092699" cy="1037159"/>
          <a:chOff x="15065375" y="1682751"/>
          <a:chExt cx="3508375" cy="896015"/>
        </a:xfrm>
      </xdr:grpSpPr>
      <xdr:grpSp>
        <xdr:nvGrpSpPr>
          <xdr:cNvPr id="3" name="Group 2"/>
          <xdr:cNvGrpSpPr/>
        </xdr:nvGrpSpPr>
        <xdr:grpSpPr>
          <a:xfrm>
            <a:off x="15065376" y="2147039"/>
            <a:ext cx="3508374" cy="431727"/>
            <a:chOff x="3977473" y="11269983"/>
            <a:chExt cx="1965263" cy="249072"/>
          </a:xfrm>
          <a:effectLst>
            <a:outerShdw blurRad="63500" sx="102000" sy="102000" algn="ctr" rotWithShape="0">
              <a:prstClr val="black">
                <a:alpha val="40000"/>
              </a:prstClr>
            </a:outerShdw>
          </a:effectLst>
        </xdr:grpSpPr>
        <xdr:sp macro="" textlink="">
          <xdr:nvSpPr>
            <xdr:cNvPr id="4" name="Rectangle 3"/>
            <xdr:cNvSpPr/>
          </xdr:nvSpPr>
          <xdr:spPr>
            <a:xfrm>
              <a:off x="3988722" y="11300453"/>
              <a:ext cx="1348797" cy="182881"/>
            </a:xfrm>
            <a:prstGeom prst="rect">
              <a:avLst/>
            </a:prstGeom>
            <a:solidFill>
              <a:schemeClr val="bg1">
                <a:alpha val="85000"/>
              </a:schemeClr>
            </a:solidFill>
            <a:ln>
              <a:no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endParaRPr lang="en-GB" sz="2400">
                <a:latin typeface="+mn-lt"/>
              </a:endParaRPr>
            </a:p>
          </xdr:txBody>
        </xdr:sp>
        <xdr:sp macro="" textlink="">
          <xdr:nvSpPr>
            <xdr:cNvPr id="5" name="TextBox 4"/>
            <xdr:cNvSpPr txBox="1"/>
          </xdr:nvSpPr>
          <xdr:spPr>
            <a:xfrm>
              <a:off x="3977473" y="11269983"/>
              <a:ext cx="1202466" cy="249072"/>
            </a:xfrm>
            <a:prstGeom prst="rect">
              <a:avLst/>
            </a:prstGeom>
            <a:noFill/>
            <a:ln w="9525" cmpd="sng">
              <a:noFill/>
            </a:ln>
            <a:effectLst>
              <a:glow rad="25400">
                <a:schemeClr val="bg1"/>
              </a:glow>
            </a:effectLst>
          </xdr:spPr>
          <xdr:style>
            <a:lnRef idx="0">
              <a:scrgbClr r="0" g="0" b="0"/>
            </a:lnRef>
            <a:fillRef idx="0">
              <a:scrgbClr r="0" g="0" b="0"/>
            </a:fillRef>
            <a:effectRef idx="0">
              <a:scrgbClr r="0" g="0" b="0"/>
            </a:effectRef>
            <a:fontRef idx="minor">
              <a:schemeClr val="dk1"/>
            </a:fontRef>
          </xdr:style>
          <xdr:txBody>
            <a:bodyPr vertOverflow="clip" horzOverflow="clip" wrap="square" lIns="180000" tIns="144000" rtlCol="0" anchor="t"/>
            <a:lstStyle/>
            <a:p>
              <a:r>
                <a:rPr lang="en-GB" sz="1100" b="1">
                  <a:solidFill>
                    <a:schemeClr val="dk1"/>
                  </a:solidFill>
                  <a:effectLst/>
                  <a:latin typeface="+mn-lt"/>
                  <a:ea typeface="+mn-ea"/>
                  <a:cs typeface="Calibri" pitchFamily="34" charset="0"/>
                </a:rPr>
                <a:t>Estimated</a:t>
              </a:r>
              <a:r>
                <a:rPr lang="en-GB" sz="1100" b="1" baseline="0">
                  <a:solidFill>
                    <a:schemeClr val="dk1"/>
                  </a:solidFill>
                  <a:effectLst/>
                  <a:latin typeface="+mn-lt"/>
                  <a:ea typeface="+mn-ea"/>
                  <a:cs typeface="Calibri" pitchFamily="34" charset="0"/>
                </a:rPr>
                <a:t> number of </a:t>
              </a:r>
              <a:r>
                <a:rPr lang="en-GB" sz="1100" b="1">
                  <a:solidFill>
                    <a:schemeClr val="dk1"/>
                  </a:solidFill>
                  <a:effectLst/>
                  <a:latin typeface="+mn-lt"/>
                  <a:ea typeface="+mn-ea"/>
                  <a:cs typeface="Calibri" pitchFamily="34" charset="0"/>
                </a:rPr>
                <a:t>IDPs</a:t>
              </a:r>
              <a:r>
                <a:rPr lang="en-GB" sz="1100" b="1" baseline="0">
                  <a:solidFill>
                    <a:schemeClr val="dk1"/>
                  </a:solidFill>
                  <a:effectLst/>
                  <a:latin typeface="+mn-lt"/>
                  <a:ea typeface="+mn-ea"/>
                  <a:cs typeface="Calibri" pitchFamily="34" charset="0"/>
                </a:rPr>
                <a:t> </a:t>
              </a:r>
              <a:endParaRPr lang="en-GB" sz="1100" b="1">
                <a:effectLst/>
                <a:latin typeface="+mn-lt"/>
                <a:cs typeface="Calibri" pitchFamily="34" charset="0"/>
              </a:endParaRPr>
            </a:p>
          </xdr:txBody>
        </xdr:sp>
        <xdr:sp macro="" textlink="$E$33">
          <xdr:nvSpPr>
            <xdr:cNvPr id="6" name="Rectangle 5"/>
            <xdr:cNvSpPr/>
          </xdr:nvSpPr>
          <xdr:spPr>
            <a:xfrm>
              <a:off x="5158544" y="11296634"/>
              <a:ext cx="784192" cy="190899"/>
            </a:xfrm>
            <a:prstGeom prst="rect">
              <a:avLst/>
            </a:prstGeom>
            <a:solidFill>
              <a:schemeClr val="bg1">
                <a:lumMod val="50000"/>
              </a:schemeClr>
            </a:solidFill>
            <a:ln w="6350">
              <a:solidFill>
                <a:schemeClr val="bg1">
                  <a:lumMod val="8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rtlCol="0" anchor="t"/>
            <a:lstStyle/>
            <a:p>
              <a:pPr algn="ctr"/>
              <a:fld id="{6EB59508-310A-4848-8A83-84EE70A9C7EB}" type="TxLink">
                <a:rPr lang="en-US" sz="1800" b="1">
                  <a:latin typeface="+mn-lt"/>
                </a:rPr>
                <a:pPr algn="ctr"/>
                <a:t> 94,500 </a:t>
              </a:fld>
              <a:endParaRPr lang="en-US" sz="1800" b="1">
                <a:latin typeface="+mn-lt"/>
              </a:endParaRPr>
            </a:p>
          </xdr:txBody>
        </xdr:sp>
      </xdr:grpSp>
      <xdr:grpSp>
        <xdr:nvGrpSpPr>
          <xdr:cNvPr id="15" name="Group 14"/>
          <xdr:cNvGrpSpPr/>
        </xdr:nvGrpSpPr>
        <xdr:grpSpPr>
          <a:xfrm>
            <a:off x="15065375" y="1682751"/>
            <a:ext cx="3499842" cy="476259"/>
            <a:chOff x="3977473" y="11269985"/>
            <a:chExt cx="1978388" cy="234969"/>
          </a:xfrm>
          <a:effectLst>
            <a:outerShdw blurRad="63500" sx="102000" sy="102000" algn="ctr" rotWithShape="0">
              <a:prstClr val="black">
                <a:alpha val="40000"/>
              </a:prstClr>
            </a:outerShdw>
          </a:effectLst>
        </xdr:grpSpPr>
        <xdr:sp macro="" textlink="$F$33">
          <xdr:nvSpPr>
            <xdr:cNvPr id="16" name="Rectangle 15"/>
            <xdr:cNvSpPr/>
          </xdr:nvSpPr>
          <xdr:spPr>
            <a:xfrm>
              <a:off x="5174156" y="11296623"/>
              <a:ext cx="781705" cy="190899"/>
            </a:xfrm>
            <a:prstGeom prst="rect">
              <a:avLst/>
            </a:prstGeom>
            <a:solidFill>
              <a:schemeClr val="bg1">
                <a:lumMod val="50000"/>
              </a:schemeClr>
            </a:solidFill>
            <a:ln w="6350">
              <a:solidFill>
                <a:schemeClr val="bg1">
                  <a:lumMod val="8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rtlCol="0" anchor="t"/>
            <a:lstStyle/>
            <a:p>
              <a:pPr algn="ctr"/>
              <a:fld id="{90C0CD4D-F895-4D26-8AF1-0F097E483D17}" type="TxLink">
                <a:rPr lang="en-US" sz="1800" b="1">
                  <a:latin typeface="+mn-lt"/>
                </a:rPr>
                <a:pPr algn="ctr"/>
                <a:t> 163 </a:t>
              </a:fld>
              <a:endParaRPr lang="en-US" sz="1800" b="1">
                <a:latin typeface="+mn-lt"/>
              </a:endParaRPr>
            </a:p>
          </xdr:txBody>
        </xdr:sp>
        <xdr:sp macro="" textlink="">
          <xdr:nvSpPr>
            <xdr:cNvPr id="17" name="Rectangle 16"/>
            <xdr:cNvSpPr/>
          </xdr:nvSpPr>
          <xdr:spPr>
            <a:xfrm>
              <a:off x="3988722" y="11300449"/>
              <a:ext cx="1179821" cy="182881"/>
            </a:xfrm>
            <a:prstGeom prst="rect">
              <a:avLst/>
            </a:prstGeom>
            <a:solidFill>
              <a:schemeClr val="bg1">
                <a:alpha val="85000"/>
              </a:schemeClr>
            </a:solidFill>
            <a:ln>
              <a:no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endParaRPr lang="en-GB" sz="2400">
                <a:latin typeface="+mn-lt"/>
              </a:endParaRPr>
            </a:p>
          </xdr:txBody>
        </xdr:sp>
        <xdr:sp macro="" textlink="">
          <xdr:nvSpPr>
            <xdr:cNvPr id="18" name="TextBox 17"/>
            <xdr:cNvSpPr txBox="1"/>
          </xdr:nvSpPr>
          <xdr:spPr>
            <a:xfrm>
              <a:off x="3977473" y="11269985"/>
              <a:ext cx="1208678" cy="234969"/>
            </a:xfrm>
            <a:prstGeom prst="rect">
              <a:avLst/>
            </a:prstGeom>
            <a:noFill/>
            <a:ln w="9525" cmpd="sng">
              <a:noFill/>
            </a:ln>
            <a:effectLst>
              <a:glow rad="25400">
                <a:schemeClr val="bg1"/>
              </a:glow>
            </a:effectLst>
          </xdr:spPr>
          <xdr:style>
            <a:lnRef idx="0">
              <a:scrgbClr r="0" g="0" b="0"/>
            </a:lnRef>
            <a:fillRef idx="0">
              <a:scrgbClr r="0" g="0" b="0"/>
            </a:fillRef>
            <a:effectRef idx="0">
              <a:scrgbClr r="0" g="0" b="0"/>
            </a:effectRef>
            <a:fontRef idx="minor">
              <a:schemeClr val="dk1"/>
            </a:fontRef>
          </xdr:style>
          <xdr:txBody>
            <a:bodyPr vertOverflow="clip" horzOverflow="clip" wrap="square" lIns="180000" tIns="144000" rtlCol="0" anchor="t"/>
            <a:lstStyle/>
            <a:p>
              <a:r>
                <a:rPr lang="en-GB" sz="1100" b="1">
                  <a:solidFill>
                    <a:schemeClr val="dk1"/>
                  </a:solidFill>
                  <a:effectLst/>
                  <a:latin typeface="+mn-lt"/>
                  <a:ea typeface="+mn-ea"/>
                  <a:cs typeface="Calibri" pitchFamily="34" charset="0"/>
                </a:rPr>
                <a:t># of IDP</a:t>
              </a:r>
              <a:r>
                <a:rPr lang="en-GB" sz="1100" b="1" baseline="0">
                  <a:solidFill>
                    <a:schemeClr val="dk1"/>
                  </a:solidFill>
                  <a:effectLst/>
                  <a:latin typeface="+mn-lt"/>
                  <a:ea typeface="+mn-ea"/>
                  <a:cs typeface="Calibri" pitchFamily="34" charset="0"/>
                </a:rPr>
                <a:t> Locations</a:t>
              </a:r>
              <a:endParaRPr lang="en-GB" sz="1100" b="1">
                <a:solidFill>
                  <a:schemeClr val="dk1"/>
                </a:solidFill>
                <a:effectLst/>
                <a:latin typeface="+mn-lt"/>
                <a:ea typeface="+mn-ea"/>
                <a:cs typeface="Calibri" pitchFamily="34" charset="0"/>
              </a:endParaRPr>
            </a:p>
            <a:p>
              <a:r>
                <a:rPr lang="en-GB" sz="1100" b="1">
                  <a:solidFill>
                    <a:schemeClr val="dk1"/>
                  </a:solidFill>
                  <a:effectLst/>
                  <a:latin typeface="+mn-lt"/>
                  <a:ea typeface="+mn-ea"/>
                  <a:cs typeface="Calibri" pitchFamily="34" charset="0"/>
                </a:rPr>
                <a:t>(host families &amp; Camps)</a:t>
              </a:r>
              <a:endParaRPr lang="en-GB" sz="1100" b="1">
                <a:effectLst/>
                <a:latin typeface="+mn-lt"/>
                <a:cs typeface="Calibri" pitchFamily="34" charset="0"/>
              </a:endParaRPr>
            </a:p>
          </xdr:txBody>
        </xdr:sp>
      </xdr:grpSp>
    </xdr:grpSp>
    <xdr:clientData/>
  </xdr:twoCellAnchor>
  <xdr:twoCellAnchor>
    <xdr:from>
      <xdr:col>1</xdr:col>
      <xdr:colOff>106545</xdr:colOff>
      <xdr:row>40</xdr:row>
      <xdr:rowOff>48673</xdr:rowOff>
    </xdr:from>
    <xdr:to>
      <xdr:col>20</xdr:col>
      <xdr:colOff>21168</xdr:colOff>
      <xdr:row>42</xdr:row>
      <xdr:rowOff>76117</xdr:rowOff>
    </xdr:to>
    <xdr:grpSp>
      <xdr:nvGrpSpPr>
        <xdr:cNvPr id="11" name="Group 10"/>
        <xdr:cNvGrpSpPr/>
      </xdr:nvGrpSpPr>
      <xdr:grpSpPr>
        <a:xfrm>
          <a:off x="233545" y="9235006"/>
          <a:ext cx="10826040" cy="440194"/>
          <a:chOff x="3920" y="7462411"/>
          <a:chExt cx="8941594" cy="477310"/>
        </a:xfrm>
      </xdr:grpSpPr>
      <xdr:sp macro="" textlink="">
        <xdr:nvSpPr>
          <xdr:cNvPr id="13" name="Line 2"/>
          <xdr:cNvSpPr>
            <a:spLocks noChangeShapeType="1"/>
          </xdr:cNvSpPr>
        </xdr:nvSpPr>
        <xdr:spPr bwMode="auto">
          <a:xfrm>
            <a:off x="3920" y="7462411"/>
            <a:ext cx="8941594" cy="1"/>
          </a:xfrm>
          <a:prstGeom prst="line">
            <a:avLst/>
          </a:prstGeom>
          <a:noFill/>
          <a:ln w="12700">
            <a:solidFill>
              <a:srgbClr val="808080"/>
            </a:solidFill>
            <a:round/>
            <a:headEnd/>
            <a:tailEnd/>
          </a:ln>
          <a:extLst>
            <a:ext uri="{909E8E84-426E-40DD-AFC4-6F175D3DCCD1}">
              <a14:hiddenFill xmlns:a14="http://schemas.microsoft.com/office/drawing/2010/main">
                <a:noFill/>
              </a14:hiddenFill>
            </a:ext>
          </a:extLst>
        </xdr:spPr>
      </xdr:sp>
      <xdr:grpSp>
        <xdr:nvGrpSpPr>
          <xdr:cNvPr id="19" name="Group 18"/>
          <xdr:cNvGrpSpPr/>
        </xdr:nvGrpSpPr>
        <xdr:grpSpPr>
          <a:xfrm>
            <a:off x="29557" y="7485478"/>
            <a:ext cx="8847152" cy="454243"/>
            <a:chOff x="6097729" y="9161610"/>
            <a:chExt cx="7232549" cy="343954"/>
          </a:xfrm>
        </xdr:grpSpPr>
        <xdr:sp macro="" textlink="">
          <xdr:nvSpPr>
            <xdr:cNvPr id="20" name="TextBox 19"/>
            <xdr:cNvSpPr txBox="1"/>
          </xdr:nvSpPr>
          <xdr:spPr>
            <a:xfrm>
              <a:off x="6097729" y="9168683"/>
              <a:ext cx="4022110" cy="210430"/>
            </a:xfrm>
            <a:prstGeom prst="rect">
              <a:avLst/>
            </a:prstGeom>
            <a:solidFill>
              <a:srgbClr val="FDFDFD">
                <a:alpha val="77000"/>
              </a:srgb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tIns="18000" rtlCol="0" anchor="t"/>
            <a:lstStyle/>
            <a:p>
              <a:pPr marL="0" marR="0" indent="0" defTabSz="914400" eaLnBrk="1" fontAlgn="auto" latinLnBrk="0" hangingPunct="1">
                <a:lnSpc>
                  <a:spcPct val="100000"/>
                </a:lnSpc>
                <a:spcBef>
                  <a:spcPts val="0"/>
                </a:spcBef>
                <a:spcAft>
                  <a:spcPts val="0"/>
                </a:spcAft>
                <a:buClrTx/>
                <a:buSzTx/>
                <a:buFontTx/>
                <a:buNone/>
                <a:tabLst/>
                <a:defRPr/>
              </a:pPr>
              <a:r>
                <a:rPr lang="en-GB" sz="1000" baseline="0">
                  <a:solidFill>
                    <a:schemeClr val="dk1"/>
                  </a:solidFill>
                  <a:effectLst/>
                  <a:latin typeface="Franklin Gothic Book" pitchFamily="34" charset="0"/>
                  <a:ea typeface="+mn-ea"/>
                  <a:cs typeface="+mn-cs"/>
                </a:rPr>
                <a:t>Sources: UNHCR, Myanmar Information Management Unit (MIMU)  &amp; other humanitarian organizations</a:t>
              </a:r>
              <a:endParaRPr lang="en-GB" sz="1000">
                <a:latin typeface="Franklin Gothic Book" pitchFamily="34" charset="0"/>
              </a:endParaRPr>
            </a:p>
          </xdr:txBody>
        </xdr:sp>
        <xdr:sp macro="" textlink="">
          <xdr:nvSpPr>
            <xdr:cNvPr id="21" name="TextBox 20"/>
            <xdr:cNvSpPr txBox="1">
              <a:spLocks/>
            </xdr:cNvSpPr>
          </xdr:nvSpPr>
          <xdr:spPr>
            <a:xfrm>
              <a:off x="10114247" y="9161610"/>
              <a:ext cx="2285845" cy="343954"/>
            </a:xfrm>
            <a:prstGeom prst="rect">
              <a:avLst/>
            </a:prstGeom>
            <a:solidFill>
              <a:srgbClr val="FDFDFD">
                <a:alpha val="92000"/>
              </a:srgb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0" rIns="0" rtlCol="0" anchor="t">
              <a:noAutofit/>
            </a:bodyPr>
            <a:lstStyle/>
            <a:p>
              <a:pPr algn="r"/>
              <a:r>
                <a:rPr lang="en-GB" sz="1000" baseline="0">
                  <a:latin typeface="Franklin Gothic Medium Cond" pitchFamily="34" charset="0"/>
                </a:rPr>
                <a:t>For more information contact the Cluster Coordinator  Edward Benson</a:t>
              </a:r>
              <a:r>
                <a:rPr lang="en-GB" sz="1200" baseline="0">
                  <a:latin typeface="Franklin Gothic Medium Cond" pitchFamily="34" charset="0"/>
                </a:rPr>
                <a:t>:   </a:t>
              </a:r>
              <a:endParaRPr lang="en-GB" sz="1400">
                <a:latin typeface="Franklin Gothic Medium Cond" pitchFamily="34" charset="0"/>
              </a:endParaRPr>
            </a:p>
          </xdr:txBody>
        </xdr:sp>
        <xdr:sp macro="" textlink="">
          <xdr:nvSpPr>
            <xdr:cNvPr id="22" name="TextBox 21"/>
            <xdr:cNvSpPr txBox="1"/>
          </xdr:nvSpPr>
          <xdr:spPr>
            <a:xfrm>
              <a:off x="12478336" y="9257287"/>
              <a:ext cx="851942" cy="172167"/>
            </a:xfrm>
            <a:prstGeom prst="rect">
              <a:avLst/>
            </a:prstGeom>
            <a:solidFill>
              <a:srgbClr val="FDFDFD">
                <a:alpha val="77000"/>
              </a:srgb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25200"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n-GB" sz="1000" b="0" baseline="0">
                  <a:solidFill>
                    <a:srgbClr val="0070C0"/>
                  </a:solidFill>
                  <a:effectLst/>
                  <a:latin typeface="Franklin Gothic Demi" pitchFamily="34" charset="0"/>
                  <a:ea typeface="+mn-ea"/>
                  <a:cs typeface="+mn-cs"/>
                </a:rPr>
                <a:t>benson@unhcr.org</a:t>
              </a:r>
            </a:p>
          </xdr:txBody>
        </xdr:sp>
      </xdr:grpSp>
    </xdr:grpSp>
    <xdr:clientData/>
  </xdr:twoCellAnchor>
  <xdr:twoCellAnchor>
    <xdr:from>
      <xdr:col>9</xdr:col>
      <xdr:colOff>212725</xdr:colOff>
      <xdr:row>5</xdr:row>
      <xdr:rowOff>87313</xdr:rowOff>
    </xdr:from>
    <xdr:to>
      <xdr:col>13</xdr:col>
      <xdr:colOff>19049</xdr:colOff>
      <xdr:row>10</xdr:row>
      <xdr:rowOff>139700</xdr:rowOff>
    </xdr:to>
    <xdr:graphicFrame macro="">
      <xdr:nvGraphicFramePr>
        <xdr:cNvPr id="38" name="Chart 3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380999</xdr:colOff>
      <xdr:row>3</xdr:row>
      <xdr:rowOff>111125</xdr:rowOff>
    </xdr:from>
    <xdr:to>
      <xdr:col>19</xdr:col>
      <xdr:colOff>327024</xdr:colOff>
      <xdr:row>4</xdr:row>
      <xdr:rowOff>120650</xdr:rowOff>
    </xdr:to>
    <xdr:grpSp>
      <xdr:nvGrpSpPr>
        <xdr:cNvPr id="223" name="Group 222"/>
        <xdr:cNvGrpSpPr/>
      </xdr:nvGrpSpPr>
      <xdr:grpSpPr>
        <a:xfrm>
          <a:off x="7186082" y="841375"/>
          <a:ext cx="3703109" cy="337608"/>
          <a:chOff x="6500812" y="317500"/>
          <a:chExt cx="6186806" cy="575469"/>
        </a:xfrm>
      </xdr:grpSpPr>
      <xdr:pic>
        <xdr:nvPicPr>
          <xdr:cNvPr id="224" name="Picture 223"/>
          <xdr:cNvPicPr>
            <a:picLocks noChangeAspect="1"/>
          </xdr:cNvPicPr>
        </xdr:nvPicPr>
        <xdr:blipFill>
          <a:blip xmlns:r="http://schemas.openxmlformats.org/officeDocument/2006/relationships" r:embed="rId2"/>
          <a:stretch>
            <a:fillRect/>
          </a:stretch>
        </xdr:blipFill>
        <xdr:spPr>
          <a:xfrm>
            <a:off x="8886031" y="317500"/>
            <a:ext cx="3801587" cy="573015"/>
          </a:xfrm>
          <a:prstGeom prst="rect">
            <a:avLst/>
          </a:prstGeom>
        </xdr:spPr>
      </xdr:pic>
      <xdr:pic>
        <xdr:nvPicPr>
          <xdr:cNvPr id="225" name="Picture 224" descr="CCCM sdc-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13</xdr:col>
      <xdr:colOff>186530</xdr:colOff>
      <xdr:row>30</xdr:row>
      <xdr:rowOff>31750</xdr:rowOff>
    </xdr:from>
    <xdr:to>
      <xdr:col>19</xdr:col>
      <xdr:colOff>298449</xdr:colOff>
      <xdr:row>40</xdr:row>
      <xdr:rowOff>3175</xdr:rowOff>
    </xdr:to>
    <xdr:sp macro="" textlink="">
      <xdr:nvSpPr>
        <xdr:cNvPr id="8" name="Rounded Rectangle 7"/>
        <xdr:cNvSpPr/>
      </xdr:nvSpPr>
      <xdr:spPr>
        <a:xfrm>
          <a:off x="7510197" y="7196667"/>
          <a:ext cx="3350419" cy="2225675"/>
        </a:xfrm>
        <a:prstGeom prst="roundRect">
          <a:avLst/>
        </a:prstGeom>
        <a:solidFill>
          <a:schemeClr val="bg1">
            <a:lumMod val="95000"/>
          </a:schemeClr>
        </a:solidFill>
      </xdr:spPr>
      <xdr:style>
        <a:lnRef idx="2">
          <a:schemeClr val="accent1">
            <a:shade val="50000"/>
          </a:schemeClr>
        </a:lnRef>
        <a:fillRef idx="1001">
          <a:schemeClr val="lt2"/>
        </a:fillRef>
        <a:effectRef idx="0">
          <a:schemeClr val="accent1"/>
        </a:effectRef>
        <a:fontRef idx="minor">
          <a:schemeClr val="lt1"/>
        </a:fontRef>
      </xdr:style>
      <xdr:txBody>
        <a:bodyPr vertOverflow="clip" horzOverflow="clip" rtlCol="0" anchor="ctr"/>
        <a:lstStyle/>
        <a:p>
          <a:pPr marL="0" marR="0" indent="0" defTabSz="914400" eaLnBrk="1" fontAlgn="auto" latinLnBrk="0" hangingPunct="1">
            <a:lnSpc>
              <a:spcPct val="100000"/>
            </a:lnSpc>
            <a:spcBef>
              <a:spcPts val="0"/>
            </a:spcBef>
            <a:spcAft>
              <a:spcPts val="0"/>
            </a:spcAft>
            <a:buClrTx/>
            <a:buSzTx/>
            <a:buFontTx/>
            <a:buNone/>
            <a:tabLst/>
            <a:defRPr/>
          </a:pPr>
          <a:r>
            <a:rPr lang="en-US" sz="1100">
              <a:solidFill>
                <a:sysClr val="windowText" lastClr="000000"/>
              </a:solidFill>
              <a:effectLst/>
              <a:latin typeface="+mn-lt"/>
              <a:ea typeface="+mn-ea"/>
              <a:cs typeface="+mn-cs"/>
            </a:rPr>
            <a:t>Displacement started in June 2011 due to the fighting between the Government and the Kachin Independence Organization. The majority of IDPs live in camps along the Myanmar-China Border. Approximately 44% of IDPs live in camps in non-Government Controlled areas (NGCA).</a:t>
          </a:r>
          <a:endParaRPr lang="en-US" sz="1100">
            <a:solidFill>
              <a:schemeClr val="lt1"/>
            </a:solidFill>
            <a:effectLst/>
            <a:latin typeface="+mn-lt"/>
            <a:ea typeface="+mn-ea"/>
            <a:cs typeface="+mn-cs"/>
          </a:endParaRPr>
        </a:p>
      </xdr:txBody>
    </xdr:sp>
    <xdr:clientData/>
  </xdr:twoCellAnchor>
  <xdr:twoCellAnchor>
    <xdr:from>
      <xdr:col>7</xdr:col>
      <xdr:colOff>55959</xdr:colOff>
      <xdr:row>10</xdr:row>
      <xdr:rowOff>0</xdr:rowOff>
    </xdr:from>
    <xdr:to>
      <xdr:col>12</xdr:col>
      <xdr:colOff>391584</xdr:colOff>
      <xdr:row>23</xdr:row>
      <xdr:rowOff>63500</xdr:rowOff>
    </xdr:to>
    <xdr:graphicFrame macro="">
      <xdr:nvGraphicFramePr>
        <xdr:cNvPr id="10" name="Chart 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15</xdr:col>
      <xdr:colOff>285145</xdr:colOff>
      <xdr:row>2</xdr:row>
      <xdr:rowOff>21166</xdr:rowOff>
    </xdr:from>
    <xdr:to>
      <xdr:col>17</xdr:col>
      <xdr:colOff>429745</xdr:colOff>
      <xdr:row>2</xdr:row>
      <xdr:rowOff>381755</xdr:rowOff>
    </xdr:to>
    <xdr:sp macro="" textlink="">
      <xdr:nvSpPr>
        <xdr:cNvPr id="27" name="Rounded Rectangle 26">
          <a:hlinkClick xmlns:r="http://schemas.openxmlformats.org/officeDocument/2006/relationships" r:id="rId5"/>
        </xdr:cNvPr>
        <xdr:cNvSpPr/>
      </xdr:nvSpPr>
      <xdr:spPr>
        <a:xfrm>
          <a:off x="7457470" y="21166"/>
          <a:ext cx="1440000" cy="360589"/>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CCCM</a:t>
          </a:r>
          <a:r>
            <a:rPr lang="en-US" sz="1100" b="1" baseline="0"/>
            <a:t> Dashboard</a:t>
          </a:r>
          <a:endParaRPr lang="en-US" sz="1100" b="1"/>
        </a:p>
      </xdr:txBody>
    </xdr:sp>
    <xdr:clientData/>
  </xdr:twoCellAnchor>
  <xdr:twoCellAnchor>
    <xdr:from>
      <xdr:col>2</xdr:col>
      <xdr:colOff>0</xdr:colOff>
      <xdr:row>2</xdr:row>
      <xdr:rowOff>33262</xdr:rowOff>
    </xdr:from>
    <xdr:to>
      <xdr:col>4</xdr:col>
      <xdr:colOff>144600</xdr:colOff>
      <xdr:row>2</xdr:row>
      <xdr:rowOff>393851</xdr:rowOff>
    </xdr:to>
    <xdr:sp macro="" textlink="">
      <xdr:nvSpPr>
        <xdr:cNvPr id="28" name="Rounded Rectangle 27">
          <a:hlinkClick xmlns:r="http://schemas.openxmlformats.org/officeDocument/2006/relationships" r:id="rId6"/>
        </xdr:cNvPr>
        <xdr:cNvSpPr/>
      </xdr:nvSpPr>
      <xdr:spPr>
        <a:xfrm>
          <a:off x="0" y="33262"/>
          <a:ext cx="1440000" cy="360589"/>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4</xdr:col>
      <xdr:colOff>537029</xdr:colOff>
      <xdr:row>2</xdr:row>
      <xdr:rowOff>21166</xdr:rowOff>
    </xdr:from>
    <xdr:to>
      <xdr:col>7</xdr:col>
      <xdr:colOff>395879</xdr:colOff>
      <xdr:row>2</xdr:row>
      <xdr:rowOff>381755</xdr:rowOff>
    </xdr:to>
    <xdr:sp macro="" textlink="">
      <xdr:nvSpPr>
        <xdr:cNvPr id="29" name="Rounded Rectangle 28">
          <a:hlinkClick xmlns:r="http://schemas.openxmlformats.org/officeDocument/2006/relationships" r:id="rId7"/>
        </xdr:cNvPr>
        <xdr:cNvSpPr/>
      </xdr:nvSpPr>
      <xdr:spPr>
        <a:xfrm>
          <a:off x="2070554" y="297391"/>
          <a:ext cx="1211400" cy="360589"/>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List</a:t>
          </a:r>
        </a:p>
      </xdr:txBody>
    </xdr:sp>
    <xdr:clientData/>
  </xdr:twoCellAnchor>
  <xdr:twoCellAnchor>
    <xdr:from>
      <xdr:col>8</xdr:col>
      <xdr:colOff>300668</xdr:colOff>
      <xdr:row>2</xdr:row>
      <xdr:rowOff>21166</xdr:rowOff>
    </xdr:from>
    <xdr:to>
      <xdr:col>11</xdr:col>
      <xdr:colOff>254768</xdr:colOff>
      <xdr:row>2</xdr:row>
      <xdr:rowOff>381755</xdr:rowOff>
    </xdr:to>
    <xdr:sp macro="" textlink="">
      <xdr:nvSpPr>
        <xdr:cNvPr id="32" name="Rounded Rectangle 31">
          <a:hlinkClick xmlns:r="http://schemas.openxmlformats.org/officeDocument/2006/relationships" r:id="rId8"/>
        </xdr:cNvPr>
        <xdr:cNvSpPr/>
      </xdr:nvSpPr>
      <xdr:spPr>
        <a:xfrm>
          <a:off x="3672518" y="297391"/>
          <a:ext cx="1449525" cy="360589"/>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List - Printable</a:t>
          </a:r>
        </a:p>
      </xdr:txBody>
    </xdr:sp>
    <xdr:clientData/>
  </xdr:twoCellAnchor>
  <xdr:twoCellAnchor>
    <xdr:from>
      <xdr:col>12</xdr:col>
      <xdr:colOff>150032</xdr:colOff>
      <xdr:row>2</xdr:row>
      <xdr:rowOff>21166</xdr:rowOff>
    </xdr:from>
    <xdr:to>
      <xdr:col>14</xdr:col>
      <xdr:colOff>427982</xdr:colOff>
      <xdr:row>2</xdr:row>
      <xdr:rowOff>381755</xdr:rowOff>
    </xdr:to>
    <xdr:sp macro="" textlink="">
      <xdr:nvSpPr>
        <xdr:cNvPr id="33" name="Rounded Rectangle 32">
          <a:hlinkClick xmlns:r="http://schemas.openxmlformats.org/officeDocument/2006/relationships" r:id="rId9"/>
        </xdr:cNvPr>
        <xdr:cNvSpPr/>
      </xdr:nvSpPr>
      <xdr:spPr>
        <a:xfrm>
          <a:off x="5531657" y="297391"/>
          <a:ext cx="1440000" cy="360589"/>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Analysis</a:t>
          </a:r>
        </a:p>
      </xdr:txBody>
    </xdr:sp>
    <xdr:clientData/>
  </xdr:twoCellAnchor>
  <xdr:twoCellAnchor>
    <xdr:from>
      <xdr:col>10</xdr:col>
      <xdr:colOff>151338</xdr:colOff>
      <xdr:row>29</xdr:row>
      <xdr:rowOff>211667</xdr:rowOff>
    </xdr:from>
    <xdr:to>
      <xdr:col>12</xdr:col>
      <xdr:colOff>494238</xdr:colOff>
      <xdr:row>39</xdr:row>
      <xdr:rowOff>193675</xdr:rowOff>
    </xdr:to>
    <xdr:sp macro="" textlink="">
      <xdr:nvSpPr>
        <xdr:cNvPr id="36" name="Rounded Rectangle 35"/>
        <xdr:cNvSpPr/>
      </xdr:nvSpPr>
      <xdr:spPr>
        <a:xfrm>
          <a:off x="5919255" y="7143750"/>
          <a:ext cx="1380066" cy="2246842"/>
        </a:xfrm>
        <a:prstGeom prst="roundRect">
          <a:avLst/>
        </a:prstGeom>
        <a:solidFill>
          <a:schemeClr val="bg1">
            <a:lumMod val="95000"/>
          </a:schemeClr>
        </a:solidFill>
      </xdr:spPr>
      <xdr:style>
        <a:lnRef idx="2">
          <a:schemeClr val="accent1">
            <a:shade val="50000"/>
          </a:schemeClr>
        </a:lnRef>
        <a:fillRef idx="1001">
          <a:schemeClr val="lt2"/>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US" sz="1100">
              <a:solidFill>
                <a:sysClr val="windowText" lastClr="000000"/>
              </a:solidFill>
              <a:effectLst/>
              <a:latin typeface="+mn-lt"/>
              <a:ea typeface="+mn-ea"/>
              <a:cs typeface="+mn-cs"/>
            </a:rPr>
            <a:t>The</a:t>
          </a:r>
          <a:r>
            <a:rPr lang="en-US" sz="1100" baseline="0">
              <a:solidFill>
                <a:sysClr val="windowText" lastClr="000000"/>
              </a:solidFill>
              <a:effectLst/>
              <a:latin typeface="+mn-lt"/>
              <a:ea typeface="+mn-ea"/>
              <a:cs typeface="+mn-cs"/>
            </a:rPr>
            <a:t> majority of IDP locations are in or near (less than 5km) urban areas.</a:t>
          </a:r>
          <a:endParaRPr lang="en-US" sz="1100">
            <a:solidFill>
              <a:sysClr val="windowText" lastClr="000000"/>
            </a:solidFill>
            <a:effectLst/>
            <a:latin typeface="+mn-lt"/>
            <a:ea typeface="+mn-ea"/>
            <a:cs typeface="+mn-cs"/>
          </a:endParaRPr>
        </a:p>
      </xdr:txBody>
    </xdr:sp>
    <xdr:clientData/>
  </xdr:twoCellAnchor>
  <xdr:twoCellAnchor>
    <xdr:from>
      <xdr:col>7</xdr:col>
      <xdr:colOff>4231</xdr:colOff>
      <xdr:row>28</xdr:row>
      <xdr:rowOff>117474</xdr:rowOff>
    </xdr:from>
    <xdr:to>
      <xdr:col>12</xdr:col>
      <xdr:colOff>504824</xdr:colOff>
      <xdr:row>29</xdr:row>
      <xdr:rowOff>117475</xdr:rowOff>
    </xdr:to>
    <xdr:sp macro="" textlink="">
      <xdr:nvSpPr>
        <xdr:cNvPr id="37" name="Rounded Rectangle 36"/>
        <xdr:cNvSpPr/>
      </xdr:nvSpPr>
      <xdr:spPr>
        <a:xfrm>
          <a:off x="3962398" y="6816724"/>
          <a:ext cx="3347509" cy="232834"/>
        </a:xfrm>
        <a:prstGeom prst="roundRect">
          <a:avLst/>
        </a:prstGeom>
        <a:solidFill>
          <a:schemeClr val="bg1">
            <a:lumMod val="95000"/>
          </a:schemeClr>
        </a:solidFill>
      </xdr:spPr>
      <xdr:style>
        <a:lnRef idx="2">
          <a:schemeClr val="accent1">
            <a:shade val="50000"/>
          </a:schemeClr>
        </a:lnRef>
        <a:fillRef idx="1001">
          <a:schemeClr val="lt2"/>
        </a:fillRef>
        <a:effectRef idx="0">
          <a:schemeClr val="accent1"/>
        </a:effectRef>
        <a:fontRef idx="minor">
          <a:schemeClr val="lt1"/>
        </a:fontRef>
      </xdr:style>
      <xdr:txBody>
        <a:bodyPr vertOverflow="clip" horzOverflow="clip" rtlCol="0" anchor="t"/>
        <a:lstStyle/>
        <a:p>
          <a:pPr marL="0" marR="0" indent="0" defTabSz="914400" eaLnBrk="1" fontAlgn="auto" latinLnBrk="0" hangingPunct="1">
            <a:lnSpc>
              <a:spcPct val="100000"/>
            </a:lnSpc>
            <a:spcBef>
              <a:spcPts val="0"/>
            </a:spcBef>
            <a:spcAft>
              <a:spcPts val="0"/>
            </a:spcAft>
            <a:buClrTx/>
            <a:buSzTx/>
            <a:buFontTx/>
            <a:buNone/>
            <a:tabLst/>
            <a:defRPr/>
          </a:pPr>
          <a:r>
            <a:rPr lang="en-US" sz="900" b="1">
              <a:solidFill>
                <a:sysClr val="windowText" lastClr="000000"/>
              </a:solidFill>
              <a:effectLst/>
              <a:latin typeface="+mn-lt"/>
              <a:ea typeface="+mn-ea"/>
              <a:cs typeface="+mn-cs"/>
            </a:rPr>
            <a:t>Distance</a:t>
          </a:r>
          <a:r>
            <a:rPr lang="en-US" sz="900" b="1" baseline="0">
              <a:solidFill>
                <a:sysClr val="windowText" lastClr="000000"/>
              </a:solidFill>
              <a:effectLst/>
              <a:latin typeface="+mn-lt"/>
              <a:ea typeface="+mn-ea"/>
              <a:cs typeface="+mn-cs"/>
            </a:rPr>
            <a:t> to the nearest town</a:t>
          </a:r>
          <a:endParaRPr lang="en-US" sz="900" b="1">
            <a:solidFill>
              <a:sysClr val="windowText" lastClr="000000"/>
            </a:solidFill>
            <a:effectLst/>
            <a:latin typeface="+mn-lt"/>
            <a:ea typeface="+mn-ea"/>
            <a:cs typeface="+mn-cs"/>
          </a:endParaRPr>
        </a:p>
      </xdr:txBody>
    </xdr:sp>
    <xdr:clientData/>
  </xdr:twoCellAnchor>
  <xdr:twoCellAnchor>
    <xdr:from>
      <xdr:col>7</xdr:col>
      <xdr:colOff>84666</xdr:colOff>
      <xdr:row>10</xdr:row>
      <xdr:rowOff>66675</xdr:rowOff>
    </xdr:from>
    <xdr:to>
      <xdr:col>12</xdr:col>
      <xdr:colOff>381000</xdr:colOff>
      <xdr:row>11</xdr:row>
      <xdr:rowOff>104774</xdr:rowOff>
    </xdr:to>
    <xdr:sp macro="" textlink="">
      <xdr:nvSpPr>
        <xdr:cNvPr id="39" name="Rounded Rectangle 38"/>
        <xdr:cNvSpPr/>
      </xdr:nvSpPr>
      <xdr:spPr>
        <a:xfrm>
          <a:off x="4434416" y="2574925"/>
          <a:ext cx="2868084" cy="270932"/>
        </a:xfrm>
        <a:prstGeom prst="roundRect">
          <a:avLst/>
        </a:prstGeom>
        <a:solidFill>
          <a:schemeClr val="bg1">
            <a:lumMod val="95000"/>
          </a:schemeClr>
        </a:solidFill>
      </xdr:spPr>
      <xdr:style>
        <a:lnRef idx="2">
          <a:schemeClr val="accent1">
            <a:shade val="50000"/>
          </a:schemeClr>
        </a:lnRef>
        <a:fillRef idx="1001">
          <a:schemeClr val="lt2"/>
        </a:fillRef>
        <a:effectRef idx="0">
          <a:schemeClr val="accent1"/>
        </a:effectRef>
        <a:fontRef idx="minor">
          <a:schemeClr val="lt1"/>
        </a:fontRef>
      </xdr:style>
      <xdr:txBody>
        <a:bodyPr vertOverflow="clip" horzOverflow="clip" rtlCol="0" anchor="t"/>
        <a:lstStyle/>
        <a:p>
          <a:pPr marL="0" marR="0" indent="0" defTabSz="914400" eaLnBrk="1" fontAlgn="auto" latinLnBrk="0" hangingPunct="1">
            <a:lnSpc>
              <a:spcPct val="100000"/>
            </a:lnSpc>
            <a:spcBef>
              <a:spcPts val="0"/>
            </a:spcBef>
            <a:spcAft>
              <a:spcPts val="0"/>
            </a:spcAft>
            <a:buClrTx/>
            <a:buSzTx/>
            <a:buFontTx/>
            <a:buNone/>
            <a:tabLst/>
            <a:defRPr/>
          </a:pPr>
          <a:r>
            <a:rPr lang="en-US" sz="900" b="1">
              <a:solidFill>
                <a:sysClr val="windowText" lastClr="000000"/>
              </a:solidFill>
              <a:effectLst/>
              <a:latin typeface="+mn-lt"/>
              <a:ea typeface="+mn-ea"/>
              <a:cs typeface="+mn-cs"/>
            </a:rPr>
            <a:t># of camps by size of population in different townships</a:t>
          </a:r>
        </a:p>
      </xdr:txBody>
    </xdr:sp>
    <xdr:clientData/>
  </xdr:twoCellAnchor>
  <xdr:twoCellAnchor>
    <xdr:from>
      <xdr:col>7</xdr:col>
      <xdr:colOff>0</xdr:colOff>
      <xdr:row>23</xdr:row>
      <xdr:rowOff>171451</xdr:rowOff>
    </xdr:from>
    <xdr:to>
      <xdr:col>13</xdr:col>
      <xdr:colOff>0</xdr:colOff>
      <xdr:row>24</xdr:row>
      <xdr:rowOff>190499</xdr:rowOff>
    </xdr:to>
    <xdr:sp macro="" textlink="">
      <xdr:nvSpPr>
        <xdr:cNvPr id="40" name="Rounded Rectangle 39"/>
        <xdr:cNvSpPr/>
      </xdr:nvSpPr>
      <xdr:spPr>
        <a:xfrm>
          <a:off x="3958167" y="5706534"/>
          <a:ext cx="3365500" cy="251882"/>
        </a:xfrm>
        <a:prstGeom prst="roundRect">
          <a:avLst/>
        </a:prstGeom>
        <a:solidFill>
          <a:schemeClr val="bg1">
            <a:lumMod val="95000"/>
          </a:schemeClr>
        </a:solidFill>
      </xdr:spPr>
      <xdr:style>
        <a:lnRef idx="2">
          <a:schemeClr val="accent1">
            <a:shade val="50000"/>
          </a:schemeClr>
        </a:lnRef>
        <a:fillRef idx="1001">
          <a:schemeClr val="lt2"/>
        </a:fillRef>
        <a:effectRef idx="0">
          <a:schemeClr val="accent1"/>
        </a:effectRef>
        <a:fontRef idx="minor">
          <a:schemeClr val="lt1"/>
        </a:fontRef>
      </xdr:style>
      <xdr:txBody>
        <a:bodyPr vertOverflow="clip" horzOverflow="clip" rtlCol="0" anchor="t"/>
        <a:lstStyle/>
        <a:p>
          <a:pPr marL="0" marR="0" indent="0" defTabSz="914400" eaLnBrk="1" fontAlgn="auto" latinLnBrk="0" hangingPunct="1">
            <a:lnSpc>
              <a:spcPct val="100000"/>
            </a:lnSpc>
            <a:spcBef>
              <a:spcPts val="0"/>
            </a:spcBef>
            <a:spcAft>
              <a:spcPts val="0"/>
            </a:spcAft>
            <a:buClrTx/>
            <a:buSzTx/>
            <a:buFontTx/>
            <a:buNone/>
            <a:tabLst/>
            <a:defRPr/>
          </a:pPr>
          <a:r>
            <a:rPr lang="en-US" sz="900" b="1">
              <a:solidFill>
                <a:sysClr val="windowText" lastClr="000000"/>
              </a:solidFill>
              <a:effectLst/>
              <a:latin typeface="+mn-lt"/>
              <a:ea typeface="+mn-ea"/>
              <a:cs typeface="+mn-cs"/>
            </a:rPr>
            <a:t>Size of Locations</a:t>
          </a:r>
        </a:p>
      </xdr:txBody>
    </xdr:sp>
    <xdr:clientData/>
  </xdr:twoCellAnchor>
  <xdr:twoCellAnchor>
    <xdr:from>
      <xdr:col>13</xdr:col>
      <xdr:colOff>105834</xdr:colOff>
      <xdr:row>5</xdr:row>
      <xdr:rowOff>76255</xdr:rowOff>
    </xdr:from>
    <xdr:to>
      <xdr:col>19</xdr:col>
      <xdr:colOff>285750</xdr:colOff>
      <xdr:row>6</xdr:row>
      <xdr:rowOff>71790</xdr:rowOff>
    </xdr:to>
    <xdr:sp macro="" textlink="">
      <xdr:nvSpPr>
        <xdr:cNvPr id="35" name="TextBox 1"/>
        <xdr:cNvSpPr txBox="1">
          <a:spLocks/>
        </xdr:cNvSpPr>
      </xdr:nvSpPr>
      <xdr:spPr>
        <a:xfrm>
          <a:off x="7545917" y="1462672"/>
          <a:ext cx="3418416" cy="450618"/>
        </a:xfrm>
        <a:prstGeom prst="rect">
          <a:avLst/>
        </a:prstGeom>
        <a:ln/>
      </xdr:spPr>
      <xdr:style>
        <a:lnRef idx="1">
          <a:schemeClr val="accent4"/>
        </a:lnRef>
        <a:fillRef idx="2">
          <a:schemeClr val="accent4"/>
        </a:fillRef>
        <a:effectRef idx="1">
          <a:schemeClr val="accent4"/>
        </a:effectRef>
        <a:fontRef idx="minor">
          <a:schemeClr val="dk1"/>
        </a:fontRef>
      </xdr:style>
      <xdr:txBody>
        <a:bodyPr wrap="square" tIns="0" rtlCol="0" anchor="t"/>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GB" sz="1000" b="1" baseline="0">
              <a:latin typeface="+mn-lt"/>
            </a:rPr>
            <a:t>Kachin and Northern Shan</a:t>
          </a:r>
        </a:p>
        <a:p>
          <a:pPr algn="ctr"/>
          <a:r>
            <a:rPr lang="en-GB" sz="1000" b="1" baseline="0">
              <a:latin typeface="+mn-lt"/>
            </a:rPr>
            <a:t># of IDPs by Towship</a:t>
          </a:r>
          <a:endParaRPr lang="en-GB" sz="1000" b="1">
            <a:latin typeface="+mn-lt"/>
          </a:endParaRPr>
        </a:p>
      </xdr:txBody>
    </xdr:sp>
    <xdr:clientData/>
  </xdr:twoCellAnchor>
  <xdr:twoCellAnchor editAs="oneCell">
    <xdr:from>
      <xdr:col>13</xdr:col>
      <xdr:colOff>52918</xdr:colOff>
      <xdr:row>6</xdr:row>
      <xdr:rowOff>158751</xdr:rowOff>
    </xdr:from>
    <xdr:to>
      <xdr:col>19</xdr:col>
      <xdr:colOff>462808</xdr:colOff>
      <xdr:row>29</xdr:row>
      <xdr:rowOff>59692</xdr:rowOff>
    </xdr:to>
    <xdr:pic>
      <xdr:nvPicPr>
        <xdr:cNvPr id="49" name="Picture 48"/>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376585" y="2000251"/>
          <a:ext cx="3648390" cy="49635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c:userShapes xmlns:c="http://schemas.openxmlformats.org/drawingml/2006/chart">
  <cdr:absSizeAnchor xmlns:cdr="http://schemas.openxmlformats.org/drawingml/2006/chartDrawing">
    <cdr:from>
      <cdr:x>0</cdr:x>
      <cdr:y>0.01286</cdr:y>
    </cdr:from>
    <cdr:ext cx="1891241" cy="88087"/>
    <cdr:sp macro="" textlink="">
      <cdr:nvSpPr>
        <cdr:cNvPr id="4" name="TextBox 3"/>
        <cdr:cNvSpPr txBox="1">
          <a:spLocks xmlns:a="http://schemas.openxmlformats.org/drawingml/2006/main"/>
        </cdr:cNvSpPr>
      </cdr:nvSpPr>
      <cdr:spPr>
        <a:xfrm xmlns:a="http://schemas.openxmlformats.org/drawingml/2006/main">
          <a:off x="0" y="15100"/>
          <a:ext cx="1891241" cy="88087"/>
        </a:xfrm>
        <a:prstGeom xmlns:a="http://schemas.openxmlformats.org/drawingml/2006/main" prst="rect">
          <a:avLst/>
        </a:prstGeom>
        <a:solidFill xmlns:a="http://schemas.openxmlformats.org/drawingml/2006/main">
          <a:schemeClr val="bg1">
            <a:alpha val="70000"/>
          </a:schemeClr>
        </a:solidFill>
        <a:ln xmlns:a="http://schemas.openxmlformats.org/drawingml/2006/main" w="9525" cmpd="sng">
          <a:noFill/>
        </a:ln>
        <a:effectLst xmlns:a="http://schemas.openxmlformats.org/drawingml/2006/main">
          <a:outerShdw blurRad="88900" dist="25400" dir="5400000" algn="t" rotWithShape="0">
            <a:prstClr val="black">
              <a:alpha val="11000"/>
            </a:prstClr>
          </a:outerShdw>
        </a:effectLst>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tIns="0"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n-GB" sz="1000" baseline="0">
              <a:latin typeface="Franklin Gothic Medium Cond" pitchFamily="34" charset="0"/>
            </a:rPr>
            <a:t>IDP Camp Sizes by %</a:t>
          </a:r>
          <a:endParaRPr lang="en-GB" sz="1000">
            <a:latin typeface="Franklin Gothic Medium Cond" pitchFamily="34" charset="0"/>
          </a:endParaRPr>
        </a:p>
      </cdr:txBody>
    </cdr:sp>
  </cdr:absSizeAnchor>
</c:userShapes>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136525</xdr:colOff>
      <xdr:row>38</xdr:row>
      <xdr:rowOff>29333</xdr:rowOff>
    </xdr:to>
    <xdr:pic>
      <xdr:nvPicPr>
        <xdr:cNvPr id="9" name="Kachin_Background"/>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6985000" cy="9078083"/>
        </a:xfrm>
        <a:prstGeom prst="rect">
          <a:avLst/>
        </a:prstGeom>
        <a:ln>
          <a:solidFill>
            <a:srgbClr val="C00000"/>
          </a:solidFill>
        </a:ln>
      </xdr:spPr>
    </xdr:pic>
    <xdr:clientData/>
  </xdr:twoCellAnchor>
  <xdr:twoCellAnchor>
    <xdr:from>
      <xdr:col>33</xdr:col>
      <xdr:colOff>752908</xdr:colOff>
      <xdr:row>0</xdr:row>
      <xdr:rowOff>132306</xdr:rowOff>
    </xdr:from>
    <xdr:to>
      <xdr:col>37</xdr:col>
      <xdr:colOff>326930</xdr:colOff>
      <xdr:row>6</xdr:row>
      <xdr:rowOff>4045</xdr:rowOff>
    </xdr:to>
    <xdr:grpSp>
      <xdr:nvGrpSpPr>
        <xdr:cNvPr id="3" name="Group 2"/>
        <xdr:cNvGrpSpPr/>
      </xdr:nvGrpSpPr>
      <xdr:grpSpPr>
        <a:xfrm>
          <a:off x="26660908" y="132306"/>
          <a:ext cx="3536422" cy="1334779"/>
          <a:chOff x="6851085" y="2492460"/>
          <a:chExt cx="2709697" cy="1139349"/>
        </a:xfrm>
      </xdr:grpSpPr>
      <xdr:sp macro="" textlink="">
        <xdr:nvSpPr>
          <xdr:cNvPr id="4" name="Rectangle 3"/>
          <xdr:cNvSpPr/>
        </xdr:nvSpPr>
        <xdr:spPr>
          <a:xfrm>
            <a:off x="6879363" y="2492460"/>
            <a:ext cx="2667704" cy="1038142"/>
          </a:xfrm>
          <a:prstGeom prst="rect">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0" anchor="t"/>
          <a:lstStyle/>
          <a:p>
            <a:pPr algn="l"/>
            <a:endParaRPr lang="en-US" sz="1100"/>
          </a:p>
        </xdr:txBody>
      </xdr:sp>
      <xdr:sp macro="" textlink="">
        <xdr:nvSpPr>
          <xdr:cNvPr id="5" name="TextBox 4"/>
          <xdr:cNvSpPr txBox="1"/>
        </xdr:nvSpPr>
        <xdr:spPr>
          <a:xfrm>
            <a:off x="6851085" y="2838220"/>
            <a:ext cx="993171" cy="2721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a:t>Shelter</a:t>
            </a:r>
          </a:p>
        </xdr:txBody>
      </xdr:sp>
      <xdr:sp macro="" textlink="">
        <xdr:nvSpPr>
          <xdr:cNvPr id="6" name="TextBox 5"/>
          <xdr:cNvSpPr txBox="1"/>
        </xdr:nvSpPr>
        <xdr:spPr>
          <a:xfrm>
            <a:off x="8812390" y="2798292"/>
            <a:ext cx="748392" cy="2993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a:t>Core</a:t>
            </a:r>
            <a:r>
              <a:rPr lang="en-US" sz="1100" baseline="0"/>
              <a:t> Kits</a:t>
            </a:r>
            <a:endParaRPr lang="en-US" sz="1100"/>
          </a:p>
        </xdr:txBody>
      </xdr:sp>
      <xdr:sp macro="" textlink="">
        <xdr:nvSpPr>
          <xdr:cNvPr id="8" name="TextBox 7"/>
          <xdr:cNvSpPr txBox="1"/>
        </xdr:nvSpPr>
        <xdr:spPr>
          <a:xfrm>
            <a:off x="7786061" y="3291630"/>
            <a:ext cx="1129394" cy="340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100"/>
              <a:t>Population</a:t>
            </a:r>
          </a:p>
        </xdr:txBody>
      </xdr:sp>
    </xdr:grpSp>
    <xdr:clientData/>
  </xdr:twoCellAnchor>
  <mc:AlternateContent xmlns:mc="http://schemas.openxmlformats.org/markup-compatibility/2006">
    <mc:Choice xmlns:a14="http://schemas.microsoft.com/office/drawing/2010/main" Requires="a14">
      <xdr:twoCellAnchor editAs="oneCell">
        <xdr:from>
          <xdr:col>15</xdr:col>
          <xdr:colOff>0</xdr:colOff>
          <xdr:row>0</xdr:row>
          <xdr:rowOff>133350</xdr:rowOff>
        </xdr:from>
        <xdr:to>
          <xdr:col>18</xdr:col>
          <xdr:colOff>1390650</xdr:colOff>
          <xdr:row>5</xdr:row>
          <xdr:rowOff>57150</xdr:rowOff>
        </xdr:to>
        <xdr:sp macro="" textlink="">
          <xdr:nvSpPr>
            <xdr:cNvPr id="64513" name="CommandButton1" hidden="1">
              <a:extLst>
                <a:ext uri="{63B3BB69-23CF-44E3-9099-C40C66FF867C}">
                  <a14:compatExt spid="_x0000_s6451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18</xdr:col>
      <xdr:colOff>881413</xdr:colOff>
      <xdr:row>24</xdr:row>
      <xdr:rowOff>26908</xdr:rowOff>
    </xdr:from>
    <xdr:to>
      <xdr:col>18</xdr:col>
      <xdr:colOff>2151413</xdr:colOff>
      <xdr:row>25</xdr:row>
      <xdr:rowOff>169783</xdr:rowOff>
    </xdr:to>
    <xdr:grpSp>
      <xdr:nvGrpSpPr>
        <xdr:cNvPr id="10" name="Location"/>
        <xdr:cNvGrpSpPr/>
      </xdr:nvGrpSpPr>
      <xdr:grpSpPr>
        <a:xfrm>
          <a:off x="10177813" y="5879068"/>
          <a:ext cx="1270000" cy="386715"/>
          <a:chOff x="12380951" y="1905577"/>
          <a:chExt cx="1893717" cy="1135005"/>
        </a:xfrm>
      </xdr:grpSpPr>
      <xdr:sp macro="" textlink="">
        <xdr:nvSpPr>
          <xdr:cNvPr id="11" name="Oval"/>
          <xdr:cNvSpPr/>
        </xdr:nvSpPr>
        <xdr:spPr>
          <a:xfrm>
            <a:off x="13201580" y="2464815"/>
            <a:ext cx="222765" cy="231769"/>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2">
        <xdr:nvSpPr>
          <xdr:cNvPr id="12" name="Pop"/>
          <xdr:cNvSpPr txBox="1"/>
        </xdr:nvSpPr>
        <xdr:spPr>
          <a:xfrm>
            <a:off x="12959414" y="2665372"/>
            <a:ext cx="708965" cy="366811"/>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54E39C4F-452E-4923-9F30-AFFCD6F8CA12}" type="TxLink">
              <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rPr>
              <a:pPr marL="0" indent="0" algn="ctr"/>
              <a:t>Pop</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2">
        <xdr:nvSpPr>
          <xdr:cNvPr id="13" name="N_Camp"/>
          <xdr:cNvSpPr txBox="1"/>
        </xdr:nvSpPr>
        <xdr:spPr>
          <a:xfrm>
            <a:off x="13337143" y="2673771"/>
            <a:ext cx="836058" cy="366811"/>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A2CDEAA1-E4FB-467D-A823-4F7D97019284}" type="TxLink">
              <a:rPr lang="en-US" sz="600" i="1">
                <a:solidFill>
                  <a:schemeClr val="tx1"/>
                </a:solidFill>
                <a:latin typeface="Arial" pitchFamily="34" charset="0"/>
                <a:cs typeface="Arial" pitchFamily="34" charset="0"/>
              </a:rPr>
              <a:pPr algn="r"/>
              <a:t>N_cps</a:t>
            </a:fld>
            <a:endParaRPr lang="en-US" sz="600" i="1">
              <a:solidFill>
                <a:schemeClr val="tx1"/>
              </a:solidFill>
              <a:latin typeface="Arial" pitchFamily="34" charset="0"/>
              <a:cs typeface="Arial" pitchFamily="34" charset="0"/>
            </a:endParaRPr>
          </a:p>
        </xdr:txBody>
      </xdr:sp>
      <xdr:sp macro="" textlink="U2">
        <xdr:nvSpPr>
          <xdr:cNvPr id="14" name="Site"/>
          <xdr:cNvSpPr txBox="1"/>
        </xdr:nvSpPr>
        <xdr:spPr>
          <a:xfrm>
            <a:off x="12380951" y="1905577"/>
            <a:ext cx="1893717" cy="540418"/>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1AF379A9-23E2-4BA3-B2CD-3BF13B32DE9F}" type="TxLink">
              <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rPr>
              <a:pPr algn="ctr"/>
              <a:t>Township</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15" name="Cluster"/>
          <xdr:cNvGrpSpPr/>
        </xdr:nvGrpSpPr>
        <xdr:grpSpPr>
          <a:xfrm>
            <a:off x="12477748" y="2348604"/>
            <a:ext cx="1732609" cy="380242"/>
            <a:chOff x="12477748" y="2348604"/>
            <a:chExt cx="1732609" cy="380242"/>
          </a:xfrm>
        </xdr:grpSpPr>
        <xdr:grpSp>
          <xdr:nvGrpSpPr>
            <xdr:cNvPr id="16" name="Shelter_G"/>
            <xdr:cNvGrpSpPr/>
          </xdr:nvGrpSpPr>
          <xdr:grpSpPr>
            <a:xfrm>
              <a:off x="12477748" y="2367654"/>
              <a:ext cx="332972" cy="361192"/>
              <a:chOff x="8585625" y="4782769"/>
              <a:chExt cx="147154" cy="166659"/>
            </a:xfrm>
          </xdr:grpSpPr>
          <xdr:pic>
            <xdr:nvPicPr>
              <xdr:cNvPr id="20" name="Shelter_I"/>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1" name="Shelter_F"/>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17" name="NFI_G"/>
            <xdr:cNvGrpSpPr/>
          </xdr:nvGrpSpPr>
          <xdr:grpSpPr>
            <a:xfrm>
              <a:off x="13877376" y="2348604"/>
              <a:ext cx="332981" cy="361192"/>
              <a:chOff x="8250078" y="5375644"/>
              <a:chExt cx="147158" cy="166659"/>
            </a:xfrm>
          </xdr:grpSpPr>
          <xdr:pic>
            <xdr:nvPicPr>
              <xdr:cNvPr id="18" name="NFI_I"/>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19" name="NFI_F"/>
              <xdr:cNvSpPr/>
            </xdr:nvSpPr>
            <xdr:spPr>
              <a:xfrm>
                <a:off x="8250078" y="5375644"/>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0</xdr:col>
      <xdr:colOff>170393</xdr:colOff>
      <xdr:row>0</xdr:row>
      <xdr:rowOff>154517</xdr:rowOff>
    </xdr:from>
    <xdr:to>
      <xdr:col>2</xdr:col>
      <xdr:colOff>513293</xdr:colOff>
      <xdr:row>6</xdr:row>
      <xdr:rowOff>87842</xdr:rowOff>
    </xdr:to>
    <xdr:grpSp>
      <xdr:nvGrpSpPr>
        <xdr:cNvPr id="7" name="Group 6"/>
        <xdr:cNvGrpSpPr/>
      </xdr:nvGrpSpPr>
      <xdr:grpSpPr>
        <a:xfrm>
          <a:off x="170393" y="154517"/>
          <a:ext cx="2065020" cy="1396365"/>
          <a:chOff x="8172450" y="9248775"/>
          <a:chExt cx="2009775" cy="1362075"/>
        </a:xfrm>
      </xdr:grpSpPr>
      <xdr:sp macro="" textlink="">
        <xdr:nvSpPr>
          <xdr:cNvPr id="2" name="Rounded Rectangle 1"/>
          <xdr:cNvSpPr/>
        </xdr:nvSpPr>
        <xdr:spPr>
          <a:xfrm>
            <a:off x="8172450" y="9248775"/>
            <a:ext cx="2009775" cy="1362075"/>
          </a:xfrm>
          <a:prstGeom prst="roundRect">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0" anchor="t"/>
          <a:lstStyle/>
          <a:p>
            <a:pPr algn="l"/>
            <a:endParaRPr lang="en-US" sz="1100"/>
          </a:p>
        </xdr:txBody>
      </xdr:sp>
      <xdr:sp macro="" textlink="">
        <xdr:nvSpPr>
          <xdr:cNvPr id="705" name="Oval"/>
          <xdr:cNvSpPr/>
        </xdr:nvSpPr>
        <xdr:spPr>
          <a:xfrm>
            <a:off x="9401175" y="9601200"/>
            <a:ext cx="635470" cy="635469"/>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
        <xdr:nvSpPr>
          <xdr:cNvPr id="706" name="Oval"/>
          <xdr:cNvSpPr/>
        </xdr:nvSpPr>
        <xdr:spPr>
          <a:xfrm>
            <a:off x="8829675" y="9925050"/>
            <a:ext cx="285933" cy="285933"/>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
        <xdr:nvSpPr>
          <xdr:cNvPr id="707" name="Oval"/>
          <xdr:cNvSpPr/>
        </xdr:nvSpPr>
        <xdr:spPr>
          <a:xfrm>
            <a:off x="8343900" y="10086975"/>
            <a:ext cx="119272" cy="119272"/>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mc:AlternateContent xmlns:mc="http://schemas.openxmlformats.org/markup-compatibility/2006">
        <mc:Choice xmlns:a14="http://schemas.microsoft.com/office/drawing/2010/main" Requires="a14">
          <xdr:sp macro="" textlink="">
            <xdr:nvSpPr>
              <xdr:cNvPr id="64514" name="Label 2" hidden="1">
                <a:extLst>
                  <a:ext uri="{63B3BB69-23CF-44E3-9099-C40C66FF867C}">
                    <a14:compatExt spid="_x0000_s64514"/>
                  </a:ext>
                </a:extLst>
              </xdr:cNvPr>
              <xdr:cNvSpPr/>
            </xdr:nvSpPr>
            <xdr:spPr bwMode="auto">
              <a:xfrm>
                <a:off x="8286750" y="10315575"/>
                <a:ext cx="361950" cy="19050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18288" rIns="0" bIns="0" anchor="t" upright="1"/>
              <a:lstStyle/>
              <a:p>
                <a:pPr algn="l" rtl="0">
                  <a:defRPr sz="1000"/>
                </a:pPr>
                <a:r>
                  <a:rPr lang="en-GB" sz="800" b="0" i="0" u="none" strike="noStrike" baseline="0">
                    <a:solidFill>
                      <a:srgbClr val="000000"/>
                    </a:solidFill>
                    <a:latin typeface="Tahoma"/>
                    <a:ea typeface="Tahoma"/>
                    <a:cs typeface="Tahoma"/>
                  </a:rPr>
                  <a:t>1,000</a:t>
                </a:r>
              </a:p>
              <a:p>
                <a:pPr algn="l" rtl="0">
                  <a:defRPr sz="1000"/>
                </a:pPr>
                <a:endParaRPr lang="en-GB" sz="800" b="0" i="0" u="none" strike="noStrike" baseline="0">
                  <a:solidFill>
                    <a:srgbClr val="000000"/>
                  </a:solidFill>
                  <a:latin typeface="Tahoma"/>
                  <a:ea typeface="Tahoma"/>
                  <a:cs typeface="Tahoma"/>
                </a:endParaRPr>
              </a:p>
            </xdr:txBody>
          </xdr:sp>
        </mc:Choice>
        <mc:Fallback/>
      </mc:AlternateContent>
      <mc:AlternateContent xmlns:mc="http://schemas.openxmlformats.org/markup-compatibility/2006">
        <mc:Choice xmlns:a14="http://schemas.microsoft.com/office/drawing/2010/main" Requires="a14">
          <xdr:sp macro="" textlink="">
            <xdr:nvSpPr>
              <xdr:cNvPr id="64515" name="Label 3" hidden="1">
                <a:extLst>
                  <a:ext uri="{63B3BB69-23CF-44E3-9099-C40C66FF867C}">
                    <a14:compatExt spid="_x0000_s64515"/>
                  </a:ext>
                </a:extLst>
              </xdr:cNvPr>
              <xdr:cNvSpPr/>
            </xdr:nvSpPr>
            <xdr:spPr bwMode="auto">
              <a:xfrm>
                <a:off x="8810625" y="10306050"/>
                <a:ext cx="361950" cy="19050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18288" rIns="0" bIns="0" anchor="t" upright="1"/>
              <a:lstStyle/>
              <a:p>
                <a:pPr algn="l" rtl="0">
                  <a:defRPr sz="1000"/>
                </a:pPr>
                <a:r>
                  <a:rPr lang="en-GB" sz="800" b="0" i="0" u="none" strike="noStrike" baseline="0">
                    <a:solidFill>
                      <a:srgbClr val="000000"/>
                    </a:solidFill>
                    <a:latin typeface="Tahoma"/>
                    <a:ea typeface="Tahoma"/>
                    <a:cs typeface="Tahoma"/>
                  </a:rPr>
                  <a:t>5,000</a:t>
                </a:r>
              </a:p>
              <a:p>
                <a:pPr algn="l" rtl="0">
                  <a:defRPr sz="1000"/>
                </a:pPr>
                <a:endParaRPr lang="en-GB" sz="800" b="0" i="0" u="none" strike="noStrike" baseline="0">
                  <a:solidFill>
                    <a:srgbClr val="000000"/>
                  </a:solidFill>
                  <a:latin typeface="Tahoma"/>
                  <a:ea typeface="Tahoma"/>
                  <a:cs typeface="Tahoma"/>
                </a:endParaRPr>
              </a:p>
            </xdr:txBody>
          </xdr:sp>
        </mc:Choice>
        <mc:Fallback/>
      </mc:AlternateContent>
      <mc:AlternateContent xmlns:mc="http://schemas.openxmlformats.org/markup-compatibility/2006">
        <mc:Choice xmlns:a14="http://schemas.microsoft.com/office/drawing/2010/main" Requires="a14">
          <xdr:sp macro="" textlink="">
            <xdr:nvSpPr>
              <xdr:cNvPr id="64516" name="Label 4" hidden="1">
                <a:extLst>
                  <a:ext uri="{63B3BB69-23CF-44E3-9099-C40C66FF867C}">
                    <a14:compatExt spid="_x0000_s64516"/>
                  </a:ext>
                </a:extLst>
              </xdr:cNvPr>
              <xdr:cNvSpPr/>
            </xdr:nvSpPr>
            <xdr:spPr bwMode="auto">
              <a:xfrm>
                <a:off x="9553575" y="10325100"/>
                <a:ext cx="361950" cy="19050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18288" rIns="0" bIns="0" anchor="t" upright="1"/>
              <a:lstStyle/>
              <a:p>
                <a:pPr algn="l" rtl="0">
                  <a:defRPr sz="1000"/>
                </a:pPr>
                <a:r>
                  <a:rPr lang="en-GB" sz="800" b="0" i="0" u="none" strike="noStrike" baseline="0">
                    <a:solidFill>
                      <a:srgbClr val="000000"/>
                    </a:solidFill>
                    <a:latin typeface="Tahoma"/>
                    <a:ea typeface="Tahoma"/>
                    <a:cs typeface="Tahoma"/>
                  </a:rPr>
                  <a:t>25,000</a:t>
                </a:r>
              </a:p>
              <a:p>
                <a:pPr algn="l" rtl="0">
                  <a:defRPr sz="1000"/>
                </a:pPr>
                <a:endParaRPr lang="en-GB" sz="800" b="0" i="0" u="none" strike="noStrike" baseline="0">
                  <a:solidFill>
                    <a:srgbClr val="000000"/>
                  </a:solidFill>
                  <a:latin typeface="Tahoma"/>
                  <a:ea typeface="Tahoma"/>
                  <a:cs typeface="Tahoma"/>
                </a:endParaRPr>
              </a:p>
            </xdr:txBody>
          </xdr:sp>
        </mc:Choice>
        <mc:Fallback/>
      </mc:AlternateContent>
      <mc:AlternateContent xmlns:mc="http://schemas.openxmlformats.org/markup-compatibility/2006">
        <mc:Choice xmlns:a14="http://schemas.microsoft.com/office/drawing/2010/main" Requires="a14">
          <xdr:sp macro="" textlink="">
            <xdr:nvSpPr>
              <xdr:cNvPr id="64518" name="Label 6" hidden="1">
                <a:extLst>
                  <a:ext uri="{63B3BB69-23CF-44E3-9099-C40C66FF867C}">
                    <a14:compatExt spid="_x0000_s64518"/>
                  </a:ext>
                </a:extLst>
              </xdr:cNvPr>
              <xdr:cNvSpPr/>
            </xdr:nvSpPr>
            <xdr:spPr bwMode="auto">
              <a:xfrm>
                <a:off x="8696325" y="9334500"/>
                <a:ext cx="933450" cy="19050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18288" rIns="0" bIns="0" anchor="t" upright="1"/>
              <a:lstStyle/>
              <a:p>
                <a:pPr algn="l" rtl="0">
                  <a:defRPr sz="1000"/>
                </a:pPr>
                <a:r>
                  <a:rPr lang="en-GB" sz="800" b="0" i="0" u="none" strike="noStrike" baseline="0">
                    <a:solidFill>
                      <a:srgbClr val="000000"/>
                    </a:solidFill>
                    <a:latin typeface="Tahoma"/>
                    <a:ea typeface="Tahoma"/>
                    <a:cs typeface="Tahoma"/>
                  </a:rPr>
                  <a:t>IDPs By Township</a:t>
                </a:r>
              </a:p>
            </xdr:txBody>
          </xdr:sp>
        </mc:Choice>
        <mc:Fallback/>
      </mc:AlternateContent>
    </xdr:grpSp>
    <xdr:clientData/>
  </xdr:twoCellAnchor>
  <xdr:twoCellAnchor>
    <xdr:from>
      <xdr:col>3</xdr:col>
      <xdr:colOff>60325</xdr:colOff>
      <xdr:row>26</xdr:row>
      <xdr:rowOff>102235</xdr:rowOff>
    </xdr:from>
    <xdr:to>
      <xdr:col>5</xdr:col>
      <xdr:colOff>120650</xdr:colOff>
      <xdr:row>29</xdr:row>
      <xdr:rowOff>158426</xdr:rowOff>
    </xdr:to>
    <xdr:grpSp>
      <xdr:nvGrpSpPr>
        <xdr:cNvPr id="294" name="Bhamo_G"/>
        <xdr:cNvGrpSpPr/>
      </xdr:nvGrpSpPr>
      <xdr:grpSpPr>
        <a:xfrm>
          <a:off x="2376805" y="6442075"/>
          <a:ext cx="1310005" cy="787711"/>
          <a:chOff x="12380951" y="1658202"/>
          <a:chExt cx="1893717" cy="2381154"/>
        </a:xfrm>
      </xdr:grpSpPr>
      <xdr:sp macro="" textlink="">
        <xdr:nvSpPr>
          <xdr:cNvPr id="295" name="Oval"/>
          <xdr:cNvSpPr/>
        </xdr:nvSpPr>
        <xdr:spPr>
          <a:xfrm>
            <a:off x="13054955" y="2287380"/>
            <a:ext cx="545709" cy="1122795"/>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3">
        <xdr:nvSpPr>
          <xdr:cNvPr id="296" name="Pop" hidden="1"/>
          <xdr:cNvSpPr txBox="1"/>
        </xdr:nvSpPr>
        <xdr:spPr>
          <a:xfrm>
            <a:off x="12959414" y="1658202"/>
            <a:ext cx="708964" cy="2381154"/>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9273BA99-35D0-4BB9-8F42-CC06738440FC}"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8,180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3">
        <xdr:nvSpPr>
          <xdr:cNvPr id="297" name="N_Camp" hidden="1"/>
          <xdr:cNvSpPr txBox="1"/>
        </xdr:nvSpPr>
        <xdr:spPr>
          <a:xfrm>
            <a:off x="13337141" y="2423689"/>
            <a:ext cx="836058" cy="86697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6C42A23B-2DF2-4863-8133-53944486F123}" type="TxLink">
              <a:rPr lang="en-US" sz="1600" b="0" i="0" u="none" strike="noStrike">
                <a:solidFill>
                  <a:srgbClr val="000000"/>
                </a:solidFill>
                <a:latin typeface="Calibri"/>
                <a:cs typeface="Arial" pitchFamily="34" charset="0"/>
              </a:rPr>
              <a:pPr algn="r"/>
              <a:t>11 cps</a:t>
            </a:fld>
            <a:endParaRPr lang="en-US" sz="600" i="1">
              <a:solidFill>
                <a:schemeClr val="tx1"/>
              </a:solidFill>
              <a:latin typeface="Arial" pitchFamily="34" charset="0"/>
              <a:cs typeface="Arial" pitchFamily="34" charset="0"/>
            </a:endParaRPr>
          </a:p>
        </xdr:txBody>
      </xdr:sp>
      <xdr:sp macro="" textlink="U3">
        <xdr:nvSpPr>
          <xdr:cNvPr id="298" name="Site"/>
          <xdr:cNvSpPr txBox="1"/>
        </xdr:nvSpPr>
        <xdr:spPr>
          <a:xfrm>
            <a:off x="12380951" y="1742302"/>
            <a:ext cx="1893717" cy="86697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6799850D-7B89-4F18-806B-B80FE2056D55}"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Bhamo</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99" name="Cluster"/>
          <xdr:cNvGrpSpPr/>
        </xdr:nvGrpSpPr>
        <xdr:grpSpPr>
          <a:xfrm>
            <a:off x="12477748" y="2348604"/>
            <a:ext cx="1732609" cy="380242"/>
            <a:chOff x="12477748" y="2348604"/>
            <a:chExt cx="1732609" cy="380242"/>
          </a:xfrm>
        </xdr:grpSpPr>
        <xdr:grpSp>
          <xdr:nvGrpSpPr>
            <xdr:cNvPr id="300" name="Shelter_G"/>
            <xdr:cNvGrpSpPr/>
          </xdr:nvGrpSpPr>
          <xdr:grpSpPr>
            <a:xfrm>
              <a:off x="12477748" y="2367654"/>
              <a:ext cx="332972" cy="361192"/>
              <a:chOff x="8585625" y="4782769"/>
              <a:chExt cx="147154" cy="166659"/>
            </a:xfrm>
          </xdr:grpSpPr>
          <xdr:pic>
            <xdr:nvPicPr>
              <xdr:cNvPr id="304"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305"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301" name="NFI_G"/>
            <xdr:cNvGrpSpPr/>
          </xdr:nvGrpSpPr>
          <xdr:grpSpPr>
            <a:xfrm>
              <a:off x="13877376" y="2348604"/>
              <a:ext cx="332981" cy="361192"/>
              <a:chOff x="8250078" y="5375644"/>
              <a:chExt cx="147158" cy="166659"/>
            </a:xfrm>
          </xdr:grpSpPr>
          <xdr:pic>
            <xdr:nvPicPr>
              <xdr:cNvPr id="302"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303"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6</xdr:col>
      <xdr:colOff>184150</xdr:colOff>
      <xdr:row>15</xdr:row>
      <xdr:rowOff>54610</xdr:rowOff>
    </xdr:from>
    <xdr:to>
      <xdr:col>8</xdr:col>
      <xdr:colOff>339725</xdr:colOff>
      <xdr:row>18</xdr:row>
      <xdr:rowOff>110801</xdr:rowOff>
    </xdr:to>
    <xdr:grpSp>
      <xdr:nvGrpSpPr>
        <xdr:cNvPr id="306" name="Chipwi_G"/>
        <xdr:cNvGrpSpPr/>
      </xdr:nvGrpSpPr>
      <xdr:grpSpPr>
        <a:xfrm>
          <a:off x="4436110" y="3712210"/>
          <a:ext cx="1298575" cy="787711"/>
          <a:chOff x="12380951" y="1658202"/>
          <a:chExt cx="1893717" cy="2381154"/>
        </a:xfrm>
      </xdr:grpSpPr>
      <xdr:sp macro="" textlink="">
        <xdr:nvSpPr>
          <xdr:cNvPr id="307" name="Oval"/>
          <xdr:cNvSpPr/>
        </xdr:nvSpPr>
        <xdr:spPr>
          <a:xfrm>
            <a:off x="13176636" y="2537739"/>
            <a:ext cx="302349" cy="622082"/>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4">
        <xdr:nvSpPr>
          <xdr:cNvPr id="308" name="Pop" hidden="1"/>
          <xdr:cNvSpPr txBox="1"/>
        </xdr:nvSpPr>
        <xdr:spPr>
          <a:xfrm>
            <a:off x="12959413" y="1658202"/>
            <a:ext cx="708965" cy="2381154"/>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DE78EA4B-D679-4915-AB8F-5A3D0489AE74}"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2,511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4">
        <xdr:nvSpPr>
          <xdr:cNvPr id="309" name="N_Camp" hidden="1"/>
          <xdr:cNvSpPr txBox="1"/>
        </xdr:nvSpPr>
        <xdr:spPr>
          <a:xfrm>
            <a:off x="13337142" y="2423689"/>
            <a:ext cx="836057" cy="86697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8F36904A-63C6-4AA7-B666-E490224A523D}" type="TxLink">
              <a:rPr lang="en-US" sz="1600" b="0" i="0" u="none" strike="noStrike">
                <a:solidFill>
                  <a:srgbClr val="000000"/>
                </a:solidFill>
                <a:latin typeface="Calibri"/>
                <a:cs typeface="Arial" pitchFamily="34" charset="0"/>
              </a:rPr>
              <a:pPr algn="r"/>
              <a:t>6 cps</a:t>
            </a:fld>
            <a:endParaRPr lang="en-US" sz="600" i="1">
              <a:solidFill>
                <a:schemeClr val="tx1"/>
              </a:solidFill>
              <a:latin typeface="Arial" pitchFamily="34" charset="0"/>
              <a:cs typeface="Arial" pitchFamily="34" charset="0"/>
            </a:endParaRPr>
          </a:p>
        </xdr:txBody>
      </xdr:sp>
      <xdr:sp macro="" textlink="U4">
        <xdr:nvSpPr>
          <xdr:cNvPr id="310" name="Site"/>
          <xdr:cNvSpPr txBox="1"/>
        </xdr:nvSpPr>
        <xdr:spPr>
          <a:xfrm>
            <a:off x="12380951" y="1742302"/>
            <a:ext cx="1893717" cy="86697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3D6F3DDB-E7D0-4E0D-A69C-AD2A728D88CF}"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Chipwi</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311" name="Cluster"/>
          <xdr:cNvGrpSpPr/>
        </xdr:nvGrpSpPr>
        <xdr:grpSpPr>
          <a:xfrm>
            <a:off x="12477748" y="2348604"/>
            <a:ext cx="1732609" cy="380242"/>
            <a:chOff x="12477748" y="2348604"/>
            <a:chExt cx="1732609" cy="380242"/>
          </a:xfrm>
        </xdr:grpSpPr>
        <xdr:grpSp>
          <xdr:nvGrpSpPr>
            <xdr:cNvPr id="312" name="Shelter_G"/>
            <xdr:cNvGrpSpPr/>
          </xdr:nvGrpSpPr>
          <xdr:grpSpPr>
            <a:xfrm>
              <a:off x="12477748" y="2367654"/>
              <a:ext cx="332972" cy="361192"/>
              <a:chOff x="8585625" y="4782769"/>
              <a:chExt cx="147154" cy="166659"/>
            </a:xfrm>
          </xdr:grpSpPr>
          <xdr:pic>
            <xdr:nvPicPr>
              <xdr:cNvPr id="316"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317"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313" name="NFI_G"/>
            <xdr:cNvGrpSpPr/>
          </xdr:nvGrpSpPr>
          <xdr:grpSpPr>
            <a:xfrm>
              <a:off x="13877376" y="2348604"/>
              <a:ext cx="332981" cy="361192"/>
              <a:chOff x="8250078" y="5375644"/>
              <a:chExt cx="147158" cy="166659"/>
            </a:xfrm>
          </xdr:grpSpPr>
          <xdr:pic>
            <xdr:nvPicPr>
              <xdr:cNvPr id="314"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315"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1</xdr:col>
      <xdr:colOff>219075</xdr:colOff>
      <xdr:row>15</xdr:row>
      <xdr:rowOff>80010</xdr:rowOff>
    </xdr:from>
    <xdr:to>
      <xdr:col>3</xdr:col>
      <xdr:colOff>88900</xdr:colOff>
      <xdr:row>18</xdr:row>
      <xdr:rowOff>136201</xdr:rowOff>
    </xdr:to>
    <xdr:grpSp>
      <xdr:nvGrpSpPr>
        <xdr:cNvPr id="318" name="Hpakant_G"/>
        <xdr:cNvGrpSpPr/>
      </xdr:nvGrpSpPr>
      <xdr:grpSpPr>
        <a:xfrm>
          <a:off x="1087755" y="3737610"/>
          <a:ext cx="1317625" cy="787711"/>
          <a:chOff x="12380951" y="1658202"/>
          <a:chExt cx="1893717" cy="2381154"/>
        </a:xfrm>
      </xdr:grpSpPr>
      <xdr:sp macro="" textlink="">
        <xdr:nvSpPr>
          <xdr:cNvPr id="319" name="Oval"/>
          <xdr:cNvSpPr/>
        </xdr:nvSpPr>
        <xdr:spPr>
          <a:xfrm>
            <a:off x="13148668" y="2480197"/>
            <a:ext cx="358282" cy="737165"/>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5">
        <xdr:nvSpPr>
          <xdr:cNvPr id="320" name="Pop" hidden="1"/>
          <xdr:cNvSpPr txBox="1"/>
        </xdr:nvSpPr>
        <xdr:spPr>
          <a:xfrm>
            <a:off x="12959413" y="1658202"/>
            <a:ext cx="708963" cy="2381154"/>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BE2ADA57-BD98-4C51-952F-15622A29B7C5}"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3,526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5">
        <xdr:nvSpPr>
          <xdr:cNvPr id="321" name="N_Camp" hidden="1"/>
          <xdr:cNvSpPr txBox="1"/>
        </xdr:nvSpPr>
        <xdr:spPr>
          <a:xfrm>
            <a:off x="13337142" y="2423689"/>
            <a:ext cx="836058" cy="86697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79666F59-CCC9-4969-A589-D8EDCA998D08}" type="TxLink">
              <a:rPr lang="en-US" sz="1600" b="0" i="0" u="none" strike="noStrike">
                <a:solidFill>
                  <a:srgbClr val="000000"/>
                </a:solidFill>
                <a:latin typeface="Calibri"/>
                <a:cs typeface="Arial" pitchFamily="34" charset="0"/>
              </a:rPr>
              <a:pPr algn="r"/>
              <a:t>20 cps</a:t>
            </a:fld>
            <a:endParaRPr lang="en-US" sz="600" i="1">
              <a:solidFill>
                <a:schemeClr val="tx1"/>
              </a:solidFill>
              <a:latin typeface="Arial" pitchFamily="34" charset="0"/>
              <a:cs typeface="Arial" pitchFamily="34" charset="0"/>
            </a:endParaRPr>
          </a:p>
        </xdr:txBody>
      </xdr:sp>
      <xdr:sp macro="" textlink="U5">
        <xdr:nvSpPr>
          <xdr:cNvPr id="322" name="Site"/>
          <xdr:cNvSpPr txBox="1"/>
        </xdr:nvSpPr>
        <xdr:spPr>
          <a:xfrm>
            <a:off x="12380951" y="1742302"/>
            <a:ext cx="1893717" cy="86697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C981D535-3090-48D8-8735-6310CA7A62FC}"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Hpakant</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323" name="Cluster"/>
          <xdr:cNvGrpSpPr/>
        </xdr:nvGrpSpPr>
        <xdr:grpSpPr>
          <a:xfrm>
            <a:off x="12477748" y="2348604"/>
            <a:ext cx="1732609" cy="380242"/>
            <a:chOff x="12477748" y="2348604"/>
            <a:chExt cx="1732609" cy="380242"/>
          </a:xfrm>
        </xdr:grpSpPr>
        <xdr:grpSp>
          <xdr:nvGrpSpPr>
            <xdr:cNvPr id="324" name="Shelter_G"/>
            <xdr:cNvGrpSpPr/>
          </xdr:nvGrpSpPr>
          <xdr:grpSpPr>
            <a:xfrm>
              <a:off x="12477748" y="2367654"/>
              <a:ext cx="332972" cy="361192"/>
              <a:chOff x="8585625" y="4782769"/>
              <a:chExt cx="147154" cy="166659"/>
            </a:xfrm>
          </xdr:grpSpPr>
          <xdr:pic>
            <xdr:nvPicPr>
              <xdr:cNvPr id="328"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329"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325" name="NFI_G"/>
            <xdr:cNvGrpSpPr/>
          </xdr:nvGrpSpPr>
          <xdr:grpSpPr>
            <a:xfrm>
              <a:off x="13877376" y="2348604"/>
              <a:ext cx="332981" cy="361192"/>
              <a:chOff x="8250078" y="5375644"/>
              <a:chExt cx="147158" cy="166659"/>
            </a:xfrm>
          </xdr:grpSpPr>
          <xdr:pic>
            <xdr:nvPicPr>
              <xdr:cNvPr id="326"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327"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5</xdr:col>
      <xdr:colOff>473075</xdr:colOff>
      <xdr:row>33</xdr:row>
      <xdr:rowOff>130175</xdr:rowOff>
    </xdr:from>
    <xdr:to>
      <xdr:col>7</xdr:col>
      <xdr:colOff>533400</xdr:colOff>
      <xdr:row>36</xdr:row>
      <xdr:rowOff>34692</xdr:rowOff>
    </xdr:to>
    <xdr:grpSp>
      <xdr:nvGrpSpPr>
        <xdr:cNvPr id="330" name="Hseni_G"/>
        <xdr:cNvGrpSpPr/>
      </xdr:nvGrpSpPr>
      <xdr:grpSpPr>
        <a:xfrm>
          <a:off x="4039235" y="8176895"/>
          <a:ext cx="1310005" cy="636037"/>
          <a:chOff x="12380951" y="1748589"/>
          <a:chExt cx="1893717" cy="1900439"/>
        </a:xfrm>
      </xdr:grpSpPr>
      <xdr:sp macro="" textlink="">
        <xdr:nvSpPr>
          <xdr:cNvPr id="331" name="Oval"/>
          <xdr:cNvSpPr/>
        </xdr:nvSpPr>
        <xdr:spPr>
          <a:xfrm>
            <a:off x="13256163" y="2552372"/>
            <a:ext cx="143293" cy="292875"/>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6">
        <xdr:nvSpPr>
          <xdr:cNvPr id="332" name="Pop" hidden="1"/>
          <xdr:cNvSpPr txBox="1"/>
        </xdr:nvSpPr>
        <xdr:spPr>
          <a:xfrm>
            <a:off x="12959414" y="2048528"/>
            <a:ext cx="708964" cy="1600500"/>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DFA05A17-44EA-4A65-984E-CFCA4E4E723D}"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564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6">
        <xdr:nvSpPr>
          <xdr:cNvPr id="333" name="N_Camp" hidden="1"/>
          <xdr:cNvSpPr txBox="1"/>
        </xdr:nvSpPr>
        <xdr:spPr>
          <a:xfrm>
            <a:off x="13337142" y="2429979"/>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798AC4AF-437C-41AF-8C64-E5C8A980E40F}" type="TxLink">
              <a:rPr lang="en-US" sz="1600" b="0" i="0" u="none" strike="noStrike">
                <a:solidFill>
                  <a:srgbClr val="000000"/>
                </a:solidFill>
                <a:latin typeface="Calibri"/>
                <a:cs typeface="Arial" pitchFamily="34" charset="0"/>
              </a:rPr>
              <a:pPr algn="r"/>
              <a:t>2 cps</a:t>
            </a:fld>
            <a:endParaRPr lang="en-US" sz="600" i="1">
              <a:solidFill>
                <a:schemeClr val="tx1"/>
              </a:solidFill>
              <a:latin typeface="Arial" pitchFamily="34" charset="0"/>
              <a:cs typeface="Arial" pitchFamily="34" charset="0"/>
            </a:endParaRPr>
          </a:p>
        </xdr:txBody>
      </xdr:sp>
      <xdr:sp macro="" textlink="U6">
        <xdr:nvSpPr>
          <xdr:cNvPr id="334"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6E3BB1E8-7AF1-4E4B-8A50-705FC252EE93}"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Hseni</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335" name="Cluster"/>
          <xdr:cNvGrpSpPr/>
        </xdr:nvGrpSpPr>
        <xdr:grpSpPr>
          <a:xfrm>
            <a:off x="12477748" y="2348604"/>
            <a:ext cx="1732609" cy="380242"/>
            <a:chOff x="12477748" y="2348604"/>
            <a:chExt cx="1732609" cy="380242"/>
          </a:xfrm>
        </xdr:grpSpPr>
        <xdr:grpSp>
          <xdr:nvGrpSpPr>
            <xdr:cNvPr id="336" name="Shelter_G"/>
            <xdr:cNvGrpSpPr/>
          </xdr:nvGrpSpPr>
          <xdr:grpSpPr>
            <a:xfrm>
              <a:off x="12477748" y="2367654"/>
              <a:ext cx="332972" cy="361192"/>
              <a:chOff x="8585625" y="4782769"/>
              <a:chExt cx="147154" cy="166659"/>
            </a:xfrm>
          </xdr:grpSpPr>
          <xdr:pic>
            <xdr:nvPicPr>
              <xdr:cNvPr id="340"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341"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337" name="NFI_G"/>
            <xdr:cNvGrpSpPr/>
          </xdr:nvGrpSpPr>
          <xdr:grpSpPr>
            <a:xfrm>
              <a:off x="13877376" y="2348604"/>
              <a:ext cx="332981" cy="361192"/>
              <a:chOff x="8250078" y="5375644"/>
              <a:chExt cx="147158" cy="166659"/>
            </a:xfrm>
          </xdr:grpSpPr>
          <xdr:pic>
            <xdr:nvPicPr>
              <xdr:cNvPr id="338"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339"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5</xdr:col>
      <xdr:colOff>130175</xdr:colOff>
      <xdr:row>13</xdr:row>
      <xdr:rowOff>13756</xdr:rowOff>
    </xdr:from>
    <xdr:to>
      <xdr:col>7</xdr:col>
      <xdr:colOff>190500</xdr:colOff>
      <xdr:row>15</xdr:row>
      <xdr:rowOff>38231</xdr:rowOff>
    </xdr:to>
    <xdr:grpSp>
      <xdr:nvGrpSpPr>
        <xdr:cNvPr id="342" name="Injangyang_G"/>
        <xdr:cNvGrpSpPr/>
      </xdr:nvGrpSpPr>
      <xdr:grpSpPr>
        <a:xfrm>
          <a:off x="3696335" y="3183676"/>
          <a:ext cx="1310005" cy="512155"/>
          <a:chOff x="12380951" y="1742182"/>
          <a:chExt cx="1893717" cy="1548606"/>
        </a:xfrm>
      </xdr:grpSpPr>
      <xdr:sp macro="" textlink="">
        <xdr:nvSpPr>
          <xdr:cNvPr id="343" name="Oval"/>
          <xdr:cNvSpPr/>
        </xdr:nvSpPr>
        <xdr:spPr>
          <a:xfrm>
            <a:off x="13327810" y="2516484"/>
            <a:ext cx="0" cy="0"/>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7">
        <xdr:nvSpPr>
          <xdr:cNvPr id="344" name="Pop" hidden="1"/>
          <xdr:cNvSpPr txBox="1"/>
        </xdr:nvSpPr>
        <xdr:spPr>
          <a:xfrm>
            <a:off x="12959414" y="2415174"/>
            <a:ext cx="708964" cy="867214"/>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E154C8BB-DB81-4D26-9446-29926BA608BD}"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7">
        <xdr:nvSpPr>
          <xdr:cNvPr id="345" name="N_Camp" hidden="1"/>
          <xdr:cNvSpPr txBox="1"/>
        </xdr:nvSpPr>
        <xdr:spPr>
          <a:xfrm>
            <a:off x="13337141" y="2423574"/>
            <a:ext cx="836058" cy="867214"/>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55704D7C-F784-4D49-8B35-70ECAD78DDC8}" type="TxLink">
              <a:rPr lang="en-US" sz="1600" b="0" i="0" u="none" strike="noStrike">
                <a:solidFill>
                  <a:srgbClr val="000000"/>
                </a:solidFill>
                <a:latin typeface="Calibri"/>
                <a:cs typeface="Arial" pitchFamily="34" charset="0"/>
              </a:rPr>
              <a:pPr algn="r"/>
              <a:t>0 cp</a:t>
            </a:fld>
            <a:endParaRPr lang="en-US" sz="600" i="1">
              <a:solidFill>
                <a:schemeClr val="tx1"/>
              </a:solidFill>
              <a:latin typeface="Arial" pitchFamily="34" charset="0"/>
              <a:cs typeface="Arial" pitchFamily="34" charset="0"/>
            </a:endParaRPr>
          </a:p>
        </xdr:txBody>
      </xdr:sp>
      <xdr:sp macro="" textlink="U7">
        <xdr:nvSpPr>
          <xdr:cNvPr id="346" name="Site"/>
          <xdr:cNvSpPr txBox="1"/>
        </xdr:nvSpPr>
        <xdr:spPr>
          <a:xfrm>
            <a:off x="12380951" y="1742182"/>
            <a:ext cx="1893717" cy="867214"/>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0C2DAE86-425B-4532-8937-40A0EC43A178}"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Injangyang</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347" name="Cluster"/>
          <xdr:cNvGrpSpPr/>
        </xdr:nvGrpSpPr>
        <xdr:grpSpPr>
          <a:xfrm>
            <a:off x="12477748" y="2348604"/>
            <a:ext cx="1732609" cy="380242"/>
            <a:chOff x="12477748" y="2348604"/>
            <a:chExt cx="1732609" cy="380242"/>
          </a:xfrm>
        </xdr:grpSpPr>
        <xdr:grpSp>
          <xdr:nvGrpSpPr>
            <xdr:cNvPr id="348" name="Shelter_G"/>
            <xdr:cNvGrpSpPr/>
          </xdr:nvGrpSpPr>
          <xdr:grpSpPr>
            <a:xfrm>
              <a:off x="12477748" y="2367654"/>
              <a:ext cx="332972" cy="361192"/>
              <a:chOff x="8585625" y="4782769"/>
              <a:chExt cx="147154" cy="166659"/>
            </a:xfrm>
          </xdr:grpSpPr>
          <xdr:pic>
            <xdr:nvPicPr>
              <xdr:cNvPr id="352"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353"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349" name="NFI_G"/>
            <xdr:cNvGrpSpPr/>
          </xdr:nvGrpSpPr>
          <xdr:grpSpPr>
            <a:xfrm>
              <a:off x="13877376" y="2348604"/>
              <a:ext cx="332981" cy="361192"/>
              <a:chOff x="8250078" y="5375644"/>
              <a:chExt cx="147158" cy="166659"/>
            </a:xfrm>
          </xdr:grpSpPr>
          <xdr:pic>
            <xdr:nvPicPr>
              <xdr:cNvPr id="350"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351"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6</xdr:col>
      <xdr:colOff>237490</xdr:colOff>
      <xdr:row>7</xdr:row>
      <xdr:rowOff>32202</xdr:rowOff>
    </xdr:from>
    <xdr:to>
      <xdr:col>8</xdr:col>
      <xdr:colOff>374015</xdr:colOff>
      <xdr:row>9</xdr:row>
      <xdr:rowOff>181885</xdr:rowOff>
    </xdr:to>
    <xdr:grpSp>
      <xdr:nvGrpSpPr>
        <xdr:cNvPr id="354" name="Khaunglanhpu_G"/>
        <xdr:cNvGrpSpPr/>
      </xdr:nvGrpSpPr>
      <xdr:grpSpPr>
        <a:xfrm>
          <a:off x="4489450" y="1739082"/>
          <a:ext cx="1279525" cy="637363"/>
          <a:chOff x="12380951" y="1363461"/>
          <a:chExt cx="1893717" cy="1927365"/>
        </a:xfrm>
      </xdr:grpSpPr>
      <xdr:sp macro="" textlink="">
        <xdr:nvSpPr>
          <xdr:cNvPr id="355" name="Oval"/>
          <xdr:cNvSpPr/>
        </xdr:nvSpPr>
        <xdr:spPr>
          <a:xfrm>
            <a:off x="13315371" y="2304143"/>
            <a:ext cx="24878" cy="51632"/>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8">
        <xdr:nvSpPr>
          <xdr:cNvPr id="356" name="Pop" hidden="1"/>
          <xdr:cNvSpPr txBox="1"/>
        </xdr:nvSpPr>
        <xdr:spPr>
          <a:xfrm>
            <a:off x="12959414" y="2415133"/>
            <a:ext cx="708964" cy="867289"/>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7209EFBD-2612-4A2A-93E7-81A834783C73}"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17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8">
        <xdr:nvSpPr>
          <xdr:cNvPr id="357" name="N_Camp" hidden="1"/>
          <xdr:cNvSpPr txBox="1"/>
        </xdr:nvSpPr>
        <xdr:spPr>
          <a:xfrm>
            <a:off x="13337142" y="2423537"/>
            <a:ext cx="836058" cy="867289"/>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AE3D3C4E-8817-4DE6-B09A-9206B31BDA85}" type="TxLink">
              <a:rPr lang="en-US" sz="1600" b="0" i="0" u="none" strike="noStrike">
                <a:solidFill>
                  <a:srgbClr val="000000"/>
                </a:solidFill>
                <a:latin typeface="Calibri"/>
                <a:cs typeface="Arial" pitchFamily="34" charset="0"/>
              </a:rPr>
              <a:pPr algn="r"/>
              <a:t>1 cp</a:t>
            </a:fld>
            <a:endParaRPr lang="en-US" sz="600" i="1">
              <a:solidFill>
                <a:schemeClr val="tx1"/>
              </a:solidFill>
              <a:latin typeface="Arial" pitchFamily="34" charset="0"/>
              <a:cs typeface="Arial" pitchFamily="34" charset="0"/>
            </a:endParaRPr>
          </a:p>
        </xdr:txBody>
      </xdr:sp>
      <xdr:sp macro="" textlink="U8">
        <xdr:nvSpPr>
          <xdr:cNvPr id="358" name="Site"/>
          <xdr:cNvSpPr txBox="1"/>
        </xdr:nvSpPr>
        <xdr:spPr>
          <a:xfrm>
            <a:off x="12380951" y="1363461"/>
            <a:ext cx="1893717" cy="162465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587CE569-387A-4BD7-8936-E7DC52A87378}"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Khaunglanhpu</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359" name="Cluster"/>
          <xdr:cNvGrpSpPr/>
        </xdr:nvGrpSpPr>
        <xdr:grpSpPr>
          <a:xfrm>
            <a:off x="12477748" y="2348604"/>
            <a:ext cx="1732609" cy="380242"/>
            <a:chOff x="12477748" y="2348604"/>
            <a:chExt cx="1732609" cy="380242"/>
          </a:xfrm>
        </xdr:grpSpPr>
        <xdr:grpSp>
          <xdr:nvGrpSpPr>
            <xdr:cNvPr id="360" name="Shelter_G"/>
            <xdr:cNvGrpSpPr/>
          </xdr:nvGrpSpPr>
          <xdr:grpSpPr>
            <a:xfrm>
              <a:off x="12477748" y="2367654"/>
              <a:ext cx="332972" cy="361192"/>
              <a:chOff x="8585625" y="4782769"/>
              <a:chExt cx="147154" cy="166659"/>
            </a:xfrm>
          </xdr:grpSpPr>
          <xdr:pic>
            <xdr:nvPicPr>
              <xdr:cNvPr id="364"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365"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361" name="NFI_G"/>
            <xdr:cNvGrpSpPr/>
          </xdr:nvGrpSpPr>
          <xdr:grpSpPr>
            <a:xfrm>
              <a:off x="13877376" y="2348604"/>
              <a:ext cx="332981" cy="361192"/>
              <a:chOff x="8250078" y="5375644"/>
              <a:chExt cx="147158" cy="166659"/>
            </a:xfrm>
          </xdr:grpSpPr>
          <xdr:pic>
            <xdr:nvPicPr>
              <xdr:cNvPr id="362"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363"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5</xdr:col>
      <xdr:colOff>473075</xdr:colOff>
      <xdr:row>31</xdr:row>
      <xdr:rowOff>143510</xdr:rowOff>
    </xdr:from>
    <xdr:to>
      <xdr:col>7</xdr:col>
      <xdr:colOff>533400</xdr:colOff>
      <xdr:row>34</xdr:row>
      <xdr:rowOff>199701</xdr:rowOff>
    </xdr:to>
    <xdr:grpSp>
      <xdr:nvGrpSpPr>
        <xdr:cNvPr id="366" name="Kutkai_G"/>
        <xdr:cNvGrpSpPr/>
      </xdr:nvGrpSpPr>
      <xdr:grpSpPr>
        <a:xfrm>
          <a:off x="4039235" y="7702550"/>
          <a:ext cx="1310005" cy="787711"/>
          <a:chOff x="12380951" y="1658202"/>
          <a:chExt cx="1893717" cy="2381154"/>
        </a:xfrm>
      </xdr:grpSpPr>
      <xdr:sp macro="" textlink="">
        <xdr:nvSpPr>
          <xdr:cNvPr id="367" name="Oval"/>
          <xdr:cNvSpPr/>
        </xdr:nvSpPr>
        <xdr:spPr>
          <a:xfrm>
            <a:off x="13152494" y="2488067"/>
            <a:ext cx="350631" cy="721422"/>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9">
        <xdr:nvSpPr>
          <xdr:cNvPr id="368" name="Pop" hidden="1"/>
          <xdr:cNvSpPr txBox="1"/>
        </xdr:nvSpPr>
        <xdr:spPr>
          <a:xfrm>
            <a:off x="12959414" y="1658202"/>
            <a:ext cx="708964" cy="2381154"/>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6C21CCCB-597E-419F-B643-0A3F40DDAC20}"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3,377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9">
        <xdr:nvSpPr>
          <xdr:cNvPr id="369" name="N_Camp" hidden="1"/>
          <xdr:cNvSpPr txBox="1"/>
        </xdr:nvSpPr>
        <xdr:spPr>
          <a:xfrm>
            <a:off x="13337141" y="2423689"/>
            <a:ext cx="836058" cy="86697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A8D79E92-A487-4336-A586-BF1F75BEA5E8}" type="TxLink">
              <a:rPr lang="en-US" sz="1600" b="0" i="0" u="none" strike="noStrike">
                <a:solidFill>
                  <a:srgbClr val="000000"/>
                </a:solidFill>
                <a:latin typeface="Calibri"/>
                <a:cs typeface="Arial" pitchFamily="34" charset="0"/>
              </a:rPr>
              <a:pPr algn="r"/>
              <a:t>9 cps</a:t>
            </a:fld>
            <a:endParaRPr lang="en-US" sz="600" i="1">
              <a:solidFill>
                <a:schemeClr val="tx1"/>
              </a:solidFill>
              <a:latin typeface="Arial" pitchFamily="34" charset="0"/>
              <a:cs typeface="Arial" pitchFamily="34" charset="0"/>
            </a:endParaRPr>
          </a:p>
        </xdr:txBody>
      </xdr:sp>
      <xdr:sp macro="" textlink="U9">
        <xdr:nvSpPr>
          <xdr:cNvPr id="370" name="Site"/>
          <xdr:cNvSpPr txBox="1"/>
        </xdr:nvSpPr>
        <xdr:spPr>
          <a:xfrm>
            <a:off x="12380951" y="1742302"/>
            <a:ext cx="1893717" cy="86697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C5C76600-EBC3-44AE-86E9-B08BC527DE69}"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Kutkai</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371" name="Cluster"/>
          <xdr:cNvGrpSpPr/>
        </xdr:nvGrpSpPr>
        <xdr:grpSpPr>
          <a:xfrm>
            <a:off x="12477748" y="2348604"/>
            <a:ext cx="1732609" cy="380242"/>
            <a:chOff x="12477748" y="2348604"/>
            <a:chExt cx="1732609" cy="380242"/>
          </a:xfrm>
        </xdr:grpSpPr>
        <xdr:grpSp>
          <xdr:nvGrpSpPr>
            <xdr:cNvPr id="372" name="Shelter_G"/>
            <xdr:cNvGrpSpPr/>
          </xdr:nvGrpSpPr>
          <xdr:grpSpPr>
            <a:xfrm>
              <a:off x="12477748" y="2367654"/>
              <a:ext cx="332972" cy="361192"/>
              <a:chOff x="8585625" y="4782769"/>
              <a:chExt cx="147154" cy="166659"/>
            </a:xfrm>
          </xdr:grpSpPr>
          <xdr:pic>
            <xdr:nvPicPr>
              <xdr:cNvPr id="376"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377"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373" name="NFI_G"/>
            <xdr:cNvGrpSpPr/>
          </xdr:nvGrpSpPr>
          <xdr:grpSpPr>
            <a:xfrm>
              <a:off x="13877376" y="2348604"/>
              <a:ext cx="332981" cy="361192"/>
              <a:chOff x="8250078" y="5375644"/>
              <a:chExt cx="147158" cy="166659"/>
            </a:xfrm>
          </xdr:grpSpPr>
          <xdr:pic>
            <xdr:nvPicPr>
              <xdr:cNvPr id="374"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375"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5</xdr:col>
      <xdr:colOff>104775</xdr:colOff>
      <xdr:row>6</xdr:row>
      <xdr:rowOff>80845</xdr:rowOff>
    </xdr:from>
    <xdr:to>
      <xdr:col>7</xdr:col>
      <xdr:colOff>165100</xdr:colOff>
      <xdr:row>8</xdr:row>
      <xdr:rowOff>231207</xdr:rowOff>
    </xdr:to>
    <xdr:grpSp>
      <xdr:nvGrpSpPr>
        <xdr:cNvPr id="378" name="Machanbaw_G"/>
        <xdr:cNvGrpSpPr/>
      </xdr:nvGrpSpPr>
      <xdr:grpSpPr>
        <a:xfrm>
          <a:off x="3670935" y="1543885"/>
          <a:ext cx="1310005" cy="638042"/>
          <a:chOff x="12380951" y="1743449"/>
          <a:chExt cx="1893717" cy="1923611"/>
        </a:xfrm>
      </xdr:grpSpPr>
      <xdr:sp macro="" textlink="">
        <xdr:nvSpPr>
          <xdr:cNvPr id="379" name="Oval"/>
          <xdr:cNvSpPr/>
        </xdr:nvSpPr>
        <xdr:spPr>
          <a:xfrm>
            <a:off x="13327810" y="2703009"/>
            <a:ext cx="0" cy="0"/>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10">
        <xdr:nvSpPr>
          <xdr:cNvPr id="380" name="Pop" hidden="1"/>
          <xdr:cNvSpPr txBox="1"/>
        </xdr:nvSpPr>
        <xdr:spPr>
          <a:xfrm>
            <a:off x="12959414" y="2416439"/>
            <a:ext cx="708964" cy="864679"/>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A0F6553B-0D4D-4E9F-8358-322F36CBB601}"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10">
        <xdr:nvSpPr>
          <xdr:cNvPr id="381" name="N_Camp" hidden="1"/>
          <xdr:cNvSpPr txBox="1"/>
        </xdr:nvSpPr>
        <xdr:spPr>
          <a:xfrm>
            <a:off x="13337141" y="2047299"/>
            <a:ext cx="836058" cy="1619761"/>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0C565053-30C0-4F00-9F0B-D9AD3FE9DD8F}" type="TxLink">
              <a:rPr lang="en-US" sz="1600" b="0" i="0" u="none" strike="noStrike">
                <a:solidFill>
                  <a:srgbClr val="000000"/>
                </a:solidFill>
                <a:latin typeface="Calibri"/>
                <a:cs typeface="Arial" pitchFamily="34" charset="0"/>
              </a:rPr>
              <a:pPr algn="r"/>
              <a:t>Bhamo</a:t>
            </a:fld>
            <a:endParaRPr lang="en-US" sz="600" i="1">
              <a:solidFill>
                <a:schemeClr val="tx1"/>
              </a:solidFill>
              <a:latin typeface="Arial" pitchFamily="34" charset="0"/>
              <a:cs typeface="Arial" pitchFamily="34" charset="0"/>
            </a:endParaRPr>
          </a:p>
        </xdr:txBody>
      </xdr:sp>
      <xdr:sp macro="" textlink="U10">
        <xdr:nvSpPr>
          <xdr:cNvPr id="382" name="Site"/>
          <xdr:cNvSpPr txBox="1"/>
        </xdr:nvSpPr>
        <xdr:spPr>
          <a:xfrm>
            <a:off x="12380951" y="1743449"/>
            <a:ext cx="1893717" cy="864679"/>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3425D6CF-9F5C-4528-AF6D-171A9A443DD4}"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Machanbaw</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383" name="Cluster"/>
          <xdr:cNvGrpSpPr/>
        </xdr:nvGrpSpPr>
        <xdr:grpSpPr>
          <a:xfrm>
            <a:off x="12477748" y="2348604"/>
            <a:ext cx="1732609" cy="380242"/>
            <a:chOff x="12477748" y="2348604"/>
            <a:chExt cx="1732609" cy="380242"/>
          </a:xfrm>
        </xdr:grpSpPr>
        <xdr:grpSp>
          <xdr:nvGrpSpPr>
            <xdr:cNvPr id="384" name="Shelter_G"/>
            <xdr:cNvGrpSpPr/>
          </xdr:nvGrpSpPr>
          <xdr:grpSpPr>
            <a:xfrm>
              <a:off x="12477748" y="2367654"/>
              <a:ext cx="332972" cy="361192"/>
              <a:chOff x="8585625" y="4782769"/>
              <a:chExt cx="147154" cy="166659"/>
            </a:xfrm>
          </xdr:grpSpPr>
          <xdr:pic>
            <xdr:nvPicPr>
              <xdr:cNvPr id="388"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389"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385" name="NFI_G"/>
            <xdr:cNvGrpSpPr/>
          </xdr:nvGrpSpPr>
          <xdr:grpSpPr>
            <a:xfrm>
              <a:off x="13877376" y="2348604"/>
              <a:ext cx="332981" cy="361192"/>
              <a:chOff x="8250078" y="5375644"/>
              <a:chExt cx="147158" cy="166659"/>
            </a:xfrm>
          </xdr:grpSpPr>
          <xdr:pic>
            <xdr:nvPicPr>
              <xdr:cNvPr id="386"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387"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3</xdr:col>
      <xdr:colOff>466725</xdr:colOff>
      <xdr:row>28</xdr:row>
      <xdr:rowOff>121285</xdr:rowOff>
    </xdr:from>
    <xdr:to>
      <xdr:col>5</xdr:col>
      <xdr:colOff>527050</xdr:colOff>
      <xdr:row>31</xdr:row>
      <xdr:rowOff>177476</xdr:rowOff>
    </xdr:to>
    <xdr:grpSp>
      <xdr:nvGrpSpPr>
        <xdr:cNvPr id="390" name="Mansi_G"/>
        <xdr:cNvGrpSpPr/>
      </xdr:nvGrpSpPr>
      <xdr:grpSpPr>
        <a:xfrm>
          <a:off x="2783205" y="6948805"/>
          <a:ext cx="1310005" cy="787711"/>
          <a:chOff x="12380951" y="1658202"/>
          <a:chExt cx="1893717" cy="2381154"/>
        </a:xfrm>
      </xdr:grpSpPr>
      <xdr:sp macro="" textlink="">
        <xdr:nvSpPr>
          <xdr:cNvPr id="391" name="Oval"/>
          <xdr:cNvSpPr/>
        </xdr:nvSpPr>
        <xdr:spPr>
          <a:xfrm>
            <a:off x="12987466" y="2148526"/>
            <a:ext cx="680688" cy="1400513"/>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11">
        <xdr:nvSpPr>
          <xdr:cNvPr id="392" name="Pop" hidden="1"/>
          <xdr:cNvSpPr txBox="1"/>
        </xdr:nvSpPr>
        <xdr:spPr>
          <a:xfrm>
            <a:off x="12959414" y="1658202"/>
            <a:ext cx="708964" cy="2381154"/>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300E090D-4D79-403D-8E45-D6D1D744A4F1}"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12,727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11">
        <xdr:nvSpPr>
          <xdr:cNvPr id="393" name="N_Camp" hidden="1"/>
          <xdr:cNvSpPr txBox="1"/>
        </xdr:nvSpPr>
        <xdr:spPr>
          <a:xfrm>
            <a:off x="13337141" y="2423689"/>
            <a:ext cx="836058" cy="86697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AA05BDB6-6366-489D-A742-E65D239C4F16}" type="TxLink">
              <a:rPr lang="en-US" sz="1600" b="0" i="0" u="none" strike="noStrike">
                <a:solidFill>
                  <a:srgbClr val="000000"/>
                </a:solidFill>
                <a:latin typeface="Calibri"/>
                <a:cs typeface="Arial" pitchFamily="34" charset="0"/>
              </a:rPr>
              <a:pPr algn="r"/>
              <a:t>12 cps</a:t>
            </a:fld>
            <a:endParaRPr lang="en-US" sz="600" i="1">
              <a:solidFill>
                <a:schemeClr val="tx1"/>
              </a:solidFill>
              <a:latin typeface="Arial" pitchFamily="34" charset="0"/>
              <a:cs typeface="Arial" pitchFamily="34" charset="0"/>
            </a:endParaRPr>
          </a:p>
        </xdr:txBody>
      </xdr:sp>
      <xdr:sp macro="" textlink="U11">
        <xdr:nvSpPr>
          <xdr:cNvPr id="394" name="Site"/>
          <xdr:cNvSpPr txBox="1"/>
        </xdr:nvSpPr>
        <xdr:spPr>
          <a:xfrm>
            <a:off x="12380951" y="1742302"/>
            <a:ext cx="1893717" cy="86697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EEE1E35F-AF0A-4A79-B6DD-91A6587DB193}"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Mansi</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395" name="Cluster"/>
          <xdr:cNvGrpSpPr/>
        </xdr:nvGrpSpPr>
        <xdr:grpSpPr>
          <a:xfrm>
            <a:off x="12477748" y="2348604"/>
            <a:ext cx="1732609" cy="380242"/>
            <a:chOff x="12477748" y="2348604"/>
            <a:chExt cx="1732609" cy="380242"/>
          </a:xfrm>
        </xdr:grpSpPr>
        <xdr:grpSp>
          <xdr:nvGrpSpPr>
            <xdr:cNvPr id="396" name="Shelter_G"/>
            <xdr:cNvGrpSpPr/>
          </xdr:nvGrpSpPr>
          <xdr:grpSpPr>
            <a:xfrm>
              <a:off x="12477748" y="2367654"/>
              <a:ext cx="332972" cy="361192"/>
              <a:chOff x="8585625" y="4782769"/>
              <a:chExt cx="147154" cy="166659"/>
            </a:xfrm>
          </xdr:grpSpPr>
          <xdr:pic>
            <xdr:nvPicPr>
              <xdr:cNvPr id="400"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401"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397" name="NFI_G"/>
            <xdr:cNvGrpSpPr/>
          </xdr:nvGrpSpPr>
          <xdr:grpSpPr>
            <a:xfrm>
              <a:off x="13877376" y="2348604"/>
              <a:ext cx="332981" cy="361192"/>
              <a:chOff x="8250078" y="5375644"/>
              <a:chExt cx="147158" cy="166659"/>
            </a:xfrm>
          </xdr:grpSpPr>
          <xdr:pic>
            <xdr:nvPicPr>
              <xdr:cNvPr id="398"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399"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3</xdr:col>
      <xdr:colOff>301625</xdr:colOff>
      <xdr:row>33</xdr:row>
      <xdr:rowOff>14162</xdr:rowOff>
    </xdr:from>
    <xdr:to>
      <xdr:col>5</xdr:col>
      <xdr:colOff>361950</xdr:colOff>
      <xdr:row>35</xdr:row>
      <xdr:rowOff>161726</xdr:rowOff>
    </xdr:to>
    <xdr:grpSp>
      <xdr:nvGrpSpPr>
        <xdr:cNvPr id="402" name="Manton_G"/>
        <xdr:cNvGrpSpPr/>
      </xdr:nvGrpSpPr>
      <xdr:grpSpPr>
        <a:xfrm>
          <a:off x="2618105" y="8060882"/>
          <a:ext cx="1310005" cy="635244"/>
          <a:chOff x="12380951" y="1743424"/>
          <a:chExt cx="1893717" cy="1915280"/>
        </a:xfrm>
      </xdr:grpSpPr>
      <xdr:sp macro="" textlink="">
        <xdr:nvSpPr>
          <xdr:cNvPr id="403" name="Oval"/>
          <xdr:cNvSpPr/>
        </xdr:nvSpPr>
        <xdr:spPr>
          <a:xfrm>
            <a:off x="13272018" y="2584778"/>
            <a:ext cx="111584" cy="228065"/>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12">
        <xdr:nvSpPr>
          <xdr:cNvPr id="404" name="Pop" hidden="1"/>
          <xdr:cNvSpPr txBox="1"/>
        </xdr:nvSpPr>
        <xdr:spPr>
          <a:xfrm>
            <a:off x="12959414" y="2038855"/>
            <a:ext cx="708964" cy="1619849"/>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DA3C2285-B6C3-482D-9AD6-8E904E32D7C9}"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342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12">
        <xdr:nvSpPr>
          <xdr:cNvPr id="405" name="N_Camp" hidden="1"/>
          <xdr:cNvSpPr txBox="1"/>
        </xdr:nvSpPr>
        <xdr:spPr>
          <a:xfrm>
            <a:off x="13337141" y="2424815"/>
            <a:ext cx="836058" cy="864725"/>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8E61D1FE-5A7F-4C58-95BD-A37D9870D813}" type="TxLink">
              <a:rPr lang="en-US" sz="1600" b="0" i="0" u="none" strike="noStrike">
                <a:solidFill>
                  <a:srgbClr val="000000"/>
                </a:solidFill>
                <a:latin typeface="Calibri"/>
                <a:cs typeface="Arial" pitchFamily="34" charset="0"/>
              </a:rPr>
              <a:pPr algn="r"/>
              <a:t>2 cps</a:t>
            </a:fld>
            <a:endParaRPr lang="en-US" sz="600" i="1">
              <a:solidFill>
                <a:schemeClr val="tx1"/>
              </a:solidFill>
              <a:latin typeface="Arial" pitchFamily="34" charset="0"/>
              <a:cs typeface="Arial" pitchFamily="34" charset="0"/>
            </a:endParaRPr>
          </a:p>
        </xdr:txBody>
      </xdr:sp>
      <xdr:sp macro="" textlink="U12">
        <xdr:nvSpPr>
          <xdr:cNvPr id="406" name="Site"/>
          <xdr:cNvSpPr txBox="1"/>
        </xdr:nvSpPr>
        <xdr:spPr>
          <a:xfrm>
            <a:off x="12380951" y="1743424"/>
            <a:ext cx="1893717" cy="864725"/>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0BD80E13-EA6B-478D-A6F6-42A2A7AFB5B0}"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Manton</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407" name="Cluster"/>
          <xdr:cNvGrpSpPr/>
        </xdr:nvGrpSpPr>
        <xdr:grpSpPr>
          <a:xfrm>
            <a:off x="12477748" y="2348604"/>
            <a:ext cx="1732609" cy="380242"/>
            <a:chOff x="12477748" y="2348604"/>
            <a:chExt cx="1732609" cy="380242"/>
          </a:xfrm>
        </xdr:grpSpPr>
        <xdr:grpSp>
          <xdr:nvGrpSpPr>
            <xdr:cNvPr id="408" name="Shelter_G"/>
            <xdr:cNvGrpSpPr/>
          </xdr:nvGrpSpPr>
          <xdr:grpSpPr>
            <a:xfrm>
              <a:off x="12477748" y="2367654"/>
              <a:ext cx="332972" cy="361192"/>
              <a:chOff x="8585625" y="4782769"/>
              <a:chExt cx="147154" cy="166659"/>
            </a:xfrm>
          </xdr:grpSpPr>
          <xdr:pic>
            <xdr:nvPicPr>
              <xdr:cNvPr id="412"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413"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409" name="NFI_G"/>
            <xdr:cNvGrpSpPr/>
          </xdr:nvGrpSpPr>
          <xdr:grpSpPr>
            <a:xfrm>
              <a:off x="13877376" y="2348604"/>
              <a:ext cx="332981" cy="361192"/>
              <a:chOff x="8250078" y="5375644"/>
              <a:chExt cx="147158" cy="166659"/>
            </a:xfrm>
          </xdr:grpSpPr>
          <xdr:pic>
            <xdr:nvPicPr>
              <xdr:cNvPr id="410"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411"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2</xdr:col>
      <xdr:colOff>263525</xdr:colOff>
      <xdr:row>18</xdr:row>
      <xdr:rowOff>196850</xdr:rowOff>
    </xdr:from>
    <xdr:to>
      <xdr:col>4</xdr:col>
      <xdr:colOff>381000</xdr:colOff>
      <xdr:row>21</xdr:row>
      <xdr:rowOff>101367</xdr:rowOff>
    </xdr:to>
    <xdr:grpSp>
      <xdr:nvGrpSpPr>
        <xdr:cNvPr id="414" name="Mogaung_G"/>
        <xdr:cNvGrpSpPr/>
      </xdr:nvGrpSpPr>
      <xdr:grpSpPr>
        <a:xfrm>
          <a:off x="1985645" y="4585970"/>
          <a:ext cx="1306195" cy="636037"/>
          <a:chOff x="12380951" y="1748589"/>
          <a:chExt cx="1893717" cy="1900439"/>
        </a:xfrm>
      </xdr:grpSpPr>
      <xdr:sp macro="" textlink="">
        <xdr:nvSpPr>
          <xdr:cNvPr id="415" name="Oval"/>
          <xdr:cNvSpPr/>
        </xdr:nvSpPr>
        <xdr:spPr>
          <a:xfrm>
            <a:off x="13264384" y="2569172"/>
            <a:ext cx="126852" cy="259272"/>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13">
        <xdr:nvSpPr>
          <xdr:cNvPr id="416" name="Pop" hidden="1"/>
          <xdr:cNvSpPr txBox="1"/>
        </xdr:nvSpPr>
        <xdr:spPr>
          <a:xfrm>
            <a:off x="12959414" y="2048528"/>
            <a:ext cx="708964" cy="1600500"/>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20819632-6E9F-46B6-90A8-D7966FD2EAB1}"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442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13">
        <xdr:nvSpPr>
          <xdr:cNvPr id="417" name="N_Camp" hidden="1"/>
          <xdr:cNvSpPr txBox="1"/>
        </xdr:nvSpPr>
        <xdr:spPr>
          <a:xfrm>
            <a:off x="13337142" y="2429979"/>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A54A35EC-F181-4D82-ACAC-55D07E62E091}" type="TxLink">
              <a:rPr lang="en-US" sz="1600" b="0" i="0" u="none" strike="noStrike">
                <a:solidFill>
                  <a:srgbClr val="000000"/>
                </a:solidFill>
                <a:latin typeface="Calibri"/>
                <a:cs typeface="Arial" pitchFamily="34" charset="0"/>
              </a:rPr>
              <a:pPr algn="r"/>
              <a:t>6 cps</a:t>
            </a:fld>
            <a:endParaRPr lang="en-US" sz="600" i="1">
              <a:solidFill>
                <a:schemeClr val="tx1"/>
              </a:solidFill>
              <a:latin typeface="Arial" pitchFamily="34" charset="0"/>
              <a:cs typeface="Arial" pitchFamily="34" charset="0"/>
            </a:endParaRPr>
          </a:p>
        </xdr:txBody>
      </xdr:sp>
      <xdr:sp macro="" textlink="U13">
        <xdr:nvSpPr>
          <xdr:cNvPr id="418"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22E4D2EB-50B3-479E-B6E1-50BD1D00DA87}"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Mogaung</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419" name="Cluster"/>
          <xdr:cNvGrpSpPr/>
        </xdr:nvGrpSpPr>
        <xdr:grpSpPr>
          <a:xfrm>
            <a:off x="12477748" y="2348604"/>
            <a:ext cx="1732609" cy="380242"/>
            <a:chOff x="12477748" y="2348604"/>
            <a:chExt cx="1732609" cy="380242"/>
          </a:xfrm>
        </xdr:grpSpPr>
        <xdr:grpSp>
          <xdr:nvGrpSpPr>
            <xdr:cNvPr id="420" name="Shelter_G"/>
            <xdr:cNvGrpSpPr/>
          </xdr:nvGrpSpPr>
          <xdr:grpSpPr>
            <a:xfrm>
              <a:off x="12477748" y="2367654"/>
              <a:ext cx="332972" cy="361192"/>
              <a:chOff x="8585625" y="4782769"/>
              <a:chExt cx="147154" cy="166659"/>
            </a:xfrm>
          </xdr:grpSpPr>
          <xdr:pic>
            <xdr:nvPicPr>
              <xdr:cNvPr id="424"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425"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421" name="NFI_G"/>
            <xdr:cNvGrpSpPr/>
          </xdr:nvGrpSpPr>
          <xdr:grpSpPr>
            <a:xfrm>
              <a:off x="13877376" y="2348604"/>
              <a:ext cx="332981" cy="361192"/>
              <a:chOff x="8250078" y="5375644"/>
              <a:chExt cx="147158" cy="166659"/>
            </a:xfrm>
          </xdr:grpSpPr>
          <xdr:pic>
            <xdr:nvPicPr>
              <xdr:cNvPr id="422"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423"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1</xdr:col>
      <xdr:colOff>219075</xdr:colOff>
      <xdr:row>21</xdr:row>
      <xdr:rowOff>219075</xdr:rowOff>
    </xdr:from>
    <xdr:to>
      <xdr:col>3</xdr:col>
      <xdr:colOff>88900</xdr:colOff>
      <xdr:row>24</xdr:row>
      <xdr:rowOff>123592</xdr:rowOff>
    </xdr:to>
    <xdr:grpSp>
      <xdr:nvGrpSpPr>
        <xdr:cNvPr id="426" name="Mohnyin_G"/>
        <xdr:cNvGrpSpPr/>
      </xdr:nvGrpSpPr>
      <xdr:grpSpPr>
        <a:xfrm>
          <a:off x="1087755" y="5339715"/>
          <a:ext cx="1317625" cy="636037"/>
          <a:chOff x="12380951" y="1748589"/>
          <a:chExt cx="1893717" cy="1900439"/>
        </a:xfrm>
      </xdr:grpSpPr>
      <xdr:sp macro="" textlink="">
        <xdr:nvSpPr>
          <xdr:cNvPr id="427" name="Oval"/>
          <xdr:cNvSpPr/>
        </xdr:nvSpPr>
        <xdr:spPr>
          <a:xfrm>
            <a:off x="13269623" y="2579880"/>
            <a:ext cx="116375" cy="237857"/>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14">
        <xdr:nvSpPr>
          <xdr:cNvPr id="428" name="Pop" hidden="1"/>
          <xdr:cNvSpPr txBox="1"/>
        </xdr:nvSpPr>
        <xdr:spPr>
          <a:xfrm>
            <a:off x="12959414" y="2048528"/>
            <a:ext cx="708964" cy="1600500"/>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9A7EB202-13DF-4C19-955F-EEEC32D876B1}"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372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14">
        <xdr:nvSpPr>
          <xdr:cNvPr id="429" name="N_Camp" hidden="1"/>
          <xdr:cNvSpPr txBox="1"/>
        </xdr:nvSpPr>
        <xdr:spPr>
          <a:xfrm>
            <a:off x="13337142" y="2429979"/>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E97EB979-1E78-4DAC-BE30-C4ADEB4D6842}" type="TxLink">
              <a:rPr lang="en-US" sz="1600" b="0" i="0" u="none" strike="noStrike">
                <a:solidFill>
                  <a:srgbClr val="000000"/>
                </a:solidFill>
                <a:latin typeface="Calibri"/>
                <a:cs typeface="Arial" pitchFamily="34" charset="0"/>
              </a:rPr>
              <a:pPr algn="r"/>
              <a:t>4 cps</a:t>
            </a:fld>
            <a:endParaRPr lang="en-US" sz="600" i="1">
              <a:solidFill>
                <a:schemeClr val="tx1"/>
              </a:solidFill>
              <a:latin typeface="Arial" pitchFamily="34" charset="0"/>
              <a:cs typeface="Arial" pitchFamily="34" charset="0"/>
            </a:endParaRPr>
          </a:p>
        </xdr:txBody>
      </xdr:sp>
      <xdr:sp macro="" textlink="U14">
        <xdr:nvSpPr>
          <xdr:cNvPr id="430"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363DA4D7-9FAA-4B9F-9F4F-F73C78FDC2B1}"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Mohnyin</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431" name="Cluster"/>
          <xdr:cNvGrpSpPr/>
        </xdr:nvGrpSpPr>
        <xdr:grpSpPr>
          <a:xfrm>
            <a:off x="12477748" y="2348604"/>
            <a:ext cx="1732609" cy="380242"/>
            <a:chOff x="12477748" y="2348604"/>
            <a:chExt cx="1732609" cy="380242"/>
          </a:xfrm>
        </xdr:grpSpPr>
        <xdr:grpSp>
          <xdr:nvGrpSpPr>
            <xdr:cNvPr id="432" name="Shelter_G"/>
            <xdr:cNvGrpSpPr/>
          </xdr:nvGrpSpPr>
          <xdr:grpSpPr>
            <a:xfrm>
              <a:off x="12477748" y="2367654"/>
              <a:ext cx="332972" cy="361192"/>
              <a:chOff x="8585625" y="4782769"/>
              <a:chExt cx="147154" cy="166659"/>
            </a:xfrm>
          </xdr:grpSpPr>
          <xdr:pic>
            <xdr:nvPicPr>
              <xdr:cNvPr id="436"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437"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433" name="NFI_G"/>
            <xdr:cNvGrpSpPr/>
          </xdr:nvGrpSpPr>
          <xdr:grpSpPr>
            <a:xfrm>
              <a:off x="13877376" y="2348604"/>
              <a:ext cx="332981" cy="361192"/>
              <a:chOff x="8250078" y="5375644"/>
              <a:chExt cx="147158" cy="166659"/>
            </a:xfrm>
          </xdr:grpSpPr>
          <xdr:pic>
            <xdr:nvPicPr>
              <xdr:cNvPr id="434"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435"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4</xdr:col>
      <xdr:colOff>22225</xdr:colOff>
      <xdr:row>24</xdr:row>
      <xdr:rowOff>83185</xdr:rowOff>
    </xdr:from>
    <xdr:to>
      <xdr:col>5</xdr:col>
      <xdr:colOff>654050</xdr:colOff>
      <xdr:row>27</xdr:row>
      <xdr:rowOff>139376</xdr:rowOff>
    </xdr:to>
    <xdr:grpSp>
      <xdr:nvGrpSpPr>
        <xdr:cNvPr id="438" name="Momauk_G"/>
        <xdr:cNvGrpSpPr/>
      </xdr:nvGrpSpPr>
      <xdr:grpSpPr>
        <a:xfrm>
          <a:off x="2933065" y="5935345"/>
          <a:ext cx="1287145" cy="787711"/>
          <a:chOff x="12380951" y="1658202"/>
          <a:chExt cx="1893717" cy="2381154"/>
        </a:xfrm>
      </xdr:grpSpPr>
      <xdr:sp macro="" textlink="">
        <xdr:nvSpPr>
          <xdr:cNvPr id="439" name="Oval"/>
          <xdr:cNvSpPr/>
        </xdr:nvSpPr>
        <xdr:spPr>
          <a:xfrm>
            <a:off x="12952310" y="2076193"/>
            <a:ext cx="750997" cy="1545173"/>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15">
        <xdr:nvSpPr>
          <xdr:cNvPr id="440" name="Pop" hidden="1"/>
          <xdr:cNvSpPr txBox="1"/>
        </xdr:nvSpPr>
        <xdr:spPr>
          <a:xfrm>
            <a:off x="12959414" y="1658202"/>
            <a:ext cx="708963" cy="2381154"/>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DD9FDB76-CA73-4706-AE25-A6B14A5CCABB}"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15,492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15">
        <xdr:nvSpPr>
          <xdr:cNvPr id="441" name="N_Camp" hidden="1"/>
          <xdr:cNvSpPr txBox="1"/>
        </xdr:nvSpPr>
        <xdr:spPr>
          <a:xfrm>
            <a:off x="13337142" y="2423689"/>
            <a:ext cx="836058" cy="86697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E19F351D-7854-4EFE-9622-44A9B06C74A1}" type="TxLink">
              <a:rPr lang="en-US" sz="1600" b="0" i="0" u="none" strike="noStrike">
                <a:solidFill>
                  <a:srgbClr val="000000"/>
                </a:solidFill>
                <a:latin typeface="Calibri"/>
                <a:cs typeface="Arial" pitchFamily="34" charset="0"/>
              </a:rPr>
              <a:pPr algn="r"/>
              <a:t>20 cps</a:t>
            </a:fld>
            <a:endParaRPr lang="en-US" sz="600" i="1">
              <a:solidFill>
                <a:schemeClr val="tx1"/>
              </a:solidFill>
              <a:latin typeface="Arial" pitchFamily="34" charset="0"/>
              <a:cs typeface="Arial" pitchFamily="34" charset="0"/>
            </a:endParaRPr>
          </a:p>
        </xdr:txBody>
      </xdr:sp>
      <xdr:sp macro="" textlink="U15">
        <xdr:nvSpPr>
          <xdr:cNvPr id="442" name="Site"/>
          <xdr:cNvSpPr txBox="1"/>
        </xdr:nvSpPr>
        <xdr:spPr>
          <a:xfrm>
            <a:off x="12380951" y="1742302"/>
            <a:ext cx="1893717" cy="86697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09CD2D33-424F-4A57-BC67-2F7932368809}"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Momauk</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443" name="Cluster"/>
          <xdr:cNvGrpSpPr/>
        </xdr:nvGrpSpPr>
        <xdr:grpSpPr>
          <a:xfrm>
            <a:off x="12477748" y="2348604"/>
            <a:ext cx="1732609" cy="380242"/>
            <a:chOff x="12477748" y="2348604"/>
            <a:chExt cx="1732609" cy="380242"/>
          </a:xfrm>
        </xdr:grpSpPr>
        <xdr:grpSp>
          <xdr:nvGrpSpPr>
            <xdr:cNvPr id="444" name="Shelter_G"/>
            <xdr:cNvGrpSpPr/>
          </xdr:nvGrpSpPr>
          <xdr:grpSpPr>
            <a:xfrm>
              <a:off x="12477748" y="2367654"/>
              <a:ext cx="332972" cy="361192"/>
              <a:chOff x="8585625" y="4782769"/>
              <a:chExt cx="147154" cy="166659"/>
            </a:xfrm>
          </xdr:grpSpPr>
          <xdr:pic>
            <xdr:nvPicPr>
              <xdr:cNvPr id="448"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449"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445" name="NFI_G"/>
            <xdr:cNvGrpSpPr/>
          </xdr:nvGrpSpPr>
          <xdr:grpSpPr>
            <a:xfrm>
              <a:off x="13877376" y="2348604"/>
              <a:ext cx="332981" cy="361192"/>
              <a:chOff x="8250078" y="5375644"/>
              <a:chExt cx="147158" cy="166659"/>
            </a:xfrm>
          </xdr:grpSpPr>
          <xdr:pic>
            <xdr:nvPicPr>
              <xdr:cNvPr id="446"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447"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5</xdr:col>
      <xdr:colOff>511175</xdr:colOff>
      <xdr:row>28</xdr:row>
      <xdr:rowOff>172085</xdr:rowOff>
    </xdr:from>
    <xdr:to>
      <xdr:col>8</xdr:col>
      <xdr:colOff>9525</xdr:colOff>
      <xdr:row>31</xdr:row>
      <xdr:rowOff>228276</xdr:rowOff>
    </xdr:to>
    <xdr:grpSp>
      <xdr:nvGrpSpPr>
        <xdr:cNvPr id="450" name="Muse_G"/>
        <xdr:cNvGrpSpPr/>
      </xdr:nvGrpSpPr>
      <xdr:grpSpPr>
        <a:xfrm>
          <a:off x="4077335" y="6999605"/>
          <a:ext cx="1327150" cy="787711"/>
          <a:chOff x="12380951" y="1658202"/>
          <a:chExt cx="1893717" cy="2381154"/>
        </a:xfrm>
      </xdr:grpSpPr>
      <xdr:sp macro="" textlink="">
        <xdr:nvSpPr>
          <xdr:cNvPr id="451" name="Oval"/>
          <xdr:cNvSpPr/>
        </xdr:nvSpPr>
        <xdr:spPr>
          <a:xfrm>
            <a:off x="13231790" y="2651221"/>
            <a:ext cx="192039" cy="395120"/>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16">
        <xdr:nvSpPr>
          <xdr:cNvPr id="452" name="Pop" hidden="1"/>
          <xdr:cNvSpPr txBox="1"/>
        </xdr:nvSpPr>
        <xdr:spPr>
          <a:xfrm>
            <a:off x="12959414" y="1658202"/>
            <a:ext cx="708963" cy="2381154"/>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D1763F66-929D-400E-989B-BD6833374E3B}"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1,013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16">
        <xdr:nvSpPr>
          <xdr:cNvPr id="453" name="N_Camp" hidden="1"/>
          <xdr:cNvSpPr txBox="1"/>
        </xdr:nvSpPr>
        <xdr:spPr>
          <a:xfrm>
            <a:off x="13337141" y="2423689"/>
            <a:ext cx="836058" cy="86697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2556CFBA-5EE3-4350-85E3-4564BF771167}" type="TxLink">
              <a:rPr lang="en-US" sz="1600" b="0" i="0" u="none" strike="noStrike">
                <a:solidFill>
                  <a:srgbClr val="000000"/>
                </a:solidFill>
                <a:latin typeface="Calibri"/>
                <a:cs typeface="Arial" pitchFamily="34" charset="0"/>
              </a:rPr>
              <a:pPr algn="r"/>
              <a:t>6 cps</a:t>
            </a:fld>
            <a:endParaRPr lang="en-US" sz="600" i="1">
              <a:solidFill>
                <a:schemeClr val="tx1"/>
              </a:solidFill>
              <a:latin typeface="Arial" pitchFamily="34" charset="0"/>
              <a:cs typeface="Arial" pitchFamily="34" charset="0"/>
            </a:endParaRPr>
          </a:p>
        </xdr:txBody>
      </xdr:sp>
      <xdr:sp macro="" textlink="U16">
        <xdr:nvSpPr>
          <xdr:cNvPr id="454" name="Site"/>
          <xdr:cNvSpPr txBox="1"/>
        </xdr:nvSpPr>
        <xdr:spPr>
          <a:xfrm>
            <a:off x="12380951" y="1742302"/>
            <a:ext cx="1893717" cy="86697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0041007B-BB24-4605-8256-C7FEAB06C8F6}"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Muse</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455" name="Cluster"/>
          <xdr:cNvGrpSpPr/>
        </xdr:nvGrpSpPr>
        <xdr:grpSpPr>
          <a:xfrm>
            <a:off x="12477748" y="2348604"/>
            <a:ext cx="1732609" cy="380242"/>
            <a:chOff x="12477748" y="2348604"/>
            <a:chExt cx="1732609" cy="380242"/>
          </a:xfrm>
        </xdr:grpSpPr>
        <xdr:grpSp>
          <xdr:nvGrpSpPr>
            <xdr:cNvPr id="456" name="Shelter_G"/>
            <xdr:cNvGrpSpPr/>
          </xdr:nvGrpSpPr>
          <xdr:grpSpPr>
            <a:xfrm>
              <a:off x="12477748" y="2367654"/>
              <a:ext cx="332972" cy="361192"/>
              <a:chOff x="8585625" y="4782769"/>
              <a:chExt cx="147154" cy="166659"/>
            </a:xfrm>
          </xdr:grpSpPr>
          <xdr:pic>
            <xdr:nvPicPr>
              <xdr:cNvPr id="460"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461"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457" name="NFI_G"/>
            <xdr:cNvGrpSpPr/>
          </xdr:nvGrpSpPr>
          <xdr:grpSpPr>
            <a:xfrm>
              <a:off x="13877376" y="2348604"/>
              <a:ext cx="332981" cy="361192"/>
              <a:chOff x="8250078" y="5375644"/>
              <a:chExt cx="147158" cy="166659"/>
            </a:xfrm>
          </xdr:grpSpPr>
          <xdr:pic>
            <xdr:nvPicPr>
              <xdr:cNvPr id="458"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459"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3</xdr:col>
      <xdr:colOff>352425</xdr:colOff>
      <xdr:row>19</xdr:row>
      <xdr:rowOff>225425</xdr:rowOff>
    </xdr:from>
    <xdr:to>
      <xdr:col>5</xdr:col>
      <xdr:colOff>412750</xdr:colOff>
      <xdr:row>23</xdr:row>
      <xdr:rowOff>32061</xdr:rowOff>
    </xdr:to>
    <xdr:grpSp>
      <xdr:nvGrpSpPr>
        <xdr:cNvPr id="462" name="Myitkyina_G"/>
        <xdr:cNvGrpSpPr/>
      </xdr:nvGrpSpPr>
      <xdr:grpSpPr>
        <a:xfrm>
          <a:off x="2668905" y="4858385"/>
          <a:ext cx="1310005" cy="781996"/>
          <a:chOff x="12380951" y="1675478"/>
          <a:chExt cx="1893717" cy="2346603"/>
        </a:xfrm>
      </xdr:grpSpPr>
      <xdr:sp macro="" textlink="">
        <xdr:nvSpPr>
          <xdr:cNvPr id="463" name="Oval"/>
          <xdr:cNvSpPr/>
        </xdr:nvSpPr>
        <xdr:spPr>
          <a:xfrm>
            <a:off x="13072195" y="2322851"/>
            <a:ext cx="511230" cy="1051853"/>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17">
        <xdr:nvSpPr>
          <xdr:cNvPr id="464" name="Pop" hidden="1"/>
          <xdr:cNvSpPr txBox="1"/>
        </xdr:nvSpPr>
        <xdr:spPr>
          <a:xfrm>
            <a:off x="12959414" y="1675478"/>
            <a:ext cx="708964" cy="2346603"/>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F8FC295D-A524-4874-8E91-C337A0124E01}"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7,179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17">
        <xdr:nvSpPr>
          <xdr:cNvPr id="465" name="N_Camp" hidden="1"/>
          <xdr:cNvSpPr txBox="1"/>
        </xdr:nvSpPr>
        <xdr:spPr>
          <a:xfrm>
            <a:off x="13337142" y="2429979"/>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A8639554-9367-403C-940B-334DA2D232B2}" type="TxLink">
              <a:rPr lang="en-US" sz="1600" b="0" i="0" u="none" strike="noStrike">
                <a:solidFill>
                  <a:srgbClr val="000000"/>
                </a:solidFill>
                <a:latin typeface="Calibri"/>
                <a:cs typeface="Arial" pitchFamily="34" charset="0"/>
              </a:rPr>
              <a:pPr algn="r"/>
              <a:t>24 cps</a:t>
            </a:fld>
            <a:endParaRPr lang="en-US" sz="600" i="1">
              <a:solidFill>
                <a:schemeClr val="tx1"/>
              </a:solidFill>
              <a:latin typeface="Arial" pitchFamily="34" charset="0"/>
              <a:cs typeface="Arial" pitchFamily="34" charset="0"/>
            </a:endParaRPr>
          </a:p>
        </xdr:txBody>
      </xdr:sp>
      <xdr:sp macro="" textlink="U17">
        <xdr:nvSpPr>
          <xdr:cNvPr id="466"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23F6B1EB-88B0-4469-9267-E0E0C9D59DA4}"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Myitkyina</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467" name="Cluster"/>
          <xdr:cNvGrpSpPr/>
        </xdr:nvGrpSpPr>
        <xdr:grpSpPr>
          <a:xfrm>
            <a:off x="12477748" y="2348604"/>
            <a:ext cx="1732609" cy="380242"/>
            <a:chOff x="12477748" y="2348604"/>
            <a:chExt cx="1732609" cy="380242"/>
          </a:xfrm>
        </xdr:grpSpPr>
        <xdr:grpSp>
          <xdr:nvGrpSpPr>
            <xdr:cNvPr id="468" name="Shelter_G"/>
            <xdr:cNvGrpSpPr/>
          </xdr:nvGrpSpPr>
          <xdr:grpSpPr>
            <a:xfrm>
              <a:off x="12477748" y="2367654"/>
              <a:ext cx="332972" cy="361192"/>
              <a:chOff x="8585625" y="4782769"/>
              <a:chExt cx="147154" cy="166659"/>
            </a:xfrm>
          </xdr:grpSpPr>
          <xdr:pic>
            <xdr:nvPicPr>
              <xdr:cNvPr id="472"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473"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469" name="NFI_G"/>
            <xdr:cNvGrpSpPr/>
          </xdr:nvGrpSpPr>
          <xdr:grpSpPr>
            <a:xfrm>
              <a:off x="13877376" y="2348604"/>
              <a:ext cx="332981" cy="361192"/>
              <a:chOff x="8250078" y="5375644"/>
              <a:chExt cx="147158" cy="166659"/>
            </a:xfrm>
          </xdr:grpSpPr>
          <xdr:pic>
            <xdr:nvPicPr>
              <xdr:cNvPr id="470"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471"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4</xdr:col>
      <xdr:colOff>314325</xdr:colOff>
      <xdr:row>30</xdr:row>
      <xdr:rowOff>140335</xdr:rowOff>
    </xdr:from>
    <xdr:to>
      <xdr:col>6</xdr:col>
      <xdr:colOff>288925</xdr:colOff>
      <xdr:row>33</xdr:row>
      <xdr:rowOff>196526</xdr:rowOff>
    </xdr:to>
    <xdr:grpSp>
      <xdr:nvGrpSpPr>
        <xdr:cNvPr id="474" name="Namhkan_G"/>
        <xdr:cNvGrpSpPr/>
      </xdr:nvGrpSpPr>
      <xdr:grpSpPr>
        <a:xfrm>
          <a:off x="3225165" y="7455535"/>
          <a:ext cx="1315720" cy="787711"/>
          <a:chOff x="12380951" y="1658202"/>
          <a:chExt cx="1893717" cy="2381154"/>
        </a:xfrm>
      </xdr:grpSpPr>
      <xdr:sp macro="" textlink="">
        <xdr:nvSpPr>
          <xdr:cNvPr id="475" name="Oval"/>
          <xdr:cNvSpPr/>
        </xdr:nvSpPr>
        <xdr:spPr>
          <a:xfrm>
            <a:off x="13202002" y="2589933"/>
            <a:ext cx="251613" cy="517693"/>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18">
        <xdr:nvSpPr>
          <xdr:cNvPr id="476" name="Pop" hidden="1"/>
          <xdr:cNvSpPr txBox="1"/>
        </xdr:nvSpPr>
        <xdr:spPr>
          <a:xfrm>
            <a:off x="12959415" y="1658202"/>
            <a:ext cx="708964" cy="2381154"/>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F5137A44-FED8-4CB9-93B7-F766FC80441F}"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1,739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18">
        <xdr:nvSpPr>
          <xdr:cNvPr id="477" name="N_Camp" hidden="1"/>
          <xdr:cNvSpPr txBox="1"/>
        </xdr:nvSpPr>
        <xdr:spPr>
          <a:xfrm>
            <a:off x="13337142" y="2423689"/>
            <a:ext cx="836058" cy="86697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7AF5849F-4C78-44A2-BB4A-7CEE5837CEDD}" type="TxLink">
              <a:rPr lang="en-US" sz="1600" b="0" i="0" u="none" strike="noStrike">
                <a:solidFill>
                  <a:srgbClr val="000000"/>
                </a:solidFill>
                <a:latin typeface="Calibri"/>
                <a:cs typeface="Arial" pitchFamily="34" charset="0"/>
              </a:rPr>
              <a:pPr algn="r"/>
              <a:t>5 cps</a:t>
            </a:fld>
            <a:endParaRPr lang="en-US" sz="600" i="1">
              <a:solidFill>
                <a:schemeClr val="tx1"/>
              </a:solidFill>
              <a:latin typeface="Arial" pitchFamily="34" charset="0"/>
              <a:cs typeface="Arial" pitchFamily="34" charset="0"/>
            </a:endParaRPr>
          </a:p>
        </xdr:txBody>
      </xdr:sp>
      <xdr:sp macro="" textlink="U18">
        <xdr:nvSpPr>
          <xdr:cNvPr id="478" name="Site"/>
          <xdr:cNvSpPr txBox="1"/>
        </xdr:nvSpPr>
        <xdr:spPr>
          <a:xfrm>
            <a:off x="12380951" y="1742302"/>
            <a:ext cx="1893717" cy="86697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DB1DE833-B89A-4817-82DE-624589FC96B2}"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Namhkan</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479" name="Cluster"/>
          <xdr:cNvGrpSpPr/>
        </xdr:nvGrpSpPr>
        <xdr:grpSpPr>
          <a:xfrm>
            <a:off x="12477748" y="2348604"/>
            <a:ext cx="1732609" cy="380242"/>
            <a:chOff x="12477748" y="2348604"/>
            <a:chExt cx="1732609" cy="380242"/>
          </a:xfrm>
        </xdr:grpSpPr>
        <xdr:grpSp>
          <xdr:nvGrpSpPr>
            <xdr:cNvPr id="480" name="Shelter_G"/>
            <xdr:cNvGrpSpPr/>
          </xdr:nvGrpSpPr>
          <xdr:grpSpPr>
            <a:xfrm>
              <a:off x="12477748" y="2367654"/>
              <a:ext cx="332972" cy="361192"/>
              <a:chOff x="8585625" y="4782769"/>
              <a:chExt cx="147154" cy="166659"/>
            </a:xfrm>
          </xdr:grpSpPr>
          <xdr:pic>
            <xdr:nvPicPr>
              <xdr:cNvPr id="484"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485"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481" name="NFI_G"/>
            <xdr:cNvGrpSpPr/>
          </xdr:nvGrpSpPr>
          <xdr:grpSpPr>
            <a:xfrm>
              <a:off x="13877376" y="2348604"/>
              <a:ext cx="332981" cy="361192"/>
              <a:chOff x="8250078" y="5375644"/>
              <a:chExt cx="147158" cy="166659"/>
            </a:xfrm>
          </xdr:grpSpPr>
          <xdr:pic>
            <xdr:nvPicPr>
              <xdr:cNvPr id="482"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483"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4</xdr:col>
      <xdr:colOff>73025</xdr:colOff>
      <xdr:row>35</xdr:row>
      <xdr:rowOff>84012</xdr:rowOff>
    </xdr:from>
    <xdr:to>
      <xdr:col>6</xdr:col>
      <xdr:colOff>47625</xdr:colOff>
      <xdr:row>37</xdr:row>
      <xdr:rowOff>231576</xdr:rowOff>
    </xdr:to>
    <xdr:grpSp>
      <xdr:nvGrpSpPr>
        <xdr:cNvPr id="486" name="Namtu_G"/>
        <xdr:cNvGrpSpPr/>
      </xdr:nvGrpSpPr>
      <xdr:grpSpPr>
        <a:xfrm>
          <a:off x="2983865" y="8618412"/>
          <a:ext cx="1315720" cy="635244"/>
          <a:chOff x="12380951" y="1743424"/>
          <a:chExt cx="1893717" cy="1915280"/>
        </a:xfrm>
      </xdr:grpSpPr>
      <xdr:sp macro="" textlink="">
        <xdr:nvSpPr>
          <xdr:cNvPr id="487" name="Oval"/>
          <xdr:cNvSpPr/>
        </xdr:nvSpPr>
        <xdr:spPr>
          <a:xfrm>
            <a:off x="13256609" y="2553284"/>
            <a:ext cx="142400" cy="291051"/>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19">
        <xdr:nvSpPr>
          <xdr:cNvPr id="488" name="Pop" hidden="1"/>
          <xdr:cNvSpPr txBox="1"/>
        </xdr:nvSpPr>
        <xdr:spPr>
          <a:xfrm>
            <a:off x="12959415" y="2038855"/>
            <a:ext cx="708964" cy="1619849"/>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000E13C5-A2F3-48F3-9819-075D179A217F}"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557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19">
        <xdr:nvSpPr>
          <xdr:cNvPr id="489" name="N_Camp" hidden="1"/>
          <xdr:cNvSpPr txBox="1"/>
        </xdr:nvSpPr>
        <xdr:spPr>
          <a:xfrm>
            <a:off x="13337142" y="2424815"/>
            <a:ext cx="836058" cy="864725"/>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03874BE3-F5C7-4FCC-B31B-25271B68CEC7}" type="TxLink">
              <a:rPr lang="en-US" sz="1600" b="0" i="0" u="none" strike="noStrike">
                <a:solidFill>
                  <a:srgbClr val="000000"/>
                </a:solidFill>
                <a:latin typeface="Calibri"/>
                <a:cs typeface="Arial" pitchFamily="34" charset="0"/>
              </a:rPr>
              <a:pPr algn="r"/>
              <a:t>2 cps</a:t>
            </a:fld>
            <a:endParaRPr lang="en-US" sz="600" i="1">
              <a:solidFill>
                <a:schemeClr val="tx1"/>
              </a:solidFill>
              <a:latin typeface="Arial" pitchFamily="34" charset="0"/>
              <a:cs typeface="Arial" pitchFamily="34" charset="0"/>
            </a:endParaRPr>
          </a:p>
        </xdr:txBody>
      </xdr:sp>
      <xdr:sp macro="" textlink="U19">
        <xdr:nvSpPr>
          <xdr:cNvPr id="490" name="Site"/>
          <xdr:cNvSpPr txBox="1"/>
        </xdr:nvSpPr>
        <xdr:spPr>
          <a:xfrm>
            <a:off x="12380951" y="1743424"/>
            <a:ext cx="1893717" cy="864725"/>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D43138C5-D66B-44CD-A9FF-43A2A9CAC026}"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Namtu</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491" name="Cluster"/>
          <xdr:cNvGrpSpPr/>
        </xdr:nvGrpSpPr>
        <xdr:grpSpPr>
          <a:xfrm>
            <a:off x="12477748" y="2348604"/>
            <a:ext cx="1732609" cy="380242"/>
            <a:chOff x="12477748" y="2348604"/>
            <a:chExt cx="1732609" cy="380242"/>
          </a:xfrm>
        </xdr:grpSpPr>
        <xdr:grpSp>
          <xdr:nvGrpSpPr>
            <xdr:cNvPr id="492" name="Shelter_G"/>
            <xdr:cNvGrpSpPr/>
          </xdr:nvGrpSpPr>
          <xdr:grpSpPr>
            <a:xfrm>
              <a:off x="12477748" y="2367654"/>
              <a:ext cx="332972" cy="361192"/>
              <a:chOff x="8585625" y="4782769"/>
              <a:chExt cx="147154" cy="166659"/>
            </a:xfrm>
          </xdr:grpSpPr>
          <xdr:pic>
            <xdr:nvPicPr>
              <xdr:cNvPr id="496"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497"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493" name="NFI_G"/>
            <xdr:cNvGrpSpPr/>
          </xdr:nvGrpSpPr>
          <xdr:grpSpPr>
            <a:xfrm>
              <a:off x="13877376" y="2348604"/>
              <a:ext cx="332981" cy="361192"/>
              <a:chOff x="8250078" y="5375644"/>
              <a:chExt cx="147158" cy="166659"/>
            </a:xfrm>
          </xdr:grpSpPr>
          <xdr:pic>
            <xdr:nvPicPr>
              <xdr:cNvPr id="494"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495"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4</xdr:col>
      <xdr:colOff>9525</xdr:colOff>
      <xdr:row>5</xdr:row>
      <xdr:rowOff>104775</xdr:rowOff>
    </xdr:from>
    <xdr:to>
      <xdr:col>5</xdr:col>
      <xdr:colOff>641350</xdr:colOff>
      <xdr:row>8</xdr:row>
      <xdr:rowOff>9292</xdr:rowOff>
    </xdr:to>
    <xdr:grpSp>
      <xdr:nvGrpSpPr>
        <xdr:cNvPr id="498" name="Puta-O_G"/>
        <xdr:cNvGrpSpPr/>
      </xdr:nvGrpSpPr>
      <xdr:grpSpPr>
        <a:xfrm>
          <a:off x="2920365" y="1323975"/>
          <a:ext cx="1287145" cy="636037"/>
          <a:chOff x="12380951" y="1748589"/>
          <a:chExt cx="1893717" cy="1900439"/>
        </a:xfrm>
      </xdr:grpSpPr>
      <xdr:sp macro="" textlink="">
        <xdr:nvSpPr>
          <xdr:cNvPr id="499" name="Oval"/>
          <xdr:cNvSpPr/>
        </xdr:nvSpPr>
        <xdr:spPr>
          <a:xfrm>
            <a:off x="13270968" y="2582631"/>
            <a:ext cx="113684" cy="232358"/>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20">
        <xdr:nvSpPr>
          <xdr:cNvPr id="500" name="Pop" hidden="1"/>
          <xdr:cNvSpPr txBox="1"/>
        </xdr:nvSpPr>
        <xdr:spPr>
          <a:xfrm>
            <a:off x="12959414" y="2048528"/>
            <a:ext cx="708964" cy="1600500"/>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FE946F4D-8A17-4DA2-9EB9-BFD186218491}"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355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20">
        <xdr:nvSpPr>
          <xdr:cNvPr id="501" name="N_Camp" hidden="1"/>
          <xdr:cNvSpPr txBox="1"/>
        </xdr:nvSpPr>
        <xdr:spPr>
          <a:xfrm>
            <a:off x="13337142" y="2429979"/>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1ADCAF1E-8C8F-4374-B5D0-EE8C95FD621C}" type="TxLink">
              <a:rPr lang="en-US" sz="1600" b="0" i="0" u="none" strike="noStrike">
                <a:solidFill>
                  <a:srgbClr val="000000"/>
                </a:solidFill>
                <a:latin typeface="Calibri"/>
                <a:cs typeface="Arial" pitchFamily="34" charset="0"/>
              </a:rPr>
              <a:pPr algn="r"/>
              <a:t>3 cps</a:t>
            </a:fld>
            <a:endParaRPr lang="en-US" sz="600" i="1">
              <a:solidFill>
                <a:schemeClr val="tx1"/>
              </a:solidFill>
              <a:latin typeface="Arial" pitchFamily="34" charset="0"/>
              <a:cs typeface="Arial" pitchFamily="34" charset="0"/>
            </a:endParaRPr>
          </a:p>
        </xdr:txBody>
      </xdr:sp>
      <xdr:sp macro="" textlink="U20">
        <xdr:nvSpPr>
          <xdr:cNvPr id="502"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13FD74A0-B647-4E03-B2B2-C11359086B0B}"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Puta-O</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503" name="Cluster"/>
          <xdr:cNvGrpSpPr/>
        </xdr:nvGrpSpPr>
        <xdr:grpSpPr>
          <a:xfrm>
            <a:off x="12477748" y="2348604"/>
            <a:ext cx="1732609" cy="380242"/>
            <a:chOff x="12477748" y="2348604"/>
            <a:chExt cx="1732609" cy="380242"/>
          </a:xfrm>
        </xdr:grpSpPr>
        <xdr:grpSp>
          <xdr:nvGrpSpPr>
            <xdr:cNvPr id="504" name="Shelter_G"/>
            <xdr:cNvGrpSpPr/>
          </xdr:nvGrpSpPr>
          <xdr:grpSpPr>
            <a:xfrm>
              <a:off x="12477748" y="2367654"/>
              <a:ext cx="332972" cy="361192"/>
              <a:chOff x="8585625" y="4782769"/>
              <a:chExt cx="147154" cy="166659"/>
            </a:xfrm>
          </xdr:grpSpPr>
          <xdr:pic>
            <xdr:nvPicPr>
              <xdr:cNvPr id="508"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509"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505" name="NFI_G"/>
            <xdr:cNvGrpSpPr/>
          </xdr:nvGrpSpPr>
          <xdr:grpSpPr>
            <a:xfrm>
              <a:off x="13877376" y="2348604"/>
              <a:ext cx="332981" cy="361192"/>
              <a:chOff x="8250078" y="5375644"/>
              <a:chExt cx="147158" cy="166659"/>
            </a:xfrm>
          </xdr:grpSpPr>
          <xdr:pic>
            <xdr:nvPicPr>
              <xdr:cNvPr id="506"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507"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2</xdr:col>
      <xdr:colOff>22225</xdr:colOff>
      <xdr:row>25</xdr:row>
      <xdr:rowOff>175260</xdr:rowOff>
    </xdr:from>
    <xdr:to>
      <xdr:col>4</xdr:col>
      <xdr:colOff>139700</xdr:colOff>
      <xdr:row>28</xdr:row>
      <xdr:rowOff>231451</xdr:rowOff>
    </xdr:to>
    <xdr:grpSp>
      <xdr:nvGrpSpPr>
        <xdr:cNvPr id="510" name="Shwegu_G"/>
        <xdr:cNvGrpSpPr/>
      </xdr:nvGrpSpPr>
      <xdr:grpSpPr>
        <a:xfrm>
          <a:off x="1744345" y="6271260"/>
          <a:ext cx="1306195" cy="787711"/>
          <a:chOff x="12380951" y="1658202"/>
          <a:chExt cx="1893717" cy="2381154"/>
        </a:xfrm>
      </xdr:grpSpPr>
      <xdr:sp macro="" textlink="">
        <xdr:nvSpPr>
          <xdr:cNvPr id="511" name="Oval"/>
          <xdr:cNvSpPr/>
        </xdr:nvSpPr>
        <xdr:spPr>
          <a:xfrm>
            <a:off x="13186887" y="2558830"/>
            <a:ext cx="281846" cy="579897"/>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21">
        <xdr:nvSpPr>
          <xdr:cNvPr id="512" name="Pop" hidden="1"/>
          <xdr:cNvSpPr txBox="1"/>
        </xdr:nvSpPr>
        <xdr:spPr>
          <a:xfrm>
            <a:off x="12959414" y="1658202"/>
            <a:ext cx="708964" cy="2381154"/>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97E36E41-45E6-4C28-B056-058AC9FAF7CB}"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2,182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21">
        <xdr:nvSpPr>
          <xdr:cNvPr id="513" name="N_Camp" hidden="1"/>
          <xdr:cNvSpPr txBox="1"/>
        </xdr:nvSpPr>
        <xdr:spPr>
          <a:xfrm>
            <a:off x="13337143" y="2423689"/>
            <a:ext cx="836059" cy="86697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4CE1AB00-952B-4A47-B2CB-65C20DA4CED1}" type="TxLink">
              <a:rPr lang="en-US" sz="1600" b="0" i="0" u="none" strike="noStrike">
                <a:solidFill>
                  <a:srgbClr val="000000"/>
                </a:solidFill>
                <a:latin typeface="Calibri"/>
                <a:cs typeface="Arial" pitchFamily="34" charset="0"/>
              </a:rPr>
              <a:pPr algn="r"/>
              <a:t>4 cps</a:t>
            </a:fld>
            <a:endParaRPr lang="en-US" sz="600" i="1">
              <a:solidFill>
                <a:schemeClr val="tx1"/>
              </a:solidFill>
              <a:latin typeface="Arial" pitchFamily="34" charset="0"/>
              <a:cs typeface="Arial" pitchFamily="34" charset="0"/>
            </a:endParaRPr>
          </a:p>
        </xdr:txBody>
      </xdr:sp>
      <xdr:sp macro="" textlink="U21">
        <xdr:nvSpPr>
          <xdr:cNvPr id="514" name="Site"/>
          <xdr:cNvSpPr txBox="1"/>
        </xdr:nvSpPr>
        <xdr:spPr>
          <a:xfrm>
            <a:off x="12380951" y="1742302"/>
            <a:ext cx="1893717" cy="86697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5B0F8E2A-1062-4AC3-9375-407D88B651FA}"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Shwegu</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515" name="Cluster"/>
          <xdr:cNvGrpSpPr/>
        </xdr:nvGrpSpPr>
        <xdr:grpSpPr>
          <a:xfrm>
            <a:off x="12477748" y="2348604"/>
            <a:ext cx="1732609" cy="380242"/>
            <a:chOff x="12477748" y="2348604"/>
            <a:chExt cx="1732609" cy="380242"/>
          </a:xfrm>
        </xdr:grpSpPr>
        <xdr:grpSp>
          <xdr:nvGrpSpPr>
            <xdr:cNvPr id="516" name="Shelter_G"/>
            <xdr:cNvGrpSpPr/>
          </xdr:nvGrpSpPr>
          <xdr:grpSpPr>
            <a:xfrm>
              <a:off x="12477748" y="2367654"/>
              <a:ext cx="332972" cy="361192"/>
              <a:chOff x="8585625" y="4782769"/>
              <a:chExt cx="147154" cy="166659"/>
            </a:xfrm>
          </xdr:grpSpPr>
          <xdr:pic>
            <xdr:nvPicPr>
              <xdr:cNvPr id="520"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521"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517" name="NFI_G"/>
            <xdr:cNvGrpSpPr/>
          </xdr:nvGrpSpPr>
          <xdr:grpSpPr>
            <a:xfrm>
              <a:off x="13877376" y="2348604"/>
              <a:ext cx="332981" cy="361192"/>
              <a:chOff x="8250078" y="5375644"/>
              <a:chExt cx="147158" cy="166659"/>
            </a:xfrm>
          </xdr:grpSpPr>
          <xdr:pic>
            <xdr:nvPicPr>
              <xdr:cNvPr id="518"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519"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4</xdr:col>
      <xdr:colOff>111125</xdr:colOff>
      <xdr:row>11</xdr:row>
      <xdr:rowOff>41910</xdr:rowOff>
    </xdr:from>
    <xdr:to>
      <xdr:col>6</xdr:col>
      <xdr:colOff>85725</xdr:colOff>
      <xdr:row>14</xdr:row>
      <xdr:rowOff>98101</xdr:rowOff>
    </xdr:to>
    <xdr:grpSp>
      <xdr:nvGrpSpPr>
        <xdr:cNvPr id="522" name="Sumprabum_G"/>
        <xdr:cNvGrpSpPr/>
      </xdr:nvGrpSpPr>
      <xdr:grpSpPr>
        <a:xfrm>
          <a:off x="3021965" y="2724150"/>
          <a:ext cx="1315720" cy="787711"/>
          <a:chOff x="12380951" y="1658202"/>
          <a:chExt cx="1893717" cy="2381154"/>
        </a:xfrm>
      </xdr:grpSpPr>
      <xdr:sp macro="" textlink="">
        <xdr:nvSpPr>
          <xdr:cNvPr id="523" name="Oval"/>
          <xdr:cNvSpPr/>
        </xdr:nvSpPr>
        <xdr:spPr>
          <a:xfrm>
            <a:off x="13221918" y="2630909"/>
            <a:ext cx="211782" cy="435741"/>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22">
        <xdr:nvSpPr>
          <xdr:cNvPr id="524" name="Pop" hidden="1"/>
          <xdr:cNvSpPr txBox="1"/>
        </xdr:nvSpPr>
        <xdr:spPr>
          <a:xfrm>
            <a:off x="12959415" y="1658202"/>
            <a:ext cx="708964" cy="2381154"/>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7C0A70E0-F4E4-44FB-9229-CAF5E578F5A7}"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1,232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22">
        <xdr:nvSpPr>
          <xdr:cNvPr id="525" name="N_Camp" hidden="1"/>
          <xdr:cNvSpPr txBox="1"/>
        </xdr:nvSpPr>
        <xdr:spPr>
          <a:xfrm>
            <a:off x="13337142" y="2423689"/>
            <a:ext cx="836058" cy="86697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E33C1306-DAF7-44EA-80F8-172B64DC504C}" type="TxLink">
              <a:rPr lang="en-US" sz="1600" b="0" i="0" u="none" strike="noStrike">
                <a:solidFill>
                  <a:srgbClr val="000000"/>
                </a:solidFill>
                <a:latin typeface="Calibri"/>
                <a:cs typeface="Arial" pitchFamily="34" charset="0"/>
              </a:rPr>
              <a:pPr algn="r"/>
              <a:t>3 cps</a:t>
            </a:fld>
            <a:endParaRPr lang="en-US" sz="600" i="1">
              <a:solidFill>
                <a:schemeClr val="tx1"/>
              </a:solidFill>
              <a:latin typeface="Arial" pitchFamily="34" charset="0"/>
              <a:cs typeface="Arial" pitchFamily="34" charset="0"/>
            </a:endParaRPr>
          </a:p>
        </xdr:txBody>
      </xdr:sp>
      <xdr:sp macro="" textlink="U22">
        <xdr:nvSpPr>
          <xdr:cNvPr id="526" name="Site"/>
          <xdr:cNvSpPr txBox="1"/>
        </xdr:nvSpPr>
        <xdr:spPr>
          <a:xfrm>
            <a:off x="12380951" y="1742302"/>
            <a:ext cx="1893717" cy="86697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33187E28-A528-40F0-9FA8-53A6DC5B1BB1}"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Sumprabum</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527" name="Cluster"/>
          <xdr:cNvGrpSpPr/>
        </xdr:nvGrpSpPr>
        <xdr:grpSpPr>
          <a:xfrm>
            <a:off x="12477748" y="2348604"/>
            <a:ext cx="1732609" cy="380242"/>
            <a:chOff x="12477748" y="2348604"/>
            <a:chExt cx="1732609" cy="380242"/>
          </a:xfrm>
        </xdr:grpSpPr>
        <xdr:grpSp>
          <xdr:nvGrpSpPr>
            <xdr:cNvPr id="528" name="Shelter_G"/>
            <xdr:cNvGrpSpPr/>
          </xdr:nvGrpSpPr>
          <xdr:grpSpPr>
            <a:xfrm>
              <a:off x="12477748" y="2367654"/>
              <a:ext cx="332972" cy="361192"/>
              <a:chOff x="8585625" y="4782769"/>
              <a:chExt cx="147154" cy="166659"/>
            </a:xfrm>
          </xdr:grpSpPr>
          <xdr:pic>
            <xdr:nvPicPr>
              <xdr:cNvPr id="532"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533"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529" name="NFI_G"/>
            <xdr:cNvGrpSpPr/>
          </xdr:nvGrpSpPr>
          <xdr:grpSpPr>
            <a:xfrm>
              <a:off x="13877376" y="2348604"/>
              <a:ext cx="332981" cy="361192"/>
              <a:chOff x="8250078" y="5375644"/>
              <a:chExt cx="147158" cy="166659"/>
            </a:xfrm>
          </xdr:grpSpPr>
          <xdr:pic>
            <xdr:nvPicPr>
              <xdr:cNvPr id="530"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531"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4</xdr:col>
      <xdr:colOff>606425</xdr:colOff>
      <xdr:row>18</xdr:row>
      <xdr:rowOff>26035</xdr:rowOff>
    </xdr:from>
    <xdr:to>
      <xdr:col>7</xdr:col>
      <xdr:colOff>38100</xdr:colOff>
      <xdr:row>21</xdr:row>
      <xdr:rowOff>82226</xdr:rowOff>
    </xdr:to>
    <xdr:grpSp>
      <xdr:nvGrpSpPr>
        <xdr:cNvPr id="534" name="Waingmaw_G"/>
        <xdr:cNvGrpSpPr/>
      </xdr:nvGrpSpPr>
      <xdr:grpSpPr>
        <a:xfrm>
          <a:off x="3517265" y="4415155"/>
          <a:ext cx="1336675" cy="787711"/>
          <a:chOff x="12380951" y="1658202"/>
          <a:chExt cx="1893717" cy="2381154"/>
        </a:xfrm>
      </xdr:grpSpPr>
      <xdr:sp macro="" textlink="">
        <xdr:nvSpPr>
          <xdr:cNvPr id="535" name="Oval"/>
          <xdr:cNvSpPr/>
        </xdr:nvSpPr>
        <xdr:spPr>
          <a:xfrm>
            <a:off x="12782326" y="1726448"/>
            <a:ext cx="1090968" cy="2244663"/>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23">
        <xdr:nvSpPr>
          <xdr:cNvPr id="536" name="Pop" hidden="1"/>
          <xdr:cNvSpPr txBox="1"/>
        </xdr:nvSpPr>
        <xdr:spPr>
          <a:xfrm>
            <a:off x="12959415" y="1658202"/>
            <a:ext cx="708964" cy="2381154"/>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38FE780A-96D8-4C34-8D1E-F6FCCF960D41}"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32,693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23">
        <xdr:nvSpPr>
          <xdr:cNvPr id="537" name="N_Camp" hidden="1"/>
          <xdr:cNvSpPr txBox="1"/>
        </xdr:nvSpPr>
        <xdr:spPr>
          <a:xfrm>
            <a:off x="13337142" y="2423689"/>
            <a:ext cx="836058" cy="86697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941BC6D6-5D6C-4F00-A01A-0AF72FF53391}" type="TxLink">
              <a:rPr lang="en-US" sz="1600" b="0" i="0" u="none" strike="noStrike">
                <a:solidFill>
                  <a:srgbClr val="000000"/>
                </a:solidFill>
                <a:latin typeface="Calibri"/>
                <a:cs typeface="Arial" pitchFamily="34" charset="0"/>
              </a:rPr>
              <a:pPr algn="r"/>
              <a:t>23 cps</a:t>
            </a:fld>
            <a:endParaRPr lang="en-US" sz="600" i="1">
              <a:solidFill>
                <a:schemeClr val="tx1"/>
              </a:solidFill>
              <a:latin typeface="Arial" pitchFamily="34" charset="0"/>
              <a:cs typeface="Arial" pitchFamily="34" charset="0"/>
            </a:endParaRPr>
          </a:p>
        </xdr:txBody>
      </xdr:sp>
      <xdr:sp macro="" textlink="U23">
        <xdr:nvSpPr>
          <xdr:cNvPr id="538" name="Site"/>
          <xdr:cNvSpPr txBox="1"/>
        </xdr:nvSpPr>
        <xdr:spPr>
          <a:xfrm>
            <a:off x="12380951" y="1742302"/>
            <a:ext cx="1893717" cy="86697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0C997E84-61B6-4855-AF83-FA7A27F3591B}"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Waingmaw</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539" name="Cluster"/>
          <xdr:cNvGrpSpPr/>
        </xdr:nvGrpSpPr>
        <xdr:grpSpPr>
          <a:xfrm>
            <a:off x="12477748" y="2348604"/>
            <a:ext cx="1732609" cy="380242"/>
            <a:chOff x="12477748" y="2348604"/>
            <a:chExt cx="1732609" cy="380242"/>
          </a:xfrm>
        </xdr:grpSpPr>
        <xdr:grpSp>
          <xdr:nvGrpSpPr>
            <xdr:cNvPr id="540" name="Shelter_G"/>
            <xdr:cNvGrpSpPr/>
          </xdr:nvGrpSpPr>
          <xdr:grpSpPr>
            <a:xfrm>
              <a:off x="12477748" y="2367654"/>
              <a:ext cx="332972" cy="361192"/>
              <a:chOff x="8585625" y="4782769"/>
              <a:chExt cx="147154" cy="166659"/>
            </a:xfrm>
          </xdr:grpSpPr>
          <xdr:pic>
            <xdr:nvPicPr>
              <xdr:cNvPr id="544"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545"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541" name="NFI_G"/>
            <xdr:cNvGrpSpPr/>
          </xdr:nvGrpSpPr>
          <xdr:grpSpPr>
            <a:xfrm>
              <a:off x="13877376" y="2348604"/>
              <a:ext cx="332981" cy="361192"/>
              <a:chOff x="8250078" y="5375644"/>
              <a:chExt cx="147158" cy="166659"/>
            </a:xfrm>
          </xdr:grpSpPr>
          <xdr:pic>
            <xdr:nvPicPr>
              <xdr:cNvPr id="542"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543"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0</xdr:col>
      <xdr:colOff>330200</xdr:colOff>
      <xdr:row>28</xdr:row>
      <xdr:rowOff>237257</xdr:rowOff>
    </xdr:from>
    <xdr:to>
      <xdr:col>1</xdr:col>
      <xdr:colOff>742950</xdr:colOff>
      <xdr:row>34</xdr:row>
      <xdr:rowOff>41183</xdr:rowOff>
    </xdr:to>
    <xdr:grpSp>
      <xdr:nvGrpSpPr>
        <xdr:cNvPr id="546" name="Kachin/Shan_G"/>
        <xdr:cNvGrpSpPr/>
      </xdr:nvGrpSpPr>
      <xdr:grpSpPr>
        <a:xfrm>
          <a:off x="330200" y="7064777"/>
          <a:ext cx="1281430" cy="1266966"/>
          <a:chOff x="12380951" y="940641"/>
          <a:chExt cx="1893717" cy="3816275"/>
        </a:xfrm>
      </xdr:grpSpPr>
      <xdr:sp macro="" textlink="">
        <xdr:nvSpPr>
          <xdr:cNvPr id="547" name="Oval"/>
          <xdr:cNvSpPr/>
        </xdr:nvSpPr>
        <xdr:spPr>
          <a:xfrm>
            <a:off x="12400401" y="940641"/>
            <a:ext cx="1854814" cy="3816275"/>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24">
        <xdr:nvSpPr>
          <xdr:cNvPr id="548" name="Pop" hidden="1"/>
          <xdr:cNvSpPr txBox="1"/>
        </xdr:nvSpPr>
        <xdr:spPr>
          <a:xfrm>
            <a:off x="12959414" y="1662433"/>
            <a:ext cx="708964" cy="2372693"/>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BF65F049-7D2E-4F1B-A560-F02AC8D70746}"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94,500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24">
        <xdr:nvSpPr>
          <xdr:cNvPr id="549" name="N_Camp" hidden="1"/>
          <xdr:cNvSpPr txBox="1"/>
        </xdr:nvSpPr>
        <xdr:spPr>
          <a:xfrm>
            <a:off x="13337142" y="2048029"/>
            <a:ext cx="836058" cy="1618295"/>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7B638263-BC3C-45F6-9ECD-584A92CFBCD4}" type="TxLink">
              <a:rPr lang="en-US" sz="1600" b="0" i="0" u="none" strike="noStrike">
                <a:solidFill>
                  <a:srgbClr val="000000"/>
                </a:solidFill>
                <a:latin typeface="Calibri"/>
                <a:cs typeface="Arial" pitchFamily="34" charset="0"/>
              </a:rPr>
              <a:pPr algn="r"/>
              <a:t>163 camps</a:t>
            </a:fld>
            <a:endParaRPr lang="en-US" sz="600" i="1">
              <a:solidFill>
                <a:schemeClr val="tx1"/>
              </a:solidFill>
              <a:latin typeface="Arial" pitchFamily="34" charset="0"/>
              <a:cs typeface="Arial" pitchFamily="34" charset="0"/>
            </a:endParaRPr>
          </a:p>
        </xdr:txBody>
      </xdr:sp>
      <xdr:sp macro="" textlink="U24">
        <xdr:nvSpPr>
          <xdr:cNvPr id="550" name="Site"/>
          <xdr:cNvSpPr txBox="1"/>
        </xdr:nvSpPr>
        <xdr:spPr>
          <a:xfrm>
            <a:off x="12380951" y="1743839"/>
            <a:ext cx="1893717" cy="8638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04DF677A-AB44-48B8-AB19-00629A9739D4}"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Kachin/Shan</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551" name="Cluster"/>
          <xdr:cNvGrpSpPr/>
        </xdr:nvGrpSpPr>
        <xdr:grpSpPr>
          <a:xfrm>
            <a:off x="12477748" y="2348604"/>
            <a:ext cx="1732609" cy="380242"/>
            <a:chOff x="12477748" y="2348604"/>
            <a:chExt cx="1732609" cy="380242"/>
          </a:xfrm>
        </xdr:grpSpPr>
        <xdr:grpSp>
          <xdr:nvGrpSpPr>
            <xdr:cNvPr id="552" name="Shelter_G"/>
            <xdr:cNvGrpSpPr/>
          </xdr:nvGrpSpPr>
          <xdr:grpSpPr>
            <a:xfrm>
              <a:off x="12477748" y="2367654"/>
              <a:ext cx="332972" cy="361192"/>
              <a:chOff x="8585625" y="4782769"/>
              <a:chExt cx="147154" cy="166659"/>
            </a:xfrm>
          </xdr:grpSpPr>
          <xdr:pic>
            <xdr:nvPicPr>
              <xdr:cNvPr id="556"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557"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553" name="NFI_G"/>
            <xdr:cNvGrpSpPr/>
          </xdr:nvGrpSpPr>
          <xdr:grpSpPr>
            <a:xfrm>
              <a:off x="13877376" y="2348604"/>
              <a:ext cx="332981" cy="361192"/>
              <a:chOff x="8250078" y="5375644"/>
              <a:chExt cx="147158" cy="166659"/>
            </a:xfrm>
          </xdr:grpSpPr>
          <xdr:pic>
            <xdr:nvPicPr>
              <xdr:cNvPr id="554"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555"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wsDr>
</file>

<file path=xl/drawings/drawing8.xml><?xml version="1.0" encoding="utf-8"?>
<xdr:wsDr xmlns:xdr="http://schemas.openxmlformats.org/drawingml/2006/spreadsheetDrawing" xmlns:a="http://schemas.openxmlformats.org/drawingml/2006/main">
  <xdr:twoCellAnchor>
    <xdr:from>
      <xdr:col>9</xdr:col>
      <xdr:colOff>108857</xdr:colOff>
      <xdr:row>0</xdr:row>
      <xdr:rowOff>340179</xdr:rowOff>
    </xdr:from>
    <xdr:to>
      <xdr:col>15</xdr:col>
      <xdr:colOff>1288235</xdr:colOff>
      <xdr:row>1</xdr:row>
      <xdr:rowOff>453005</xdr:rowOff>
    </xdr:to>
    <xdr:grpSp>
      <xdr:nvGrpSpPr>
        <xdr:cNvPr id="5" name="Group 4"/>
        <xdr:cNvGrpSpPr/>
      </xdr:nvGrpSpPr>
      <xdr:grpSpPr>
        <a:xfrm>
          <a:off x="11797393" y="340179"/>
          <a:ext cx="8536760" cy="575469"/>
          <a:chOff x="6500812" y="317500"/>
          <a:chExt cx="6186806" cy="575469"/>
        </a:xfrm>
      </xdr:grpSpPr>
      <xdr:pic>
        <xdr:nvPicPr>
          <xdr:cNvPr id="6" name="Picture 5"/>
          <xdr:cNvPicPr>
            <a:picLocks noChangeAspect="1"/>
          </xdr:cNvPicPr>
        </xdr:nvPicPr>
        <xdr:blipFill>
          <a:blip xmlns:r="http://schemas.openxmlformats.org/officeDocument/2006/relationships" r:embed="rId1"/>
          <a:stretch>
            <a:fillRect/>
          </a:stretch>
        </xdr:blipFill>
        <xdr:spPr>
          <a:xfrm>
            <a:off x="8886031" y="317500"/>
            <a:ext cx="3801587" cy="573015"/>
          </a:xfrm>
          <a:prstGeom prst="rect">
            <a:avLst/>
          </a:prstGeom>
        </xdr:spPr>
      </xdr:pic>
      <xdr:pic>
        <xdr:nvPicPr>
          <xdr:cNvPr id="7" name="Picture 6" descr="CCCM sdc-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0</xdr:col>
      <xdr:colOff>0</xdr:colOff>
      <xdr:row>0</xdr:row>
      <xdr:rowOff>19050</xdr:rowOff>
    </xdr:from>
    <xdr:to>
      <xdr:col>1</xdr:col>
      <xdr:colOff>392250</xdr:colOff>
      <xdr:row>0</xdr:row>
      <xdr:rowOff>384810</xdr:rowOff>
    </xdr:to>
    <xdr:sp macro="" textlink="">
      <xdr:nvSpPr>
        <xdr:cNvPr id="8" name="Rounded Rectangle 7">
          <a:hlinkClick xmlns:r="http://schemas.openxmlformats.org/officeDocument/2006/relationships" r:id="rId3"/>
        </xdr:cNvPr>
        <xdr:cNvSpPr/>
      </xdr:nvSpPr>
      <xdr:spPr>
        <a:xfrm>
          <a:off x="0" y="19050"/>
          <a:ext cx="1440000" cy="36576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1</xdr:col>
      <xdr:colOff>595311</xdr:colOff>
      <xdr:row>0</xdr:row>
      <xdr:rowOff>11907</xdr:rowOff>
    </xdr:from>
    <xdr:to>
      <xdr:col>3</xdr:col>
      <xdr:colOff>292236</xdr:colOff>
      <xdr:row>0</xdr:row>
      <xdr:rowOff>377667</xdr:rowOff>
    </xdr:to>
    <xdr:sp macro="" textlink="">
      <xdr:nvSpPr>
        <xdr:cNvPr id="9" name="Rounded Rectangle 8">
          <a:hlinkClick xmlns:r="http://schemas.openxmlformats.org/officeDocument/2006/relationships" r:id="rId4"/>
        </xdr:cNvPr>
        <xdr:cNvSpPr/>
      </xdr:nvSpPr>
      <xdr:spPr>
        <a:xfrm>
          <a:off x="2047874" y="11907"/>
          <a:ext cx="1732893" cy="36576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Progress</a:t>
          </a:r>
          <a:endParaRPr lang="en-US" sz="1100" b="1"/>
        </a:p>
      </xdr:txBody>
    </xdr:sp>
    <xdr:clientData/>
  </xdr:twoCellAnchor>
  <xdr:twoCellAnchor>
    <xdr:from>
      <xdr:col>5</xdr:col>
      <xdr:colOff>71437</xdr:colOff>
      <xdr:row>0</xdr:row>
      <xdr:rowOff>0</xdr:rowOff>
    </xdr:from>
    <xdr:to>
      <xdr:col>5</xdr:col>
      <xdr:colOff>1511437</xdr:colOff>
      <xdr:row>0</xdr:row>
      <xdr:rowOff>367738</xdr:rowOff>
    </xdr:to>
    <xdr:sp macro="" textlink="">
      <xdr:nvSpPr>
        <xdr:cNvPr id="10" name="Rounded Rectangle 9">
          <a:hlinkClick xmlns:r="http://schemas.openxmlformats.org/officeDocument/2006/relationships" r:id="rId5"/>
        </xdr:cNvPr>
        <xdr:cNvSpPr/>
      </xdr:nvSpPr>
      <xdr:spPr>
        <a:xfrm>
          <a:off x="5110162" y="0"/>
          <a:ext cx="1440000" cy="367738"/>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Detail Sheet</a:t>
          </a:r>
          <a:endParaRPr lang="en-US" sz="1100" b="1"/>
        </a:p>
      </xdr:txBody>
    </xdr:sp>
    <xdr:clientData/>
  </xdr:twoCellAnchor>
  <xdr:twoCellAnchor>
    <xdr:from>
      <xdr:col>3</xdr:col>
      <xdr:colOff>552452</xdr:colOff>
      <xdr:row>0</xdr:row>
      <xdr:rowOff>11908</xdr:rowOff>
    </xdr:from>
    <xdr:to>
      <xdr:col>4</xdr:col>
      <xdr:colOff>1097102</xdr:colOff>
      <xdr:row>0</xdr:row>
      <xdr:rowOff>381002</xdr:rowOff>
    </xdr:to>
    <xdr:sp macro="" textlink="">
      <xdr:nvSpPr>
        <xdr:cNvPr id="11" name="Rounded Rectangle 10">
          <a:hlinkClick xmlns:r="http://schemas.openxmlformats.org/officeDocument/2006/relationships" r:id="rId6"/>
        </xdr:cNvPr>
        <xdr:cNvSpPr/>
      </xdr:nvSpPr>
      <xdr:spPr>
        <a:xfrm>
          <a:off x="3552827" y="11908"/>
          <a:ext cx="1440000" cy="369094"/>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a:t>
          </a:r>
          <a:r>
            <a:rPr lang="en-US" sz="1100" b="1" baseline="0"/>
            <a:t> by Agency</a:t>
          </a:r>
          <a:endParaRPr lang="en-US" sz="1100" b="1"/>
        </a:p>
      </xdr:txBody>
    </xdr:sp>
    <xdr:clientData/>
  </xdr:twoCellAnchor>
  <xdr:twoCellAnchor>
    <xdr:from>
      <xdr:col>5</xdr:col>
      <xdr:colOff>1633539</xdr:colOff>
      <xdr:row>0</xdr:row>
      <xdr:rowOff>0</xdr:rowOff>
    </xdr:from>
    <xdr:to>
      <xdr:col>6</xdr:col>
      <xdr:colOff>539889</xdr:colOff>
      <xdr:row>0</xdr:row>
      <xdr:rowOff>365760</xdr:rowOff>
    </xdr:to>
    <xdr:sp macro="" textlink="">
      <xdr:nvSpPr>
        <xdr:cNvPr id="12" name="Rounded Rectangle 11">
          <a:hlinkClick xmlns:r="http://schemas.openxmlformats.org/officeDocument/2006/relationships" r:id="rId7"/>
        </xdr:cNvPr>
        <xdr:cNvSpPr/>
      </xdr:nvSpPr>
      <xdr:spPr>
        <a:xfrm>
          <a:off x="6672264" y="0"/>
          <a:ext cx="2392500" cy="36576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Shelter Summary</a:t>
          </a:r>
          <a:endParaRPr lang="en-US" sz="1100" b="1"/>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7</xdr:col>
      <xdr:colOff>171450</xdr:colOff>
      <xdr:row>32</xdr:row>
      <xdr:rowOff>57149</xdr:rowOff>
    </xdr:from>
    <xdr:to>
      <xdr:col>16</xdr:col>
      <xdr:colOff>9525</xdr:colOff>
      <xdr:row>51</xdr:row>
      <xdr:rowOff>28574</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107157</xdr:colOff>
      <xdr:row>56</xdr:row>
      <xdr:rowOff>357188</xdr:rowOff>
    </xdr:from>
    <xdr:to>
      <xdr:col>16</xdr:col>
      <xdr:colOff>11906</xdr:colOff>
      <xdr:row>74</xdr:row>
      <xdr:rowOff>114300</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59531</xdr:colOff>
      <xdr:row>32</xdr:row>
      <xdr:rowOff>71437</xdr:rowOff>
    </xdr:from>
    <xdr:to>
      <xdr:col>7</xdr:col>
      <xdr:colOff>154781</xdr:colOff>
      <xdr:row>51</xdr:row>
      <xdr:rowOff>47625</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2063750</xdr:colOff>
      <xdr:row>1</xdr:row>
      <xdr:rowOff>127000</xdr:rowOff>
    </xdr:from>
    <xdr:to>
      <xdr:col>14</xdr:col>
      <xdr:colOff>773431</xdr:colOff>
      <xdr:row>1</xdr:row>
      <xdr:rowOff>702469</xdr:rowOff>
    </xdr:to>
    <xdr:grpSp>
      <xdr:nvGrpSpPr>
        <xdr:cNvPr id="11" name="Group 10"/>
        <xdr:cNvGrpSpPr/>
      </xdr:nvGrpSpPr>
      <xdr:grpSpPr>
        <a:xfrm>
          <a:off x="9850438" y="579438"/>
          <a:ext cx="4960462" cy="327819"/>
          <a:chOff x="6500812" y="317500"/>
          <a:chExt cx="6186806" cy="575469"/>
        </a:xfrm>
      </xdr:grpSpPr>
      <xdr:pic>
        <xdr:nvPicPr>
          <xdr:cNvPr id="12" name="Picture 11"/>
          <xdr:cNvPicPr>
            <a:picLocks noChangeAspect="1"/>
          </xdr:cNvPicPr>
        </xdr:nvPicPr>
        <xdr:blipFill>
          <a:blip xmlns:r="http://schemas.openxmlformats.org/officeDocument/2006/relationships" r:embed="rId4"/>
          <a:stretch>
            <a:fillRect/>
          </a:stretch>
        </xdr:blipFill>
        <xdr:spPr>
          <a:xfrm>
            <a:off x="8886031" y="317500"/>
            <a:ext cx="3801587" cy="573015"/>
          </a:xfrm>
          <a:prstGeom prst="rect">
            <a:avLst/>
          </a:prstGeom>
        </xdr:spPr>
      </xdr:pic>
      <xdr:pic>
        <xdr:nvPicPr>
          <xdr:cNvPr id="13" name="Picture 12" descr="CCCM sdc-2"/>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0</xdr:col>
      <xdr:colOff>0</xdr:colOff>
      <xdr:row>0</xdr:row>
      <xdr:rowOff>19050</xdr:rowOff>
    </xdr:from>
    <xdr:to>
      <xdr:col>1</xdr:col>
      <xdr:colOff>122375</xdr:colOff>
      <xdr:row>0</xdr:row>
      <xdr:rowOff>384810</xdr:rowOff>
    </xdr:to>
    <xdr:sp macro="" textlink="">
      <xdr:nvSpPr>
        <xdr:cNvPr id="24" name="Rounded Rectangle 23">
          <a:hlinkClick xmlns:r="http://schemas.openxmlformats.org/officeDocument/2006/relationships" r:id="rId6"/>
        </xdr:cNvPr>
        <xdr:cNvSpPr/>
      </xdr:nvSpPr>
      <xdr:spPr>
        <a:xfrm>
          <a:off x="0" y="19050"/>
          <a:ext cx="1440000" cy="36576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1</xdr:col>
      <xdr:colOff>670832</xdr:colOff>
      <xdr:row>0</xdr:row>
      <xdr:rowOff>19050</xdr:rowOff>
    </xdr:from>
    <xdr:to>
      <xdr:col>2</xdr:col>
      <xdr:colOff>569143</xdr:colOff>
      <xdr:row>0</xdr:row>
      <xdr:rowOff>384810</xdr:rowOff>
    </xdr:to>
    <xdr:sp macro="" textlink="">
      <xdr:nvSpPr>
        <xdr:cNvPr id="18" name="Rounded Rectangle 17">
          <a:hlinkClick xmlns:r="http://schemas.openxmlformats.org/officeDocument/2006/relationships" r:id="rId7"/>
        </xdr:cNvPr>
        <xdr:cNvSpPr/>
      </xdr:nvSpPr>
      <xdr:spPr>
        <a:xfrm>
          <a:off x="1895475" y="19050"/>
          <a:ext cx="1435918" cy="36576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Progress</a:t>
          </a:r>
          <a:endParaRPr lang="en-US" sz="1100" b="1"/>
        </a:p>
      </xdr:txBody>
    </xdr:sp>
    <xdr:clientData/>
  </xdr:twoCellAnchor>
  <xdr:twoCellAnchor>
    <xdr:from>
      <xdr:col>4</xdr:col>
      <xdr:colOff>519795</xdr:colOff>
      <xdr:row>0</xdr:row>
      <xdr:rowOff>0</xdr:rowOff>
    </xdr:from>
    <xdr:to>
      <xdr:col>6</xdr:col>
      <xdr:colOff>9891</xdr:colOff>
      <xdr:row>0</xdr:row>
      <xdr:rowOff>367738</xdr:rowOff>
    </xdr:to>
    <xdr:sp macro="" textlink="">
      <xdr:nvSpPr>
        <xdr:cNvPr id="19" name="Rounded Rectangle 18">
          <a:hlinkClick xmlns:r="http://schemas.openxmlformats.org/officeDocument/2006/relationships" r:id="rId8"/>
        </xdr:cNvPr>
        <xdr:cNvSpPr/>
      </xdr:nvSpPr>
      <xdr:spPr>
        <a:xfrm>
          <a:off x="5704116" y="0"/>
          <a:ext cx="1435918" cy="367738"/>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Detail Sheet</a:t>
          </a:r>
          <a:endParaRPr lang="en-US" sz="1100" b="1"/>
        </a:p>
      </xdr:txBody>
    </xdr:sp>
    <xdr:clientData/>
  </xdr:twoCellAnchor>
  <xdr:twoCellAnchor>
    <xdr:from>
      <xdr:col>2</xdr:col>
      <xdr:colOff>1040270</xdr:colOff>
      <xdr:row>0</xdr:row>
      <xdr:rowOff>11908</xdr:rowOff>
    </xdr:from>
    <xdr:to>
      <xdr:col>4</xdr:col>
      <xdr:colOff>55477</xdr:colOff>
      <xdr:row>0</xdr:row>
      <xdr:rowOff>381002</xdr:rowOff>
    </xdr:to>
    <xdr:sp macro="" textlink="">
      <xdr:nvSpPr>
        <xdr:cNvPr id="20" name="Rounded Rectangle 19">
          <a:hlinkClick xmlns:r="http://schemas.openxmlformats.org/officeDocument/2006/relationships" r:id="rId9"/>
        </xdr:cNvPr>
        <xdr:cNvSpPr/>
      </xdr:nvSpPr>
      <xdr:spPr>
        <a:xfrm>
          <a:off x="3802520" y="11908"/>
          <a:ext cx="1437278" cy="369094"/>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a:t>
          </a:r>
          <a:r>
            <a:rPr lang="en-US" sz="1100" b="1" baseline="0"/>
            <a:t> by Agency</a:t>
          </a:r>
          <a:endParaRPr lang="en-US" sz="1100" b="1"/>
        </a:p>
      </xdr:txBody>
    </xdr:sp>
    <xdr:clientData/>
  </xdr:twoCellAnchor>
  <xdr:twoCellAnchor>
    <xdr:from>
      <xdr:col>6</xdr:col>
      <xdr:colOff>472171</xdr:colOff>
      <xdr:row>0</xdr:row>
      <xdr:rowOff>13608</xdr:rowOff>
    </xdr:from>
    <xdr:to>
      <xdr:col>8</xdr:col>
      <xdr:colOff>835846</xdr:colOff>
      <xdr:row>0</xdr:row>
      <xdr:rowOff>379368</xdr:rowOff>
    </xdr:to>
    <xdr:sp macro="" textlink="">
      <xdr:nvSpPr>
        <xdr:cNvPr id="21" name="Rounded Rectangle 20">
          <a:hlinkClick xmlns:r="http://schemas.openxmlformats.org/officeDocument/2006/relationships" r:id="rId10"/>
        </xdr:cNvPr>
        <xdr:cNvSpPr/>
      </xdr:nvSpPr>
      <xdr:spPr>
        <a:xfrm>
          <a:off x="7602314" y="13608"/>
          <a:ext cx="2363925" cy="36576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Shelter Summary</a:t>
          </a:r>
          <a:endParaRPr lang="en-US" sz="1100" b="1"/>
        </a:p>
      </xdr:txBody>
    </xdr:sp>
    <xdr:clientData/>
  </xdr:twoCellAnchor>
  <xdr:twoCellAnchor>
    <xdr:from>
      <xdr:col>0</xdr:col>
      <xdr:colOff>0</xdr:colOff>
      <xdr:row>57</xdr:row>
      <xdr:rowOff>13607</xdr:rowOff>
    </xdr:from>
    <xdr:to>
      <xdr:col>5</xdr:col>
      <xdr:colOff>59531</xdr:colOff>
      <xdr:row>74</xdr:row>
      <xdr:rowOff>180295</xdr:rowOff>
    </xdr:to>
    <xdr:graphicFrame macro="">
      <xdr:nvGraphicFramePr>
        <xdr:cNvPr id="14"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lwint/Dropbox/MYAYA_IMO/Kachin/Cluster_Report/2016/January/Shelter-NFI-CCCM%20Kachin%20Northern%20Shan%20Cluster%20Analysis%20Report%201st%20Jan%202016.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me"/>
      <sheetName val="Camp List"/>
      <sheetName val="DistanceToCamp"/>
      <sheetName val="Camp Analysis"/>
      <sheetName val="Camp List (printable)"/>
      <sheetName val="CCCM Dashboard"/>
      <sheetName val="ForGIS"/>
      <sheetName val="Shelter Cross Check"/>
      <sheetName val="Shelter Tracking"/>
      <sheetName val="Shelter Progress"/>
      <sheetName val="Shelter Summary (by Agency)"/>
      <sheetName val="Shelter Coverage Camp"/>
      <sheetName val="Shelter Coverage &amp; Gaps"/>
      <sheetName val="NFI Tracking"/>
      <sheetName val="NFI Pipeline"/>
      <sheetName val="Sheet2"/>
      <sheetName val="NFI Distribution (by Tship)"/>
      <sheetName val="Winter Item"/>
      <sheetName val="NFI Summary"/>
      <sheetName val="Map"/>
      <sheetName val="Define_TCL"/>
      <sheetName val="File_Details"/>
      <sheetName val="Definition"/>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7">
          <cell r="S7" t="str">
            <v>#Covered</v>
          </cell>
          <cell r="T7">
            <v>11764</v>
          </cell>
        </row>
        <row r="9">
          <cell r="S9" t="str">
            <v>#Gap</v>
          </cell>
          <cell r="T9">
            <v>5677</v>
          </cell>
        </row>
        <row r="10">
          <cell r="S10" t="str">
            <v>#Land Issue</v>
          </cell>
          <cell r="T10">
            <v>84</v>
          </cell>
        </row>
      </sheetData>
      <sheetData sheetId="13"/>
      <sheetData sheetId="14"/>
      <sheetData sheetId="15"/>
      <sheetData sheetId="16"/>
      <sheetData sheetId="17"/>
      <sheetData sheetId="18"/>
      <sheetData sheetId="19"/>
      <sheetData sheetId="20"/>
      <sheetData sheetId="21"/>
      <sheetData sheetId="22"/>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pivotCacheDefinition1.xml><?xml version="1.0" encoding="utf-8"?>
<pivotCacheDefinition xmlns="http://schemas.openxmlformats.org/spreadsheetml/2006/main" xmlns:r="http://schemas.openxmlformats.org/officeDocument/2006/relationships" r:id="rId1" refreshedBy="Ricouart" refreshedDate="42100.473941087963" createdVersion="4" refreshedVersion="4" minRefreshableVersion="3" recordCount="167">
  <cacheSource type="worksheet">
    <worksheetSource name="Table10"/>
  </cacheSource>
  <cacheFields count="14">
    <cacheField name="Pcode" numFmtId="0">
      <sharedItems/>
    </cacheField>
    <cacheField name="Priority" numFmtId="0">
      <sharedItems count="4">
        <s v="P1"/>
        <s v="P2"/>
        <s v="P3"/>
        <s v="P4"/>
      </sharedItems>
    </cacheField>
    <cacheField name="Camp" numFmtId="0">
      <sharedItems/>
    </cacheField>
    <cacheField name="Township" numFmtId="0">
      <sharedItems/>
    </cacheField>
    <cacheField name="HH" numFmtId="0">
      <sharedItems containsSemiMixedTypes="0" containsString="0" containsNumber="1" containsInteger="1" minValue="0" maxValue="1658"/>
    </cacheField>
    <cacheField name="Ind" numFmtId="0">
      <sharedItems containsSemiMixedTypes="0" containsString="0" containsNumber="1" containsInteger="1" minValue="0" maxValue="8585"/>
    </cacheField>
    <cacheField name="Winter Clothes Adult " numFmtId="0">
      <sharedItems containsSemiMixedTypes="0" containsString="0" containsNumber="1" containsInteger="1" minValue="0" maxValue="2910"/>
    </cacheField>
    <cacheField name="Winter Clothes Children " numFmtId="0">
      <sharedItems containsSemiMixedTypes="0" containsString="0" containsNumber="1" containsInteger="1" minValue="0" maxValue="5160"/>
    </cacheField>
    <cacheField name="Winter Items Other " numFmtId="0">
      <sharedItems containsSemiMixedTypes="0" containsString="0" containsNumber="1" containsInteger="1" minValue="0" maxValue="0"/>
    </cacheField>
    <cacheField name="WC_Adult_Gap" numFmtId="0">
      <sharedItems containsSemiMixedTypes="0" containsString="0" containsNumber="1" containsInteger="1" minValue="0" maxValue="1680"/>
    </cacheField>
    <cacheField name="WC_Child_Gap" numFmtId="0">
      <sharedItems containsSemiMixedTypes="0" containsString="0" containsNumber="1" containsInteger="1" minValue="0" maxValue="2520"/>
    </cacheField>
    <cacheField name="WI_Other_Gap" numFmtId="0">
      <sharedItems containsSemiMixedTypes="0" containsString="0" containsNumber="1" containsInteger="1" minValue="0" maxValue="3316"/>
    </cacheField>
    <cacheField name="Planned Distribution" numFmtId="0">
      <sharedItems/>
    </cacheField>
    <cacheField name="Check1" numFmtId="0">
      <sharedItems containsSemiMixedTypes="0" containsString="0" containsNumber="1" containsInteger="1" minValue="0" maxValue="0"/>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Thi Thi Lwin" refreshedDate="42545.592159953703" missingItemsLimit="0" createdVersion="4" refreshedVersion="5" minRefreshableVersion="3" recordCount="335">
  <cacheSource type="worksheet">
    <worksheetSource name="Table_Shelter"/>
  </cacheSource>
  <cacheFields count="23">
    <cacheField name="Update Date" numFmtId="15">
      <sharedItems containsNonDate="0" containsDate="1" containsString="0" containsBlank="1" minDate="2013-12-01T00:00:00" maxDate="2016-06-16T00:00:00"/>
    </cacheField>
    <cacheField name="Organization" numFmtId="0">
      <sharedItems containsBlank="1" count="16">
        <s v="UNHCR"/>
        <s v="ACTED"/>
        <s v="IRRC"/>
        <m/>
        <s v="DRC"/>
        <s v="Metta"/>
        <s v="CC"/>
        <s v="Oxfam"/>
        <s v="Caritas"/>
        <s v="FSD"/>
        <s v="KBC Zonal"/>
        <s v="World Vision"/>
        <s v="Yedai Foundation"/>
        <s v="COC"/>
        <s v="DFID"/>
        <s v="Misereor"/>
      </sharedItems>
    </cacheField>
    <cacheField name="Implementing  Partner" numFmtId="0">
      <sharedItems containsBlank="1"/>
    </cacheField>
    <cacheField name="State" numFmtId="0">
      <sharedItems count="2">
        <s v="Kachin"/>
        <s v="Shan_North"/>
      </sharedItems>
    </cacheField>
    <cacheField name="Township" numFmtId="0">
      <sharedItems count="17">
        <s v="Hpakant"/>
        <s v="Bhamo"/>
        <s v="Waingmaw"/>
        <s v="Mansi"/>
        <s v="Chipwi"/>
        <s v="Myitkyina"/>
        <s v="Momauk"/>
        <s v="Manton"/>
        <s v="Kutkai"/>
        <s v="Mogaung"/>
        <s v="Puta-O"/>
        <s v="Muse"/>
        <s v="Namhkan"/>
        <s v="Hseni"/>
        <s v="Namtu"/>
        <s v="Mohnyin"/>
        <s v="Shwegu"/>
      </sharedItems>
    </cacheField>
    <cacheField name="CampName" numFmtId="0">
      <sharedItems containsBlank="1" count="143">
        <s v="5 Ward Baptist Church(lon Khin)"/>
        <s v="5 Ward RC Church(lon Khin)"/>
        <s v="AD-2000 Tharthana Compound"/>
        <s v="AG Church, Hmaw Si Sa"/>
        <s v="AG Church, Maw Wan"/>
        <s v="Aung Thar Church"/>
        <s v="Baptist Church, Hmaw Si Sar(Lon Khin)"/>
        <s v="Baptist Church, Naung Hmee VT"/>
        <s v="Border Post 8"/>
        <s v="Bum Tsit Pa "/>
        <s v="Bum Tsit Pa Camp II"/>
        <s v="Chin Church, Seik Mu"/>
        <s v="Chipwi KBC Camp"/>
        <s v="Dhama Rakhita, Nyein Chan Tar Yar Ward(Lon Khin)"/>
        <s v="Du Kahtawng Qtr. 14"/>
        <s v="Du Kahtawng Qtr. 4"/>
        <s v="Du Kahtawng Qtr. 5"/>
        <s v="Dum Bung "/>
        <s v="Hkat Cho "/>
        <s v="Hkau Shau (BP 12)"/>
        <s v="Hmaw Wan, Anglican"/>
        <s v="Howa"/>
        <s v="Hpare Hkyer - BP6"/>
        <s v="Hpun Lum Yang "/>
        <s v="Htoi San Church"/>
        <s v="Jan Mai Kawng Baptist Church"/>
        <s v="Jan Mai Kawng Catholic Church"/>
        <s v="Je Yang Hka "/>
        <s v="Kone Khem Camp"/>
        <s v="Ku Day Maw KBC"/>
        <s v="Kutkai downtown (KBC Church)"/>
        <s v="Kutkai downtown (RC Church)"/>
        <s v="Kyun Pin Thar Baptist Church"/>
        <s v="Kyun Taw Baptist Church "/>
        <s v="Lagatyan "/>
        <s v="Lana Zup Ja "/>
        <s v="Le Kone Bethlehem Church"/>
        <s v="Le Kone Ziun Baptist Church "/>
        <s v="Lhaovao Baptist Church (LBC)"/>
        <s v="Lisu Baptist Church, Maw Shan Vil,. Seik Mu"/>
        <s v="Lisu Baptist Church, Maw Wan Ward"/>
        <s v="Lisu Boarding-House"/>
        <s v="Loi Je Baptist Church"/>
        <s v="Loi Je Catholic Church"/>
        <s v="Loi Je Lisu Camp"/>
        <s v="Lung Kawk  ( Hka Hkye Zup)"/>
        <s v="Lung Sut"/>
        <s v="Mading Baptist Church"/>
        <s v="Maga Yang "/>
        <s v="Mai Khat "/>
        <s v="Maina AG Church"/>
        <s v="Maina Catholic Church (St. Joseph)"/>
        <s v="Maina KBC (Bawng Ring)"/>
        <s v="Maina Lawang Baptist Church"/>
        <s v="Maing Khaung"/>
        <s v="Maing Khaung Catholic Church"/>
        <s v="Maliyang Baptist Church"/>
        <s v="Man Bung Catholic compound"/>
        <s v="Man Hkring Baptist Church"/>
        <s v="Man Kawng Baptist Church"/>
        <s v="Man Wing Baptist Church"/>
        <s v="Man Wing Catholic Church"/>
        <s v="Mandalay Monestry"/>
        <s v="Mandung - Jinghpaw"/>
        <s v="Mandung - RC"/>
        <s v="Mang Hawng Baptist Church"/>
        <s v="Mansi Baptist Church"/>
        <s v="Mashi Kahtawng Baptist  Church"/>
        <s v="Maw Hpawng Hka Nan Baptist Church"/>
        <s v="Maw Hpawng Lhaovo Baptist Church"/>
        <s v="Maw Wan, Mu-yin Baptist Church"/>
        <s v="Mine Yu Lay village"/>
        <s v="Momauk Baptist Church"/>
        <s v="Momauk Catholic Church (St. Patrick)"/>
        <s v="Mung Baw "/>
        <s v="Mung Ding Pa  (Boarder)"/>
        <s v="Mungji Pa Dabang (Baptist Church)         "/>
        <s v="Muse Baptist Church"/>
        <s v="Muse Catholic Church"/>
        <s v="Mu-yin Baptist Church"/>
        <s v="Nam Hkam - Nay Win Ni (Palawng)"/>
        <s v="Nam Hkam (KBC Jaw Wang)"/>
        <s v="Nam Hkam (KBC Jaw Wang) II"/>
        <s v="Nam Hkawng"/>
        <s v="Nam Hpak Ka Mare "/>
        <s v="Nam Lim Pa"/>
        <s v="Nam Ma Phyit, COC"/>
        <s v="Nam Sa Larp"/>
        <s v="Nam Tu Baptist"/>
        <s v="Namhkan - Pang Long KBC"/>
        <s v="Nan Kway St. John Catholic Church"/>
        <s v="Nant Hlaing Church"/>
        <s v="Nant Ma Hpit Catholic Church"/>
        <s v="Nat Gyi Kone Baptist Church "/>
        <s v="Nawng Hee Village"/>
        <s v="Nawng Ing (Indawgyi) Baptist Church  "/>
        <s v="Nga Pyaw Taw Baptist Nursery School "/>
        <s v="Nhkawng Pa "/>
        <s v="Ni Thaw Ka Monestry"/>
        <s v="Njang Dung Baptist Church "/>
        <s v="Nyaung Na Pin "/>
        <s v="Pa Dauk Myaing(Pa La Na)"/>
        <s v="Pa Kahtawng "/>
        <s v="Pajau - Jan Mai"/>
        <s v="Pan Wa"/>
        <s v="Phan Khar Kone"/>
        <s v="Post 6 Camp"/>
        <s v="Qtr. 2 Lhaovo Baptist Church"/>
        <s v="Qtr. 2 Myoma Baptist Church"/>
        <s v="Qtr. 3 Mu-yin  Baptist Church"/>
        <s v="Qtr. 4 Monestry (Thargaya Thayett Taw)"/>
        <s v="Rawan Baptist Church, Maw Shan Vil., Seik Mu"/>
        <s v="Robert Church"/>
        <s v="RRD Office"/>
        <s v="Sai Nai Baptish Church, Maw Shan Vil., Seki Mu"/>
        <s v="Sar Hmaw - KBC"/>
        <s v="Seng Ja "/>
        <s v="Shatapru Sut Ngai Tawng"/>
        <s v="Shing Jai"/>
        <s v="Shwe Gu Baptist Church"/>
        <s v="Shwe Gu Catholic Church"/>
        <s v="Shwe Zet Baptist Church"/>
        <s v="St. Patrick Catholic Church "/>
        <s v="Ta Gun Taing Monastery (Shwe Kyi Na)"/>
        <s v="Tat Kone Baptist Church"/>
        <s v="Tat Kone COC Baptist - Tat Kone Htoi San"/>
        <s v="Tat Kone Emanuel Church"/>
        <s v="Tat Kone Galile Baptist Church"/>
        <s v="Tat Kone San Pya Baptist Church"/>
        <s v="Thargaya Lisu Baptist Church"/>
        <s v="Tharthana Ahlin Yaung New Monastery"/>
        <s v="Waingmaw AG Church"/>
        <s v="Waingmaw Baptist Zonal Office"/>
        <s v="Ward 2 Cahotlic Church, Seik Mu"/>
        <s v="Ward 2 Sai Taung Baptist Church, Seik Mu "/>
        <s v="Warra Zup"/>
        <s v="Woi Chyai "/>
        <s v="Wun Tho Buddhist Monastery"/>
        <s v="Yoe Kyi Monastery"/>
        <s v="Yumar Baptist Church"/>
        <s v="Zai Awng - Mung Ga Zup"/>
        <s v="Zup Aung Camp"/>
        <m/>
      </sharedItems>
    </cacheField>
    <cacheField name="HH per Shelter" numFmtId="0">
      <sharedItems containsSemiMixedTypes="0" containsString="0" containsNumber="1" containsInteger="1" minValue="1" maxValue="1"/>
    </cacheField>
    <cacheField name="# of Family Tent Planned(Target)" numFmtId="0">
      <sharedItems containsString="0" containsBlank="1" containsNumber="1" containsInteger="1" minValue="1" maxValue="207"/>
    </cacheField>
    <cacheField name="# of Family Tent Distributed" numFmtId="0">
      <sharedItems containsString="0" containsBlank="1" containsNumber="1" containsInteger="1" minValue="1" maxValue="207"/>
    </cacheField>
    <cacheField name="# of Temporary Shelter Units Planned (Target)" numFmtId="0">
      <sharedItems containsString="0" containsBlank="1" containsNumber="1" containsInteger="1" minValue="2" maxValue="700"/>
    </cacheField>
    <cacheField name="# of Temporary Shelter Units Built" numFmtId="0">
      <sharedItems containsString="0" containsBlank="1" containsNumber="1" containsInteger="1" minValue="2" maxValue="700"/>
    </cacheField>
    <cacheField name="# of Temporary Shelter Under  Construction" numFmtId="0">
      <sharedItems containsString="0" containsBlank="1" containsNumber="1" containsInteger="1" minValue="85" maxValue="85"/>
    </cacheField>
    <cacheField name="# of Permanent House Planned (Target)" numFmtId="0">
      <sharedItems containsNonDate="0" containsString="0" containsBlank="1"/>
    </cacheField>
    <cacheField name="# of Permanent House Built" numFmtId="0">
      <sharedItems containsNonDate="0" containsString="0" containsBlank="1"/>
    </cacheField>
    <cacheField name="# of Permanent House Under Construction" numFmtId="0">
      <sharedItems containsNonDate="0" containsString="0" containsBlank="1"/>
    </cacheField>
    <cacheField name="HH Covered" numFmtId="0">
      <sharedItems containsSemiMixedTypes="0" containsString="0" containsNumber="1" containsInteger="1" minValue="0" maxValue="700"/>
    </cacheField>
    <cacheField name="Planned Renovation" numFmtId="0">
      <sharedItems containsString="0" containsBlank="1" containsNumber="1" containsInteger="1" minValue="2" maxValue="338"/>
    </cacheField>
    <cacheField name="Renovated" numFmtId="0">
      <sharedItems containsString="0" containsBlank="1" containsNumber="1" containsInteger="1" minValue="5" maxValue="338"/>
    </cacheField>
    <cacheField name="Pcode" numFmtId="0">
      <sharedItems count="141">
        <s v="MMR001CMP179"/>
        <s v="MMR001CMP168"/>
        <s v="MMR001CMP050"/>
        <s v="MMR001CMP176"/>
        <s v="MMR001CMP190"/>
        <s v="MMR001CMP194"/>
        <s v="MMR001CMP169"/>
        <s v="MMR001CMP188"/>
        <s v="MMR001CMP113"/>
        <s v="MMR001CMP129"/>
        <s v="MMR001CMP226"/>
        <s v="MMR001CMP109"/>
        <s v="MMR001CMP042"/>
        <s v="MMR001CMP174"/>
        <s v="MMR001CMP012"/>
        <s v="MMR001CMP010"/>
        <s v="MMR001CMP011"/>
        <s v="MMR001CMP123"/>
        <s v="MMR001CMP028"/>
        <s v="MMR001CMP115"/>
        <s v="MMR001CMP191"/>
        <s v="MMR015CMP010"/>
        <s v="MMR001CMP043"/>
        <s v="MMR001CMP122"/>
        <s v="MMR001CMP052"/>
        <s v="MMR001CMP018"/>
        <s v="MMR001CMP019"/>
        <s v="MMR001CMP121"/>
        <s v="MMR015CMP015"/>
        <s v="MMR001CMP231"/>
        <s v="MMR015CMP016"/>
        <s v="MMR015CMP017"/>
        <s v="MMR001CMP013"/>
        <s v="MMR001CMP078"/>
        <s v="MMR001CMP202"/>
        <s v="MMR001CMP128"/>
        <s v="MMR001CMP015"/>
        <s v="MMR001CMP014"/>
        <s v="MMR001CMP195"/>
        <s v="MMR001CMP181"/>
        <s v="MMR001CMP167"/>
        <s v="MMR001CMP049"/>
        <s v="MMR001CMP071"/>
        <s v="MMR001CMP069"/>
        <s v="MMR001CMP070"/>
        <s v="MMR001CMP135"/>
        <s v="MMR001CMP234"/>
        <s v="MMR001CMP027"/>
        <s v="MMR001CMP119"/>
        <s v="MMR001CMP064"/>
        <s v="MMR001CMP031"/>
        <s v="MMR001CMP029"/>
        <s v="MMR001CMP040"/>
        <s v="MMR001CMP039"/>
        <s v="MMR001CMP218"/>
        <s v="MMR001CMP223"/>
        <s v="MMR001CMP016"/>
        <s v="MMR001CMP062"/>
        <s v="MMR001CMP008"/>
        <s v="MMR001CMP212"/>
        <s v="MMR001CMP133"/>
        <s v="MMR001CMP132"/>
        <s v="MMR001CMP058"/>
        <s v="MMR015CMP009"/>
        <s v="MMR015CMP209"/>
        <s v="MMR001CMP077"/>
        <s v="MMR001CMP066"/>
        <s v="MMR001CMP094"/>
        <s v="MMR001CMP020"/>
        <s v="MMR001CMP021"/>
        <s v="MMR001CMP091"/>
        <s v="MMR015CMP018"/>
        <s v="MMR001CMP056"/>
        <s v="MMR001CMP057"/>
        <s v="MMR015CMP005"/>
        <s v="MMR001CMP203"/>
        <s v="MMR015CMP006"/>
        <s v="MMR015CMP213"/>
        <s v="MMR015CMP216"/>
        <s v="MMR001CMP051"/>
        <s v="MMR015CMP004"/>
        <s v="MMR015CMP001"/>
        <s v="MMR015CMP214"/>
        <s v="MMR015CMP139"/>
        <s v="MMR015CMP007"/>
        <s v="MMR001CMP204"/>
        <s v="MMR001CMP192"/>
        <s v="MMR015CMP218"/>
        <s v="MMR015CMP014"/>
        <s v="MMR015CMP215"/>
        <s v="MMR001CMP024"/>
        <s v="MMR001CMP054"/>
        <s v="MMR001CMP103"/>
        <s v="MMR001CMP079"/>
        <s v="MMR001CMP033"/>
        <s v="MMR001CMP152"/>
        <s v="MMR001CMP082"/>
        <s v="MMR001CMP131"/>
        <s v="MMR001CMP059"/>
        <s v="MMR001CMP002"/>
        <s v="MMR001CMP072"/>
        <s v="MMR001CMP162"/>
        <s v="MMR001CMP126"/>
        <s v="MMR001CMP120"/>
        <s v="MMR001CMP210"/>
        <s v="MMR001CMP193"/>
        <s v="MMR001CMP160"/>
        <s v="MMR001CMP032"/>
        <s v="MMR001CMP025"/>
        <s v="MMR001CMP030"/>
        <s v="MMR001CMP026"/>
        <s v="MMR001CMP182"/>
        <s v="MMR001CMP047"/>
        <s v=""/>
        <s v="MMR001CMP183"/>
        <s v="MMR001CMP236"/>
        <s v="MMR001CMP073"/>
        <s v="MMR001CMP006"/>
        <s v="MMR001CMP041"/>
        <s v="MMR001CMP067"/>
        <s v="MMR001CMP068"/>
        <s v="MMR001CMP009"/>
        <s v="MMR001CMP080"/>
        <s v="MMR001CMP055"/>
        <s v="MMR001CMP001"/>
        <s v="MMR001CMP023"/>
        <s v="MMR001CMP004"/>
        <s v="MMR001CMP003"/>
        <s v="MMR001CMP005"/>
        <s v="MMR001CMP037"/>
        <s v="MMR001CMP224"/>
        <s v="MMR001CMP038"/>
        <s v="MMR001CMP036"/>
        <s v="MMR001CMP185"/>
        <s v="MMR001CMP184"/>
        <s v="MMR001CMP116"/>
        <s v="MMR001CMP022"/>
        <s v="MMR001CMP053"/>
        <s v="MMR001CMP105"/>
        <s v="MMR001CMP111"/>
        <s v="MMR015CMP020"/>
      </sharedItems>
    </cacheField>
    <cacheField name="Status" numFmtId="0">
      <sharedItems count="3">
        <s v="Open"/>
        <s v="Closed"/>
        <s v=""/>
      </sharedItems>
    </cacheField>
    <cacheField name="Coverage" numFmtId="9">
      <sharedItems containsMixedTypes="1" containsNumber="1" minValue="0" maxValue="46"/>
    </cacheField>
    <cacheField name="Replacement (YES/NO)" numFmtId="0">
      <sharedItems/>
    </cacheField>
    <cacheField name="Comments" numFmtId="0">
      <sharedItems containsBlank="1"/>
    </cacheField>
  </cacheFields>
  <extLst>
    <ext xmlns:x14="http://schemas.microsoft.com/office/spreadsheetml/2009/9/main" uri="{725AE2AE-9491-48be-B2B4-4EB974FC3084}">
      <x14:pivotCacheDefinition pivotCacheId="2"/>
    </ext>
  </extLst>
</pivotCacheDefinition>
</file>

<file path=xl/pivotCache/pivotCacheDefinition3.xml><?xml version="1.0" encoding="utf-8"?>
<pivotCacheDefinition xmlns="http://schemas.openxmlformats.org/spreadsheetml/2006/main" xmlns:r="http://schemas.openxmlformats.org/officeDocument/2006/relationships" r:id="rId1" refreshOnLoad="1" refreshedBy="Thi Thi Lwin" refreshedDate="42549.63872800926" missingItemsLimit="0" createdVersion="4" refreshedVersion="5" minRefreshableVersion="3" recordCount="243">
  <cacheSource type="worksheet">
    <worksheetSource name="AllData_CampList"/>
  </cacheSource>
  <cacheFields count="42">
    <cacheField name="Status" numFmtId="0">
      <sharedItems count="2">
        <s v="Closed"/>
        <s v="Open"/>
      </sharedItems>
    </cacheField>
    <cacheField name="State" numFmtId="0">
      <sharedItems count="2">
        <s v="Kachin"/>
        <s v="Shan_North"/>
      </sharedItems>
    </cacheField>
    <cacheField name="S_Pcode" numFmtId="0">
      <sharedItems/>
    </cacheField>
    <cacheField name="District" numFmtId="0">
      <sharedItems/>
    </cacheField>
    <cacheField name="D_Pcode" numFmtId="0">
      <sharedItems/>
    </cacheField>
    <cacheField name="Township" numFmtId="0">
      <sharedItems count="21">
        <s v="Hpakant"/>
        <s v="Bhamo"/>
        <s v="Mansi"/>
        <s v="Waingmaw"/>
        <s v="Chipwi"/>
        <s v="Kutkai"/>
        <s v="Hseni"/>
        <s v="Khaunglanhpu"/>
        <s v="Injangyang"/>
        <s v="Machanbaw"/>
        <s v="Manton"/>
        <s v="Mogaung"/>
        <s v="Mohnyin"/>
        <s v="Momauk"/>
        <s v="Muse"/>
        <s v="Myitkyina"/>
        <s v="Namhkan"/>
        <s v="Puta-O"/>
        <s v="Namtu"/>
        <s v="Shwegu"/>
        <s v="Sumprabum"/>
      </sharedItems>
      <fieldGroup par="38"/>
    </cacheField>
    <cacheField name="T_Pcode" numFmtId="0">
      <sharedItems/>
    </cacheField>
    <cacheField name="VillageTracKTown" numFmtId="0">
      <sharedItems containsBlank="1"/>
    </cacheField>
    <cacheField name="VTT_Pcode" numFmtId="0">
      <sharedItems containsBlank="1"/>
    </cacheField>
    <cacheField name="VillageWard_Name" numFmtId="0">
      <sharedItems containsBlank="1"/>
    </cacheField>
    <cacheField name="VW_Pcode" numFmtId="0">
      <sharedItems containsBlank="1" containsMixedTypes="1" containsNumber="1" containsInteger="1" minValue="165685" maxValue="220512"/>
    </cacheField>
    <cacheField name="Camp" numFmtId="0">
      <sharedItems count="240">
        <s v="1 Ward, Sein Yadanar Company(Lon Khin)"/>
        <s v="Host Families"/>
        <s v="AD-2000 Tharthana Compound"/>
        <s v="Lisu Boarding-House"/>
        <s v="Nant Hlaing Church"/>
        <s v="Yoe Kyi Monastery"/>
        <s v="Anglican Church, Hmaw Si Sar"/>
        <s v="Phan Khar Kone"/>
        <s v="Away Yar Rama Monastery, Ka Day village"/>
        <s v="Aye Mya Tharyar Church of Christ "/>
        <s v="Ban Hkung (School)"/>
        <s v="Ban Hkung Yang"/>
        <s v="Ban Hkung Yang (Boarding School)"/>
        <s v="Aung Thar Church"/>
        <s v="Baptist Church, Naung Hmee VT"/>
        <s v="Baptist Church, Sai Ra village"/>
        <s v="Border Post 10"/>
        <s v="Htoi San Church"/>
        <s v="Mu-yin Baptist Church"/>
        <s v="Robert Church"/>
        <s v="Ta Gun Taing Monastery (Shwe Kyi Na)"/>
        <s v="Chin(Zomi) Baptist Church"/>
        <s v="Hpare Hkyer - BP6"/>
        <s v="Daw Hpum Yang Ninghtawn"/>
        <s v="Lan Jaw "/>
        <s v="Chipwi KBC camp"/>
        <s v="Pan Wa"/>
        <s v="Saw Zam"/>
        <s v="Lhaovao Baptist Church (LBC)"/>
        <s v="5 Ward RC Church(lon Khin)"/>
        <s v="Ei Wan Gali Asso., Ward 1, Seik Mu"/>
        <s v="Free Christian Asso., Ward 1, Seik Mu"/>
        <s v="Galeng (Kachin)"/>
        <s v="Galeng (Palaung)"/>
        <s v="Gant Gwin"/>
        <s v="AG Church, Hmaw Si Sa"/>
        <s v="5 Ward Baptist Church(lon Khin)"/>
        <s v="Baptist Church, Hmaw Si Sar(Lon Khin)"/>
        <s v="Nant Ma Hpit Catholic Church"/>
        <s v="Hmaw Wan, Baptist Christian Church"/>
        <s v="Yumar Baptist Church"/>
        <s v="Nam Ma Phyit, COC"/>
        <s v="Hpakant Baptist Church, Nam Ma Hpit"/>
        <s v="Chin Church, Seik Mu"/>
        <s v="Lisu Baptist Church, Maw Shan Vil,. Seik Mu"/>
        <s v="Sai Nai Baptish Church, Maw Shan Vil., Seki Mu"/>
        <s v="Rawan Baptist Church, Maw Shan Vil., Seik Mu"/>
        <s v="Ward 2 Sai Taung Baptist Church, Seik Mu "/>
        <s v="Dhama Rakhita, Nyein Chan Tar Yar Ward(Lon Khin)"/>
        <s v="Ku Day Maw KBC"/>
        <s v="Hlaing Naung Baptist"/>
        <s v="AG Church, Maw Wan"/>
        <s v="IDPs scattered in South Mansi"/>
        <s v="Hmaw Wan, Anglican"/>
        <s v="Lisu Baptist Church, Maw Wan Ward"/>
        <s v="Maw Wan, Mu-yin Baptist Church"/>
        <s v="Nam Sa Larp"/>
        <s v="Kannar Yeik Thar"/>
        <s v="Narte"/>
        <s v="La Ja"/>
        <s v="Kone Khem Camp"/>
        <s v="Zup Aung Camp"/>
        <s v="Nam Hpak Ka Mare "/>
        <s v="Mine Yu Lay village"/>
        <s v="Mungji Pa Dabang (Baptist Church)         "/>
        <s v="Mungji Pa Dabang (Catholic Church)"/>
        <s v="Lagatyan "/>
        <s v="Laiza Market 3 - Laiza Gat"/>
        <s v="Kutkai downtown (RC Church)"/>
        <s v="Kutkai downtown (KBC Church)"/>
        <s v="New Pang Ku "/>
        <s v="Lawk Hkawng Ginwang"/>
        <s v="Maing Khaung"/>
        <s v="Laiza Muklum Hpyen  Yen Mungshawa ni"/>
        <s v="Maing Khaung Catholic Church"/>
        <s v="Bum Tsit Pa Camp II"/>
        <s v="Man Wing Catholic Church"/>
        <s v="Man Wing Baptist Church"/>
        <s v="Man Wing Catholic Church II"/>
        <s v="Man Wing Baptist Church Cultural Compound"/>
        <s v="Man Wing Host Families"/>
        <s v="Lung Kawk  ( Hka Hkye Zup)"/>
        <s v="Lana Zup Ja "/>
        <s v="Bum Tsit Pa "/>
        <s v="Ma Mon Buddhist Monastery"/>
        <s v="Machanbaw - KBC"/>
        <s v="Mansi Baptist Church"/>
        <s v="Mandung - Jinghpaw"/>
        <s v="Mandung - RC"/>
        <s v="Mang Hawng Baptist Church"/>
        <s v="Ma Hawng RC "/>
        <s v="Sar Hmaw - KBC"/>
        <s v="Nat Gyi Kone Baptist Church "/>
        <s v="Kyun Taw Baptist Church "/>
        <s v="Sar Hmaw - ICM"/>
        <s v="Moenyin Host Families"/>
        <s v="Hopin Host Families"/>
        <s v="St. Patrick Catholic Church "/>
        <s v="Man Kawng Baptist Church"/>
        <s v="Man Kawng Catholic Church"/>
        <s v="Nawng Ing (Indawgyi) Baptist Church  "/>
        <s v="Dawthponeyan Boarding School"/>
        <s v="Khun Sint Village"/>
        <s v="Man Bung Catholic compound"/>
        <s v="Nhkawng Pa "/>
        <s v="Hpun Lum Yang "/>
        <s v="Manau Compound"/>
        <s v="Mandalay Monestry"/>
        <s v="Dum Bung "/>
        <s v="Mai Khat "/>
        <s v="Man Nawng "/>
        <s v="Man Ting"/>
        <s v="Mashi Kahtawng Baptist  Church"/>
        <s v="Mashi Kahtawng Catholic Church"/>
        <s v="Mashi Kahtawng Evangelical Church"/>
        <s v="Mashi Kahtawng Municipal Dammar Yone"/>
        <s v="Mashi Kahtawng Myo Oo Taw Ya Monestry"/>
        <s v="Mashi Kahtawng Rakhine traditional group"/>
        <s v="Mashi Kahtawng Shan Traditional Monestry"/>
        <s v="Mashi Kahtawng Yaung Chi Oo Thi la shin Monestry"/>
        <s v="Pa Kahtawng "/>
        <s v="Myo Thit "/>
        <s v="Maw Si Zar, Thiriyardanar Sein, Damma Compound, Lone Khin"/>
        <s v="Maw Wan, Catholic Church"/>
        <s v="Maw Wan, Kachin Baptist Church"/>
        <s v="Maw Wan, Kyauk Hlaing Gu Pagoda Compound"/>
        <s v="Phar Kay/Nant Waing "/>
        <s v="Maw Wan, Myo Oo Pagoda"/>
        <s v="May Di Ka Rama Monastery(Lon Khin)"/>
        <s v="Momauk Baptist Church"/>
        <s v="Tarli "/>
        <s v="Moke Lwe Village - Hkar Shi"/>
        <s v="Loi Je Catholic Church"/>
        <s v="Momauk Catholic Church (St. Patrick)"/>
        <s v="Munekoe Pa (Giwang) - Hka San (Mung  Go  Pa ) "/>
        <s v="Loi Je Baptist Church"/>
        <s v="Mung Ding Pa "/>
        <s v="Mung Ding Pa  (Boarder)"/>
        <s v="Loi Je Lisu Camp"/>
        <s v="Nyaung Na Pin "/>
        <s v="Mungji Pa Dabang (RC Church)         "/>
        <s v="Muring Baptist Church, Awng Ra, Wa Ra Zut VT"/>
        <s v="Seng Ja "/>
        <s v="Howa"/>
        <s v="Hpai Kawng Mare"/>
        <s v="Myay Myint Baptist Church"/>
        <s v="Mung Baw "/>
        <s v="Nam Hka Mare (west of Man Wing)"/>
        <s v="Nam Hkyet"/>
        <s v="Muse Baptist Church"/>
        <s v="Muse Catholic Church"/>
        <s v="Pa Dauk Myaing(Pa La Na)"/>
        <s v="Nam Hkam Catholic Church ( St. Thomas II)"/>
        <s v="Nam Hkam Malut Jak "/>
        <s v="Nam Hkawng"/>
        <s v="Nan Kway St. John Catholic Church"/>
        <s v="Maw Hpawng Hka Nan Baptist Church"/>
        <s v="Nam Lim Pa"/>
        <s v="Nam Lim Pa    (Boarding School)"/>
        <s v="Nam Lim Pa - Scattered IDPs in forest"/>
        <s v="Maw Hpawng Lhaovo Baptist Church"/>
        <s v="Du Kahtawng Qtr. 4"/>
        <s v="Du Kahtawng Qtr. 5"/>
        <s v="Du Kahtawng Qtr. 14"/>
        <s v="Wun Tho Buddhist Monastery"/>
        <s v="Kyun Pin Thar Baptist Church"/>
        <s v="Shwe Zet Baptist Church"/>
        <s v="Man Hkring Baptist Church"/>
        <s v="Nant Mun"/>
        <s v="Tat Kone Baptist Church"/>
        <s v="Ni Thaw Ka Monestry"/>
        <s v="Naung Khaing"/>
        <s v="Tat Kone Galile Baptist Church"/>
        <s v="Tat Kone San Pya Baptist Church"/>
        <s v="Nawng Si Paw Village - Inn Lay"/>
        <s v="Tat Kone COC Baptist - Tat Kone Htoi San"/>
        <s v="Tat Kone Emanuel Church"/>
        <s v="Nga Pyaw Taw Baptist Nursery School "/>
        <s v="Nga Pyaw Taw Roman Catholic Church"/>
        <s v="Shatapru Sut Ngai Tawng"/>
        <s v="Shatapru Thida Aye Baptist Church"/>
        <s v="Le Kone Ziun Baptist Church "/>
        <s v="Le Kone Bethlehem Church"/>
        <s v="Njang Dung Baptist Church "/>
        <s v="Maliyang Baptist Church"/>
        <s v="Jan Mai Kawng Baptist Church"/>
        <s v="Jan Mai Kawng Catholic Church"/>
        <s v="Parami, Charity Office, MyoMa Quarter"/>
        <s v="Namhkan - Pang Long KBC"/>
        <s v="Nam Hkam (KBC Jaw Wang)"/>
        <s v="Nam Hkam Catholic Church ( St. Thomas I)"/>
        <s v="Nam Hkam - Nay Win Ni (Palawng)"/>
        <s v="Nam Hkam (KBC Jaw Wang) II"/>
        <s v="Nam Tu RC"/>
        <s v="Nam Tu Baptist"/>
        <s v="Inn Lel Yan - Host Families"/>
        <s v="Lung Sut"/>
        <s v="Sa Baw Sarsana Parla Monastery"/>
        <s v="Tote Tan Ward"/>
        <s v="San Kyel, Masoe Yein Monestry"/>
        <s v="Lawk Awng Mare D. (Sinbo Area)"/>
        <s v="Shwe Gu Baptist Church"/>
        <s v="Shwe Gu Catholic Church"/>
        <s v="Ndup Yang"/>
        <s v="Salang Yang"/>
        <s v="Sumprabum"/>
        <s v="Mading Baptist Church"/>
        <s v="Hkat Cho "/>
        <s v="Maina Lawang Baptist Church"/>
        <s v="Maina KBC (Bawng Ring)"/>
        <s v="Si Hkan Gyi"/>
        <s v="Maina AG Church"/>
        <s v="St. Patrick Church, Bhamo"/>
        <s v="Maina Catholic Church (St. Joseph)"/>
        <s v="Nawng Hee Village"/>
        <s v="Tar Ma Hkan Buddhist Monastery, Haung Par"/>
        <s v="Woi Chyai "/>
        <s v="Maga Yang "/>
        <s v="Pajau - Jan Mai"/>
        <s v="Je Yang Hka "/>
        <s v="Shing Jai"/>
        <s v="Post 6 Camp"/>
        <s v="Border Post 8"/>
        <s v="Tharthana Ahlin Yaung New Monastery"/>
        <s v="Thiri Mingalar Manizay Yone, Myoma Quarter"/>
        <s v="Thu Kha Waddy"/>
        <s v="IDP Boarding School, A Len Bum"/>
        <s v="Zai Awng - Mung Ga Zup"/>
        <s v="Waingmaw Baptist Zonal Office"/>
        <s v="Ward 2 Cahotlic Church, Seik Mu"/>
        <s v="Qtr. 2 Myoma Baptist Church"/>
        <s v="Qtr. 2 Lhaovo Baptist Church"/>
        <s v="Women's Affairs Association Building"/>
        <s v="Wrad(5) Christian Association"/>
        <s v="Qtr. 3 Mu-yin  Baptist Church"/>
        <s v="Waingmaw AG Church"/>
        <s v="Qtr. 4 Monestry (Thargaya Thayett Taw)"/>
        <s v="Thargaya Lisu Baptist Church"/>
        <s v="Zomee Baptist Church camp, Hmaw Wan"/>
        <s v="Hkau Shau (BP 12)"/>
      </sharedItems>
    </cacheField>
    <cacheField name="CP_Pcode" numFmtId="0">
      <sharedItems count="243">
        <s v="MMR001CMP171"/>
        <s v="MMR001CMP163"/>
        <s v="MMR001CMP050"/>
        <s v="MMR001CMP049"/>
        <s v="MMR001CMP054"/>
        <s v="MMR001CMP053"/>
        <s v="MMR001CMP173"/>
        <s v="MMR001CMP193"/>
        <s v="MMR001CMP170"/>
        <s v="MMR001CMP092"/>
        <s v="MMR001CMP215"/>
        <s v="MMR001CMP216"/>
        <s v="MMR001CMP214"/>
        <s v="MMR001CMP194"/>
        <s v="MMR001CMP188"/>
        <s v="MMR001CMP172"/>
        <s v="MMR001CMP114"/>
        <s v="MMR001CMP052"/>
        <s v="MMR001CMP051"/>
        <s v="MMR001CMP047"/>
        <s v="MMR001CMP055"/>
        <s v="MMR001CMP086"/>
        <s v="MMR001CMP043"/>
        <s v="MMR001CMP153"/>
        <s v="MMR001CMP045"/>
        <s v="MMR001CMP042"/>
        <s v="MMR001CMP210"/>
        <s v="MMR001CMP225"/>
        <s v="MMR001CMP195"/>
        <s v="MMR001CMP168"/>
        <s v="MMR001CMP180"/>
        <s v="MMR001CMP186"/>
        <s v="MMR015CMP211"/>
        <s v="MMR015CMP212"/>
        <s v="MMR001CMP046"/>
        <s v="MMR001CMP176"/>
        <s v="MMR001CMP179"/>
        <s v="MMR001CMP169"/>
        <s v="MMR001CMP103"/>
        <s v="MMR001CMP189"/>
        <s v="MMR001CMP105"/>
        <s v="MMR001CMP192"/>
        <s v="MMR001CMP229"/>
        <s v="MMR001CMP109"/>
        <s v="MMR001CMP181"/>
        <s v="MMR001CMP183"/>
        <s v="MMR001CMP182"/>
        <s v="MMR001CMP184"/>
        <s v="MMR001CMP174"/>
        <s v="MMR001CMP231"/>
        <s v="MMR001CMP148"/>
        <s v="MMR001CMP190"/>
        <s v="MMR001CMP217"/>
        <s v="MMR001CMP191"/>
        <s v="MMR001CMP167"/>
        <s v="MMR001CMP091"/>
        <s v="MMR015CMP218"/>
        <s v="MMR001CMP048"/>
        <s v="MMR015CMP207"/>
        <s v="MMR001CMP074"/>
        <s v="MMR015CMP015"/>
        <s v="MMR015CMP020"/>
        <s v="MMR015CMP007"/>
        <s v="MMR015CMP018"/>
        <s v="MMR015CMP006"/>
        <s v="MMR015CMP217"/>
        <s v="MMR001CMP202"/>
        <s v="MMR001CMP117"/>
        <s v="MMR015CMP017"/>
        <s v="MMR015CMP016"/>
        <s v="MMR015CMP219"/>
        <s v="MMR001CMP196"/>
        <s v="MMR001CMP146"/>
        <s v="MMR001CMP218"/>
        <s v="MMR001CMP149"/>
        <s v="MMR001CMP223"/>
        <s v="MMR001CMP226"/>
        <s v="MMR001CMP132"/>
        <s v="MMR001CMP133"/>
        <s v="MMR001CMP228"/>
        <s v="MMR001CMP230"/>
        <s v="MMR001CMP134"/>
        <s v="MMR001CMP135"/>
        <s v="MMR001CMP128"/>
        <s v="MMR001CMP129"/>
        <s v="MMR001CMP107"/>
        <s v="MMR001CMP221"/>
        <s v="MMR001CMP066"/>
        <s v="MMR015CMP009"/>
        <s v="MMR015CMP209"/>
        <s v="MMR001CMP077"/>
        <s v="MMR001CMP237"/>
        <s v="MMR001CMP236"/>
        <s v="MMR001CMP079"/>
        <s v="MMR001CMP078"/>
        <s v="MMR001CMP235"/>
        <s v="MMR001CMP233"/>
        <s v="MMR001CMP232"/>
        <s v="MMR001CMP080"/>
        <s v="MMR001CMP212"/>
        <s v="MMR001CMP213"/>
        <s v="MMR001CMP152"/>
        <s v="MMR001CMP240"/>
        <s v="MMR001CMP197"/>
        <s v="MMR001CMP200"/>
        <s v="MMR001CMP062"/>
        <s v="MMR001CMP131"/>
        <s v="MMR001CMP122"/>
        <s v="MMR001CMP118"/>
        <s v="MMR001CMP058"/>
        <s v="MMR001CMP123"/>
        <s v="MMR001CMP064"/>
        <s v="MMR001CMP063"/>
        <s v="MMR001CMP198"/>
        <s v="MMR001CMP094"/>
        <s v="MMR001CMP093"/>
        <s v="MMR001CMP096"/>
        <s v="MMR001CMP098"/>
        <s v="MMR001CMP099"/>
        <s v="MMR001CMP095"/>
        <s v="MMR001CMP100"/>
        <s v="MMR001CMP097"/>
        <s v="MMR001CMP126"/>
        <s v="MMR001CMP061"/>
        <s v="MMR001CMP106"/>
        <s v="MMR001CMP090"/>
        <s v="MMR001CMP085"/>
        <s v="MMR001CMP084"/>
        <s v="MMR001CMP065"/>
        <s v="MMR001CMP088"/>
        <s v="MMR001CMP178"/>
        <s v="MMR001CMP056"/>
        <s v="MMR001CMP060"/>
        <s v="MMR001CMP035"/>
        <s v="MMR001CMP069"/>
        <s v="MMR001CMP057"/>
        <s v="MMR015CMP012"/>
        <s v="MMR001CMP071"/>
        <s v="MMR015CMP023"/>
        <s v="MMR001CMP203"/>
        <s v="MMR001CMP070"/>
        <s v="MMR001CMP072"/>
        <s v="MMR015CMP019"/>
        <s v="MMR001CMP177"/>
        <s v="MMR001CMP073"/>
        <s v="MMR015CMP010"/>
        <s v="MMR015CMP022"/>
        <s v="MMR001CMP017"/>
        <s v="MMR015CMP005"/>
        <s v="MMR001CMP136"/>
        <s v="MMR015CMP011"/>
        <s v="MMR015CMP213"/>
        <s v="MMR015CMP216"/>
        <s v="MMR001CMP162"/>
        <s v="MMR015CMP024"/>
        <s v="MMR015CMP002"/>
        <s v="MMR015CMP139"/>
        <s v="MMR001CMP024"/>
        <s v="MMR001CMP020"/>
        <s v="MMR001CMP204"/>
        <s v="MMR001CMP209"/>
        <s v="MMR001CMP137"/>
        <s v="MMR001CMP021"/>
        <s v="MMR001CMP010"/>
        <s v="MMR001CMP011"/>
        <s v="MMR001CMP012"/>
        <s v="MMR001CMP022"/>
        <s v="MMR001CMP013"/>
        <s v="MMR001CMP009"/>
        <s v="MMR001CMP008"/>
        <s v="MMR001CMP081"/>
        <s v="MMR001CMP001"/>
        <s v="MMR001CMP059"/>
        <s v="MMR001CMP220"/>
        <s v="MMR001CMP003"/>
        <s v="MMR001CMP005"/>
        <s v="MMR001CMP034"/>
        <s v="MMR001CMP023"/>
        <s v="MMR001CMP004"/>
        <s v="MMR001CMP082"/>
        <s v="MMR001CMP083"/>
        <s v="MMR001CMP006"/>
        <s v="MMR001CMP007"/>
        <s v="MMR001CMP014"/>
        <s v="MMR001CMP015"/>
        <s v="MMR001CMP002"/>
        <s v="MMR001CMP016"/>
        <s v="MMR001CMP018"/>
        <s v="MMR001CMP019"/>
        <s v="MMR001CMP102"/>
        <s v="MMR015CMP215"/>
        <s v="MMR015CMP001"/>
        <s v="MMR015CMP003"/>
        <s v="MMR015CMP004"/>
        <s v="MMR015CMP214"/>
        <s v="MMR015CMP210"/>
        <s v="MMR015CMP014"/>
        <s v="MMR001CMP227"/>
        <s v="MMR001CMP234"/>
        <s v="MMR001CMP108"/>
        <s v="MMR001CMP075"/>
        <s v="MMR001CMP199"/>
        <s v="MMR001CMP104"/>
        <s v="MMR001CMP147"/>
        <s v="MMR001CMP067"/>
        <s v="MMR001CMP068"/>
        <s v="MMR001CMP238"/>
        <s v="MMR001CMP239"/>
        <s v="MMR001CMP206"/>
        <s v="MMR001CMP027"/>
        <s v="MMR001CMP028"/>
        <s v="MMR001CMP039"/>
        <s v="MMR001CMP040"/>
        <s v="MMR001CMP219"/>
        <s v="MMR001CMP031"/>
        <s v="MMR001CMP222"/>
        <s v="MMR001CMP029"/>
        <s v="MMR001CMP033"/>
        <s v="MMR001CMP110"/>
        <s v="MMR001CMP116"/>
        <s v="MMR001CMP119"/>
        <s v="MMR001CMP120"/>
        <s v="MMR001CMP121"/>
        <s v="MMR001CMP041"/>
        <s v="MMR001CMP160"/>
        <s v="MMR001CMP113"/>
        <s v="MMR001CMP224"/>
        <s v="MMR001CMP101"/>
        <s v="MMR001CMP211"/>
        <s v="MMR001CMP208"/>
        <s v="MMR001CMP111"/>
        <s v="MMR001CMP036"/>
        <s v="MMR001CMP185"/>
        <s v="MMR001CMP025"/>
        <s v="MMR001CMP032"/>
        <s v="MMR001CMP044"/>
        <s v="MMR001CMP175"/>
        <s v="MMR001CMP030"/>
        <s v="MMR001CMP038"/>
        <s v="MMR001CMP026"/>
        <s v="MMR001CMP037"/>
        <s v="MMR001CMP201"/>
        <s v="MMR001CMP115"/>
      </sharedItems>
    </cacheField>
    <cacheField name="Longitude" numFmtId="0">
      <sharedItems containsString="0" containsBlank="1" containsNumber="1" minValue="96.269199999999998" maxValue="98.475719999999995" count="190">
        <n v="96.359549999999999"/>
        <n v="97.228835000000004"/>
        <n v="97.238829999999993"/>
        <n v="97.240183461538507"/>
        <n v="97.315860000000001"/>
        <n v="97.240639999999999"/>
        <m/>
        <n v="97.252650000000003"/>
        <n v="96.339870000000005"/>
        <n v="96.673805000000002"/>
        <n v="96.353070000000002"/>
        <n v="97.837778"/>
        <n v="97.236919999999998"/>
        <n v="97.234200000000001"/>
        <n v="97.229116811594196"/>
        <n v="97.227789999999999"/>
        <n v="98.475719999999995"/>
        <n v="98.354146999999998"/>
        <n v="98.131550000000004"/>
        <n v="98.377780000000001"/>
        <n v="98.356260000000006"/>
        <n v="98.129990000000006"/>
        <n v="96.345569999999995"/>
        <n v="96.355270000000004"/>
        <n v="96.346469999999997"/>
        <n v="96.341352999999998"/>
        <n v="96.306910999999999"/>
        <n v="96.339590000000001"/>
        <n v="96.312790000000007"/>
        <n v="96.283377000000002"/>
        <n v="96.269199999999998"/>
        <n v="96.353030000000004"/>
        <n v="96.279200000000003"/>
        <n v="96.286680000000004"/>
        <n v="96.35257"/>
        <n v="96.705960000000005"/>
        <n v="96.317350000000005"/>
        <n v="96.316564"/>
        <n v="96.316400000000002"/>
        <n v="96.319829999999996"/>
        <n v="98.218626999999998"/>
        <n v="97.221556500999995"/>
        <n v="98.352670000000003"/>
        <n v="98.144502500000002"/>
        <n v="97.848529999999997"/>
        <n v="97.837040000000002"/>
        <n v="97.818979999999996"/>
        <n v="97.793019999999999"/>
        <n v="98.220614999999995"/>
        <n v="97.601243999999994"/>
        <n v="97.551507000000001"/>
        <n v="97.947360000000003"/>
        <n v="97.926813999999993"/>
        <n v="97.868876999999998"/>
        <n v="97.298055000000005"/>
        <n v="97.225881000000001"/>
        <n v="97.718008999999995"/>
        <n v="97.227057000000002"/>
        <n v="97.608249999999998"/>
        <n v="97.578490000000002"/>
        <n v="97.589979999999997"/>
        <n v="97.578367"/>
        <n v="97.590767"/>
        <n v="97.588291999999996"/>
        <n v="97.585667000000001"/>
        <n v="97.625617000000005"/>
        <n v="97.609832999999995"/>
        <n v="97.586470000000006"/>
        <n v="97.291820000000001"/>
        <n v="97.124403000000001"/>
        <n v="97.116680000000002"/>
        <n v="96.942279999999997"/>
        <n v="96.948740000000001"/>
        <n v="96.922619999999995"/>
        <n v="96.366919999999993"/>
        <n v="96.52534"/>
        <n v="96.367059999999995"/>
        <n v="97.710989999999995"/>
        <n v="96.364949999999993"/>
        <n v="97.461271999999994"/>
        <n v="97.348405"/>
        <n v="97.343406999999999"/>
        <n v="97.325019999999995"/>
        <n v="97.669366999999994"/>
        <n v="97.573126000000002"/>
        <n v="97.550267000000005"/>
        <n v="97.346940000000004"/>
        <n v="97.537099999999995"/>
        <n v="97.409474000000003"/>
        <n v="97.321659999999994"/>
        <n v="97.276591999999994"/>
        <n v="96.310928000000004"/>
        <n v="97.752667000000002"/>
        <n v="97.407787999999996"/>
        <n v="96.343350000000001"/>
        <n v="96.316210999999996"/>
        <n v="97.429860000000005"/>
        <n v="96.359309999999994"/>
        <n v="97.344359999999995"/>
        <n v="97.416826999999998"/>
        <n v="97.421104"/>
        <n v="97.724566999999993"/>
        <n v="97.346950000000007"/>
        <n v="98.320651999999995"/>
        <n v="97.718582999999995"/>
        <n v="97.174999999999997"/>
        <n v="96.808850000000007"/>
        <n v="97.717133000000004"/>
        <n v="97.724483000000006"/>
        <n v="98.213958000000005"/>
        <n v="96.354159999999993"/>
        <n v="97.710864000000001"/>
        <n v="98.116817999999995"/>
        <n v="98.115809999999996"/>
        <n v="97.376671999999999"/>
        <n v="98.054946000000001"/>
        <n v="98.129380999999995"/>
        <n v="97.909400000000005"/>
        <n v="97.911647000000002"/>
        <n v="97.4345"/>
        <n v="97.678299999999993"/>
        <n v="97.359320179999997"/>
        <n v="97.2843958974359"/>
        <n v="97.132339999999999"/>
        <n v="97.290952037037002"/>
        <n v="97.382997575757599"/>
        <n v="97.381325000000004"/>
        <n v="97.384729629629604"/>
        <n v="97.403878500000005"/>
        <n v="97.405202777777802"/>
        <n v="97.419403000000003"/>
        <n v="97.418694000000002"/>
        <n v="97.386718999999999"/>
        <n v="97.347740000000002"/>
        <n v="97.58184"/>
        <n v="97.377662999999998"/>
        <n v="97.382192000000003"/>
        <n v="97.380027999999996"/>
        <n v="97.389778000000007"/>
        <n v="96.31326"/>
        <n v="97.399628000000007"/>
        <n v="97.418004999999994"/>
        <n v="97.403402307692303"/>
        <n v="97.409035000000003"/>
        <n v="97.394547000000003"/>
        <n v="97.4113064583333"/>
        <n v="97.373361000000003"/>
        <n v="97.379594999999995"/>
        <n v="97.709879999999998"/>
        <n v="97.669557999999995"/>
        <n v="97.670360000000002"/>
        <n v="97.681970000000007"/>
        <n v="97.700940000000003"/>
        <n v="97.398989"/>
        <n v="97.404089999999997"/>
        <n v="97.561105999999995"/>
        <n v="97.416121000000004"/>
        <n v="97.415289999999999"/>
        <n v="96.793177"/>
        <n v="96.807353000000006"/>
        <n v="97.745480999999998"/>
        <n v="97.75609"/>
        <n v="97.568836000000005"/>
        <n v="97.451965000000001"/>
        <n v="97.404195925926004"/>
        <n v="97.426536944444507"/>
        <n v="97.434855869565197"/>
        <n v="97.433419259259296"/>
        <n v="97.437782499999997"/>
        <n v="97.345039"/>
        <n v="97.546893999999995"/>
        <n v="97.715230000000005"/>
        <n v="97.751389000000003"/>
        <n v="97.568331999999998"/>
        <n v="98.025662999999994"/>
        <n v="97.990555999999998"/>
        <n v="97.915833000000006"/>
        <n v="97.239130000000003"/>
        <n v="97.541793999999996"/>
        <n v="97.756789999999995"/>
        <n v="97.438259000000002"/>
        <n v="96.288250000000005"/>
        <n v="97.438432380952406"/>
        <n v="97.441166388888902"/>
        <n v="97.437472666666693"/>
        <n v="97.444283730158702"/>
        <n v="97.432495000000003"/>
        <n v="97.428251153846105"/>
        <n v="96.315601999999998"/>
        <n v="97.807182999999995"/>
      </sharedItems>
    </cacheField>
    <cacheField name="Latitude" numFmtId="0">
      <sharedItems containsString="0" containsBlank="1" containsNumber="1" minValue="23.088058" maxValue="27.337499999999999"/>
    </cacheField>
    <cacheField name="Altitude" numFmtId="0">
      <sharedItems containsString="0" containsBlank="1" containsNumber="1" minValue="0" maxValue="4430"/>
    </cacheField>
    <cacheField name="HH" numFmtId="0">
      <sharedItems containsString="0" containsBlank="1" containsNumber="1" containsInteger="1" minValue="0" maxValue="1643"/>
    </cacheField>
    <cacheField name="Total" numFmtId="0">
      <sharedItems containsString="0" containsBlank="1" containsNumber="1" containsInteger="1" minValue="0" maxValue="8780"/>
    </cacheField>
    <cacheField name="Avg" numFmtId="2">
      <sharedItems containsMixedTypes="1" containsNumber="1" minValue="0" maxValue="12.535211267605634"/>
    </cacheField>
    <cacheField name="Accessibility" numFmtId="0">
      <sharedItems count="2">
        <s v="GCA"/>
        <s v="NGCA"/>
      </sharedItems>
    </cacheField>
    <cacheField name="Affected Population" numFmtId="49">
      <sharedItems count="2">
        <s v="IDP"/>
        <s v="Crisis Affected"/>
      </sharedItems>
    </cacheField>
    <cacheField name="Type of Accomodation" numFmtId="0">
      <sharedItems count="5">
        <s v="Camp"/>
        <s v="Host Families"/>
        <s v="Rural"/>
        <s v="Village"/>
        <s v="Boarding School"/>
      </sharedItems>
    </cacheField>
    <cacheField name="Type of Location" numFmtId="0">
      <sharedItems containsBlank="1" count="4">
        <m/>
        <s v="Urban"/>
        <s v="Rural"/>
        <s v="Forest/bush"/>
      </sharedItems>
    </cacheField>
    <cacheField name="Opening Date" numFmtId="14">
      <sharedItems containsNonDate="0" containsDate="1" containsString="0" containsBlank="1" minDate="2011-03-01T00:00:00" maxDate="2015-06-26T00:00:00"/>
    </cacheField>
    <cacheField name="CM/FP" numFmtId="1">
      <sharedItems containsString="0" containsBlank="1" containsNumber="1" containsInteger="1" minValue="1" maxValue="7"/>
    </cacheField>
    <cacheField name="Responsible Agency" numFmtId="0">
      <sharedItems containsBlank="1" count="6">
        <m/>
        <s v="KMSS-BMO"/>
        <s v="Shalom"/>
        <s v="KBC"/>
        <s v="KMSS-MYT"/>
        <s v="KMSS-LSO"/>
      </sharedItems>
    </cacheField>
    <cacheField name="Source" numFmtId="0">
      <sharedItems containsBlank="1"/>
    </cacheField>
    <cacheField name="Method" numFmtId="0">
      <sharedItems containsBlank="1"/>
    </cacheField>
    <cacheField name="Update Date" numFmtId="0">
      <sharedItems containsNonDate="0" containsDate="1" containsString="0" containsBlank="1" minDate="2013-01-15T00:00:00" maxDate="2016-06-17T00:00:00"/>
    </cacheField>
    <cacheField name="Comment" numFmtId="0">
      <sharedItems containsBlank="1" longText="1"/>
    </cacheField>
    <cacheField name="Priority" numFmtId="1">
      <sharedItems containsBlank="1"/>
    </cacheField>
    <cacheField name="Shelter Gap" numFmtId="0">
      <sharedItems containsSemiMixedTypes="0" containsString="0" containsNumber="1" containsInteger="1" minValue="0" maxValue="1194"/>
    </cacheField>
    <cacheField name="Land Status" numFmtId="0">
      <sharedItems containsString="0" containsBlank="1" containsNumber="1" containsInteger="1" minValue="0" maxValue="20"/>
    </cacheField>
    <cacheField name="Shelter Possible" numFmtId="0">
      <sharedItems containsSemiMixedTypes="0" containsString="0" containsNumber="1" containsInteger="1" minValue="0" maxValue="1194"/>
    </cacheField>
    <cacheField name="Nearest_Town" numFmtId="0">
      <sharedItems containsBlank="1"/>
    </cacheField>
    <cacheField name="Distance" numFmtId="165">
      <sharedItems containsBlank="1" containsMixedTypes="1" containsNumber="1" minValue="0" maxValue="34.344689881690819"/>
    </cacheField>
    <cacheField name="Distance_Cat" numFmtId="0">
      <sharedItems containsBlank="1" containsMixedTypes="1" containsNumber="1" containsInteger="1" minValue="1" maxValue="7"/>
    </cacheField>
    <cacheField name="Field2" numFmtId="0" formula="'Shelter Possible'/HH" databaseField="0"/>
    <cacheField name="Township2" numFmtId="0" databaseField="0">
      <fieldGroup base="5">
        <discretePr count="21">
          <x v="0"/>
          <x v="3"/>
          <x v="1"/>
          <x v="2"/>
          <x v="8"/>
          <x v="4"/>
          <x v="10"/>
          <x v="11"/>
          <x v="5"/>
          <x v="11"/>
          <x v="11"/>
          <x v="11"/>
          <x v="11"/>
          <x v="6"/>
          <x v="11"/>
          <x v="9"/>
          <x v="7"/>
          <x v="11"/>
          <x v="11"/>
          <x v="11"/>
          <x v="11"/>
        </discretePr>
        <groupItems count="12">
          <s v="Hpakant"/>
          <s v="Mansi"/>
          <s v="Waingmaw"/>
          <s v="Bhamo"/>
          <s v="Kutkai"/>
          <s v="Injangyang"/>
          <s v="Momauk"/>
          <s v="Namhkan"/>
          <s v="Chipwi"/>
          <s v="Myitkyina"/>
          <s v="Hseni"/>
          <s v="Group1"/>
        </groupItems>
      </fieldGroup>
    </cacheField>
    <cacheField name="Field1" numFmtId="0" formula="'Shelter Gap'/HH" databaseField="0"/>
    <cacheField name="Coverage" numFmtId="0" formula="HH-'Shelter Gap'" databaseField="0"/>
    <cacheField name="Field3" numFmtId="0" formula="'Shelter Gap'-'Shelter Possible'" databaseField="0"/>
  </cacheFields>
  <extLst>
    <ext xmlns:x14="http://schemas.microsoft.com/office/spreadsheetml/2009/9/main" uri="{725AE2AE-9491-48be-B2B4-4EB974FC3084}">
      <x14:pivotCacheDefinition pivotCacheId="1"/>
    </ext>
  </extLst>
</pivotCacheDefinition>
</file>

<file path=xl/pivotCache/pivotCacheDefinition4.xml><?xml version="1.0" encoding="utf-8"?>
<pivotCacheDefinition xmlns="http://schemas.openxmlformats.org/spreadsheetml/2006/main" xmlns:r="http://schemas.openxmlformats.org/officeDocument/2006/relationships" r:id="rId1" refreshOnLoad="1" refreshedBy="Thi Thi Lwin" refreshedDate="42549.638732060186" missingItemsLimit="0" createdVersion="4" refreshedVersion="5" minRefreshableVersion="3" recordCount="1189">
  <cacheSource type="worksheet">
    <worksheetSource name="Table_NFI"/>
  </cacheSource>
  <cacheFields count="47">
    <cacheField name="Months" numFmtId="1">
      <sharedItems containsMixedTypes="1" containsNumber="1" minValue="1.2" maxValue="56.06666666666667"/>
    </cacheField>
    <cacheField name="Distribution Date" numFmtId="169">
      <sharedItems containsNonDate="0" containsDate="1" containsString="0" containsBlank="1" minDate="2011-11-02T00:00:00" maxDate="2016-05-06T00:00:00"/>
    </cacheField>
    <cacheField name="Organization" numFmtId="0">
      <sharedItems containsBlank="1" count="13">
        <s v="UNHCR"/>
        <s v="ICRC"/>
        <s v="MRCS"/>
        <s v="DRC"/>
        <s v="FSD"/>
        <s v="Solidarities"/>
        <s v="CRCS"/>
        <s v="World Vision"/>
        <s v="DFID"/>
        <s v="Save the Children"/>
        <s v="Plan-Myanmar"/>
        <s v="CRC"/>
        <m/>
      </sharedItems>
    </cacheField>
    <cacheField name="Implementing Partner" numFmtId="0">
      <sharedItems containsBlank="1"/>
    </cacheField>
    <cacheField name="State" numFmtId="0">
      <sharedItems containsBlank="1"/>
    </cacheField>
    <cacheField name="Township" numFmtId="0">
      <sharedItems containsBlank="1"/>
    </cacheField>
    <cacheField name="Camp Name" numFmtId="0">
      <sharedItems containsBlank="1"/>
    </cacheField>
    <cacheField name="Hygiene Kit" numFmtId="0">
      <sharedItems containsString="0" containsBlank="1" containsNumber="1" containsInteger="1" minValue="1" maxValue="5228"/>
    </cacheField>
    <cacheField name="NFI Core Kit" numFmtId="0">
      <sharedItems containsString="0" containsBlank="1" containsNumber="1" containsInteger="1" minValue="7" maxValue="200"/>
    </cacheField>
    <cacheField name="Sanitary Kit" numFmtId="0">
      <sharedItems containsString="0" containsBlank="1" containsNumber="1" containsInteger="1" minValue="1" maxValue="6005"/>
    </cacheField>
    <cacheField name="Mosquito net" numFmtId="0">
      <sharedItems containsString="0" containsBlank="1" containsNumber="1" containsInteger="1" minValue="0" maxValue="3256"/>
    </cacheField>
    <cacheField name="Tarpaulin" numFmtId="0">
      <sharedItems containsString="0" containsBlank="1" containsNumber="1" containsInteger="1" minValue="0" maxValue="1628"/>
    </cacheField>
    <cacheField name="Blanket" numFmtId="0">
      <sharedItems containsString="0" containsBlank="1" containsNumber="1" containsInteger="1" minValue="0" maxValue="3256"/>
    </cacheField>
    <cacheField name="Kitchen Set" numFmtId="0">
      <sharedItems containsString="0" containsBlank="1" containsNumber="1" containsInteger="1" minValue="0" maxValue="1628"/>
    </cacheField>
    <cacheField name="Clothes Kit" numFmtId="0">
      <sharedItems containsString="0" containsBlank="1" containsNumber="1" containsInteger="1" minValue="0" maxValue="760"/>
    </cacheField>
    <cacheField name="Plastic Bucket" numFmtId="0">
      <sharedItems containsString="0" containsBlank="1" containsNumber="1" containsInteger="1" minValue="0" maxValue="1628"/>
    </cacheField>
    <cacheField name="Plastic Mat" numFmtId="0">
      <sharedItems containsString="0" containsBlank="1" containsNumber="1" containsInteger="1" minValue="0" maxValue="5268"/>
    </cacheField>
    <cacheField name="Winter Clothes Adult" numFmtId="0">
      <sharedItems containsString="0" containsBlank="1" containsNumber="1" containsInteger="1" minValue="2" maxValue="2676"/>
    </cacheField>
    <cacheField name="Winter Clothes Children" numFmtId="0">
      <sharedItems containsString="0" containsBlank="1" containsNumber="1" containsInteger="1" minValue="8" maxValue="3600"/>
    </cacheField>
    <cacheField name="Winter Items Other" numFmtId="0">
      <sharedItems containsString="0" containsBlank="1" containsNumber="1" containsInteger="1" minValue="0" maxValue="3816"/>
    </cacheField>
    <cacheField name="Winter Blanket" numFmtId="0">
      <sharedItems containsString="0" containsBlank="1" containsNumber="1" containsInteger="1" minValue="10" maxValue="3186"/>
    </cacheField>
    <cacheField name="Jerry Can" numFmtId="0">
      <sharedItems containsString="0" containsBlank="1" containsNumber="1" containsInteger="1" minValue="3" maxValue="405"/>
    </cacheField>
    <cacheField name="Shelter Tool kit" numFmtId="0">
      <sharedItems containsString="0" containsBlank="1" containsNumber="1" containsInteger="1" minValue="7" maxValue="10"/>
    </cacheField>
    <cacheField name="Tent" numFmtId="0">
      <sharedItems containsString="0" containsBlank="1" containsNumber="1" containsInteger="1" minValue="6" maxValue="90"/>
    </cacheField>
    <cacheField name="Hygiene Kit_LS" numFmtId="0">
      <sharedItems containsSemiMixedTypes="0" containsString="0" containsNumber="1" containsInteger="1" minValue="0" maxValue="0"/>
    </cacheField>
    <cacheField name="NFI Core Kit_LS" numFmtId="0">
      <sharedItems containsSemiMixedTypes="0" containsString="0" containsNumber="1" containsInteger="1" minValue="0" maxValue="77"/>
    </cacheField>
    <cacheField name="Sanitary Kit_LS" numFmtId="0">
      <sharedItems containsSemiMixedTypes="0" containsString="0" containsNumber="1" containsInteger="1" minValue="0" maxValue="232"/>
    </cacheField>
    <cacheField name="Mosquito net_LS" numFmtId="0">
      <sharedItems containsSemiMixedTypes="0" containsString="0" containsNumber="1" containsInteger="1" minValue="0" maxValue="600"/>
    </cacheField>
    <cacheField name="Tarpaulin_LS" numFmtId="0">
      <sharedItems containsSemiMixedTypes="0" containsString="0" containsNumber="1" containsInteger="1" minValue="0" maxValue="250"/>
    </cacheField>
    <cacheField name="Blanket_LS" numFmtId="0">
      <sharedItems containsSemiMixedTypes="0" containsString="0" containsNumber="1" containsInteger="1" minValue="0" maxValue="345"/>
    </cacheField>
    <cacheField name="Kitchen Set_LS" numFmtId="0">
      <sharedItems containsSemiMixedTypes="0" containsString="0" containsNumber="1" containsInteger="1" minValue="0" maxValue="119"/>
    </cacheField>
    <cacheField name="Clothes Kit_LS" numFmtId="0">
      <sharedItems containsSemiMixedTypes="0" containsString="0" containsNumber="1" containsInteger="1" minValue="0" maxValue="7"/>
    </cacheField>
    <cacheField name="Plastic Bucket _LS" numFmtId="0">
      <sharedItems containsSemiMixedTypes="0" containsString="0" containsNumber="1" containsInteger="1" minValue="0" maxValue="119"/>
    </cacheField>
    <cacheField name="Plastic  Mat_LS" numFmtId="0">
      <sharedItems containsSemiMixedTypes="0" containsString="0" containsNumber="1" minValue="0" maxValue="862.5"/>
    </cacheField>
    <cacheField name="Winter Clothes Adult_LS" numFmtId="0">
      <sharedItems containsSemiMixedTypes="0" containsString="0" containsNumber="1" containsInteger="1" minValue="0" maxValue="380"/>
    </cacheField>
    <cacheField name="Winter Clothes Children_LS" numFmtId="0">
      <sharedItems containsSemiMixedTypes="0" containsString="0" containsNumber="1" containsInteger="1" minValue="0" maxValue="765"/>
    </cacheField>
    <cacheField name="Winter Items Other_LS" numFmtId="0">
      <sharedItems containsSemiMixedTypes="0" containsString="0" containsNumber="1" containsInteger="1" minValue="0" maxValue="0"/>
    </cacheField>
    <cacheField name="Winter Blanket_LS" numFmtId="0">
      <sharedItems containsSemiMixedTypes="0" containsString="0" containsNumber="1" containsInteger="1" minValue="0" maxValue="346"/>
    </cacheField>
    <cacheField name="Winter" numFmtId="0">
      <sharedItems containsSemiMixedTypes="0" containsString="0" containsNumber="1" containsInteger="1" minValue="0" maxValue="1" count="2">
        <n v="0"/>
        <n v="1"/>
      </sharedItems>
    </cacheField>
    <cacheField name="Jerry Can_LS" numFmtId="0">
      <sharedItems containsSemiMixedTypes="0" containsString="0" containsNumber="1" containsInteger="1" minValue="0" maxValue="119"/>
    </cacheField>
    <cacheField name="Pcode" numFmtId="0">
      <sharedItems/>
    </cacheField>
    <cacheField name="opening_date" numFmtId="1">
      <sharedItems containsMixedTypes="1" containsNumber="1" containsInteger="1" minValue="0" maxValue="1" count="3">
        <n v="0"/>
        <s v=""/>
        <n v="1"/>
      </sharedItems>
    </cacheField>
    <cacheField name="Status" numFmtId="0">
      <sharedItems count="3">
        <s v="Closed"/>
        <s v="Open"/>
        <s v=""/>
      </sharedItems>
    </cacheField>
    <cacheField name="Priority" numFmtId="0">
      <sharedItems containsMixedTypes="1" containsNumber="1" containsInteger="1" minValue="0" maxValue="0" count="6">
        <s v=""/>
        <s v="P4"/>
        <s v="P1"/>
        <s v="P2"/>
        <s v="P3"/>
        <n v="0"/>
      </sharedItems>
    </cacheField>
    <cacheField name="Coverage" numFmtId="9">
      <sharedItems containsMixedTypes="1" containsNumber="1" minValue="0" maxValue="3.4857142857142858"/>
    </cacheField>
    <cacheField name="Planned Distribution" numFmtId="0">
      <sharedItems containsBlank="1"/>
    </cacheField>
    <cacheField name="Comment" numFmtId="0">
      <sharedItems containsBlank="1" longText="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67">
  <r>
    <s v="MMR001CMP042"/>
    <x v="0"/>
    <s v="Chipwi KBC camp"/>
    <s v="Chipwi"/>
    <n v="105"/>
    <n v="523"/>
    <n v="293"/>
    <n v="190"/>
    <n v="0"/>
    <n v="0"/>
    <n v="125"/>
    <n v="210"/>
    <s v="No"/>
    <n v="0"/>
  </r>
  <r>
    <s v="MMR001CMP046"/>
    <x v="0"/>
    <s v="Gant Gwin"/>
    <s v="Chipwi"/>
    <n v="0"/>
    <n v="0"/>
    <n v="0"/>
    <n v="0"/>
    <n v="0"/>
    <n v="0"/>
    <n v="0"/>
    <n v="0"/>
    <s v=""/>
    <n v="0"/>
  </r>
  <r>
    <s v="MMR001CMP043"/>
    <x v="0"/>
    <s v="Hpare Hkyer - BP6"/>
    <s v="Chipwi"/>
    <n v="155"/>
    <n v="885"/>
    <n v="320"/>
    <n v="465"/>
    <n v="0"/>
    <n v="0"/>
    <n v="0"/>
    <n v="310"/>
    <s v="No"/>
    <n v="0"/>
  </r>
  <r>
    <s v="MMR001CMP045"/>
    <x v="0"/>
    <s v="Lan Jaw "/>
    <s v="Chipwi"/>
    <n v="0"/>
    <n v="0"/>
    <n v="0"/>
    <n v="0"/>
    <n v="0"/>
    <n v="0"/>
    <n v="0"/>
    <n v="0"/>
    <s v=""/>
    <n v="0"/>
  </r>
  <r>
    <s v="MMR001CMP195"/>
    <x v="0"/>
    <s v="Lhaovao Baptist Church (LBC)"/>
    <s v="Chipwi"/>
    <n v="139"/>
    <n v="605"/>
    <n v="350"/>
    <n v="236"/>
    <n v="0"/>
    <n v="0"/>
    <n v="181"/>
    <n v="278"/>
    <s v="No"/>
    <n v="0"/>
  </r>
  <r>
    <s v="MMR001CMP225"/>
    <x v="0"/>
    <s v="Saw Zam"/>
    <s v="Chipwi"/>
    <n v="30"/>
    <n v="163"/>
    <n v="111"/>
    <n v="56"/>
    <n v="0"/>
    <n v="0"/>
    <n v="34"/>
    <n v="60"/>
    <s v="No"/>
    <n v="0"/>
  </r>
  <r>
    <s v="MMR001CMP210"/>
    <x v="0"/>
    <s v="Pan Wa"/>
    <s v="Chipwi"/>
    <n v="68"/>
    <n v="323"/>
    <n v="187"/>
    <n v="137"/>
    <n v="0"/>
    <n v="0"/>
    <n v="67"/>
    <n v="136"/>
    <s v="No"/>
    <n v="0"/>
  </r>
  <r>
    <s v="MMR001CMP115"/>
    <x v="0"/>
    <s v="Hkau Shau (BP 12)"/>
    <s v="Waingmaw"/>
    <n v="181"/>
    <n v="1226"/>
    <n v="728"/>
    <n v="1086"/>
    <n v="0"/>
    <n v="0"/>
    <n v="0"/>
    <n v="362"/>
    <s v="No"/>
    <n v="0"/>
  </r>
  <r>
    <s v="MMR001CMP120"/>
    <x v="0"/>
    <s v="Pajau - Jan Mai"/>
    <s v="Waingmaw"/>
    <n v="191"/>
    <n v="770"/>
    <n v="0"/>
    <n v="0"/>
    <n v="0"/>
    <n v="382"/>
    <n v="573"/>
    <n v="382"/>
    <s v=""/>
    <n v="0"/>
  </r>
  <r>
    <s v="MMR001CMP160"/>
    <x v="0"/>
    <s v="Post 6 Camp"/>
    <s v="Waingmaw"/>
    <n v="144"/>
    <n v="862"/>
    <n v="262"/>
    <n v="400"/>
    <n v="0"/>
    <n v="26"/>
    <n v="32"/>
    <n v="288"/>
    <s v="No"/>
    <n v="0"/>
  </r>
  <r>
    <s v="MMR001CMP113"/>
    <x v="0"/>
    <s v="Border Post 8"/>
    <s v="Waingmaw"/>
    <n v="166"/>
    <n v="720"/>
    <n v="302"/>
    <n v="440"/>
    <n v="0"/>
    <n v="30"/>
    <n v="58"/>
    <n v="332"/>
    <s v="No"/>
    <n v="0"/>
  </r>
  <r>
    <s v="MMR001CMP041"/>
    <x v="0"/>
    <s v="Shing Jai"/>
    <s v="Waingmaw"/>
    <n v="198"/>
    <n v="1017"/>
    <n v="0"/>
    <n v="0"/>
    <n v="0"/>
    <n v="396"/>
    <n v="594"/>
    <n v="396"/>
    <s v=""/>
    <n v="0"/>
  </r>
  <r>
    <s v="MMR001CMP131"/>
    <x v="0"/>
    <s v="Nhkawng Pa "/>
    <s v="Momauk"/>
    <n v="385"/>
    <n v="1699"/>
    <n v="0"/>
    <n v="0"/>
    <n v="0"/>
    <n v="770"/>
    <n v="1155"/>
    <n v="770"/>
    <s v=""/>
    <n v="0"/>
  </r>
  <r>
    <s v="MMR015CMP006"/>
    <x v="0"/>
    <s v="Mungji Pa Dabang (Baptist Church)         "/>
    <s v="Kutkai"/>
    <n v="45"/>
    <n v="211"/>
    <n v="0"/>
    <n v="0"/>
    <n v="0"/>
    <n v="90"/>
    <n v="135"/>
    <n v="90"/>
    <s v=""/>
    <n v="0"/>
  </r>
  <r>
    <s v="MMR015CMP005"/>
    <x v="0"/>
    <s v="Mung Baw "/>
    <s v="Muse"/>
    <n v="123"/>
    <n v="503"/>
    <n v="0"/>
    <n v="0"/>
    <n v="0"/>
    <n v="246"/>
    <n v="369"/>
    <n v="246"/>
    <s v=""/>
    <n v="0"/>
  </r>
  <r>
    <s v="MMR015CMP012"/>
    <x v="0"/>
    <s v="Munekoe Pa (Giwang) - Hka San (Mung  Go  Pa ) "/>
    <s v="Muse"/>
    <n v="21"/>
    <n v="88"/>
    <n v="0"/>
    <n v="0"/>
    <n v="0"/>
    <n v="42"/>
    <n v="63"/>
    <n v="42"/>
    <s v=""/>
    <n v="0"/>
  </r>
  <r>
    <s v="MMR001CMP129"/>
    <x v="1"/>
    <s v="Bum Tsit Pa "/>
    <s v="Mansi"/>
    <n v="174"/>
    <n v="738"/>
    <n v="0"/>
    <n v="0"/>
    <n v="0"/>
    <n v="348"/>
    <n v="522"/>
    <n v="348"/>
    <s v=""/>
    <n v="0"/>
  </r>
  <r>
    <s v="MMR001CMP226"/>
    <x v="1"/>
    <s v="Bum Tsit Pa Camp II"/>
    <s v="Mansi"/>
    <n v="219"/>
    <n v="891"/>
    <n v="0"/>
    <n v="0"/>
    <n v="0"/>
    <n v="438"/>
    <n v="657"/>
    <n v="438"/>
    <s v=""/>
    <n v="0"/>
  </r>
  <r>
    <s v="MMR001CMP128"/>
    <x v="1"/>
    <s v="Lana Zup Ja "/>
    <s v="Mansi"/>
    <n v="543"/>
    <n v="2950"/>
    <n v="0"/>
    <n v="0"/>
    <n v="0"/>
    <n v="1086"/>
    <n v="1629"/>
    <n v="1086"/>
    <s v=""/>
    <n v="0"/>
  </r>
  <r>
    <s v="MMR001CMP135"/>
    <x v="1"/>
    <s v="Lung Kawk  ( Hka Hkye Zup)"/>
    <s v="Mansi"/>
    <n v="83"/>
    <n v="310"/>
    <n v="0"/>
    <n v="0"/>
    <n v="0"/>
    <n v="166"/>
    <n v="249"/>
    <n v="166"/>
    <s v=""/>
    <n v="0"/>
  </r>
  <r>
    <s v="MMR001CMP122"/>
    <x v="1"/>
    <s v="Hpun Lum Yang "/>
    <s v="Momauk"/>
    <n v="479"/>
    <n v="2388"/>
    <n v="850"/>
    <n v="1474"/>
    <n v="0"/>
    <n v="108"/>
    <n v="0"/>
    <n v="958"/>
    <s v="No"/>
    <n v="0"/>
  </r>
  <r>
    <s v="MMR001CMP121"/>
    <x v="1"/>
    <s v="Je Yang Hka "/>
    <s v="Momauk"/>
    <n v="1658"/>
    <n v="8585"/>
    <n v="2910"/>
    <n v="5160"/>
    <n v="0"/>
    <n v="406"/>
    <n v="0"/>
    <n v="3316"/>
    <s v="No"/>
    <n v="0"/>
  </r>
  <r>
    <s v="MMR001CMP126"/>
    <x v="1"/>
    <s v="Pa Kahtawng "/>
    <s v="Momauk"/>
    <n v="840"/>
    <n v="3249"/>
    <n v="0"/>
    <n v="0"/>
    <n v="0"/>
    <n v="1680"/>
    <n v="2520"/>
    <n v="1680"/>
    <s v=""/>
    <n v="0"/>
  </r>
  <r>
    <s v="MMR001CMP123"/>
    <x v="1"/>
    <s v="Dum Bung "/>
    <s v="Momauk"/>
    <n v="116"/>
    <n v="602"/>
    <n v="0"/>
    <n v="0"/>
    <n v="0"/>
    <n v="232"/>
    <n v="348"/>
    <n v="232"/>
    <s v=""/>
    <n v="0"/>
  </r>
  <r>
    <s v="MMR001CMP208"/>
    <x v="1"/>
    <s v="IDP Boarding School, A Len Bum"/>
    <s v="Waingmaw"/>
    <n v="0"/>
    <n v="1047"/>
    <n v="0"/>
    <n v="0"/>
    <n v="0"/>
    <n v="0"/>
    <n v="0"/>
    <n v="0"/>
    <s v=""/>
    <n v="0"/>
  </r>
  <r>
    <s v="MMR001CMP117"/>
    <x v="1"/>
    <s v="Laiza Market 3 - Laiza Gat"/>
    <s v="Waingmaw"/>
    <n v="497"/>
    <n v="2299"/>
    <n v="0"/>
    <n v="0"/>
    <n v="0"/>
    <n v="994"/>
    <n v="1491"/>
    <n v="994"/>
    <s v=""/>
    <n v="0"/>
  </r>
  <r>
    <s v="MMR001CMP111"/>
    <x v="1"/>
    <s v="Zai Awng - Mung Ga Zup"/>
    <s v="Waingmaw"/>
    <n v="646"/>
    <n v="2440"/>
    <n v="0"/>
    <n v="0"/>
    <n v="0"/>
    <n v="1292"/>
    <n v="1938"/>
    <n v="1292"/>
    <s v=""/>
    <n v="0"/>
  </r>
  <r>
    <s v="MMR001CMP119"/>
    <x v="1"/>
    <s v="Maga Yang "/>
    <s v="Waingmaw"/>
    <n v="645"/>
    <n v="2934"/>
    <n v="0"/>
    <n v="0"/>
    <n v="0"/>
    <n v="1290"/>
    <n v="1935"/>
    <n v="1290"/>
    <s v=""/>
    <n v="0"/>
  </r>
  <r>
    <s v="MMR015CMP009"/>
    <x v="1"/>
    <s v="Mandung - Jinghpaw"/>
    <s v="Manton"/>
    <n v="38"/>
    <n v="143"/>
    <n v="0"/>
    <n v="0"/>
    <n v="0"/>
    <n v="76"/>
    <n v="114"/>
    <n v="76"/>
    <s v=""/>
    <n v="0"/>
  </r>
  <r>
    <s v="MMR015CMP139"/>
    <x v="1"/>
    <s v="Nam Hkawng"/>
    <s v="Muse"/>
    <n v="11"/>
    <n v="32"/>
    <n v="0"/>
    <n v="0"/>
    <n v="0"/>
    <n v="22"/>
    <n v="33"/>
    <n v="22"/>
    <s v=""/>
    <n v="0"/>
  </r>
  <r>
    <s v="MMR001CMP071"/>
    <x v="2"/>
    <s v="Loi Je Baptist Church"/>
    <s v="Momauk"/>
    <n v="29"/>
    <n v="137"/>
    <n v="112"/>
    <n v="59"/>
    <n v="0"/>
    <n v="0"/>
    <n v="28"/>
    <n v="58"/>
    <s v="No"/>
    <n v="0"/>
  </r>
  <r>
    <s v="MMR001CMP069"/>
    <x v="2"/>
    <s v="Loi Je Catholic Church"/>
    <s v="Momauk"/>
    <n v="100"/>
    <n v="516"/>
    <n v="203"/>
    <n v="102"/>
    <n v="0"/>
    <n v="0"/>
    <n v="198"/>
    <n v="200"/>
    <s v="No"/>
    <n v="0"/>
  </r>
  <r>
    <s v="MMR001CMP070"/>
    <x v="2"/>
    <s v="Loi Je Lisu Camp"/>
    <s v="Momauk"/>
    <n v="150"/>
    <n v="912"/>
    <n v="591"/>
    <n v="347"/>
    <n v="0"/>
    <n v="0"/>
    <n v="103"/>
    <n v="300"/>
    <s v="No"/>
    <n v="0"/>
  </r>
  <r>
    <s v="MMR001CMP073"/>
    <x v="2"/>
    <s v="Seng Ja "/>
    <s v="Momauk"/>
    <n v="33"/>
    <n v="195"/>
    <n v="155"/>
    <n v="73"/>
    <n v="0"/>
    <n v="0"/>
    <n v="26"/>
    <n v="66"/>
    <s v="No"/>
    <n v="0"/>
  </r>
  <r>
    <s v="MMR001CMP072"/>
    <x v="2"/>
    <s v="Nyaung Na Pin "/>
    <s v="Momauk"/>
    <n v="47"/>
    <n v="274"/>
    <n v="195"/>
    <n v="91"/>
    <n v="0"/>
    <n v="0"/>
    <n v="50"/>
    <n v="94"/>
    <s v="No"/>
    <n v="0"/>
  </r>
  <r>
    <s v="MMR001CMP221"/>
    <x v="2"/>
    <s v="Machanbaw - KBC"/>
    <s v="Machanbaw"/>
    <n v="8"/>
    <n v="37"/>
    <n v="20"/>
    <n v="8"/>
    <n v="0"/>
    <n v="0"/>
    <n v="16"/>
    <n v="16"/>
    <s v="No"/>
    <n v="0"/>
  </r>
  <r>
    <s v="MMR001CMP227"/>
    <x v="2"/>
    <s v="Inn Lel Yan - Host Families"/>
    <s v="Puta-O"/>
    <n v="10"/>
    <n v="56"/>
    <n v="0"/>
    <n v="0"/>
    <n v="0"/>
    <n v="20"/>
    <n v="30"/>
    <n v="20"/>
    <s v=""/>
    <n v="0"/>
  </r>
  <r>
    <s v="MMR001CMP220"/>
    <x v="2"/>
    <s v="Naung Khaing"/>
    <s v="Puta-O"/>
    <n v="23"/>
    <n v="91"/>
    <n v="52"/>
    <n v="16"/>
    <n v="0"/>
    <n v="0"/>
    <n v="53"/>
    <n v="46"/>
    <s v="No"/>
    <n v="0"/>
  </r>
  <r>
    <s v="MMR001CMP075"/>
    <x v="2"/>
    <s v="Tote Tan Ward"/>
    <s v="Puta-O"/>
    <n v="14"/>
    <n v="64"/>
    <n v="72"/>
    <n v="11"/>
    <n v="0"/>
    <n v="0"/>
    <n v="31"/>
    <n v="28"/>
    <s v="No"/>
    <n v="0"/>
  </r>
  <r>
    <s v="MMR015CMP015"/>
    <x v="2"/>
    <s v="Kone Khem Camp"/>
    <s v="Kutkai"/>
    <n v="85"/>
    <n v="325"/>
    <n v="0"/>
    <n v="0"/>
    <n v="0"/>
    <n v="170"/>
    <n v="255"/>
    <n v="170"/>
    <s v=""/>
    <n v="0"/>
  </r>
  <r>
    <s v="MMR015CMP016"/>
    <x v="2"/>
    <s v="Kutkai downtown (KBC Church)"/>
    <s v="Kutkai"/>
    <n v="84"/>
    <n v="355"/>
    <n v="0"/>
    <n v="0"/>
    <n v="0"/>
    <n v="168"/>
    <n v="252"/>
    <n v="168"/>
    <s v=""/>
    <n v="0"/>
  </r>
  <r>
    <s v="MMR015CMP017"/>
    <x v="2"/>
    <s v="Kutkai downtown (RC Church)"/>
    <s v="Kutkai"/>
    <n v="41"/>
    <n v="172"/>
    <n v="0"/>
    <n v="0"/>
    <n v="0"/>
    <n v="82"/>
    <n v="123"/>
    <n v="82"/>
    <s v=""/>
    <n v="0"/>
  </r>
  <r>
    <s v="MMR015CMP018"/>
    <x v="2"/>
    <s v="Mine Yu Lay village"/>
    <s v="Kutkai"/>
    <n v="76"/>
    <n v="403"/>
    <n v="0"/>
    <n v="0"/>
    <n v="0"/>
    <n v="152"/>
    <n v="228"/>
    <n v="152"/>
    <s v=""/>
    <n v="0"/>
  </r>
  <r>
    <s v="MMR015CMP007"/>
    <x v="2"/>
    <s v="Nam Hpak Ka Mare "/>
    <s v="Kutkai"/>
    <n v="75"/>
    <n v="269"/>
    <n v="0"/>
    <n v="0"/>
    <n v="0"/>
    <n v="150"/>
    <n v="225"/>
    <n v="150"/>
    <s v=""/>
    <n v="0"/>
  </r>
  <r>
    <s v="MMR015CMP020"/>
    <x v="2"/>
    <s v="Zup Aung Camp"/>
    <s v="Kutkai"/>
    <n v="118"/>
    <n v="649"/>
    <n v="0"/>
    <n v="0"/>
    <n v="0"/>
    <n v="236"/>
    <n v="354"/>
    <n v="236"/>
    <s v=""/>
    <n v="0"/>
  </r>
  <r>
    <s v="MMR015CMP209"/>
    <x v="2"/>
    <s v="Mandung - RC"/>
    <s v="Manton"/>
    <n v="26"/>
    <n v="147"/>
    <n v="0"/>
    <n v="0"/>
    <n v="0"/>
    <n v="52"/>
    <n v="78"/>
    <n v="52"/>
    <s v=""/>
    <n v="0"/>
  </r>
  <r>
    <s v="MMR015CMP010"/>
    <x v="2"/>
    <s v="Howa"/>
    <s v="Muse"/>
    <n v="32"/>
    <n v="0"/>
    <n v="0"/>
    <n v="0"/>
    <n v="0"/>
    <n v="64"/>
    <n v="96"/>
    <n v="64"/>
    <s v=""/>
    <n v="0"/>
  </r>
  <r>
    <s v="MMR015CMP011"/>
    <x v="2"/>
    <s v="Nam Hkyet"/>
    <s v="Muse"/>
    <n v="6"/>
    <n v="0"/>
    <n v="0"/>
    <n v="0"/>
    <n v="0"/>
    <n v="12"/>
    <n v="18"/>
    <n v="12"/>
    <s v=""/>
    <n v="0"/>
  </r>
  <r>
    <s v="MMR015CMP004"/>
    <x v="2"/>
    <s v="Nam Hkam - Nay Win Ni (Palawng)"/>
    <s v="Namhkan"/>
    <n v="76"/>
    <n v="302"/>
    <n v="0"/>
    <n v="0"/>
    <n v="0"/>
    <n v="152"/>
    <n v="228"/>
    <n v="152"/>
    <s v=""/>
    <n v="0"/>
  </r>
  <r>
    <s v="MMR015CMP001"/>
    <x v="2"/>
    <s v="Nam Hkam (KBC Jaw Wang)"/>
    <s v="Namhkan"/>
    <n v="73"/>
    <n v="410"/>
    <n v="0"/>
    <n v="0"/>
    <n v="0"/>
    <n v="146"/>
    <n v="219"/>
    <n v="146"/>
    <s v=""/>
    <n v="0"/>
  </r>
  <r>
    <s v="MMR015CMP003"/>
    <x v="2"/>
    <s v="Nam Hkam Catholic Church ( St. Thomas I)"/>
    <s v="Namhkan"/>
    <n v="93"/>
    <n v="337"/>
    <n v="0"/>
    <n v="0"/>
    <n v="0"/>
    <n v="186"/>
    <n v="279"/>
    <n v="186"/>
    <s v=""/>
    <n v="0"/>
  </r>
  <r>
    <s v="MMR015CMP014"/>
    <x v="2"/>
    <s v="Nam Tu Baptist"/>
    <s v="Namtu"/>
    <n v="12"/>
    <n v="51"/>
    <n v="0"/>
    <n v="0"/>
    <n v="0"/>
    <n v="24"/>
    <n v="36"/>
    <n v="24"/>
    <s v=""/>
    <n v="0"/>
  </r>
  <r>
    <s v="MMR015CMP210"/>
    <x v="2"/>
    <s v="Nam Tu RC"/>
    <s v="Namtu"/>
    <n v="118"/>
    <n v="520"/>
    <n v="0"/>
    <n v="0"/>
    <n v="0"/>
    <n v="236"/>
    <n v="354"/>
    <n v="236"/>
    <s v=""/>
    <n v="0"/>
  </r>
  <r>
    <s v="MMR001CMP179"/>
    <x v="3"/>
    <s v="5 Ward Baptist Church(lon Khin)"/>
    <s v="Hpakant"/>
    <n v="77"/>
    <n v="357"/>
    <n v="229"/>
    <n v="126"/>
    <n v="0"/>
    <n v="0"/>
    <n v="105"/>
    <n v="154"/>
    <s v="No"/>
    <n v="0"/>
  </r>
  <r>
    <s v="MMR001CMP168"/>
    <x v="3"/>
    <s v="5 Ward RC Church(lon Khin)"/>
    <s v="Hpakant"/>
    <n v="83"/>
    <n v="424"/>
    <n v="223"/>
    <n v="96"/>
    <n v="0"/>
    <n v="0"/>
    <n v="153"/>
    <n v="166"/>
    <s v="No"/>
    <n v="0"/>
  </r>
  <r>
    <s v="MMR001CMP050"/>
    <x v="3"/>
    <s v="AD-2000 Tharthana Compound"/>
    <s v="Bhamo"/>
    <n v="280"/>
    <n v="1262"/>
    <n v="0"/>
    <n v="0"/>
    <n v="0"/>
    <n v="560"/>
    <n v="840"/>
    <n v="560"/>
    <s v=""/>
    <n v="0"/>
  </r>
  <r>
    <s v="MMR001CMP176"/>
    <x v="3"/>
    <s v="AG Church, Hmaw Si Sa"/>
    <s v="Hpakant"/>
    <n v="67"/>
    <n v="338"/>
    <n v="232"/>
    <n v="105"/>
    <n v="0"/>
    <n v="0"/>
    <n v="96"/>
    <n v="134"/>
    <s v="No"/>
    <n v="0"/>
  </r>
  <r>
    <s v="MMR001CMP190"/>
    <x v="3"/>
    <s v="AG Church, Maw Wan"/>
    <s v="Hpakant"/>
    <n v="15"/>
    <n v="82"/>
    <n v="55"/>
    <n v="27"/>
    <n v="0"/>
    <n v="0"/>
    <n v="18"/>
    <n v="30"/>
    <s v="No"/>
    <n v="0"/>
  </r>
  <r>
    <s v="MMR001CMP194"/>
    <x v="3"/>
    <s v="Aung Thar Church"/>
    <s v="Bhamo"/>
    <n v="13"/>
    <n v="59"/>
    <n v="0"/>
    <n v="0"/>
    <n v="0"/>
    <n v="26"/>
    <n v="39"/>
    <n v="26"/>
    <s v=""/>
    <n v="0"/>
  </r>
  <r>
    <s v="MMR001CMP216"/>
    <x v="3"/>
    <s v="Ban Hkung Yang"/>
    <s v="Mansi"/>
    <n v="0"/>
    <n v="0"/>
    <n v="0"/>
    <n v="0"/>
    <n v="0"/>
    <n v="0"/>
    <n v="0"/>
    <n v="0"/>
    <s v=""/>
    <n v="0"/>
  </r>
  <r>
    <s v="MMR001CMP169"/>
    <x v="3"/>
    <s v="Baptist Church, Hmaw Si Sar(Lon Khin)"/>
    <s v="Hpakant"/>
    <n v="38"/>
    <n v="211"/>
    <n v="123"/>
    <n v="104"/>
    <n v="0"/>
    <n v="0"/>
    <n v="10"/>
    <n v="76"/>
    <s v="No"/>
    <n v="0"/>
  </r>
  <r>
    <s v="MMR001CMP188"/>
    <x v="3"/>
    <s v="Baptist Church, Naung Hmee VT"/>
    <s v="Hpakant"/>
    <n v="15"/>
    <n v="78"/>
    <n v="48"/>
    <n v="30"/>
    <n v="0"/>
    <n v="0"/>
    <n v="15"/>
    <n v="30"/>
    <s v="No"/>
    <n v="0"/>
  </r>
  <r>
    <s v="MMR001CMP109"/>
    <x v="3"/>
    <s v="Chin Church, Seik Mu"/>
    <s v="Hpakant"/>
    <n v="5"/>
    <n v="26"/>
    <n v="15"/>
    <n v="10"/>
    <n v="0"/>
    <n v="0"/>
    <n v="5"/>
    <n v="10"/>
    <s v="No"/>
    <n v="0"/>
  </r>
  <r>
    <s v="MMR001CMP174"/>
    <x v="3"/>
    <s v="Dhama Rakhita, Nyein Chan Tar Yar Ward(Lon Khin)"/>
    <s v="Hpakant"/>
    <n v="65"/>
    <n v="329"/>
    <n v="214"/>
    <n v="112"/>
    <n v="0"/>
    <n v="0"/>
    <n v="83"/>
    <n v="130"/>
    <s v="No"/>
    <n v="0"/>
  </r>
  <r>
    <s v="MMR001CMP012"/>
    <x v="3"/>
    <s v="Du Kahtawng Qtr. 14"/>
    <s v="Myitkyina"/>
    <n v="6"/>
    <n v="28"/>
    <n v="0"/>
    <n v="0"/>
    <n v="0"/>
    <n v="12"/>
    <n v="18"/>
    <n v="12"/>
    <s v=""/>
    <n v="0"/>
  </r>
  <r>
    <s v="MMR001CMP010"/>
    <x v="3"/>
    <s v="Du Kahtawng Qtr. 4"/>
    <s v="Myitkyina"/>
    <n v="6"/>
    <n v="39"/>
    <n v="0"/>
    <n v="0"/>
    <n v="0"/>
    <n v="12"/>
    <n v="18"/>
    <n v="12"/>
    <s v=""/>
    <n v="0"/>
  </r>
  <r>
    <s v="MMR001CMP011"/>
    <x v="3"/>
    <s v="Du Kahtawng Qtr. 5"/>
    <s v="Myitkyina"/>
    <n v="8"/>
    <n v="30"/>
    <n v="0"/>
    <n v="0"/>
    <n v="0"/>
    <n v="16"/>
    <n v="24"/>
    <n v="16"/>
    <s v=""/>
    <n v="0"/>
  </r>
  <r>
    <s v="MMR001CMP028"/>
    <x v="3"/>
    <s v="Hkat Cho "/>
    <s v="Waingmaw"/>
    <n v="134"/>
    <n v="591"/>
    <n v="0"/>
    <n v="0"/>
    <n v="0"/>
    <n v="268"/>
    <n v="402"/>
    <n v="268"/>
    <s v=""/>
    <n v="0"/>
  </r>
  <r>
    <s v="MMR001CMP148"/>
    <x v="3"/>
    <s v="Hlaing Naung Baptist"/>
    <s v="Hpakant"/>
    <n v="23"/>
    <n v="67"/>
    <n v="37"/>
    <n v="24"/>
    <n v="0"/>
    <n v="9"/>
    <n v="45"/>
    <n v="46"/>
    <s v="No"/>
    <n v="0"/>
  </r>
  <r>
    <s v="MMR001CMP191"/>
    <x v="3"/>
    <s v="Hmaw Wan, Anglican"/>
    <s v="Hpakant"/>
    <n v="10"/>
    <n v="57"/>
    <n v="33"/>
    <n v="24"/>
    <n v="0"/>
    <n v="0"/>
    <n v="6"/>
    <n v="20"/>
    <s v="No"/>
    <n v="0"/>
  </r>
  <r>
    <s v="MMR001CMP163"/>
    <x v="3"/>
    <s v="Host Families"/>
    <s v="Bhamo"/>
    <n v="335"/>
    <n v="1475"/>
    <n v="0"/>
    <n v="0"/>
    <n v="0"/>
    <n v="670"/>
    <n v="1005"/>
    <n v="670"/>
    <s v=""/>
    <n v="0"/>
  </r>
  <r>
    <s v="MMR001CMP196"/>
    <x v="3"/>
    <s v="Host Families"/>
    <s v="Mansi"/>
    <n v="279"/>
    <n v="1031"/>
    <n v="0"/>
    <n v="0"/>
    <n v="0"/>
    <n v="558"/>
    <n v="837"/>
    <n v="558"/>
    <s v=""/>
    <n v="0"/>
  </r>
  <r>
    <s v="MMR001CMP197"/>
    <x v="3"/>
    <s v="Host Families"/>
    <s v="Momauk"/>
    <n v="278"/>
    <n v="1031"/>
    <n v="0"/>
    <n v="0"/>
    <n v="0"/>
    <n v="556"/>
    <n v="834"/>
    <n v="556"/>
    <s v=""/>
    <n v="0"/>
  </r>
  <r>
    <s v="MMR001CMP199"/>
    <x v="3"/>
    <s v="Host Families"/>
    <s v="Shwegu"/>
    <n v="9"/>
    <n v="30"/>
    <n v="0"/>
    <n v="0"/>
    <n v="0"/>
    <n v="18"/>
    <n v="27"/>
    <n v="18"/>
    <s v=""/>
    <n v="0"/>
  </r>
  <r>
    <s v="MMR015CMP022"/>
    <x v="3"/>
    <s v="Hpai Kawng Mare"/>
    <s v="Muse"/>
    <n v="32"/>
    <n v="187"/>
    <n v="0"/>
    <n v="0"/>
    <n v="0"/>
    <n v="64"/>
    <n v="96"/>
    <n v="64"/>
    <s v=""/>
    <n v="0"/>
  </r>
  <r>
    <s v="MMR001CMP229"/>
    <x v="3"/>
    <s v="Hpakant Baptist Church, Nam Ma Hpit"/>
    <s v="Hpakant"/>
    <n v="66"/>
    <n v="309"/>
    <n v="186"/>
    <n v="125"/>
    <n v="0"/>
    <n v="0"/>
    <n v="73"/>
    <n v="132"/>
    <s v="No"/>
    <n v="0"/>
  </r>
  <r>
    <s v="MMR001CMP052"/>
    <x v="3"/>
    <s v="Htoi San Church"/>
    <s v="Bhamo"/>
    <n v="44"/>
    <n v="217"/>
    <n v="0"/>
    <n v="0"/>
    <n v="0"/>
    <n v="88"/>
    <n v="132"/>
    <n v="88"/>
    <s v=""/>
    <n v="0"/>
  </r>
  <r>
    <s v="MMR001CMP018"/>
    <x v="3"/>
    <s v="Jan Mai Kawng Baptist Church"/>
    <s v="Myitkyina"/>
    <n v="203"/>
    <n v="974"/>
    <n v="0"/>
    <n v="0"/>
    <n v="0"/>
    <n v="406"/>
    <n v="609"/>
    <n v="406"/>
    <s v=""/>
    <n v="0"/>
  </r>
  <r>
    <s v="MMR001CMP019"/>
    <x v="3"/>
    <s v="Jan Mai Kawng Catholic Church"/>
    <s v="Myitkyina"/>
    <n v="108"/>
    <n v="482"/>
    <n v="0"/>
    <n v="0"/>
    <n v="0"/>
    <n v="216"/>
    <n v="324"/>
    <n v="216"/>
    <s v=""/>
    <n v="0"/>
  </r>
  <r>
    <s v="MMR001CMP200"/>
    <x v="3"/>
    <s v="Khun Sint Village"/>
    <s v="Momauk"/>
    <n v="4"/>
    <n v="26"/>
    <n v="0"/>
    <n v="0"/>
    <n v="0"/>
    <n v="8"/>
    <n v="12"/>
    <n v="8"/>
    <s v=""/>
    <n v="0"/>
  </r>
  <r>
    <s v="MMR001CMP013"/>
    <x v="3"/>
    <s v="Kyun Pin Thar Baptist Church"/>
    <s v="Myitkyina"/>
    <n v="45"/>
    <n v="187"/>
    <n v="0"/>
    <n v="0"/>
    <n v="0"/>
    <n v="90"/>
    <n v="135"/>
    <n v="90"/>
    <s v=""/>
    <n v="0"/>
  </r>
  <r>
    <s v="MMR001CMP078"/>
    <x v="3"/>
    <s v="Kyun Taw Baptist Church "/>
    <s v="Mogaung"/>
    <n v="13"/>
    <n v="50"/>
    <n v="0"/>
    <n v="0"/>
    <n v="0"/>
    <n v="26"/>
    <n v="39"/>
    <n v="26"/>
    <s v=""/>
    <n v="0"/>
  </r>
  <r>
    <s v="MMR001CMP074"/>
    <x v="3"/>
    <s v="La Ja"/>
    <s v="Khaunglanhpu"/>
    <n v="11"/>
    <n v="17"/>
    <n v="0"/>
    <n v="0"/>
    <n v="0"/>
    <n v="22"/>
    <n v="33"/>
    <n v="22"/>
    <s v=""/>
    <n v="0"/>
  </r>
  <r>
    <s v="MMR001CMP202"/>
    <x v="3"/>
    <s v="Lagatyan "/>
    <s v="Mansi"/>
    <n v="0"/>
    <n v="0"/>
    <n v="0"/>
    <n v="0"/>
    <n v="0"/>
    <n v="0"/>
    <n v="0"/>
    <n v="0"/>
    <s v=""/>
    <n v="0"/>
  </r>
  <r>
    <s v="MMR001CMP149"/>
    <x v="3"/>
    <s v="Laiza Muklum Hpyen  Yen Mungshawa ni"/>
    <s v="Waingmaw"/>
    <n v="355"/>
    <n v="4450"/>
    <n v="0"/>
    <n v="0"/>
    <n v="0"/>
    <n v="710"/>
    <n v="1065"/>
    <n v="710"/>
    <s v=""/>
    <n v="0"/>
  </r>
  <r>
    <s v="MMR001CMP147"/>
    <x v="3"/>
    <s v="Lawk Awng Mare D. (Sinbo Area)"/>
    <s v="Shwegu"/>
    <n v="375"/>
    <n v="1691"/>
    <n v="0"/>
    <n v="0"/>
    <n v="0"/>
    <n v="750"/>
    <n v="1125"/>
    <n v="750"/>
    <s v=""/>
    <n v="0"/>
  </r>
  <r>
    <s v="MMR001CMP015"/>
    <x v="3"/>
    <s v="Le Kone Bethlehem Church"/>
    <s v="Myitkyina"/>
    <n v="87"/>
    <n v="467"/>
    <n v="0"/>
    <n v="0"/>
    <n v="0"/>
    <n v="174"/>
    <n v="261"/>
    <n v="174"/>
    <s v=""/>
    <n v="0"/>
  </r>
  <r>
    <s v="MMR001CMP014"/>
    <x v="3"/>
    <s v="Le Kone Ziun Baptist Church "/>
    <s v="Myitkyina"/>
    <n v="146"/>
    <n v="751"/>
    <n v="0"/>
    <n v="0"/>
    <n v="0"/>
    <n v="292"/>
    <n v="438"/>
    <n v="292"/>
    <s v=""/>
    <n v="0"/>
  </r>
  <r>
    <s v="MMR001CMP181"/>
    <x v="3"/>
    <s v="Lisu Baptist Church, Maw Shan Vil,. Seik Mu"/>
    <s v="Hpakant"/>
    <n v="25"/>
    <n v="137"/>
    <n v="90"/>
    <n v="39"/>
    <n v="0"/>
    <n v="0"/>
    <n v="36"/>
    <n v="50"/>
    <s v="No"/>
    <n v="0"/>
  </r>
  <r>
    <s v="MMR001CMP167"/>
    <x v="3"/>
    <s v="Lisu Baptist Church, Maw Wan Ward"/>
    <s v="Hpakant"/>
    <n v="15"/>
    <n v="72"/>
    <n v="48"/>
    <n v="23"/>
    <n v="0"/>
    <n v="0"/>
    <n v="22"/>
    <n v="30"/>
    <s v="No"/>
    <n v="0"/>
  </r>
  <r>
    <s v="MMR001CMP049"/>
    <x v="3"/>
    <s v="Lisu Boarding-House"/>
    <s v="Bhamo"/>
    <n v="80"/>
    <n v="422"/>
    <n v="0"/>
    <n v="0"/>
    <n v="0"/>
    <n v="160"/>
    <n v="240"/>
    <n v="160"/>
    <s v=""/>
    <n v="0"/>
  </r>
  <r>
    <s v="MMR001CMP027"/>
    <x v="3"/>
    <s v="Mading Baptist Church"/>
    <s v="Waingmaw"/>
    <n v="23"/>
    <n v="120"/>
    <n v="0"/>
    <n v="0"/>
    <n v="0"/>
    <n v="46"/>
    <n v="69"/>
    <n v="46"/>
    <s v=""/>
    <n v="0"/>
  </r>
  <r>
    <s v="MMR001CMP064"/>
    <x v="3"/>
    <s v="Mai Khat "/>
    <s v="Momauk"/>
    <n v="2"/>
    <n v="9"/>
    <n v="0"/>
    <n v="0"/>
    <n v="0"/>
    <n v="4"/>
    <n v="6"/>
    <n v="4"/>
    <s v=""/>
    <n v="0"/>
  </r>
  <r>
    <s v="MMR001CMP031"/>
    <x v="3"/>
    <s v="Maina AG Church"/>
    <s v="Waingmaw"/>
    <n v="143"/>
    <n v="724"/>
    <n v="0"/>
    <n v="0"/>
    <n v="0"/>
    <n v="286"/>
    <n v="429"/>
    <n v="286"/>
    <s v=""/>
    <n v="0"/>
  </r>
  <r>
    <s v="MMR001CMP029"/>
    <x v="3"/>
    <s v="Maina Catholic Church (St. Joseph)"/>
    <s v="Waingmaw"/>
    <n v="238"/>
    <n v="1234"/>
    <n v="0"/>
    <n v="0"/>
    <n v="0"/>
    <n v="476"/>
    <n v="714"/>
    <n v="476"/>
    <s v=""/>
    <n v="0"/>
  </r>
  <r>
    <s v="MMR001CMP040"/>
    <x v="3"/>
    <s v="Maina KBC (Bawng Ring)"/>
    <s v="Waingmaw"/>
    <n v="420"/>
    <n v="1845"/>
    <n v="0"/>
    <n v="0"/>
    <n v="0"/>
    <n v="840"/>
    <n v="1260"/>
    <n v="840"/>
    <s v=""/>
    <n v="0"/>
  </r>
  <r>
    <s v="MMR001CMP039"/>
    <x v="3"/>
    <s v="Maina Lawang Baptist Church"/>
    <s v="Waingmaw"/>
    <n v="49"/>
    <n v="197"/>
    <n v="0"/>
    <n v="0"/>
    <n v="0"/>
    <n v="98"/>
    <n v="147"/>
    <n v="98"/>
    <s v=""/>
    <n v="0"/>
  </r>
  <r>
    <s v="MMR001CMP218"/>
    <x v="3"/>
    <s v="Maing Khaung"/>
    <s v="Mansi"/>
    <n v="241"/>
    <n v="912"/>
    <n v="0"/>
    <n v="0"/>
    <n v="0"/>
    <n v="482"/>
    <n v="723"/>
    <n v="482"/>
    <s v=""/>
    <n v="0"/>
  </r>
  <r>
    <s v="MMR001CMP223"/>
    <x v="3"/>
    <s v="Maing Khaung Catholic Church"/>
    <s v="Mansi"/>
    <n v="63"/>
    <n v="120"/>
    <n v="0"/>
    <n v="0"/>
    <n v="0"/>
    <n v="126"/>
    <n v="189"/>
    <n v="126"/>
    <s v=""/>
    <n v="0"/>
  </r>
  <r>
    <s v="MMR001CMP016"/>
    <x v="3"/>
    <s v="Maliyang Baptist Church"/>
    <s v="Myitkyina"/>
    <n v="72"/>
    <n v="316"/>
    <n v="0"/>
    <n v="0"/>
    <n v="0"/>
    <n v="144"/>
    <n v="216"/>
    <n v="144"/>
    <s v=""/>
    <n v="0"/>
  </r>
  <r>
    <s v="MMR001CMP062"/>
    <x v="3"/>
    <s v="Man Bung Catholic compound"/>
    <s v="Momauk"/>
    <n v="401"/>
    <n v="1596"/>
    <n v="0"/>
    <n v="0"/>
    <n v="0"/>
    <n v="802"/>
    <n v="1203"/>
    <n v="802"/>
    <s v=""/>
    <n v="0"/>
  </r>
  <r>
    <s v="MMR001CMP008"/>
    <x v="3"/>
    <s v="Man Hkring Baptist Church"/>
    <s v="Myitkyina"/>
    <n v="95"/>
    <n v="411"/>
    <n v="0"/>
    <n v="0"/>
    <n v="0"/>
    <n v="190"/>
    <n v="285"/>
    <n v="190"/>
    <s v=""/>
    <n v="0"/>
  </r>
  <r>
    <s v="MMR001CMP063"/>
    <x v="3"/>
    <s v="Man Nawng "/>
    <s v="Momauk"/>
    <n v="28"/>
    <n v="136"/>
    <n v="0"/>
    <n v="0"/>
    <n v="0"/>
    <n v="56"/>
    <n v="84"/>
    <n v="56"/>
    <s v=""/>
    <n v="0"/>
  </r>
  <r>
    <s v="MMR001CMP198"/>
    <x v="3"/>
    <s v="Man Ting"/>
    <s v="Momauk"/>
    <n v="0"/>
    <n v="0"/>
    <n v="0"/>
    <n v="0"/>
    <n v="0"/>
    <n v="0"/>
    <n v="0"/>
    <n v="0"/>
    <s v=""/>
    <n v="0"/>
  </r>
  <r>
    <s v="MMR001CMP133"/>
    <x v="3"/>
    <s v="Man Wing Baptist Church"/>
    <s v="Mansi"/>
    <n v="115"/>
    <n v="559"/>
    <n v="0"/>
    <n v="0"/>
    <n v="0"/>
    <n v="230"/>
    <n v="345"/>
    <n v="230"/>
    <s v=""/>
    <n v="0"/>
  </r>
  <r>
    <s v="MMR001CMP132"/>
    <x v="3"/>
    <s v="Man Wing Catholic Church"/>
    <s v="Mansi"/>
    <n v="575"/>
    <n v="2617"/>
    <n v="0"/>
    <n v="0"/>
    <n v="0"/>
    <n v="1150"/>
    <n v="1725"/>
    <n v="1150"/>
    <s v=""/>
    <n v="0"/>
  </r>
  <r>
    <s v="MMR001CMP228"/>
    <x v="3"/>
    <s v="Man Wing Catholic Church II"/>
    <s v="Mansi"/>
    <n v="167"/>
    <n v="840"/>
    <n v="0"/>
    <n v="0"/>
    <n v="0"/>
    <n v="334"/>
    <n v="501"/>
    <n v="334"/>
    <s v=""/>
    <n v="0"/>
  </r>
  <r>
    <s v="MMR001CMP134"/>
    <x v="3"/>
    <s v="Man Wing Host Families"/>
    <s v="Mansi"/>
    <n v="183"/>
    <n v="741"/>
    <n v="0"/>
    <n v="0"/>
    <n v="0"/>
    <n v="366"/>
    <n v="549"/>
    <n v="366"/>
    <s v=""/>
    <n v="0"/>
  </r>
  <r>
    <s v="MMR001CMP058"/>
    <x v="3"/>
    <s v="Mandalay Monestry"/>
    <s v="Momauk"/>
    <n v="4"/>
    <n v="16"/>
    <n v="0"/>
    <n v="0"/>
    <n v="0"/>
    <n v="8"/>
    <n v="12"/>
    <n v="8"/>
    <s v=""/>
    <n v="0"/>
  </r>
  <r>
    <s v="MMR001CMP077"/>
    <x v="3"/>
    <s v="Mang Hawng Baptist Church"/>
    <s v="Mogaung"/>
    <n v="14"/>
    <n v="61"/>
    <n v="0"/>
    <n v="0"/>
    <n v="0"/>
    <n v="28"/>
    <n v="42"/>
    <n v="28"/>
    <s v=""/>
    <n v="0"/>
  </r>
  <r>
    <s v="MMR001CMP066"/>
    <x v="3"/>
    <s v="Mansi Baptist Church"/>
    <s v="Mansi"/>
    <n v="130"/>
    <n v="563"/>
    <n v="0"/>
    <n v="0"/>
    <n v="0"/>
    <n v="260"/>
    <n v="390"/>
    <n v="260"/>
    <s v=""/>
    <n v="0"/>
  </r>
  <r>
    <s v="MMR001CMP020"/>
    <x v="3"/>
    <s v="Maw Hpawng Hka Nan Baptist Church"/>
    <s v="Myitkyina"/>
    <n v="26"/>
    <n v="110"/>
    <n v="0"/>
    <n v="0"/>
    <n v="0"/>
    <n v="52"/>
    <n v="78"/>
    <n v="52"/>
    <s v=""/>
    <n v="0"/>
  </r>
  <r>
    <s v="MMR001CMP021"/>
    <x v="3"/>
    <s v="Maw Hpawng Lhaovo Baptist Church"/>
    <s v="Myitkyina"/>
    <n v="21"/>
    <n v="103"/>
    <n v="0"/>
    <n v="0"/>
    <n v="0"/>
    <n v="42"/>
    <n v="63"/>
    <n v="42"/>
    <s v=""/>
    <n v="0"/>
  </r>
  <r>
    <s v="MMR001CMP091"/>
    <x v="3"/>
    <s v="Maw Wan, Mu-yin Baptist Church"/>
    <s v="Hpakant"/>
    <n v="5"/>
    <n v="23"/>
    <n v="11"/>
    <n v="15"/>
    <n v="0"/>
    <n v="0"/>
    <n v="0"/>
    <n v="10"/>
    <s v="No"/>
    <n v="0"/>
  </r>
  <r>
    <s v="MMR001CMP056"/>
    <x v="3"/>
    <s v="Momauk Baptist Church"/>
    <s v="Momauk"/>
    <n v="403"/>
    <n v="1798"/>
    <n v="0"/>
    <n v="0"/>
    <n v="0"/>
    <n v="806"/>
    <n v="1209"/>
    <n v="806"/>
    <s v=""/>
    <n v="0"/>
  </r>
  <r>
    <s v="MMR001CMP057"/>
    <x v="3"/>
    <s v="Momauk Catholic Church (St. Patrick)"/>
    <s v="Momauk"/>
    <n v="0"/>
    <n v="0"/>
    <n v="0"/>
    <n v="0"/>
    <n v="0"/>
    <n v="0"/>
    <n v="0"/>
    <n v="0"/>
    <s v=""/>
    <n v="0"/>
  </r>
  <r>
    <s v="MMR015CMP213"/>
    <x v="3"/>
    <s v="Muse Baptist Church"/>
    <s v="Muse"/>
    <n v="81"/>
    <n v="306"/>
    <n v="0"/>
    <n v="0"/>
    <n v="0"/>
    <n v="162"/>
    <n v="243"/>
    <n v="162"/>
    <s v=""/>
    <n v="0"/>
  </r>
  <r>
    <s v="MMR015CMP216"/>
    <x v="3"/>
    <s v="Muse Catholic Church"/>
    <s v="Muse"/>
    <n v="41"/>
    <n v="151"/>
    <n v="0"/>
    <n v="0"/>
    <n v="0"/>
    <n v="82"/>
    <n v="123"/>
    <n v="82"/>
    <s v=""/>
    <n v="0"/>
  </r>
  <r>
    <s v="MMR001CMP051"/>
    <x v="3"/>
    <s v="Mu-yin Baptist Church"/>
    <s v="Bhamo"/>
    <n v="16"/>
    <n v="66"/>
    <n v="0"/>
    <n v="0"/>
    <n v="0"/>
    <n v="32"/>
    <n v="48"/>
    <n v="32"/>
    <s v=""/>
    <n v="0"/>
  </r>
  <r>
    <s v="MMR001CMP017"/>
    <x v="3"/>
    <s v="Myay Myint Baptist Church"/>
    <s v="Myitkyina"/>
    <n v="12"/>
    <n v="53"/>
    <n v="0"/>
    <n v="0"/>
    <n v="0"/>
    <n v="24"/>
    <n v="36"/>
    <n v="24"/>
    <s v=""/>
    <n v="0"/>
  </r>
  <r>
    <s v="MMR001CMP061"/>
    <x v="3"/>
    <s v="Myo Thit "/>
    <s v="Momauk"/>
    <n v="13"/>
    <n v="53"/>
    <n v="0"/>
    <n v="0"/>
    <n v="0"/>
    <n v="26"/>
    <n v="39"/>
    <n v="26"/>
    <s v=""/>
    <n v="0"/>
  </r>
  <r>
    <s v="MMR015CMP214"/>
    <x v="3"/>
    <s v="Nam Hkam (KBC Jaw Wang) II"/>
    <s v="Namhkan"/>
    <n v="49"/>
    <n v="232"/>
    <n v="0"/>
    <n v="0"/>
    <n v="0"/>
    <n v="98"/>
    <n v="147"/>
    <n v="98"/>
    <s v=""/>
    <n v="0"/>
  </r>
  <r>
    <s v="MMR001CMP192"/>
    <x v="3"/>
    <s v="Nam Ma Phyit, COC"/>
    <s v="Hpakant"/>
    <n v="17"/>
    <n v="63"/>
    <n v="50"/>
    <n v="17"/>
    <n v="0"/>
    <n v="0"/>
    <n v="34"/>
    <n v="34"/>
    <s v="No"/>
    <n v="0"/>
  </r>
  <r>
    <s v="MMR015CMP215"/>
    <x v="3"/>
    <s v="Namhkan - Pang Long KBC"/>
    <s v="Namhkan"/>
    <n v="148"/>
    <n v="563"/>
    <n v="0"/>
    <n v="0"/>
    <n v="0"/>
    <n v="296"/>
    <n v="444"/>
    <n v="296"/>
    <s v=""/>
    <n v="0"/>
  </r>
  <r>
    <s v="MMR001CMP024"/>
    <x v="3"/>
    <s v="Nan Kway St. John Catholic Church"/>
    <s v="Myitkyina"/>
    <n v="72"/>
    <n v="359"/>
    <n v="0"/>
    <n v="0"/>
    <n v="0"/>
    <n v="144"/>
    <n v="216"/>
    <n v="144"/>
    <s v=""/>
    <n v="0"/>
  </r>
  <r>
    <s v="MMR001CMP054"/>
    <x v="3"/>
    <s v="Nant Hlaing Church"/>
    <s v="Bhamo"/>
    <n v="23"/>
    <n v="117"/>
    <n v="0"/>
    <n v="0"/>
    <n v="0"/>
    <n v="46"/>
    <n v="69"/>
    <n v="46"/>
    <s v=""/>
    <n v="0"/>
  </r>
  <r>
    <s v="MMR001CMP103"/>
    <x v="3"/>
    <s v="Nant Ma Hpit Catholic Church"/>
    <s v="Hpakant"/>
    <n v="55"/>
    <n v="267"/>
    <n v="117"/>
    <n v="65"/>
    <n v="0"/>
    <n v="0"/>
    <n v="100"/>
    <n v="110"/>
    <s v="No"/>
    <n v="0"/>
  </r>
  <r>
    <s v="MMR001CMP081"/>
    <x v="3"/>
    <s v="Nant Mun"/>
    <s v="Mohnyin"/>
    <n v="0"/>
    <n v="0"/>
    <n v="0"/>
    <n v="0"/>
    <n v="0"/>
    <n v="0"/>
    <n v="0"/>
    <n v="0"/>
    <s v=""/>
    <n v="0"/>
  </r>
  <r>
    <s v="MMR015CMP207"/>
    <x v="3"/>
    <s v="Narte"/>
    <s v="Hseni"/>
    <n v="67"/>
    <n v="392"/>
    <n v="0"/>
    <n v="0"/>
    <n v="0"/>
    <n v="134"/>
    <n v="201"/>
    <n v="134"/>
    <s v=""/>
    <n v="0"/>
  </r>
  <r>
    <s v="MMR001CMP079"/>
    <x v="3"/>
    <s v="Nat Gyi Kone Baptist Church "/>
    <s v="Mogaung"/>
    <n v="12"/>
    <n v="37"/>
    <n v="0"/>
    <n v="0"/>
    <n v="0"/>
    <n v="24"/>
    <n v="36"/>
    <n v="24"/>
    <s v=""/>
    <n v="0"/>
  </r>
  <r>
    <s v="MMR001CMP033"/>
    <x v="3"/>
    <s v="Nawng Hee Village"/>
    <s v="Waingmaw"/>
    <n v="18"/>
    <n v="77"/>
    <n v="0"/>
    <n v="0"/>
    <n v="0"/>
    <n v="36"/>
    <n v="54"/>
    <n v="36"/>
    <s v=""/>
    <n v="0"/>
  </r>
  <r>
    <s v="MMR001CMP152"/>
    <x v="3"/>
    <s v="Nawng Ing (Indawgyi) Baptist Church  "/>
    <s v="Mohnyin"/>
    <n v="21"/>
    <n v="97"/>
    <n v="0"/>
    <n v="0"/>
    <n v="0"/>
    <n v="42"/>
    <n v="63"/>
    <n v="42"/>
    <s v=""/>
    <n v="0"/>
  </r>
  <r>
    <s v="MMR001CMP059"/>
    <x v="3"/>
    <s v="Ni Thaw Ka Monestry"/>
    <s v="Momauk"/>
    <n v="23"/>
    <n v="86"/>
    <n v="0"/>
    <n v="0"/>
    <n v="0"/>
    <n v="46"/>
    <n v="69"/>
    <n v="46"/>
    <s v=""/>
    <n v="0"/>
  </r>
  <r>
    <s v="MMR001CMP002"/>
    <x v="3"/>
    <s v="Njang Dung Baptist Church "/>
    <s v="Myitkyina"/>
    <n v="57"/>
    <n v="233"/>
    <n v="0"/>
    <n v="0"/>
    <n v="0"/>
    <n v="114"/>
    <n v="171"/>
    <n v="114"/>
    <s v=""/>
    <n v="0"/>
  </r>
  <r>
    <s v="MMR001CMP162"/>
    <x v="3"/>
    <s v="Pa Dauk Myaing(Pa La Na)"/>
    <s v="Myitkyina"/>
    <n v="29"/>
    <n v="176"/>
    <n v="323"/>
    <n v="178"/>
    <n v="0"/>
    <n v="0"/>
    <n v="0"/>
    <n v="58"/>
    <s v="No"/>
    <n v="0"/>
  </r>
  <r>
    <s v="MMR001CMP193"/>
    <x v="3"/>
    <s v="Phan Khar Kone"/>
    <s v="Bhamo"/>
    <n v="180"/>
    <n v="819"/>
    <n v="0"/>
    <n v="0"/>
    <n v="0"/>
    <n v="360"/>
    <n v="540"/>
    <n v="360"/>
    <s v=""/>
    <n v="0"/>
  </r>
  <r>
    <s v="MMR001CMP065"/>
    <x v="3"/>
    <s v="Phar Kay/Nant Waing "/>
    <s v="Momauk"/>
    <n v="39"/>
    <n v="176"/>
    <n v="0"/>
    <n v="0"/>
    <n v="0"/>
    <n v="78"/>
    <n v="117"/>
    <n v="78"/>
    <s v=""/>
    <n v="0"/>
  </r>
  <r>
    <s v="MMR001CMP032"/>
    <x v="3"/>
    <s v="Qtr. 2 Lhaovo Baptist Church"/>
    <s v="Waingmaw"/>
    <n v="120"/>
    <n v="378"/>
    <n v="0"/>
    <n v="0"/>
    <n v="0"/>
    <n v="240"/>
    <n v="360"/>
    <n v="240"/>
    <s v=""/>
    <n v="0"/>
  </r>
  <r>
    <s v="MMR001CMP025"/>
    <x v="3"/>
    <s v="Qtr. 2 Myoma Baptist Church"/>
    <s v="Waingmaw"/>
    <n v="83"/>
    <n v="373"/>
    <n v="0"/>
    <n v="0"/>
    <n v="0"/>
    <n v="166"/>
    <n v="249"/>
    <n v="166"/>
    <s v=""/>
    <n v="0"/>
  </r>
  <r>
    <s v="MMR001CMP030"/>
    <x v="3"/>
    <s v="Qtr. 3 Mu-yin  Baptist Church"/>
    <s v="Waingmaw"/>
    <n v="23"/>
    <n v="153"/>
    <n v="0"/>
    <n v="0"/>
    <n v="0"/>
    <n v="46"/>
    <n v="69"/>
    <n v="46"/>
    <s v=""/>
    <n v="0"/>
  </r>
  <r>
    <s v="MMR001CMP026"/>
    <x v="3"/>
    <s v="Qtr. 4 Monestry (Thargaya Thayett Taw)"/>
    <s v="Waingmaw"/>
    <n v="102"/>
    <n v="552"/>
    <n v="0"/>
    <n v="0"/>
    <n v="0"/>
    <n v="204"/>
    <n v="306"/>
    <n v="204"/>
    <s v=""/>
    <n v="0"/>
  </r>
  <r>
    <s v="MMR001CMP182"/>
    <x v="3"/>
    <s v="Rawan Baptist Church, Maw Shan Vil., Seik Mu"/>
    <s v="Hpakant"/>
    <n v="12"/>
    <n v="51"/>
    <n v="26"/>
    <n v="14"/>
    <n v="0"/>
    <n v="0"/>
    <n v="22"/>
    <n v="24"/>
    <s v="No"/>
    <n v="0"/>
  </r>
  <r>
    <s v="MMR001CMP047"/>
    <x v="3"/>
    <s v="Robert Church"/>
    <s v="Bhamo"/>
    <n v="646"/>
    <n v="3609"/>
    <n v="0"/>
    <n v="0"/>
    <n v="0"/>
    <n v="1292"/>
    <n v="1938"/>
    <n v="1292"/>
    <s v=""/>
    <n v="0"/>
  </r>
  <r>
    <s v="MMR001CMP183"/>
    <x v="3"/>
    <s v="Sai Nai Baptish Church, Maw Shan Vil., Seki Mu"/>
    <s v="Hpakant"/>
    <n v="9"/>
    <n v="40"/>
    <n v="34"/>
    <n v="9"/>
    <n v="0"/>
    <n v="0"/>
    <n v="18"/>
    <n v="18"/>
    <s v="No"/>
    <n v="0"/>
  </r>
  <r>
    <s v="MMR001CMP006"/>
    <x v="3"/>
    <s v="Shatapru Sut Ngai Tawng"/>
    <s v="Myitkyina"/>
    <n v="106"/>
    <n v="390"/>
    <n v="0"/>
    <n v="0"/>
    <n v="0"/>
    <n v="212"/>
    <n v="318"/>
    <n v="212"/>
    <s v=""/>
    <n v="0"/>
  </r>
  <r>
    <s v="MMR001CMP007"/>
    <x v="3"/>
    <s v="Shatapru Thida Aye Baptist Church"/>
    <s v="Myitkyina"/>
    <n v="15"/>
    <n v="73"/>
    <n v="0"/>
    <n v="0"/>
    <n v="0"/>
    <n v="30"/>
    <n v="45"/>
    <n v="30"/>
    <s v=""/>
    <n v="0"/>
  </r>
  <r>
    <s v="MMR001CMP067"/>
    <x v="3"/>
    <s v="Shwe Gu Baptist Church"/>
    <s v="Shwegu"/>
    <n v="79"/>
    <n v="552"/>
    <n v="0"/>
    <n v="0"/>
    <n v="0"/>
    <n v="158"/>
    <n v="237"/>
    <n v="158"/>
    <s v=""/>
    <n v="0"/>
  </r>
  <r>
    <s v="MMR001CMP068"/>
    <x v="3"/>
    <s v="Shwe Gu Catholic Church"/>
    <s v="Shwegu"/>
    <n v="42"/>
    <n v="150"/>
    <n v="0"/>
    <n v="0"/>
    <n v="0"/>
    <n v="84"/>
    <n v="126"/>
    <n v="84"/>
    <s v=""/>
    <n v="0"/>
  </r>
  <r>
    <s v="MMR001CMP009"/>
    <x v="3"/>
    <s v="Shwe Zet Baptist Church"/>
    <s v="Myitkyina"/>
    <n v="84"/>
    <n v="401"/>
    <n v="0"/>
    <n v="0"/>
    <n v="0"/>
    <n v="168"/>
    <n v="252"/>
    <n v="168"/>
    <s v=""/>
    <n v="0"/>
  </r>
  <r>
    <s v="MMR001CMP080"/>
    <x v="3"/>
    <s v="St. Patrick Catholic Church "/>
    <s v="Mohnyin"/>
    <n v="12"/>
    <n v="53"/>
    <n v="0"/>
    <n v="0"/>
    <n v="0"/>
    <n v="24"/>
    <n v="36"/>
    <n v="24"/>
    <s v=""/>
    <n v="0"/>
  </r>
  <r>
    <s v="MMR001CMP206"/>
    <x v="3"/>
    <s v="Sumprabum"/>
    <s v="Sumprabum"/>
    <n v="5"/>
    <n v="32"/>
    <n v="91"/>
    <n v="32"/>
    <n v="0"/>
    <n v="0"/>
    <n v="0"/>
    <n v="10"/>
    <s v="No"/>
    <n v="0"/>
  </r>
  <r>
    <s v="MMR001CMP055"/>
    <x v="3"/>
    <s v="Ta Gun Taing Monastery (Shwe Kyi Na)"/>
    <s v="Bhamo"/>
    <n v="55"/>
    <n v="276"/>
    <n v="0"/>
    <n v="0"/>
    <n v="0"/>
    <n v="110"/>
    <n v="165"/>
    <n v="110"/>
    <s v=""/>
    <n v="0"/>
  </r>
  <r>
    <s v="MMR001CMP060"/>
    <x v="3"/>
    <s v="Tarli "/>
    <s v="Momauk"/>
    <n v="10"/>
    <n v="38"/>
    <n v="0"/>
    <n v="0"/>
    <n v="0"/>
    <n v="20"/>
    <n v="30"/>
    <n v="20"/>
    <s v=""/>
    <n v="0"/>
  </r>
  <r>
    <s v="MMR001CMP001"/>
    <x v="3"/>
    <s v="Tat Kone Baptist Church"/>
    <s v="Myitkyina"/>
    <n v="56"/>
    <n v="262"/>
    <n v="0"/>
    <n v="0"/>
    <n v="0"/>
    <n v="112"/>
    <n v="168"/>
    <n v="112"/>
    <s v=""/>
    <n v="0"/>
  </r>
  <r>
    <s v="MMR001CMP023"/>
    <x v="3"/>
    <s v="Tat Kone COC Baptist - Tat Kone Htoi San"/>
    <s v="Myitkyina"/>
    <n v="69"/>
    <n v="333"/>
    <n v="0"/>
    <n v="0"/>
    <n v="0"/>
    <n v="138"/>
    <n v="207"/>
    <n v="138"/>
    <s v=""/>
    <n v="0"/>
  </r>
  <r>
    <s v="MMR001CMP004"/>
    <x v="3"/>
    <s v="Tat Kone Emanuel Church"/>
    <s v="Myitkyina"/>
    <n v="13"/>
    <n v="60"/>
    <n v="0"/>
    <n v="0"/>
    <n v="0"/>
    <n v="26"/>
    <n v="39"/>
    <n v="26"/>
    <s v=""/>
    <n v="0"/>
  </r>
  <r>
    <s v="MMR001CMP003"/>
    <x v="3"/>
    <s v="Tat Kone Galile Baptist Church"/>
    <s v="Myitkyina"/>
    <n v="30"/>
    <n v="134"/>
    <n v="0"/>
    <n v="0"/>
    <n v="0"/>
    <n v="60"/>
    <n v="90"/>
    <n v="60"/>
    <s v=""/>
    <n v="0"/>
  </r>
  <r>
    <s v="MMR001CMP005"/>
    <x v="3"/>
    <s v="Tat Kone San Pya Baptist Church"/>
    <s v="Myitkyina"/>
    <n v="43"/>
    <n v="198"/>
    <n v="0"/>
    <n v="0"/>
    <n v="0"/>
    <n v="86"/>
    <n v="129"/>
    <n v="86"/>
    <s v=""/>
    <n v="0"/>
  </r>
  <r>
    <s v="MMR001CMP037"/>
    <x v="3"/>
    <s v="Thargaya Lisu Baptist Church"/>
    <s v="Waingmaw"/>
    <n v="72"/>
    <n v="338"/>
    <n v="0"/>
    <n v="0"/>
    <n v="0"/>
    <n v="144"/>
    <n v="216"/>
    <n v="144"/>
    <s v=""/>
    <n v="0"/>
  </r>
  <r>
    <s v="MMR001CMP224"/>
    <x v="3"/>
    <s v="Tharthana Ahlin Yaung New Monastery"/>
    <s v="Bhamo"/>
    <n v="0"/>
    <n v="0"/>
    <n v="0"/>
    <n v="0"/>
    <n v="0"/>
    <n v="0"/>
    <n v="0"/>
    <n v="0"/>
    <s v=""/>
    <n v="0"/>
  </r>
  <r>
    <s v="MMR001CMP038"/>
    <x v="3"/>
    <s v="Waingmaw AG Church"/>
    <s v="Waingmaw"/>
    <n v="75"/>
    <n v="395"/>
    <n v="0"/>
    <n v="0"/>
    <n v="0"/>
    <n v="150"/>
    <n v="225"/>
    <n v="150"/>
    <s v=""/>
    <n v="0"/>
  </r>
  <r>
    <s v="MMR001CMP036"/>
    <x v="3"/>
    <s v="Waingmaw Baptist Zonal Office"/>
    <s v="Waingmaw"/>
    <n v="0"/>
    <n v="150"/>
    <n v="0"/>
    <n v="0"/>
    <n v="0"/>
    <n v="0"/>
    <n v="0"/>
    <n v="0"/>
    <s v=""/>
    <n v="0"/>
  </r>
  <r>
    <s v="MMR001CMP184"/>
    <x v="3"/>
    <s v="Ward 2 Sai Taung Baptist Church, Seik Mu "/>
    <s v="Hpakant"/>
    <n v="39"/>
    <n v="186"/>
    <n v="94"/>
    <n v="58"/>
    <n v="0"/>
    <n v="0"/>
    <n v="59"/>
    <n v="78"/>
    <s v="No"/>
    <n v="0"/>
  </r>
  <r>
    <s v="MMR001CMP116"/>
    <x v="3"/>
    <s v="Woi Chyai "/>
    <s v="Waingmaw"/>
    <n v="880"/>
    <n v="4659"/>
    <n v="1620"/>
    <n v="2840"/>
    <n v="0"/>
    <n v="140"/>
    <n v="0"/>
    <n v="1760"/>
    <s v="No"/>
    <n v="0"/>
  </r>
  <r>
    <s v="MMR001CMP022"/>
    <x v="3"/>
    <s v="Wun Tho Buddhist Monastery"/>
    <s v="Myitkyina"/>
    <n v="6"/>
    <n v="34"/>
    <n v="0"/>
    <n v="0"/>
    <n v="0"/>
    <n v="12"/>
    <n v="18"/>
    <n v="12"/>
    <s v=""/>
    <n v="0"/>
  </r>
  <r>
    <s v="MMR001CMP053"/>
    <x v="3"/>
    <s v="Yoe Kyi Monastery"/>
    <s v="Bhamo"/>
    <n v="19"/>
    <n v="82"/>
    <n v="0"/>
    <n v="0"/>
    <n v="0"/>
    <n v="38"/>
    <n v="57"/>
    <n v="38"/>
    <s v=""/>
    <n v="0"/>
  </r>
  <r>
    <s v="MMR001CMP105"/>
    <x v="3"/>
    <s v="Yumar Baptist Church"/>
    <s v="Hpakant"/>
    <n v="17"/>
    <n v="65"/>
    <n v="33"/>
    <n v="8"/>
    <n v="0"/>
    <n v="1"/>
    <n v="43"/>
    <n v="34"/>
    <s v="No"/>
    <n v="0"/>
  </r>
</pivotCacheRecords>
</file>

<file path=xl/pivotCache/pivotCacheRecords2.xml><?xml version="1.0" encoding="utf-8"?>
<pivotCacheRecords xmlns="http://schemas.openxmlformats.org/spreadsheetml/2006/main" xmlns:r="http://schemas.openxmlformats.org/officeDocument/2006/relationships" count="335">
  <r>
    <d v="2013-12-01T00:00:00"/>
    <x v="0"/>
    <s v="KBC"/>
    <x v="0"/>
    <x v="0"/>
    <x v="0"/>
    <n v="1"/>
    <m/>
    <m/>
    <n v="20"/>
    <n v="20"/>
    <m/>
    <m/>
    <m/>
    <m/>
    <n v="20"/>
    <m/>
    <m/>
    <x v="0"/>
    <x v="0"/>
    <n v="0.25974025974025972"/>
    <s v="NO"/>
    <m/>
  </r>
  <r>
    <m/>
    <x v="1"/>
    <m/>
    <x v="0"/>
    <x v="0"/>
    <x v="0"/>
    <n v="1"/>
    <n v="25"/>
    <n v="25"/>
    <m/>
    <m/>
    <m/>
    <m/>
    <m/>
    <m/>
    <n v="0"/>
    <m/>
    <m/>
    <x v="0"/>
    <x v="0"/>
    <n v="0"/>
    <s v="NO"/>
    <m/>
  </r>
  <r>
    <m/>
    <x v="0"/>
    <s v="KMSS"/>
    <x v="0"/>
    <x v="0"/>
    <x v="0"/>
    <n v="1"/>
    <m/>
    <m/>
    <m/>
    <m/>
    <m/>
    <m/>
    <m/>
    <m/>
    <n v="0"/>
    <n v="44"/>
    <m/>
    <x v="0"/>
    <x v="0"/>
    <n v="0"/>
    <s v="NO"/>
    <m/>
  </r>
  <r>
    <d v="2016-02-16T00:00:00"/>
    <x v="0"/>
    <s v="KMSS"/>
    <x v="0"/>
    <x v="0"/>
    <x v="1"/>
    <n v="1"/>
    <m/>
    <m/>
    <n v="12"/>
    <n v="12"/>
    <m/>
    <m/>
    <m/>
    <m/>
    <n v="12"/>
    <m/>
    <m/>
    <x v="1"/>
    <x v="0"/>
    <n v="0.18181818181818182"/>
    <s v="NO"/>
    <m/>
  </r>
  <r>
    <m/>
    <x v="2"/>
    <s v="KBSS"/>
    <x v="0"/>
    <x v="1"/>
    <x v="2"/>
    <n v="1"/>
    <m/>
    <m/>
    <n v="6"/>
    <n v="6"/>
    <m/>
    <m/>
    <m/>
    <m/>
    <n v="6"/>
    <m/>
    <m/>
    <x v="2"/>
    <x v="0"/>
    <n v="2.1897810218978103E-2"/>
    <s v="NO"/>
    <m/>
  </r>
  <r>
    <m/>
    <x v="0"/>
    <s v="KBSS"/>
    <x v="0"/>
    <x v="1"/>
    <x v="2"/>
    <n v="1"/>
    <m/>
    <m/>
    <n v="144"/>
    <n v="144"/>
    <m/>
    <m/>
    <m/>
    <m/>
    <n v="144"/>
    <m/>
    <m/>
    <x v="2"/>
    <x v="0"/>
    <n v="0.52554744525547448"/>
    <s v="NO"/>
    <m/>
  </r>
  <r>
    <m/>
    <x v="0"/>
    <m/>
    <x v="0"/>
    <x v="1"/>
    <x v="2"/>
    <n v="1"/>
    <m/>
    <m/>
    <n v="20"/>
    <n v="20"/>
    <m/>
    <m/>
    <m/>
    <m/>
    <n v="20"/>
    <m/>
    <m/>
    <x v="2"/>
    <x v="0"/>
    <n v="7.2992700729927001E-2"/>
    <s v="NO"/>
    <m/>
  </r>
  <r>
    <d v="2016-02-16T00:00:00"/>
    <x v="0"/>
    <s v="Shalom"/>
    <x v="0"/>
    <x v="0"/>
    <x v="3"/>
    <n v="1"/>
    <m/>
    <m/>
    <n v="15"/>
    <n v="15"/>
    <m/>
    <m/>
    <m/>
    <m/>
    <n v="15"/>
    <m/>
    <m/>
    <x v="3"/>
    <x v="0"/>
    <n v="0.22388059701492538"/>
    <s v="NO"/>
    <m/>
  </r>
  <r>
    <d v="2014-12-01T00:00:00"/>
    <x v="0"/>
    <s v="Shalom"/>
    <x v="0"/>
    <x v="0"/>
    <x v="3"/>
    <n v="1"/>
    <m/>
    <m/>
    <n v="15"/>
    <n v="15"/>
    <m/>
    <m/>
    <m/>
    <m/>
    <n v="15"/>
    <m/>
    <m/>
    <x v="3"/>
    <x v="0"/>
    <n v="0.22388059701492538"/>
    <s v="NO"/>
    <m/>
  </r>
  <r>
    <d v="2013-12-01T00:00:00"/>
    <x v="0"/>
    <s v="Shalom"/>
    <x v="0"/>
    <x v="0"/>
    <x v="3"/>
    <n v="1"/>
    <m/>
    <m/>
    <n v="25"/>
    <n v="25"/>
    <m/>
    <m/>
    <m/>
    <m/>
    <n v="25"/>
    <m/>
    <m/>
    <x v="3"/>
    <x v="0"/>
    <n v="0.37313432835820898"/>
    <s v="NO"/>
    <m/>
  </r>
  <r>
    <m/>
    <x v="1"/>
    <m/>
    <x v="0"/>
    <x v="0"/>
    <x v="3"/>
    <n v="1"/>
    <n v="10"/>
    <n v="10"/>
    <m/>
    <m/>
    <m/>
    <m/>
    <m/>
    <m/>
    <n v="0"/>
    <m/>
    <m/>
    <x v="3"/>
    <x v="0"/>
    <n v="0"/>
    <s v="NO"/>
    <m/>
  </r>
  <r>
    <m/>
    <x v="0"/>
    <s v="Shalom"/>
    <x v="0"/>
    <x v="0"/>
    <x v="3"/>
    <n v="1"/>
    <m/>
    <m/>
    <n v="5"/>
    <n v="5"/>
    <m/>
    <m/>
    <m/>
    <m/>
    <n v="5"/>
    <m/>
    <m/>
    <x v="3"/>
    <x v="0"/>
    <n v="7.4626865671641784E-2"/>
    <s v="NO"/>
    <m/>
  </r>
  <r>
    <d v="2014-12-01T00:00:00"/>
    <x v="0"/>
    <s v="Shalom"/>
    <x v="0"/>
    <x v="0"/>
    <x v="4"/>
    <n v="1"/>
    <m/>
    <m/>
    <n v="5"/>
    <n v="5"/>
    <m/>
    <m/>
    <m/>
    <m/>
    <n v="5"/>
    <m/>
    <m/>
    <x v="4"/>
    <x v="0"/>
    <n v="0.35714285714285715"/>
    <s v="NO"/>
    <m/>
  </r>
  <r>
    <d v="2013-12-01T00:00:00"/>
    <x v="0"/>
    <s v="Shalom"/>
    <x v="0"/>
    <x v="0"/>
    <x v="4"/>
    <n v="1"/>
    <m/>
    <m/>
    <n v="5"/>
    <n v="5"/>
    <m/>
    <m/>
    <m/>
    <m/>
    <n v="5"/>
    <m/>
    <m/>
    <x v="4"/>
    <x v="0"/>
    <n v="0.35714285714285715"/>
    <s v="NO"/>
    <m/>
  </r>
  <r>
    <m/>
    <x v="0"/>
    <s v="KBSS"/>
    <x v="0"/>
    <x v="1"/>
    <x v="5"/>
    <n v="1"/>
    <m/>
    <m/>
    <n v="32"/>
    <n v="32"/>
    <m/>
    <m/>
    <m/>
    <m/>
    <n v="32"/>
    <m/>
    <m/>
    <x v="5"/>
    <x v="0"/>
    <n v="2.6666666666666665"/>
    <s v="NO"/>
    <m/>
  </r>
  <r>
    <m/>
    <x v="0"/>
    <m/>
    <x v="0"/>
    <x v="1"/>
    <x v="5"/>
    <n v="1"/>
    <m/>
    <m/>
    <n v="10"/>
    <n v="10"/>
    <m/>
    <m/>
    <m/>
    <m/>
    <n v="10"/>
    <m/>
    <m/>
    <x v="5"/>
    <x v="0"/>
    <n v="0.83333333333333337"/>
    <s v="NO"/>
    <m/>
  </r>
  <r>
    <d v="2013-12-01T00:00:00"/>
    <x v="0"/>
    <s v="KBC"/>
    <x v="0"/>
    <x v="0"/>
    <x v="6"/>
    <n v="1"/>
    <m/>
    <m/>
    <n v="20"/>
    <n v="20"/>
    <m/>
    <m/>
    <m/>
    <m/>
    <n v="20"/>
    <m/>
    <m/>
    <x v="6"/>
    <x v="0"/>
    <n v="0.55555555555555558"/>
    <s v="NO"/>
    <m/>
  </r>
  <r>
    <m/>
    <x v="1"/>
    <m/>
    <x v="0"/>
    <x v="0"/>
    <x v="6"/>
    <n v="1"/>
    <n v="10"/>
    <n v="10"/>
    <m/>
    <m/>
    <m/>
    <m/>
    <m/>
    <m/>
    <n v="0"/>
    <m/>
    <m/>
    <x v="6"/>
    <x v="0"/>
    <n v="0"/>
    <s v="NO"/>
    <m/>
  </r>
  <r>
    <d v="2014-12-01T00:00:00"/>
    <x v="0"/>
    <s v="Shalom"/>
    <x v="0"/>
    <x v="0"/>
    <x v="7"/>
    <n v="1"/>
    <m/>
    <m/>
    <n v="5"/>
    <n v="5"/>
    <m/>
    <m/>
    <m/>
    <m/>
    <n v="0"/>
    <m/>
    <m/>
    <x v="7"/>
    <x v="1"/>
    <s v=""/>
    <s v="NO"/>
    <m/>
  </r>
  <r>
    <d v="2013-12-01T00:00:00"/>
    <x v="0"/>
    <s v="Shalom"/>
    <x v="0"/>
    <x v="0"/>
    <x v="7"/>
    <n v="1"/>
    <m/>
    <m/>
    <n v="10"/>
    <n v="10"/>
    <m/>
    <m/>
    <m/>
    <m/>
    <n v="0"/>
    <m/>
    <m/>
    <x v="7"/>
    <x v="1"/>
    <s v=""/>
    <s v="NO"/>
    <m/>
  </r>
  <r>
    <m/>
    <x v="3"/>
    <m/>
    <x v="0"/>
    <x v="0"/>
    <x v="7"/>
    <n v="1"/>
    <m/>
    <m/>
    <n v="10"/>
    <n v="10"/>
    <m/>
    <m/>
    <m/>
    <m/>
    <n v="0"/>
    <m/>
    <m/>
    <x v="7"/>
    <x v="1"/>
    <s v=""/>
    <s v="NO"/>
    <m/>
  </r>
  <r>
    <d v="2013-12-01T00:00:00"/>
    <x v="0"/>
    <s v="KMSS"/>
    <x v="0"/>
    <x v="2"/>
    <x v="8"/>
    <n v="1"/>
    <m/>
    <m/>
    <n v="35"/>
    <n v="35"/>
    <m/>
    <m/>
    <m/>
    <m/>
    <n v="35"/>
    <m/>
    <m/>
    <x v="8"/>
    <x v="0"/>
    <n v="0.22580645161290322"/>
    <s v="NO"/>
    <m/>
  </r>
  <r>
    <m/>
    <x v="1"/>
    <m/>
    <x v="0"/>
    <x v="2"/>
    <x v="8"/>
    <n v="1"/>
    <n v="41"/>
    <n v="41"/>
    <m/>
    <m/>
    <m/>
    <m/>
    <m/>
    <m/>
    <n v="0"/>
    <m/>
    <m/>
    <x v="8"/>
    <x v="0"/>
    <n v="0"/>
    <s v="NO"/>
    <m/>
  </r>
  <r>
    <m/>
    <x v="0"/>
    <s v="KMSS"/>
    <x v="0"/>
    <x v="2"/>
    <x v="8"/>
    <n v="1"/>
    <m/>
    <m/>
    <n v="202"/>
    <n v="202"/>
    <m/>
    <m/>
    <m/>
    <m/>
    <n v="202"/>
    <m/>
    <m/>
    <x v="8"/>
    <x v="0"/>
    <n v="1.3032258064516129"/>
    <s v="NO"/>
    <m/>
  </r>
  <r>
    <d v="2014-12-01T00:00:00"/>
    <x v="0"/>
    <s v="KBC"/>
    <x v="0"/>
    <x v="3"/>
    <x v="9"/>
    <n v="1"/>
    <m/>
    <m/>
    <n v="90"/>
    <n v="90"/>
    <m/>
    <m/>
    <m/>
    <m/>
    <n v="90"/>
    <m/>
    <m/>
    <x v="9"/>
    <x v="0"/>
    <n v="0.36734693877551022"/>
    <s v="NO"/>
    <m/>
  </r>
  <r>
    <d v="2014-06-01T00:00:00"/>
    <x v="0"/>
    <s v="KMSS"/>
    <x v="0"/>
    <x v="3"/>
    <x v="9"/>
    <n v="1"/>
    <m/>
    <m/>
    <n v="100"/>
    <n v="100"/>
    <m/>
    <m/>
    <m/>
    <m/>
    <n v="100"/>
    <m/>
    <m/>
    <x v="9"/>
    <x v="0"/>
    <n v="0.40816326530612246"/>
    <s v="NO"/>
    <m/>
  </r>
  <r>
    <m/>
    <x v="0"/>
    <m/>
    <x v="0"/>
    <x v="3"/>
    <x v="9"/>
    <n v="1"/>
    <m/>
    <m/>
    <n v="150"/>
    <m/>
    <m/>
    <m/>
    <m/>
    <m/>
    <n v="0"/>
    <m/>
    <m/>
    <x v="9"/>
    <x v="0"/>
    <n v="0"/>
    <s v="NO"/>
    <m/>
  </r>
  <r>
    <d v="2014-12-01T00:00:00"/>
    <x v="0"/>
    <s v="KBC"/>
    <x v="0"/>
    <x v="3"/>
    <x v="10"/>
    <n v="1"/>
    <m/>
    <m/>
    <n v="120"/>
    <n v="120"/>
    <m/>
    <m/>
    <m/>
    <m/>
    <n v="120"/>
    <m/>
    <m/>
    <x v="10"/>
    <x v="0"/>
    <n v="0.54794520547945202"/>
    <s v="NO"/>
    <m/>
  </r>
  <r>
    <d v="2014-12-01T00:00:00"/>
    <x v="0"/>
    <s v="Shalom"/>
    <x v="0"/>
    <x v="0"/>
    <x v="11"/>
    <n v="1"/>
    <m/>
    <m/>
    <n v="2"/>
    <n v="2"/>
    <m/>
    <m/>
    <m/>
    <m/>
    <n v="2"/>
    <m/>
    <m/>
    <x v="11"/>
    <x v="0"/>
    <n v="0.33333333333333331"/>
    <s v="NO"/>
    <m/>
  </r>
  <r>
    <d v="2013-12-01T00:00:00"/>
    <x v="0"/>
    <s v="Shalom"/>
    <x v="0"/>
    <x v="0"/>
    <x v="11"/>
    <n v="1"/>
    <m/>
    <m/>
    <n v="4"/>
    <n v="4"/>
    <m/>
    <m/>
    <m/>
    <m/>
    <n v="4"/>
    <m/>
    <m/>
    <x v="11"/>
    <x v="0"/>
    <n v="0.66666666666666663"/>
    <s v="NO"/>
    <m/>
  </r>
  <r>
    <d v="2014-12-01T00:00:00"/>
    <x v="0"/>
    <s v="Shalom"/>
    <x v="0"/>
    <x v="4"/>
    <x v="12"/>
    <n v="1"/>
    <m/>
    <m/>
    <n v="5"/>
    <n v="5"/>
    <m/>
    <m/>
    <m/>
    <m/>
    <n v="5"/>
    <m/>
    <m/>
    <x v="12"/>
    <x v="0"/>
    <n v="4.5871559633027525E-2"/>
    <s v="NO"/>
    <m/>
  </r>
  <r>
    <m/>
    <x v="4"/>
    <s v="Shalom"/>
    <x v="0"/>
    <x v="4"/>
    <x v="12"/>
    <n v="1"/>
    <m/>
    <m/>
    <n v="82"/>
    <n v="82"/>
    <m/>
    <m/>
    <m/>
    <m/>
    <n v="82"/>
    <m/>
    <m/>
    <x v="12"/>
    <x v="0"/>
    <n v="0.75229357798165142"/>
    <s v="NO"/>
    <m/>
  </r>
  <r>
    <m/>
    <x v="0"/>
    <s v="Shalom"/>
    <x v="0"/>
    <x v="4"/>
    <x v="12"/>
    <n v="1"/>
    <m/>
    <m/>
    <n v="20"/>
    <n v="20"/>
    <m/>
    <m/>
    <m/>
    <m/>
    <n v="20"/>
    <m/>
    <m/>
    <x v="12"/>
    <x v="0"/>
    <n v="0.1834862385321101"/>
    <s v="NO"/>
    <m/>
  </r>
  <r>
    <d v="2014-12-01T00:00:00"/>
    <x v="0"/>
    <s v="Shalom"/>
    <x v="0"/>
    <x v="0"/>
    <x v="13"/>
    <n v="1"/>
    <m/>
    <m/>
    <n v="45"/>
    <n v="45"/>
    <m/>
    <m/>
    <m/>
    <m/>
    <n v="45"/>
    <m/>
    <m/>
    <x v="13"/>
    <x v="0"/>
    <n v="0.68181818181818177"/>
    <s v="NO"/>
    <m/>
  </r>
  <r>
    <d v="2014-06-01T00:00:00"/>
    <x v="0"/>
    <s v="Shalom"/>
    <x v="0"/>
    <x v="0"/>
    <x v="13"/>
    <n v="1"/>
    <m/>
    <m/>
    <n v="20"/>
    <n v="20"/>
    <m/>
    <m/>
    <m/>
    <m/>
    <n v="20"/>
    <m/>
    <m/>
    <x v="13"/>
    <x v="0"/>
    <n v="0.30303030303030304"/>
    <s v="NO"/>
    <m/>
  </r>
  <r>
    <m/>
    <x v="1"/>
    <m/>
    <x v="0"/>
    <x v="0"/>
    <x v="13"/>
    <n v="1"/>
    <n v="5"/>
    <n v="5"/>
    <m/>
    <m/>
    <m/>
    <m/>
    <m/>
    <m/>
    <n v="0"/>
    <m/>
    <m/>
    <x v="13"/>
    <x v="0"/>
    <n v="0"/>
    <s v="NO"/>
    <m/>
  </r>
  <r>
    <m/>
    <x v="0"/>
    <s v="Shalom"/>
    <x v="0"/>
    <x v="0"/>
    <x v="13"/>
    <n v="1"/>
    <m/>
    <m/>
    <n v="10"/>
    <n v="10"/>
    <m/>
    <m/>
    <m/>
    <m/>
    <n v="10"/>
    <m/>
    <m/>
    <x v="13"/>
    <x v="0"/>
    <n v="0.15151515151515152"/>
    <s v="NO"/>
    <m/>
  </r>
  <r>
    <d v="2016-02-16T00:00:00"/>
    <x v="0"/>
    <s v="KBC"/>
    <x v="0"/>
    <x v="5"/>
    <x v="14"/>
    <n v="1"/>
    <m/>
    <m/>
    <m/>
    <m/>
    <m/>
    <m/>
    <m/>
    <m/>
    <n v="0"/>
    <n v="13"/>
    <n v="13"/>
    <x v="14"/>
    <x v="0"/>
    <n v="0"/>
    <s v="NO"/>
    <s v="Du Kahtawng Qtr. 14,4,5 (combined as one camp)"/>
  </r>
  <r>
    <m/>
    <x v="0"/>
    <m/>
    <x v="0"/>
    <x v="5"/>
    <x v="14"/>
    <n v="1"/>
    <m/>
    <m/>
    <n v="3"/>
    <n v="3"/>
    <m/>
    <m/>
    <m/>
    <m/>
    <n v="3"/>
    <m/>
    <m/>
    <x v="14"/>
    <x v="0"/>
    <n v="0.5"/>
    <s v="NO"/>
    <m/>
  </r>
  <r>
    <m/>
    <x v="0"/>
    <m/>
    <x v="0"/>
    <x v="5"/>
    <x v="15"/>
    <n v="1"/>
    <m/>
    <m/>
    <n v="6"/>
    <n v="6"/>
    <m/>
    <m/>
    <m/>
    <m/>
    <n v="6"/>
    <m/>
    <m/>
    <x v="15"/>
    <x v="0"/>
    <n v="1"/>
    <s v="NO"/>
    <m/>
  </r>
  <r>
    <m/>
    <x v="0"/>
    <m/>
    <x v="0"/>
    <x v="5"/>
    <x v="16"/>
    <n v="1"/>
    <m/>
    <m/>
    <n v="3"/>
    <n v="3"/>
    <m/>
    <m/>
    <m/>
    <m/>
    <n v="3"/>
    <m/>
    <m/>
    <x v="16"/>
    <x v="0"/>
    <n v="7.1428571428571425E-2"/>
    <s v="NO"/>
    <m/>
  </r>
  <r>
    <d v="2016-02-16T00:00:00"/>
    <x v="0"/>
    <s v="KMSS"/>
    <x v="0"/>
    <x v="6"/>
    <x v="17"/>
    <n v="1"/>
    <m/>
    <m/>
    <n v="82"/>
    <n v="82"/>
    <m/>
    <m/>
    <m/>
    <m/>
    <n v="82"/>
    <m/>
    <m/>
    <x v="17"/>
    <x v="0"/>
    <n v="0.73873873873873874"/>
    <s v="NO"/>
    <m/>
  </r>
  <r>
    <m/>
    <x v="0"/>
    <s v="KMSS"/>
    <x v="0"/>
    <x v="6"/>
    <x v="17"/>
    <n v="1"/>
    <m/>
    <m/>
    <n v="123"/>
    <n v="123"/>
    <m/>
    <m/>
    <m/>
    <m/>
    <n v="123"/>
    <m/>
    <m/>
    <x v="17"/>
    <x v="0"/>
    <n v="1.1081081081081081"/>
    <s v="NO"/>
    <m/>
  </r>
  <r>
    <d v="2014-06-19T00:00:00"/>
    <x v="4"/>
    <s v="Shalom"/>
    <x v="0"/>
    <x v="2"/>
    <x v="18"/>
    <n v="1"/>
    <m/>
    <m/>
    <n v="50"/>
    <n v="55"/>
    <m/>
    <m/>
    <m/>
    <m/>
    <n v="55"/>
    <m/>
    <m/>
    <x v="18"/>
    <x v="0"/>
    <n v="0.55555555555555558"/>
    <s v="NO"/>
    <m/>
  </r>
  <r>
    <d v="2013-12-01T00:00:00"/>
    <x v="0"/>
    <s v="Shalom"/>
    <x v="0"/>
    <x v="2"/>
    <x v="18"/>
    <n v="1"/>
    <m/>
    <m/>
    <n v="5"/>
    <n v="5"/>
    <m/>
    <m/>
    <m/>
    <m/>
    <n v="5"/>
    <m/>
    <m/>
    <x v="18"/>
    <x v="0"/>
    <n v="5.0505050505050504E-2"/>
    <s v="NO"/>
    <m/>
  </r>
  <r>
    <m/>
    <x v="0"/>
    <s v="Shalom"/>
    <x v="0"/>
    <x v="2"/>
    <x v="18"/>
    <n v="1"/>
    <m/>
    <m/>
    <n v="45"/>
    <n v="45"/>
    <m/>
    <m/>
    <m/>
    <m/>
    <n v="45"/>
    <m/>
    <m/>
    <x v="18"/>
    <x v="0"/>
    <n v="0.45454545454545453"/>
    <s v="NO"/>
    <m/>
  </r>
  <r>
    <d v="2016-05-12T00:00:00"/>
    <x v="0"/>
    <s v="KBC"/>
    <x v="0"/>
    <x v="2"/>
    <x v="19"/>
    <n v="1"/>
    <m/>
    <m/>
    <m/>
    <m/>
    <m/>
    <m/>
    <m/>
    <m/>
    <n v="0"/>
    <n v="18"/>
    <m/>
    <x v="19"/>
    <x v="0"/>
    <n v="0"/>
    <s v="NO"/>
    <m/>
  </r>
  <r>
    <m/>
    <x v="4"/>
    <s v="Shalom"/>
    <x v="0"/>
    <x v="2"/>
    <x v="19"/>
    <n v="1"/>
    <m/>
    <m/>
    <n v="100"/>
    <n v="100"/>
    <m/>
    <m/>
    <m/>
    <m/>
    <n v="100"/>
    <m/>
    <m/>
    <x v="19"/>
    <x v="0"/>
    <n v="0.68493150684931503"/>
    <s v="NO"/>
    <m/>
  </r>
  <r>
    <d v="2013-12-01T00:00:00"/>
    <x v="0"/>
    <s v="Shalom"/>
    <x v="0"/>
    <x v="0"/>
    <x v="20"/>
    <n v="1"/>
    <m/>
    <m/>
    <n v="10"/>
    <n v="10"/>
    <m/>
    <m/>
    <m/>
    <m/>
    <n v="10"/>
    <m/>
    <m/>
    <x v="20"/>
    <x v="0"/>
    <n v="1.25"/>
    <s v="NO"/>
    <m/>
  </r>
  <r>
    <m/>
    <x v="1"/>
    <m/>
    <x v="0"/>
    <x v="0"/>
    <x v="20"/>
    <n v="1"/>
    <n v="20"/>
    <n v="20"/>
    <m/>
    <m/>
    <m/>
    <m/>
    <m/>
    <m/>
    <n v="0"/>
    <m/>
    <m/>
    <x v="20"/>
    <x v="0"/>
    <n v="0"/>
    <s v="NO"/>
    <m/>
  </r>
  <r>
    <m/>
    <x v="0"/>
    <s v="Shalom"/>
    <x v="0"/>
    <x v="0"/>
    <x v="20"/>
    <n v="1"/>
    <m/>
    <m/>
    <n v="5"/>
    <n v="5"/>
    <m/>
    <m/>
    <m/>
    <m/>
    <n v="5"/>
    <m/>
    <m/>
    <x v="20"/>
    <x v="0"/>
    <n v="0.625"/>
    <s v="NO"/>
    <m/>
  </r>
  <r>
    <m/>
    <x v="0"/>
    <s v="KBC"/>
    <x v="1"/>
    <x v="7"/>
    <x v="21"/>
    <n v="1"/>
    <m/>
    <m/>
    <n v="10"/>
    <n v="10"/>
    <m/>
    <m/>
    <m/>
    <m/>
    <n v="10"/>
    <m/>
    <m/>
    <x v="21"/>
    <x v="0"/>
    <n v="0.3125"/>
    <s v="NO"/>
    <m/>
  </r>
  <r>
    <d v="2016-05-12T00:00:00"/>
    <x v="0"/>
    <s v="KBC"/>
    <x v="0"/>
    <x v="4"/>
    <x v="22"/>
    <n v="1"/>
    <m/>
    <m/>
    <m/>
    <m/>
    <m/>
    <m/>
    <m/>
    <m/>
    <n v="0"/>
    <n v="51"/>
    <m/>
    <x v="22"/>
    <x v="0"/>
    <n v="0"/>
    <s v="NO"/>
    <m/>
  </r>
  <r>
    <d v="2016-02-16T00:00:00"/>
    <x v="0"/>
    <s v="KMSS"/>
    <x v="0"/>
    <x v="6"/>
    <x v="23"/>
    <n v="1"/>
    <m/>
    <m/>
    <m/>
    <m/>
    <m/>
    <m/>
    <m/>
    <m/>
    <n v="0"/>
    <n v="338"/>
    <n v="338"/>
    <x v="23"/>
    <x v="0"/>
    <n v="0"/>
    <s v="NO"/>
    <m/>
  </r>
  <r>
    <d v="2014-12-01T00:00:00"/>
    <x v="0"/>
    <s v="KMSS"/>
    <x v="0"/>
    <x v="6"/>
    <x v="23"/>
    <n v="1"/>
    <m/>
    <m/>
    <n v="280"/>
    <n v="280"/>
    <m/>
    <m/>
    <m/>
    <m/>
    <n v="280"/>
    <m/>
    <m/>
    <x v="23"/>
    <x v="0"/>
    <n v="0.47781569965870307"/>
    <s v="NO"/>
    <m/>
  </r>
  <r>
    <m/>
    <x v="4"/>
    <s v="KMSS"/>
    <x v="0"/>
    <x v="6"/>
    <x v="23"/>
    <n v="1"/>
    <m/>
    <m/>
    <n v="338"/>
    <n v="338"/>
    <m/>
    <m/>
    <m/>
    <m/>
    <n v="338"/>
    <m/>
    <m/>
    <x v="23"/>
    <x v="0"/>
    <n v="0.57679180887372017"/>
    <s v="NO"/>
    <m/>
  </r>
  <r>
    <m/>
    <x v="5"/>
    <m/>
    <x v="0"/>
    <x v="1"/>
    <x v="24"/>
    <n v="1"/>
    <m/>
    <m/>
    <n v="38"/>
    <n v="38"/>
    <m/>
    <m/>
    <m/>
    <m/>
    <n v="38"/>
    <m/>
    <m/>
    <x v="24"/>
    <x v="0"/>
    <n v="0.97435897435897434"/>
    <s v="NO"/>
    <m/>
  </r>
  <r>
    <m/>
    <x v="0"/>
    <m/>
    <x v="0"/>
    <x v="1"/>
    <x v="24"/>
    <n v="1"/>
    <m/>
    <m/>
    <n v="5"/>
    <m/>
    <m/>
    <m/>
    <m/>
    <m/>
    <n v="0"/>
    <m/>
    <m/>
    <x v="24"/>
    <x v="0"/>
    <n v="0"/>
    <s v="NO"/>
    <m/>
  </r>
  <r>
    <d v="2016-05-12T00:00:00"/>
    <x v="0"/>
    <s v="KBC"/>
    <x v="0"/>
    <x v="5"/>
    <x v="25"/>
    <n v="1"/>
    <m/>
    <m/>
    <m/>
    <m/>
    <m/>
    <m/>
    <m/>
    <m/>
    <n v="0"/>
    <n v="10"/>
    <m/>
    <x v="25"/>
    <x v="0"/>
    <n v="0"/>
    <s v="NO"/>
    <m/>
  </r>
  <r>
    <d v="2013-12-01T00:00:00"/>
    <x v="0"/>
    <s v="KBC"/>
    <x v="0"/>
    <x v="5"/>
    <x v="25"/>
    <n v="1"/>
    <m/>
    <m/>
    <n v="30"/>
    <n v="30"/>
    <m/>
    <m/>
    <m/>
    <m/>
    <n v="30"/>
    <m/>
    <m/>
    <x v="25"/>
    <x v="0"/>
    <n v="0.14705882352941177"/>
    <s v="NO"/>
    <m/>
  </r>
  <r>
    <m/>
    <x v="6"/>
    <s v="KMSS"/>
    <x v="0"/>
    <x v="5"/>
    <x v="25"/>
    <n v="1"/>
    <m/>
    <m/>
    <n v="20"/>
    <n v="20"/>
    <m/>
    <m/>
    <m/>
    <m/>
    <n v="20"/>
    <m/>
    <m/>
    <x v="25"/>
    <x v="0"/>
    <n v="9.8039215686274508E-2"/>
    <s v="NO"/>
    <m/>
  </r>
  <r>
    <m/>
    <x v="7"/>
    <s v="KBC"/>
    <x v="0"/>
    <x v="5"/>
    <x v="25"/>
    <n v="1"/>
    <m/>
    <m/>
    <n v="60"/>
    <n v="60"/>
    <m/>
    <m/>
    <m/>
    <m/>
    <n v="60"/>
    <m/>
    <m/>
    <x v="25"/>
    <x v="0"/>
    <n v="0.29411764705882354"/>
    <s v="NO"/>
    <m/>
  </r>
  <r>
    <m/>
    <x v="0"/>
    <m/>
    <x v="0"/>
    <x v="5"/>
    <x v="25"/>
    <n v="1"/>
    <m/>
    <m/>
    <n v="50"/>
    <n v="50"/>
    <m/>
    <m/>
    <m/>
    <m/>
    <n v="50"/>
    <m/>
    <m/>
    <x v="25"/>
    <x v="0"/>
    <n v="0.24509803921568626"/>
    <s v="NO"/>
    <m/>
  </r>
  <r>
    <m/>
    <x v="8"/>
    <s v="KMSS"/>
    <x v="0"/>
    <x v="5"/>
    <x v="26"/>
    <n v="1"/>
    <m/>
    <m/>
    <n v="60"/>
    <n v="60"/>
    <m/>
    <m/>
    <m/>
    <m/>
    <n v="60"/>
    <m/>
    <m/>
    <x v="26"/>
    <x v="0"/>
    <n v="0.58252427184466016"/>
    <s v="NO"/>
    <m/>
  </r>
  <r>
    <m/>
    <x v="0"/>
    <s v="KMSS"/>
    <x v="0"/>
    <x v="5"/>
    <x v="26"/>
    <n v="1"/>
    <m/>
    <m/>
    <n v="20"/>
    <n v="20"/>
    <m/>
    <m/>
    <m/>
    <m/>
    <n v="20"/>
    <m/>
    <m/>
    <x v="26"/>
    <x v="0"/>
    <n v="0.1941747572815534"/>
    <s v="NO"/>
    <m/>
  </r>
  <r>
    <d v="2016-02-22T00:00:00"/>
    <x v="4"/>
    <m/>
    <x v="0"/>
    <x v="6"/>
    <x v="27"/>
    <n v="1"/>
    <m/>
    <m/>
    <n v="118"/>
    <n v="118"/>
    <m/>
    <m/>
    <m/>
    <m/>
    <n v="0"/>
    <m/>
    <m/>
    <x v="27"/>
    <x v="0"/>
    <n v="0"/>
    <s v="YES"/>
    <m/>
  </r>
  <r>
    <d v="2016-02-16T00:00:00"/>
    <x v="0"/>
    <s v="KMSS"/>
    <x v="0"/>
    <x v="6"/>
    <x v="27"/>
    <n v="1"/>
    <m/>
    <m/>
    <m/>
    <m/>
    <m/>
    <m/>
    <m/>
    <m/>
    <n v="0"/>
    <n v="220"/>
    <n v="220"/>
    <x v="27"/>
    <x v="0"/>
    <n v="0"/>
    <s v="NO"/>
    <m/>
  </r>
  <r>
    <d v="2014-12-01T00:00:00"/>
    <x v="0"/>
    <s v="KMSS"/>
    <x v="0"/>
    <x v="6"/>
    <x v="27"/>
    <n v="1"/>
    <m/>
    <m/>
    <n v="278"/>
    <n v="278"/>
    <m/>
    <m/>
    <m/>
    <m/>
    <n v="278"/>
    <m/>
    <m/>
    <x v="27"/>
    <x v="0"/>
    <n v="0.16920267802799757"/>
    <s v="NO"/>
    <m/>
  </r>
  <r>
    <m/>
    <x v="4"/>
    <s v="KMSS"/>
    <x v="0"/>
    <x v="6"/>
    <x v="27"/>
    <n v="1"/>
    <m/>
    <m/>
    <n v="700"/>
    <n v="700"/>
    <m/>
    <m/>
    <m/>
    <m/>
    <n v="700"/>
    <m/>
    <m/>
    <x v="27"/>
    <x v="0"/>
    <n v="0.426049908703591"/>
    <s v="NO"/>
    <m/>
  </r>
  <r>
    <m/>
    <x v="0"/>
    <s v="KBSS"/>
    <x v="0"/>
    <x v="6"/>
    <x v="27"/>
    <n v="1"/>
    <m/>
    <m/>
    <n v="217"/>
    <n v="217"/>
    <m/>
    <m/>
    <m/>
    <m/>
    <n v="217"/>
    <m/>
    <m/>
    <x v="27"/>
    <x v="0"/>
    <n v="0.13207547169811321"/>
    <s v="NO"/>
    <m/>
  </r>
  <r>
    <m/>
    <x v="9"/>
    <s v="MDCG"/>
    <x v="1"/>
    <x v="8"/>
    <x v="28"/>
    <n v="1"/>
    <m/>
    <m/>
    <n v="121"/>
    <n v="121"/>
    <m/>
    <m/>
    <m/>
    <m/>
    <n v="121"/>
    <m/>
    <m/>
    <x v="28"/>
    <x v="0"/>
    <n v="1.375"/>
    <s v="NO"/>
    <m/>
  </r>
  <r>
    <m/>
    <x v="0"/>
    <s v="KBC"/>
    <x v="0"/>
    <x v="0"/>
    <x v="29"/>
    <n v="1"/>
    <m/>
    <m/>
    <n v="50"/>
    <n v="50"/>
    <m/>
    <m/>
    <m/>
    <m/>
    <n v="50"/>
    <m/>
    <m/>
    <x v="29"/>
    <x v="0"/>
    <n v="1"/>
    <s v="NO"/>
    <m/>
  </r>
  <r>
    <m/>
    <x v="5"/>
    <m/>
    <x v="1"/>
    <x v="8"/>
    <x v="30"/>
    <n v="1"/>
    <m/>
    <m/>
    <n v="80"/>
    <n v="80"/>
    <m/>
    <m/>
    <m/>
    <m/>
    <n v="80"/>
    <m/>
    <m/>
    <x v="30"/>
    <x v="0"/>
    <n v="1.2698412698412698"/>
    <s v="NO"/>
    <m/>
  </r>
  <r>
    <m/>
    <x v="5"/>
    <m/>
    <x v="1"/>
    <x v="8"/>
    <x v="31"/>
    <n v="1"/>
    <m/>
    <m/>
    <n v="48"/>
    <n v="48"/>
    <m/>
    <m/>
    <m/>
    <m/>
    <n v="48"/>
    <m/>
    <m/>
    <x v="31"/>
    <x v="0"/>
    <n v="1.5483870967741935"/>
    <s v="NO"/>
    <m/>
  </r>
  <r>
    <m/>
    <x v="0"/>
    <s v="KBC"/>
    <x v="0"/>
    <x v="5"/>
    <x v="32"/>
    <n v="1"/>
    <m/>
    <m/>
    <n v="5"/>
    <n v="5"/>
    <m/>
    <m/>
    <m/>
    <m/>
    <n v="5"/>
    <m/>
    <m/>
    <x v="32"/>
    <x v="0"/>
    <n v="0.11363636363636363"/>
    <s v="NO"/>
    <m/>
  </r>
  <r>
    <m/>
    <x v="0"/>
    <s v="KBC"/>
    <x v="0"/>
    <x v="9"/>
    <x v="33"/>
    <n v="1"/>
    <m/>
    <m/>
    <n v="15"/>
    <n v="15"/>
    <m/>
    <m/>
    <m/>
    <m/>
    <n v="15"/>
    <m/>
    <m/>
    <x v="33"/>
    <x v="0"/>
    <n v="1.1538461538461537"/>
    <s v="NO"/>
    <m/>
  </r>
  <r>
    <d v="2013-12-01T00:00:00"/>
    <x v="0"/>
    <s v="KBSS"/>
    <x v="0"/>
    <x v="3"/>
    <x v="34"/>
    <n v="1"/>
    <m/>
    <m/>
    <n v="60"/>
    <n v="60"/>
    <m/>
    <m/>
    <m/>
    <m/>
    <n v="0"/>
    <m/>
    <m/>
    <x v="34"/>
    <x v="1"/>
    <s v=""/>
    <s v="NO"/>
    <m/>
  </r>
  <r>
    <m/>
    <x v="8"/>
    <s v="KBSS"/>
    <x v="0"/>
    <x v="3"/>
    <x v="34"/>
    <n v="1"/>
    <m/>
    <m/>
    <n v="100"/>
    <n v="100"/>
    <m/>
    <m/>
    <m/>
    <m/>
    <n v="0"/>
    <m/>
    <m/>
    <x v="34"/>
    <x v="1"/>
    <s v=""/>
    <s v="NO"/>
    <m/>
  </r>
  <r>
    <d v="2014-12-01T00:00:00"/>
    <x v="0"/>
    <s v="KBC"/>
    <x v="0"/>
    <x v="3"/>
    <x v="35"/>
    <n v="1"/>
    <m/>
    <m/>
    <n v="118"/>
    <n v="118"/>
    <m/>
    <m/>
    <m/>
    <m/>
    <n v="118"/>
    <m/>
    <m/>
    <x v="35"/>
    <x v="0"/>
    <n v="0.21651376146788992"/>
    <s v="NO"/>
    <m/>
  </r>
  <r>
    <m/>
    <x v="2"/>
    <m/>
    <x v="0"/>
    <x v="3"/>
    <x v="35"/>
    <n v="1"/>
    <m/>
    <m/>
    <n v="26"/>
    <n v="26"/>
    <m/>
    <m/>
    <m/>
    <m/>
    <n v="26"/>
    <m/>
    <m/>
    <x v="35"/>
    <x v="0"/>
    <n v="4.7706422018348627E-2"/>
    <s v="NO"/>
    <m/>
  </r>
  <r>
    <m/>
    <x v="0"/>
    <s v="KBSS"/>
    <x v="0"/>
    <x v="3"/>
    <x v="35"/>
    <n v="1"/>
    <m/>
    <m/>
    <n v="350"/>
    <n v="350"/>
    <m/>
    <m/>
    <m/>
    <m/>
    <n v="350"/>
    <m/>
    <m/>
    <x v="35"/>
    <x v="0"/>
    <n v="0.64220183486238536"/>
    <s v="NO"/>
    <m/>
  </r>
  <r>
    <m/>
    <x v="0"/>
    <m/>
    <x v="0"/>
    <x v="3"/>
    <x v="35"/>
    <n v="1"/>
    <m/>
    <m/>
    <n v="150"/>
    <m/>
    <m/>
    <m/>
    <m/>
    <m/>
    <n v="0"/>
    <m/>
    <m/>
    <x v="35"/>
    <x v="0"/>
    <n v="0"/>
    <s v="NO"/>
    <m/>
  </r>
  <r>
    <m/>
    <x v="6"/>
    <s v="KBC"/>
    <x v="0"/>
    <x v="5"/>
    <x v="36"/>
    <n v="1"/>
    <m/>
    <m/>
    <n v="9"/>
    <n v="9"/>
    <m/>
    <m/>
    <m/>
    <m/>
    <n v="9"/>
    <m/>
    <m/>
    <x v="36"/>
    <x v="0"/>
    <n v="9.375E-2"/>
    <s v="NO"/>
    <m/>
  </r>
  <r>
    <m/>
    <x v="7"/>
    <s v="KBC"/>
    <x v="0"/>
    <x v="5"/>
    <x v="36"/>
    <n v="1"/>
    <m/>
    <m/>
    <n v="5"/>
    <n v="5"/>
    <m/>
    <m/>
    <m/>
    <m/>
    <n v="5"/>
    <m/>
    <m/>
    <x v="36"/>
    <x v="0"/>
    <n v="5.2083333333333336E-2"/>
    <s v="NO"/>
    <m/>
  </r>
  <r>
    <m/>
    <x v="0"/>
    <s v="KBC"/>
    <x v="0"/>
    <x v="5"/>
    <x v="36"/>
    <n v="1"/>
    <m/>
    <m/>
    <n v="10"/>
    <n v="10"/>
    <m/>
    <m/>
    <m/>
    <m/>
    <n v="10"/>
    <m/>
    <m/>
    <x v="36"/>
    <x v="0"/>
    <n v="0.10416666666666667"/>
    <s v="NO"/>
    <m/>
  </r>
  <r>
    <d v="2016-02-16T00:00:00"/>
    <x v="0"/>
    <s v="KBC"/>
    <x v="0"/>
    <x v="5"/>
    <x v="37"/>
    <n v="1"/>
    <m/>
    <m/>
    <m/>
    <m/>
    <m/>
    <m/>
    <m/>
    <m/>
    <n v="0"/>
    <n v="5"/>
    <n v="5"/>
    <x v="37"/>
    <x v="0"/>
    <n v="0"/>
    <s v="NO"/>
    <m/>
  </r>
  <r>
    <m/>
    <x v="7"/>
    <s v="KBC"/>
    <x v="0"/>
    <x v="5"/>
    <x v="37"/>
    <n v="1"/>
    <m/>
    <m/>
    <n v="60"/>
    <n v="60"/>
    <m/>
    <m/>
    <m/>
    <m/>
    <n v="60"/>
    <m/>
    <m/>
    <x v="37"/>
    <x v="0"/>
    <n v="0.43478260869565216"/>
    <s v="NO"/>
    <m/>
  </r>
  <r>
    <m/>
    <x v="0"/>
    <s v="KBC"/>
    <x v="0"/>
    <x v="5"/>
    <x v="37"/>
    <n v="1"/>
    <m/>
    <m/>
    <n v="60"/>
    <n v="60"/>
    <m/>
    <m/>
    <m/>
    <m/>
    <n v="60"/>
    <m/>
    <m/>
    <x v="37"/>
    <x v="0"/>
    <n v="0.43478260869565216"/>
    <s v="NO"/>
    <m/>
  </r>
  <r>
    <m/>
    <x v="0"/>
    <m/>
    <x v="0"/>
    <x v="5"/>
    <x v="37"/>
    <n v="1"/>
    <m/>
    <m/>
    <n v="5"/>
    <n v="5"/>
    <m/>
    <m/>
    <m/>
    <m/>
    <n v="5"/>
    <m/>
    <m/>
    <x v="37"/>
    <x v="0"/>
    <n v="3.6231884057971016E-2"/>
    <s v="NO"/>
    <m/>
  </r>
  <r>
    <d v="2014-12-01T00:00:00"/>
    <x v="0"/>
    <s v="Shalom"/>
    <x v="0"/>
    <x v="4"/>
    <x v="38"/>
    <n v="1"/>
    <m/>
    <m/>
    <n v="35"/>
    <n v="35"/>
    <m/>
    <m/>
    <m/>
    <m/>
    <n v="35"/>
    <m/>
    <m/>
    <x v="38"/>
    <x v="0"/>
    <n v="0.24475524475524477"/>
    <s v="NO"/>
    <m/>
  </r>
  <r>
    <d v="2014-06-01T00:00:00"/>
    <x v="0"/>
    <s v="Shalom"/>
    <x v="0"/>
    <x v="4"/>
    <x v="38"/>
    <n v="1"/>
    <m/>
    <m/>
    <n v="5"/>
    <n v="5"/>
    <m/>
    <m/>
    <m/>
    <m/>
    <n v="5"/>
    <m/>
    <m/>
    <x v="38"/>
    <x v="0"/>
    <n v="3.4965034965034968E-2"/>
    <s v="NO"/>
    <m/>
  </r>
  <r>
    <m/>
    <x v="0"/>
    <s v="Shalom"/>
    <x v="0"/>
    <x v="4"/>
    <x v="38"/>
    <n v="1"/>
    <m/>
    <m/>
    <n v="33"/>
    <n v="33"/>
    <m/>
    <m/>
    <m/>
    <m/>
    <n v="33"/>
    <m/>
    <m/>
    <x v="38"/>
    <x v="0"/>
    <n v="0.23076923076923078"/>
    <s v="NO"/>
    <m/>
  </r>
  <r>
    <d v="2014-12-01T00:00:00"/>
    <x v="0"/>
    <s v="Shalom"/>
    <x v="0"/>
    <x v="0"/>
    <x v="39"/>
    <n v="1"/>
    <m/>
    <m/>
    <n v="5"/>
    <n v="5"/>
    <m/>
    <m/>
    <m/>
    <m/>
    <n v="5"/>
    <m/>
    <m/>
    <x v="39"/>
    <x v="0"/>
    <n v="0.2"/>
    <s v="NO"/>
    <m/>
  </r>
  <r>
    <d v="2014-06-01T00:00:00"/>
    <x v="0"/>
    <s v="Shalom"/>
    <x v="0"/>
    <x v="0"/>
    <x v="39"/>
    <n v="1"/>
    <m/>
    <m/>
    <n v="2"/>
    <n v="2"/>
    <m/>
    <m/>
    <m/>
    <m/>
    <n v="2"/>
    <m/>
    <m/>
    <x v="39"/>
    <x v="0"/>
    <n v="0.08"/>
    <s v="NO"/>
    <m/>
  </r>
  <r>
    <d v="2013-12-01T00:00:00"/>
    <x v="0"/>
    <s v="Shalom"/>
    <x v="0"/>
    <x v="0"/>
    <x v="39"/>
    <n v="1"/>
    <m/>
    <m/>
    <n v="18"/>
    <n v="18"/>
    <m/>
    <m/>
    <m/>
    <m/>
    <n v="18"/>
    <m/>
    <m/>
    <x v="39"/>
    <x v="0"/>
    <n v="0.72"/>
    <s v="NO"/>
    <m/>
  </r>
  <r>
    <d v="2014-12-01T00:00:00"/>
    <x v="0"/>
    <s v="Shalom"/>
    <x v="0"/>
    <x v="0"/>
    <x v="40"/>
    <n v="1"/>
    <m/>
    <m/>
    <n v="15"/>
    <n v="15"/>
    <m/>
    <m/>
    <m/>
    <m/>
    <n v="15"/>
    <m/>
    <m/>
    <x v="40"/>
    <x v="0"/>
    <n v="1"/>
    <s v="NO"/>
    <m/>
  </r>
  <r>
    <d v="2016-02-16T00:00:00"/>
    <x v="0"/>
    <s v="Shalom"/>
    <x v="0"/>
    <x v="1"/>
    <x v="41"/>
    <n v="1"/>
    <m/>
    <m/>
    <n v="15"/>
    <n v="15"/>
    <m/>
    <m/>
    <m/>
    <m/>
    <n v="15"/>
    <m/>
    <m/>
    <x v="41"/>
    <x v="0"/>
    <n v="0.12931034482758622"/>
    <s v="NO"/>
    <m/>
  </r>
  <r>
    <d v="2014-12-01T00:00:00"/>
    <x v="0"/>
    <s v="Shalom"/>
    <x v="0"/>
    <x v="1"/>
    <x v="41"/>
    <n v="1"/>
    <m/>
    <m/>
    <n v="15"/>
    <n v="15"/>
    <m/>
    <m/>
    <m/>
    <m/>
    <n v="15"/>
    <n v="8"/>
    <m/>
    <x v="41"/>
    <x v="0"/>
    <n v="0.12931034482758622"/>
    <s v="NO"/>
    <m/>
  </r>
  <r>
    <d v="2013-12-01T00:00:00"/>
    <x v="0"/>
    <s v="Shalom"/>
    <x v="0"/>
    <x v="1"/>
    <x v="41"/>
    <n v="1"/>
    <m/>
    <m/>
    <n v="10"/>
    <n v="10"/>
    <m/>
    <m/>
    <m/>
    <m/>
    <n v="10"/>
    <m/>
    <m/>
    <x v="41"/>
    <x v="0"/>
    <n v="8.6206896551724144E-2"/>
    <s v="NO"/>
    <m/>
  </r>
  <r>
    <m/>
    <x v="5"/>
    <m/>
    <x v="0"/>
    <x v="1"/>
    <x v="41"/>
    <n v="1"/>
    <m/>
    <m/>
    <n v="12"/>
    <n v="12"/>
    <m/>
    <m/>
    <m/>
    <m/>
    <n v="12"/>
    <m/>
    <m/>
    <x v="41"/>
    <x v="0"/>
    <n v="0.10344827586206896"/>
    <s v="NO"/>
    <m/>
  </r>
  <r>
    <m/>
    <x v="0"/>
    <s v="Metta"/>
    <x v="0"/>
    <x v="1"/>
    <x v="41"/>
    <n v="1"/>
    <m/>
    <m/>
    <n v="30"/>
    <n v="30"/>
    <m/>
    <m/>
    <m/>
    <m/>
    <n v="30"/>
    <m/>
    <m/>
    <x v="41"/>
    <x v="0"/>
    <n v="0.25862068965517243"/>
    <s v="NO"/>
    <m/>
  </r>
  <r>
    <m/>
    <x v="0"/>
    <m/>
    <x v="0"/>
    <x v="1"/>
    <x v="41"/>
    <n v="1"/>
    <m/>
    <m/>
    <n v="15"/>
    <n v="15"/>
    <m/>
    <m/>
    <m/>
    <m/>
    <n v="15"/>
    <m/>
    <m/>
    <x v="41"/>
    <x v="0"/>
    <n v="0.12931034482758622"/>
    <s v="NO"/>
    <m/>
  </r>
  <r>
    <m/>
    <x v="0"/>
    <s v="Shalom"/>
    <x v="0"/>
    <x v="1"/>
    <x v="41"/>
    <n v="1"/>
    <m/>
    <m/>
    <n v="5"/>
    <n v="5"/>
    <m/>
    <m/>
    <m/>
    <m/>
    <n v="5"/>
    <m/>
    <m/>
    <x v="41"/>
    <x v="0"/>
    <n v="4.3103448275862072E-2"/>
    <s v="NO"/>
    <m/>
  </r>
  <r>
    <m/>
    <x v="0"/>
    <m/>
    <x v="0"/>
    <x v="6"/>
    <x v="42"/>
    <n v="1"/>
    <m/>
    <m/>
    <n v="12"/>
    <n v="12"/>
    <m/>
    <m/>
    <m/>
    <m/>
    <n v="12"/>
    <m/>
    <m/>
    <x v="42"/>
    <x v="0"/>
    <n v="0.33333333333333331"/>
    <s v="NO"/>
    <m/>
  </r>
  <r>
    <m/>
    <x v="0"/>
    <s v="KBC"/>
    <x v="0"/>
    <x v="6"/>
    <x v="42"/>
    <n v="1"/>
    <m/>
    <m/>
    <n v="27"/>
    <n v="27"/>
    <m/>
    <m/>
    <m/>
    <m/>
    <n v="27"/>
    <m/>
    <m/>
    <x v="42"/>
    <x v="0"/>
    <n v="0.75"/>
    <s v="NO"/>
    <m/>
  </r>
  <r>
    <d v="2014-12-01T00:00:00"/>
    <x v="0"/>
    <s v="KBC"/>
    <x v="0"/>
    <x v="6"/>
    <x v="43"/>
    <n v="1"/>
    <m/>
    <m/>
    <n v="21"/>
    <n v="21"/>
    <m/>
    <m/>
    <m/>
    <m/>
    <n v="21"/>
    <m/>
    <m/>
    <x v="43"/>
    <x v="0"/>
    <n v="0.16935483870967741"/>
    <s v="NO"/>
    <m/>
  </r>
  <r>
    <m/>
    <x v="8"/>
    <m/>
    <x v="0"/>
    <x v="6"/>
    <x v="43"/>
    <n v="1"/>
    <m/>
    <m/>
    <n v="40"/>
    <n v="40"/>
    <m/>
    <m/>
    <m/>
    <m/>
    <n v="40"/>
    <m/>
    <m/>
    <x v="43"/>
    <x v="0"/>
    <n v="0.32258064516129031"/>
    <s v="NO"/>
    <m/>
  </r>
  <r>
    <m/>
    <x v="0"/>
    <m/>
    <x v="0"/>
    <x v="6"/>
    <x v="43"/>
    <n v="1"/>
    <m/>
    <m/>
    <n v="6"/>
    <n v="6"/>
    <m/>
    <m/>
    <m/>
    <m/>
    <n v="6"/>
    <m/>
    <m/>
    <x v="43"/>
    <x v="0"/>
    <n v="4.8387096774193547E-2"/>
    <s v="NO"/>
    <m/>
  </r>
  <r>
    <d v="2014-06-01T00:00:00"/>
    <x v="0"/>
    <s v="KBC"/>
    <x v="0"/>
    <x v="6"/>
    <x v="44"/>
    <n v="1"/>
    <m/>
    <m/>
    <n v="25"/>
    <n v="25"/>
    <m/>
    <m/>
    <m/>
    <m/>
    <n v="25"/>
    <m/>
    <m/>
    <x v="44"/>
    <x v="0"/>
    <n v="0.13157894736842105"/>
    <s v="NO"/>
    <m/>
  </r>
  <r>
    <m/>
    <x v="0"/>
    <m/>
    <x v="0"/>
    <x v="6"/>
    <x v="44"/>
    <n v="1"/>
    <m/>
    <m/>
    <n v="5"/>
    <n v="57"/>
    <m/>
    <m/>
    <m/>
    <m/>
    <n v="57"/>
    <m/>
    <m/>
    <x v="44"/>
    <x v="0"/>
    <n v="0.3"/>
    <s v="NO"/>
    <m/>
  </r>
  <r>
    <m/>
    <x v="8"/>
    <s v="KBSS"/>
    <x v="0"/>
    <x v="3"/>
    <x v="45"/>
    <n v="1"/>
    <m/>
    <m/>
    <n v="100"/>
    <n v="100"/>
    <m/>
    <m/>
    <m/>
    <m/>
    <n v="0"/>
    <m/>
    <m/>
    <x v="45"/>
    <x v="1"/>
    <s v=""/>
    <s v="NO"/>
    <m/>
  </r>
  <r>
    <d v="2016-05-12T00:00:00"/>
    <x v="0"/>
    <s v="KBC"/>
    <x v="0"/>
    <x v="10"/>
    <x v="46"/>
    <n v="1"/>
    <m/>
    <m/>
    <m/>
    <m/>
    <m/>
    <m/>
    <m/>
    <m/>
    <n v="0"/>
    <n v="2"/>
    <m/>
    <x v="46"/>
    <x v="0"/>
    <n v="0"/>
    <s v="NO"/>
    <m/>
  </r>
  <r>
    <d v="2016-02-16T00:00:00"/>
    <x v="10"/>
    <m/>
    <x v="0"/>
    <x v="10"/>
    <x v="46"/>
    <n v="1"/>
    <m/>
    <m/>
    <n v="60"/>
    <n v="60"/>
    <m/>
    <m/>
    <m/>
    <m/>
    <n v="60"/>
    <m/>
    <m/>
    <x v="46"/>
    <x v="0"/>
    <n v="1.0169491525423728"/>
    <s v="NO"/>
    <m/>
  </r>
  <r>
    <m/>
    <x v="0"/>
    <s v="Shalom"/>
    <x v="0"/>
    <x v="2"/>
    <x v="47"/>
    <n v="1"/>
    <m/>
    <m/>
    <n v="25"/>
    <n v="25"/>
    <m/>
    <m/>
    <m/>
    <m/>
    <n v="25"/>
    <m/>
    <m/>
    <x v="47"/>
    <x v="0"/>
    <n v="1.1363636363636365"/>
    <s v="NO"/>
    <m/>
  </r>
  <r>
    <m/>
    <x v="4"/>
    <s v="KMSS"/>
    <x v="0"/>
    <x v="2"/>
    <x v="48"/>
    <n v="1"/>
    <m/>
    <m/>
    <n v="604"/>
    <n v="604"/>
    <m/>
    <m/>
    <m/>
    <m/>
    <n v="604"/>
    <m/>
    <m/>
    <x v="48"/>
    <x v="0"/>
    <n v="1.0307167235494881"/>
    <s v="NO"/>
    <m/>
  </r>
  <r>
    <m/>
    <x v="3"/>
    <m/>
    <x v="0"/>
    <x v="6"/>
    <x v="49"/>
    <n v="1"/>
    <m/>
    <m/>
    <n v="92"/>
    <n v="92"/>
    <m/>
    <m/>
    <m/>
    <m/>
    <n v="92"/>
    <m/>
    <m/>
    <x v="49"/>
    <x v="0"/>
    <n v="46"/>
    <s v="NO"/>
    <m/>
  </r>
  <r>
    <d v="2013-12-01T00:00:00"/>
    <x v="0"/>
    <s v="Shalom"/>
    <x v="0"/>
    <x v="2"/>
    <x v="50"/>
    <n v="1"/>
    <m/>
    <m/>
    <n v="35"/>
    <n v="35"/>
    <m/>
    <m/>
    <m/>
    <m/>
    <n v="35"/>
    <m/>
    <m/>
    <x v="50"/>
    <x v="0"/>
    <n v="0.24475524475524477"/>
    <s v="NO"/>
    <m/>
  </r>
  <r>
    <m/>
    <x v="0"/>
    <s v="Shalom"/>
    <x v="0"/>
    <x v="2"/>
    <x v="50"/>
    <n v="1"/>
    <m/>
    <m/>
    <n v="54"/>
    <n v="54"/>
    <m/>
    <m/>
    <m/>
    <m/>
    <n v="54"/>
    <m/>
    <m/>
    <x v="50"/>
    <x v="0"/>
    <n v="0.3776223776223776"/>
    <s v="NO"/>
    <m/>
  </r>
  <r>
    <m/>
    <x v="11"/>
    <m/>
    <x v="0"/>
    <x v="2"/>
    <x v="50"/>
    <n v="1"/>
    <m/>
    <m/>
    <n v="18"/>
    <n v="18"/>
    <m/>
    <m/>
    <m/>
    <m/>
    <n v="18"/>
    <m/>
    <m/>
    <x v="50"/>
    <x v="0"/>
    <n v="0.12587412587412589"/>
    <s v="NO"/>
    <m/>
  </r>
  <r>
    <m/>
    <x v="4"/>
    <s v="KMSS"/>
    <x v="0"/>
    <x v="2"/>
    <x v="51"/>
    <n v="1"/>
    <m/>
    <m/>
    <n v="12"/>
    <n v="12"/>
    <m/>
    <m/>
    <m/>
    <m/>
    <n v="12"/>
    <m/>
    <m/>
    <x v="51"/>
    <x v="0"/>
    <n v="5.4054054054054057E-2"/>
    <s v="NO"/>
    <m/>
  </r>
  <r>
    <m/>
    <x v="0"/>
    <s v="KMSS"/>
    <x v="0"/>
    <x v="2"/>
    <x v="51"/>
    <n v="1"/>
    <m/>
    <m/>
    <n v="78"/>
    <n v="78"/>
    <m/>
    <m/>
    <m/>
    <m/>
    <n v="78"/>
    <n v="138"/>
    <m/>
    <x v="51"/>
    <x v="0"/>
    <n v="0.35135135135135137"/>
    <s v="NO"/>
    <m/>
  </r>
  <r>
    <m/>
    <x v="0"/>
    <m/>
    <x v="0"/>
    <x v="2"/>
    <x v="51"/>
    <n v="1"/>
    <m/>
    <m/>
    <n v="120"/>
    <n v="120"/>
    <m/>
    <m/>
    <m/>
    <m/>
    <n v="120"/>
    <m/>
    <m/>
    <x v="51"/>
    <x v="0"/>
    <n v="0.54054054054054057"/>
    <s v="NO"/>
    <m/>
  </r>
  <r>
    <m/>
    <x v="7"/>
    <s v="KBC"/>
    <x v="0"/>
    <x v="2"/>
    <x v="52"/>
    <n v="1"/>
    <m/>
    <m/>
    <n v="50"/>
    <n v="50"/>
    <m/>
    <m/>
    <m/>
    <m/>
    <n v="50"/>
    <m/>
    <m/>
    <x v="52"/>
    <x v="0"/>
    <n v="0.12626262626262627"/>
    <s v="NO"/>
    <m/>
  </r>
  <r>
    <m/>
    <x v="0"/>
    <s v="KBC"/>
    <x v="0"/>
    <x v="2"/>
    <x v="52"/>
    <n v="1"/>
    <m/>
    <m/>
    <n v="400"/>
    <n v="400"/>
    <m/>
    <m/>
    <m/>
    <m/>
    <n v="400"/>
    <m/>
    <m/>
    <x v="52"/>
    <x v="0"/>
    <n v="1.0101010101010102"/>
    <s v="NO"/>
    <m/>
  </r>
  <r>
    <m/>
    <x v="12"/>
    <s v="KBC"/>
    <x v="0"/>
    <x v="2"/>
    <x v="52"/>
    <n v="1"/>
    <m/>
    <m/>
    <n v="10"/>
    <n v="10"/>
    <m/>
    <m/>
    <m/>
    <m/>
    <n v="10"/>
    <m/>
    <m/>
    <x v="52"/>
    <x v="0"/>
    <n v="2.5252525252525252E-2"/>
    <s v="NO"/>
    <m/>
  </r>
  <r>
    <d v="2016-05-12T00:00:00"/>
    <x v="0"/>
    <s v="KBC"/>
    <x v="0"/>
    <x v="2"/>
    <x v="53"/>
    <n v="1"/>
    <m/>
    <m/>
    <m/>
    <m/>
    <m/>
    <m/>
    <m/>
    <m/>
    <n v="0"/>
    <n v="30"/>
    <m/>
    <x v="53"/>
    <x v="0"/>
    <n v="0"/>
    <s v="NO"/>
    <m/>
  </r>
  <r>
    <m/>
    <x v="0"/>
    <s v="KBC"/>
    <x v="0"/>
    <x v="2"/>
    <x v="53"/>
    <n v="1"/>
    <m/>
    <m/>
    <n v="30"/>
    <n v="30"/>
    <m/>
    <m/>
    <m/>
    <m/>
    <n v="30"/>
    <m/>
    <m/>
    <x v="53"/>
    <x v="0"/>
    <n v="0.65217391304347827"/>
    <s v="NO"/>
    <m/>
  </r>
  <r>
    <m/>
    <x v="11"/>
    <m/>
    <x v="0"/>
    <x v="2"/>
    <x v="53"/>
    <n v="1"/>
    <m/>
    <m/>
    <n v="10"/>
    <n v="10"/>
    <m/>
    <m/>
    <m/>
    <m/>
    <n v="10"/>
    <m/>
    <m/>
    <x v="53"/>
    <x v="0"/>
    <n v="0.21739130434782608"/>
    <s v="NO"/>
    <m/>
  </r>
  <r>
    <d v="2016-05-12T00:00:00"/>
    <x v="0"/>
    <s v="KBC"/>
    <x v="0"/>
    <x v="3"/>
    <x v="54"/>
    <n v="1"/>
    <m/>
    <m/>
    <n v="85"/>
    <m/>
    <n v="85"/>
    <m/>
    <m/>
    <m/>
    <n v="85"/>
    <m/>
    <m/>
    <x v="54"/>
    <x v="0"/>
    <n v="0.23287671232876711"/>
    <s v="NO"/>
    <m/>
  </r>
  <r>
    <d v="2014-06-01T00:00:00"/>
    <x v="0"/>
    <s v="KBC"/>
    <x v="0"/>
    <x v="3"/>
    <x v="54"/>
    <n v="1"/>
    <m/>
    <m/>
    <n v="60"/>
    <n v="60"/>
    <m/>
    <m/>
    <m/>
    <m/>
    <n v="60"/>
    <m/>
    <m/>
    <x v="54"/>
    <x v="0"/>
    <n v="0.16438356164383561"/>
    <s v="NO"/>
    <m/>
  </r>
  <r>
    <m/>
    <x v="6"/>
    <s v="KBC"/>
    <x v="0"/>
    <x v="3"/>
    <x v="54"/>
    <n v="1"/>
    <m/>
    <m/>
    <n v="20"/>
    <n v="20"/>
    <m/>
    <m/>
    <m/>
    <m/>
    <n v="20"/>
    <m/>
    <m/>
    <x v="54"/>
    <x v="0"/>
    <n v="5.4794520547945202E-2"/>
    <s v="NO"/>
    <m/>
  </r>
  <r>
    <m/>
    <x v="4"/>
    <m/>
    <x v="0"/>
    <x v="3"/>
    <x v="54"/>
    <n v="1"/>
    <m/>
    <m/>
    <n v="144"/>
    <n v="144"/>
    <m/>
    <m/>
    <m/>
    <m/>
    <n v="144"/>
    <m/>
    <m/>
    <x v="54"/>
    <x v="0"/>
    <n v="0.39452054794520547"/>
    <s v="NO"/>
    <m/>
  </r>
  <r>
    <m/>
    <x v="13"/>
    <m/>
    <x v="0"/>
    <x v="3"/>
    <x v="55"/>
    <n v="1"/>
    <m/>
    <m/>
    <n v="20"/>
    <n v="20"/>
    <m/>
    <m/>
    <m/>
    <m/>
    <n v="20"/>
    <m/>
    <m/>
    <x v="55"/>
    <x v="0"/>
    <n v="0.16260162601626016"/>
    <s v="NO"/>
    <m/>
  </r>
  <r>
    <m/>
    <x v="3"/>
    <m/>
    <x v="0"/>
    <x v="3"/>
    <x v="55"/>
    <n v="1"/>
    <m/>
    <m/>
    <n v="30"/>
    <n v="30"/>
    <m/>
    <m/>
    <m/>
    <m/>
    <n v="30"/>
    <m/>
    <m/>
    <x v="55"/>
    <x v="0"/>
    <n v="0.24390243902439024"/>
    <s v="NO"/>
    <m/>
  </r>
  <r>
    <m/>
    <x v="0"/>
    <s v="KBC"/>
    <x v="0"/>
    <x v="5"/>
    <x v="56"/>
    <n v="1"/>
    <m/>
    <m/>
    <n v="20"/>
    <n v="20"/>
    <m/>
    <m/>
    <m/>
    <m/>
    <n v="20"/>
    <m/>
    <m/>
    <x v="56"/>
    <x v="0"/>
    <n v="0.33333333333333331"/>
    <s v="NO"/>
    <m/>
  </r>
  <r>
    <d v="2014-06-19T00:00:00"/>
    <x v="0"/>
    <s v="KBSS"/>
    <x v="0"/>
    <x v="6"/>
    <x v="57"/>
    <n v="1"/>
    <m/>
    <m/>
    <n v="80"/>
    <n v="80"/>
    <m/>
    <m/>
    <m/>
    <m/>
    <n v="80"/>
    <m/>
    <m/>
    <x v="57"/>
    <x v="0"/>
    <n v="0.3065134099616858"/>
    <s v="NO"/>
    <m/>
  </r>
  <r>
    <m/>
    <x v="5"/>
    <m/>
    <x v="0"/>
    <x v="6"/>
    <x v="57"/>
    <n v="1"/>
    <m/>
    <m/>
    <n v="18"/>
    <n v="18"/>
    <m/>
    <m/>
    <m/>
    <m/>
    <n v="18"/>
    <m/>
    <m/>
    <x v="57"/>
    <x v="0"/>
    <n v="6.8965517241379309E-2"/>
    <s v="NO"/>
    <m/>
  </r>
  <r>
    <m/>
    <x v="0"/>
    <m/>
    <x v="0"/>
    <x v="6"/>
    <x v="57"/>
    <n v="1"/>
    <m/>
    <m/>
    <n v="55"/>
    <n v="55"/>
    <m/>
    <m/>
    <m/>
    <m/>
    <n v="55"/>
    <m/>
    <m/>
    <x v="57"/>
    <x v="0"/>
    <n v="0.21072796934865901"/>
    <s v="NO"/>
    <m/>
  </r>
  <r>
    <m/>
    <x v="0"/>
    <s v="KBC"/>
    <x v="0"/>
    <x v="5"/>
    <x v="58"/>
    <n v="1"/>
    <m/>
    <m/>
    <n v="60"/>
    <n v="60"/>
    <m/>
    <m/>
    <m/>
    <m/>
    <n v="60"/>
    <m/>
    <m/>
    <x v="58"/>
    <x v="0"/>
    <n v="0.59405940594059403"/>
    <s v="NO"/>
    <m/>
  </r>
  <r>
    <m/>
    <x v="0"/>
    <m/>
    <x v="0"/>
    <x v="5"/>
    <x v="58"/>
    <n v="1"/>
    <m/>
    <m/>
    <n v="20"/>
    <n v="20"/>
    <m/>
    <m/>
    <m/>
    <m/>
    <n v="20"/>
    <m/>
    <m/>
    <x v="58"/>
    <x v="0"/>
    <n v="0.19801980198019803"/>
    <s v="NO"/>
    <m/>
  </r>
  <r>
    <d v="2014-04-20T00:00:00"/>
    <x v="0"/>
    <m/>
    <x v="0"/>
    <x v="3"/>
    <x v="59"/>
    <n v="1"/>
    <n v="200"/>
    <n v="200"/>
    <m/>
    <m/>
    <m/>
    <m/>
    <m/>
    <m/>
    <n v="0"/>
    <m/>
    <m/>
    <x v="59"/>
    <x v="1"/>
    <s v=""/>
    <s v="NO"/>
    <m/>
  </r>
  <r>
    <m/>
    <x v="4"/>
    <s v="KBC"/>
    <x v="0"/>
    <x v="3"/>
    <x v="60"/>
    <n v="1"/>
    <m/>
    <m/>
    <n v="39"/>
    <n v="39"/>
    <m/>
    <m/>
    <m/>
    <m/>
    <n v="39"/>
    <m/>
    <m/>
    <x v="60"/>
    <x v="0"/>
    <n v="0.3644859813084112"/>
    <s v="NO"/>
    <m/>
  </r>
  <r>
    <m/>
    <x v="5"/>
    <m/>
    <x v="0"/>
    <x v="3"/>
    <x v="60"/>
    <n v="1"/>
    <m/>
    <m/>
    <n v="15"/>
    <n v="15"/>
    <m/>
    <m/>
    <m/>
    <m/>
    <n v="15"/>
    <m/>
    <m/>
    <x v="60"/>
    <x v="0"/>
    <n v="0.14018691588785046"/>
    <s v="NO"/>
    <m/>
  </r>
  <r>
    <m/>
    <x v="0"/>
    <s v="KBC"/>
    <x v="0"/>
    <x v="3"/>
    <x v="60"/>
    <n v="1"/>
    <m/>
    <m/>
    <n v="20"/>
    <n v="20"/>
    <m/>
    <m/>
    <m/>
    <m/>
    <n v="20"/>
    <m/>
    <m/>
    <x v="60"/>
    <x v="0"/>
    <n v="0.18691588785046728"/>
    <s v="NO"/>
    <m/>
  </r>
  <r>
    <d v="2014-04-19T00:00:00"/>
    <x v="0"/>
    <m/>
    <x v="0"/>
    <x v="3"/>
    <x v="61"/>
    <n v="1"/>
    <n v="200"/>
    <n v="200"/>
    <m/>
    <m/>
    <m/>
    <m/>
    <m/>
    <m/>
    <n v="0"/>
    <m/>
    <m/>
    <x v="61"/>
    <x v="0"/>
    <n v="0"/>
    <s v="NO"/>
    <m/>
  </r>
  <r>
    <m/>
    <x v="0"/>
    <s v="KBSS"/>
    <x v="0"/>
    <x v="3"/>
    <x v="61"/>
    <n v="1"/>
    <m/>
    <m/>
    <n v="200"/>
    <n v="200"/>
    <m/>
    <m/>
    <m/>
    <m/>
    <n v="200"/>
    <m/>
    <m/>
    <x v="61"/>
    <x v="0"/>
    <n v="0.4366812227074236"/>
    <s v="NO"/>
    <m/>
  </r>
  <r>
    <m/>
    <x v="5"/>
    <m/>
    <x v="0"/>
    <x v="6"/>
    <x v="62"/>
    <n v="1"/>
    <m/>
    <m/>
    <n v="6"/>
    <n v="6"/>
    <m/>
    <m/>
    <m/>
    <m/>
    <n v="0"/>
    <m/>
    <m/>
    <x v="62"/>
    <x v="1"/>
    <s v=""/>
    <s v="NO"/>
    <m/>
  </r>
  <r>
    <m/>
    <x v="0"/>
    <s v="Shalom"/>
    <x v="0"/>
    <x v="6"/>
    <x v="62"/>
    <n v="1"/>
    <m/>
    <m/>
    <m/>
    <m/>
    <m/>
    <m/>
    <m/>
    <m/>
    <n v="0"/>
    <n v="5"/>
    <m/>
    <x v="62"/>
    <x v="1"/>
    <s v=""/>
    <s v="NO"/>
    <m/>
  </r>
  <r>
    <d v="2013-12-01T00:00:00"/>
    <x v="0"/>
    <s v="KBC"/>
    <x v="1"/>
    <x v="7"/>
    <x v="63"/>
    <n v="1"/>
    <m/>
    <m/>
    <n v="10"/>
    <n v="10"/>
    <m/>
    <m/>
    <m/>
    <m/>
    <n v="10"/>
    <m/>
    <m/>
    <x v="63"/>
    <x v="0"/>
    <n v="0.27027027027027029"/>
    <s v="NO"/>
    <m/>
  </r>
  <r>
    <m/>
    <x v="0"/>
    <s v="KBC"/>
    <x v="1"/>
    <x v="7"/>
    <x v="63"/>
    <n v="1"/>
    <m/>
    <m/>
    <n v="30"/>
    <n v="30"/>
    <m/>
    <m/>
    <m/>
    <m/>
    <n v="30"/>
    <m/>
    <m/>
    <x v="63"/>
    <x v="0"/>
    <n v="0.81081081081081086"/>
    <s v="NO"/>
    <m/>
  </r>
  <r>
    <d v="2013-12-01T00:00:00"/>
    <x v="0"/>
    <s v="KMSS"/>
    <x v="1"/>
    <x v="7"/>
    <x v="64"/>
    <n v="1"/>
    <m/>
    <m/>
    <n v="30"/>
    <n v="30"/>
    <m/>
    <m/>
    <m/>
    <m/>
    <n v="30"/>
    <m/>
    <m/>
    <x v="64"/>
    <x v="0"/>
    <n v="0.967741935483871"/>
    <s v="NO"/>
    <m/>
  </r>
  <r>
    <m/>
    <x v="0"/>
    <s v="KBC"/>
    <x v="0"/>
    <x v="9"/>
    <x v="65"/>
    <n v="1"/>
    <m/>
    <m/>
    <n v="10"/>
    <n v="10"/>
    <m/>
    <m/>
    <m/>
    <m/>
    <n v="10"/>
    <m/>
    <m/>
    <x v="65"/>
    <x v="0"/>
    <n v="0.58823529411764708"/>
    <s v="NO"/>
    <m/>
  </r>
  <r>
    <d v="2014-06-19T00:00:00"/>
    <x v="5"/>
    <m/>
    <x v="0"/>
    <x v="3"/>
    <x v="66"/>
    <n v="1"/>
    <m/>
    <m/>
    <n v="56"/>
    <n v="60"/>
    <m/>
    <m/>
    <m/>
    <m/>
    <n v="60"/>
    <m/>
    <m/>
    <x v="66"/>
    <x v="0"/>
    <n v="0.27149321266968324"/>
    <s v="NO"/>
    <m/>
  </r>
  <r>
    <d v="2014-06-01T00:00:00"/>
    <x v="0"/>
    <s v="KBC"/>
    <x v="0"/>
    <x v="3"/>
    <x v="66"/>
    <n v="1"/>
    <m/>
    <m/>
    <n v="15"/>
    <n v="15"/>
    <m/>
    <m/>
    <m/>
    <m/>
    <n v="15"/>
    <m/>
    <m/>
    <x v="66"/>
    <x v="0"/>
    <n v="6.7873303167420809E-2"/>
    <s v="NO"/>
    <m/>
  </r>
  <r>
    <d v="2013-12-01T00:00:00"/>
    <x v="0"/>
    <s v="KBC"/>
    <x v="0"/>
    <x v="3"/>
    <x v="66"/>
    <n v="1"/>
    <m/>
    <m/>
    <n v="20"/>
    <n v="20"/>
    <m/>
    <m/>
    <m/>
    <m/>
    <n v="20"/>
    <m/>
    <m/>
    <x v="66"/>
    <x v="0"/>
    <n v="9.0497737556561084E-2"/>
    <s v="NO"/>
    <m/>
  </r>
  <r>
    <m/>
    <x v="0"/>
    <m/>
    <x v="0"/>
    <x v="3"/>
    <x v="66"/>
    <n v="1"/>
    <m/>
    <m/>
    <n v="41"/>
    <n v="10"/>
    <m/>
    <m/>
    <m/>
    <m/>
    <n v="10"/>
    <m/>
    <m/>
    <x v="66"/>
    <x v="0"/>
    <n v="4.5248868778280542E-2"/>
    <s v="NO"/>
    <m/>
  </r>
  <r>
    <m/>
    <x v="6"/>
    <s v="CC"/>
    <x v="0"/>
    <x v="0"/>
    <x v="67"/>
    <n v="1"/>
    <m/>
    <m/>
    <n v="10"/>
    <n v="10"/>
    <m/>
    <m/>
    <m/>
    <m/>
    <n v="0"/>
    <m/>
    <m/>
    <x v="67"/>
    <x v="1"/>
    <s v=""/>
    <s v="NO"/>
    <m/>
  </r>
  <r>
    <m/>
    <x v="0"/>
    <s v="Shalom"/>
    <x v="0"/>
    <x v="0"/>
    <x v="67"/>
    <n v="1"/>
    <m/>
    <m/>
    <n v="10"/>
    <n v="10"/>
    <m/>
    <m/>
    <m/>
    <m/>
    <n v="0"/>
    <m/>
    <m/>
    <x v="67"/>
    <x v="1"/>
    <s v=""/>
    <s v="NO"/>
    <m/>
  </r>
  <r>
    <d v="2014-06-01T00:00:00"/>
    <x v="0"/>
    <s v="Shalom"/>
    <x v="0"/>
    <x v="5"/>
    <x v="68"/>
    <n v="1"/>
    <m/>
    <m/>
    <n v="5"/>
    <n v="5"/>
    <m/>
    <m/>
    <m/>
    <m/>
    <n v="5"/>
    <m/>
    <m/>
    <x v="68"/>
    <x v="0"/>
    <n v="0.23809523809523808"/>
    <s v="NO"/>
    <m/>
  </r>
  <r>
    <m/>
    <x v="0"/>
    <s v="Shalom"/>
    <x v="0"/>
    <x v="5"/>
    <x v="68"/>
    <n v="1"/>
    <m/>
    <m/>
    <n v="27"/>
    <n v="27"/>
    <m/>
    <m/>
    <m/>
    <m/>
    <n v="27"/>
    <m/>
    <m/>
    <x v="68"/>
    <x v="0"/>
    <n v="1.2857142857142858"/>
    <s v="NO"/>
    <m/>
  </r>
  <r>
    <d v="2013-12-01T00:00:00"/>
    <x v="0"/>
    <s v="Shalom"/>
    <x v="0"/>
    <x v="5"/>
    <x v="69"/>
    <n v="1"/>
    <m/>
    <m/>
    <n v="15"/>
    <n v="15"/>
    <m/>
    <m/>
    <m/>
    <m/>
    <n v="15"/>
    <m/>
    <m/>
    <x v="69"/>
    <x v="0"/>
    <n v="1.0714285714285714"/>
    <s v="NO"/>
    <m/>
  </r>
  <r>
    <m/>
    <x v="0"/>
    <s v="Shalom"/>
    <x v="0"/>
    <x v="5"/>
    <x v="69"/>
    <n v="1"/>
    <m/>
    <m/>
    <n v="4"/>
    <n v="4"/>
    <m/>
    <m/>
    <m/>
    <m/>
    <n v="4"/>
    <m/>
    <m/>
    <x v="69"/>
    <x v="0"/>
    <n v="0.2857142857142857"/>
    <s v="NO"/>
    <m/>
  </r>
  <r>
    <d v="2013-12-01T00:00:00"/>
    <x v="0"/>
    <s v="Shalom"/>
    <x v="0"/>
    <x v="0"/>
    <x v="70"/>
    <n v="1"/>
    <m/>
    <m/>
    <n v="5"/>
    <n v="5"/>
    <m/>
    <m/>
    <m/>
    <m/>
    <n v="5"/>
    <m/>
    <m/>
    <x v="70"/>
    <x v="0"/>
    <n v="1"/>
    <s v="NO"/>
    <m/>
  </r>
  <r>
    <m/>
    <x v="0"/>
    <s v="Shalom"/>
    <x v="0"/>
    <x v="0"/>
    <x v="70"/>
    <n v="1"/>
    <m/>
    <m/>
    <n v="5"/>
    <n v="5"/>
    <m/>
    <m/>
    <m/>
    <m/>
    <n v="5"/>
    <m/>
    <m/>
    <x v="70"/>
    <x v="0"/>
    <n v="1"/>
    <s v="NO"/>
    <m/>
  </r>
  <r>
    <m/>
    <x v="9"/>
    <s v="MDCG"/>
    <x v="1"/>
    <x v="8"/>
    <x v="71"/>
    <n v="1"/>
    <m/>
    <m/>
    <n v="63"/>
    <n v="63"/>
    <m/>
    <m/>
    <m/>
    <m/>
    <n v="63"/>
    <m/>
    <m/>
    <x v="71"/>
    <x v="0"/>
    <n v="1"/>
    <s v="NO"/>
    <m/>
  </r>
  <r>
    <d v="2014-06-01T00:00:00"/>
    <x v="0"/>
    <s v="KBC"/>
    <x v="0"/>
    <x v="6"/>
    <x v="72"/>
    <n v="1"/>
    <m/>
    <m/>
    <n v="10"/>
    <n v="10"/>
    <m/>
    <m/>
    <m/>
    <m/>
    <n v="10"/>
    <m/>
    <m/>
    <x v="72"/>
    <x v="0"/>
    <n v="4.4247787610619468E-2"/>
    <s v="NO"/>
    <m/>
  </r>
  <r>
    <d v="2013-12-01T00:00:00"/>
    <x v="0"/>
    <m/>
    <x v="0"/>
    <x v="6"/>
    <x v="72"/>
    <n v="1"/>
    <m/>
    <m/>
    <n v="50"/>
    <n v="50"/>
    <m/>
    <m/>
    <m/>
    <m/>
    <n v="50"/>
    <m/>
    <m/>
    <x v="72"/>
    <x v="0"/>
    <n v="0.22123893805309736"/>
    <s v="NO"/>
    <m/>
  </r>
  <r>
    <m/>
    <x v="6"/>
    <s v="Metta"/>
    <x v="0"/>
    <x v="6"/>
    <x v="72"/>
    <n v="1"/>
    <m/>
    <m/>
    <n v="32"/>
    <n v="32"/>
    <m/>
    <m/>
    <m/>
    <m/>
    <n v="32"/>
    <m/>
    <m/>
    <x v="72"/>
    <x v="0"/>
    <n v="0.1415929203539823"/>
    <s v="NO"/>
    <m/>
  </r>
  <r>
    <m/>
    <x v="5"/>
    <m/>
    <x v="0"/>
    <x v="6"/>
    <x v="72"/>
    <n v="1"/>
    <m/>
    <m/>
    <n v="144"/>
    <n v="144"/>
    <m/>
    <m/>
    <m/>
    <m/>
    <n v="144"/>
    <m/>
    <m/>
    <x v="72"/>
    <x v="0"/>
    <n v="0.63716814159292035"/>
    <s v="NO"/>
    <m/>
  </r>
  <r>
    <m/>
    <x v="0"/>
    <s v="KBC"/>
    <x v="0"/>
    <x v="6"/>
    <x v="72"/>
    <n v="1"/>
    <m/>
    <m/>
    <n v="40"/>
    <n v="40"/>
    <m/>
    <m/>
    <m/>
    <m/>
    <n v="40"/>
    <m/>
    <m/>
    <x v="72"/>
    <x v="0"/>
    <n v="0.17699115044247787"/>
    <s v="NO"/>
    <m/>
  </r>
  <r>
    <m/>
    <x v="8"/>
    <s v="KBSS"/>
    <x v="0"/>
    <x v="6"/>
    <x v="73"/>
    <n v="1"/>
    <m/>
    <m/>
    <n v="92"/>
    <n v="92"/>
    <m/>
    <m/>
    <m/>
    <m/>
    <n v="0"/>
    <m/>
    <m/>
    <x v="73"/>
    <x v="1"/>
    <s v=""/>
    <s v="NO"/>
    <m/>
  </r>
  <r>
    <m/>
    <x v="0"/>
    <s v="KBC"/>
    <x v="1"/>
    <x v="11"/>
    <x v="74"/>
    <n v="1"/>
    <m/>
    <m/>
    <n v="10"/>
    <n v="10"/>
    <m/>
    <m/>
    <m/>
    <m/>
    <n v="10"/>
    <m/>
    <m/>
    <x v="74"/>
    <x v="0"/>
    <n v="8.1300813008130079E-2"/>
    <s v="NO"/>
    <m/>
  </r>
  <r>
    <m/>
    <x v="8"/>
    <s v="KBSS"/>
    <x v="0"/>
    <x v="3"/>
    <x v="75"/>
    <n v="1"/>
    <m/>
    <m/>
    <n v="24"/>
    <n v="24"/>
    <m/>
    <m/>
    <m/>
    <m/>
    <n v="0"/>
    <m/>
    <m/>
    <x v="75"/>
    <x v="1"/>
    <s v=""/>
    <s v="NO"/>
    <m/>
  </r>
  <r>
    <d v="2013-12-01T00:00:00"/>
    <x v="0"/>
    <s v="KBC"/>
    <x v="1"/>
    <x v="8"/>
    <x v="76"/>
    <n v="1"/>
    <m/>
    <m/>
    <n v="5"/>
    <n v="5"/>
    <m/>
    <m/>
    <m/>
    <m/>
    <n v="5"/>
    <m/>
    <m/>
    <x v="76"/>
    <x v="0"/>
    <n v="0.10204081632653061"/>
    <s v="NO"/>
    <m/>
  </r>
  <r>
    <d v="2014-12-01T00:00:00"/>
    <x v="5"/>
    <m/>
    <x v="1"/>
    <x v="11"/>
    <x v="77"/>
    <n v="1"/>
    <m/>
    <m/>
    <n v="44"/>
    <n v="44"/>
    <m/>
    <m/>
    <m/>
    <m/>
    <n v="44"/>
    <m/>
    <m/>
    <x v="77"/>
    <x v="0"/>
    <n v="0.84615384615384615"/>
    <s v="NO"/>
    <m/>
  </r>
  <r>
    <d v="2014-05-11T00:00:00"/>
    <x v="0"/>
    <m/>
    <x v="1"/>
    <x v="11"/>
    <x v="77"/>
    <n v="1"/>
    <n v="110"/>
    <n v="110"/>
    <m/>
    <m/>
    <m/>
    <m/>
    <m/>
    <m/>
    <n v="0"/>
    <m/>
    <m/>
    <x v="77"/>
    <x v="0"/>
    <n v="0"/>
    <s v="NO"/>
    <m/>
  </r>
  <r>
    <m/>
    <x v="5"/>
    <m/>
    <x v="1"/>
    <x v="11"/>
    <x v="78"/>
    <n v="1"/>
    <m/>
    <m/>
    <n v="20"/>
    <n v="20"/>
    <m/>
    <m/>
    <m/>
    <m/>
    <n v="20"/>
    <m/>
    <m/>
    <x v="78"/>
    <x v="0"/>
    <n v="0.76923076923076927"/>
    <s v="NO"/>
    <m/>
  </r>
  <r>
    <m/>
    <x v="0"/>
    <s v="KMSS-LSO"/>
    <x v="1"/>
    <x v="11"/>
    <x v="78"/>
    <n v="1"/>
    <m/>
    <m/>
    <n v="10"/>
    <n v="10"/>
    <m/>
    <m/>
    <m/>
    <m/>
    <n v="10"/>
    <m/>
    <m/>
    <x v="78"/>
    <x v="0"/>
    <n v="0.38461538461538464"/>
    <s v="NO"/>
    <m/>
  </r>
  <r>
    <d v="2014-06-01T00:00:00"/>
    <x v="0"/>
    <s v="Shalom"/>
    <x v="0"/>
    <x v="1"/>
    <x v="79"/>
    <n v="1"/>
    <m/>
    <m/>
    <n v="5"/>
    <n v="5"/>
    <m/>
    <m/>
    <m/>
    <m/>
    <n v="5"/>
    <m/>
    <m/>
    <x v="79"/>
    <x v="0"/>
    <n v="0.35714285714285715"/>
    <s v="NO"/>
    <m/>
  </r>
  <r>
    <d v="2013-12-01T00:00:00"/>
    <x v="0"/>
    <s v="Shalom"/>
    <x v="0"/>
    <x v="1"/>
    <x v="79"/>
    <n v="1"/>
    <m/>
    <m/>
    <n v="13"/>
    <n v="13"/>
    <m/>
    <m/>
    <m/>
    <m/>
    <n v="13"/>
    <m/>
    <m/>
    <x v="79"/>
    <x v="0"/>
    <n v="0.9285714285714286"/>
    <s v="NO"/>
    <m/>
  </r>
  <r>
    <m/>
    <x v="4"/>
    <s v="KBC"/>
    <x v="1"/>
    <x v="12"/>
    <x v="80"/>
    <n v="1"/>
    <m/>
    <m/>
    <n v="78"/>
    <n v="78"/>
    <m/>
    <m/>
    <m/>
    <m/>
    <n v="78"/>
    <m/>
    <m/>
    <x v="80"/>
    <x v="0"/>
    <n v="1.1142857142857143"/>
    <s v="NO"/>
    <m/>
  </r>
  <r>
    <m/>
    <x v="0"/>
    <s v="KBC"/>
    <x v="1"/>
    <x v="12"/>
    <x v="80"/>
    <n v="1"/>
    <m/>
    <m/>
    <n v="20"/>
    <n v="20"/>
    <m/>
    <m/>
    <m/>
    <m/>
    <n v="20"/>
    <m/>
    <m/>
    <x v="80"/>
    <x v="0"/>
    <n v="0.2857142857142857"/>
    <s v="NO"/>
    <m/>
  </r>
  <r>
    <m/>
    <x v="4"/>
    <s v="KBC"/>
    <x v="1"/>
    <x v="12"/>
    <x v="81"/>
    <n v="1"/>
    <m/>
    <m/>
    <n v="30"/>
    <n v="30"/>
    <m/>
    <m/>
    <m/>
    <m/>
    <n v="30"/>
    <m/>
    <m/>
    <x v="81"/>
    <x v="0"/>
    <n v="0.41095890410958902"/>
    <s v="NO"/>
    <m/>
  </r>
  <r>
    <d v="2016-02-16T00:00:00"/>
    <x v="5"/>
    <m/>
    <x v="1"/>
    <x v="12"/>
    <x v="82"/>
    <n v="1"/>
    <m/>
    <m/>
    <n v="25"/>
    <n v="25"/>
    <m/>
    <m/>
    <m/>
    <m/>
    <n v="25"/>
    <m/>
    <m/>
    <x v="82"/>
    <x v="0"/>
    <n v="0.67567567567567566"/>
    <s v="NO"/>
    <m/>
  </r>
  <r>
    <m/>
    <x v="5"/>
    <m/>
    <x v="1"/>
    <x v="12"/>
    <x v="82"/>
    <n v="1"/>
    <m/>
    <m/>
    <n v="24"/>
    <n v="12"/>
    <m/>
    <m/>
    <m/>
    <m/>
    <n v="12"/>
    <m/>
    <m/>
    <x v="82"/>
    <x v="0"/>
    <n v="0.32432432432432434"/>
    <s v="NO"/>
    <m/>
  </r>
  <r>
    <d v="2016-02-16T00:00:00"/>
    <x v="5"/>
    <m/>
    <x v="1"/>
    <x v="11"/>
    <x v="83"/>
    <n v="1"/>
    <m/>
    <m/>
    <n v="9"/>
    <n v="9"/>
    <m/>
    <m/>
    <m/>
    <m/>
    <n v="0"/>
    <m/>
    <m/>
    <x v="83"/>
    <x v="1"/>
    <s v=""/>
    <s v="NO"/>
    <m/>
  </r>
  <r>
    <m/>
    <x v="0"/>
    <s v="KBC"/>
    <x v="1"/>
    <x v="8"/>
    <x v="84"/>
    <n v="1"/>
    <m/>
    <m/>
    <n v="20"/>
    <n v="20"/>
    <m/>
    <m/>
    <m/>
    <m/>
    <n v="20"/>
    <m/>
    <m/>
    <x v="84"/>
    <x v="0"/>
    <n v="0.32258064516129031"/>
    <s v="NO"/>
    <m/>
  </r>
  <r>
    <m/>
    <x v="0"/>
    <s v="Metta"/>
    <x v="1"/>
    <x v="8"/>
    <x v="84"/>
    <n v="1"/>
    <m/>
    <m/>
    <n v="6"/>
    <n v="6"/>
    <m/>
    <m/>
    <m/>
    <m/>
    <n v="6"/>
    <m/>
    <m/>
    <x v="84"/>
    <x v="0"/>
    <n v="9.6774193548387094E-2"/>
    <s v="NO"/>
    <m/>
  </r>
  <r>
    <m/>
    <x v="0"/>
    <s v="KBSS"/>
    <x v="0"/>
    <x v="3"/>
    <x v="85"/>
    <n v="1"/>
    <m/>
    <m/>
    <n v="36"/>
    <n v="36"/>
    <m/>
    <m/>
    <m/>
    <m/>
    <n v="0"/>
    <m/>
    <m/>
    <x v="85"/>
    <x v="1"/>
    <s v=""/>
    <s v="NO"/>
    <m/>
  </r>
  <r>
    <d v="2014-12-01T00:00:00"/>
    <x v="0"/>
    <s v="Shalom"/>
    <x v="0"/>
    <x v="0"/>
    <x v="86"/>
    <n v="1"/>
    <m/>
    <m/>
    <n v="5"/>
    <n v="5"/>
    <m/>
    <m/>
    <m/>
    <m/>
    <n v="5"/>
    <m/>
    <m/>
    <x v="86"/>
    <x v="0"/>
    <n v="0.29411764705882354"/>
    <s v="NO"/>
    <m/>
  </r>
  <r>
    <d v="2013-12-01T00:00:00"/>
    <x v="0"/>
    <s v="Shalom"/>
    <x v="0"/>
    <x v="0"/>
    <x v="86"/>
    <n v="1"/>
    <m/>
    <m/>
    <n v="10"/>
    <n v="10"/>
    <m/>
    <m/>
    <m/>
    <m/>
    <n v="10"/>
    <m/>
    <m/>
    <x v="86"/>
    <x v="0"/>
    <n v="0.58823529411764708"/>
    <s v="NO"/>
    <m/>
  </r>
  <r>
    <m/>
    <x v="1"/>
    <m/>
    <x v="0"/>
    <x v="0"/>
    <x v="86"/>
    <n v="1"/>
    <n v="8"/>
    <n v="8"/>
    <m/>
    <m/>
    <m/>
    <m/>
    <m/>
    <m/>
    <n v="0"/>
    <m/>
    <m/>
    <x v="86"/>
    <x v="0"/>
    <n v="0"/>
    <s v="NO"/>
    <m/>
  </r>
  <r>
    <d v="2016-02-16T00:00:00"/>
    <x v="5"/>
    <m/>
    <x v="1"/>
    <x v="13"/>
    <x v="87"/>
    <n v="1"/>
    <m/>
    <m/>
    <n v="25"/>
    <n v="25"/>
    <m/>
    <m/>
    <m/>
    <m/>
    <n v="25"/>
    <m/>
    <m/>
    <x v="87"/>
    <x v="0"/>
    <n v="0.65789473684210531"/>
    <s v="NO"/>
    <m/>
  </r>
  <r>
    <m/>
    <x v="0"/>
    <s v="KBC"/>
    <x v="1"/>
    <x v="13"/>
    <x v="87"/>
    <n v="1"/>
    <m/>
    <m/>
    <n v="10"/>
    <n v="10"/>
    <m/>
    <m/>
    <m/>
    <m/>
    <n v="10"/>
    <m/>
    <m/>
    <x v="87"/>
    <x v="0"/>
    <n v="0.26315789473684209"/>
    <s v="NO"/>
    <m/>
  </r>
  <r>
    <m/>
    <x v="0"/>
    <s v="KBC"/>
    <x v="1"/>
    <x v="14"/>
    <x v="88"/>
    <n v="1"/>
    <m/>
    <m/>
    <n v="10"/>
    <n v="10"/>
    <m/>
    <m/>
    <m/>
    <m/>
    <n v="10"/>
    <m/>
    <m/>
    <x v="88"/>
    <x v="0"/>
    <n v="1.1111111111111112"/>
    <s v="NO"/>
    <m/>
  </r>
  <r>
    <d v="2016-02-16T00:00:00"/>
    <x v="5"/>
    <m/>
    <x v="1"/>
    <x v="12"/>
    <x v="89"/>
    <n v="1"/>
    <m/>
    <m/>
    <n v="36"/>
    <n v="36"/>
    <m/>
    <m/>
    <m/>
    <m/>
    <n v="36"/>
    <m/>
    <m/>
    <x v="89"/>
    <x v="0"/>
    <n v="0.29268292682926828"/>
    <s v="NO"/>
    <m/>
  </r>
  <r>
    <m/>
    <x v="5"/>
    <m/>
    <x v="1"/>
    <x v="12"/>
    <x v="89"/>
    <n v="1"/>
    <m/>
    <m/>
    <n v="50"/>
    <n v="36"/>
    <m/>
    <m/>
    <m/>
    <m/>
    <n v="36"/>
    <m/>
    <m/>
    <x v="89"/>
    <x v="0"/>
    <n v="0.29268292682926828"/>
    <s v="NO"/>
    <m/>
  </r>
  <r>
    <m/>
    <x v="1"/>
    <m/>
    <x v="0"/>
    <x v="5"/>
    <x v="90"/>
    <n v="1"/>
    <n v="1"/>
    <n v="1"/>
    <m/>
    <m/>
    <m/>
    <m/>
    <m/>
    <m/>
    <n v="0"/>
    <m/>
    <m/>
    <x v="90"/>
    <x v="0"/>
    <n v="0"/>
    <s v="NO"/>
    <m/>
  </r>
  <r>
    <m/>
    <x v="4"/>
    <s v="KMSS"/>
    <x v="0"/>
    <x v="5"/>
    <x v="90"/>
    <n v="1"/>
    <m/>
    <m/>
    <n v="46"/>
    <n v="46"/>
    <m/>
    <m/>
    <m/>
    <m/>
    <n v="46"/>
    <m/>
    <m/>
    <x v="90"/>
    <x v="0"/>
    <n v="0.69696969696969702"/>
    <s v="NO"/>
    <m/>
  </r>
  <r>
    <m/>
    <x v="0"/>
    <s v="KMSS"/>
    <x v="0"/>
    <x v="5"/>
    <x v="90"/>
    <n v="1"/>
    <m/>
    <m/>
    <n v="21"/>
    <n v="21"/>
    <m/>
    <m/>
    <m/>
    <m/>
    <n v="21"/>
    <n v="21"/>
    <m/>
    <x v="90"/>
    <x v="0"/>
    <n v="0.31818181818181818"/>
    <s v="NO"/>
    <m/>
  </r>
  <r>
    <m/>
    <x v="0"/>
    <m/>
    <x v="0"/>
    <x v="1"/>
    <x v="91"/>
    <n v="1"/>
    <m/>
    <m/>
    <n v="10"/>
    <n v="10"/>
    <m/>
    <m/>
    <m/>
    <m/>
    <n v="10"/>
    <m/>
    <m/>
    <x v="91"/>
    <x v="0"/>
    <n v="0.5"/>
    <s v="NO"/>
    <m/>
  </r>
  <r>
    <m/>
    <x v="0"/>
    <s v="KBC"/>
    <x v="0"/>
    <x v="0"/>
    <x v="92"/>
    <n v="1"/>
    <m/>
    <m/>
    <n v="40"/>
    <n v="40"/>
    <m/>
    <m/>
    <m/>
    <m/>
    <n v="40"/>
    <m/>
    <m/>
    <x v="92"/>
    <x v="0"/>
    <n v="0.75471698113207553"/>
    <s v="NO"/>
    <m/>
  </r>
  <r>
    <m/>
    <x v="0"/>
    <s v="Shalom"/>
    <x v="0"/>
    <x v="0"/>
    <x v="92"/>
    <n v="1"/>
    <m/>
    <m/>
    <n v="15"/>
    <n v="15"/>
    <m/>
    <m/>
    <m/>
    <m/>
    <n v="15"/>
    <m/>
    <m/>
    <x v="92"/>
    <x v="0"/>
    <n v="0.28301886792452829"/>
    <s v="NO"/>
    <m/>
  </r>
  <r>
    <m/>
    <x v="0"/>
    <s v="KBC"/>
    <x v="0"/>
    <x v="9"/>
    <x v="93"/>
    <n v="1"/>
    <m/>
    <m/>
    <n v="15"/>
    <n v="15"/>
    <m/>
    <m/>
    <m/>
    <m/>
    <n v="15"/>
    <m/>
    <m/>
    <x v="93"/>
    <x v="0"/>
    <n v="1.25"/>
    <s v="NO"/>
    <m/>
  </r>
  <r>
    <d v="2014-12-01T00:00:00"/>
    <x v="0"/>
    <s v="Shalom"/>
    <x v="0"/>
    <x v="2"/>
    <x v="94"/>
    <n v="1"/>
    <m/>
    <m/>
    <n v="9"/>
    <n v="9"/>
    <m/>
    <m/>
    <m/>
    <m/>
    <n v="9"/>
    <m/>
    <m/>
    <x v="94"/>
    <x v="0"/>
    <n v="0.5"/>
    <s v="NO"/>
    <m/>
  </r>
  <r>
    <d v="2013-12-01T00:00:00"/>
    <x v="0"/>
    <s v="Shalom"/>
    <x v="0"/>
    <x v="2"/>
    <x v="94"/>
    <n v="1"/>
    <m/>
    <m/>
    <n v="10"/>
    <n v="10"/>
    <m/>
    <m/>
    <m/>
    <m/>
    <n v="10"/>
    <m/>
    <m/>
    <x v="94"/>
    <x v="0"/>
    <n v="0.55555555555555558"/>
    <s v="NO"/>
    <m/>
  </r>
  <r>
    <m/>
    <x v="7"/>
    <s v="KBC"/>
    <x v="0"/>
    <x v="15"/>
    <x v="95"/>
    <n v="1"/>
    <m/>
    <m/>
    <n v="10"/>
    <n v="10"/>
    <m/>
    <m/>
    <m/>
    <m/>
    <n v="10"/>
    <m/>
    <m/>
    <x v="95"/>
    <x v="0"/>
    <n v="0.52631578947368418"/>
    <s v="NO"/>
    <m/>
  </r>
  <r>
    <m/>
    <x v="0"/>
    <s v="KBC"/>
    <x v="0"/>
    <x v="15"/>
    <x v="95"/>
    <n v="1"/>
    <m/>
    <m/>
    <n v="20"/>
    <n v="20"/>
    <m/>
    <m/>
    <m/>
    <m/>
    <n v="20"/>
    <m/>
    <m/>
    <x v="95"/>
    <x v="0"/>
    <n v="1.0526315789473684"/>
    <s v="NO"/>
    <m/>
  </r>
  <r>
    <d v="2013-12-01T00:00:00"/>
    <x v="0"/>
    <s v="Shalom"/>
    <x v="0"/>
    <x v="0"/>
    <x v="96"/>
    <n v="1"/>
    <m/>
    <m/>
    <n v="40"/>
    <n v="40"/>
    <m/>
    <m/>
    <m/>
    <m/>
    <n v="0"/>
    <m/>
    <m/>
    <x v="96"/>
    <x v="1"/>
    <s v=""/>
    <s v="NO"/>
    <m/>
  </r>
  <r>
    <m/>
    <x v="1"/>
    <m/>
    <x v="0"/>
    <x v="0"/>
    <x v="96"/>
    <n v="1"/>
    <n v="50"/>
    <n v="50"/>
    <m/>
    <m/>
    <m/>
    <m/>
    <m/>
    <m/>
    <n v="0"/>
    <m/>
    <m/>
    <x v="96"/>
    <x v="1"/>
    <s v=""/>
    <s v="NO"/>
    <m/>
  </r>
  <r>
    <m/>
    <x v="0"/>
    <s v="Shalom"/>
    <x v="0"/>
    <x v="0"/>
    <x v="96"/>
    <n v="1"/>
    <m/>
    <m/>
    <n v="20"/>
    <n v="20"/>
    <m/>
    <m/>
    <m/>
    <m/>
    <n v="0"/>
    <m/>
    <m/>
    <x v="96"/>
    <x v="1"/>
    <s v=""/>
    <s v="NO"/>
    <m/>
  </r>
  <r>
    <m/>
    <x v="0"/>
    <s v="KBC"/>
    <x v="0"/>
    <x v="0"/>
    <x v="96"/>
    <n v="1"/>
    <m/>
    <m/>
    <n v="15"/>
    <n v="15"/>
    <m/>
    <m/>
    <m/>
    <m/>
    <n v="0"/>
    <m/>
    <m/>
    <x v="96"/>
    <x v="1"/>
    <s v=""/>
    <s v="NO"/>
    <m/>
  </r>
  <r>
    <d v="2016-05-10T00:00:00"/>
    <x v="4"/>
    <s v="DRC"/>
    <x v="0"/>
    <x v="6"/>
    <x v="97"/>
    <n v="1"/>
    <m/>
    <m/>
    <n v="170"/>
    <n v="170"/>
    <m/>
    <m/>
    <m/>
    <m/>
    <n v="170"/>
    <m/>
    <m/>
    <x v="97"/>
    <x v="0"/>
    <n v="0.45333333333333331"/>
    <s v="NO"/>
    <m/>
  </r>
  <r>
    <d v="2016-02-22T00:00:00"/>
    <x v="4"/>
    <m/>
    <x v="0"/>
    <x v="6"/>
    <x v="97"/>
    <n v="1"/>
    <m/>
    <m/>
    <n v="170"/>
    <n v="170"/>
    <m/>
    <m/>
    <m/>
    <m/>
    <n v="0"/>
    <m/>
    <m/>
    <x v="97"/>
    <x v="0"/>
    <n v="0"/>
    <s v="YES"/>
    <m/>
  </r>
  <r>
    <m/>
    <x v="8"/>
    <s v="KBSS"/>
    <x v="0"/>
    <x v="6"/>
    <x v="97"/>
    <n v="1"/>
    <m/>
    <m/>
    <n v="100"/>
    <n v="100"/>
    <m/>
    <m/>
    <m/>
    <m/>
    <n v="100"/>
    <m/>
    <m/>
    <x v="97"/>
    <x v="0"/>
    <n v="0.26666666666666666"/>
    <s v="NO"/>
    <m/>
  </r>
  <r>
    <m/>
    <x v="14"/>
    <s v="KBSS"/>
    <x v="0"/>
    <x v="6"/>
    <x v="97"/>
    <n v="1"/>
    <m/>
    <m/>
    <n v="350"/>
    <n v="350"/>
    <m/>
    <m/>
    <m/>
    <m/>
    <n v="350"/>
    <m/>
    <m/>
    <x v="97"/>
    <x v="0"/>
    <n v="0.93333333333333335"/>
    <s v="NO"/>
    <m/>
  </r>
  <r>
    <d v="2013-12-01T00:00:00"/>
    <x v="0"/>
    <s v="Shalom"/>
    <x v="0"/>
    <x v="6"/>
    <x v="98"/>
    <n v="1"/>
    <m/>
    <m/>
    <n v="4"/>
    <n v="4"/>
    <m/>
    <m/>
    <m/>
    <m/>
    <n v="0"/>
    <n v="5"/>
    <m/>
    <x v="98"/>
    <x v="1"/>
    <s v=""/>
    <s v="NO"/>
    <m/>
  </r>
  <r>
    <m/>
    <x v="5"/>
    <m/>
    <x v="0"/>
    <x v="6"/>
    <x v="98"/>
    <n v="1"/>
    <m/>
    <m/>
    <n v="18"/>
    <n v="18"/>
    <m/>
    <m/>
    <m/>
    <m/>
    <n v="0"/>
    <m/>
    <m/>
    <x v="98"/>
    <x v="1"/>
    <s v=""/>
    <s v="NO"/>
    <m/>
  </r>
  <r>
    <m/>
    <x v="0"/>
    <m/>
    <x v="0"/>
    <x v="6"/>
    <x v="98"/>
    <n v="1"/>
    <m/>
    <m/>
    <n v="9"/>
    <n v="9"/>
    <m/>
    <m/>
    <m/>
    <m/>
    <n v="0"/>
    <m/>
    <m/>
    <x v="98"/>
    <x v="1"/>
    <s v=""/>
    <s v="NO"/>
    <m/>
  </r>
  <r>
    <m/>
    <x v="10"/>
    <s v="KBC"/>
    <x v="0"/>
    <x v="5"/>
    <x v="99"/>
    <n v="1"/>
    <m/>
    <m/>
    <n v="32"/>
    <n v="32"/>
    <m/>
    <m/>
    <m/>
    <m/>
    <n v="32"/>
    <m/>
    <m/>
    <x v="99"/>
    <x v="0"/>
    <n v="0.55172413793103448"/>
    <s v="NO"/>
    <m/>
  </r>
  <r>
    <m/>
    <x v="0"/>
    <s v="KBC"/>
    <x v="0"/>
    <x v="5"/>
    <x v="99"/>
    <n v="1"/>
    <m/>
    <m/>
    <n v="20"/>
    <n v="20"/>
    <m/>
    <m/>
    <m/>
    <m/>
    <n v="20"/>
    <m/>
    <m/>
    <x v="99"/>
    <x v="0"/>
    <n v="0.34482758620689657"/>
    <s v="NO"/>
    <m/>
  </r>
  <r>
    <m/>
    <x v="0"/>
    <m/>
    <x v="0"/>
    <x v="6"/>
    <x v="100"/>
    <n v="1"/>
    <m/>
    <m/>
    <n v="45"/>
    <n v="45"/>
    <m/>
    <m/>
    <m/>
    <m/>
    <n v="45"/>
    <m/>
    <m/>
    <x v="100"/>
    <x v="0"/>
    <n v="0.9"/>
    <s v="NO"/>
    <m/>
  </r>
  <r>
    <d v="2016-02-16T00:00:00"/>
    <x v="0"/>
    <s v="KMSS"/>
    <x v="0"/>
    <x v="5"/>
    <x v="101"/>
    <n v="1"/>
    <m/>
    <m/>
    <n v="14"/>
    <n v="14"/>
    <m/>
    <m/>
    <m/>
    <m/>
    <n v="14"/>
    <m/>
    <m/>
    <x v="101"/>
    <x v="0"/>
    <n v="0.32558139534883723"/>
    <s v="NO"/>
    <m/>
  </r>
  <r>
    <m/>
    <x v="8"/>
    <s v="KMSS"/>
    <x v="0"/>
    <x v="5"/>
    <x v="101"/>
    <n v="1"/>
    <m/>
    <m/>
    <n v="30"/>
    <n v="30"/>
    <m/>
    <m/>
    <m/>
    <m/>
    <n v="30"/>
    <m/>
    <m/>
    <x v="101"/>
    <x v="0"/>
    <n v="0.69767441860465118"/>
    <s v="NO"/>
    <m/>
  </r>
  <r>
    <d v="2016-02-22T00:00:00"/>
    <x v="4"/>
    <m/>
    <x v="0"/>
    <x v="6"/>
    <x v="102"/>
    <n v="1"/>
    <m/>
    <m/>
    <n v="254"/>
    <n v="254"/>
    <m/>
    <m/>
    <m/>
    <m/>
    <n v="0"/>
    <m/>
    <m/>
    <x v="102"/>
    <x v="0"/>
    <n v="0"/>
    <s v="YES"/>
    <m/>
  </r>
  <r>
    <d v="2014-12-01T00:00:00"/>
    <x v="4"/>
    <m/>
    <x v="0"/>
    <x v="6"/>
    <x v="102"/>
    <n v="1"/>
    <m/>
    <m/>
    <n v="394"/>
    <n v="140"/>
    <m/>
    <m/>
    <m/>
    <m/>
    <n v="140"/>
    <m/>
    <m/>
    <x v="102"/>
    <x v="0"/>
    <n v="0.206794682422452"/>
    <s v="NO"/>
    <m/>
  </r>
  <r>
    <m/>
    <x v="8"/>
    <s v="IRRC"/>
    <x v="0"/>
    <x v="6"/>
    <x v="102"/>
    <n v="1"/>
    <m/>
    <m/>
    <n v="447"/>
    <n v="447"/>
    <m/>
    <m/>
    <m/>
    <m/>
    <n v="447"/>
    <m/>
    <m/>
    <x v="102"/>
    <x v="0"/>
    <n v="0.66026587887740029"/>
    <s v="NO"/>
    <m/>
  </r>
  <r>
    <m/>
    <x v="0"/>
    <s v="KBSS"/>
    <x v="0"/>
    <x v="6"/>
    <x v="102"/>
    <n v="1"/>
    <m/>
    <m/>
    <n v="130"/>
    <n v="130"/>
    <m/>
    <m/>
    <m/>
    <m/>
    <n v="130"/>
    <m/>
    <m/>
    <x v="102"/>
    <x v="0"/>
    <n v="0.19202363367799113"/>
    <s v="NO"/>
    <m/>
  </r>
  <r>
    <d v="2013-12-01T00:00:00"/>
    <x v="0"/>
    <s v="KBC"/>
    <x v="0"/>
    <x v="2"/>
    <x v="103"/>
    <n v="1"/>
    <m/>
    <m/>
    <n v="11"/>
    <n v="11"/>
    <m/>
    <m/>
    <m/>
    <m/>
    <n v="11"/>
    <m/>
    <m/>
    <x v="103"/>
    <x v="0"/>
    <n v="6.1797752808988762E-2"/>
    <s v="NO"/>
    <m/>
  </r>
  <r>
    <m/>
    <x v="0"/>
    <s v="KBC"/>
    <x v="0"/>
    <x v="2"/>
    <x v="103"/>
    <n v="1"/>
    <m/>
    <m/>
    <n v="24"/>
    <n v="24"/>
    <m/>
    <m/>
    <m/>
    <m/>
    <n v="24"/>
    <m/>
    <m/>
    <x v="103"/>
    <x v="0"/>
    <n v="0.1348314606741573"/>
    <s v="NO"/>
    <m/>
  </r>
  <r>
    <m/>
    <x v="0"/>
    <s v="KMSS"/>
    <x v="0"/>
    <x v="4"/>
    <x v="104"/>
    <n v="1"/>
    <m/>
    <m/>
    <m/>
    <m/>
    <m/>
    <m/>
    <m/>
    <m/>
    <n v="0"/>
    <n v="40"/>
    <m/>
    <x v="104"/>
    <x v="0"/>
    <n v="0"/>
    <s v="NO"/>
    <m/>
  </r>
  <r>
    <d v="2014-06-01T00:00:00"/>
    <x v="0"/>
    <s v="KBC"/>
    <x v="0"/>
    <x v="1"/>
    <x v="105"/>
    <n v="1"/>
    <m/>
    <m/>
    <n v="10"/>
    <n v="10"/>
    <m/>
    <m/>
    <m/>
    <m/>
    <n v="10"/>
    <m/>
    <m/>
    <x v="105"/>
    <x v="0"/>
    <n v="6.6666666666666666E-2"/>
    <s v="NO"/>
    <m/>
  </r>
  <r>
    <d v="2013-12-01T00:00:00"/>
    <x v="0"/>
    <s v="KBC"/>
    <x v="0"/>
    <x v="1"/>
    <x v="105"/>
    <n v="1"/>
    <m/>
    <m/>
    <n v="50"/>
    <n v="50"/>
    <m/>
    <m/>
    <m/>
    <m/>
    <n v="50"/>
    <m/>
    <m/>
    <x v="105"/>
    <x v="0"/>
    <n v="0.33333333333333331"/>
    <s v="NO"/>
    <m/>
  </r>
  <r>
    <m/>
    <x v="5"/>
    <m/>
    <x v="0"/>
    <x v="1"/>
    <x v="105"/>
    <n v="1"/>
    <m/>
    <m/>
    <n v="36"/>
    <n v="36"/>
    <m/>
    <m/>
    <m/>
    <m/>
    <n v="36"/>
    <m/>
    <m/>
    <x v="105"/>
    <x v="0"/>
    <n v="0.24"/>
    <s v="NO"/>
    <m/>
  </r>
  <r>
    <m/>
    <x v="0"/>
    <m/>
    <x v="0"/>
    <x v="1"/>
    <x v="105"/>
    <n v="1"/>
    <m/>
    <m/>
    <n v="30"/>
    <n v="30"/>
    <m/>
    <m/>
    <m/>
    <m/>
    <n v="30"/>
    <m/>
    <m/>
    <x v="105"/>
    <x v="0"/>
    <n v="0.2"/>
    <s v="NO"/>
    <m/>
  </r>
  <r>
    <d v="2016-05-10T00:00:00"/>
    <x v="4"/>
    <s v="KMSS"/>
    <x v="0"/>
    <x v="2"/>
    <x v="106"/>
    <n v="1"/>
    <m/>
    <m/>
    <n v="60"/>
    <n v="65"/>
    <m/>
    <m/>
    <m/>
    <m/>
    <n v="65"/>
    <m/>
    <m/>
    <x v="106"/>
    <x v="0"/>
    <n v="0.66326530612244894"/>
    <s v="NO"/>
    <m/>
  </r>
  <r>
    <d v="2016-02-22T00:00:00"/>
    <x v="4"/>
    <m/>
    <x v="0"/>
    <x v="2"/>
    <x v="106"/>
    <n v="1"/>
    <m/>
    <m/>
    <n v="66"/>
    <n v="66"/>
    <m/>
    <m/>
    <m/>
    <m/>
    <n v="0"/>
    <m/>
    <m/>
    <x v="106"/>
    <x v="0"/>
    <n v="0"/>
    <s v="YES"/>
    <m/>
  </r>
  <r>
    <m/>
    <x v="1"/>
    <m/>
    <x v="0"/>
    <x v="2"/>
    <x v="106"/>
    <n v="1"/>
    <n v="207"/>
    <n v="207"/>
    <m/>
    <m/>
    <m/>
    <m/>
    <m/>
    <m/>
    <n v="0"/>
    <m/>
    <m/>
    <x v="106"/>
    <x v="0"/>
    <n v="0"/>
    <s v="NO"/>
    <m/>
  </r>
  <r>
    <d v="2014-12-01T00:00:00"/>
    <x v="0"/>
    <s v="Shalom"/>
    <x v="0"/>
    <x v="2"/>
    <x v="107"/>
    <n v="1"/>
    <m/>
    <m/>
    <n v="21"/>
    <n v="21"/>
    <m/>
    <m/>
    <m/>
    <m/>
    <n v="21"/>
    <m/>
    <m/>
    <x v="107"/>
    <x v="0"/>
    <n v="0.23076923076923078"/>
    <s v="NO"/>
    <m/>
  </r>
  <r>
    <d v="2013-12-01T00:00:00"/>
    <x v="0"/>
    <s v="Shalom"/>
    <x v="0"/>
    <x v="2"/>
    <x v="107"/>
    <n v="1"/>
    <m/>
    <m/>
    <n v="10"/>
    <n v="10"/>
    <m/>
    <m/>
    <m/>
    <m/>
    <n v="10"/>
    <m/>
    <m/>
    <x v="107"/>
    <x v="0"/>
    <n v="0.10989010989010989"/>
    <s v="NO"/>
    <m/>
  </r>
  <r>
    <m/>
    <x v="0"/>
    <s v="Shalom"/>
    <x v="0"/>
    <x v="2"/>
    <x v="107"/>
    <n v="1"/>
    <m/>
    <m/>
    <n v="45"/>
    <n v="45"/>
    <m/>
    <m/>
    <m/>
    <m/>
    <n v="45"/>
    <n v="10"/>
    <m/>
    <x v="107"/>
    <x v="0"/>
    <n v="0.49450549450549453"/>
    <s v="NO"/>
    <m/>
  </r>
  <r>
    <m/>
    <x v="0"/>
    <m/>
    <x v="0"/>
    <x v="2"/>
    <x v="107"/>
    <n v="1"/>
    <m/>
    <m/>
    <n v="5"/>
    <n v="5"/>
    <m/>
    <m/>
    <m/>
    <m/>
    <n v="5"/>
    <m/>
    <m/>
    <x v="107"/>
    <x v="0"/>
    <n v="5.4945054945054944E-2"/>
    <s v="NO"/>
    <m/>
  </r>
  <r>
    <m/>
    <x v="11"/>
    <m/>
    <x v="0"/>
    <x v="2"/>
    <x v="107"/>
    <n v="1"/>
    <m/>
    <m/>
    <n v="10"/>
    <n v="10"/>
    <m/>
    <m/>
    <m/>
    <m/>
    <n v="10"/>
    <m/>
    <m/>
    <x v="107"/>
    <x v="0"/>
    <n v="0.10989010989010989"/>
    <s v="NO"/>
    <m/>
  </r>
  <r>
    <m/>
    <x v="0"/>
    <s v="Shalom"/>
    <x v="0"/>
    <x v="2"/>
    <x v="107"/>
    <n v="1"/>
    <m/>
    <m/>
    <n v="5"/>
    <n v="5"/>
    <m/>
    <m/>
    <m/>
    <m/>
    <n v="5"/>
    <m/>
    <m/>
    <x v="107"/>
    <x v="0"/>
    <n v="5.4945054945054944E-2"/>
    <s v="NO"/>
    <m/>
  </r>
  <r>
    <d v="2016-05-12T00:00:00"/>
    <x v="0"/>
    <s v="KBC"/>
    <x v="0"/>
    <x v="2"/>
    <x v="108"/>
    <n v="1"/>
    <m/>
    <m/>
    <m/>
    <m/>
    <m/>
    <m/>
    <m/>
    <m/>
    <n v="0"/>
    <n v="20"/>
    <m/>
    <x v="108"/>
    <x v="0"/>
    <n v="0"/>
    <s v="NO"/>
    <m/>
  </r>
  <r>
    <m/>
    <x v="6"/>
    <s v="KBC"/>
    <x v="0"/>
    <x v="2"/>
    <x v="108"/>
    <n v="1"/>
    <m/>
    <m/>
    <n v="8"/>
    <n v="8"/>
    <m/>
    <m/>
    <m/>
    <m/>
    <n v="8"/>
    <m/>
    <m/>
    <x v="108"/>
    <x v="0"/>
    <n v="0.12307692307692308"/>
    <s v="NO"/>
    <m/>
  </r>
  <r>
    <m/>
    <x v="0"/>
    <s v="KBC"/>
    <x v="0"/>
    <x v="2"/>
    <x v="108"/>
    <n v="1"/>
    <m/>
    <m/>
    <n v="10"/>
    <n v="10"/>
    <m/>
    <m/>
    <m/>
    <m/>
    <n v="10"/>
    <m/>
    <m/>
    <x v="108"/>
    <x v="0"/>
    <n v="0.15384615384615385"/>
    <s v="NO"/>
    <m/>
  </r>
  <r>
    <m/>
    <x v="0"/>
    <m/>
    <x v="0"/>
    <x v="2"/>
    <x v="108"/>
    <n v="1"/>
    <m/>
    <m/>
    <n v="20"/>
    <n v="20"/>
    <m/>
    <m/>
    <m/>
    <m/>
    <n v="20"/>
    <m/>
    <m/>
    <x v="108"/>
    <x v="0"/>
    <n v="0.30769230769230771"/>
    <s v="NO"/>
    <m/>
  </r>
  <r>
    <d v="2014-06-01T00:00:00"/>
    <x v="0"/>
    <s v="Shalom"/>
    <x v="0"/>
    <x v="2"/>
    <x v="109"/>
    <n v="1"/>
    <m/>
    <m/>
    <n v="3"/>
    <n v="3"/>
    <m/>
    <m/>
    <m/>
    <m/>
    <n v="3"/>
    <m/>
    <m/>
    <x v="109"/>
    <x v="0"/>
    <n v="9.6774193548387094E-2"/>
    <s v="NO"/>
    <m/>
  </r>
  <r>
    <d v="2013-12-01T00:00:00"/>
    <x v="0"/>
    <s v="Shalom"/>
    <x v="0"/>
    <x v="2"/>
    <x v="109"/>
    <n v="1"/>
    <m/>
    <m/>
    <n v="10"/>
    <n v="10"/>
    <m/>
    <m/>
    <m/>
    <m/>
    <n v="10"/>
    <m/>
    <m/>
    <x v="109"/>
    <x v="0"/>
    <n v="0.32258064516129031"/>
    <s v="NO"/>
    <m/>
  </r>
  <r>
    <m/>
    <x v="0"/>
    <s v="Shalom"/>
    <x v="0"/>
    <x v="2"/>
    <x v="109"/>
    <n v="1"/>
    <m/>
    <m/>
    <n v="23"/>
    <n v="23"/>
    <m/>
    <m/>
    <m/>
    <m/>
    <n v="23"/>
    <m/>
    <m/>
    <x v="109"/>
    <x v="0"/>
    <n v="0.74193548387096775"/>
    <s v="NO"/>
    <m/>
  </r>
  <r>
    <m/>
    <x v="0"/>
    <s v="Shalom"/>
    <x v="0"/>
    <x v="2"/>
    <x v="109"/>
    <n v="1"/>
    <m/>
    <m/>
    <n v="3"/>
    <n v="3"/>
    <m/>
    <m/>
    <m/>
    <m/>
    <n v="3"/>
    <m/>
    <m/>
    <x v="109"/>
    <x v="0"/>
    <n v="9.6774193548387094E-2"/>
    <s v="NO"/>
    <m/>
  </r>
  <r>
    <m/>
    <x v="0"/>
    <s v="Shalom"/>
    <x v="0"/>
    <x v="2"/>
    <x v="110"/>
    <n v="1"/>
    <m/>
    <m/>
    <n v="100"/>
    <n v="100"/>
    <m/>
    <m/>
    <m/>
    <m/>
    <n v="100"/>
    <n v="15"/>
    <m/>
    <x v="110"/>
    <x v="0"/>
    <n v="1.1363636363636365"/>
    <s v="NO"/>
    <m/>
  </r>
  <r>
    <d v="2013-12-01T00:00:00"/>
    <x v="0"/>
    <s v="Shalom"/>
    <x v="0"/>
    <x v="0"/>
    <x v="111"/>
    <n v="1"/>
    <m/>
    <m/>
    <n v="10"/>
    <n v="10"/>
    <m/>
    <m/>
    <m/>
    <m/>
    <n v="10"/>
    <m/>
    <m/>
    <x v="111"/>
    <x v="0"/>
    <n v="1"/>
    <s v="NO"/>
    <m/>
  </r>
  <r>
    <m/>
    <x v="1"/>
    <m/>
    <x v="0"/>
    <x v="0"/>
    <x v="111"/>
    <n v="1"/>
    <n v="9"/>
    <n v="9"/>
    <m/>
    <m/>
    <m/>
    <m/>
    <m/>
    <m/>
    <n v="0"/>
    <m/>
    <m/>
    <x v="111"/>
    <x v="0"/>
    <n v="0"/>
    <s v="NO"/>
    <m/>
  </r>
  <r>
    <d v="2013-12-01T00:00:00"/>
    <x v="0"/>
    <s v="KBC"/>
    <x v="0"/>
    <x v="1"/>
    <x v="112"/>
    <n v="1"/>
    <m/>
    <m/>
    <n v="30"/>
    <n v="30"/>
    <m/>
    <m/>
    <m/>
    <m/>
    <n v="30"/>
    <m/>
    <m/>
    <x v="112"/>
    <x v="0"/>
    <n v="4.7694753577106522E-2"/>
    <s v="NO"/>
    <m/>
  </r>
  <r>
    <m/>
    <x v="6"/>
    <m/>
    <x v="0"/>
    <x v="1"/>
    <x v="112"/>
    <n v="1"/>
    <m/>
    <m/>
    <n v="162"/>
    <n v="162"/>
    <m/>
    <m/>
    <m/>
    <m/>
    <n v="162"/>
    <m/>
    <m/>
    <x v="112"/>
    <x v="0"/>
    <n v="0.25755166931637519"/>
    <s v="NO"/>
    <m/>
  </r>
  <r>
    <m/>
    <x v="5"/>
    <m/>
    <x v="0"/>
    <x v="1"/>
    <x v="112"/>
    <n v="1"/>
    <m/>
    <m/>
    <n v="163"/>
    <n v="163"/>
    <m/>
    <m/>
    <m/>
    <m/>
    <n v="163"/>
    <m/>
    <m/>
    <x v="112"/>
    <x v="0"/>
    <n v="0.25914149443561207"/>
    <s v="NO"/>
    <m/>
  </r>
  <r>
    <d v="2016-06-15T00:00:00"/>
    <x v="0"/>
    <s v="KBC"/>
    <x v="0"/>
    <x v="1"/>
    <x v="112"/>
    <n v="1"/>
    <m/>
    <m/>
    <m/>
    <m/>
    <m/>
    <m/>
    <m/>
    <m/>
    <n v="0"/>
    <n v="20"/>
    <m/>
    <x v="112"/>
    <x v="0"/>
    <n v="0"/>
    <s v="NO"/>
    <m/>
  </r>
  <r>
    <m/>
    <x v="0"/>
    <m/>
    <x v="0"/>
    <x v="1"/>
    <x v="112"/>
    <n v="1"/>
    <m/>
    <m/>
    <n v="70"/>
    <n v="70"/>
    <m/>
    <m/>
    <m/>
    <m/>
    <n v="70"/>
    <m/>
    <m/>
    <x v="112"/>
    <x v="0"/>
    <n v="0.11128775834658187"/>
    <s v="NO"/>
    <m/>
  </r>
  <r>
    <m/>
    <x v="1"/>
    <m/>
    <x v="0"/>
    <x v="5"/>
    <x v="113"/>
    <n v="1"/>
    <n v="1"/>
    <n v="1"/>
    <m/>
    <m/>
    <m/>
    <m/>
    <m/>
    <m/>
    <n v="0"/>
    <m/>
    <m/>
    <x v="113"/>
    <x v="2"/>
    <s v=""/>
    <s v="NO"/>
    <m/>
  </r>
  <r>
    <d v="2013-12-01T00:00:00"/>
    <x v="0"/>
    <s v="KBC"/>
    <x v="0"/>
    <x v="0"/>
    <x v="114"/>
    <n v="1"/>
    <m/>
    <m/>
    <n v="5"/>
    <n v="5"/>
    <m/>
    <m/>
    <m/>
    <m/>
    <n v="5"/>
    <m/>
    <m/>
    <x v="114"/>
    <x v="0"/>
    <n v="0.625"/>
    <s v="NO"/>
    <m/>
  </r>
  <r>
    <m/>
    <x v="1"/>
    <m/>
    <x v="0"/>
    <x v="0"/>
    <x v="114"/>
    <n v="1"/>
    <n v="7"/>
    <n v="7"/>
    <m/>
    <m/>
    <m/>
    <m/>
    <m/>
    <m/>
    <n v="0"/>
    <m/>
    <m/>
    <x v="114"/>
    <x v="0"/>
    <n v="0"/>
    <s v="NO"/>
    <m/>
  </r>
  <r>
    <d v="2016-02-22T00:00:00"/>
    <x v="10"/>
    <m/>
    <x v="0"/>
    <x v="9"/>
    <x v="115"/>
    <n v="1"/>
    <m/>
    <m/>
    <n v="40"/>
    <n v="40"/>
    <m/>
    <m/>
    <m/>
    <m/>
    <n v="40"/>
    <m/>
    <m/>
    <x v="115"/>
    <x v="0"/>
    <n v="1.3333333333333333"/>
    <s v="NO"/>
    <m/>
  </r>
  <r>
    <m/>
    <x v="0"/>
    <m/>
    <x v="0"/>
    <x v="6"/>
    <x v="116"/>
    <n v="1"/>
    <m/>
    <m/>
    <n v="40"/>
    <n v="40"/>
    <m/>
    <m/>
    <m/>
    <m/>
    <n v="40"/>
    <m/>
    <m/>
    <x v="116"/>
    <x v="0"/>
    <n v="1.0256410256410255"/>
    <s v="NO"/>
    <m/>
  </r>
  <r>
    <d v="2016-02-16T00:00:00"/>
    <x v="0"/>
    <s v="KBC"/>
    <x v="0"/>
    <x v="5"/>
    <x v="117"/>
    <n v="1"/>
    <m/>
    <m/>
    <m/>
    <m/>
    <m/>
    <m/>
    <m/>
    <m/>
    <n v="0"/>
    <n v="30"/>
    <n v="30"/>
    <x v="117"/>
    <x v="0"/>
    <n v="0"/>
    <s v="NO"/>
    <m/>
  </r>
  <r>
    <m/>
    <x v="6"/>
    <s v="Shalom"/>
    <x v="0"/>
    <x v="5"/>
    <x v="117"/>
    <n v="1"/>
    <m/>
    <m/>
    <n v="14"/>
    <n v="14"/>
    <m/>
    <m/>
    <m/>
    <m/>
    <n v="14"/>
    <m/>
    <m/>
    <x v="117"/>
    <x v="0"/>
    <n v="0.15555555555555556"/>
    <s v="NO"/>
    <m/>
  </r>
  <r>
    <m/>
    <x v="0"/>
    <s v="KBC"/>
    <x v="0"/>
    <x v="5"/>
    <x v="117"/>
    <n v="1"/>
    <m/>
    <m/>
    <n v="10"/>
    <n v="10"/>
    <m/>
    <m/>
    <m/>
    <m/>
    <n v="10"/>
    <m/>
    <m/>
    <x v="117"/>
    <x v="0"/>
    <n v="0.1111111111111111"/>
    <s v="NO"/>
    <m/>
  </r>
  <r>
    <m/>
    <x v="0"/>
    <m/>
    <x v="0"/>
    <x v="5"/>
    <x v="117"/>
    <n v="1"/>
    <m/>
    <m/>
    <n v="40"/>
    <n v="40"/>
    <m/>
    <m/>
    <m/>
    <m/>
    <n v="40"/>
    <m/>
    <m/>
    <x v="117"/>
    <x v="0"/>
    <n v="0.44444444444444442"/>
    <s v="NO"/>
    <m/>
  </r>
  <r>
    <d v="2016-05-12T00:00:00"/>
    <x v="0"/>
    <s v="KBC"/>
    <x v="0"/>
    <x v="2"/>
    <x v="118"/>
    <n v="1"/>
    <m/>
    <m/>
    <m/>
    <m/>
    <m/>
    <m/>
    <m/>
    <m/>
    <n v="0"/>
    <n v="5"/>
    <m/>
    <x v="118"/>
    <x v="0"/>
    <n v="0"/>
    <s v="NO"/>
    <m/>
  </r>
  <r>
    <d v="2016-02-16T00:00:00"/>
    <x v="10"/>
    <m/>
    <x v="0"/>
    <x v="2"/>
    <x v="118"/>
    <n v="1"/>
    <m/>
    <m/>
    <n v="73"/>
    <n v="73"/>
    <m/>
    <m/>
    <m/>
    <m/>
    <n v="73"/>
    <m/>
    <m/>
    <x v="118"/>
    <x v="0"/>
    <n v="0.40782122905027934"/>
    <s v="NO"/>
    <m/>
  </r>
  <r>
    <d v="2014-12-30T00:00:00"/>
    <x v="0"/>
    <s v="KBC"/>
    <x v="0"/>
    <x v="2"/>
    <x v="118"/>
    <n v="1"/>
    <n v="90"/>
    <m/>
    <m/>
    <m/>
    <m/>
    <m/>
    <m/>
    <m/>
    <n v="0"/>
    <m/>
    <m/>
    <x v="118"/>
    <x v="0"/>
    <n v="0"/>
    <s v="NO"/>
    <m/>
  </r>
  <r>
    <d v="2013-12-01T00:00:00"/>
    <x v="0"/>
    <s v="KBC"/>
    <x v="0"/>
    <x v="2"/>
    <x v="118"/>
    <n v="1"/>
    <m/>
    <m/>
    <n v="18"/>
    <n v="18"/>
    <m/>
    <m/>
    <m/>
    <m/>
    <n v="18"/>
    <m/>
    <m/>
    <x v="118"/>
    <x v="0"/>
    <n v="0.1005586592178771"/>
    <s v="NO"/>
    <m/>
  </r>
  <r>
    <m/>
    <x v="0"/>
    <s v="KBC"/>
    <x v="0"/>
    <x v="2"/>
    <x v="118"/>
    <n v="1"/>
    <m/>
    <m/>
    <n v="170"/>
    <n v="170"/>
    <m/>
    <m/>
    <m/>
    <m/>
    <n v="170"/>
    <m/>
    <m/>
    <x v="118"/>
    <x v="0"/>
    <n v="0.94972067039106145"/>
    <s v="NO"/>
    <m/>
  </r>
  <r>
    <m/>
    <x v="5"/>
    <m/>
    <x v="0"/>
    <x v="16"/>
    <x v="119"/>
    <n v="1"/>
    <m/>
    <m/>
    <n v="42"/>
    <n v="42"/>
    <m/>
    <m/>
    <m/>
    <m/>
    <n v="42"/>
    <m/>
    <m/>
    <x v="119"/>
    <x v="0"/>
    <n v="0.48837209302325579"/>
    <s v="NO"/>
    <m/>
  </r>
  <r>
    <m/>
    <x v="8"/>
    <s v="KBSS"/>
    <x v="0"/>
    <x v="16"/>
    <x v="120"/>
    <n v="1"/>
    <m/>
    <m/>
    <n v="36"/>
    <n v="36"/>
    <m/>
    <m/>
    <m/>
    <m/>
    <n v="36"/>
    <m/>
    <m/>
    <x v="120"/>
    <x v="0"/>
    <n v="0.87804878048780488"/>
    <s v="NO"/>
    <m/>
  </r>
  <r>
    <m/>
    <x v="0"/>
    <s v="KBSS"/>
    <x v="0"/>
    <x v="16"/>
    <x v="120"/>
    <n v="1"/>
    <m/>
    <m/>
    <n v="10"/>
    <n v="10"/>
    <m/>
    <m/>
    <m/>
    <m/>
    <n v="10"/>
    <m/>
    <m/>
    <x v="120"/>
    <x v="0"/>
    <n v="0.24390243902439024"/>
    <s v="NO"/>
    <m/>
  </r>
  <r>
    <d v="2016-02-16T00:00:00"/>
    <x v="0"/>
    <s v="KBC"/>
    <x v="0"/>
    <x v="5"/>
    <x v="121"/>
    <n v="1"/>
    <m/>
    <m/>
    <m/>
    <m/>
    <m/>
    <m/>
    <m/>
    <m/>
    <n v="0"/>
    <n v="46"/>
    <n v="46"/>
    <x v="121"/>
    <x v="0"/>
    <n v="0"/>
    <s v="NO"/>
    <m/>
  </r>
  <r>
    <m/>
    <x v="0"/>
    <s v="KBC"/>
    <x v="0"/>
    <x v="5"/>
    <x v="121"/>
    <n v="1"/>
    <m/>
    <m/>
    <n v="50"/>
    <n v="50"/>
    <m/>
    <m/>
    <m/>
    <m/>
    <n v="50"/>
    <m/>
    <m/>
    <x v="121"/>
    <x v="0"/>
    <n v="0.5494505494505495"/>
    <s v="NO"/>
    <m/>
  </r>
  <r>
    <m/>
    <x v="8"/>
    <s v="KMSS"/>
    <x v="0"/>
    <x v="15"/>
    <x v="122"/>
    <n v="1"/>
    <m/>
    <m/>
    <n v="12"/>
    <n v="12"/>
    <m/>
    <m/>
    <m/>
    <m/>
    <n v="12"/>
    <m/>
    <m/>
    <x v="122"/>
    <x v="0"/>
    <n v="1"/>
    <s v="NO"/>
    <m/>
  </r>
  <r>
    <d v="2013-12-01T00:00:00"/>
    <x v="0"/>
    <s v="Shalom"/>
    <x v="0"/>
    <x v="1"/>
    <x v="123"/>
    <n v="1"/>
    <m/>
    <m/>
    <n v="15"/>
    <n v="15"/>
    <m/>
    <m/>
    <m/>
    <m/>
    <n v="15"/>
    <n v="10"/>
    <m/>
    <x v="123"/>
    <x v="0"/>
    <n v="0.7142857142857143"/>
    <s v="NO"/>
    <m/>
  </r>
  <r>
    <m/>
    <x v="0"/>
    <m/>
    <x v="0"/>
    <x v="1"/>
    <x v="123"/>
    <n v="1"/>
    <m/>
    <m/>
    <n v="40"/>
    <n v="40"/>
    <m/>
    <m/>
    <m/>
    <m/>
    <n v="40"/>
    <m/>
    <m/>
    <x v="123"/>
    <x v="0"/>
    <n v="1.9047619047619047"/>
    <s v="NO"/>
    <m/>
  </r>
  <r>
    <d v="2016-05-12T00:00:00"/>
    <x v="0"/>
    <s v="KBC"/>
    <x v="0"/>
    <x v="5"/>
    <x v="124"/>
    <n v="1"/>
    <m/>
    <m/>
    <m/>
    <m/>
    <m/>
    <m/>
    <m/>
    <m/>
    <n v="0"/>
    <n v="10"/>
    <m/>
    <x v="124"/>
    <x v="0"/>
    <n v="0"/>
    <s v="NO"/>
    <m/>
  </r>
  <r>
    <d v="2016-02-16T00:00:00"/>
    <x v="0"/>
    <s v="KBC"/>
    <x v="0"/>
    <x v="5"/>
    <x v="124"/>
    <n v="1"/>
    <m/>
    <m/>
    <m/>
    <m/>
    <m/>
    <m/>
    <m/>
    <m/>
    <n v="0"/>
    <n v="37"/>
    <n v="37"/>
    <x v="124"/>
    <x v="0"/>
    <n v="0"/>
    <s v="NO"/>
    <m/>
  </r>
  <r>
    <m/>
    <x v="0"/>
    <s v="KBC"/>
    <x v="0"/>
    <x v="5"/>
    <x v="124"/>
    <n v="1"/>
    <m/>
    <m/>
    <n v="60"/>
    <n v="60"/>
    <m/>
    <m/>
    <m/>
    <m/>
    <n v="60"/>
    <m/>
    <m/>
    <x v="124"/>
    <x v="0"/>
    <n v="0.89552238805970152"/>
    <s v="NO"/>
    <m/>
  </r>
  <r>
    <d v="2016-02-16T00:00:00"/>
    <x v="0"/>
    <s v="Shalom"/>
    <x v="0"/>
    <x v="5"/>
    <x v="125"/>
    <n v="1"/>
    <m/>
    <m/>
    <n v="10"/>
    <n v="10"/>
    <m/>
    <m/>
    <m/>
    <m/>
    <n v="10"/>
    <m/>
    <m/>
    <x v="125"/>
    <x v="0"/>
    <n v="0.18518518518518517"/>
    <s v="NO"/>
    <m/>
  </r>
  <r>
    <d v="2014-12-01T00:00:00"/>
    <x v="0"/>
    <s v="Shalom"/>
    <x v="0"/>
    <x v="5"/>
    <x v="125"/>
    <n v="1"/>
    <m/>
    <m/>
    <n v="5"/>
    <n v="5"/>
    <m/>
    <m/>
    <m/>
    <m/>
    <n v="5"/>
    <m/>
    <m/>
    <x v="125"/>
    <x v="0"/>
    <n v="9.2592592592592587E-2"/>
    <s v="NO"/>
    <m/>
  </r>
  <r>
    <d v="2014-06-01T00:00:00"/>
    <x v="0"/>
    <s v="Shalom"/>
    <x v="0"/>
    <x v="5"/>
    <x v="125"/>
    <n v="1"/>
    <m/>
    <m/>
    <n v="10"/>
    <n v="10"/>
    <m/>
    <m/>
    <m/>
    <m/>
    <n v="10"/>
    <m/>
    <m/>
    <x v="125"/>
    <x v="0"/>
    <n v="0.18518518518518517"/>
    <s v="NO"/>
    <m/>
  </r>
  <r>
    <d v="2013-12-01T00:00:00"/>
    <x v="0"/>
    <s v="Shalom"/>
    <x v="0"/>
    <x v="5"/>
    <x v="125"/>
    <n v="1"/>
    <m/>
    <m/>
    <n v="30"/>
    <n v="30"/>
    <m/>
    <m/>
    <m/>
    <m/>
    <n v="30"/>
    <m/>
    <m/>
    <x v="125"/>
    <x v="0"/>
    <n v="0.55555555555555558"/>
    <s v="NO"/>
    <m/>
  </r>
  <r>
    <m/>
    <x v="15"/>
    <s v="Shalom"/>
    <x v="0"/>
    <x v="5"/>
    <x v="125"/>
    <n v="1"/>
    <m/>
    <m/>
    <n v="12"/>
    <n v="12"/>
    <m/>
    <m/>
    <m/>
    <m/>
    <n v="12"/>
    <m/>
    <m/>
    <x v="125"/>
    <x v="0"/>
    <n v="0.22222222222222221"/>
    <s v="NO"/>
    <m/>
  </r>
  <r>
    <m/>
    <x v="0"/>
    <s v="Shalom"/>
    <x v="0"/>
    <x v="5"/>
    <x v="125"/>
    <n v="1"/>
    <m/>
    <m/>
    <n v="40"/>
    <n v="40"/>
    <m/>
    <m/>
    <m/>
    <m/>
    <n v="40"/>
    <m/>
    <m/>
    <x v="125"/>
    <x v="0"/>
    <n v="0.7407407407407407"/>
    <s v="NO"/>
    <m/>
  </r>
  <r>
    <m/>
    <x v="0"/>
    <s v="Shalom"/>
    <x v="0"/>
    <x v="5"/>
    <x v="125"/>
    <n v="1"/>
    <m/>
    <m/>
    <n v="20"/>
    <n v="20"/>
    <m/>
    <m/>
    <m/>
    <m/>
    <n v="20"/>
    <m/>
    <m/>
    <x v="125"/>
    <x v="0"/>
    <n v="0.37037037037037035"/>
    <s v="NO"/>
    <m/>
  </r>
  <r>
    <m/>
    <x v="0"/>
    <s v="Shalom"/>
    <x v="0"/>
    <x v="5"/>
    <x v="126"/>
    <n v="1"/>
    <m/>
    <m/>
    <n v="10"/>
    <n v="10"/>
    <m/>
    <m/>
    <m/>
    <m/>
    <n v="10"/>
    <m/>
    <m/>
    <x v="126"/>
    <x v="0"/>
    <n v="1.6666666666666667"/>
    <s v="NO"/>
    <m/>
  </r>
  <r>
    <m/>
    <x v="0"/>
    <m/>
    <x v="0"/>
    <x v="5"/>
    <x v="126"/>
    <n v="1"/>
    <m/>
    <m/>
    <n v="5"/>
    <n v="5"/>
    <m/>
    <m/>
    <m/>
    <m/>
    <n v="5"/>
    <m/>
    <m/>
    <x v="126"/>
    <x v="0"/>
    <n v="0.83333333333333337"/>
    <s v="NO"/>
    <m/>
  </r>
  <r>
    <d v="2016-05-12T00:00:00"/>
    <x v="0"/>
    <s v="KBC"/>
    <x v="0"/>
    <x v="5"/>
    <x v="127"/>
    <n v="1"/>
    <m/>
    <m/>
    <m/>
    <m/>
    <m/>
    <m/>
    <m/>
    <m/>
    <n v="0"/>
    <n v="5"/>
    <m/>
    <x v="127"/>
    <x v="0"/>
    <n v="0"/>
    <s v="NO"/>
    <m/>
  </r>
  <r>
    <m/>
    <x v="0"/>
    <s v="KBC"/>
    <x v="0"/>
    <x v="5"/>
    <x v="127"/>
    <n v="1"/>
    <m/>
    <m/>
    <n v="20"/>
    <n v="20"/>
    <m/>
    <m/>
    <m/>
    <m/>
    <n v="20"/>
    <m/>
    <m/>
    <x v="127"/>
    <x v="0"/>
    <n v="0.625"/>
    <s v="NO"/>
    <m/>
  </r>
  <r>
    <d v="2016-05-12T00:00:00"/>
    <x v="0"/>
    <s v="KBC"/>
    <x v="0"/>
    <x v="5"/>
    <x v="128"/>
    <n v="1"/>
    <m/>
    <m/>
    <m/>
    <m/>
    <m/>
    <m/>
    <m/>
    <m/>
    <n v="0"/>
    <n v="3"/>
    <m/>
    <x v="128"/>
    <x v="0"/>
    <n v="0"/>
    <s v="NO"/>
    <m/>
  </r>
  <r>
    <m/>
    <x v="6"/>
    <s v="KBC"/>
    <x v="0"/>
    <x v="5"/>
    <x v="128"/>
    <n v="1"/>
    <m/>
    <m/>
    <n v="14"/>
    <n v="14"/>
    <m/>
    <m/>
    <m/>
    <m/>
    <n v="14"/>
    <m/>
    <m/>
    <x v="128"/>
    <x v="0"/>
    <n v="0.32558139534883723"/>
    <s v="NO"/>
    <m/>
  </r>
  <r>
    <m/>
    <x v="0"/>
    <s v="KBC"/>
    <x v="0"/>
    <x v="5"/>
    <x v="128"/>
    <n v="1"/>
    <m/>
    <m/>
    <n v="10"/>
    <n v="10"/>
    <m/>
    <m/>
    <m/>
    <m/>
    <n v="10"/>
    <m/>
    <m/>
    <x v="128"/>
    <x v="0"/>
    <n v="0.23255813953488372"/>
    <s v="NO"/>
    <m/>
  </r>
  <r>
    <m/>
    <x v="0"/>
    <s v="KBC"/>
    <x v="0"/>
    <x v="5"/>
    <x v="128"/>
    <n v="1"/>
    <m/>
    <m/>
    <n v="8"/>
    <n v="8"/>
    <m/>
    <m/>
    <m/>
    <m/>
    <n v="8"/>
    <m/>
    <m/>
    <x v="128"/>
    <x v="0"/>
    <n v="0.18604651162790697"/>
    <s v="NO"/>
    <m/>
  </r>
  <r>
    <d v="2014-12-01T00:00:00"/>
    <x v="0"/>
    <s v="Shalom"/>
    <x v="0"/>
    <x v="2"/>
    <x v="129"/>
    <n v="1"/>
    <m/>
    <m/>
    <n v="5"/>
    <n v="5"/>
    <m/>
    <m/>
    <m/>
    <m/>
    <n v="5"/>
    <m/>
    <m/>
    <x v="129"/>
    <x v="0"/>
    <n v="0.11363636363636363"/>
    <s v="NO"/>
    <m/>
  </r>
  <r>
    <d v="2013-12-01T00:00:00"/>
    <x v="0"/>
    <s v="Shalom"/>
    <x v="0"/>
    <x v="2"/>
    <x v="129"/>
    <n v="1"/>
    <m/>
    <m/>
    <n v="5"/>
    <n v="5"/>
    <m/>
    <m/>
    <m/>
    <m/>
    <n v="5"/>
    <m/>
    <m/>
    <x v="129"/>
    <x v="0"/>
    <n v="0.11363636363636363"/>
    <s v="NO"/>
    <m/>
  </r>
  <r>
    <m/>
    <x v="0"/>
    <s v="Shalom"/>
    <x v="0"/>
    <x v="2"/>
    <x v="129"/>
    <n v="1"/>
    <m/>
    <m/>
    <n v="45"/>
    <n v="45"/>
    <m/>
    <m/>
    <m/>
    <m/>
    <n v="45"/>
    <m/>
    <m/>
    <x v="129"/>
    <x v="0"/>
    <n v="1.0227272727272727"/>
    <s v="NO"/>
    <m/>
  </r>
  <r>
    <m/>
    <x v="11"/>
    <m/>
    <x v="0"/>
    <x v="2"/>
    <x v="129"/>
    <n v="1"/>
    <m/>
    <m/>
    <n v="24"/>
    <n v="24"/>
    <m/>
    <m/>
    <m/>
    <m/>
    <n v="24"/>
    <m/>
    <m/>
    <x v="129"/>
    <x v="0"/>
    <n v="0.54545454545454541"/>
    <s v="NO"/>
    <m/>
  </r>
  <r>
    <m/>
    <x v="0"/>
    <s v="Shalom"/>
    <x v="0"/>
    <x v="1"/>
    <x v="130"/>
    <n v="1"/>
    <m/>
    <m/>
    <n v="6"/>
    <m/>
    <m/>
    <m/>
    <m/>
    <m/>
    <n v="0"/>
    <m/>
    <m/>
    <x v="130"/>
    <x v="1"/>
    <s v=""/>
    <s v="NO"/>
    <m/>
  </r>
  <r>
    <m/>
    <x v="0"/>
    <m/>
    <x v="0"/>
    <x v="1"/>
    <x v="130"/>
    <n v="1"/>
    <m/>
    <m/>
    <n v="5"/>
    <m/>
    <m/>
    <m/>
    <m/>
    <m/>
    <n v="0"/>
    <m/>
    <m/>
    <x v="130"/>
    <x v="1"/>
    <s v=""/>
    <s v="NO"/>
    <m/>
  </r>
  <r>
    <d v="2013-12-01T00:00:00"/>
    <x v="0"/>
    <s v="Shalom"/>
    <x v="0"/>
    <x v="2"/>
    <x v="131"/>
    <n v="1"/>
    <m/>
    <m/>
    <n v="6"/>
    <n v="6"/>
    <m/>
    <m/>
    <m/>
    <m/>
    <n v="6"/>
    <m/>
    <m/>
    <x v="131"/>
    <x v="0"/>
    <n v="8.5714285714285715E-2"/>
    <s v="NO"/>
    <m/>
  </r>
  <r>
    <m/>
    <x v="0"/>
    <s v="Shalom"/>
    <x v="0"/>
    <x v="2"/>
    <x v="131"/>
    <n v="1"/>
    <m/>
    <m/>
    <n v="34"/>
    <n v="34"/>
    <m/>
    <m/>
    <m/>
    <m/>
    <n v="34"/>
    <m/>
    <m/>
    <x v="131"/>
    <x v="0"/>
    <n v="0.48571428571428571"/>
    <s v="NO"/>
    <m/>
  </r>
  <r>
    <m/>
    <x v="11"/>
    <m/>
    <x v="0"/>
    <x v="2"/>
    <x v="131"/>
    <n v="1"/>
    <m/>
    <m/>
    <n v="15"/>
    <n v="15"/>
    <m/>
    <m/>
    <m/>
    <m/>
    <n v="15"/>
    <m/>
    <m/>
    <x v="131"/>
    <x v="0"/>
    <n v="0.21428571428571427"/>
    <s v="NO"/>
    <m/>
  </r>
  <r>
    <m/>
    <x v="0"/>
    <s v="KBC"/>
    <x v="0"/>
    <x v="2"/>
    <x v="132"/>
    <n v="1"/>
    <m/>
    <m/>
    <n v="10"/>
    <n v="10"/>
    <m/>
    <m/>
    <m/>
    <m/>
    <n v="0"/>
    <m/>
    <m/>
    <x v="132"/>
    <x v="1"/>
    <s v=""/>
    <s v="NO"/>
    <m/>
  </r>
  <r>
    <m/>
    <x v="0"/>
    <m/>
    <x v="0"/>
    <x v="2"/>
    <x v="132"/>
    <n v="1"/>
    <m/>
    <m/>
    <n v="5"/>
    <n v="5"/>
    <m/>
    <m/>
    <m/>
    <m/>
    <n v="0"/>
    <m/>
    <m/>
    <x v="132"/>
    <x v="1"/>
    <s v=""/>
    <s v="NO"/>
    <m/>
  </r>
  <r>
    <m/>
    <x v="11"/>
    <m/>
    <x v="0"/>
    <x v="2"/>
    <x v="132"/>
    <n v="1"/>
    <m/>
    <m/>
    <n v="10"/>
    <n v="10"/>
    <m/>
    <m/>
    <m/>
    <m/>
    <n v="0"/>
    <m/>
    <m/>
    <x v="132"/>
    <x v="1"/>
    <s v=""/>
    <s v="NO"/>
    <m/>
  </r>
  <r>
    <m/>
    <x v="0"/>
    <s v="KMSS"/>
    <x v="0"/>
    <x v="0"/>
    <x v="133"/>
    <n v="1"/>
    <m/>
    <m/>
    <m/>
    <m/>
    <m/>
    <m/>
    <m/>
    <m/>
    <n v="0"/>
    <n v="14"/>
    <m/>
    <x v="133"/>
    <x v="1"/>
    <s v=""/>
    <s v="NO"/>
    <m/>
  </r>
  <r>
    <d v="2013-12-01T00:00:00"/>
    <x v="0"/>
    <s v="KBC"/>
    <x v="0"/>
    <x v="0"/>
    <x v="134"/>
    <n v="1"/>
    <m/>
    <m/>
    <n v="15"/>
    <n v="15"/>
    <m/>
    <m/>
    <m/>
    <m/>
    <n v="15"/>
    <m/>
    <m/>
    <x v="134"/>
    <x v="0"/>
    <n v="0.42857142857142855"/>
    <s v="NO"/>
    <m/>
  </r>
  <r>
    <m/>
    <x v="1"/>
    <m/>
    <x v="0"/>
    <x v="0"/>
    <x v="134"/>
    <n v="1"/>
    <n v="7"/>
    <n v="7"/>
    <m/>
    <m/>
    <m/>
    <m/>
    <m/>
    <m/>
    <n v="0"/>
    <m/>
    <m/>
    <x v="134"/>
    <x v="0"/>
    <n v="0"/>
    <s v="NO"/>
    <m/>
  </r>
  <r>
    <m/>
    <x v="1"/>
    <m/>
    <x v="0"/>
    <x v="0"/>
    <x v="135"/>
    <n v="1"/>
    <n v="47"/>
    <n v="47"/>
    <m/>
    <m/>
    <m/>
    <m/>
    <m/>
    <m/>
    <n v="0"/>
    <m/>
    <m/>
    <x v="113"/>
    <x v="2"/>
    <s v=""/>
    <s v="NO"/>
    <m/>
  </r>
  <r>
    <d v="2013-12-01T00:00:00"/>
    <x v="0"/>
    <s v="KMSS"/>
    <x v="0"/>
    <x v="2"/>
    <x v="136"/>
    <n v="1"/>
    <m/>
    <m/>
    <n v="160"/>
    <n v="160"/>
    <m/>
    <m/>
    <m/>
    <m/>
    <n v="160"/>
    <m/>
    <m/>
    <x v="135"/>
    <x v="0"/>
    <n v="0.11816838995568685"/>
    <s v="NO"/>
    <m/>
  </r>
  <r>
    <m/>
    <x v="5"/>
    <m/>
    <x v="0"/>
    <x v="2"/>
    <x v="136"/>
    <n v="1"/>
    <m/>
    <m/>
    <n v="300"/>
    <m/>
    <m/>
    <m/>
    <m/>
    <m/>
    <n v="0"/>
    <m/>
    <m/>
    <x v="135"/>
    <x v="0"/>
    <n v="0"/>
    <s v="NO"/>
    <m/>
  </r>
  <r>
    <m/>
    <x v="0"/>
    <s v="Shalom"/>
    <x v="0"/>
    <x v="5"/>
    <x v="137"/>
    <n v="1"/>
    <m/>
    <m/>
    <n v="24"/>
    <n v="24"/>
    <m/>
    <m/>
    <m/>
    <m/>
    <n v="24"/>
    <m/>
    <m/>
    <x v="136"/>
    <x v="0"/>
    <n v="3.4285714285714284"/>
    <s v="NO"/>
    <m/>
  </r>
  <r>
    <d v="2013-12-01T00:00:00"/>
    <x v="0"/>
    <m/>
    <x v="0"/>
    <x v="1"/>
    <x v="138"/>
    <n v="1"/>
    <m/>
    <m/>
    <n v="5"/>
    <n v="5"/>
    <m/>
    <m/>
    <m/>
    <m/>
    <n v="5"/>
    <m/>
    <m/>
    <x v="137"/>
    <x v="0"/>
    <n v="0.33333333333333331"/>
    <s v="NO"/>
    <m/>
  </r>
  <r>
    <m/>
    <x v="5"/>
    <m/>
    <x v="0"/>
    <x v="1"/>
    <x v="138"/>
    <n v="1"/>
    <m/>
    <m/>
    <n v="30"/>
    <n v="30"/>
    <m/>
    <m/>
    <m/>
    <m/>
    <n v="30"/>
    <m/>
    <m/>
    <x v="137"/>
    <x v="0"/>
    <n v="2"/>
    <s v="NO"/>
    <m/>
  </r>
  <r>
    <m/>
    <x v="0"/>
    <s v="Metta"/>
    <x v="0"/>
    <x v="1"/>
    <x v="138"/>
    <n v="1"/>
    <m/>
    <m/>
    <n v="12"/>
    <n v="12"/>
    <m/>
    <m/>
    <m/>
    <m/>
    <n v="12"/>
    <m/>
    <m/>
    <x v="137"/>
    <x v="0"/>
    <n v="0.8"/>
    <s v="NO"/>
    <m/>
  </r>
  <r>
    <m/>
    <x v="0"/>
    <s v="Shalom"/>
    <x v="0"/>
    <x v="1"/>
    <x v="138"/>
    <n v="1"/>
    <m/>
    <m/>
    <n v="10"/>
    <n v="10"/>
    <m/>
    <m/>
    <m/>
    <m/>
    <n v="10"/>
    <m/>
    <m/>
    <x v="137"/>
    <x v="0"/>
    <n v="0.66666666666666663"/>
    <s v="NO"/>
    <m/>
  </r>
  <r>
    <m/>
    <x v="0"/>
    <m/>
    <x v="0"/>
    <x v="1"/>
    <x v="138"/>
    <n v="1"/>
    <m/>
    <m/>
    <n v="6"/>
    <m/>
    <m/>
    <m/>
    <m/>
    <m/>
    <n v="0"/>
    <m/>
    <m/>
    <x v="137"/>
    <x v="0"/>
    <n v="0"/>
    <s v="NO"/>
    <m/>
  </r>
  <r>
    <m/>
    <x v="0"/>
    <s v="Shalom"/>
    <x v="0"/>
    <x v="0"/>
    <x v="139"/>
    <n v="1"/>
    <m/>
    <m/>
    <n v="10"/>
    <n v="10"/>
    <m/>
    <m/>
    <m/>
    <m/>
    <n v="10"/>
    <m/>
    <m/>
    <x v="138"/>
    <x v="0"/>
    <n v="0.52631578947368418"/>
    <s v="NO"/>
    <m/>
  </r>
  <r>
    <d v="2016-05-12T00:00:00"/>
    <x v="0"/>
    <s v="KBC"/>
    <x v="0"/>
    <x v="2"/>
    <x v="140"/>
    <n v="1"/>
    <m/>
    <m/>
    <m/>
    <m/>
    <m/>
    <m/>
    <m/>
    <m/>
    <n v="0"/>
    <n v="40"/>
    <m/>
    <x v="139"/>
    <x v="0"/>
    <n v="0"/>
    <s v="NO"/>
    <m/>
  </r>
  <r>
    <d v="2016-02-16T00:00:00"/>
    <x v="0"/>
    <s v="KBC"/>
    <x v="0"/>
    <x v="2"/>
    <x v="140"/>
    <n v="1"/>
    <m/>
    <m/>
    <m/>
    <m/>
    <m/>
    <m/>
    <m/>
    <m/>
    <n v="0"/>
    <n v="8"/>
    <n v="8"/>
    <x v="139"/>
    <x v="0"/>
    <n v="0"/>
    <s v="NO"/>
    <m/>
  </r>
  <r>
    <d v="2013-12-01T00:00:00"/>
    <x v="0"/>
    <s v="KBC"/>
    <x v="0"/>
    <x v="2"/>
    <x v="140"/>
    <n v="1"/>
    <m/>
    <m/>
    <n v="76"/>
    <n v="76"/>
    <m/>
    <m/>
    <m/>
    <m/>
    <n v="76"/>
    <m/>
    <m/>
    <x v="139"/>
    <x v="0"/>
    <n v="0.12418300653594772"/>
    <s v="NO"/>
    <m/>
  </r>
  <r>
    <m/>
    <x v="7"/>
    <s v="KBC"/>
    <x v="0"/>
    <x v="2"/>
    <x v="140"/>
    <n v="1"/>
    <m/>
    <m/>
    <n v="220"/>
    <n v="220"/>
    <m/>
    <m/>
    <m/>
    <m/>
    <n v="220"/>
    <m/>
    <m/>
    <x v="139"/>
    <x v="0"/>
    <n v="0.35947712418300654"/>
    <s v="NO"/>
    <m/>
  </r>
  <r>
    <m/>
    <x v="0"/>
    <s v="KBC"/>
    <x v="0"/>
    <x v="2"/>
    <x v="140"/>
    <n v="1"/>
    <m/>
    <m/>
    <n v="325"/>
    <n v="325"/>
    <m/>
    <m/>
    <m/>
    <m/>
    <n v="325"/>
    <m/>
    <m/>
    <x v="139"/>
    <x v="0"/>
    <n v="0.53104575163398693"/>
    <s v="NO"/>
    <m/>
  </r>
  <r>
    <d v="2016-02-16T00:00:00"/>
    <x v="5"/>
    <m/>
    <x v="1"/>
    <x v="8"/>
    <x v="141"/>
    <n v="1"/>
    <m/>
    <m/>
    <n v="16"/>
    <n v="16"/>
    <m/>
    <m/>
    <m/>
    <m/>
    <n v="16"/>
    <m/>
    <m/>
    <x v="140"/>
    <x v="0"/>
    <n v="7.9207920792079209E-2"/>
    <s v="NO"/>
    <m/>
  </r>
  <r>
    <m/>
    <x v="9"/>
    <s v="MDCG"/>
    <x v="1"/>
    <x v="8"/>
    <x v="141"/>
    <n v="1"/>
    <m/>
    <m/>
    <n v="85"/>
    <n v="85"/>
    <m/>
    <m/>
    <m/>
    <m/>
    <n v="85"/>
    <m/>
    <m/>
    <x v="140"/>
    <x v="0"/>
    <n v="0.42079207920792078"/>
    <s v="NO"/>
    <m/>
  </r>
  <r>
    <m/>
    <x v="0"/>
    <m/>
    <x v="0"/>
    <x v="0"/>
    <x v="142"/>
    <n v="1"/>
    <n v="30"/>
    <n v="30"/>
    <m/>
    <m/>
    <m/>
    <m/>
    <m/>
    <m/>
    <n v="0"/>
    <m/>
    <m/>
    <x v="113"/>
    <x v="2"/>
    <s v=""/>
    <s v="NO"/>
    <m/>
  </r>
  <r>
    <m/>
    <x v="7"/>
    <s v="KBC"/>
    <x v="0"/>
    <x v="5"/>
    <x v="142"/>
    <n v="1"/>
    <m/>
    <m/>
    <n v="15"/>
    <n v="15"/>
    <m/>
    <m/>
    <m/>
    <m/>
    <n v="0"/>
    <m/>
    <m/>
    <x v="113"/>
    <x v="2"/>
    <s v=""/>
    <s v="NO"/>
    <m/>
  </r>
  <r>
    <m/>
    <x v="0"/>
    <m/>
    <x v="0"/>
    <x v="10"/>
    <x v="142"/>
    <n v="1"/>
    <n v="55"/>
    <n v="55"/>
    <m/>
    <m/>
    <m/>
    <m/>
    <m/>
    <m/>
    <n v="0"/>
    <m/>
    <m/>
    <x v="113"/>
    <x v="2"/>
    <s v=""/>
    <s v="NO"/>
    <m/>
  </r>
</pivotCacheRecords>
</file>

<file path=xl/pivotCache/pivotCacheRecords3.xml><?xml version="1.0" encoding="utf-8"?>
<pivotCacheRecords xmlns="http://schemas.openxmlformats.org/spreadsheetml/2006/main" xmlns:r="http://schemas.openxmlformats.org/officeDocument/2006/relationships" count="243">
  <r>
    <x v="0"/>
    <x v="0"/>
    <s v="MMR001"/>
    <s v="Mohnyin"/>
    <s v="MMR001D002"/>
    <x v="0"/>
    <s v="MMR001009"/>
    <s v="Lone Khin"/>
    <s v="MMR001009001"/>
    <s v="Lone Khin"/>
    <n v="166773"/>
    <x v="0"/>
    <x v="0"/>
    <x v="0"/>
    <n v="25.658650000000002"/>
    <m/>
    <n v="0"/>
    <n v="0"/>
    <s v="NA"/>
    <x v="0"/>
    <x v="0"/>
    <x v="0"/>
    <x v="0"/>
    <m/>
    <m/>
    <x v="0"/>
    <m/>
    <m/>
    <m/>
    <s v=" "/>
    <s v=""/>
    <n v="0"/>
    <m/>
    <n v="0"/>
    <s v=""/>
    <s v=""/>
    <s v=""/>
  </r>
  <r>
    <x v="1"/>
    <x v="0"/>
    <s v="MMR001"/>
    <s v="Bhamo"/>
    <s v="MMR001D003"/>
    <x v="1"/>
    <s v="MMR001010"/>
    <s v="Bhamo Town"/>
    <s v="MMR001010701"/>
    <m/>
    <m/>
    <x v="1"/>
    <x v="1"/>
    <x v="1"/>
    <n v="24.263786"/>
    <m/>
    <n v="211"/>
    <n v="989"/>
    <n v="4.6872037914691944"/>
    <x v="0"/>
    <x v="0"/>
    <x v="1"/>
    <x v="1"/>
    <m/>
    <m/>
    <x v="0"/>
    <s v="IP"/>
    <m/>
    <d v="2015-11-09T00:00:00"/>
    <s v="9/Nov/15. Population update. Data source: mail from Pancy (WFP)._x000a_Update IDP increased in Oct and Nov 2013 from Angela (UNHCR - Bhamo)"/>
    <s v="P4"/>
    <n v="0"/>
    <m/>
    <n v="0"/>
    <s v="Bhamo Town"/>
    <n v="1.1354007641426449"/>
    <n v="1"/>
  </r>
  <r>
    <x v="1"/>
    <x v="0"/>
    <s v="MMR001"/>
    <s v="Bhamo"/>
    <s v="MMR001D003"/>
    <x v="1"/>
    <s v="MMR001010"/>
    <s v="Moe Hping"/>
    <s v="MMR001010009"/>
    <s v="Moe Hping"/>
    <n v="166836"/>
    <x v="2"/>
    <x v="2"/>
    <x v="2"/>
    <n v="24.260719999999999"/>
    <m/>
    <n v="274"/>
    <n v="1349"/>
    <n v="4.9233576642335768"/>
    <x v="0"/>
    <x v="0"/>
    <x v="0"/>
    <x v="1"/>
    <d v="2011-11-01T00:00:00"/>
    <n v="2"/>
    <x v="1"/>
    <s v="IP"/>
    <m/>
    <d v="2016-01-28T00:00:00"/>
    <s v="28/Jan/2016. Population update. Data source: KBC (mail by maran)_x000a_19-Aug-15 (Population Update. Data Source: KMSS-BMO)_x000a_Population update: Source: Camp Profile Round 2."/>
    <s v="P4"/>
    <n v="104"/>
    <n v="20"/>
    <n v="20"/>
    <s v="Bhamo Town"/>
    <n v="0.78440046838596356"/>
    <n v="1"/>
  </r>
  <r>
    <x v="1"/>
    <x v="0"/>
    <s v="MMR001"/>
    <s v="Bhamo"/>
    <s v="MMR001D003"/>
    <x v="1"/>
    <s v="MMR001010"/>
    <s v="Moe Hping"/>
    <s v="MMR001010009"/>
    <s v="Moe Hping"/>
    <n v="166836"/>
    <x v="3"/>
    <x v="3"/>
    <x v="3"/>
    <n v="24.2631743589744"/>
    <n v="0"/>
    <n v="116"/>
    <n v="659"/>
    <n v="5.681034482758621"/>
    <x v="0"/>
    <x v="0"/>
    <x v="0"/>
    <x v="1"/>
    <d v="2011-06-01T00:00:00"/>
    <n v="2"/>
    <x v="2"/>
    <s v="IP"/>
    <m/>
    <d v="2016-06-16T00:00:00"/>
    <s v="16/Jun/2016: Population update. Data source: mail by Shalom_x000a_19-Aug-15 Population update. Source: Shalom_x000a_25-Jun-15 (Population update. Source : Shalom)_x000a_Population update: Source: Camp Profile Round 2."/>
    <s v="P4"/>
    <n v="14"/>
    <m/>
    <n v="14"/>
    <s v="Bhamo Town"/>
    <n v="1.0876401420946245"/>
    <n v="1"/>
  </r>
  <r>
    <x v="1"/>
    <x v="0"/>
    <s v="MMR001"/>
    <s v="Bhamo"/>
    <s v="MMR001D003"/>
    <x v="1"/>
    <s v="MMR001010"/>
    <s v="Nam Hlaing"/>
    <s v="MMR001010015"/>
    <s v="Nam Hlaing"/>
    <n v="166844"/>
    <x v="4"/>
    <x v="4"/>
    <x v="4"/>
    <n v="24.32638"/>
    <m/>
    <n v="20"/>
    <n v="103"/>
    <n v="5.15"/>
    <x v="0"/>
    <x v="0"/>
    <x v="0"/>
    <x v="1"/>
    <d v="2011-11-01T00:00:00"/>
    <n v="2"/>
    <x v="1"/>
    <s v="IP"/>
    <m/>
    <d v="2016-01-28T00:00:00"/>
    <s v="28/Jan/2016. Population update. Data source: KBC (mail by maran)_x000a_19-Aug-2015. Update Population. Data Source; KMSS-BMO_x000a_Update population. Source UNHCR Bhamo"/>
    <s v="P4"/>
    <n v="10"/>
    <m/>
    <n v="10"/>
    <s v="Momauk Town"/>
    <n v="8.3788619521763046"/>
    <n v="2"/>
  </r>
  <r>
    <x v="1"/>
    <x v="0"/>
    <s v="MMR001"/>
    <s v="Bhamo"/>
    <s v="MMR001D003"/>
    <x v="1"/>
    <s v="MMR001010"/>
    <s v="Han Te"/>
    <s v="MMR001010024"/>
    <s v="Han Te"/>
    <n v="166851"/>
    <x v="5"/>
    <x v="5"/>
    <x v="5"/>
    <n v="24.24953"/>
    <n v="0"/>
    <n v="15"/>
    <n v="73"/>
    <n v="4.8666666666666663"/>
    <x v="0"/>
    <x v="0"/>
    <x v="0"/>
    <x v="1"/>
    <d v="2012-08-01T00:00:00"/>
    <n v="1"/>
    <x v="2"/>
    <s v="IP"/>
    <m/>
    <d v="2016-06-16T00:00:00"/>
    <s v="16/Jun/2016: Population update. Data source: mail by Shalom_x000a_9/Nov/15. Population update. Data source: monthly report by HAP._x000a_19-Aug-15 Update population. Data Source: Shalom._x000a_25-Jun-2015 Update population. Data Source: KBC_x000a_Population update: Source: Camp Profile Round 2."/>
    <s v="P4"/>
    <n v="0"/>
    <n v="0"/>
    <n v="0"/>
    <s v="Bhamo Town"/>
    <n v="0.87147615879849294"/>
    <n v="1"/>
  </r>
  <r>
    <x v="0"/>
    <x v="0"/>
    <s v="MMR001"/>
    <s v="Mohnyin"/>
    <s v="MMR001D002"/>
    <x v="0"/>
    <s v="MMR001009"/>
    <s v="Lone Khin"/>
    <s v="MMR001009001"/>
    <s v="Hmaw Si Zar"/>
    <n v="166775"/>
    <x v="6"/>
    <x v="6"/>
    <x v="6"/>
    <m/>
    <m/>
    <n v="0"/>
    <n v="0"/>
    <s v="NA"/>
    <x v="0"/>
    <x v="0"/>
    <x v="0"/>
    <x v="0"/>
    <m/>
    <m/>
    <x v="0"/>
    <m/>
    <m/>
    <m/>
    <s v=" "/>
    <s v=""/>
    <n v="0"/>
    <m/>
    <n v="0"/>
    <s v=""/>
    <s v=""/>
    <s v=""/>
  </r>
  <r>
    <x v="1"/>
    <x v="0"/>
    <s v="MMR001"/>
    <s v="Bhamo"/>
    <s v="MMR001D003"/>
    <x v="1"/>
    <s v="MMR001010"/>
    <s v="Han Te"/>
    <s v="MMR001010024"/>
    <s v="Hpan Hkar Kone"/>
    <n v="166854"/>
    <x v="7"/>
    <x v="7"/>
    <x v="7"/>
    <n v="24.222349999999999"/>
    <n v="0"/>
    <n v="150"/>
    <n v="766"/>
    <n v="5.1066666666666665"/>
    <x v="0"/>
    <x v="0"/>
    <x v="0"/>
    <x v="1"/>
    <d v="2013-01-01T00:00:00"/>
    <n v="1"/>
    <x v="3"/>
    <s v="IP"/>
    <m/>
    <d v="2016-06-15T00:00:00"/>
    <s v="15/Jun/2016: Population update. Data source: monthly report by KBC_x000a_12/May/2016. Population update. Data source: KBC_x000a_28/Jan/2016. Population update. Data source: KBC (mail by maran)_x000a_2/Dec/2015. Population update. Data source: KBC._x000a_25-Jun-15 Population update. Source: KBC_x000a_Population update: Source: Camp Profile Round 2."/>
    <s v="P4"/>
    <n v="24"/>
    <m/>
    <n v="24"/>
    <s v="Bhamo Town"/>
    <n v="4.067486452659054"/>
    <n v="1"/>
  </r>
  <r>
    <x v="0"/>
    <x v="0"/>
    <s v="MMR001"/>
    <s v="Mohnyin"/>
    <s v="MMR001D002"/>
    <x v="0"/>
    <s v="MMR001009"/>
    <s v="Lone Khin"/>
    <s v="MMR001009001"/>
    <s v="Ku Day"/>
    <n v="216877"/>
    <x v="8"/>
    <x v="8"/>
    <x v="8"/>
    <n v="25.655989999999999"/>
    <m/>
    <n v="0"/>
    <n v="0"/>
    <s v="NA"/>
    <x v="0"/>
    <x v="0"/>
    <x v="0"/>
    <x v="0"/>
    <m/>
    <m/>
    <x v="0"/>
    <m/>
    <m/>
    <m/>
    <s v=" "/>
    <s v=""/>
    <n v="0"/>
    <m/>
    <n v="0"/>
    <s v=""/>
    <s v=""/>
    <s v=""/>
  </r>
  <r>
    <x v="0"/>
    <x v="0"/>
    <s v="MMR001"/>
    <s v="Mohnyin"/>
    <s v="MMR001D002"/>
    <x v="0"/>
    <s v="MMR001009"/>
    <s v="Hpakan Town"/>
    <s v="MMR001009701"/>
    <s v="Aye Mya Thar Yar Ward"/>
    <s v="MMR001009701504"/>
    <x v="9"/>
    <x v="9"/>
    <x v="6"/>
    <m/>
    <m/>
    <n v="0"/>
    <n v="0"/>
    <s v="NA"/>
    <x v="0"/>
    <x v="0"/>
    <x v="0"/>
    <x v="0"/>
    <m/>
    <m/>
    <x v="0"/>
    <m/>
    <m/>
    <m/>
    <s v=" "/>
    <s v=""/>
    <n v="0"/>
    <m/>
    <n v="0"/>
    <s v=""/>
    <s v=""/>
    <s v=""/>
  </r>
  <r>
    <x v="0"/>
    <x v="0"/>
    <s v="MMR001"/>
    <s v="Bhamo"/>
    <s v="MMR001D003"/>
    <x v="2"/>
    <s v="MMR001013"/>
    <m/>
    <m/>
    <m/>
    <m/>
    <x v="10"/>
    <x v="10"/>
    <x v="6"/>
    <m/>
    <m/>
    <n v="0"/>
    <n v="0"/>
    <s v="NA"/>
    <x v="0"/>
    <x v="0"/>
    <x v="0"/>
    <x v="0"/>
    <m/>
    <m/>
    <x v="0"/>
    <s v="IP"/>
    <m/>
    <d v="2014-03-03T00:00:00"/>
    <s v="Closed. Rellocated to Man Win and La Ga Yaung"/>
    <s v=""/>
    <n v="0"/>
    <m/>
    <n v="0"/>
    <s v=""/>
    <s v=""/>
    <s v=""/>
  </r>
  <r>
    <x v="0"/>
    <x v="0"/>
    <s v="MMR001"/>
    <s v="Bhamo"/>
    <s v="MMR001D003"/>
    <x v="2"/>
    <s v="MMR001013"/>
    <m/>
    <m/>
    <m/>
    <m/>
    <x v="11"/>
    <x v="11"/>
    <x v="6"/>
    <m/>
    <m/>
    <n v="0"/>
    <n v="0"/>
    <s v="NA"/>
    <x v="0"/>
    <x v="0"/>
    <x v="1"/>
    <x v="2"/>
    <m/>
    <m/>
    <x v="0"/>
    <s v="IP"/>
    <m/>
    <d v="2015-03-27T00:00:00"/>
    <s v="27-Mar-15 (Closed. Source: UNHCR-Bhamo)_x000a_New Camp"/>
    <s v="P4"/>
    <n v="0"/>
    <m/>
    <n v="0"/>
    <s v=""/>
    <s v=""/>
    <s v=""/>
  </r>
  <r>
    <x v="0"/>
    <x v="0"/>
    <s v="MMR001"/>
    <s v="Bhamo"/>
    <s v="MMR001D003"/>
    <x v="2"/>
    <s v="MMR001013"/>
    <m/>
    <m/>
    <m/>
    <m/>
    <x v="12"/>
    <x v="12"/>
    <x v="6"/>
    <m/>
    <m/>
    <n v="0"/>
    <n v="0"/>
    <s v="NA"/>
    <x v="0"/>
    <x v="0"/>
    <x v="0"/>
    <x v="0"/>
    <m/>
    <m/>
    <x v="0"/>
    <s v="IP"/>
    <m/>
    <d v="2014-03-03T00:00:00"/>
    <s v="Closed. Rellocated to Man Win and La Ga Yaung"/>
    <s v=""/>
    <n v="0"/>
    <m/>
    <n v="0"/>
    <s v=""/>
    <s v=""/>
    <s v=""/>
  </r>
  <r>
    <x v="1"/>
    <x v="0"/>
    <s v="MMR001"/>
    <s v="Bhamo"/>
    <s v="MMR001D003"/>
    <x v="1"/>
    <s v="MMR001010"/>
    <s v="Aung Thar"/>
    <s v="MMR001010048"/>
    <s v="Aung Thar"/>
    <n v="166904"/>
    <x v="13"/>
    <x v="13"/>
    <x v="7"/>
    <n v="24.260466999999998"/>
    <n v="0"/>
    <n v="12"/>
    <n v="54"/>
    <n v="4.5"/>
    <x v="0"/>
    <x v="0"/>
    <x v="0"/>
    <x v="1"/>
    <d v="2011-09-01T00:00:00"/>
    <n v="1"/>
    <x v="3"/>
    <s v="IP"/>
    <m/>
    <d v="2016-06-15T00:00:00"/>
    <s v="15/Jun/2016: Population update. Data source: monthly report by KBC_x000a_12/May/2016. Population update. Data source: KBC_x000a_28/Jan/2016. Population update. Data source: KBC (mail by maran)_x000a_13/Dec/2015. Population update. Data source: mail by Ko Maran. reason for population changes: Aung Tar KBC camp still exist. WFP report about camp closure but the small camp still exist. We change the status as open again_x000a_9/Nov/15. Camp Closed_x000a_25-Jun-15 Population update. Source: KBC_x000a_Population Update. Source: KBC."/>
    <s v="P4"/>
    <n v="0"/>
    <m/>
    <n v="0"/>
    <s v="Bhamo Town"/>
    <n v="1.9489261822960435"/>
    <n v="1"/>
  </r>
  <r>
    <x v="0"/>
    <x v="0"/>
    <s v="MMR001"/>
    <s v="Mohnyin"/>
    <s v="MMR001D002"/>
    <x v="0"/>
    <s v="MMR001009"/>
    <s v="Nawng Mi"/>
    <s v="MMR001009008"/>
    <s v="Nawng Myi"/>
    <n v="166817"/>
    <x v="14"/>
    <x v="14"/>
    <x v="9"/>
    <n v="25.728653000000001"/>
    <m/>
    <n v="0"/>
    <n v="0"/>
    <s v="NA"/>
    <x v="0"/>
    <x v="0"/>
    <x v="0"/>
    <x v="2"/>
    <m/>
    <n v="1"/>
    <x v="2"/>
    <s v="IP"/>
    <m/>
    <d v="2015-04-02T00:00:00"/>
    <s v="19-Aug-15 Closed. IDP were provided with individual lands within Naung Hmee village and transit toward semi-permanent settlement. Source: CCCM Unit_x000a_2-Apr-15 (Population update, Source: UNHCR CCCM Mission)_x000a_Population update: Source: Camp Profile Round 2."/>
    <s v="P4"/>
    <n v="0"/>
    <m/>
    <n v="0"/>
    <s v="Kamaing Town"/>
    <n v="23.222739740353646"/>
    <n v="5"/>
  </r>
  <r>
    <x v="0"/>
    <x v="0"/>
    <s v="MMR001"/>
    <s v="Mohnyin"/>
    <s v="MMR001D002"/>
    <x v="0"/>
    <s v="MMR001009"/>
    <s v="Lone Khin"/>
    <s v="MMR001009001"/>
    <s v="Ma Sut Yang"/>
    <n v="216880"/>
    <x v="15"/>
    <x v="15"/>
    <x v="10"/>
    <n v="25.668469999999999"/>
    <n v="256"/>
    <n v="0"/>
    <n v="0"/>
    <s v="NA"/>
    <x v="0"/>
    <x v="0"/>
    <x v="0"/>
    <x v="2"/>
    <d v="2013-01-01T00:00:00"/>
    <m/>
    <x v="0"/>
    <s v="RRD"/>
    <m/>
    <d v="2014-05-15T00:00:00"/>
    <s v="Only one HH left, included in Lon Khin Baptist distribution list."/>
    <s v=""/>
    <n v="0"/>
    <m/>
    <n v="0"/>
    <s v=""/>
    <s v=""/>
    <s v=""/>
  </r>
  <r>
    <x v="0"/>
    <x v="0"/>
    <s v="MMR001"/>
    <s v="Myitkyina"/>
    <s v="MMR001D001"/>
    <x v="3"/>
    <s v="MMR001002"/>
    <s v="Saga Pa (Sadung Sub-township)"/>
    <m/>
    <m/>
    <m/>
    <x v="16"/>
    <x v="16"/>
    <x v="11"/>
    <n v="25.273333000000001"/>
    <m/>
    <n v="0"/>
    <n v="0"/>
    <s v="NA"/>
    <x v="1"/>
    <x v="0"/>
    <x v="0"/>
    <x v="0"/>
    <m/>
    <m/>
    <x v="0"/>
    <m/>
    <m/>
    <m/>
    <m/>
    <s v=""/>
    <n v="0"/>
    <m/>
    <n v="0"/>
    <s v=""/>
    <s v=""/>
    <s v=""/>
  </r>
  <r>
    <x v="1"/>
    <x v="0"/>
    <s v="MMR001"/>
    <s v="Bhamo"/>
    <s v="MMR001D003"/>
    <x v="1"/>
    <s v="MMR001010"/>
    <s v="Bhamo Town"/>
    <s v="MMR001010701"/>
    <s v="Pauk Kone Ward"/>
    <s v="MMR001010701506"/>
    <x v="17"/>
    <x v="17"/>
    <x v="12"/>
    <n v="24.24766"/>
    <n v="0"/>
    <n v="39"/>
    <n v="227"/>
    <n v="5.8205128205128203"/>
    <x v="0"/>
    <x v="0"/>
    <x v="0"/>
    <x v="1"/>
    <d v="2011-12-01T00:00:00"/>
    <n v="1"/>
    <x v="3"/>
    <s v="IP"/>
    <m/>
    <d v="2016-06-15T00:00:00"/>
    <s v="15/Jun/2016: Population update. Data source: monthly report by KBC_x000a_12/May/2016. Population update. Data source: KBC_x000a_28/Jan/2016. Population update. Data source: KBC (mail by maran)_x000a_2/Dec/2015. Population update. Data source: KBC._x000a_25-Jun-2015 Update population. Data Source: KBC_x000a_Population update: Source: Camp Profile Round 2."/>
    <s v="P4"/>
    <n v="1"/>
    <m/>
    <n v="1"/>
    <m/>
    <n v="0.84749304721635399"/>
    <n v="1"/>
  </r>
  <r>
    <x v="1"/>
    <x v="0"/>
    <s v="MMR001"/>
    <s v="Bhamo"/>
    <s v="MMR001D003"/>
    <x v="1"/>
    <s v="MMR001010"/>
    <s v="Bhamo Town"/>
    <s v="MMR001010701"/>
    <s v="Pauk Kone Ward"/>
    <s v="MMR001010701506"/>
    <x v="18"/>
    <x v="18"/>
    <x v="13"/>
    <n v="24.253067000000001"/>
    <n v="0"/>
    <n v="14"/>
    <n v="65"/>
    <n v="4.6428571428571432"/>
    <x v="0"/>
    <x v="0"/>
    <x v="0"/>
    <x v="1"/>
    <d v="2012-10-01T00:00:00"/>
    <n v="1"/>
    <x v="2"/>
    <s v="IP"/>
    <m/>
    <d v="2016-06-16T00:00:00"/>
    <s v="16/Jun/2016: Population update. Data source: mail by Shalom_x000a_9/Nov/15. Population update. Data source: monthly report by HAP._x000a_19-Aug-15 Population update. Source Shalom._x000a_25-Jun-15 Population update. Source Shalom_x000a_Population update: Source: Camp Profile Round 2."/>
    <s v="P4"/>
    <n v="0"/>
    <m/>
    <n v="0"/>
    <s v="Bhamo Town"/>
    <n v="0.20824727902294948"/>
    <n v="1"/>
  </r>
  <r>
    <x v="1"/>
    <x v="0"/>
    <s v="MMR001"/>
    <s v="Bhamo"/>
    <s v="MMR001D003"/>
    <x v="1"/>
    <s v="MMR001010"/>
    <s v="Bhamo Town"/>
    <s v="MMR001010701"/>
    <s v="Nyaung Pin Ward"/>
    <s v="MMR001010701508"/>
    <x v="19"/>
    <x v="19"/>
    <x v="14"/>
    <n v="24.268292826086999"/>
    <m/>
    <n v="629"/>
    <n v="3798"/>
    <n v="6.0381558028616853"/>
    <x v="0"/>
    <x v="0"/>
    <x v="0"/>
    <x v="1"/>
    <d v="2011-07-01T00:00:00"/>
    <n v="3"/>
    <x v="3"/>
    <s v="IP"/>
    <m/>
    <d v="2016-06-15T00:00:00"/>
    <s v="15/Jun/2016: Population update. Data source: monthly report by KBC_x000a_12/May/2016. Population update. Data source: KBC_x000a_28/Jan/2016. Population update. Data source: KBC (mail by maran)_x000a_2/Dec/2015. Population update. Data source: KBC._x000a_25-Jun-2015 Update population. Data Source: KBC_x000a_Population update: Source: Camp Profile Round 2."/>
    <s v="P4"/>
    <n v="204"/>
    <m/>
    <n v="204"/>
    <s v="Bhamo Town"/>
    <n v="1.5797992800898704"/>
    <n v="1"/>
  </r>
  <r>
    <x v="1"/>
    <x v="0"/>
    <s v="MMR001"/>
    <s v="Bhamo"/>
    <s v="MMR001D003"/>
    <x v="1"/>
    <s v="MMR001010"/>
    <s v="Bhamo Town"/>
    <s v="MMR001010701"/>
    <s v="Shwe Kyee Nar Ward"/>
    <s v="MMR001010701513"/>
    <x v="20"/>
    <x v="20"/>
    <x v="15"/>
    <n v="24.29138"/>
    <n v="0"/>
    <n v="21"/>
    <n v="97"/>
    <n v="4.6190476190476186"/>
    <x v="0"/>
    <x v="0"/>
    <x v="0"/>
    <x v="1"/>
    <d v="2012-05-01T00:00:00"/>
    <n v="2"/>
    <x v="2"/>
    <s v="IP"/>
    <m/>
    <d v="2016-06-16T00:00:00"/>
    <s v="16/Jun/2016: Population update. Data source: mail by Shalom_x000a_9/Nov/15. Population update. Data source: monthly report by HAP._x000a_19-Aug-15 Population update. Source: Shalom._x000a_25-Jun-15 (Population update. Source : Shalom)_x000a_Population update: Source: Camp Profile Round 2."/>
    <s v="P4"/>
    <n v="0"/>
    <n v="0"/>
    <n v="0"/>
    <s v="Bhamo Town"/>
    <n v="4.108228790802368"/>
    <n v="1"/>
  </r>
  <r>
    <x v="0"/>
    <x v="0"/>
    <s v="MMR001"/>
    <s v="Mohnyin"/>
    <s v="MMR001D002"/>
    <x v="0"/>
    <s v="MMR001009"/>
    <m/>
    <m/>
    <m/>
    <m/>
    <x v="21"/>
    <x v="21"/>
    <x v="6"/>
    <m/>
    <m/>
    <n v="0"/>
    <n v="0"/>
    <s v="NA"/>
    <x v="0"/>
    <x v="0"/>
    <x v="0"/>
    <x v="0"/>
    <m/>
    <m/>
    <x v="0"/>
    <m/>
    <m/>
    <m/>
    <s v=" "/>
    <s v=""/>
    <n v="0"/>
    <m/>
    <n v="0"/>
    <s v=""/>
    <s v=""/>
    <s v=""/>
  </r>
  <r>
    <x v="1"/>
    <x v="0"/>
    <s v="MMR001"/>
    <s v="Myitkyina"/>
    <s v="MMR001D001"/>
    <x v="4"/>
    <s v="MMR001005"/>
    <s v="Hpa Re (Pang War Sub-township)"/>
    <s v="MMR001005026"/>
    <s v="Hpa Re Waw Jang"/>
    <n v="166355"/>
    <x v="22"/>
    <x v="22"/>
    <x v="16"/>
    <n v="25.754110000000001"/>
    <n v="2785"/>
    <n v="154"/>
    <n v="920"/>
    <n v="5.9740259740259738"/>
    <x v="1"/>
    <x v="0"/>
    <x v="0"/>
    <x v="3"/>
    <d v="2012-05-01T00:00:00"/>
    <n v="2"/>
    <x v="3"/>
    <s v="IP"/>
    <m/>
    <d v="2016-05-12T00:00:00"/>
    <s v="12/May/2016. Population update. Data source: KBC_x000a_28/Jan/2016. Population update. Data source: KBC (mail by maran)_x000a_2/Dec/2015. Population update. Data source: KBC_x000a_25-Jun-2015 Update population. Data Source: KBC_x000a_Update population according to KBC data"/>
    <s v="P1"/>
    <n v="154"/>
    <m/>
    <n v="154"/>
    <s v="Pang War Town"/>
    <n v="19.834999342466848"/>
    <n v="4"/>
  </r>
  <r>
    <x v="0"/>
    <x v="0"/>
    <s v="MMR001"/>
    <s v="Bhamo"/>
    <s v="MMR001D003"/>
    <x v="1"/>
    <s v="MMR001010"/>
    <m/>
    <m/>
    <m/>
    <m/>
    <x v="23"/>
    <x v="23"/>
    <x v="6"/>
    <m/>
    <m/>
    <n v="0"/>
    <n v="0"/>
    <s v="NA"/>
    <x v="0"/>
    <x v="0"/>
    <x v="1"/>
    <x v="0"/>
    <m/>
    <m/>
    <x v="0"/>
    <m/>
    <s v="Estimation"/>
    <d v="2014-01-27T00:00:00"/>
    <s v="Closed : Source, OCHA"/>
    <s v=""/>
    <n v="0"/>
    <m/>
    <n v="0"/>
    <s v=""/>
    <s v=""/>
    <s v=""/>
  </r>
  <r>
    <x v="1"/>
    <x v="0"/>
    <s v="MMR001"/>
    <s v="Myitkyina"/>
    <s v="MMR001D001"/>
    <x v="4"/>
    <s v="MMR001005"/>
    <s v="Lang Jaw (Pang War Sub-township)"/>
    <s v="MMR001005022"/>
    <s v="Lang Jaw"/>
    <n v="166337"/>
    <x v="24"/>
    <x v="24"/>
    <x v="17"/>
    <n v="25.708763000000001"/>
    <m/>
    <m/>
    <m/>
    <s v="NA"/>
    <x v="0"/>
    <x v="0"/>
    <x v="1"/>
    <x v="2"/>
    <m/>
    <m/>
    <x v="0"/>
    <m/>
    <m/>
    <m/>
    <m/>
    <s v="P1"/>
    <n v="0"/>
    <m/>
    <n v="0"/>
    <s v="Pang War Town"/>
    <n v="12.486065224161463"/>
    <n v="3"/>
  </r>
  <r>
    <x v="1"/>
    <x v="0"/>
    <s v="MMR001"/>
    <s v="Myitkyina"/>
    <s v="MMR001D001"/>
    <x v="4"/>
    <s v="MMR001005"/>
    <s v="Chipwi Town"/>
    <s v="MMR001005701"/>
    <s v="Ba Leit Dan Ward"/>
    <s v="MMR001005701503"/>
    <x v="25"/>
    <x v="25"/>
    <x v="18"/>
    <n v="25.889410000000002"/>
    <n v="304"/>
    <n v="109"/>
    <n v="504"/>
    <n v="4.6238532110091741"/>
    <x v="0"/>
    <x v="0"/>
    <x v="0"/>
    <x v="1"/>
    <d v="2012-12-01T00:00:00"/>
    <n v="1"/>
    <x v="2"/>
    <s v="IP"/>
    <m/>
    <d v="2016-06-16T00:00:00"/>
    <s v="16/Jun/2016: Population update. Data source: mail by Shalom_x000a_10 May 2016. Population update: Data source_Shalom_x000a_28/Jan/2016. Population update. Data source: KBC (mail by maran)_x000a_9/Nov/15. Population update. Data source: monthly report by HAP._x000a_19-Aug-15 Population updae. Source: Shalom_x000a_25-Jun-15 (Population update. Source : Shalom)_x000a_2-Apr-15 (Population update, Source: UNHCR CCCM Mission)_x000a_Update IDP population from Shalom data (Assistant CCCM Officer)"/>
    <s v="P1"/>
    <n v="2"/>
    <m/>
    <n v="2"/>
    <s v="Chipwi Town"/>
    <n v="0.15809623370782155"/>
    <n v="1"/>
  </r>
  <r>
    <x v="1"/>
    <x v="0"/>
    <s v="MMR001"/>
    <s v="Myitkyina"/>
    <s v="MMR001D001"/>
    <x v="4"/>
    <s v="MMR001005"/>
    <s v="Pang War Town"/>
    <s v="MMR001005702"/>
    <s v="No (2) Ward"/>
    <s v="MMR001005702502"/>
    <x v="26"/>
    <x v="26"/>
    <x v="19"/>
    <n v="25.60867"/>
    <n v="2345"/>
    <n v="60"/>
    <n v="275"/>
    <n v="4.583333333333333"/>
    <x v="0"/>
    <x v="0"/>
    <x v="0"/>
    <x v="2"/>
    <d v="2012-07-01T00:00:00"/>
    <n v="1"/>
    <x v="4"/>
    <s v="IP"/>
    <m/>
    <d v="2016-06-16T00:00:00"/>
    <s v="16/Jun/2016. Population update. Data source: monthly report from KMSS_MYT_x000a_10/May/2016. Population Update. Data source: KMSS_x000a_28/Jan/2016. Population update. Data source: KBC (mail by maran)_x000a_2/Dec/2015 (population update. Data source: Monthly report by KMSS-MYT). _x000a_23-Oct-2015 (Population update. Data Source: Monthly report by KMSS-MYT). Reason for population changes; Travelling from the camp for Daily Worker._x000a_19-Aug-2015 (Population update. Data Source: KMSS-MYT)_x000a_2-Apr-15 (Population update, Source: UNHCR CCCM Mission)_x000a_New Camp. KMSS-MYT"/>
    <s v="P1"/>
    <n v="60"/>
    <m/>
    <n v="60"/>
    <s v="Pang War Town"/>
    <n v="0.18710270881855062"/>
    <n v="1"/>
  </r>
  <r>
    <x v="1"/>
    <x v="0"/>
    <s v="MMR001"/>
    <s v="Myitkyina"/>
    <s v="MMR001D001"/>
    <x v="4"/>
    <s v="MMR001005"/>
    <s v="Lang Jaw"/>
    <s v="MMR001005022"/>
    <s v="Saw Zam"/>
    <m/>
    <x v="27"/>
    <x v="27"/>
    <x v="20"/>
    <n v="25.645959999999999"/>
    <n v="1945"/>
    <n v="30"/>
    <n v="174"/>
    <n v="5.8"/>
    <x v="0"/>
    <x v="0"/>
    <x v="0"/>
    <x v="1"/>
    <d v="2012-07-01T00:00:00"/>
    <m/>
    <x v="4"/>
    <s v="IP"/>
    <m/>
    <d v="2016-06-16T00:00:00"/>
    <s v="16/Jun/2016. Population update. Data source: monthly report from KMSS_MYT_x000a_10/May/2016. Population Update. Data source: KMSS_x000a_28/Jan/2016. Population update. Data source: KBC (mail by maran)_x000a_19-Aug-15 (Population update. Data Source: KMSS-MYT)_x000a_2-Apr-15 (Population update, Source: UNHCR CCCM Mission)_x000a_Population Update. Source: KMSS-MYT"/>
    <s v="P1"/>
    <n v="30"/>
    <m/>
    <n v="30"/>
    <s v="Naypyitaw Town"/>
    <n v="0"/>
    <n v="1"/>
  </r>
  <r>
    <x v="1"/>
    <x v="0"/>
    <s v="MMR001"/>
    <s v="Myitkyina"/>
    <s v="MMR001D001"/>
    <x v="4"/>
    <s v="MMR001005"/>
    <s v="Urban"/>
    <s v="MMR001005701"/>
    <s v="Rit Law"/>
    <m/>
    <x v="28"/>
    <x v="28"/>
    <x v="21"/>
    <n v="25.887339999999998"/>
    <n v="259.10000000000002"/>
    <n v="143"/>
    <n v="638"/>
    <n v="4.4615384615384617"/>
    <x v="0"/>
    <x v="0"/>
    <x v="0"/>
    <x v="2"/>
    <d v="2012-02-01T00:00:00"/>
    <n v="1"/>
    <x v="2"/>
    <s v="IP"/>
    <m/>
    <d v="2016-06-16T00:00:00"/>
    <s v="16/Jun/2016: Population update. Data source: mail by Shalom_x000a_16/Jun/2016. Population update. Data source: monthly report from KMSS_MYT_x000a_10 May 2016. Population update: Data source_Shalom_x000a_28/Jan/2016. (New added camp) Population update. Data source: KBC (mail by maran)_x000a_9/Nov/15. Population update. Data source: monthly report by HAP._x000a_19-Aug-15 Population update. Source: Shalom_x000a_25-Jun-15 (Population update. Source: Shalom)_x000a_2-Apr-15 (Population update, Source: UNHCR CCCM Mission)_x000a_Population update: Source: Camp Profile Round 2."/>
    <s v="P1"/>
    <n v="70"/>
    <m/>
    <n v="70"/>
    <m/>
    <s v=""/>
    <s v=""/>
  </r>
  <r>
    <x v="1"/>
    <x v="0"/>
    <s v="MMR001"/>
    <s v="Mohnyin"/>
    <s v="MMR001D002"/>
    <x v="0"/>
    <s v="MMR001009"/>
    <s v="Lone Khin"/>
    <s v="MMR001009001"/>
    <s v="Lone Khin"/>
    <n v="166773"/>
    <x v="29"/>
    <x v="29"/>
    <x v="10"/>
    <n v="25.655819999999999"/>
    <n v="317"/>
    <n v="66"/>
    <n v="367"/>
    <n v="5.5606060606060606"/>
    <x v="0"/>
    <x v="0"/>
    <x v="0"/>
    <x v="2"/>
    <d v="2013-01-01T00:00:00"/>
    <m/>
    <x v="4"/>
    <s v="IP"/>
    <m/>
    <d v="2016-05-10T00:00:00"/>
    <s v="10/May/2016. Population Update. Data source: KMSS_x000a_28/Jan/2016. Population update. Data source: KBC (mail by maran)_x000a_23-Oct-15 Population update. Data source; Monthly report by KMSS_MYT. Reason for changes; A new sprad HH is added._x000a_14-Oct-15 Population update. Soruce; Hpakant Mission Report_WFP_x000a_2-Oct-15 (Population update. Data Source: Monthly report by KMSS-MYT)_x000a_25-Jun-15 (Population update. Source: KMSS-MYT)_x000a_18-May-15 (Population update from field mission)_x000a_2-Apr-15 (Population update, Source: UNHCR CCCM Mission)_x000a_Population Update. Source: KMSS-MYT"/>
    <s v="P4"/>
    <n v="54"/>
    <m/>
    <n v="54"/>
    <s v="Hpakant Town"/>
    <n v="6.3039408411778268"/>
    <n v="2"/>
  </r>
  <r>
    <x v="0"/>
    <x v="0"/>
    <s v="MMR001"/>
    <s v="Mohnyin"/>
    <s v="MMR001D002"/>
    <x v="0"/>
    <s v="MMR001009"/>
    <s v="Seik Mu"/>
    <s v="MMR001009003"/>
    <s v="Seik Mu"/>
    <n v="166783"/>
    <x v="30"/>
    <x v="30"/>
    <x v="6"/>
    <m/>
    <m/>
    <n v="0"/>
    <n v="0"/>
    <s v="NA"/>
    <x v="0"/>
    <x v="0"/>
    <x v="0"/>
    <x v="2"/>
    <m/>
    <m/>
    <x v="0"/>
    <s v="IP"/>
    <m/>
    <d v="2014-05-15T00:00:00"/>
    <s v="Closed."/>
    <s v=""/>
    <n v="0"/>
    <m/>
    <n v="0"/>
    <s v=""/>
    <s v=""/>
    <s v=""/>
  </r>
  <r>
    <x v="0"/>
    <x v="0"/>
    <s v="MMR001"/>
    <s v="Mohnyin"/>
    <s v="MMR001D002"/>
    <x v="0"/>
    <s v="MMR001009"/>
    <s v="Seik Mu"/>
    <s v="MMR001009003"/>
    <s v="Seik Mu"/>
    <n v="166783"/>
    <x v="31"/>
    <x v="31"/>
    <x v="6"/>
    <m/>
    <m/>
    <n v="0"/>
    <n v="0"/>
    <s v="NA"/>
    <x v="0"/>
    <x v="0"/>
    <x v="0"/>
    <x v="0"/>
    <m/>
    <m/>
    <x v="0"/>
    <s v="RRD"/>
    <m/>
    <d v="2014-01-24T00:00:00"/>
    <s v="UNOCHA"/>
    <s v=""/>
    <n v="0"/>
    <m/>
    <n v="0"/>
    <s v=""/>
    <s v=""/>
    <s v=""/>
  </r>
  <r>
    <x v="0"/>
    <x v="1"/>
    <s v="MMR015"/>
    <s v="Muse"/>
    <s v="MMR015D002"/>
    <x v="5"/>
    <s v="MMR015011"/>
    <s v="Galeng"/>
    <m/>
    <s v="Galeng"/>
    <m/>
    <x v="32"/>
    <x v="32"/>
    <x v="6"/>
    <m/>
    <m/>
    <n v="0"/>
    <n v="0"/>
    <s v="NA"/>
    <x v="1"/>
    <x v="0"/>
    <x v="0"/>
    <x v="2"/>
    <m/>
    <m/>
    <x v="0"/>
    <s v="IP"/>
    <m/>
    <d v="2013-01-15T00:00:00"/>
    <s v="Close: Duplicate Camp (MMR015CMP020 - Zup Aung Camp) 21-Jan-14"/>
    <s v=""/>
    <n v="0"/>
    <m/>
    <n v="0"/>
    <s v=""/>
    <s v=""/>
    <s v=""/>
  </r>
  <r>
    <x v="0"/>
    <x v="1"/>
    <s v="MMR015"/>
    <s v="Muse"/>
    <s v="MMR015D002"/>
    <x v="5"/>
    <s v="MMR015011"/>
    <s v="Galeng"/>
    <m/>
    <s v="Galeng"/>
    <m/>
    <x v="33"/>
    <x v="33"/>
    <x v="6"/>
    <m/>
    <m/>
    <n v="0"/>
    <n v="0"/>
    <s v="NA"/>
    <x v="1"/>
    <x v="0"/>
    <x v="0"/>
    <x v="2"/>
    <m/>
    <m/>
    <x v="0"/>
    <s v="IP"/>
    <m/>
    <d v="2013-01-15T00:00:00"/>
    <s v="Close: Duplicate Camp (MMR015CMP015 - Kone Khem Camp) 21-Jan-14"/>
    <s v=""/>
    <n v="0"/>
    <m/>
    <n v="0"/>
    <s v=""/>
    <s v=""/>
    <s v=""/>
  </r>
  <r>
    <x v="0"/>
    <x v="0"/>
    <s v="MMR001"/>
    <s v="Myitkyina"/>
    <s v="MMR001D001"/>
    <x v="4"/>
    <s v="MMR001005"/>
    <m/>
    <m/>
    <m/>
    <m/>
    <x v="34"/>
    <x v="34"/>
    <x v="6"/>
    <m/>
    <m/>
    <m/>
    <m/>
    <s v="NA"/>
    <x v="0"/>
    <x v="0"/>
    <x v="0"/>
    <x v="2"/>
    <m/>
    <m/>
    <x v="4"/>
    <s v="IP"/>
    <m/>
    <d v="2015-04-02T00:00:00"/>
    <s v="2-Apr-15 (Closed. Source: GAD)_x000a_Responsible Agency update. KMSS-BMO to KMSS-MYT."/>
    <s v="P1"/>
    <n v="0"/>
    <m/>
    <n v="0"/>
    <s v=""/>
    <s v=""/>
    <s v=""/>
  </r>
  <r>
    <x v="1"/>
    <x v="0"/>
    <s v="MMR001"/>
    <s v="Mohnyin"/>
    <s v="MMR001D002"/>
    <x v="0"/>
    <s v="MMR001009"/>
    <s v="Lone Khin"/>
    <s v="MMR001009001"/>
    <s v="Lone Khin"/>
    <n v="166773"/>
    <x v="35"/>
    <x v="35"/>
    <x v="22"/>
    <n v="25.635300000000001"/>
    <n v="0"/>
    <n v="67"/>
    <n v="350"/>
    <n v="5.2238805970149258"/>
    <x v="0"/>
    <x v="0"/>
    <x v="0"/>
    <x v="1"/>
    <d v="2013-01-01T00:00:00"/>
    <n v="1"/>
    <x v="2"/>
    <s v="IP"/>
    <m/>
    <d v="2016-06-16T00:00:00"/>
    <s v="16/Jun/2016: Population update. Data source: mail by Shalom_x000a_14-Oct-15 Population update. Soruce; Hpakant Mission Report_WFP_x000a_19-Aug-15 Population update. Source: Shalom_x000a_25-Jun-15 (Population update. Source: Shalom)_x000a_Population update: Source: Camp Profile Round 2._x000a_2-Apr-15 (Population update, Source: UNHCR CCCM Mission)"/>
    <s v="P4"/>
    <n v="7"/>
    <m/>
    <n v="7"/>
    <s v="Hpakant Town"/>
    <n v="4.1842484710239098"/>
    <n v="1"/>
  </r>
  <r>
    <x v="1"/>
    <x v="0"/>
    <s v="MMR001"/>
    <s v="Mohnyin"/>
    <s v="MMR001D002"/>
    <x v="0"/>
    <s v="MMR001009"/>
    <s v="Lone Khin"/>
    <s v="MMR001009001"/>
    <s v="Lone Khin"/>
    <n v="166773"/>
    <x v="36"/>
    <x v="36"/>
    <x v="23"/>
    <n v="25.656130000000001"/>
    <n v="0"/>
    <n v="77"/>
    <n v="393"/>
    <n v="5.1038961038961039"/>
    <x v="0"/>
    <x v="0"/>
    <x v="0"/>
    <x v="2"/>
    <d v="2013-01-01T00:00:00"/>
    <n v="2"/>
    <x v="3"/>
    <s v="IP"/>
    <m/>
    <d v="2016-06-15T00:00:00"/>
    <s v="15/Jun/2016: Population update. Data source: monthly report by KBC_x000a_12/May/2016. Population update. Data source: KBC_x000a_28/Jan/2016. Population update. Data source: KBC (mail by maran)_x000a_2/Dec/2015. Population update. Data source: KBC_x000a_14-Oct-15 Population update. Soruce; Hpakant Mission Report_WFP_x000a_25-Jun-15 Population update. Source: KBC_x000a_2-Apr-15 (Population update, Source: UNHCR CCCM Mission)_x000a_Population Update. Source: KBC."/>
    <s v="P4"/>
    <n v="57"/>
    <m/>
    <n v="57"/>
    <s v="Hpakant Town"/>
    <n v="6.4753396248436657"/>
    <n v="2"/>
  </r>
  <r>
    <x v="1"/>
    <x v="0"/>
    <s v="MMR001"/>
    <s v="Mohnyin"/>
    <s v="MMR001D002"/>
    <x v="0"/>
    <s v="MMR001009"/>
    <s v="Lone Khin"/>
    <s v="MMR001009001"/>
    <s v="Hmaw Si Zar"/>
    <n v="166775"/>
    <x v="37"/>
    <x v="37"/>
    <x v="24"/>
    <n v="25.647649999999999"/>
    <n v="0"/>
    <n v="36"/>
    <n v="220"/>
    <n v="6.1111111111111107"/>
    <x v="0"/>
    <x v="0"/>
    <x v="0"/>
    <x v="2"/>
    <d v="2013-01-01T00:00:00"/>
    <n v="2"/>
    <x v="3"/>
    <s v="IP"/>
    <m/>
    <d v="2016-06-15T00:00:00"/>
    <s v="15/Jun/2016: Population update. Data source: monthly report by KBC_x000a_12/May/2016. Population update. Data source: KBC_x000a_28/Jan/2016. Population update. Data source: KBC (mail by maran)_x000a_2/Dec/2015. Population update. Data source: KBC_x000a_25-Jun-15 Population update. Source: KBC_x000a_2-Apr-15 (Population update, Source: UNHCR CCCM Mission)"/>
    <s v="P4"/>
    <n v="16"/>
    <m/>
    <n v="16"/>
    <s v="Hpakant Town"/>
    <n v="5.184483270539272"/>
    <n v="2"/>
  </r>
  <r>
    <x v="1"/>
    <x v="0"/>
    <s v="MMR001"/>
    <s v="Mohnyin"/>
    <s v="MMR001D002"/>
    <x v="0"/>
    <s v="MMR001009"/>
    <s v="Nam Ma Hpyit"/>
    <s v="MMR001009002"/>
    <s v="Nam Ma Hpyit"/>
    <n v="166776"/>
    <x v="38"/>
    <x v="38"/>
    <x v="25"/>
    <n v="25.613894999999999"/>
    <n v="251"/>
    <n v="53"/>
    <n v="241"/>
    <n v="4.5471698113207548"/>
    <x v="0"/>
    <x v="0"/>
    <x v="0"/>
    <x v="1"/>
    <d v="2013-08-01T00:00:00"/>
    <n v="3"/>
    <x v="4"/>
    <s v="IP"/>
    <m/>
    <d v="2016-06-16T00:00:00"/>
    <s v="16/Jun/2016. Population update. Data source: monthly report from KMSS_MYT_x000a_10/May/2016. Population Update. Data source: KMSS_x000a_28/Jan/2016. Population update. Data source: KBC (mail by maran)_x000a_23-Oct-15 (Population update. Data source: Monthly report by KMSS-MYT). Reason for changes; Travelling from the camp for Daily Worker._x000a_2-Oct-15 (Population update. Data Source: Monthly report by KMSS-MYT)_x000a_25-Jun-15 (Population update. Source: KMSS-MYT)_x000a_18-May-15 (Population update from field mission)_x000a_2-Apr-15 (Population update, Source: UNHCR CCCM Mission)"/>
    <s v="P4"/>
    <n v="0"/>
    <m/>
    <n v="0"/>
    <s v="Hpakant Town"/>
    <n v="2.9334852607184256"/>
    <n v="1"/>
  </r>
  <r>
    <x v="0"/>
    <x v="0"/>
    <s v="MMR001"/>
    <s v="Mohnyin"/>
    <s v="MMR001D002"/>
    <x v="0"/>
    <s v="MMR001009"/>
    <s v="Hpakan Town"/>
    <s v="MMR001009701"/>
    <s v="Maw Wam Ward"/>
    <s v="MMR001009701501"/>
    <x v="39"/>
    <x v="39"/>
    <x v="6"/>
    <m/>
    <m/>
    <n v="0"/>
    <n v="0"/>
    <s v="NA"/>
    <x v="0"/>
    <x v="0"/>
    <x v="0"/>
    <x v="0"/>
    <m/>
    <m/>
    <x v="0"/>
    <m/>
    <m/>
    <m/>
    <m/>
    <s v=""/>
    <n v="0"/>
    <m/>
    <n v="0"/>
    <s v=""/>
    <s v=""/>
    <s v=""/>
  </r>
  <r>
    <x v="1"/>
    <x v="0"/>
    <s v="MMR001"/>
    <s v="Mohnyin"/>
    <s v="MMR001D002"/>
    <x v="0"/>
    <s v="MMR001009"/>
    <s v="Nam Ma Hpyit"/>
    <s v="MMR001009002"/>
    <s v="Nam Ma Hpyit"/>
    <n v="166776"/>
    <x v="40"/>
    <x v="40"/>
    <x v="26"/>
    <n v="25.599250000000001"/>
    <n v="0"/>
    <n v="19"/>
    <n v="72"/>
    <n v="3.7894736842105261"/>
    <x v="0"/>
    <x v="0"/>
    <x v="0"/>
    <x v="1"/>
    <d v="2012-08-01T00:00:00"/>
    <n v="1"/>
    <x v="3"/>
    <s v="IP"/>
    <m/>
    <d v="2016-06-15T00:00:00"/>
    <s v="15/Jun/2016: Population update. Data source: monthly report by KBC_x000a_12/May/2016. Population update. Data source: KBC_x000a_28/Jan/2016. Population update. Data source: KBC (mail by maran)_x000a_2/Dec/2015. Population update. Data source: KBC_x000a_14-Oct-15 Population update. Soruce; Hpakant Mission Report_WFP_x000a_25-Jun-15 Population update. Source: KBC_x000a_2-Apr-15 (Population update, Source: UNHCR CCCM Mission)_x000a_Update population according to KBC data."/>
    <s v="P4"/>
    <n v="9"/>
    <m/>
    <n v="9"/>
    <s v="Hpakant Town"/>
    <n v="1.5942018764815451"/>
    <n v="1"/>
  </r>
  <r>
    <x v="1"/>
    <x v="0"/>
    <s v="MMR001"/>
    <s v="Mohnyin"/>
    <s v="MMR001D002"/>
    <x v="0"/>
    <s v="MMR001009"/>
    <s v="Nam Ma Hpyit"/>
    <s v="MMR001009002"/>
    <s v="Nam Ma Hpyit"/>
    <n v="166776"/>
    <x v="41"/>
    <x v="41"/>
    <x v="27"/>
    <n v="25.617998"/>
    <m/>
    <n v="17"/>
    <n v="64"/>
    <n v="3.7647058823529411"/>
    <x v="0"/>
    <x v="0"/>
    <x v="0"/>
    <x v="1"/>
    <d v="2013-01-01T00:00:00"/>
    <n v="1"/>
    <x v="2"/>
    <s v="IP"/>
    <m/>
    <d v="2016-06-16T00:00:00"/>
    <s v="16/Jun/2016: Population update. Data source: mail by Shalom_x000a_9/Nov/15. Population update. Data source: monthly report by HAP._x000a_14-Oct-15 Population update. Soruce; Hpakant Mission Report_WFP_x000a_25-Jun-15 (Population update. Source Shalom)_x000a_2-Apr-15 (Population update, Source: UNHCR CCCM Mission)_x000a_Population update: Source: Camp Profile Round 2."/>
    <s v="P4"/>
    <n v="2"/>
    <m/>
    <n v="2"/>
    <s v="Hpakant Town"/>
    <n v="2.814225084976667"/>
    <n v="1"/>
  </r>
  <r>
    <x v="1"/>
    <x v="0"/>
    <s v="MMR001"/>
    <s v="Mohnyin"/>
    <s v="MMR001D002"/>
    <x v="0"/>
    <s v="MMR001009"/>
    <s v="Nam Ma Hpyit"/>
    <s v="MMR001009002"/>
    <s v="Nam Ma Hpyit"/>
    <n v="166776"/>
    <x v="42"/>
    <x v="42"/>
    <x v="28"/>
    <n v="25.611160000000002"/>
    <m/>
    <n v="116"/>
    <n v="530"/>
    <n v="4.568965517241379"/>
    <x v="0"/>
    <x v="0"/>
    <x v="0"/>
    <x v="1"/>
    <d v="2012-08-01T00:00:00"/>
    <m/>
    <x v="3"/>
    <s v="IP"/>
    <m/>
    <d v="2015-10-14T00:00:00"/>
    <s v="14-Oct-15 Population update. Soruce; Hpakant Mission Report_WFP_x000a_25-Jun-15 Population update. Source: KBC_x000a_18-May-15 (Population update from field mission)_x000a_3-Apr-15 (Population update. Source: Camp Profile Round 3)_x000a_New camp"/>
    <s v="P4"/>
    <n v="116"/>
    <m/>
    <n v="116"/>
    <s v="Hpakant Town"/>
    <n v="0.19374952337076978"/>
    <n v="1"/>
  </r>
  <r>
    <x v="1"/>
    <x v="0"/>
    <s v="MMR001"/>
    <s v="Mohnyin"/>
    <s v="MMR001D002"/>
    <x v="0"/>
    <s v="MMR001009"/>
    <s v="Seik Mu"/>
    <s v="MMR001009003"/>
    <s v="Seik Mu"/>
    <n v="166783"/>
    <x v="43"/>
    <x v="43"/>
    <x v="29"/>
    <n v="25.582065"/>
    <n v="0"/>
    <n v="6"/>
    <n v="30"/>
    <n v="5"/>
    <x v="0"/>
    <x v="0"/>
    <x v="0"/>
    <x v="1"/>
    <d v="2013-08-01T00:00:00"/>
    <n v="1"/>
    <x v="2"/>
    <s v="IP"/>
    <m/>
    <d v="2016-06-16T00:00:00"/>
    <s v="16/Jun/2016: Population update. Data source: mail by Shalom_x000a_14-Oct-15 Population update. Soruce; Hpakant Mission Report_WFP_x000a_19-Aug-15 Population update. Source: Shalom_x000a_2-Apr-15 (Population update, Source: UNHCR CCCM Mission)_x000a_Population update: Source: Camp Profile Round 2."/>
    <s v="P4"/>
    <n v="0"/>
    <m/>
    <n v="0"/>
    <s v="Hpakant Town"/>
    <n v="4.4704963044882238"/>
    <n v="1"/>
  </r>
  <r>
    <x v="1"/>
    <x v="0"/>
    <s v="MMR001"/>
    <s v="Mohnyin"/>
    <s v="MMR001D002"/>
    <x v="0"/>
    <s v="MMR001009"/>
    <s v="Seik Mu"/>
    <s v="MMR001009003"/>
    <s v="Maw Shan"/>
    <n v="166785"/>
    <x v="44"/>
    <x v="44"/>
    <x v="30"/>
    <n v="25.566510000000001"/>
    <n v="278"/>
    <n v="25"/>
    <n v="133"/>
    <n v="5.32"/>
    <x v="0"/>
    <x v="0"/>
    <x v="0"/>
    <x v="2"/>
    <d v="2013-01-01T00:00:00"/>
    <n v="1"/>
    <x v="2"/>
    <s v="IP"/>
    <m/>
    <d v="2016-06-16T00:00:00"/>
    <s v="16/Jun/2016: Population update. Data source: mail by Shalom_x000a_14-Oct-15 Population update. Soruce; Hpakant Mission Report_WFP_x000a_19-Aug-15 Population update. Source: Shalom_x000a_2-Apr-15 (Population update, Source: UNHCR CCCM Mission)_x000a_Population update: Source: Camp Profile Round 2."/>
    <s v="P4"/>
    <n v="0"/>
    <m/>
    <n v="0"/>
    <s v="Hpakant Town"/>
    <n v="6.7094919928483892"/>
    <n v="2"/>
  </r>
  <r>
    <x v="1"/>
    <x v="0"/>
    <s v="MMR001"/>
    <s v="Mohnyin"/>
    <s v="MMR001D002"/>
    <x v="0"/>
    <s v="MMR001009"/>
    <s v="Seik Mu"/>
    <s v="MMR001009003"/>
    <s v="Maw Shan"/>
    <n v="166785"/>
    <x v="45"/>
    <x v="45"/>
    <x v="31"/>
    <n v="25.668399999999998"/>
    <n v="0"/>
    <n v="8"/>
    <n v="40"/>
    <n v="5"/>
    <x v="0"/>
    <x v="0"/>
    <x v="0"/>
    <x v="2"/>
    <d v="2013-01-01T00:00:00"/>
    <n v="1"/>
    <x v="3"/>
    <s v="IP"/>
    <m/>
    <d v="2016-06-15T00:00:00"/>
    <s v="15/Jun/2016: Population update. Data source: monthly report by KBC_x000a_12/May/2016. Population update. Data source: KBC_x000a_28/Jan/2016. Population update. Data source: KBC (mail by maran)_x000a_14-Oct-15 Population update. Soruce; Hpakant Mission Report_WFP_x000a_25-Jun-15 Population update. Source: KBC_x000a_2-Apr-15 (Population update, Source: UNHCR CCCM Mission)_x000a_Update population according to KBC data"/>
    <s v="P4"/>
    <n v="3"/>
    <m/>
    <n v="3"/>
    <s v="Hpakant Town"/>
    <n v="7.419312682373878"/>
    <n v="2"/>
  </r>
  <r>
    <x v="1"/>
    <x v="0"/>
    <s v="MMR001"/>
    <s v="Mohnyin"/>
    <s v="MMR001D002"/>
    <x v="0"/>
    <s v="MMR001009"/>
    <s v="Seik Mu"/>
    <s v="MMR001009003"/>
    <s v="Maw Shan"/>
    <n v="166785"/>
    <x v="46"/>
    <x v="46"/>
    <x v="32"/>
    <n v="25.56551"/>
    <n v="259"/>
    <n v="10"/>
    <n v="39"/>
    <n v="3.9"/>
    <x v="0"/>
    <x v="0"/>
    <x v="0"/>
    <x v="2"/>
    <d v="2013-01-01T00:00:00"/>
    <n v="1"/>
    <x v="2"/>
    <s v="IP"/>
    <m/>
    <d v="2016-06-16T00:00:00"/>
    <s v="16/Jun/2016: Population update. Data source: mail by Shalom_x000a_14-Oct-15 Population update. Soruce; Hpakant Mission Report_WFP_x000a_19-Aug-15 Population updae. Source: Shalom._x000a_25-Jun-15 (Population update. Source Shalom)_x000a_Population update: Source: Camp Profile Round 2."/>
    <s v="P4"/>
    <n v="0"/>
    <m/>
    <n v="0"/>
    <s v="Hpakant Town"/>
    <n v="6.2085564346706201"/>
    <n v="2"/>
  </r>
  <r>
    <x v="1"/>
    <x v="0"/>
    <s v="MMR001"/>
    <s v="Mohnyin"/>
    <s v="MMR001D002"/>
    <x v="0"/>
    <s v="MMR001009"/>
    <s v="Seik Mu"/>
    <s v="MMR001009003"/>
    <s v="Sai Taung (Ywar Haung)"/>
    <n v="166788"/>
    <x v="47"/>
    <x v="47"/>
    <x v="33"/>
    <n v="25.577559999999998"/>
    <n v="0"/>
    <n v="35"/>
    <n v="173"/>
    <n v="4.9428571428571431"/>
    <x v="0"/>
    <x v="0"/>
    <x v="0"/>
    <x v="1"/>
    <d v="2013-01-01T00:00:00"/>
    <n v="2"/>
    <x v="3"/>
    <s v="IP"/>
    <m/>
    <d v="2016-06-15T00:00:00"/>
    <s v="15/Jun/2016: Population update. Data source: monthly report by KBC_x000a_12/May/2016. Population update. Data source: KBC_x000a_28/Jan/2016. Population update. Data source: KBC (mail by maran)_x000a_2/Dec/2015. Population update. Data source: KBC_x000a_14-Oct-15 Population update. Soruce; Hpakant Mission Report_WFP_x000a_25-Jun-15 Population update. Source: KBC_x000a_18-May-15 (Population update with field mission)_x000a_2-Apr-15 (Population update, Source: UNHCR CCCM Mission)_x000a_Update population according to KBC data"/>
    <s v="P4"/>
    <n v="20"/>
    <m/>
    <n v="20"/>
    <s v="Hpakant Town"/>
    <n v="4.6754712546149264"/>
    <n v="1"/>
  </r>
  <r>
    <x v="1"/>
    <x v="0"/>
    <s v="MMR001"/>
    <s v="Mohnyin"/>
    <s v="MMR001D002"/>
    <x v="0"/>
    <s v="MMR001009"/>
    <s v="Lone Khin"/>
    <s v="MMR001009001"/>
    <s v="Nyein Chan Thar Yar"/>
    <n v="216876"/>
    <x v="48"/>
    <x v="48"/>
    <x v="34"/>
    <n v="25.637309999999999"/>
    <n v="277.60000000000002"/>
    <n v="66"/>
    <n v="356"/>
    <n v="5.3939393939393936"/>
    <x v="0"/>
    <x v="0"/>
    <x v="0"/>
    <x v="1"/>
    <d v="2013-01-01T00:00:00"/>
    <n v="1"/>
    <x v="2"/>
    <s v="IP"/>
    <m/>
    <d v="2016-06-16T00:00:00"/>
    <s v="16/Jun/2016: Population update. Data source: mail by Shalom_x000a_14-Oct-15 Population update. Soruce; Hpakant Mission Report_WFP_x000a_19-Aug-15 Population update. Source: Shalom_x000a_25-Jun-15 (Population update. Source: Shalom)_x000a_2-Apr-15 (Population update, Source: UNHCR CCCM Mission)_x000a_Population update: Source: Camp Profile Round 2."/>
    <s v="P4"/>
    <n v="0"/>
    <m/>
    <n v="0"/>
    <s v="Hpakant Town"/>
    <n v="4.8862832644478198"/>
    <n v="1"/>
  </r>
  <r>
    <x v="1"/>
    <x v="0"/>
    <s v="MMR001"/>
    <s v="Mohnyin"/>
    <s v="MMR001D002"/>
    <x v="0"/>
    <s v="MMR001009"/>
    <s v="Lone Khin"/>
    <s v="MMR001009001"/>
    <s v="Ku Day"/>
    <n v="216877"/>
    <x v="49"/>
    <x v="49"/>
    <x v="6"/>
    <m/>
    <m/>
    <n v="50"/>
    <n v="242"/>
    <n v="4.84"/>
    <x v="0"/>
    <x v="0"/>
    <x v="0"/>
    <x v="2"/>
    <d v="2015-01-15T00:00:00"/>
    <m/>
    <x v="3"/>
    <s v="IP"/>
    <m/>
    <d v="2016-06-15T00:00:00"/>
    <s v="15/Jun/2016: Population update. Data source: monthly report by KBC_x000a_12/May/2016. Population update. Data source: KBC_x000a_28/Jan/2016. Population update. Data source: KBC (mail by maran)_x000a_2/Dec/2015. Population update. Data source: KBC_x000a_25-Jun-15 Population update. Source: KBC_x000a_18-May-15 (Population update by field mission)_x000a_Source: CCCM Unit (Hpakant Assessement Mission)"/>
    <m/>
    <n v="0"/>
    <m/>
    <n v="0"/>
    <m/>
    <s v=""/>
    <s v=""/>
  </r>
  <r>
    <x v="1"/>
    <x v="0"/>
    <s v="MMR001"/>
    <s v="Mohnyin"/>
    <s v="MMR001D002"/>
    <x v="0"/>
    <s v="MMR001009"/>
    <s v="Nam Si In (Karmaing Sub-township)"/>
    <s v="MMR001009012"/>
    <s v="Htwe San Yang"/>
    <n v="220512"/>
    <x v="50"/>
    <x v="50"/>
    <x v="35"/>
    <n v="25.51352"/>
    <n v="0"/>
    <n v="14"/>
    <n v="47"/>
    <n v="3.3571428571428572"/>
    <x v="0"/>
    <x v="0"/>
    <x v="0"/>
    <x v="1"/>
    <d v="2012-10-01T00:00:00"/>
    <n v="1"/>
    <x v="3"/>
    <s v="IP"/>
    <m/>
    <d v="2016-06-15T00:00:00"/>
    <s v="15/Jun/2016: Population update. Data source: monthly report by KBC_x000a_12/May/2016. Population update. Data source: KBC_x000a_28/Jan/2016. Population update. Data source: KBC (mail by maran)_x000a_2/Dec/2015. Population update. Data source: KBC._x000a_19-Aug-15 Population update. Source: KBC._x000a_25-Jun-15 Population update. Source: KBC_x000a_Update population according to KBC data"/>
    <s v="P4"/>
    <n v="14"/>
    <m/>
    <n v="14"/>
    <s v="Kamaing Town"/>
    <n v="1.1537462444167914"/>
    <n v="1"/>
  </r>
  <r>
    <x v="1"/>
    <x v="0"/>
    <s v="MMR001"/>
    <s v="Mohnyin"/>
    <s v="MMR001D002"/>
    <x v="0"/>
    <s v="MMR001009"/>
    <s v="Hpakan Town"/>
    <s v="MMR001009701"/>
    <s v="Maw Wam Ward"/>
    <s v="MMR001009701501"/>
    <x v="51"/>
    <x v="51"/>
    <x v="36"/>
    <n v="25.616509000000001"/>
    <n v="264"/>
    <n v="14"/>
    <n v="83"/>
    <n v="5.9285714285714288"/>
    <x v="0"/>
    <x v="0"/>
    <x v="0"/>
    <x v="1"/>
    <d v="2013-01-01T00:00:00"/>
    <n v="1"/>
    <x v="2"/>
    <s v="IP"/>
    <m/>
    <d v="2016-06-16T00:00:00"/>
    <s v="16/Jun/2016: Population update. Data source: mail by Shalom_x000a_14-Oct-15 Population update. Soruce; Hpakant Mission Report_WFP_x000a_19-Aug-15 Population update. Source: Shalom_x000a_25-Jun-15 (Population update. Source: Shalom)_x000a_Population update: Source: Camp Profile Round 2._x000a_2-Apr-15 (Population update, Source: UNHCR CCCM Mission)"/>
    <s v="P4"/>
    <n v="4"/>
    <m/>
    <n v="4"/>
    <s v="Hpakant Town"/>
    <n v="0.66733171900141897"/>
    <n v="1"/>
  </r>
  <r>
    <x v="0"/>
    <x v="0"/>
    <s v="MMR001"/>
    <s v="Bhamo"/>
    <s v="MMR001D003"/>
    <x v="2"/>
    <s v="MMR001013"/>
    <m/>
    <m/>
    <m/>
    <m/>
    <x v="52"/>
    <x v="52"/>
    <x v="6"/>
    <m/>
    <m/>
    <n v="0"/>
    <n v="0"/>
    <s v="NA"/>
    <x v="0"/>
    <x v="0"/>
    <x v="2"/>
    <x v="0"/>
    <m/>
    <m/>
    <x v="0"/>
    <s v="IP"/>
    <m/>
    <d v="2014-02-07T00:00:00"/>
    <s v="Source OCHA"/>
    <s v=""/>
    <n v="0"/>
    <m/>
    <n v="0"/>
    <s v=""/>
    <s v=""/>
    <s v=""/>
  </r>
  <r>
    <x v="1"/>
    <x v="0"/>
    <s v="MMR001"/>
    <s v="Mohnyin"/>
    <s v="MMR001D002"/>
    <x v="0"/>
    <s v="MMR001009"/>
    <s v="Hpakan Town"/>
    <s v="MMR001009701"/>
    <s v="Maw Wam Ward"/>
    <s v="MMR001009701501"/>
    <x v="53"/>
    <x v="53"/>
    <x v="37"/>
    <n v="25.615960999999999"/>
    <n v="281"/>
    <n v="8"/>
    <n v="46"/>
    <n v="5.75"/>
    <x v="0"/>
    <x v="0"/>
    <x v="0"/>
    <x v="1"/>
    <d v="2012-08-01T00:00:00"/>
    <n v="1"/>
    <x v="2"/>
    <s v="IP"/>
    <m/>
    <d v="2016-06-16T00:00:00"/>
    <s v="16/Jun/2016: Population update. Data source: mail by Shalom_x000a_9/Nov/15. Population update. Data source: monthly report by HAP._x000a_14-Oct-15 Population update. Soruce; Hpakant Mission Report_WFP_x000a_25-Jun-15 (Population update. Source: Shalom)_x000a_18-May-15 (Population update from field mission)_x000a_2-Apr-15 (Population update, Source: UNHCR CCCM Mission)_x000a_Population update: Source: Camp Profile Round 2."/>
    <s v="P4"/>
    <n v="0"/>
    <m/>
    <n v="0"/>
    <s v="Hpakant Town"/>
    <n v="0.56771790814545575"/>
    <n v="1"/>
  </r>
  <r>
    <x v="1"/>
    <x v="0"/>
    <s v="MMR001"/>
    <s v="Mohnyin"/>
    <s v="MMR001D002"/>
    <x v="0"/>
    <s v="MMR001009"/>
    <s v="Hpakan Town"/>
    <s v="MMR001009701"/>
    <s v="Maw Wam Ward"/>
    <s v="MMR001009701501"/>
    <x v="54"/>
    <x v="54"/>
    <x v="38"/>
    <n v="25.61842"/>
    <n v="250"/>
    <n v="15"/>
    <n v="74"/>
    <n v="4.9333333333333336"/>
    <x v="0"/>
    <x v="0"/>
    <x v="0"/>
    <x v="1"/>
    <d v="2013-01-01T00:00:00"/>
    <n v="1"/>
    <x v="2"/>
    <s v="IP"/>
    <m/>
    <d v="2016-06-16T00:00:00"/>
    <s v="16/Jun/2016: Population update. Data source: mail by Shalom_x000a_19-Aug-15 Population update. Source: Shalom_x000a_25-Jun-15 (Population update. Source : Shalom)_x000a_2-Apr-15 (Population update, Source: UNHCR CCCM Mission)_x000a_Population update: Source: Camp Profile Round 2."/>
    <s v="P4"/>
    <n v="0"/>
    <m/>
    <n v="0"/>
    <s v="Hpakant Town"/>
    <n v="0.75842119772531946"/>
    <n v="1"/>
  </r>
  <r>
    <x v="1"/>
    <x v="0"/>
    <s v="MMR001"/>
    <s v="Mohnyin"/>
    <s v="MMR001D002"/>
    <x v="0"/>
    <s v="MMR001009"/>
    <s v="Hpakan Town"/>
    <s v="MMR001009701"/>
    <s v="Maw Wam Ward"/>
    <s v="MMR001009701501"/>
    <x v="55"/>
    <x v="55"/>
    <x v="39"/>
    <n v="25.6145"/>
    <n v="65"/>
    <n v="5"/>
    <n v="26"/>
    <n v="5.2"/>
    <x v="0"/>
    <x v="0"/>
    <x v="0"/>
    <x v="1"/>
    <d v="2012-08-01T00:00:00"/>
    <n v="1"/>
    <x v="2"/>
    <s v="IP"/>
    <m/>
    <d v="2016-06-16T00:00:00"/>
    <s v="16/Jun/2016: Population update. Data source: mail by Shalom_x000a_25-Jun-15 (Population update. Source : Shalom)_x000a_Population update: Source: Camp Profile Round 2."/>
    <s v="P4"/>
    <n v="0"/>
    <m/>
    <n v="0"/>
    <s v="Hpakant Town"/>
    <n v="0.79577754007276646"/>
    <n v="1"/>
  </r>
  <r>
    <x v="1"/>
    <x v="1"/>
    <s v="MMR015"/>
    <s v="Lashio"/>
    <s v="MMR015D001"/>
    <x v="6"/>
    <s v="MMR015002"/>
    <s v="Nam Sa Larp"/>
    <s v="MMR015002021"/>
    <s v="Nam Sa Larp"/>
    <n v="206352"/>
    <x v="56"/>
    <x v="56"/>
    <x v="40"/>
    <n v="23.354268999999999"/>
    <m/>
    <n v="38"/>
    <n v="172"/>
    <n v="4.5263157894736841"/>
    <x v="0"/>
    <x v="0"/>
    <x v="0"/>
    <x v="2"/>
    <d v="2015-02-01T00:00:00"/>
    <m/>
    <x v="3"/>
    <s v="IP"/>
    <m/>
    <d v="2016-06-15T00:00:00"/>
    <s v="15/Jun/2016: Population update. Data source: monthly report by KBC_x000a_12/May/2016. Population update. Data source: KBC_x000a_28/Jan/2016. Population update. Data source: KBC (mail by maran)_x000a_19-Aug-15 Population update. Source KBC._x000a_25-Jun-15 New camp. Data Source : KBC"/>
    <m/>
    <n v="3"/>
    <m/>
    <n v="3"/>
    <s v=""/>
    <s v=""/>
    <s v=""/>
  </r>
  <r>
    <x v="0"/>
    <x v="0"/>
    <s v="MMR001"/>
    <s v="Bhamo"/>
    <s v="MMR001D003"/>
    <x v="1"/>
    <s v="MMR001010"/>
    <m/>
    <m/>
    <m/>
    <m/>
    <x v="57"/>
    <x v="57"/>
    <x v="41"/>
    <n v="24.262418020999998"/>
    <m/>
    <n v="0"/>
    <n v="0"/>
    <s v="NA"/>
    <x v="0"/>
    <x v="0"/>
    <x v="0"/>
    <x v="0"/>
    <m/>
    <m/>
    <x v="0"/>
    <s v="IP"/>
    <m/>
    <d v="2014-01-22T00:00:00"/>
    <s v="Closed: Source UNHCR-Bhamo"/>
    <s v=""/>
    <n v="0"/>
    <m/>
    <n v="0"/>
    <s v=""/>
    <s v=""/>
    <s v=""/>
  </r>
  <r>
    <x v="1"/>
    <x v="1"/>
    <s v="MMR015"/>
    <s v="Lashio"/>
    <s v="MMR015D001"/>
    <x v="6"/>
    <s v="MMR015002"/>
    <s v="Nar Tee"/>
    <s v="MMR015002029"/>
    <s v="Nar Tee"/>
    <n v="206422"/>
    <x v="58"/>
    <x v="58"/>
    <x v="42"/>
    <n v="23.372409999999999"/>
    <n v="617.6"/>
    <n v="67"/>
    <n v="392"/>
    <n v="5.8507462686567164"/>
    <x v="1"/>
    <x v="0"/>
    <x v="1"/>
    <x v="2"/>
    <d v="2013-04-01T00:00:00"/>
    <m/>
    <x v="0"/>
    <s v="IP"/>
    <m/>
    <d v="2014-03-03T00:00:00"/>
    <s v="Change to Host Families."/>
    <s v="P4"/>
    <n v="0"/>
    <m/>
    <n v="0"/>
    <s v="Kunlong Town"/>
    <n v="30.037709702375544"/>
    <n v="7"/>
  </r>
  <r>
    <x v="1"/>
    <x v="0"/>
    <s v="MMR001"/>
    <s v="Puta-O"/>
    <s v="MMR001D004"/>
    <x v="7"/>
    <s v="MMR001018"/>
    <s v="La Ja Ga"/>
    <s v="MMR001018021"/>
    <s v="La Ja"/>
    <n v="168236"/>
    <x v="59"/>
    <x v="59"/>
    <x v="43"/>
    <n v="26.890058"/>
    <n v="1393"/>
    <n v="11"/>
    <n v="17"/>
    <n v="1.5454545454545454"/>
    <x v="0"/>
    <x v="0"/>
    <x v="0"/>
    <x v="2"/>
    <m/>
    <m/>
    <x v="0"/>
    <s v="RRD"/>
    <m/>
    <d v="2014-01-07T00:00:00"/>
    <s v="Update data from OCHA IDPs List"/>
    <s v="P4"/>
    <n v="11"/>
    <m/>
    <n v="11"/>
    <s v="Khaunglanhpu Town"/>
    <n v="28.422357500443528"/>
    <n v="6"/>
  </r>
  <r>
    <x v="1"/>
    <x v="1"/>
    <s v="MMR015"/>
    <s v="Muse"/>
    <s v="MMR015D002"/>
    <x v="5"/>
    <s v="MMR015011"/>
    <s v="Kar Lai Kone Hsar"/>
    <s v="MMR015011005"/>
    <s v="Kar Lai"/>
    <n v="208557"/>
    <x v="60"/>
    <x v="60"/>
    <x v="44"/>
    <n v="23.4008"/>
    <n v="0"/>
    <n v="88"/>
    <n v="505"/>
    <n v="5.7386363636363633"/>
    <x v="0"/>
    <x v="0"/>
    <x v="0"/>
    <x v="2"/>
    <d v="2013-01-01T00:00:00"/>
    <m/>
    <x v="3"/>
    <s v="IP"/>
    <m/>
    <d v="2016-05-12T00:00:00"/>
    <s v="12/May/2016. Population update. Data source: KBC_x000a_25-Jun-15 Population update. Source: KBC_x000a_Update population. Source: Camp Profile."/>
    <s v="P3"/>
    <n v="0"/>
    <m/>
    <n v="0"/>
    <s v="Kutkai Town"/>
    <n v="11.65743881259678"/>
    <n v="3"/>
  </r>
  <r>
    <x v="1"/>
    <x v="1"/>
    <s v="MMR015"/>
    <s v="Muse"/>
    <s v="MMR015D002"/>
    <x v="5"/>
    <s v="MMR015011"/>
    <s v="Kar Lai Kone Hsar"/>
    <s v="MMR015011005"/>
    <s v="Kar Lai"/>
    <n v="208557"/>
    <x v="61"/>
    <x v="61"/>
    <x v="45"/>
    <n v="23.38503"/>
    <n v="0"/>
    <n v="202"/>
    <n v="906"/>
    <n v="4.4851485148514856"/>
    <x v="0"/>
    <x v="0"/>
    <x v="0"/>
    <x v="2"/>
    <d v="2012-12-01T00:00:00"/>
    <m/>
    <x v="3"/>
    <s v="IP"/>
    <m/>
    <d v="2016-06-15T00:00:00"/>
    <s v="15/Jun/2016: Population update. Data source: monthly report by KBC_x000a_12/May/2016. Population update. Data source: KBC_x000a_28/Jan/2016. Population update. Data source: KBC (mail by maran)_x000a_25-Jun-15 Population update. Source: KBC_x000a_Population update. Source: KBC."/>
    <s v="P3"/>
    <n v="101"/>
    <m/>
    <n v="101"/>
    <s v="Kutkai Town"/>
    <n v="13.632081902964599"/>
    <n v="3"/>
  </r>
  <r>
    <x v="1"/>
    <x v="1"/>
    <s v="MMR015"/>
    <s v="Muse"/>
    <s v="MMR015D002"/>
    <x v="5"/>
    <s v="MMR015011"/>
    <s v="Nam Hpat Kar"/>
    <s v="MMR015011020"/>
    <s v="Nam Hpat Kar (Ho Pon + Pang Sa Lorp)"/>
    <n v="208696"/>
    <x v="62"/>
    <x v="62"/>
    <x v="46"/>
    <n v="23.694130000000001"/>
    <n v="1135.7"/>
    <n v="62"/>
    <n v="281"/>
    <n v="4.532258064516129"/>
    <x v="0"/>
    <x v="0"/>
    <x v="0"/>
    <x v="2"/>
    <d v="2011-12-01T00:00:00"/>
    <n v="1"/>
    <x v="3"/>
    <s v="IP"/>
    <m/>
    <d v="2016-06-15T00:00:00"/>
    <s v="15/Jun/2016: Population update. Data source: monthly report by KBC_x000a_12/May/2016. Population update. Data source: KBC_x000a_28/Jan/2016. Population update. Data source: KBC (mail by maran)_x000a_2/Dec/2015. Population update. Data source: KBC_x000a_25-Jun-15 Population update. Source: KBC_x000a_Update population. Source: Camp Profile."/>
    <s v="P3"/>
    <n v="36"/>
    <m/>
    <n v="36"/>
    <s v="Namhkan Town"/>
    <n v="21.148671772283631"/>
    <n v="5"/>
  </r>
  <r>
    <x v="1"/>
    <x v="1"/>
    <s v="MMR015"/>
    <s v="Muse"/>
    <s v="MMR015D002"/>
    <x v="5"/>
    <s v="MMR015011"/>
    <s v="Mong Yu"/>
    <s v="MMR015011030"/>
    <s v="Mong Yu"/>
    <n v="208747"/>
    <x v="63"/>
    <x v="63"/>
    <x v="47"/>
    <n v="23.588920000000002"/>
    <n v="1012.5"/>
    <n v="63"/>
    <n v="305"/>
    <n v="4.8412698412698409"/>
    <x v="0"/>
    <x v="0"/>
    <x v="0"/>
    <x v="2"/>
    <d v="2013-01-01T00:00:00"/>
    <n v="2"/>
    <x v="3"/>
    <s v="IP"/>
    <m/>
    <d v="2016-06-15T00:00:00"/>
    <s v="15/Jun/2016: Population update. Data source: monthly report by KBC_x000a_12/May/2016. Population update. Data source: KBC_x000a_28/Jan/2016. Population update. Data source: KBC (mail by maran)_x000a_2/Dec/2015. Population update. Data source: KBC_x000a_25-Jun-15 Population update. Source: KBC_x000a_Update population. Source: Camp Profile."/>
    <s v="P3"/>
    <n v="0"/>
    <m/>
    <n v="0"/>
    <s v="Kutkai Town"/>
    <n v="21.050742639251741"/>
    <n v="5"/>
  </r>
  <r>
    <x v="1"/>
    <x v="1"/>
    <s v="MMR015"/>
    <s v="Muse"/>
    <s v="MMR015D002"/>
    <x v="5"/>
    <s v="MMR015011"/>
    <s v="Long Waun Nam Rein (Tarmoenye Sub-township)"/>
    <s v="MMR015011050"/>
    <s v="Mai Pong (Shu See)"/>
    <n v="219842"/>
    <x v="64"/>
    <x v="64"/>
    <x v="48"/>
    <n v="23.400155999999999"/>
    <n v="3109"/>
    <n v="49"/>
    <n v="261"/>
    <n v="5.3265306122448983"/>
    <x v="0"/>
    <x v="0"/>
    <x v="0"/>
    <x v="2"/>
    <d v="2011-09-01T00:00:00"/>
    <n v="1"/>
    <x v="3"/>
    <s v="IP"/>
    <m/>
    <d v="2016-06-15T00:00:00"/>
    <s v="15/Jun/2016: Population update. Data source: monthly report by KBC_x000a_12/May/2016. Population update. Data source: KBC_x000a_28/Jan/2016. Population update. Data source: KBC (mail by maran)_x000a_2/Dec/2015. Population update. Data source: KBC_x000a_25-Jun-15 Population update. Source: KBC_x000a_27-Mar-15 (Changed to GCA. Source UNHCR-Bhamo)_x000a_Update population. Source: Camp Profile."/>
    <s v="P1"/>
    <n v="44"/>
    <m/>
    <n v="44"/>
    <s v="Tarmoenye Town"/>
    <n v="23.172399462804503"/>
    <n v="5"/>
  </r>
  <r>
    <x v="1"/>
    <x v="1"/>
    <s v="MMR015"/>
    <s v="Muse"/>
    <s v="MMR015D002"/>
    <x v="5"/>
    <s v="MMR015011"/>
    <s v="Long Waun Nam Rein (Tarmoenye Sub-township)"/>
    <s v="MMR015011050"/>
    <s v="Mai Pong (Shu See)"/>
    <n v="219842"/>
    <x v="65"/>
    <x v="65"/>
    <x v="6"/>
    <m/>
    <m/>
    <n v="23"/>
    <n v="112"/>
    <n v="4.8695652173913047"/>
    <x v="0"/>
    <x v="0"/>
    <x v="0"/>
    <x v="2"/>
    <d v="2011-09-01T00:00:00"/>
    <m/>
    <x v="5"/>
    <s v="IP"/>
    <m/>
    <d v="2016-01-28T00:00:00"/>
    <s v="28/Jan/2016. Population update. Data source: KBC (mail by maran)_x000a_19-Aug-15 (Population update. Source KMSS-LSO)_x000a_25-Jun-15 (Population update. Source KMSS-LSO)_x000a_27-Mar-15 (Changed to GCA. Source UNHCR-Bhamo)_x000a_New camp. Source: KMSS-BMO"/>
    <m/>
    <n v="23"/>
    <m/>
    <n v="23"/>
    <s v=""/>
    <s v=""/>
    <s v=""/>
  </r>
  <r>
    <x v="0"/>
    <x v="0"/>
    <s v="MMR001"/>
    <s v="Bhamo"/>
    <s v="MMR001D003"/>
    <x v="2"/>
    <s v="MMR001013"/>
    <s v="Man Mawn"/>
    <s v="MMR001013022"/>
    <m/>
    <m/>
    <x v="66"/>
    <x v="66"/>
    <x v="49"/>
    <n v="23.867713999999999"/>
    <n v="755"/>
    <n v="0"/>
    <n v="0"/>
    <s v="NA"/>
    <x v="1"/>
    <x v="0"/>
    <x v="0"/>
    <x v="2"/>
    <d v="2013-04-01T00:00:00"/>
    <n v="2"/>
    <x v="1"/>
    <s v="IP"/>
    <m/>
    <d v="2014-06-21T00:00:00"/>
    <s v="Closed. Source: Save The Children"/>
    <s v="P4"/>
    <n v="0"/>
    <m/>
    <n v="0"/>
    <s v=""/>
    <s v=""/>
    <s v=""/>
  </r>
  <r>
    <x v="0"/>
    <x v="0"/>
    <s v="MMR001"/>
    <s v="Myitkyina"/>
    <s v="MMR001D001"/>
    <x v="3"/>
    <s v="MMR001002"/>
    <s v="Nam Sang Yang"/>
    <s v="MMR001002024"/>
    <s v="Nam Sang Yang"/>
    <n v="165772"/>
    <x v="67"/>
    <x v="67"/>
    <x v="50"/>
    <n v="24.747212999999999"/>
    <n v="221"/>
    <n v="0"/>
    <n v="0"/>
    <s v="NA"/>
    <x v="1"/>
    <x v="0"/>
    <x v="0"/>
    <x v="2"/>
    <d v="2011-06-01T00:00:00"/>
    <n v="3"/>
    <x v="4"/>
    <s v="IP"/>
    <m/>
    <d v="2015-06-25T00:00:00"/>
    <s v="25-Jun-15 (Relocated to Hpum Lone Yan and Wai Choi)_x000a_Population Update. Source: UNHCR Cross-Line Mission Report. (July 2014)"/>
    <s v="P2"/>
    <n v="0"/>
    <n v="0"/>
    <n v="0"/>
    <s v="Laiza town"/>
    <n v="1.857513522619473"/>
    <n v="1"/>
  </r>
  <r>
    <x v="1"/>
    <x v="1"/>
    <s v="MMR015"/>
    <s v="Muse"/>
    <s v="MMR015D002"/>
    <x v="5"/>
    <s v="MMR015011"/>
    <s v="Kutkai Town"/>
    <s v="MMR015011701"/>
    <s v="No (3) Ward"/>
    <s v="MMR015011701503"/>
    <x v="68"/>
    <x v="68"/>
    <x v="51"/>
    <n v="23.460349999999998"/>
    <n v="4430"/>
    <n v="31"/>
    <n v="144"/>
    <n v="4.645161290322581"/>
    <x v="0"/>
    <x v="0"/>
    <x v="0"/>
    <x v="1"/>
    <d v="2012-12-01T00:00:00"/>
    <m/>
    <x v="5"/>
    <s v="IP"/>
    <m/>
    <d v="2016-01-28T00:00:00"/>
    <s v="28/Jan/2016. Population update. Data source: KBC (mail by maran)_x000a_19-Aug-15 (Population update. Source: MKSS-LSO)_x000a_25-Jun-15 (Population update. Source: KMSS-LSO)_x000a_Population updated. Source: Shelter unit."/>
    <s v="P3"/>
    <n v="0"/>
    <m/>
    <n v="0"/>
    <s v="Kutkai Town"/>
    <n v="0.42212558305526549"/>
    <n v="1"/>
  </r>
  <r>
    <x v="1"/>
    <x v="1"/>
    <s v="MMR015"/>
    <s v="Muse"/>
    <s v="MMR015D002"/>
    <x v="5"/>
    <s v="MMR015011"/>
    <s v="Kutkai Town"/>
    <s v="MMR015011701"/>
    <s v="No (5) Ward"/>
    <s v="MMR015011701505"/>
    <x v="69"/>
    <x v="69"/>
    <x v="52"/>
    <n v="23.450914000000001"/>
    <n v="4336"/>
    <n v="63"/>
    <n v="295"/>
    <n v="4.6825396825396828"/>
    <x v="0"/>
    <x v="0"/>
    <x v="0"/>
    <x v="1"/>
    <d v="2012-12-01T00:00:00"/>
    <n v="2"/>
    <x v="3"/>
    <s v="IP"/>
    <m/>
    <d v="2016-06-15T00:00:00"/>
    <s v="15/Jun/2016: Population update. Data source: monthly report by KBC_x000a_12/May/2016. Population update. Data source: KBC_x000a_28/Jan/2016. Population update. Data source: KBC (mail by maran)_x000a_25-Jun-15 Population update. Source: KBC_x000a_Update population. Source: Camp Profile."/>
    <s v="P3"/>
    <n v="0"/>
    <m/>
    <n v="0"/>
    <s v="Kutkai Town"/>
    <n v="1.9281430163271129"/>
    <n v="1"/>
  </r>
  <r>
    <x v="1"/>
    <x v="1"/>
    <s v="MMR015"/>
    <s v="Muse"/>
    <s v="MMR015D002"/>
    <x v="5"/>
    <s v="MMR015011"/>
    <s v="Kar Lai Kone Hsar"/>
    <s v="MMR015011005"/>
    <m/>
    <m/>
    <x v="70"/>
    <x v="70"/>
    <x v="53"/>
    <n v="23.447111"/>
    <m/>
    <n v="105"/>
    <n v="568"/>
    <n v="5.4095238095238098"/>
    <x v="0"/>
    <x v="0"/>
    <x v="0"/>
    <x v="2"/>
    <d v="2015-02-01T00:00:00"/>
    <m/>
    <x v="0"/>
    <m/>
    <m/>
    <d v="2015-11-09T00:00:00"/>
    <s v="9/Nov/15. New added camp. Data source: UNHCR CCCM officer NSS mission 8-12 July 2015."/>
    <m/>
    <n v="105"/>
    <m/>
    <n v="105"/>
    <s v=""/>
    <s v=""/>
    <s v=""/>
  </r>
  <r>
    <x v="1"/>
    <x v="0"/>
    <s v="MMR001"/>
    <s v="Bhamo"/>
    <s v="MMR001D003"/>
    <x v="2"/>
    <s v="MMR001013"/>
    <s v="Mansi Town"/>
    <s v="MMR001013701"/>
    <m/>
    <m/>
    <x v="1"/>
    <x v="71"/>
    <x v="54"/>
    <n v="24.118618999999999"/>
    <m/>
    <n v="76"/>
    <n v="256"/>
    <n v="3.3684210526315788"/>
    <x v="0"/>
    <x v="0"/>
    <x v="1"/>
    <x v="1"/>
    <m/>
    <m/>
    <x v="0"/>
    <s v="IP"/>
    <m/>
    <d v="2015-11-09T00:00:00"/>
    <s v="9/Nov/15. Population update. Data source: mail from Pancy (WFP)._x000a_Update IDP increased in Oct and Nov 2013 from (UNHCR - Bhamo)"/>
    <s v="P4"/>
    <n v="0"/>
    <m/>
    <n v="0"/>
    <s v="Mansi Town"/>
    <n v="0.51447052329458698"/>
    <n v="1"/>
  </r>
  <r>
    <x v="0"/>
    <x v="0"/>
    <s v="MMR001"/>
    <s v="Myitkyina"/>
    <s v="MMR001D001"/>
    <x v="8"/>
    <s v="MMR001003"/>
    <m/>
    <m/>
    <m/>
    <m/>
    <x v="71"/>
    <x v="72"/>
    <x v="6"/>
    <m/>
    <m/>
    <n v="0"/>
    <n v="0"/>
    <s v="NA"/>
    <x v="0"/>
    <x v="0"/>
    <x v="0"/>
    <x v="0"/>
    <m/>
    <m/>
    <x v="0"/>
    <m/>
    <m/>
    <d v="2014-03-14T00:00:00"/>
    <s v="Close. According to RRC's info, this camp does not include in reported list."/>
    <s v=""/>
    <n v="0"/>
    <m/>
    <n v="0"/>
    <s v=""/>
    <s v=""/>
    <s v=""/>
  </r>
  <r>
    <x v="1"/>
    <x v="0"/>
    <s v="MMR001"/>
    <s v="Bhamo"/>
    <s v="MMR001D003"/>
    <x v="2"/>
    <s v="MMR001013"/>
    <s v="Maing Khaung"/>
    <s v="MMR001013007"/>
    <s v="Maing Khaung"/>
    <n v="167301"/>
    <x v="72"/>
    <x v="73"/>
    <x v="55"/>
    <n v="23.972453000000002"/>
    <n v="466"/>
    <n v="365"/>
    <n v="1672"/>
    <n v="4.580821917808219"/>
    <x v="0"/>
    <x v="0"/>
    <x v="0"/>
    <x v="2"/>
    <d v="2013-10-01T00:00:00"/>
    <n v="2"/>
    <x v="3"/>
    <s v="IP"/>
    <m/>
    <d v="2016-06-15T00:00:00"/>
    <s v="15/Jun/2016: Population update. Data source: monthly report by KBC_x000a_12/May/2016. Population update. Data source: KBC_x000a_28/Jan/2016. Population update. Data source: KBC (mail by maran)_x000a_13/Dec/2014. Population update. Data source: Mail by Ko Maran. Reason for Pop changes: Following September 2016 conflict there was sudden increase of IDP pp in Mansi and Mahkawng_x000a_2/Dec/2015. Population update. Data source: KBC_x000a_2-Oct-14 Population update (New arrival). Data source: NFI distribution list from Bhamo._x000a_19-Aug-15 Population update. Source: KBC._x000a_25-Jun-15 Population update. Source: KBC_x000a_Population update: Source: Camp Profile Round 2."/>
    <s v="P4"/>
    <n v="56"/>
    <m/>
    <n v="56"/>
    <s v="Mansi Town"/>
    <n v="17.731070777343263"/>
    <n v="4"/>
  </r>
  <r>
    <x v="1"/>
    <x v="0"/>
    <s v="MMR001"/>
    <s v="Myitkyina"/>
    <s v="MMR001D001"/>
    <x v="3"/>
    <s v="MMR001002"/>
    <s v="Hpawt Dawt"/>
    <s v="MMR001002032"/>
    <s v="Lai Zar"/>
    <n v="165816"/>
    <x v="73"/>
    <x v="74"/>
    <x v="56"/>
    <n v="25.108011999999999"/>
    <m/>
    <n v="355"/>
    <n v="4450"/>
    <n v="12.535211267605634"/>
    <x v="1"/>
    <x v="1"/>
    <x v="3"/>
    <x v="1"/>
    <m/>
    <m/>
    <x v="0"/>
    <s v="IRRC"/>
    <m/>
    <d v="2014-06-13T00:00:00"/>
    <s v="2015-04-01 : According to UNICEF and WFP this location is a village. People are not IDP but are affected by the crisis. That s why it would remain in the list._x000a_Geo-Info, HH/Pop data was updated from Google Earth."/>
    <s v="P4"/>
    <n v="0"/>
    <m/>
    <n v="0"/>
    <s v="Sadung Town"/>
    <n v="34.344689881690819"/>
    <n v="7"/>
  </r>
  <r>
    <x v="1"/>
    <x v="0"/>
    <s v="MMR001"/>
    <s v="Bhamo"/>
    <s v="MMR001D003"/>
    <x v="2"/>
    <s v="MMR001013"/>
    <s v="Maing Khaung"/>
    <s v="MMR001013007"/>
    <s v="Maing Khaung"/>
    <n v="167301"/>
    <x v="74"/>
    <x v="75"/>
    <x v="57"/>
    <n v="23.976571"/>
    <n v="478"/>
    <n v="123"/>
    <n v="582"/>
    <n v="4.7317073170731705"/>
    <x v="0"/>
    <x v="0"/>
    <x v="0"/>
    <x v="2"/>
    <d v="2013-10-01T00:00:00"/>
    <n v="2"/>
    <x v="1"/>
    <s v="IP"/>
    <m/>
    <d v="2016-01-28T00:00:00"/>
    <s v="28/Jan/2016. Population update. Data source: KBC (mail by maran)_x000a_19-Aug-15 Update population. Source KMSS-BMO_x000a_Geo-Info update."/>
    <s v="P4"/>
    <n v="73"/>
    <m/>
    <n v="73"/>
    <s v="Kamaing Town"/>
    <n v="12.257552920582597"/>
    <n v="3"/>
  </r>
  <r>
    <x v="1"/>
    <x v="0"/>
    <s v="MMR001"/>
    <s v="Bhamo"/>
    <s v="MMR001D003"/>
    <x v="2"/>
    <s v="MMR001013"/>
    <s v="Dum Buk"/>
    <s v="MMR001013014"/>
    <s v="Dum Buk"/>
    <n v="167343"/>
    <x v="75"/>
    <x v="76"/>
    <x v="58"/>
    <n v="24.000250000000001"/>
    <m/>
    <n v="219"/>
    <n v="891"/>
    <n v="4.0684931506849313"/>
    <x v="1"/>
    <x v="0"/>
    <x v="0"/>
    <x v="2"/>
    <d v="2011-10-01T00:00:00"/>
    <m/>
    <x v="1"/>
    <s v="IP"/>
    <m/>
    <d v="2016-01-28T00:00:00"/>
    <s v="28/Jan/2016. Population update. Data source: KBC (mail by maran)_x000a_Population Update. Source: Save The Children."/>
    <s v="P2"/>
    <n v="99"/>
    <m/>
    <n v="99"/>
    <s v="Namhkan Town"/>
    <n v="19.631786732140053"/>
    <n v="4"/>
  </r>
  <r>
    <x v="1"/>
    <x v="0"/>
    <s v="MMR001"/>
    <s v="Bhamo"/>
    <s v="MMR001D003"/>
    <x v="2"/>
    <s v="MMR001013"/>
    <s v="Man Wein"/>
    <s v="MMR001013021"/>
    <s v="Man Wein"/>
    <n v="167405"/>
    <x v="76"/>
    <x v="77"/>
    <x v="59"/>
    <n v="23.835319999999999"/>
    <n v="795"/>
    <n v="458"/>
    <n v="2139"/>
    <n v="4.6703056768558948"/>
    <x v="0"/>
    <x v="0"/>
    <x v="0"/>
    <x v="2"/>
    <d v="2011-11-01T00:00:00"/>
    <n v="2"/>
    <x v="1"/>
    <s v="IP"/>
    <m/>
    <d v="2016-02-16T00:00:00"/>
    <s v="16/Feb/2016. spontenous return to villages near Manwin Gyi_x000a_28/Jan/2016. Population update. Data source: KBC (mail by maran)_x000a_19-Aug-2015. Update Population. Data Source; KMSS-BMO_x000a_Population Update. Source: KMSS-BMO"/>
    <s v="P4"/>
    <n v="258"/>
    <m/>
    <n v="258"/>
    <s v="Namhkan Town"/>
    <n v="10.509375400480517"/>
    <n v="3"/>
  </r>
  <r>
    <x v="1"/>
    <x v="0"/>
    <s v="MMR001"/>
    <s v="Bhamo"/>
    <s v="MMR001D003"/>
    <x v="2"/>
    <s v="MMR001013"/>
    <s v="Man Wein"/>
    <s v="MMR001013021"/>
    <s v="Man Wein"/>
    <n v="167405"/>
    <x v="77"/>
    <x v="78"/>
    <x v="60"/>
    <n v="23.83013"/>
    <n v="741"/>
    <n v="107"/>
    <n v="527"/>
    <n v="4.9252336448598131"/>
    <x v="0"/>
    <x v="0"/>
    <x v="0"/>
    <x v="2"/>
    <d v="2012-02-01T00:00:00"/>
    <n v="2"/>
    <x v="3"/>
    <s v="IP"/>
    <m/>
    <d v="2016-06-15T00:00:00"/>
    <s v="15/Jun/2016: Population update. Data source: monthly report by KBC_x000a_12/May/2016. Population update. Data source: KBC_x000a_28/Jan/2016. Population update. Data source: KBC (mail by maran)_x000a_13/Dec/2015. Population update. Data source: Mail by Ko Maran. Reason for Pop changes: camp pp reduced as IDP in the host who were registered in the camp but now they established their own separate entity as IDP in the host. _x000a_2/Dec/2015. Population update. Data source: KBC_x000a_25-Jun-15 Population update. Source: KBC_x000a_Population Update. Source: Save The Children."/>
    <s v="P4"/>
    <n v="33"/>
    <m/>
    <n v="33"/>
    <s v="Namhkan Town"/>
    <n v="9.3704379947870464"/>
    <n v="2"/>
  </r>
  <r>
    <x v="1"/>
    <x v="0"/>
    <s v="MMR001"/>
    <s v="Bhamo"/>
    <s v="MMR001D003"/>
    <x v="2"/>
    <s v="MMR001013"/>
    <s v="Man Wein"/>
    <s v="MMR001013021"/>
    <s v="Man Wein"/>
    <n v="167405"/>
    <x v="78"/>
    <x v="79"/>
    <x v="61"/>
    <n v="23.833477999999999"/>
    <n v="925"/>
    <n v="123"/>
    <n v="555"/>
    <n v="4.5121951219512191"/>
    <x v="0"/>
    <x v="0"/>
    <x v="0"/>
    <x v="2"/>
    <d v="2014-06-01T00:00:00"/>
    <m/>
    <x v="1"/>
    <s v="IP"/>
    <m/>
    <d v="2016-02-16T00:00:00"/>
    <s v="16/Feb/2016. families’ extension_x000a_28/Jan/2016. Population update. Data source: KBC (mail by maran)_x000a_19-Aug-2015. Update Population. Data Source; KMSS-BMO_x000a_Responsible Agency update. KMSS-MYT to KMSS-BMO."/>
    <s v="P4"/>
    <n v="123"/>
    <m/>
    <n v="123"/>
    <s v="Namhkan Town"/>
    <n v="10.527586947557506"/>
    <n v="3"/>
  </r>
  <r>
    <x v="1"/>
    <x v="0"/>
    <s v="MMR001"/>
    <s v="Bhamo"/>
    <s v="MMR001D003"/>
    <x v="2"/>
    <s v="MMR001013"/>
    <s v="Man Wein"/>
    <s v="MMR001013021"/>
    <s v="Man Wein"/>
    <n v="167405"/>
    <x v="79"/>
    <x v="80"/>
    <x v="62"/>
    <n v="23.829599000000002"/>
    <m/>
    <n v="113"/>
    <n v="476"/>
    <n v="4.2123893805309738"/>
    <x v="0"/>
    <x v="0"/>
    <x v="0"/>
    <x v="2"/>
    <d v="2014-04-01T00:00:00"/>
    <m/>
    <x v="3"/>
    <s v="IP"/>
    <m/>
    <d v="2016-06-15T00:00:00"/>
    <s v="15/Jun/2016: Population update. Data source: monthly report by KBC_x000a_12/May/2016. Population update. Data source: KBC_x000a_28/Jan/2016. Population update. Data source: KBC (mail by maran)_x000a_2/Dec/2015. Population update. Data source: KBC_x000a_25-Jun-15 Population update. Source: KBC_x000a_Population Update. Source: Save The Children."/>
    <s v=""/>
    <n v="113"/>
    <m/>
    <n v="113"/>
    <s v="Namhkan Town"/>
    <n v="9.2957189123335944"/>
    <n v="2"/>
  </r>
  <r>
    <x v="1"/>
    <x v="0"/>
    <s v="MMR001"/>
    <s v="Bhamo"/>
    <s v="MMR001D003"/>
    <x v="2"/>
    <s v="MMR001013"/>
    <s v="Man Wein"/>
    <s v="MMR001013021"/>
    <s v="Man Wein"/>
    <n v="167405"/>
    <x v="80"/>
    <x v="81"/>
    <x v="63"/>
    <n v="23.827870999999998"/>
    <m/>
    <n v="175"/>
    <n v="834"/>
    <n v="4.765714285714286"/>
    <x v="0"/>
    <x v="0"/>
    <x v="1"/>
    <x v="2"/>
    <m/>
    <m/>
    <x v="0"/>
    <s v="IP"/>
    <m/>
    <d v="2016-01-28T00:00:00"/>
    <s v="28/Jan/2016. Population update. Data source: KBC (mail by maran)_x000a_13/Dec/15. Population update. Data source: Mail by Ko Maran. Reason for pop changes: IDP in the host who were registered in the Man Win Bapitst Church (cultural compound) camp established their own separate entity as IDP in the host. _x000a_Population Update. Source: Save The Children."/>
    <s v="P4"/>
    <n v="0"/>
    <m/>
    <n v="0"/>
    <s v="Namhkan Town"/>
    <n v="9.5650381623500511"/>
    <n v="2"/>
  </r>
  <r>
    <x v="0"/>
    <x v="0"/>
    <s v="MMR001"/>
    <s v="Bhamo"/>
    <s v="MMR001D003"/>
    <x v="2"/>
    <s v="MMR001013"/>
    <s v="La Gat Dawt"/>
    <s v="MMR001013027"/>
    <m/>
    <m/>
    <x v="81"/>
    <x v="82"/>
    <x v="64"/>
    <n v="23.9055"/>
    <n v="745"/>
    <n v="0"/>
    <n v="0"/>
    <s v="NA"/>
    <x v="1"/>
    <x v="0"/>
    <x v="0"/>
    <x v="3"/>
    <d v="2012-08-01T00:00:00"/>
    <n v="2"/>
    <x v="1"/>
    <s v="IP"/>
    <m/>
    <d v="2015-08-19T00:00:00"/>
    <s v="19-Aug-15 Close. Source: CCCM Unit._x000a_Population source: KMSS-BMO"/>
    <s v="P2"/>
    <n v="0"/>
    <m/>
    <n v="0"/>
    <s v="Namhkan Town"/>
    <n v="12.392289083396149"/>
    <n v="3"/>
  </r>
  <r>
    <x v="1"/>
    <x v="0"/>
    <s v="MMR001"/>
    <s v="Bhamo"/>
    <s v="MMR001D003"/>
    <x v="2"/>
    <s v="MMR001013"/>
    <s v="In Ba Pa"/>
    <s v="MMR001013012"/>
    <s v="La Na"/>
    <n v="216948"/>
    <x v="82"/>
    <x v="83"/>
    <x v="65"/>
    <n v="24.056132999999999"/>
    <n v="866"/>
    <n v="545"/>
    <n v="2560"/>
    <n v="4.6972477064220186"/>
    <x v="1"/>
    <x v="0"/>
    <x v="0"/>
    <x v="2"/>
    <d v="2011-10-01T00:00:00"/>
    <n v="2"/>
    <x v="1"/>
    <s v="IP"/>
    <m/>
    <d v="2016-01-28T00:00:00"/>
    <s v="28/Jan/2016. Population update. Data source: KBC (mail by maran)_x000a_19-Aug-2015. Update Population. Data Source; KMSS-BMO_x000a_Population update: Source UNHCR-Bhamo"/>
    <s v="P2"/>
    <n v="51"/>
    <m/>
    <n v="51"/>
    <s v="Lwegel Town"/>
    <n v="18.620903555062636"/>
    <n v="4"/>
  </r>
  <r>
    <x v="1"/>
    <x v="0"/>
    <s v="MMR001"/>
    <s v="Bhamo"/>
    <s v="MMR001D003"/>
    <x v="2"/>
    <s v="MMR001013"/>
    <s v="Dum Buk"/>
    <s v="MMR001013014"/>
    <s v="Dum Buk"/>
    <s v="Dum Buk"/>
    <x v="83"/>
    <x v="84"/>
    <x v="66"/>
    <n v="24.002433"/>
    <n v="854"/>
    <n v="245"/>
    <n v="1232"/>
    <n v="5.0285714285714285"/>
    <x v="1"/>
    <x v="0"/>
    <x v="0"/>
    <x v="2"/>
    <d v="2011-10-01T00:00:00"/>
    <n v="2"/>
    <x v="1"/>
    <s v="IP"/>
    <m/>
    <d v="2016-01-28T00:00:00"/>
    <s v="28/Jan/2016. Population update. Data source: KBC (mail by maran)_x000a_Population update: Source: KMSS-BMO_x000a_Population Update. Source: Save The Children."/>
    <s v="P2"/>
    <n v="55"/>
    <m/>
    <n v="55"/>
    <s v="Namhkan Town"/>
    <n v="19.796407430638478"/>
    <n v="4"/>
  </r>
  <r>
    <x v="0"/>
    <x v="0"/>
    <s v="MMR001"/>
    <s v="Mohnyin"/>
    <s v="MMR001D002"/>
    <x v="0"/>
    <s v="MMR001009"/>
    <s v="Seik Mu"/>
    <s v="MMR001009003"/>
    <s v="Ma Mon"/>
    <n v="166790"/>
    <x v="84"/>
    <x v="85"/>
    <x v="6"/>
    <m/>
    <m/>
    <n v="0"/>
    <n v="0"/>
    <s v="NA"/>
    <x v="0"/>
    <x v="0"/>
    <x v="0"/>
    <x v="0"/>
    <m/>
    <m/>
    <x v="0"/>
    <m/>
    <m/>
    <m/>
    <s v=" "/>
    <s v=""/>
    <n v="0"/>
    <m/>
    <n v="0"/>
    <s v=""/>
    <s v=""/>
    <s v=""/>
  </r>
  <r>
    <x v="0"/>
    <x v="0"/>
    <s v="MMR001"/>
    <s v="Puta-O"/>
    <s v="MMR001D004"/>
    <x v="9"/>
    <s v="MMR001016"/>
    <m/>
    <m/>
    <m/>
    <m/>
    <x v="85"/>
    <x v="86"/>
    <x v="67"/>
    <n v="27.274059999999999"/>
    <n v="403"/>
    <n v="0"/>
    <n v="0"/>
    <s v="NA"/>
    <x v="0"/>
    <x v="0"/>
    <x v="0"/>
    <x v="2"/>
    <d v="2013-09-01T00:00:00"/>
    <m/>
    <x v="0"/>
    <s v="IP"/>
    <m/>
    <d v="2015-06-25T00:00:00"/>
    <s v="25-Jun-15 (Relocate to Long Sut)_x000a_Geo-Info, HH/Pop data received from MIRA Form"/>
    <s v="P3"/>
    <n v="0"/>
    <m/>
    <n v="0"/>
    <s v="Machanbaw Town"/>
    <n v="1.136583238544624"/>
    <n v="1"/>
  </r>
  <r>
    <x v="1"/>
    <x v="0"/>
    <s v="MMR001"/>
    <s v="Bhamo"/>
    <s v="MMR001D003"/>
    <x v="2"/>
    <s v="MMR001013"/>
    <s v="Mansi Town"/>
    <s v="MMR001013701"/>
    <s v="Kawng Yar Ward"/>
    <s v="MMR001013701504"/>
    <x v="86"/>
    <x v="87"/>
    <x v="68"/>
    <n v="24.129059999999999"/>
    <n v="0"/>
    <n v="221"/>
    <n v="1003"/>
    <n v="4.5384615384615383"/>
    <x v="0"/>
    <x v="0"/>
    <x v="0"/>
    <x v="1"/>
    <d v="2013-11-01T00:00:00"/>
    <n v="2"/>
    <x v="3"/>
    <s v="IP"/>
    <m/>
    <d v="2016-05-12T00:00:00"/>
    <s v="12/May/2016. Population update. Data source: KBC_x000a_28/Jan/2016. Population update. Data source: KBC (mail by maran)"/>
    <s v="P4"/>
    <n v="116"/>
    <m/>
    <n v="116"/>
    <s v="Mansi Town"/>
    <n v="1.0576516850656514"/>
    <n v="1"/>
  </r>
  <r>
    <x v="1"/>
    <x v="1"/>
    <s v="MMR015"/>
    <s v="Kyaukme"/>
    <s v="MMR015D003"/>
    <x v="10"/>
    <s v="MMR015019"/>
    <s v="Urban"/>
    <s v="MMR015019701"/>
    <s v="No (2) Ward"/>
    <s v="MMR015019701503"/>
    <x v="87"/>
    <x v="88"/>
    <x v="69"/>
    <n v="23.250678000000001"/>
    <n v="1250"/>
    <n v="37"/>
    <n v="159"/>
    <n v="4.2972972972972974"/>
    <x v="0"/>
    <x v="0"/>
    <x v="0"/>
    <x v="1"/>
    <d v="2012-04-01T00:00:00"/>
    <n v="1"/>
    <x v="3"/>
    <s v="IP"/>
    <m/>
    <d v="2016-06-15T00:00:00"/>
    <s v="15/Jun/2016: Population update. Data source: monthly report by KBC_x000a_12/May/2016. Population update. Data source: KBC_x000a_28/Jan/2016. Population update. Data source: KBC (mail by maran)_x000a_25-Jun-15 Population update. Source: KBC_x000a_Changed NGCA to GCA. Source: CCCM Unit"/>
    <s v="P2"/>
    <n v="0"/>
    <m/>
    <n v="0"/>
    <s v="Manton Town"/>
    <n v="0.43878855438285824"/>
    <n v="1"/>
  </r>
  <r>
    <x v="1"/>
    <x v="1"/>
    <s v="MMR015"/>
    <s v="Kyaukme"/>
    <s v="MMR015D003"/>
    <x v="10"/>
    <s v="MMR015019"/>
    <s v="Urban"/>
    <s v="MMR015019701"/>
    <s v="No (2) Ward"/>
    <s v="MMR015019701503"/>
    <x v="88"/>
    <x v="89"/>
    <x v="70"/>
    <n v="23.24661"/>
    <n v="87.3"/>
    <n v="31"/>
    <n v="183"/>
    <n v="5.903225806451613"/>
    <x v="0"/>
    <x v="0"/>
    <x v="0"/>
    <x v="1"/>
    <d v="2012-05-01T00:00:00"/>
    <m/>
    <x v="5"/>
    <s v="IP"/>
    <m/>
    <d v="2016-01-28T00:00:00"/>
    <s v="28/Jan/2016. Population update. Data source: KBC (mail by maran)_x000a_19-Aug-15 (Population update. Source: KMSS-LSO)_x000a_25-Jun-15 (Population update. Source: KMSS-LSO)_x000a_New Camp"/>
    <s v="P3"/>
    <n v="1"/>
    <m/>
    <n v="1"/>
    <s v="Manton Town"/>
    <n v="0.71762888500316424"/>
    <n v="1"/>
  </r>
  <r>
    <x v="1"/>
    <x v="0"/>
    <s v="MMR001"/>
    <s v="Mohnyin"/>
    <s v="MMR001D002"/>
    <x v="11"/>
    <s v="MMR001008"/>
    <s v="Nawng Kaing Htaw"/>
    <s v="MMR001008002"/>
    <s v="Ma Haung"/>
    <n v="166676"/>
    <x v="89"/>
    <x v="90"/>
    <x v="71"/>
    <n v="25.296579999999999"/>
    <n v="0"/>
    <n v="17"/>
    <n v="77"/>
    <n v="4.5294117647058822"/>
    <x v="0"/>
    <x v="0"/>
    <x v="0"/>
    <x v="1"/>
    <d v="2012-05-01T00:00:00"/>
    <n v="1"/>
    <x v="3"/>
    <s v="IP"/>
    <m/>
    <d v="2016-06-15T00:00:00"/>
    <s v="15/Jun/2016: Population update. Data source: monthly report by KBC_x000a_12/May/2016. Population update. Data source: KBC_x000a_28/Jan/2016. Population update. Data source: KBC (mail by maran)_x000a_2/Dec/2015. Population update. Data source: KBC._x000a_19-Aug-15 Update population from KBC._x000a_25-Jun-2015 Update population. Data Source: KBC_x000a_Checked with KBC data"/>
    <s v="P4"/>
    <n v="7"/>
    <m/>
    <n v="7"/>
    <s v="Mogaung Town"/>
    <n v="0.71141459237180937"/>
    <n v="1"/>
  </r>
  <r>
    <x v="1"/>
    <x v="0"/>
    <s v="MMR001"/>
    <s v="Mohnyin"/>
    <s v="MMR001D002"/>
    <x v="11"/>
    <s v="MMR001008"/>
    <s v="Nawng Kaing Htaw"/>
    <s v="MMR001008002"/>
    <s v="Ma Haung"/>
    <n v="166676"/>
    <x v="90"/>
    <x v="91"/>
    <x v="6"/>
    <m/>
    <m/>
    <n v="9"/>
    <n v="39"/>
    <n v="4.333333333333333"/>
    <x v="0"/>
    <x v="0"/>
    <x v="0"/>
    <x v="1"/>
    <d v="2015-05-01T00:00:00"/>
    <m/>
    <x v="4"/>
    <s v="RRD"/>
    <m/>
    <d v="2015-11-09T00:00:00"/>
    <s v="9/Nov/15. Accomodation changes from Host families to Camp. Data source: mail by Maran Tang Nau._x000a_19-Aug-15 (Population Udate. Data Source: KMSS-MYT)_x000a_25-Jun-2015 (New host families. Source: RRD)"/>
    <m/>
    <n v="9"/>
    <m/>
    <n v="9"/>
    <s v=""/>
    <s v=""/>
    <s v=""/>
  </r>
  <r>
    <x v="1"/>
    <x v="0"/>
    <s v="MMR001"/>
    <s v="Mohnyin"/>
    <s v="MMR001D002"/>
    <x v="11"/>
    <s v="MMR001008"/>
    <s v="Sar Hmaw"/>
    <s v="MMR001008018"/>
    <s v="Sar Hmaw"/>
    <n v="166724"/>
    <x v="91"/>
    <x v="92"/>
    <x v="6"/>
    <m/>
    <m/>
    <n v="30"/>
    <n v="137"/>
    <n v="4.5666666666666664"/>
    <x v="0"/>
    <x v="0"/>
    <x v="0"/>
    <x v="2"/>
    <d v="2015-05-01T00:00:00"/>
    <m/>
    <x v="3"/>
    <s v="RRD"/>
    <m/>
    <d v="2016-06-15T00:00:00"/>
    <s v="15/Jun/2016: Population update. Data source: monthly report by KBC. And it was changed from host families to camp according to the data collection of Camp Profiling Round_5._x000a_12/May/2016. Population update. Data source: KBC_x000a_28/Jan/2016. Population update. Data source: KBC (mail by maran)_x000a_13/Dec/2015. Population update. Data source: Mail by Ko Maran. Reason for pop changes; The same number since March 2015 displacement but pp was divided between KBC and ICM churches. After setting up of a camp managed by KBC from August total population combined as it was. _x000a_2/Dec/2015. Population update. Data source: KBC._x000a_25-Jun-2015 (New host families. Source: RRD)"/>
    <m/>
    <n v="0"/>
    <m/>
    <n v="0"/>
    <s v=""/>
    <s v=""/>
    <s v=""/>
  </r>
  <r>
    <x v="1"/>
    <x v="0"/>
    <s v="MMR001"/>
    <s v="Mohnyin"/>
    <s v="MMR001D002"/>
    <x v="11"/>
    <s v="MMR001008"/>
    <s v="Mogaung Town"/>
    <s v="MMR001008701"/>
    <s v="Nat Gyi Kone Ward"/>
    <s v="MMR001008701506"/>
    <x v="92"/>
    <x v="93"/>
    <x v="72"/>
    <n v="25.30442"/>
    <n v="100"/>
    <n v="12"/>
    <n v="42"/>
    <n v="3.5"/>
    <x v="0"/>
    <x v="0"/>
    <x v="0"/>
    <x v="1"/>
    <d v="2012-03-01T00:00:00"/>
    <n v="1"/>
    <x v="3"/>
    <s v="IP"/>
    <m/>
    <d v="2016-06-15T00:00:00"/>
    <s v="15/Jun/2016: Population update. Data source: monthly report by KBC_x000a_12/May/2016. Population update. Data source: KBC_x000a_28/Jan/2016. Population update. Data source: KBC (mail by maran)_x000a_19-Aug-15 Update population. Data Source: KBC._x000a_25-Jun-2015 Update population. Data Source: KBC_x000a_Update population according to KBC data"/>
    <s v="P4"/>
    <n v="0"/>
    <m/>
    <n v="0"/>
    <s v="Mogaung Town"/>
    <n v="0.86042374061342075"/>
    <n v="1"/>
  </r>
  <r>
    <x v="1"/>
    <x v="0"/>
    <s v="MMR001"/>
    <s v="Mohnyin"/>
    <s v="MMR001D002"/>
    <x v="11"/>
    <s v="MMR001008"/>
    <s v="Mogaung Town"/>
    <s v="MMR001008701"/>
    <s v="Kyun Taw Ward"/>
    <s v="MMR001008701510"/>
    <x v="93"/>
    <x v="94"/>
    <x v="73"/>
    <n v="25.305669999999999"/>
    <n v="470"/>
    <n v="13"/>
    <n v="64"/>
    <n v="4.9230769230769234"/>
    <x v="0"/>
    <x v="0"/>
    <x v="0"/>
    <x v="1"/>
    <d v="2012-05-01T00:00:00"/>
    <n v="1"/>
    <x v="3"/>
    <s v="IP"/>
    <m/>
    <d v="2016-06-15T00:00:00"/>
    <s v="15/Jun/2016: Population update. Data source: monthly report by KBC_x000a_12/May/2016. Population update. Data source: KBC_x000a_28/Jan/2016. Population update. Data source: KBC (mail by maran)_x000a_2/Dec/2015. Population update. Data source: KBC._x000a_19-Aug-15 Update population from KBC._x000a_25-Jun-2015 Update population. Data Source: KBC_x000a_Checked with KBC data"/>
    <s v="P4"/>
    <n v="0"/>
    <m/>
    <n v="0"/>
    <s v="Mogaung Town"/>
    <n v="1.815139598767344"/>
    <n v="1"/>
  </r>
  <r>
    <x v="1"/>
    <x v="0"/>
    <s v="MMR001"/>
    <s v="Mohnyin"/>
    <s v="MMR001D002"/>
    <x v="11"/>
    <s v="MMR001008"/>
    <s v="Sar Hmaw"/>
    <s v="MMR001008018"/>
    <s v="Sar Hmaw"/>
    <n v="166724"/>
    <x v="94"/>
    <x v="95"/>
    <x v="6"/>
    <m/>
    <m/>
    <n v="24"/>
    <n v="83"/>
    <n v="3.4583333333333335"/>
    <x v="0"/>
    <x v="0"/>
    <x v="1"/>
    <x v="2"/>
    <d v="2015-05-01T00:00:00"/>
    <m/>
    <x v="0"/>
    <s v="RRD"/>
    <m/>
    <d v="2015-06-25T00:00:00"/>
    <s v="25-Jun-2015 (New host families. Source: RRD)"/>
    <m/>
    <n v="0"/>
    <m/>
    <n v="0"/>
    <s v=""/>
    <s v=""/>
    <s v=""/>
  </r>
  <r>
    <x v="1"/>
    <x v="0"/>
    <s v="MMR001"/>
    <s v="Mohnyin"/>
    <s v="MMR001D002"/>
    <x v="12"/>
    <s v="MMR001007"/>
    <s v="Mohnyin Town"/>
    <s v="MMR001007701"/>
    <m/>
    <m/>
    <x v="95"/>
    <x v="96"/>
    <x v="74"/>
    <n v="24.764959999999999"/>
    <m/>
    <n v="15"/>
    <n v="64"/>
    <n v="4.2666666666666666"/>
    <x v="0"/>
    <x v="0"/>
    <x v="1"/>
    <x v="0"/>
    <m/>
    <m/>
    <x v="0"/>
    <s v="IP"/>
    <m/>
    <d v="2016-06-16T00:00:00"/>
    <s v="16/Jun/2016. Population update. Data source: monthly report from KMSS_MYT_x000a_28/Jan/2016. Population update. Data source: KBC (mail by maran)_x000a_9/Nov/15. Population update. Data source: mail from Pancy (WFP)._x000a_19-Mar-2015 (WFP has been providing this host families since 2013.)"/>
    <m/>
    <n v="0"/>
    <m/>
    <n v="0"/>
    <s v=""/>
    <s v=""/>
    <s v=""/>
  </r>
  <r>
    <x v="1"/>
    <x v="0"/>
    <s v="MMR001"/>
    <s v="Mohnyin"/>
    <s v="MMR001D002"/>
    <x v="12"/>
    <s v="MMR001007"/>
    <s v="Hopin Town"/>
    <s v="MMR001007702"/>
    <s v="Myo Ma (South) Ward"/>
    <s v="MMR001007702503"/>
    <x v="96"/>
    <x v="97"/>
    <x v="75"/>
    <n v="24.996279999999999"/>
    <m/>
    <n v="36"/>
    <n v="153"/>
    <n v="4.25"/>
    <x v="0"/>
    <x v="0"/>
    <x v="1"/>
    <x v="0"/>
    <m/>
    <m/>
    <x v="0"/>
    <s v="IP"/>
    <m/>
    <d v="2015-03-19T00:00:00"/>
    <s v="19-Mar-2015 (WFP has been providing this host families since 2013.)"/>
    <m/>
    <n v="0"/>
    <m/>
    <n v="0"/>
    <s v=""/>
    <s v=""/>
    <s v=""/>
  </r>
  <r>
    <x v="1"/>
    <x v="0"/>
    <s v="MMR001"/>
    <s v="Mohnyin"/>
    <s v="MMR001D002"/>
    <x v="12"/>
    <s v="MMR001007"/>
    <s v="Mohnyin Town"/>
    <s v="MMR001007701"/>
    <s v="Aung Tha Pyay Ward"/>
    <s v="MMR001007701505"/>
    <x v="97"/>
    <x v="98"/>
    <x v="76"/>
    <n v="24.764800000000001"/>
    <m/>
    <n v="12"/>
    <n v="55"/>
    <n v="4.583333333333333"/>
    <x v="0"/>
    <x v="0"/>
    <x v="0"/>
    <x v="1"/>
    <d v="2012-06-01T00:00:00"/>
    <m/>
    <x v="4"/>
    <s v="IP"/>
    <m/>
    <d v="2016-06-16T00:00:00"/>
    <s v="16/Jun/2016. Population update. Data source: monthly report from KMSS_MYT_x000a_10/May/2016. Population Update. Data source: KMSS_x000a_28/Jan/2016. Population update. Data source: KBC (mail by maran)_x000a_2/Dec/2015 (Population update. Data source: Monthly report by KMSS_MYT). Reasons for population changes; travelling from the camp for daily worker._x000a_2-Oct-15 (Population update. Data Source: Monthly report by KMSS-MYT)_x000a_19-Aug-15 (Population updata. Data Source: KMSS-MYT)_x000a_25-Jun-15 (Population update. Source KMSS-MYT)_x000a_Population Update. Source: KMSS-MYT"/>
    <s v="P4"/>
    <n v="0"/>
    <m/>
    <n v="0"/>
    <s v="Mohnyin Town"/>
    <n v="1.7021273757523427"/>
    <n v="1"/>
  </r>
  <r>
    <x v="0"/>
    <x v="0"/>
    <s v="MMR001"/>
    <s v="Bhamo"/>
    <s v="MMR001D003"/>
    <x v="2"/>
    <s v="MMR001013"/>
    <s v="Mai Bat"/>
    <s v="MMR001013018"/>
    <s v="Man Kawng"/>
    <n v="167391"/>
    <x v="98"/>
    <x v="99"/>
    <x v="77"/>
    <n v="24.181640000000002"/>
    <m/>
    <n v="0"/>
    <n v="0"/>
    <s v="NA"/>
    <x v="0"/>
    <x v="0"/>
    <x v="0"/>
    <x v="0"/>
    <m/>
    <m/>
    <x v="0"/>
    <s v="IP"/>
    <m/>
    <d v="2014-03-03T00:00:00"/>
    <s v="Closed. Duplicate with Maing Khaung."/>
    <s v=""/>
    <n v="0"/>
    <m/>
    <n v="0"/>
    <s v=""/>
    <s v=""/>
    <s v=""/>
  </r>
  <r>
    <x v="0"/>
    <x v="0"/>
    <s v="MMR001"/>
    <s v="Bhamo"/>
    <s v="MMR001D003"/>
    <x v="2"/>
    <s v="MMR001013"/>
    <s v="Mai Bat"/>
    <s v="MMR001013018"/>
    <s v="Man Kawng"/>
    <n v="167391"/>
    <x v="99"/>
    <x v="100"/>
    <x v="77"/>
    <n v="24.181640000000002"/>
    <m/>
    <n v="0"/>
    <n v="0"/>
    <s v="NA"/>
    <x v="0"/>
    <x v="0"/>
    <x v="0"/>
    <x v="0"/>
    <m/>
    <m/>
    <x v="0"/>
    <s v="IP"/>
    <m/>
    <d v="2014-03-03T00:00:00"/>
    <s v="Closed. Duplicate with Maing Khaung."/>
    <s v=""/>
    <n v="0"/>
    <m/>
    <n v="0"/>
    <s v=""/>
    <s v=""/>
    <s v=""/>
  </r>
  <r>
    <x v="1"/>
    <x v="0"/>
    <s v="MMR001"/>
    <s v="Mohnyin"/>
    <s v="MMR001D002"/>
    <x v="12"/>
    <s v="MMR001007"/>
    <s v="Nam Mun"/>
    <s v="MMR001007016"/>
    <s v="Indawgyi"/>
    <m/>
    <x v="100"/>
    <x v="101"/>
    <x v="78"/>
    <n v="24.998349999999999"/>
    <m/>
    <n v="19"/>
    <n v="100"/>
    <n v="5.2631578947368425"/>
    <x v="0"/>
    <x v="0"/>
    <x v="0"/>
    <x v="2"/>
    <d v="2012-02-01T00:00:00"/>
    <n v="1"/>
    <x v="3"/>
    <s v="IP"/>
    <m/>
    <d v="2016-06-15T00:00:00"/>
    <s v="15/Jun/2016: Population update. Data source: monthly report by KBC_x000a_12/May/2016. Population update. Data source: KBC_x000a_28/Jan/2016. Population update. Data source: KBC (mail by maran)_x000a_2/Dec/2015. Population update. Data source: KBC._x000a_19-Aug-15 Population update. Source: KBC._x000a_25-Jun-15 Population update. Source: KBC_x000a_Update population according to KBC data"/>
    <s v="P4"/>
    <n v="0"/>
    <m/>
    <n v="0"/>
    <s v="Hopin Town"/>
    <n v="16.668825701583572"/>
    <n v="4"/>
  </r>
  <r>
    <x v="1"/>
    <x v="0"/>
    <s v="MMR001"/>
    <s v="Bhamo"/>
    <s v="MMR001D003"/>
    <x v="13"/>
    <s v="MMR001012"/>
    <s v="Dawthponeyan  Town"/>
    <s v="MMR001012703"/>
    <s v="No (2) Ward"/>
    <s v="MMR001012703502"/>
    <x v="101"/>
    <x v="102"/>
    <x v="79"/>
    <n v="24.613976000000001"/>
    <m/>
    <m/>
    <n v="49"/>
    <s v="NA"/>
    <x v="0"/>
    <x v="0"/>
    <x v="4"/>
    <x v="2"/>
    <m/>
    <m/>
    <x v="0"/>
    <m/>
    <m/>
    <d v="2015-11-09T00:00:00"/>
    <s v="9/Nov/2015. Population update. Data source: mail from Pancy (WFP)._x000a_New added Boarding School"/>
    <m/>
    <n v="0"/>
    <m/>
    <n v="0"/>
    <s v=""/>
    <s v=""/>
    <s v=""/>
  </r>
  <r>
    <x v="1"/>
    <x v="0"/>
    <s v="MMR001"/>
    <s v="Bhamo"/>
    <s v="MMR001D003"/>
    <x v="13"/>
    <s v="MMR001012"/>
    <s v="Momauk Town"/>
    <s v="MMR001012701"/>
    <m/>
    <m/>
    <x v="1"/>
    <x v="103"/>
    <x v="80"/>
    <n v="24.251232000000002"/>
    <m/>
    <n v="320"/>
    <n v="1125"/>
    <n v="3.515625"/>
    <x v="0"/>
    <x v="0"/>
    <x v="1"/>
    <x v="1"/>
    <m/>
    <m/>
    <x v="0"/>
    <s v="RRD"/>
    <m/>
    <d v="2015-11-09T00:00:00"/>
    <s v="9/Nov/15. Population update. Data source: mail from Pancy (WFP)."/>
    <s v="P4"/>
    <n v="0"/>
    <m/>
    <n v="0"/>
    <s v="Momauk Town"/>
    <n v="0.60629049139006752"/>
    <n v="1"/>
  </r>
  <r>
    <x v="1"/>
    <x v="0"/>
    <s v="MMR001"/>
    <s v="Bhamo"/>
    <s v="MMR001D003"/>
    <x v="13"/>
    <s v="MMR001012"/>
    <s v="Khon Sint"/>
    <s v="MMR001012013"/>
    <s v="Khon Sint"/>
    <n v="167060"/>
    <x v="102"/>
    <x v="104"/>
    <x v="81"/>
    <n v="24.377054000000001"/>
    <m/>
    <n v="4"/>
    <n v="26"/>
    <n v="6.5"/>
    <x v="0"/>
    <x v="0"/>
    <x v="1"/>
    <x v="2"/>
    <m/>
    <m/>
    <x v="0"/>
    <s v="RRD"/>
    <m/>
    <d v="2014-03-03T00:00:00"/>
    <s v="Change to Host Families."/>
    <s v="P4"/>
    <n v="0"/>
    <m/>
    <n v="0"/>
    <s v="Momauk Town"/>
    <n v="13.446032768350749"/>
    <n v="3"/>
  </r>
  <r>
    <x v="1"/>
    <x v="0"/>
    <s v="MMR001"/>
    <s v="Bhamo"/>
    <s v="MMR001D003"/>
    <x v="13"/>
    <s v="MMR001012"/>
    <s v="Man Pon"/>
    <s v="MMR001012001"/>
    <s v="Man Pon"/>
    <n v="167009"/>
    <x v="103"/>
    <x v="105"/>
    <x v="82"/>
    <n v="24.245100000000001"/>
    <m/>
    <n v="261"/>
    <n v="1155"/>
    <n v="4.4252873563218387"/>
    <x v="0"/>
    <x v="0"/>
    <x v="0"/>
    <x v="1"/>
    <d v="2012-05-01T00:00:00"/>
    <n v="2"/>
    <x v="1"/>
    <s v="IP"/>
    <m/>
    <d v="2016-01-28T00:00:00"/>
    <s v="28/Jan/2016. Population update. Data source: KBC (mail by maran)_x000a_19-Aug-2015. Population Update. Data Source; KMSS-BMO_x000a_Population increased. Relocated from Momauk Catholic Church (St. Patrick) - MMR001CMP057"/>
    <s v="P4"/>
    <n v="108"/>
    <m/>
    <n v="108"/>
    <s v="Momauk Town"/>
    <n v="2.4411071835305544"/>
    <n v="1"/>
  </r>
  <r>
    <x v="1"/>
    <x v="0"/>
    <s v="MMR001"/>
    <s v="Bhamo"/>
    <s v="MMR001D003"/>
    <x v="13"/>
    <s v="MMR001012"/>
    <s v="Ba Lawng Kawng (Lwegel Sub-township)"/>
    <s v="MMR001012030"/>
    <s v="Hpa Lum"/>
    <n v="167138"/>
    <x v="104"/>
    <x v="106"/>
    <x v="83"/>
    <n v="24.378167000000001"/>
    <n v="1149"/>
    <n v="375"/>
    <n v="1598"/>
    <n v="4.261333333333333"/>
    <x v="1"/>
    <x v="0"/>
    <x v="0"/>
    <x v="2"/>
    <d v="2012-04-01T00:00:00"/>
    <n v="2"/>
    <x v="1"/>
    <s v="IP"/>
    <m/>
    <d v="2016-02-16T00:00:00"/>
    <s v="16/Feb/2016. some HH increase as some IDP from Pa Kahtawng join as the camp is closer to village _x000a_28/Jan/2016. Population update. Data source: KBC (mail by maran)_x000a_19-Aug-2015. Update population. Data Source; KMSS-BMO_x000a_Population Update. Source: Save The Children."/>
    <s v="P1"/>
    <n v="0"/>
    <m/>
    <n v="0"/>
    <s v="Lwegel Town"/>
    <n v="20.558236360788097"/>
    <n v="5"/>
  </r>
  <r>
    <x v="1"/>
    <x v="0"/>
    <s v="MMR001"/>
    <s v="Bhamo"/>
    <s v="MMR001D003"/>
    <x v="13"/>
    <s v="MMR001012"/>
    <s v="In Baw Mai Kyin (Dawthponeyan Sub-township)"/>
    <s v="MMR001012042"/>
    <s v="Hpun Lum Yang"/>
    <n v="167223"/>
    <x v="105"/>
    <x v="107"/>
    <x v="84"/>
    <n v="24.661905999999998"/>
    <n v="415"/>
    <n v="586"/>
    <n v="2829"/>
    <n v="4.8276450511945397"/>
    <x v="1"/>
    <x v="0"/>
    <x v="0"/>
    <x v="2"/>
    <d v="2011-06-01T00:00:00"/>
    <n v="5"/>
    <x v="4"/>
    <s v="IRRC"/>
    <m/>
    <d v="2016-06-16T00:00:00"/>
    <s v="16/Jun/2016. Population update. Data source: monthly report from KMSS_MYT_x000a_10/May/2016. Population update. Data source: KMSS._x000a_28/Jan/2016. Population update. Data source: KBC (mail by maran)_x000a_2-Oct-15 (Population update. Data Source: Monthly report by KMSS-MYT)_x000a_19-Aug-15 (Populaiton update. Data Source: KMSS-MYT)_x000a_25-Jun-15 (Population update. Source: IRRC)_x000a_2015-03-16 (Population moved from Je Yang Hka as there was no land available)_x000a_Population Update. Source: UNHCR Cross-Line Mission Report. (July 2014)"/>
    <s v="P2"/>
    <n v="0"/>
    <m/>
    <n v="0"/>
    <s v="Laiza town"/>
    <n v="10.953347686331073"/>
    <n v="3"/>
  </r>
  <r>
    <x v="0"/>
    <x v="0"/>
    <s v="MMR001"/>
    <s v="Myitkyina"/>
    <s v="MMR001D001"/>
    <x v="3"/>
    <s v="MMR001002"/>
    <s v="Nam Sang Yang"/>
    <s v="MMR001002024"/>
    <s v="Nam Sang Yang"/>
    <n v="165772"/>
    <x v="106"/>
    <x v="108"/>
    <x v="85"/>
    <n v="24.747966999999999"/>
    <m/>
    <n v="0"/>
    <n v="0"/>
    <s v="NA"/>
    <x v="0"/>
    <x v="0"/>
    <x v="0"/>
    <x v="0"/>
    <m/>
    <m/>
    <x v="0"/>
    <m/>
    <m/>
    <m/>
    <s v="Changed to closed"/>
    <s v=""/>
    <n v="0"/>
    <m/>
    <n v="0"/>
    <s v=""/>
    <s v=""/>
    <s v=""/>
  </r>
  <r>
    <x v="0"/>
    <x v="0"/>
    <s v="MMR001"/>
    <s v="Bhamo"/>
    <s v="MMR001D003"/>
    <x v="13"/>
    <s v="MMR001012"/>
    <s v="Momauk Town"/>
    <s v="MMR001012701"/>
    <s v="Ah Lin Kawng Ward"/>
    <s v="MMR001012701502"/>
    <x v="107"/>
    <x v="109"/>
    <x v="86"/>
    <n v="24.251860000000001"/>
    <n v="0"/>
    <m/>
    <m/>
    <s v="NA"/>
    <x v="0"/>
    <x v="0"/>
    <x v="0"/>
    <x v="1"/>
    <d v="2011-10-01T00:00:00"/>
    <m/>
    <x v="0"/>
    <s v="IP"/>
    <m/>
    <d v="2015-11-09T00:00:00"/>
    <s v="9/Nov/2015. updated camp status (Closed). Data Source; Lu Lu Awng by mail._x000a_19-Aug-15 Population update. Source: Shalom_x000a_25-Jun-15 (Population update. Source : Shalom)_x000a_Checked with Shalom data, IDPs figure do not change"/>
    <s v="P4"/>
    <n v="0"/>
    <m/>
    <n v="0"/>
    <m/>
    <m/>
    <m/>
  </r>
  <r>
    <x v="1"/>
    <x v="0"/>
    <s v="MMR001"/>
    <s v="Bhamo"/>
    <s v="MMR001D003"/>
    <x v="13"/>
    <s v="MMR001012"/>
    <s v="Zee Wone Gawt"/>
    <s v="MMR001012023"/>
    <s v="Dum Bung"/>
    <n v="167343"/>
    <x v="108"/>
    <x v="110"/>
    <x v="87"/>
    <n v="24.461033"/>
    <n v="360"/>
    <n v="111"/>
    <n v="516"/>
    <n v="4.6486486486486482"/>
    <x v="1"/>
    <x v="0"/>
    <x v="0"/>
    <x v="3"/>
    <d v="2011-08-01T00:00:00"/>
    <n v="4"/>
    <x v="4"/>
    <s v="IP"/>
    <m/>
    <d v="2016-06-16T00:00:00"/>
    <s v="16/Jun/2016. Population update. Data source: monthly report from KMSS_MYT_x000a_10/May/2016. Population update. Data source:KMSS_x000a_28/Jan/2016. Population update. Data source: KBC (mail by maran)_x000a_23-Oct-15 (Population update. Data source: Monthly report by KMSS-MYT). Reason for changes; Travelling from the camp for daily worker._x000a_2-Oct-15 (Population update. Data Source: Monthly report by KMSS-MYT)_x000a_19-Aug-15 (Population update. Data Source: KMSS-MYT)_x000a_25-Jun-15 (Population update. Source: KMSS-MYT)_x000a_Population Update. Source: KMSS-MYT"/>
    <s v="P2"/>
    <n v="0"/>
    <m/>
    <n v="0"/>
    <s v="Dawthponeyan  Town"/>
    <n v="18.65617244319267"/>
    <n v="4"/>
  </r>
  <r>
    <x v="1"/>
    <x v="0"/>
    <s v="MMR001"/>
    <s v="Bhamo"/>
    <s v="MMR001D003"/>
    <x v="13"/>
    <s v="MMR001012"/>
    <s v="Maing Khat"/>
    <s v="MMR001012020"/>
    <s v="Maing Khat"/>
    <n v="167078"/>
    <x v="109"/>
    <x v="111"/>
    <x v="88"/>
    <n v="24.441697000000001"/>
    <m/>
    <n v="2"/>
    <n v="9"/>
    <n v="4.5"/>
    <x v="0"/>
    <x v="0"/>
    <x v="1"/>
    <x v="2"/>
    <m/>
    <m/>
    <x v="0"/>
    <s v="RRD"/>
    <m/>
    <d v="2014-06-13T00:00:00"/>
    <s v="Geo-Info, HH/Pop data was updated from Google Earth."/>
    <s v="P4"/>
    <n v="0"/>
    <m/>
    <n v="0"/>
    <s v="Dawthponeyan  Town"/>
    <n v="19.860265975801305"/>
    <n v="4"/>
  </r>
  <r>
    <x v="1"/>
    <x v="0"/>
    <s v="MMR001"/>
    <s v="Bhamo"/>
    <s v="MMR001D003"/>
    <x v="13"/>
    <s v="MMR001012"/>
    <s v="Man Nawng"/>
    <s v="MMR001012014"/>
    <s v="Man Nawng"/>
    <n v="167063"/>
    <x v="110"/>
    <x v="112"/>
    <x v="89"/>
    <n v="24.410008999999999"/>
    <m/>
    <n v="28"/>
    <n v="136"/>
    <n v="4.8571428571428568"/>
    <x v="0"/>
    <x v="0"/>
    <x v="1"/>
    <x v="2"/>
    <m/>
    <m/>
    <x v="0"/>
    <s v="RRD"/>
    <m/>
    <m/>
    <m/>
    <s v="P4"/>
    <n v="0"/>
    <m/>
    <n v="0"/>
    <s v="Momauk Town"/>
    <n v="17.282528446236295"/>
    <n v="4"/>
  </r>
  <r>
    <x v="1"/>
    <x v="0"/>
    <s v="MMR001"/>
    <s v="Bhamo"/>
    <s v="MMR001D003"/>
    <x v="13"/>
    <s v="MMR001012"/>
    <s v="Man Ping (Ping) (Dawthponeyan Sub-township)"/>
    <s v="MMR001012052"/>
    <s v="Man Ping"/>
    <n v="167270"/>
    <x v="111"/>
    <x v="113"/>
    <x v="90"/>
    <n v="24.759551999999999"/>
    <m/>
    <m/>
    <m/>
    <s v="NA"/>
    <x v="0"/>
    <x v="0"/>
    <x v="1"/>
    <x v="2"/>
    <m/>
    <m/>
    <x v="0"/>
    <s v="RRD"/>
    <m/>
    <d v="2014-06-13T00:00:00"/>
    <s v="Geo-Info, HH/Pop data was updated from Google Earth."/>
    <s v="P4"/>
    <n v="0"/>
    <m/>
    <n v="0"/>
    <s v="Dawthponeyan  Town"/>
    <n v="24.701686141136339"/>
    <n v="5"/>
  </r>
  <r>
    <x v="0"/>
    <x v="0"/>
    <s v="MMR001"/>
    <s v="Mohnyin"/>
    <s v="MMR001D002"/>
    <x v="0"/>
    <s v="MMR001009"/>
    <s v="Hpakan Town"/>
    <s v="MMR001009701"/>
    <s v="Ma Shi Ka Htaung Ward"/>
    <s v="MMR001009701505"/>
    <x v="112"/>
    <x v="114"/>
    <x v="91"/>
    <n v="25.609179999999999"/>
    <m/>
    <n v="0"/>
    <n v="0"/>
    <s v="NA"/>
    <x v="0"/>
    <x v="0"/>
    <x v="0"/>
    <x v="0"/>
    <m/>
    <m/>
    <x v="0"/>
    <m/>
    <m/>
    <m/>
    <s v=" "/>
    <s v=""/>
    <n v="0"/>
    <m/>
    <n v="0"/>
    <s v=""/>
    <s v=""/>
    <s v=""/>
  </r>
  <r>
    <x v="0"/>
    <x v="0"/>
    <s v="MMR001"/>
    <s v="Mohnyin"/>
    <s v="MMR001D002"/>
    <x v="0"/>
    <s v="MMR001009"/>
    <s v="Hpakan Town"/>
    <s v="MMR001009701"/>
    <s v="Ma Shi Ka Htaung Ward"/>
    <s v="MMR001009701505"/>
    <x v="113"/>
    <x v="115"/>
    <x v="6"/>
    <m/>
    <m/>
    <n v="0"/>
    <n v="0"/>
    <s v="NA"/>
    <x v="0"/>
    <x v="0"/>
    <x v="0"/>
    <x v="0"/>
    <m/>
    <m/>
    <x v="0"/>
    <m/>
    <m/>
    <m/>
    <s v=" "/>
    <s v=""/>
    <n v="0"/>
    <m/>
    <n v="0"/>
    <s v=""/>
    <s v=""/>
    <s v=""/>
  </r>
  <r>
    <x v="0"/>
    <x v="0"/>
    <s v="MMR001"/>
    <s v="Mohnyin"/>
    <s v="MMR001D002"/>
    <x v="0"/>
    <s v="MMR001009"/>
    <s v="Hpakan Town"/>
    <s v="MMR001009701"/>
    <s v="Ma Shi Ka Htaung Ward"/>
    <s v="MMR001009701505"/>
    <x v="114"/>
    <x v="116"/>
    <x v="6"/>
    <m/>
    <m/>
    <n v="0"/>
    <n v="0"/>
    <s v="NA"/>
    <x v="0"/>
    <x v="0"/>
    <x v="0"/>
    <x v="0"/>
    <m/>
    <m/>
    <x v="0"/>
    <m/>
    <m/>
    <m/>
    <s v=" "/>
    <s v=""/>
    <n v="0"/>
    <m/>
    <n v="0"/>
    <s v=""/>
    <s v=""/>
    <s v=""/>
  </r>
  <r>
    <x v="0"/>
    <x v="0"/>
    <s v="MMR001"/>
    <s v="Mohnyin"/>
    <s v="MMR001D002"/>
    <x v="0"/>
    <s v="MMR001009"/>
    <s v="Hpakan Town"/>
    <s v="MMR001009701"/>
    <s v="Ma Shi Ka Htaung Ward"/>
    <s v="MMR001009701505"/>
    <x v="115"/>
    <x v="117"/>
    <x v="6"/>
    <m/>
    <m/>
    <n v="0"/>
    <n v="0"/>
    <s v="NA"/>
    <x v="0"/>
    <x v="0"/>
    <x v="0"/>
    <x v="0"/>
    <m/>
    <m/>
    <x v="0"/>
    <m/>
    <m/>
    <m/>
    <s v=" "/>
    <s v=""/>
    <n v="0"/>
    <m/>
    <n v="0"/>
    <s v=""/>
    <s v=""/>
    <s v=""/>
  </r>
  <r>
    <x v="0"/>
    <x v="0"/>
    <s v="MMR001"/>
    <s v="Mohnyin"/>
    <s v="MMR001D002"/>
    <x v="0"/>
    <s v="MMR001009"/>
    <s v="Hpakan Town"/>
    <s v="MMR001009701"/>
    <s v="Ma Shi Ka Htaung Ward"/>
    <s v="MMR001009701505"/>
    <x v="116"/>
    <x v="118"/>
    <x v="6"/>
    <m/>
    <m/>
    <n v="0"/>
    <n v="0"/>
    <s v="NA"/>
    <x v="0"/>
    <x v="0"/>
    <x v="0"/>
    <x v="0"/>
    <m/>
    <m/>
    <x v="0"/>
    <m/>
    <m/>
    <m/>
    <s v=" "/>
    <s v=""/>
    <n v="0"/>
    <m/>
    <n v="0"/>
    <s v=""/>
    <s v=""/>
    <s v=""/>
  </r>
  <r>
    <x v="0"/>
    <x v="0"/>
    <s v="MMR001"/>
    <s v="Mohnyin"/>
    <s v="MMR001D002"/>
    <x v="0"/>
    <s v="MMR001009"/>
    <s v="Hpakan Town"/>
    <s v="MMR001009701"/>
    <s v="Ma Shi Ka Htaung Ward"/>
    <s v="MMR001009701505"/>
    <x v="117"/>
    <x v="119"/>
    <x v="6"/>
    <m/>
    <m/>
    <n v="0"/>
    <n v="0"/>
    <s v="NA"/>
    <x v="0"/>
    <x v="0"/>
    <x v="0"/>
    <x v="0"/>
    <m/>
    <m/>
    <x v="0"/>
    <m/>
    <m/>
    <m/>
    <s v=" "/>
    <s v=""/>
    <n v="0"/>
    <m/>
    <n v="0"/>
    <s v=""/>
    <s v=""/>
    <s v=""/>
  </r>
  <r>
    <x v="0"/>
    <x v="0"/>
    <s v="MMR001"/>
    <s v="Mohnyin"/>
    <s v="MMR001D002"/>
    <x v="0"/>
    <s v="MMR001009"/>
    <s v="Hpakan Town"/>
    <s v="MMR001009701"/>
    <s v="Ma Shi Ka Htaung Ward"/>
    <s v="MMR001009701505"/>
    <x v="118"/>
    <x v="120"/>
    <x v="6"/>
    <m/>
    <m/>
    <n v="0"/>
    <n v="0"/>
    <s v="NA"/>
    <x v="0"/>
    <x v="0"/>
    <x v="0"/>
    <x v="0"/>
    <m/>
    <m/>
    <x v="0"/>
    <m/>
    <m/>
    <m/>
    <s v=" "/>
    <s v=""/>
    <n v="0"/>
    <m/>
    <n v="0"/>
    <s v=""/>
    <s v=""/>
    <s v=""/>
  </r>
  <r>
    <x v="0"/>
    <x v="0"/>
    <s v="MMR001"/>
    <s v="Mohnyin"/>
    <s v="MMR001D002"/>
    <x v="0"/>
    <s v="MMR001009"/>
    <s v="Hpakan Town"/>
    <s v="MMR001009701"/>
    <s v="Ma Shi Ka Htaung Ward"/>
    <s v="MMR001009701505"/>
    <x v="119"/>
    <x v="121"/>
    <x v="6"/>
    <m/>
    <m/>
    <n v="0"/>
    <n v="0"/>
    <s v="NA"/>
    <x v="0"/>
    <x v="0"/>
    <x v="0"/>
    <x v="0"/>
    <m/>
    <m/>
    <x v="0"/>
    <m/>
    <m/>
    <m/>
    <s v=" "/>
    <s v=""/>
    <n v="0"/>
    <m/>
    <n v="0"/>
    <s v=""/>
    <s v=""/>
    <s v=""/>
  </r>
  <r>
    <x v="1"/>
    <x v="0"/>
    <s v="MMR001"/>
    <s v="Bhamo"/>
    <s v="MMR001D003"/>
    <x v="13"/>
    <s v="MMR001012"/>
    <s v="Kawng Hsa (Lwegel Sub-township)"/>
    <s v="MMR001012033"/>
    <s v="Mai Gyar Yang"/>
    <n v="216913"/>
    <x v="120"/>
    <x v="122"/>
    <x v="92"/>
    <n v="24.2744"/>
    <n v="978"/>
    <n v="677"/>
    <n v="3622"/>
    <n v="5.3500738552437221"/>
    <x v="1"/>
    <x v="0"/>
    <x v="0"/>
    <x v="2"/>
    <d v="2012-04-01T00:00:00"/>
    <n v="2"/>
    <x v="1"/>
    <s v="IP"/>
    <m/>
    <d v="2016-02-16T00:00:00"/>
    <s v="16/Feb/2016. some hh as they  join Nhkawng Pa camp which is closer to their village of origin_x000a_28/Jan/2016. Population update. Data source: KBC (mail by maran)_x000a_19-Aug-2015. Population Update. Data Source; KMSS-BMO_x000a_Population update: Source: Camp Profile Round 2."/>
    <s v="P2"/>
    <n v="0"/>
    <m/>
    <n v="0"/>
    <s v="Lwegel Town"/>
    <n v="8.953204937938569"/>
    <n v="2"/>
  </r>
  <r>
    <x v="1"/>
    <x v="0"/>
    <s v="MMR001"/>
    <s v="Bhamo"/>
    <s v="MMR001D003"/>
    <x v="13"/>
    <s v="MMR001012"/>
    <s v="Myo Thit"/>
    <s v="MMR001012010"/>
    <s v="Myo Thit"/>
    <n v="167048"/>
    <x v="121"/>
    <x v="123"/>
    <x v="93"/>
    <n v="24.404876999999999"/>
    <m/>
    <n v="13"/>
    <n v="53"/>
    <n v="4.0769230769230766"/>
    <x v="0"/>
    <x v="0"/>
    <x v="1"/>
    <x v="2"/>
    <m/>
    <m/>
    <x v="0"/>
    <s v="RRD"/>
    <m/>
    <d v="2014-06-13T00:00:00"/>
    <s v="Geo-Info, HH/Pop data was updated from Google Earth."/>
    <s v="P4"/>
    <n v="0"/>
    <m/>
    <n v="0"/>
    <s v="Momauk Town"/>
    <n v="17.689123339899055"/>
    <n v="4"/>
  </r>
  <r>
    <x v="0"/>
    <x v="0"/>
    <s v="MMR001"/>
    <s v="Mohnyin"/>
    <s v="MMR001D002"/>
    <x v="0"/>
    <s v="MMR001009"/>
    <m/>
    <m/>
    <m/>
    <m/>
    <x v="122"/>
    <x v="124"/>
    <x v="94"/>
    <n v="25.6447"/>
    <m/>
    <n v="0"/>
    <n v="0"/>
    <s v="NA"/>
    <x v="0"/>
    <x v="0"/>
    <x v="0"/>
    <x v="0"/>
    <m/>
    <m/>
    <x v="0"/>
    <m/>
    <m/>
    <m/>
    <s v=" "/>
    <s v=""/>
    <n v="0"/>
    <m/>
    <n v="0"/>
    <s v=""/>
    <s v=""/>
    <s v=""/>
  </r>
  <r>
    <x v="0"/>
    <x v="0"/>
    <s v="MMR001"/>
    <s v="Mohnyin"/>
    <s v="MMR001D002"/>
    <x v="0"/>
    <s v="MMR001009"/>
    <s v="Hpakan Town"/>
    <s v="MMR001009701"/>
    <s v="Maw Wam Ward"/>
    <s v="MMR001009701501"/>
    <x v="123"/>
    <x v="125"/>
    <x v="6"/>
    <m/>
    <m/>
    <n v="0"/>
    <n v="0"/>
    <s v="NA"/>
    <x v="0"/>
    <x v="0"/>
    <x v="0"/>
    <x v="0"/>
    <m/>
    <m/>
    <x v="0"/>
    <m/>
    <m/>
    <m/>
    <s v=" "/>
    <s v=""/>
    <n v="0"/>
    <m/>
    <n v="0"/>
    <s v=""/>
    <s v=""/>
    <s v=""/>
  </r>
  <r>
    <x v="0"/>
    <x v="0"/>
    <s v="MMR001"/>
    <s v="Mohnyin"/>
    <s v="MMR001D002"/>
    <x v="0"/>
    <s v="MMR001009"/>
    <s v="Hpakan Town"/>
    <s v="MMR001009701"/>
    <s v="Maw Wam Ward"/>
    <s v="MMR001009701501"/>
    <x v="124"/>
    <x v="126"/>
    <x v="95"/>
    <n v="25.619221"/>
    <m/>
    <n v="0"/>
    <n v="0"/>
    <s v="NA"/>
    <x v="0"/>
    <x v="0"/>
    <x v="0"/>
    <x v="0"/>
    <m/>
    <m/>
    <x v="0"/>
    <m/>
    <m/>
    <m/>
    <s v=" "/>
    <s v=""/>
    <n v="0"/>
    <m/>
    <n v="0"/>
    <s v=""/>
    <s v=""/>
    <s v=""/>
  </r>
  <r>
    <x v="0"/>
    <x v="0"/>
    <s v="MMR001"/>
    <s v="Mohnyin"/>
    <s v="MMR001D002"/>
    <x v="0"/>
    <s v="MMR001009"/>
    <s v="Hpakan Town"/>
    <s v="MMR001009701"/>
    <s v="Maw Wam Ward"/>
    <s v="MMR001009701501"/>
    <x v="125"/>
    <x v="127"/>
    <x v="6"/>
    <m/>
    <m/>
    <n v="0"/>
    <n v="0"/>
    <s v="NA"/>
    <x v="0"/>
    <x v="0"/>
    <x v="0"/>
    <x v="0"/>
    <m/>
    <m/>
    <x v="0"/>
    <m/>
    <m/>
    <m/>
    <s v=" "/>
    <s v=""/>
    <n v="0"/>
    <m/>
    <n v="0"/>
    <s v=""/>
    <s v=""/>
    <s v=""/>
  </r>
  <r>
    <x v="1"/>
    <x v="0"/>
    <s v="MMR001"/>
    <s v="Bhamo"/>
    <s v="MMR001D003"/>
    <x v="13"/>
    <s v="MMR001012"/>
    <s v="Hpar Kei (Dawthponeyan Sub-township)"/>
    <s v="MMR001012046"/>
    <s v="Hpar Kei"/>
    <n v="167242"/>
    <x v="126"/>
    <x v="128"/>
    <x v="96"/>
    <n v="24.630859999999998"/>
    <m/>
    <n v="39"/>
    <n v="176"/>
    <n v="4.5128205128205128"/>
    <x v="0"/>
    <x v="0"/>
    <x v="1"/>
    <x v="2"/>
    <m/>
    <m/>
    <x v="0"/>
    <s v="RRD"/>
    <m/>
    <d v="2014-01-07T00:00:00"/>
    <s v="Update from OCHA Data (2 Jan 2014)"/>
    <s v="P4"/>
    <n v="0"/>
    <m/>
    <n v="0"/>
    <s v="Dawthponeyan  Town"/>
    <n v="3.6887624513681017"/>
    <n v="1"/>
  </r>
  <r>
    <x v="0"/>
    <x v="0"/>
    <s v="MMR001"/>
    <s v="Mohnyin"/>
    <s v="MMR001D002"/>
    <x v="0"/>
    <s v="MMR001009"/>
    <s v="Hpakan Town"/>
    <s v="MMR001009701"/>
    <s v="Maw Wam Ward"/>
    <s v="MMR001009701501"/>
    <x v="127"/>
    <x v="129"/>
    <x v="6"/>
    <m/>
    <m/>
    <n v="0"/>
    <n v="0"/>
    <s v="NA"/>
    <x v="0"/>
    <x v="0"/>
    <x v="0"/>
    <x v="0"/>
    <m/>
    <m/>
    <x v="0"/>
    <m/>
    <m/>
    <m/>
    <s v=" "/>
    <s v=""/>
    <n v="0"/>
    <m/>
    <n v="0"/>
    <s v=""/>
    <s v=""/>
    <s v=""/>
  </r>
  <r>
    <x v="0"/>
    <x v="0"/>
    <s v="MMR001"/>
    <s v="Mohnyin"/>
    <s v="MMR001D002"/>
    <x v="0"/>
    <s v="MMR001009"/>
    <s v="Lone Khin"/>
    <s v="MMR001009001"/>
    <s v="Lone Khin"/>
    <n v="166773"/>
    <x v="128"/>
    <x v="130"/>
    <x v="97"/>
    <n v="25.651440000000001"/>
    <m/>
    <n v="0"/>
    <n v="0"/>
    <s v="NA"/>
    <x v="0"/>
    <x v="0"/>
    <x v="0"/>
    <x v="0"/>
    <m/>
    <m/>
    <x v="0"/>
    <m/>
    <m/>
    <m/>
    <s v=" "/>
    <s v=""/>
    <n v="0"/>
    <m/>
    <n v="0"/>
    <s v=""/>
    <s v=""/>
    <s v=""/>
  </r>
  <r>
    <x v="1"/>
    <x v="0"/>
    <s v="MMR001"/>
    <s v="Bhamo"/>
    <s v="MMR001D003"/>
    <x v="13"/>
    <s v="MMR001012"/>
    <s v="Momauk Town"/>
    <s v="MMR001012701"/>
    <s v="Ah Lin Kawng Ward"/>
    <s v="MMR001012701502"/>
    <x v="129"/>
    <x v="131"/>
    <x v="98"/>
    <n v="24.250689999999999"/>
    <n v="0"/>
    <n v="226"/>
    <n v="1824"/>
    <n v="8.0707964601769913"/>
    <x v="0"/>
    <x v="0"/>
    <x v="0"/>
    <x v="1"/>
    <d v="2011-06-01T00:00:00"/>
    <n v="3"/>
    <x v="3"/>
    <s v="IP"/>
    <m/>
    <d v="2016-06-15T00:00:00"/>
    <s v="15/Jun/2016: Population update. Data source: monthly report by KBC_x000a_12/May/2016. Population update. Data source: KBC_x000a_28/Jan/2016. Population update. Data source: KBC (mail by maran)_x000a_2/Dec/2015. Population update. Data source: KBC_x000a_25-Jun-2015 Update population. Data Source: KBC_x000a_Population update: Source: Camp Profile Round 2."/>
    <s v="P4"/>
    <n v="0"/>
    <m/>
    <n v="0"/>
    <s v="Momauk Town"/>
    <n v="0.62513510418653162"/>
    <n v="1"/>
  </r>
  <r>
    <x v="1"/>
    <x v="0"/>
    <s v="MMR001"/>
    <s v="Bhamo"/>
    <s v="MMR001D003"/>
    <x v="13"/>
    <s v="MMR001012"/>
    <s v="Tar Li"/>
    <s v="MMR001012021"/>
    <s v="Tar Li"/>
    <n v="167086"/>
    <x v="130"/>
    <x v="132"/>
    <x v="99"/>
    <n v="24.492493"/>
    <m/>
    <n v="10"/>
    <n v="38"/>
    <n v="3.8"/>
    <x v="0"/>
    <x v="0"/>
    <x v="1"/>
    <x v="2"/>
    <m/>
    <m/>
    <x v="0"/>
    <s v="RRD"/>
    <m/>
    <d v="2014-06-13T00:00:00"/>
    <s v="Geo-Info, HH/Pop data was updated from Google Earth."/>
    <s v="P4"/>
    <n v="0"/>
    <m/>
    <n v="0"/>
    <s v="Dawthponeyan  Town"/>
    <n v="14.236592976936194"/>
    <n v="3"/>
  </r>
  <r>
    <x v="0"/>
    <x v="0"/>
    <s v="MMR001"/>
    <s v="Myitkyina"/>
    <s v="MMR001D001"/>
    <x v="3"/>
    <s v="MMR001002"/>
    <s v="Hkat Shu"/>
    <s v="MMR001002003"/>
    <s v="Hkat Shu"/>
    <n v="165735"/>
    <x v="131"/>
    <x v="133"/>
    <x v="100"/>
    <n v="25.328987000000001"/>
    <m/>
    <n v="0"/>
    <n v="0"/>
    <s v="NA"/>
    <x v="0"/>
    <x v="0"/>
    <x v="0"/>
    <x v="0"/>
    <m/>
    <m/>
    <x v="0"/>
    <m/>
    <m/>
    <m/>
    <s v=" "/>
    <s v=""/>
    <n v="0"/>
    <m/>
    <n v="0"/>
    <s v=""/>
    <s v=""/>
    <s v=""/>
  </r>
  <r>
    <x v="1"/>
    <x v="0"/>
    <s v="MMR001"/>
    <s v="Bhamo"/>
    <s v="MMR001D003"/>
    <x v="13"/>
    <s v="MMR001012"/>
    <s v="Lwegel Town"/>
    <s v="MMR001012702"/>
    <s v="Aung Chan Thar Ward"/>
    <s v="MMR001012702503"/>
    <x v="132"/>
    <x v="134"/>
    <x v="101"/>
    <n v="24.205417000000001"/>
    <m/>
    <n v="124"/>
    <n v="544"/>
    <n v="4.387096774193548"/>
    <x v="0"/>
    <x v="0"/>
    <x v="0"/>
    <x v="1"/>
    <d v="2011-11-01T00:00:00"/>
    <n v="2"/>
    <x v="1"/>
    <s v="IP"/>
    <m/>
    <d v="2016-01-28T00:00:00"/>
    <s v="28/Jan/2016. Population update. Data source: KBC (mail by maran)_x000a_19 Aug 2015. Udate Population. Date Source; KMSS-BMO_x000a_Population update: Source: KMSS-BMO"/>
    <s v="P3"/>
    <n v="57"/>
    <m/>
    <n v="57"/>
    <s v="Lwegel Town"/>
    <n v="0.77978735578277303"/>
    <n v="1"/>
  </r>
  <r>
    <x v="0"/>
    <x v="0"/>
    <s v="MMR001"/>
    <s v="Bhamo"/>
    <s v="MMR001D003"/>
    <x v="13"/>
    <s v="MMR001012"/>
    <s v="Momauk Town"/>
    <s v="MMR001012701"/>
    <s v="Kyay Nan Waing Ward"/>
    <s v="MMR001012701503"/>
    <x v="133"/>
    <x v="135"/>
    <x v="102"/>
    <n v="24.25177"/>
    <n v="0"/>
    <m/>
    <m/>
    <s v="NA"/>
    <x v="0"/>
    <x v="0"/>
    <x v="0"/>
    <x v="1"/>
    <d v="2011-08-01T00:00:00"/>
    <n v="2"/>
    <x v="1"/>
    <s v="IP"/>
    <m/>
    <d v="2014-11-28T00:00:00"/>
    <s v="Closed. Population relocated to Man Bung Catholic Compound (MMR001CMP062)"/>
    <s v="P4"/>
    <n v="0"/>
    <m/>
    <n v="0"/>
    <s v=""/>
    <s v=""/>
    <s v=""/>
  </r>
  <r>
    <x v="0"/>
    <x v="1"/>
    <s v="MMR015"/>
    <s v="Muse"/>
    <s v="MMR015D002"/>
    <x v="14"/>
    <s v="MMR015009"/>
    <s v="Man Gyat (Monekoe Sub-township)"/>
    <s v="MMR015009048"/>
    <s v="Gwum Hsan"/>
    <m/>
    <x v="134"/>
    <x v="136"/>
    <x v="103"/>
    <n v="24.101320999999999"/>
    <n v="2979"/>
    <m/>
    <m/>
    <s v="NA"/>
    <x v="1"/>
    <x v="0"/>
    <x v="0"/>
    <x v="1"/>
    <d v="2012-07-01T00:00:00"/>
    <n v="1"/>
    <x v="3"/>
    <s v="IP"/>
    <m/>
    <d v="2016-06-15T00:00:00"/>
    <s v="Camp Closed. Updated on 15 Jun 2016. Data source: Camp Profiling Data from KBC (Our NSS KBC-ERC team confirmed that Munekoe Pa camp has been closed regarding to their request. )_x000a_12/May/2016. Population update. Data source: KBC_x000a_28/Jan/2016. Population update. Data source: KBC (mail by maran)_x000a_2/Dec/2015. Population update. Data source: KBC_x000a_25-Jun-15 Population update. Source: KBC_x000a_Update population. Source: Camp Profile."/>
    <s v="P1"/>
    <n v="0"/>
    <m/>
    <n v="0"/>
    <s v="Monekoe Town"/>
    <n v="1.789574394782699"/>
    <n v="1"/>
  </r>
  <r>
    <x v="1"/>
    <x v="0"/>
    <s v="MMR001"/>
    <s v="Bhamo"/>
    <s v="MMR001D003"/>
    <x v="13"/>
    <s v="MMR001012"/>
    <s v="Lwegel Town"/>
    <s v="MMR001012702"/>
    <s v="Aung Chan Thar Ward"/>
    <s v="MMR001012702503"/>
    <x v="135"/>
    <x v="137"/>
    <x v="104"/>
    <n v="24.200972"/>
    <m/>
    <n v="36"/>
    <n v="214"/>
    <n v="5.9444444444444446"/>
    <x v="0"/>
    <x v="0"/>
    <x v="0"/>
    <x v="1"/>
    <d v="2012-05-01T00:00:00"/>
    <n v="1"/>
    <x v="3"/>
    <s v="IP"/>
    <m/>
    <d v="2016-06-15T00:00:00"/>
    <s v="15/Jun/2016: Population update. Data source: monthly report by KBC_x000a_12/May/2016. Population update. Data source: KBC_x000a_28/Jan/2016. Population update. Data source: KBC (mail by maran)_x000a_2/Dec/2015. Population update. Data source: KBC._x000a_25-Jun-2015 Update population. Data Source: KBC_x000a_Population update: Source: Camp Profile Round 2."/>
    <s v="P3"/>
    <n v="0"/>
    <m/>
    <n v="0"/>
    <s v="Lwegel Town"/>
    <n v="0.28829825866869707"/>
    <n v="1"/>
  </r>
  <r>
    <x v="0"/>
    <x v="0"/>
    <s v="MMR001"/>
    <s v="Bhamo"/>
    <s v="MMR001D003"/>
    <x v="2"/>
    <s v="MMR001013"/>
    <s v="Mung Ding Pa"/>
    <s v="MMR001013038"/>
    <s v="Mung Ding Pa"/>
    <n v="167495"/>
    <x v="136"/>
    <x v="138"/>
    <x v="105"/>
    <n v="23.867000000000001"/>
    <m/>
    <n v="0"/>
    <n v="0"/>
    <s v="NA"/>
    <x v="1"/>
    <x v="0"/>
    <x v="0"/>
    <x v="0"/>
    <m/>
    <m/>
    <x v="0"/>
    <m/>
    <m/>
    <d v="2014-03-03T00:00:00"/>
    <s v="Closed. Same with (Namhkan St. Thomas 1)"/>
    <s v=""/>
    <n v="0"/>
    <m/>
    <n v="0"/>
    <s v=""/>
    <s v=""/>
    <s v=""/>
  </r>
  <r>
    <x v="0"/>
    <x v="0"/>
    <s v="MMR001"/>
    <s v="Bhamo"/>
    <s v="MMR001D003"/>
    <x v="2"/>
    <s v="MMR001013"/>
    <s v="Mung Ding Pa"/>
    <s v="MMR001013038"/>
    <m/>
    <m/>
    <x v="137"/>
    <x v="139"/>
    <x v="106"/>
    <n v="24.20645"/>
    <n v="781.8"/>
    <n v="0"/>
    <n v="0"/>
    <s v="NA"/>
    <x v="1"/>
    <x v="0"/>
    <x v="0"/>
    <x v="2"/>
    <d v="2012-07-01T00:00:00"/>
    <m/>
    <x v="0"/>
    <s v="IP"/>
    <m/>
    <d v="2014-01-22T00:00:00"/>
    <s v="Closed: Source UNHCR-Bhamo"/>
    <s v=""/>
    <n v="0"/>
    <m/>
    <n v="0"/>
    <s v=""/>
    <s v=""/>
    <s v=""/>
  </r>
  <r>
    <x v="1"/>
    <x v="0"/>
    <s v="MMR001"/>
    <s v="Bhamo"/>
    <s v="MMR001D003"/>
    <x v="13"/>
    <s v="MMR001012"/>
    <s v="Lwegel Town"/>
    <s v="MMR001012702"/>
    <s v="Aung Zay Yar Ward"/>
    <s v="MMR001012702505"/>
    <x v="138"/>
    <x v="140"/>
    <x v="107"/>
    <n v="24.200433"/>
    <n v="0"/>
    <n v="190"/>
    <n v="1021"/>
    <n v="5.3736842105263154"/>
    <x v="0"/>
    <x v="0"/>
    <x v="0"/>
    <x v="1"/>
    <d v="2012-04-01T00:00:00"/>
    <n v="2"/>
    <x v="3"/>
    <s v="IP"/>
    <m/>
    <d v="2016-06-15T00:00:00"/>
    <s v="15/Jun/2016: Population update. Data source: monthly report by KBC_x000a_12/May/2016. Population update. Data source: KBC_x000a_28/Jan/2016. Population update. Data source: KBC (mail by maran)_x000a_2/Dec/2015. Population update. Data source: KBC._x000a_25-Jun-2015 Update population. Data Source: KBC_x000a_Population update: Source: Camp Profile Round 2."/>
    <s v="P3"/>
    <n v="108"/>
    <m/>
    <n v="108"/>
    <s v="Lwegel Town"/>
    <n v="0.38934692601696641"/>
    <n v="1"/>
  </r>
  <r>
    <x v="1"/>
    <x v="0"/>
    <s v="MMR001"/>
    <s v="Bhamo"/>
    <s v="MMR001D003"/>
    <x v="13"/>
    <s v="MMR001012"/>
    <s v="Lwegel Town"/>
    <s v="MMR001012039"/>
    <s v="Aung Zay Yar Ward"/>
    <s v="MMR001012702505"/>
    <x v="139"/>
    <x v="141"/>
    <x v="108"/>
    <n v="24.205417000000001"/>
    <n v="0"/>
    <n v="50"/>
    <n v="308"/>
    <n v="6.16"/>
    <x v="0"/>
    <x v="0"/>
    <x v="0"/>
    <x v="1"/>
    <d v="2012-08-01T00:00:00"/>
    <n v="1"/>
    <x v="3"/>
    <s v="IP"/>
    <m/>
    <d v="2016-06-15T00:00:00"/>
    <s v="15/Jun/2016: Population update. Data source: monthly report by KBC_x000a_12/May/2016. Population update. Data source: KBC_x000a_28/Jan/2016. Population update. Data source: KBC (mail by maran)_x000a_2/Dec/2015. Population update. Data source: KBC_x000a_25-Jun-2015 Update population. Data Source: KBC_x000a_Population update: Source: Camp Profile Round 2."/>
    <s v="P3"/>
    <n v="5"/>
    <m/>
    <n v="5"/>
    <s v="Lwegel Town"/>
    <n v="0.77561767807574999"/>
    <n v="1"/>
  </r>
  <r>
    <x v="0"/>
    <x v="1"/>
    <s v="MMR015"/>
    <s v="Muse"/>
    <s v="MMR015D002"/>
    <x v="5"/>
    <s v="MMR015011"/>
    <s v="Long Waun Nam Rein (Tarmoenye Sub-township)"/>
    <s v="MMR015011050"/>
    <s v="Mai Pong (Shu See)"/>
    <m/>
    <x v="140"/>
    <x v="142"/>
    <x v="109"/>
    <n v="23.391741"/>
    <n v="0"/>
    <n v="0"/>
    <n v="0"/>
    <s v="NA"/>
    <x v="0"/>
    <x v="0"/>
    <x v="0"/>
    <x v="2"/>
    <d v="2011-09-01T00:00:00"/>
    <m/>
    <x v="0"/>
    <s v="IP"/>
    <m/>
    <d v="2014-03-03T00:00:00"/>
    <s v="Close. Same with Kutkai Down Town RC. Source UNHCR Bhamo"/>
    <s v=""/>
    <n v="0"/>
    <m/>
    <n v="0"/>
    <s v=""/>
    <s v=""/>
    <s v=""/>
  </r>
  <r>
    <x v="0"/>
    <x v="0"/>
    <s v="MMR001"/>
    <s v="Mohnyin"/>
    <s v="MMR001D002"/>
    <x v="0"/>
    <s v="MMR001009"/>
    <s v="Lone Khin"/>
    <s v="MMR001009001"/>
    <s v="Lone Khin"/>
    <n v="166773"/>
    <x v="141"/>
    <x v="143"/>
    <x v="110"/>
    <n v="25.658670000000001"/>
    <n v="0"/>
    <n v="0"/>
    <n v="0"/>
    <s v="NA"/>
    <x v="0"/>
    <x v="0"/>
    <x v="0"/>
    <x v="2"/>
    <d v="2013-01-01T00:00:00"/>
    <m/>
    <x v="0"/>
    <s v="RRD"/>
    <m/>
    <d v="2014-05-15T00:00:00"/>
    <s v="Closed."/>
    <s v=""/>
    <n v="0"/>
    <m/>
    <n v="0"/>
    <s v=""/>
    <s v=""/>
    <s v=""/>
  </r>
  <r>
    <x v="1"/>
    <x v="0"/>
    <s v="MMR001"/>
    <s v="Bhamo"/>
    <s v="MMR001D003"/>
    <x v="13"/>
    <s v="MMR001012"/>
    <s v="Lwegel Town"/>
    <s v="MMR001012702"/>
    <s v="Saing Gyar Ward"/>
    <s v="MMR001012702506"/>
    <x v="142"/>
    <x v="144"/>
    <x v="111"/>
    <n v="24.207332999999998"/>
    <n v="0"/>
    <n v="39"/>
    <n v="249"/>
    <n v="6.384615384615385"/>
    <x v="0"/>
    <x v="0"/>
    <x v="0"/>
    <x v="1"/>
    <d v="2012-08-01T00:00:00"/>
    <n v="1"/>
    <x v="3"/>
    <s v="IP"/>
    <m/>
    <d v="2016-06-15T00:00:00"/>
    <s v="15/Jun/2016: Population update. Data source: monthly report by KBC_x000a_12/May/2016. Population update. Data source: KBC_x000a_28/Jan/2016. Population update. Data source: KBC (mail by maran)_x000a_2/Dec/2015. Population update. Data source: KBC_x000a_25-Jun-2015 Update population. Data Source: KBC_x000a_Population update: Source: Camp Profile Round 2."/>
    <s v="P3"/>
    <n v="0"/>
    <m/>
    <n v="0"/>
    <s v="Lwegel Town"/>
    <n v="1.343152344964242"/>
    <n v="1"/>
  </r>
  <r>
    <x v="1"/>
    <x v="1"/>
    <s v="MMR015"/>
    <s v="Muse"/>
    <s v="MMR015D003"/>
    <x v="14"/>
    <s v="MMR015019"/>
    <s v="Man Pying (Pang Hseng (Kyu Koke)) Sub-township"/>
    <s v="MMR015009038"/>
    <s v="Hawwa"/>
    <m/>
    <x v="143"/>
    <x v="145"/>
    <x v="112"/>
    <n v="23.917631"/>
    <m/>
    <n v="32"/>
    <m/>
    <n v="0"/>
    <x v="0"/>
    <x v="0"/>
    <x v="1"/>
    <x v="2"/>
    <m/>
    <m/>
    <x v="0"/>
    <m/>
    <m/>
    <d v="2014-03-03T00:00:00"/>
    <s v="Change to Host Families."/>
    <s v="P3"/>
    <n v="0"/>
    <m/>
    <n v="0"/>
    <s v="Pang Hseng (Kyu Koke) Town"/>
    <n v="18.405283544772924"/>
    <n v="4"/>
  </r>
  <r>
    <x v="1"/>
    <x v="1"/>
    <s v="MMR015"/>
    <s v="Muse"/>
    <s v="MMR015D002"/>
    <x v="14"/>
    <s v="MMR015009"/>
    <s v="Hpai Kawng (Pang Hseng-Kyu Koke Sub-township"/>
    <s v="MMR015009031"/>
    <s v="Hpai Kawng"/>
    <n v="208156"/>
    <x v="144"/>
    <x v="146"/>
    <x v="113"/>
    <n v="24.08738"/>
    <m/>
    <n v="32"/>
    <n v="187"/>
    <n v="5.84375"/>
    <x v="1"/>
    <x v="0"/>
    <x v="1"/>
    <x v="2"/>
    <m/>
    <m/>
    <x v="0"/>
    <s v="IRRC"/>
    <m/>
    <d v="2014-03-03T00:00:00"/>
    <s v="Change to Host Families."/>
    <s v="P4"/>
    <n v="0"/>
    <m/>
    <n v="0"/>
    <s v="Pang Hseng (Kyu Koke) Town"/>
    <n v="5.5919136174199959"/>
    <n v="2"/>
  </r>
  <r>
    <x v="0"/>
    <x v="0"/>
    <s v="MMR001"/>
    <s v="Myitkyina"/>
    <s v="MMR001D001"/>
    <x v="15"/>
    <s v="MMR001001"/>
    <s v="Myitkyina Town"/>
    <s v="MMR001001701"/>
    <s v="Myay Myint Ward"/>
    <s v="MMR001001701517"/>
    <x v="145"/>
    <x v="147"/>
    <x v="114"/>
    <n v="25.387862999999999"/>
    <n v="0"/>
    <n v="0"/>
    <n v="0"/>
    <s v="NA"/>
    <x v="0"/>
    <x v="0"/>
    <x v="0"/>
    <x v="1"/>
    <d v="2011-10-01T00:00:00"/>
    <n v="1"/>
    <x v="2"/>
    <s v="IP"/>
    <m/>
    <d v="2015-06-25T00:00:00"/>
    <s v="25-Jun-15 Relocate to Shatapru Thida Aye Baptist Church_x000a_Population update: Source: Camp Profile Round 2."/>
    <s v="P4"/>
    <n v="0"/>
    <m/>
    <n v="0"/>
    <s v="Myitkyina Town"/>
    <n v="1.3751794210741128"/>
    <n v="1"/>
  </r>
  <r>
    <x v="1"/>
    <x v="1"/>
    <s v="MMR015"/>
    <s v="Muse"/>
    <s v="MMR015D002"/>
    <x v="14"/>
    <s v="MMR015009"/>
    <s v="Mung Baw "/>
    <s v="MMR015009013"/>
    <s v="Mung Baw "/>
    <m/>
    <x v="146"/>
    <x v="148"/>
    <x v="115"/>
    <n v="24.008452999999999"/>
    <n v="3396"/>
    <n v="123"/>
    <n v="503"/>
    <n v="4.0894308943089435"/>
    <x v="1"/>
    <x v="0"/>
    <x v="1"/>
    <x v="2"/>
    <m/>
    <m/>
    <x v="0"/>
    <s v="IRRC"/>
    <m/>
    <d v="2014-03-03T00:00:00"/>
    <s v="Change to Host Families."/>
    <s v="P1"/>
    <n v="0"/>
    <m/>
    <n v="0"/>
    <s v="Pang Hseng (Kyu Koke) Town"/>
    <n v="7.490291417449443"/>
    <n v="2"/>
  </r>
  <r>
    <x v="0"/>
    <x v="0"/>
    <s v="MMR001"/>
    <s v="Bhamo"/>
    <s v="MMR001D003"/>
    <x v="2"/>
    <s v="MMR001013"/>
    <s v="Man Wein"/>
    <s v="MMR001013021"/>
    <m/>
    <m/>
    <x v="147"/>
    <x v="149"/>
    <x v="6"/>
    <m/>
    <m/>
    <n v="0"/>
    <n v="0"/>
    <s v="NA"/>
    <x v="1"/>
    <x v="0"/>
    <x v="0"/>
    <x v="0"/>
    <m/>
    <m/>
    <x v="0"/>
    <s v="IP"/>
    <m/>
    <d v="2014-04-08T00:00:00"/>
    <s v="Closed. Move to Bum Tist Pa II and Man Wing. HH113/Pop837"/>
    <s v=""/>
    <n v="0"/>
    <m/>
    <n v="0"/>
    <s v=""/>
    <s v=""/>
    <s v=""/>
  </r>
  <r>
    <x v="1"/>
    <x v="1"/>
    <s v="MMR015"/>
    <s v="Muse"/>
    <s v="MMR015D003"/>
    <x v="14"/>
    <s v="MMR015019"/>
    <s v="Mone Paw Nam Chet (Zay) (Pang Hseng (Kyu Koke)) Sub-township"/>
    <s v="MMR015009033"/>
    <s v="Mone Paw Nam Chet"/>
    <n v="208167"/>
    <x v="148"/>
    <x v="150"/>
    <x v="116"/>
    <n v="23.978088"/>
    <m/>
    <n v="6"/>
    <m/>
    <n v="0"/>
    <x v="0"/>
    <x v="0"/>
    <x v="1"/>
    <x v="2"/>
    <m/>
    <m/>
    <x v="0"/>
    <m/>
    <m/>
    <d v="2014-03-03T00:00:00"/>
    <s v="Change to Host Families."/>
    <s v="P3"/>
    <n v="0"/>
    <m/>
    <n v="0"/>
    <s v="Pang Hseng (Kyu Koke) Town"/>
    <n v="12.794700705104317"/>
    <n v="3"/>
  </r>
  <r>
    <x v="1"/>
    <x v="1"/>
    <s v="MMR015"/>
    <s v="Muse"/>
    <s v="MMR015D002"/>
    <x v="14"/>
    <s v="MMR015009"/>
    <s v="Muse Town"/>
    <s v="MMR015009701"/>
    <s v="Ho Mun Ward"/>
    <s v="MMR015009701504"/>
    <x v="149"/>
    <x v="151"/>
    <x v="117"/>
    <n v="24.006319999999999"/>
    <n v="812.7"/>
    <n v="52"/>
    <n v="212"/>
    <n v="4.0769230769230766"/>
    <x v="0"/>
    <x v="0"/>
    <x v="0"/>
    <x v="1"/>
    <d v="2014-03-05T00:00:00"/>
    <m/>
    <x v="3"/>
    <s v="IP"/>
    <m/>
    <d v="2016-06-15T00:00:00"/>
    <s v="15/Jun/2016: Population update. Data source: monthly report by KBC_x000a_12/May/2016. Population update. Data source: KBC_x000a_28/Jan/2016. Population update. Data source: KBC (mail by maran)_x000a_2/Dec/2015. Population update. Data source: KBC_x000a_25-Jun-15 Population update. Source: KBC_x000a_New camp."/>
    <s v="P4"/>
    <n v="8"/>
    <m/>
    <n v="8"/>
    <s v="Muse Town"/>
    <n v="1.989668595899414"/>
    <n v="1"/>
  </r>
  <r>
    <x v="1"/>
    <x v="1"/>
    <s v="MMR015"/>
    <s v="Muse"/>
    <s v="MMR015D002"/>
    <x v="14"/>
    <s v="MMR015009"/>
    <s v="Muse Town"/>
    <s v="MMR015009701"/>
    <s v="Ho Mun Ward"/>
    <s v="MMR015009701504"/>
    <x v="150"/>
    <x v="152"/>
    <x v="118"/>
    <n v="24.006789000000001"/>
    <n v="814"/>
    <n v="26"/>
    <n v="111"/>
    <n v="4.2692307692307692"/>
    <x v="0"/>
    <x v="0"/>
    <x v="0"/>
    <x v="1"/>
    <d v="2014-04-05T00:00:00"/>
    <m/>
    <x v="5"/>
    <s v="IP"/>
    <m/>
    <d v="2016-01-28T00:00:00"/>
    <s v="28/Jan/2016. Population update. Data source: KBC (mail by maran)_x000a_19-Aug-15 (Population update. Source: MKSS-LSO)_x000a_25-Jun-15 (Population update. Source: KMSS-LSO)_x000a_Population Update. Source: Save The Children."/>
    <s v="P4"/>
    <n v="0"/>
    <m/>
    <n v="0"/>
    <s v="Muse Town"/>
    <n v="2.1362355825722226"/>
    <n v="1"/>
  </r>
  <r>
    <x v="1"/>
    <x v="0"/>
    <s v="MMR001"/>
    <s v="Myitkyina"/>
    <s v="MMR001D001"/>
    <x v="15"/>
    <s v="MMR001001"/>
    <s v="Pa La Na Sa Khan Myar"/>
    <s v="MMR001001003"/>
    <s v="Pi Tauk Myaing"/>
    <n v="165685"/>
    <x v="151"/>
    <x v="153"/>
    <x v="119"/>
    <n v="25.493819999999999"/>
    <m/>
    <n v="43"/>
    <n v="271"/>
    <n v="6.3023255813953485"/>
    <x v="0"/>
    <x v="0"/>
    <x v="0"/>
    <x v="1"/>
    <d v="2012-12-01T00:00:00"/>
    <m/>
    <x v="4"/>
    <s v="IP"/>
    <m/>
    <d v="2016-06-16T00:00:00"/>
    <s v="16/Jun/2016. Population update. Data source: monthly report from KMSS_MYT_x000a_10/May/2016. Population Update. Data source: KMSS_x000a_16/Feb/2016. Pop and HH correction._x000a_28/Jan/2016. Population update. Data source: KBC (mail by maran)_x000a_13/Dec/2015. Population update. Data source: Mail by Ko Maran. Reason for pop changes: Increased from Sumpra Bum area _x000a_2/Dec/2015 (Population update. Data source: Monthly report by KMSS_MYT). Reason for pop changes; Arrived at the camp from daily work and new arrival from sumprabum._x000a_23-Oct-15 (Pupulation update. Data Source: Monthly report by KMSS-MYT). Reason for changes; Increasing from Sumprabum._x000a_2-Oct-15 (Pupulation update. Data Source: KMSS-MYT) and NFI Distribution List (New arrival)_x000a_19-Aug-15 (Population update. Data source: KMSS-MYT)_x000a_25-Jun-15 (Population update. Source: KMSS-MYT)_x000a_Population Update. Source: KMSS-MYT"/>
    <s v="P4"/>
    <n v="0"/>
    <m/>
    <n v="0"/>
    <s v="Myitkyina Town"/>
    <n v="12.627188913244609"/>
    <n v="3"/>
  </r>
  <r>
    <x v="0"/>
    <x v="1"/>
    <s v="MMR015"/>
    <s v="Muse"/>
    <s v="MMR015D002"/>
    <x v="16"/>
    <s v="MMR015010"/>
    <s v="Nawng Hkam"/>
    <s v="MMR015010010"/>
    <s v="Nawng Hkam"/>
    <n v="208353"/>
    <x v="152"/>
    <x v="154"/>
    <x v="120"/>
    <n v="23.82152"/>
    <n v="813.4"/>
    <n v="0"/>
    <n v="0"/>
    <s v="NA"/>
    <x v="1"/>
    <x v="0"/>
    <x v="0"/>
    <x v="0"/>
    <m/>
    <m/>
    <x v="1"/>
    <s v="IP"/>
    <m/>
    <d v="2014-03-14T00:00:00"/>
    <s v="Closed. Source Cluster Coordinator"/>
    <s v=""/>
    <n v="0"/>
    <m/>
    <n v="0"/>
    <s v=""/>
    <s v=""/>
    <s v=""/>
  </r>
  <r>
    <x v="0"/>
    <x v="1"/>
    <s v="MMR015"/>
    <s v="Muse"/>
    <s v="MMR015D002"/>
    <x v="16"/>
    <s v="MMR015010"/>
    <s v="Nawng Hkam"/>
    <s v="MMR015010010"/>
    <s v="Nawng Hkam"/>
    <n v="208353"/>
    <x v="153"/>
    <x v="155"/>
    <x v="6"/>
    <m/>
    <m/>
    <n v="0"/>
    <n v="0"/>
    <s v="NA"/>
    <x v="1"/>
    <x v="0"/>
    <x v="0"/>
    <x v="0"/>
    <m/>
    <m/>
    <x v="0"/>
    <s v="IP"/>
    <m/>
    <d v="2014-03-03T00:00:00"/>
    <s v="Closed. Same with (Nam Hkam Catholic Church  St. Thomas II)"/>
    <s v=""/>
    <n v="0"/>
    <m/>
    <n v="0"/>
    <s v=""/>
    <s v=""/>
    <s v=""/>
  </r>
  <r>
    <x v="0"/>
    <x v="1"/>
    <s v="MMR015"/>
    <s v="Muse"/>
    <s v="MMR015D002"/>
    <x v="14"/>
    <s v="MMR015009"/>
    <s v="Man Nway (Pang Hseng (Kyu Koke)) Sub-township"/>
    <s v="MMR015009036"/>
    <s v="Nam Hkawng Khu"/>
    <n v="208182"/>
    <x v="154"/>
    <x v="156"/>
    <x v="6"/>
    <m/>
    <n v="0"/>
    <m/>
    <m/>
    <s v="NA"/>
    <x v="1"/>
    <x v="0"/>
    <x v="0"/>
    <x v="2"/>
    <d v="2011-09-01T00:00:00"/>
    <n v="1"/>
    <x v="3"/>
    <s v="IP"/>
    <m/>
    <d v="2016-03-03T00:00:00"/>
    <s v="3/Mar/2016. Closed camp. Data source: January report from KBC_x000a_28/Jan/2016. Population update. Data source: KBC (mail by maran)_x000a_2/Dec/2015. Population update. Data source: KBC_x000a_25-Jun-15 Population update. Source: KBC_x000a_Update population. Source: Camp Profile."/>
    <s v="P2"/>
    <n v="0"/>
    <m/>
    <n v="0"/>
    <s v=""/>
    <s v=""/>
    <s v=""/>
  </r>
  <r>
    <x v="1"/>
    <x v="0"/>
    <s v="MMR001"/>
    <s v="Myitkyina"/>
    <s v="MMR001D001"/>
    <x v="15"/>
    <s v="MMR001001"/>
    <s v="Nam Koi"/>
    <s v="MMR001001005"/>
    <s v="Nam Koi"/>
    <n v="165695"/>
    <x v="155"/>
    <x v="157"/>
    <x v="121"/>
    <n v="25.410569299999999"/>
    <m/>
    <n v="66"/>
    <n v="323"/>
    <n v="4.8939393939393936"/>
    <x v="0"/>
    <x v="0"/>
    <x v="0"/>
    <x v="1"/>
    <d v="2012-01-01T00:00:00"/>
    <m/>
    <x v="4"/>
    <s v="IP"/>
    <m/>
    <d v="2016-06-16T00:00:00"/>
    <s v="16/Jun/2016. Population update. Data source: monthly report from KMSS_MYT_x000a_10/May/2016. Population Update. Data source: KMSS_x000a_28/Jan/2016. Population update. Data source: KBC (mail by maran)_x000a_23-Oct-15 (Population update. Data source: Monthly report by KMSS-MYT). Reason for changes; Arrive from the Daily Work._x000a_19-Aug-15 (Population update. Data Source: KMSS-MYT) _x000a_25-Jun-15 (Population update. Source: KMSS-MYT)"/>
    <s v="P4"/>
    <n v="0"/>
    <m/>
    <n v="0"/>
    <s v="Myitkyina Town"/>
    <n v="4.037940696665812"/>
    <n v="1"/>
  </r>
  <r>
    <x v="1"/>
    <x v="0"/>
    <s v="MMR001"/>
    <s v="Myitkyina"/>
    <s v="MMR001D001"/>
    <x v="15"/>
    <s v="MMR001001"/>
    <s v="Maw Hpawng"/>
    <s v="MMR001001007"/>
    <s v="Maw Hpawng"/>
    <n v="165698"/>
    <x v="156"/>
    <x v="158"/>
    <x v="122"/>
    <n v="25.374343974359"/>
    <n v="0"/>
    <n v="21"/>
    <n v="97"/>
    <n v="4.6190476190476186"/>
    <x v="0"/>
    <x v="0"/>
    <x v="0"/>
    <x v="2"/>
    <d v="2011-10-01T00:00:00"/>
    <n v="1"/>
    <x v="2"/>
    <s v="IP"/>
    <m/>
    <d v="2016-06-16T00:00:00"/>
    <s v="16/Jun/2016: Population update. Data source: mail by Shalom_x000a_10 May 2016. Population update: Data source_Shalom_x000a_28/Jan/2016. Population update. Data source: KBC (mail by maran)_x000a_9/Nov/15. Population Upate. Data source: monthly report by HAP._x000a_19-Aug-15 Population update. Source: Shalom_x000a_25-Jun-15 Population update. Source : Shalom._x000a_Population update: Source: Camp Profile Round 2."/>
    <s v="P4"/>
    <n v="0"/>
    <m/>
    <n v="0"/>
    <s v="Myitkyina Town"/>
    <n v="10.744749696609457"/>
    <n v="3"/>
  </r>
  <r>
    <x v="0"/>
    <x v="0"/>
    <s v="MMR001"/>
    <s v="Bhamo"/>
    <s v="MMR001D003"/>
    <x v="2"/>
    <s v="MMR001013"/>
    <s v="Nam Lin Pa"/>
    <s v="MMR001013037"/>
    <m/>
    <m/>
    <x v="157"/>
    <x v="159"/>
    <x v="123"/>
    <n v="23.75817"/>
    <n v="781.8"/>
    <n v="0"/>
    <n v="0"/>
    <s v="NA"/>
    <x v="1"/>
    <x v="0"/>
    <x v="0"/>
    <x v="2"/>
    <d v="2012-07-01T00:00:00"/>
    <m/>
    <x v="0"/>
    <s v="IP"/>
    <m/>
    <m/>
    <s v="Closed: Source UNHCR-Bhamo"/>
    <s v=""/>
    <n v="0"/>
    <m/>
    <n v="0"/>
    <s v=""/>
    <s v=""/>
    <s v=""/>
  </r>
  <r>
    <x v="0"/>
    <x v="0"/>
    <s v="MMR001"/>
    <s v="Bhamo"/>
    <s v="MMR001D003"/>
    <x v="2"/>
    <s v="MMR001013"/>
    <s v="Nam Lin Pa"/>
    <s v="MMR001013037"/>
    <m/>
    <m/>
    <x v="158"/>
    <x v="160"/>
    <x v="6"/>
    <m/>
    <m/>
    <n v="0"/>
    <n v="0"/>
    <s v="NA"/>
    <x v="1"/>
    <x v="0"/>
    <x v="0"/>
    <x v="0"/>
    <m/>
    <m/>
    <x v="0"/>
    <s v="IP"/>
    <m/>
    <m/>
    <s v="Closed: Source UNHCR-Bhamo"/>
    <s v=""/>
    <n v="0"/>
    <m/>
    <n v="0"/>
    <s v=""/>
    <s v=""/>
    <s v=""/>
  </r>
  <r>
    <x v="0"/>
    <x v="0"/>
    <s v="MMR001"/>
    <s v="Bhamo"/>
    <s v="MMR001D003"/>
    <x v="2"/>
    <s v="MMR001013"/>
    <s v="Nam Lin Pa"/>
    <s v="MMR001013037"/>
    <m/>
    <m/>
    <x v="159"/>
    <x v="161"/>
    <x v="123"/>
    <n v="23.75817"/>
    <m/>
    <n v="0"/>
    <n v="0"/>
    <s v="NA"/>
    <x v="1"/>
    <x v="0"/>
    <x v="0"/>
    <x v="0"/>
    <m/>
    <m/>
    <x v="0"/>
    <s v="IRRC"/>
    <m/>
    <m/>
    <s v="This IDP are registered in Nam Lim pa (Boarder) (MMR001CMP204). We should not calculate this number in total. "/>
    <s v=""/>
    <n v="0"/>
    <m/>
    <n v="0"/>
    <s v=""/>
    <s v=""/>
    <s v=""/>
  </r>
  <r>
    <x v="1"/>
    <x v="0"/>
    <s v="MMR001"/>
    <s v="Myitkyina"/>
    <s v="MMR001D001"/>
    <x v="15"/>
    <s v="MMR001001"/>
    <s v="Maw Hpawng"/>
    <s v="MMR001001007"/>
    <s v="Maw Hpawng"/>
    <n v="165698"/>
    <x v="160"/>
    <x v="162"/>
    <x v="124"/>
    <n v="25.371049444444399"/>
    <n v="476"/>
    <n v="14"/>
    <n v="71"/>
    <n v="5.0714285714285712"/>
    <x v="0"/>
    <x v="0"/>
    <x v="0"/>
    <x v="2"/>
    <d v="2011-10-01T00:00:00"/>
    <n v="1"/>
    <x v="2"/>
    <s v="IP"/>
    <m/>
    <d v="2016-06-16T00:00:00"/>
    <s v="16/Jun/2016: Population update. Data source: mail by Shalom_x000a_10 May 2016. Population update: Data source_Shalom_x000a_28/Jan/2016. Population update. Data source: KBC (mail by maran)_x000a_25-Jun-15 Population update. Source : Shalom._x000a_Population update: Source: Camp Profile Round 2."/>
    <s v="P4"/>
    <n v="0"/>
    <m/>
    <n v="0"/>
    <s v="Myitkyina Town"/>
    <n v="10.15228229456989"/>
    <n v="3"/>
  </r>
  <r>
    <x v="1"/>
    <x v="0"/>
    <s v="MMR001"/>
    <s v="Myitkyina"/>
    <s v="MMR001D001"/>
    <x v="15"/>
    <s v="MMR001001"/>
    <s v="Myitkyina Town"/>
    <s v="MMR001001701"/>
    <s v="Du Ka Htaung Ward"/>
    <s v="MMR001001701504"/>
    <x v="161"/>
    <x v="163"/>
    <x v="125"/>
    <n v="25.3959740909091"/>
    <n v="0"/>
    <n v="6"/>
    <n v="39"/>
    <n v="6.5"/>
    <x v="0"/>
    <x v="0"/>
    <x v="0"/>
    <x v="1"/>
    <d v="2011-06-01T00:00:00"/>
    <m/>
    <x v="3"/>
    <s v="RRD"/>
    <m/>
    <m/>
    <s v=" "/>
    <s v="P4"/>
    <n v="0"/>
    <m/>
    <n v="0"/>
    <s v="Myitkyina Town"/>
    <n v="1.1985969617964649"/>
    <n v="1"/>
  </r>
  <r>
    <x v="1"/>
    <x v="0"/>
    <s v="MMR001"/>
    <s v="Myitkyina"/>
    <s v="MMR001D001"/>
    <x v="15"/>
    <s v="MMR001001"/>
    <s v="Myitkyina Town"/>
    <s v="MMR001001701"/>
    <s v="Du Ka Htaung Ward"/>
    <s v="MMR001001701504"/>
    <x v="162"/>
    <x v="164"/>
    <x v="126"/>
    <n v="25.396492500000001"/>
    <n v="0"/>
    <n v="42"/>
    <n v="211"/>
    <n v="5.0238095238095237"/>
    <x v="0"/>
    <x v="0"/>
    <x v="0"/>
    <x v="1"/>
    <d v="2011-06-01T00:00:00"/>
    <n v="2"/>
    <x v="3"/>
    <s v="IP"/>
    <m/>
    <d v="2016-06-15T00:00:00"/>
    <s v="15/Jun/2016: Population update. Data source: monthly report by KBC_x000a_12/May/2016. Population update. Data source: KBC_x000a_28/Jan/2016. Population update. Data source: KBC (mail by maran)_x000a_2/Dec/2015. Population update. Data source: KBC._x000a_Update population according to KBC data"/>
    <s v="P4"/>
    <n v="39"/>
    <m/>
    <n v="39"/>
    <s v="Myitkyina Town"/>
    <n v="1.3510454549069482"/>
    <n v="1"/>
  </r>
  <r>
    <x v="1"/>
    <x v="0"/>
    <s v="MMR001"/>
    <s v="Myitkyina"/>
    <s v="MMR001D001"/>
    <x v="15"/>
    <s v="MMR001001"/>
    <s v="Myitkyina Town"/>
    <s v="MMR001001701"/>
    <s v="Du Ka Htaung Ward"/>
    <s v="MMR001001701504"/>
    <x v="163"/>
    <x v="165"/>
    <x v="127"/>
    <n v="25.4002701851852"/>
    <n v="0"/>
    <n v="6"/>
    <n v="28"/>
    <n v="4.666666666666667"/>
    <x v="0"/>
    <x v="0"/>
    <x v="0"/>
    <x v="1"/>
    <d v="2011-06-01T00:00:00"/>
    <m/>
    <x v="3"/>
    <s v="RRD"/>
    <m/>
    <m/>
    <s v=" "/>
    <s v="P4"/>
    <n v="3"/>
    <m/>
    <n v="3"/>
    <s v="Myitkyina Town"/>
    <n v="1.5295244799681529"/>
    <n v="1"/>
  </r>
  <r>
    <x v="1"/>
    <x v="0"/>
    <s v="MMR001"/>
    <s v="Myitkyina"/>
    <s v="MMR001D001"/>
    <x v="15"/>
    <s v="MMR001001"/>
    <s v="Myitkyina Town"/>
    <s v="MMR001001701"/>
    <s v="Kachin Su Ward"/>
    <s v="MMR001001701509"/>
    <x v="164"/>
    <x v="166"/>
    <x v="128"/>
    <n v="25.377038166666701"/>
    <n v="0"/>
    <n v="7"/>
    <n v="37"/>
    <n v="5.2857142857142856"/>
    <x v="0"/>
    <x v="0"/>
    <x v="0"/>
    <x v="1"/>
    <d v="2012-04-01T00:00:00"/>
    <n v="1"/>
    <x v="2"/>
    <s v="IP"/>
    <m/>
    <d v="2016-06-16T00:00:00"/>
    <s v="16/Jun/2016: Population update. Data source: mail by Shalom_x000a_10 May 2016. Population update: Data source_Shalom_x000a_28/Jan/2016. Population update. Data source: KBC (mail by maran)_x000a_9/Nov/15. Population update. Data source: monthly report by HAP_x000a_25-Jun-15 Population update. Source : Shalom._x000a_Population update: Source: Camp Profile Round 2."/>
    <s v="P4"/>
    <n v="0"/>
    <m/>
    <n v="0"/>
    <s v="Myitkyina Town"/>
    <n v="1.7877148351104664"/>
    <n v="1"/>
  </r>
  <r>
    <x v="1"/>
    <x v="0"/>
    <s v="MMR001"/>
    <s v="Myitkyina"/>
    <s v="MMR001D001"/>
    <x v="15"/>
    <s v="MMR001001"/>
    <s v="Myitkyina Town"/>
    <s v="MMR001001701"/>
    <s v="Kyun Pin Thar Ward"/>
    <s v="MMR001001701510"/>
    <x v="165"/>
    <x v="167"/>
    <x v="129"/>
    <n v="25.3660036111111"/>
    <n v="0"/>
    <n v="44"/>
    <n v="191"/>
    <n v="4.3409090909090908"/>
    <x v="0"/>
    <x v="0"/>
    <x v="0"/>
    <x v="1"/>
    <d v="2012-01-01T00:00:00"/>
    <n v="1"/>
    <x v="3"/>
    <s v="IP"/>
    <m/>
    <d v="2016-06-15T00:00:00"/>
    <s v="15/Jun/2016: Population update. Data source: monthly report by KBC_x000a_12/May/2016. Population update. Data source: KBC_x000a_28/Jan/2016. Population update. Data source: KBC (mail by maran)_x000a_2/Dec/2015 (Population update. Data source: Monthly report by KBC)._x000a_19-Aug-2015 Update population from KBC._x000a_25-Jun-2015 Update population from KBC._x000a_Update population according to KBC data"/>
    <s v="P4"/>
    <n v="39"/>
    <m/>
    <n v="39"/>
    <s v="Myitkyina Town"/>
    <n v="2.8164250706222882"/>
    <n v="1"/>
  </r>
  <r>
    <x v="1"/>
    <x v="0"/>
    <s v="MMR001"/>
    <s v="Myitkyina"/>
    <s v="MMR001D001"/>
    <x v="15"/>
    <s v="MMR001001"/>
    <s v="Myitkyina Town"/>
    <s v="MMR001001701"/>
    <s v="Shwe Set Ward"/>
    <s v="MMR001001701518"/>
    <x v="166"/>
    <x v="168"/>
    <x v="130"/>
    <n v="25.440928"/>
    <n v="0"/>
    <n v="91"/>
    <n v="491"/>
    <n v="5.395604395604396"/>
    <x v="0"/>
    <x v="0"/>
    <x v="0"/>
    <x v="1"/>
    <d v="2011-07-01T00:00:00"/>
    <n v="2"/>
    <x v="3"/>
    <s v="IP"/>
    <m/>
    <d v="2016-06-15T00:00:00"/>
    <s v="15/Jun/2016: Population update. Data source: monthly report by KBC_x000a_12/May/2016. Population update. Data source: KBC_x000a_28/Jan/2016. Population update. Data source: KBC (mail by maran)_x000a_2/Dec/2015. Population update. Data source: KBC._x000a_19-Aug-15 - Update population from KBC._x000a_25-Jun-2015 Update population from KBC._x000a_Update population according to KBC data"/>
    <s v="P4"/>
    <n v="41"/>
    <m/>
    <n v="41"/>
    <s v="Myitkyina Town"/>
    <n v="6.6198004689728469"/>
    <n v="2"/>
  </r>
  <r>
    <x v="1"/>
    <x v="0"/>
    <s v="MMR001"/>
    <s v="Myitkyina"/>
    <s v="MMR001D001"/>
    <x v="15"/>
    <s v="MMR001001"/>
    <s v="Myitkyina Town"/>
    <s v="MMR001001701"/>
    <s v="Man Khein Ward"/>
    <s v="MMR001001701519"/>
    <x v="167"/>
    <x v="169"/>
    <x v="131"/>
    <n v="25.428910999999999"/>
    <n v="0"/>
    <n v="101"/>
    <n v="544"/>
    <n v="5.3861386138613865"/>
    <x v="0"/>
    <x v="0"/>
    <x v="0"/>
    <x v="1"/>
    <d v="2011-07-01T00:00:00"/>
    <n v="2"/>
    <x v="3"/>
    <s v="IP"/>
    <m/>
    <d v="2016-06-15T00:00:00"/>
    <s v="15/Jun/2016: Population update. Data source: monthly report by KBC_x000a_12/May/2016. Population update. Data source: KBC_x000a_28/Jan/2016. Population update. Data source: KBC (mail by maran)_x000a_2/Dec/2015. Population update. Data source: KBC._x000a_19-Aug-15 Update population from KBC_x000a_25-Jun-2015 Update population from KBC._x000a_Update population according to KBC data"/>
    <s v="P4"/>
    <n v="21"/>
    <m/>
    <n v="21"/>
    <s v="Myitkyina Town"/>
    <n v="5.4145379230647226"/>
    <n v="2"/>
  </r>
  <r>
    <x v="0"/>
    <x v="0"/>
    <s v="MMR001"/>
    <s v="Mohnyin"/>
    <s v="MMR001D002"/>
    <x v="12"/>
    <s v="MMR001007"/>
    <s v="Nam Mun"/>
    <s v="MMR001007016"/>
    <s v="Nam Mun"/>
    <n v="166591"/>
    <x v="168"/>
    <x v="170"/>
    <x v="78"/>
    <n v="24.998349999999999"/>
    <n v="0"/>
    <n v="0"/>
    <n v="0"/>
    <s v="NA"/>
    <x v="0"/>
    <x v="0"/>
    <x v="0"/>
    <x v="2"/>
    <d v="2012-03-01T00:00:00"/>
    <m/>
    <x v="3"/>
    <s v="RRD"/>
    <m/>
    <d v="2014-07-17T00:00:00"/>
    <s v="Closed. Duplicate with (Nawng Ing (Indawgyi) Baptist Church)"/>
    <s v="P4"/>
    <n v="0"/>
    <m/>
    <n v="0"/>
    <s v=""/>
    <s v=""/>
    <s v=""/>
  </r>
  <r>
    <x v="1"/>
    <x v="0"/>
    <s v="MMR001"/>
    <s v="Myitkyina"/>
    <s v="MMR001D001"/>
    <x v="15"/>
    <s v="MMR001001"/>
    <s v="Myitkyina Town"/>
    <s v="MMR001001701"/>
    <s v="Tat Kone Ward"/>
    <s v="MMR001001701520"/>
    <x v="169"/>
    <x v="171"/>
    <x v="132"/>
    <n v="25.415482000000001"/>
    <n v="0"/>
    <n v="67"/>
    <n v="365"/>
    <n v="5.4477611940298507"/>
    <x v="0"/>
    <x v="0"/>
    <x v="0"/>
    <x v="1"/>
    <d v="2011-06-01T00:00:00"/>
    <n v="1"/>
    <x v="3"/>
    <s v="IP"/>
    <m/>
    <d v="2016-06-15T00:00:00"/>
    <s v="15/Jun/2016: Population update. Data source: monthly report by KBC_x000a_12/May/2016. Population update. Data source: KBC_x000a_28/Jan/2016. Population update. Data source: KBC (mail by maran)_x000a_2/Dec/2015. Population update. Data source: KBC._x000a_19-Aug-15 Update population from KBC_x000a_25-Jun-2015 Update population from KBC._x000a_Checked with KBC data"/>
    <s v="P4"/>
    <n v="7"/>
    <m/>
    <n v="7"/>
    <s v="Myitkyina Town"/>
    <n v="3.1341427522962952"/>
    <n v="1"/>
  </r>
  <r>
    <x v="0"/>
    <x v="0"/>
    <s v="MMR001"/>
    <s v="Bhamo"/>
    <s v="MMR001D003"/>
    <x v="13"/>
    <s v="MMR001012"/>
    <s v="Momauk Town"/>
    <s v="MMR001012701"/>
    <s v="Ah Lin Kawng Ward"/>
    <s v="MMR001012701502"/>
    <x v="170"/>
    <x v="172"/>
    <x v="133"/>
    <n v="24.253769999999999"/>
    <n v="0"/>
    <m/>
    <m/>
    <s v="NA"/>
    <x v="0"/>
    <x v="0"/>
    <x v="0"/>
    <x v="1"/>
    <d v="2011-10-01T00:00:00"/>
    <n v="1"/>
    <x v="2"/>
    <s v="IP"/>
    <m/>
    <d v="2016-06-16T00:00:00"/>
    <s v="16/Jun/2016: Camp Closed. Data source: Shalom. Commnets from Shalom &quot;Household return to Kayuk sa khan village&quot;_x000a_9/Nov/15. Population update. Data source: monthly report by HAP._x000a_19-Aug-15 Population update. Source: Shalom_x000a_25-Jun-15 (Population update. Source : Shalom)_x000a_Population update: Source UNHCR-Bhamo"/>
    <s v="P4"/>
    <n v="0"/>
    <m/>
    <n v="0"/>
    <s v="Momauk Town"/>
    <n v="0.32830807173487342"/>
    <n v="1"/>
  </r>
  <r>
    <x v="0"/>
    <x v="0"/>
    <s v="MMR001"/>
    <s v="Puta-O"/>
    <s v="MMR001D004"/>
    <x v="17"/>
    <s v="MMR001014"/>
    <s v="Lang Taung"/>
    <s v="MMR001014009"/>
    <s v="Nawng Hkaing"/>
    <n v="167567"/>
    <x v="171"/>
    <x v="173"/>
    <x v="134"/>
    <n v="27.270199999999999"/>
    <n v="372.9"/>
    <n v="0"/>
    <n v="0"/>
    <s v="NA"/>
    <x v="0"/>
    <x v="0"/>
    <x v="0"/>
    <x v="2"/>
    <d v="2013-08-01T00:00:00"/>
    <m/>
    <x v="0"/>
    <s v="IP"/>
    <m/>
    <d v="2014-03-27T00:00:00"/>
    <s v="25-Jun-15 (Relocated to Lone Sut)_x000a_Geo-Info, HH/Pop data received from MIRA Form"/>
    <s v="P3"/>
    <n v="0"/>
    <m/>
    <n v="0"/>
    <s v="Machanbaw Town"/>
    <n v="1.7005689699647559"/>
    <n v="1"/>
  </r>
  <r>
    <x v="1"/>
    <x v="0"/>
    <s v="MMR001"/>
    <s v="Myitkyina"/>
    <s v="MMR001D001"/>
    <x v="15"/>
    <s v="MMR001001"/>
    <s v="Myitkyina Town"/>
    <s v="MMR001001701"/>
    <s v="Tat Kone Ward"/>
    <s v="MMR001001701520"/>
    <x v="172"/>
    <x v="174"/>
    <x v="135"/>
    <n v="25.404752999999999"/>
    <n v="0"/>
    <n v="32"/>
    <n v="161"/>
    <n v="5.03125"/>
    <x v="0"/>
    <x v="0"/>
    <x v="0"/>
    <x v="1"/>
    <d v="2011-07-01T00:00:00"/>
    <n v="1"/>
    <x v="3"/>
    <s v="IP"/>
    <m/>
    <d v="2016-06-15T00:00:00"/>
    <s v="15/Jun/2016: Population update. Data source: monthly report by KBC_x000a_12/May/2016. Population update. Data source: KBC_x000a_28/Jan/2016. Population update. Data source: KBC (mail by maran)_x000a_19-Aug-15 Update pouplation from KBC_x000a_25-Jun-2015 Update population from KBC._x000a_Update population according to KBC data"/>
    <s v="P4"/>
    <n v="12"/>
    <m/>
    <n v="12"/>
    <s v="Myitkyina Town"/>
    <n v="2.3045478259125423"/>
    <n v="1"/>
  </r>
  <r>
    <x v="1"/>
    <x v="0"/>
    <s v="MMR001"/>
    <s v="Myitkyina"/>
    <s v="MMR001D001"/>
    <x v="15"/>
    <s v="MMR001001"/>
    <s v="Myitkyina Town"/>
    <s v="MMR001001701"/>
    <s v="Tat Kone Ward"/>
    <s v="MMR001001701520"/>
    <x v="173"/>
    <x v="175"/>
    <x v="136"/>
    <n v="25.404015000000001"/>
    <n v="0"/>
    <n v="43"/>
    <n v="216"/>
    <n v="5.0232558139534884"/>
    <x v="0"/>
    <x v="0"/>
    <x v="0"/>
    <x v="1"/>
    <d v="2011-10-01T00:00:00"/>
    <n v="1"/>
    <x v="3"/>
    <s v="IP"/>
    <m/>
    <d v="2016-06-15T00:00:00"/>
    <s v="15/Jun/2016: Population update. Data source: monthly report by KBC_x000a_12/May/2016. Population update. Data source: KBC_x000a_28/Jan/2016. Population update. Data source: KBC (mail by maran)_x000a_2/Dec/2015 (Population update. Data source: Monthly report by KBC)._x000a_19-Aug-15 Update population from KBC._x000a_25-Jun-2015 Update population from KBC._x000a_Checked with KBC data"/>
    <s v="P4"/>
    <n v="11"/>
    <m/>
    <n v="11"/>
    <s v="Myitkyina Town"/>
    <n v="2.0123527499589278"/>
    <n v="1"/>
  </r>
  <r>
    <x v="0"/>
    <x v="0"/>
    <s v="MMR001"/>
    <s v="Myitkyina"/>
    <s v="MMR001D001"/>
    <x v="3"/>
    <s v="MMR001002"/>
    <s v="Nawng Si Paw"/>
    <s v="MMR001002013"/>
    <s v="Nawng Si Paw"/>
    <n v="165750"/>
    <x v="174"/>
    <x v="176"/>
    <x v="6"/>
    <m/>
    <m/>
    <n v="0"/>
    <n v="0"/>
    <s v="NA"/>
    <x v="0"/>
    <x v="0"/>
    <x v="0"/>
    <x v="0"/>
    <m/>
    <m/>
    <x v="0"/>
    <m/>
    <m/>
    <m/>
    <s v=" "/>
    <s v=""/>
    <n v="0"/>
    <m/>
    <n v="0"/>
    <s v=""/>
    <s v=""/>
    <s v=""/>
  </r>
  <r>
    <x v="1"/>
    <x v="0"/>
    <s v="MMR001"/>
    <s v="Myitkyina"/>
    <s v="MMR001D001"/>
    <x v="15"/>
    <s v="MMR001001"/>
    <s v="Myitkyina Town"/>
    <s v="MMR001001701"/>
    <s v="Tat Kone Ward"/>
    <s v="MMR001001701520"/>
    <x v="175"/>
    <x v="177"/>
    <x v="137"/>
    <n v="25.423278"/>
    <n v="0"/>
    <n v="54"/>
    <n v="258"/>
    <n v="4.7777777777777777"/>
    <x v="0"/>
    <x v="0"/>
    <x v="0"/>
    <x v="1"/>
    <d v="2012-04-01T00:00:00"/>
    <n v="1"/>
    <x v="2"/>
    <s v="IP"/>
    <m/>
    <d v="2016-06-16T00:00:00"/>
    <s v="16/Jun/2016: Population update. Data source: mail by Shalom_x000a_10 May 2016. Population update: Data source_Shalom_x000a_28/Jan/2016. Population update. Data source: KBC (mail by maran)_x000a_9/Nov/15. Population update. Data source: monthly report by HAP._x000a_19-Aug-15 Update population. Source: Shalom_x000a_25-Jun-15 Population update. Source : Shalom._x000a_Population update: Source: Camp Profile Round 2."/>
    <s v="P4"/>
    <n v="0"/>
    <m/>
    <n v="0"/>
    <s v="Myitkyina Town"/>
    <n v="2.6190942927115026"/>
    <n v="1"/>
  </r>
  <r>
    <x v="1"/>
    <x v="0"/>
    <s v="MMR001"/>
    <s v="Myitkyina"/>
    <s v="MMR001D001"/>
    <x v="15"/>
    <s v="MMR001001"/>
    <s v="Myitkyina Town"/>
    <s v="MMR001001701"/>
    <s v="Tat Kone Ward"/>
    <s v="MMR001001701520"/>
    <x v="176"/>
    <x v="178"/>
    <x v="138"/>
    <n v="25.417733999999999"/>
    <n v="0"/>
    <n v="6"/>
    <n v="29"/>
    <n v="4.833333333333333"/>
    <x v="0"/>
    <x v="0"/>
    <x v="0"/>
    <x v="1"/>
    <d v="2011-08-01T00:00:00"/>
    <n v="1"/>
    <x v="2"/>
    <s v="IP"/>
    <m/>
    <d v="2016-06-16T00:00:00"/>
    <s v="16/Jun/2016: Population update. Data source: mail by Shalom_x000a_10 May 2016. Population update: Data source_Shalom_x000a_28/Jan/2016. Population update. Data source: KBC (mail by maran)_x000a_9/Nov/15. Population update. Data source: monthly report by HAP._x000a_19-Aug-15 Update Population. Source: Shalom._x000a_25-Jun-2015 Update population. Source : Shalom._x000a_Population update: Source: Camp Profile Round 2."/>
    <s v="P4"/>
    <n v="0"/>
    <m/>
    <n v="0"/>
    <s v="Myitkyina Town"/>
    <n v="3.3637010801853577"/>
    <n v="1"/>
  </r>
  <r>
    <x v="0"/>
    <x v="0"/>
    <s v="MMR001"/>
    <s v="Mohnyin"/>
    <s v="MMR001D002"/>
    <x v="0"/>
    <s v="MMR001009"/>
    <s v="Hpakan Town"/>
    <s v="MMR001009701"/>
    <s v="Hnget Pyaw Taw Ward"/>
    <s v="MMR001009701502"/>
    <x v="177"/>
    <x v="179"/>
    <x v="28"/>
    <n v="25.611160000000002"/>
    <n v="0"/>
    <n v="0"/>
    <n v="0"/>
    <s v="NA"/>
    <x v="0"/>
    <x v="0"/>
    <x v="0"/>
    <x v="1"/>
    <d v="2012-08-01T00:00:00"/>
    <n v="2"/>
    <x v="3"/>
    <s v="IP"/>
    <m/>
    <d v="2014-05-15T00:00:00"/>
    <s v="Closed.Moved to Na Ma Pyit KBC."/>
    <s v=""/>
    <n v="0"/>
    <m/>
    <n v="0"/>
    <s v=""/>
    <s v=""/>
    <s v=""/>
  </r>
  <r>
    <x v="0"/>
    <x v="0"/>
    <s v="MMR001"/>
    <s v="Mohnyin"/>
    <s v="MMR001D002"/>
    <x v="0"/>
    <s v="MMR001009"/>
    <s v="Hpakan Town"/>
    <s v="MMR001009701"/>
    <s v="Hnget Pyaw Taw Ward"/>
    <s v="MMR001009701502"/>
    <x v="178"/>
    <x v="180"/>
    <x v="139"/>
    <n v="25.611899999999999"/>
    <m/>
    <n v="0"/>
    <n v="0"/>
    <s v="NA"/>
    <x v="0"/>
    <x v="0"/>
    <x v="0"/>
    <x v="0"/>
    <m/>
    <m/>
    <x v="0"/>
    <m/>
    <m/>
    <m/>
    <s v=" "/>
    <s v=""/>
    <n v="0"/>
    <m/>
    <n v="0"/>
    <s v=""/>
    <s v=""/>
    <s v=""/>
  </r>
  <r>
    <x v="1"/>
    <x v="0"/>
    <s v="MMR001"/>
    <s v="Myitkyina"/>
    <s v="MMR001D001"/>
    <x v="15"/>
    <s v="MMR001001"/>
    <s v="Myitkyina Town"/>
    <s v="MMR001001701"/>
    <s v="Si Tar Pu Ward"/>
    <s v="MMR001001701521"/>
    <x v="179"/>
    <x v="181"/>
    <x v="140"/>
    <n v="25.412313000000001"/>
    <n v="0"/>
    <n v="90"/>
    <n v="395"/>
    <n v="4.3888888888888893"/>
    <x v="0"/>
    <x v="0"/>
    <x v="0"/>
    <x v="1"/>
    <d v="2011-08-01T00:00:00"/>
    <n v="2"/>
    <x v="3"/>
    <s v="IP"/>
    <m/>
    <d v="2016-06-15T00:00:00"/>
    <s v="15/Jun/2016: Population update. Data source: monthly report by KBC_x000a_28/Jan/2016. Population update. Data source: KBC (mail by maran)_x000a_2/Dec/2015. Population update. Data source: KBC._x000a_19-Aug-2015 Update population from KBC._x000a_25-Jun-2015 Update population from KBC._x000a_Update population according to KBC data"/>
    <s v="P4"/>
    <n v="26"/>
    <m/>
    <n v="26"/>
    <s v="Myitkyina Town"/>
    <n v="2.9133254097712102"/>
    <n v="1"/>
  </r>
  <r>
    <x v="1"/>
    <x v="0"/>
    <s v="MMR001"/>
    <s v="Myitkyina"/>
    <s v="MMR001D001"/>
    <x v="15"/>
    <s v="MMR001001"/>
    <s v="Myitkyina Town"/>
    <s v="MMR001001701"/>
    <s v="Si Tar Pu Ward"/>
    <s v="MMR001001701521"/>
    <x v="180"/>
    <x v="182"/>
    <x v="141"/>
    <n v="25.423817"/>
    <n v="0"/>
    <n v="22"/>
    <n v="111"/>
    <n v="5.0454545454545459"/>
    <x v="0"/>
    <x v="0"/>
    <x v="0"/>
    <x v="1"/>
    <d v="2012-01-01T00:00:00"/>
    <n v="1"/>
    <x v="2"/>
    <s v="IP"/>
    <m/>
    <d v="2016-06-16T00:00:00"/>
    <s v="16/Jun/2016: Population update. Data source: mail by Shalom_x000a_10 May 2016. Population update: Data source_Shalom_x000a_28/Jan/2016. Population update. Data source: KBC (mail by maran)_x000a_19-Aug-15 Population update. Source Shalom._x000a_25-Jun-15 Population update. Source Shalom._x000a_Population update: Source: Camp Profile Round 2."/>
    <s v="P4"/>
    <n v="22"/>
    <m/>
    <n v="22"/>
    <s v="Myitkyina Town"/>
    <n v="4.9021696969220816"/>
    <n v="1"/>
  </r>
  <r>
    <x v="1"/>
    <x v="0"/>
    <s v="MMR001"/>
    <s v="Myitkyina"/>
    <s v="MMR001D001"/>
    <x v="15"/>
    <s v="MMR001001"/>
    <s v="Myitkyina Town"/>
    <s v="MMR001001701"/>
    <s v="Lel Kone Ward"/>
    <s v="MMR001001701525"/>
    <x v="181"/>
    <x v="183"/>
    <x v="142"/>
    <n v="25.3510167948718"/>
    <n v="0"/>
    <n v="138"/>
    <n v="697"/>
    <n v="5.0507246376811592"/>
    <x v="0"/>
    <x v="0"/>
    <x v="0"/>
    <x v="1"/>
    <d v="2011-06-01T00:00:00"/>
    <n v="2"/>
    <x v="3"/>
    <s v="IP"/>
    <m/>
    <d v="2016-06-15T00:00:00"/>
    <s v="15/Jun/2016: Population update. Data source: monthly report by KBC_x000a_12/May/2016. Population update. Data source: KBC_x000a_28/Jan/2016. Population update. Data source: KBC (mail by maran)_x000a_19-Aug-15 Update population from KBC._x000a_Update population according to KBC data"/>
    <s v="P4"/>
    <n v="13"/>
    <m/>
    <n v="13"/>
    <s v="Myitkyina Town"/>
    <n v="4.262018365878137"/>
    <n v="1"/>
  </r>
  <r>
    <x v="1"/>
    <x v="0"/>
    <s v="MMR001"/>
    <s v="Myitkyina"/>
    <s v="MMR001D001"/>
    <x v="15"/>
    <s v="MMR001001"/>
    <s v="Myitkyina Town"/>
    <s v="MMR001001701"/>
    <s v="Lel Kone Ward"/>
    <s v="MMR001001701525"/>
    <x v="182"/>
    <x v="184"/>
    <x v="143"/>
    <n v="25.362420757575801"/>
    <n v="0"/>
    <n v="96"/>
    <n v="544"/>
    <n v="5.666666666666667"/>
    <x v="0"/>
    <x v="0"/>
    <x v="0"/>
    <x v="1"/>
    <d v="2011-03-01T00:00:00"/>
    <n v="2"/>
    <x v="3"/>
    <s v="IP"/>
    <m/>
    <d v="2016-06-15T00:00:00"/>
    <s v="15/Jun/2016: Population update. Data source: monthly report by KBC_x000a_12/May/2016. Population update. Data source: KBC_x000a_28/Jan/2016. Population update. Data source: KBC (mail by maran)_x000a_2/Dec/2015. Population update. Data source: KBC._x000a_19-Aug-15 Update population from KBC._x000a_25-Jun-2015 Update population from KBC._x000a_Update population according to KBC data"/>
    <s v="P4"/>
    <n v="72"/>
    <m/>
    <n v="72"/>
    <s v="Myitkyina Town"/>
    <n v="3.3602711423118103"/>
    <n v="1"/>
  </r>
  <r>
    <x v="1"/>
    <x v="0"/>
    <s v="MMR001"/>
    <s v="Myitkyina"/>
    <s v="MMR001D001"/>
    <x v="15"/>
    <s v="MMR001001"/>
    <s v="Myitkyina Town"/>
    <s v="MMR001001701"/>
    <s v="N Jang Dung"/>
    <m/>
    <x v="183"/>
    <x v="185"/>
    <x v="144"/>
    <n v="25.422194000000001"/>
    <n v="0"/>
    <n v="58"/>
    <n v="241"/>
    <n v="4.1551724137931032"/>
    <x v="0"/>
    <x v="0"/>
    <x v="0"/>
    <x v="1"/>
    <d v="2011-06-01T00:00:00"/>
    <n v="1"/>
    <x v="3"/>
    <s v="IP"/>
    <m/>
    <d v="2016-06-15T00:00:00"/>
    <s v="15/Jun/2016: Population update. Data source: monthly report by KBC_x000a_12/May/2016. Population update. Data source: KBC_x000a_28/Jan/2016. Population update. Data source: KBC (mail by maran)_x000a_2/Dec/2015. Population update. Data source: KBC._x000a_19-Aug-15 Update population from KBC_x000a_25-Jun-2015 Update population from KBC._x000a_Checked with KBC data"/>
    <s v="P4"/>
    <n v="6"/>
    <m/>
    <n v="6"/>
    <s v="Myitkyina Town"/>
    <n v="3.8820329084732181"/>
    <n v="1"/>
  </r>
  <r>
    <x v="1"/>
    <x v="0"/>
    <s v="MMR001"/>
    <s v="Myitkyina"/>
    <s v="MMR001D001"/>
    <x v="15"/>
    <s v="MMR001001"/>
    <s v="Myitkyina Town"/>
    <s v="MMR001001701"/>
    <s v="Maliyang Ward"/>
    <m/>
    <x v="184"/>
    <x v="186"/>
    <x v="145"/>
    <n v="25.360463124999999"/>
    <n v="0"/>
    <n v="60"/>
    <n v="293"/>
    <n v="4.8833333333333337"/>
    <x v="0"/>
    <x v="0"/>
    <x v="0"/>
    <x v="1"/>
    <d v="2011-08-01T00:00:00"/>
    <n v="2"/>
    <x v="3"/>
    <s v="IP"/>
    <m/>
    <d v="2016-06-15T00:00:00"/>
    <s v="15/Jun/2016: Population update. Data source: monthly report by KBC_x000a_12/May/2016. Population update. Data source: KBC_x000a_28/Jan/2016. Population update. Data source: KBC (mail by maran)_x000a_2/Dec/2015. Population update. Data source: KBC._x000a_19-Aug-15 Update population from KBC._x000a_25-Jun-2015 Update population from KBC._x000a_Update population according to KBC data"/>
    <s v="P4"/>
    <n v="40"/>
    <m/>
    <n v="40"/>
    <s v="Waingmaw Town"/>
    <n v="3.3362307375127798"/>
    <n v="1"/>
  </r>
  <r>
    <x v="1"/>
    <x v="0"/>
    <s v="MMR001"/>
    <s v="Myitkyina"/>
    <s v="MMR001D001"/>
    <x v="15"/>
    <s v="MMR001001"/>
    <s v="Myitkyina Town"/>
    <s v="MMR001001701"/>
    <s v="Jan Mai Kawng"/>
    <m/>
    <x v="185"/>
    <x v="187"/>
    <x v="146"/>
    <n v="25.403476999999999"/>
    <n v="0"/>
    <n v="204"/>
    <n v="1104"/>
    <n v="5.4117647058823533"/>
    <x v="0"/>
    <x v="0"/>
    <x v="0"/>
    <x v="1"/>
    <d v="2011-07-01T00:00:00"/>
    <n v="2"/>
    <x v="3"/>
    <s v="IP"/>
    <m/>
    <d v="2016-06-15T00:00:00"/>
    <s v="15/Jun/2016: Population update. Data source: monthly report by KBC_x000a_12/May/2016. Population update. Data source: KBC_x000a_28/Jan/2016. Population update. Data source: KBC (mail by maran)_x000a_2/Dec/2015. Population update. Data source: KBC._x000a_19-Aug-15 Update population from KBC._x000a_25-Jun-2015 Update population from KBC._x000a_Checked with KBC data"/>
    <s v="P4"/>
    <n v="44"/>
    <m/>
    <n v="44"/>
    <s v="Myitkyina Town"/>
    <n v="2.4647367211404561"/>
    <n v="1"/>
  </r>
  <r>
    <x v="1"/>
    <x v="0"/>
    <s v="MMR001"/>
    <s v="Myitkyina"/>
    <s v="MMR001D001"/>
    <x v="15"/>
    <s v="MMR001001"/>
    <s v="Myitkyina Town"/>
    <s v="MMR001001701"/>
    <s v="Jan Mai Kawng"/>
    <m/>
    <x v="186"/>
    <x v="188"/>
    <x v="147"/>
    <n v="25.401061110000001"/>
    <m/>
    <n v="103"/>
    <n v="462"/>
    <n v="4.4854368932038833"/>
    <x v="0"/>
    <x v="0"/>
    <x v="0"/>
    <x v="1"/>
    <d v="2011-07-01T00:00:00"/>
    <n v="3"/>
    <x v="4"/>
    <s v="IP"/>
    <m/>
    <d v="2016-06-16T00:00:00"/>
    <s v="16/Jun/2016. Population update. Data source: monthly report from KMSS_MYT_x000a_10/May/2016. Population Update. Data source: KMSS_x000a_28/Jan/2016. Population update. Data source: KBC (mail by maran)_x000a_2/Dec/2015 (Population update. Data source: Monthly report by KMSS_MYT). Reason for pop changes; Arrived at the camp from daily work._x000a_23-Oct-15 (Population update. Data source: Monthly report by KMSS-MYT). Reason for changes; Arrive from the Daily Work._x000a_2 Oct 15 (Population update. Data Source: KMSS-MYT)_x000a_19-Aug-15 (Population update. Data Source: KMSS-MYT)_x000a_25-Jun-15 (Population update. Source : KMSS-MYT)_x000a_Population Update. Source: KMSS-MYT"/>
    <s v="P4"/>
    <n v="23"/>
    <m/>
    <n v="23"/>
    <s v="Myitkyina Town"/>
    <n v="1.8563710010113432"/>
    <n v="1"/>
  </r>
  <r>
    <x v="0"/>
    <x v="0"/>
    <s v="MMR001"/>
    <s v="Mohnyin"/>
    <s v="MMR001D002"/>
    <x v="0"/>
    <s v="MMR001009"/>
    <s v="Hpakan Town"/>
    <s v="MMR001009701"/>
    <s v="Myo Ma Ward"/>
    <s v="MMR001009701503"/>
    <x v="187"/>
    <x v="189"/>
    <x v="6"/>
    <m/>
    <m/>
    <n v="0"/>
    <n v="0"/>
    <s v="NA"/>
    <x v="0"/>
    <x v="0"/>
    <x v="0"/>
    <x v="0"/>
    <m/>
    <m/>
    <x v="0"/>
    <m/>
    <m/>
    <m/>
    <s v=" "/>
    <s v=""/>
    <n v="0"/>
    <m/>
    <n v="0"/>
    <s v=""/>
    <s v=""/>
    <s v=""/>
  </r>
  <r>
    <x v="1"/>
    <x v="1"/>
    <s v="MMR015"/>
    <s v="Muse"/>
    <s v="MMR015D002"/>
    <x v="16"/>
    <s v="MMR015010"/>
    <s v="Ho Nar"/>
    <s v="MMR015010002"/>
    <s v="Pang Long"/>
    <n v="208338"/>
    <x v="188"/>
    <x v="190"/>
    <x v="148"/>
    <n v="23.838190000000001"/>
    <n v="829.8"/>
    <n v="123"/>
    <n v="575"/>
    <n v="4.6747967479674797"/>
    <x v="0"/>
    <x v="0"/>
    <x v="0"/>
    <x v="1"/>
    <d v="2014-04-18T00:00:00"/>
    <m/>
    <x v="3"/>
    <s v="IP"/>
    <m/>
    <d v="2016-06-15T00:00:00"/>
    <s v="15/Jun/2016: Population update. Data source: monthly report by KBC_x000a_15/Jun/2016: Population update. Data source: monthly report by KBC_x000a_12/May/2016. Population update. Data source: KBC_x000a_28/Jan/2016. Population update. Data source: KBC (mail by maran)_x000a_2/Dec/2015. Population update. Data source: KBC_x000a_25-Jun-15 Population update. Source: KBC_x000a_Population Update. Source: Save The Children."/>
    <s v="P4"/>
    <n v="51"/>
    <m/>
    <n v="51"/>
    <s v="Namhkan Town"/>
    <n v="2.8590638493982405"/>
    <n v="1"/>
  </r>
  <r>
    <x v="1"/>
    <x v="1"/>
    <s v="MMR015"/>
    <s v="Muse"/>
    <s v="MMR015D002"/>
    <x v="16"/>
    <s v="MMR015010"/>
    <s v="Nawng Hkam"/>
    <s v="MMR015010010"/>
    <s v="Nawng Hkam"/>
    <n v="208353"/>
    <x v="189"/>
    <x v="191"/>
    <x v="149"/>
    <n v="23.828520000000001"/>
    <n v="740"/>
    <n v="73"/>
    <n v="380"/>
    <n v="5.2054794520547949"/>
    <x v="0"/>
    <x v="0"/>
    <x v="0"/>
    <x v="1"/>
    <d v="2011-12-01T00:00:00"/>
    <n v="2"/>
    <x v="3"/>
    <s v="IP"/>
    <m/>
    <d v="2016-06-15T00:00:00"/>
    <s v="15/Jun/2016: Population update. Data source: monthly report by KBC_x000a_12/May/2016. Population update. Data source: KBC_x000a_28/Jan/2016. Population update. Data source: KBC (mail by maran)_x000a_2/Dec/2015. Population update. Data source: KBC_x000a_25-Jun-15 Population update. Source: KBC_x000a_Population Update. Source: Save The Children."/>
    <s v="P3"/>
    <n v="43"/>
    <m/>
    <n v="43"/>
    <s v="Namhkan Town"/>
    <n v="1.5619149693996526"/>
    <n v="1"/>
  </r>
  <r>
    <x v="1"/>
    <x v="1"/>
    <s v="MMR015"/>
    <s v="Muse"/>
    <s v="MMR015D002"/>
    <x v="16"/>
    <s v="MMR015010"/>
    <s v="Nawng Hkam"/>
    <s v="MMR015010010"/>
    <s v="Nawng Hkam"/>
    <n v="208353"/>
    <x v="190"/>
    <x v="192"/>
    <x v="150"/>
    <n v="23.828150000000001"/>
    <n v="751.8"/>
    <n v="48"/>
    <n v="218"/>
    <n v="4.541666666666667"/>
    <x v="0"/>
    <x v="0"/>
    <x v="0"/>
    <x v="1"/>
    <d v="2011-12-01T00:00:00"/>
    <m/>
    <x v="5"/>
    <s v="IP"/>
    <m/>
    <d v="2016-01-28T00:00:00"/>
    <s v="28/Jan/2016. Population update. Data source: KBC (mail by maran)_x000a_19-Aug-15 (Population update. Source: KMSS-LSO)_x000a_25-Jun-15 (Population update. Source: KMSS-LSO)_x000a_Population update. Changed NGCA to GCA. Source: CCCM Unit"/>
    <s v="P3"/>
    <n v="48"/>
    <m/>
    <n v="48"/>
    <s v="Namhkan Town"/>
    <n v="1.5239325151406049"/>
    <n v="1"/>
  </r>
  <r>
    <x v="1"/>
    <x v="1"/>
    <s v="MMR015"/>
    <s v="Muse"/>
    <s v="MMR015D002"/>
    <x v="16"/>
    <s v="MMR015010"/>
    <s v="Nawng Hkam"/>
    <s v="MMR015010010"/>
    <s v="Nawng Hkam"/>
    <n v="208353"/>
    <x v="191"/>
    <x v="193"/>
    <x v="151"/>
    <n v="23.821380000000001"/>
    <n v="811.6"/>
    <n v="70"/>
    <n v="368"/>
    <n v="5.2571428571428571"/>
    <x v="0"/>
    <x v="0"/>
    <x v="0"/>
    <x v="1"/>
    <d v="2013-12-01T00:00:00"/>
    <n v="2"/>
    <x v="3"/>
    <s v="IP"/>
    <m/>
    <d v="2016-06-15T00:00:00"/>
    <s v="15/Jun/2016: Population update. Data source: monthly report by KBC_x000a_12/May/2016. Population update. Data source: KBC_x000a_28/Jan/2016. Population update. Data source: KBC (mail by maran)_x000a_2/Dec/2015. Population update. Data source: KBC_x000a_25-Jun-15 Population update. Source: KBC_x000a_Population Update. Source: Save The Children."/>
    <s v="P3"/>
    <n v="0"/>
    <m/>
    <n v="0"/>
    <s v="Namhkan Town"/>
    <n v="1.7369508287203668"/>
    <n v="1"/>
  </r>
  <r>
    <x v="1"/>
    <x v="1"/>
    <s v="MMR015"/>
    <s v="Muse"/>
    <s v="MMR015D002"/>
    <x v="16"/>
    <s v="MMR015010"/>
    <s v="Nawng Hkam"/>
    <s v="MMR015010010"/>
    <s v="Nawng Hkam"/>
    <n v="208353"/>
    <x v="192"/>
    <x v="194"/>
    <x v="152"/>
    <n v="23.841646999999998"/>
    <n v="798"/>
    <n v="37"/>
    <n v="198"/>
    <n v="5.3513513513513518"/>
    <x v="0"/>
    <x v="0"/>
    <x v="0"/>
    <x v="1"/>
    <d v="2014-11-04T00:00:00"/>
    <m/>
    <x v="3"/>
    <s v="IP"/>
    <m/>
    <d v="2016-06-15T00:00:00"/>
    <s v="15/Jun/2016: Population update. Data source: monthly report by KBC_x000a_12/May/2016. Population update. Data source: KBC_x000a_28/Jan/2016. Population update. Data source: KBC (mail by maran)_x000a_2/Dec/2015. Population update. Data source: KBC_x000a_25-Jun-15 Population update. Source: KBC_x000a_Population Update. Source: Save The Children."/>
    <s v="P4"/>
    <n v="0"/>
    <m/>
    <n v="0"/>
    <s v="Namhkan Town"/>
    <n v="2.0141034419413328"/>
    <n v="1"/>
  </r>
  <r>
    <x v="1"/>
    <x v="1"/>
    <s v="MMR015"/>
    <s v="Kyaukme"/>
    <s v="MMR015D003"/>
    <x v="18"/>
    <s v="MMR015015"/>
    <s v="Namtu Town"/>
    <s v="MMR015015701"/>
    <s v="Namtu Ward"/>
    <s v="MMR015015701501"/>
    <x v="193"/>
    <x v="195"/>
    <x v="153"/>
    <n v="23.088058"/>
    <n v="1948"/>
    <n v="118"/>
    <n v="520"/>
    <n v="4.406779661016949"/>
    <x v="0"/>
    <x v="0"/>
    <x v="1"/>
    <x v="1"/>
    <m/>
    <m/>
    <x v="0"/>
    <s v="IP"/>
    <m/>
    <d v="2014-09-01T00:00:00"/>
    <s v="Change to Host Families. Source: Programme Unit."/>
    <s v="P3"/>
    <n v="0"/>
    <m/>
    <n v="0"/>
    <s v="Namtu Town"/>
    <n v="0.63626694856259092"/>
    <n v="1"/>
  </r>
  <r>
    <x v="1"/>
    <x v="1"/>
    <s v="MMR015"/>
    <s v="Kyaukme"/>
    <s v="MMR015D003"/>
    <x v="18"/>
    <s v="MMR015015"/>
    <s v="Namtu Town"/>
    <s v="MMR015015701"/>
    <s v="Namtu Ward"/>
    <s v="MMR015015701501"/>
    <x v="194"/>
    <x v="196"/>
    <x v="154"/>
    <n v="23.094290000000001"/>
    <n v="534.29999999999995"/>
    <n v="9"/>
    <n v="37"/>
    <n v="4.1111111111111107"/>
    <x v="0"/>
    <x v="0"/>
    <x v="0"/>
    <x v="1"/>
    <d v="2012-04-01T00:00:00"/>
    <n v="1"/>
    <x v="3"/>
    <s v="IP"/>
    <m/>
    <d v="2016-06-15T00:00:00"/>
    <s v="15/Jun/2016: Population update. Data source: monthly report by KBC_x000a_12/May/2016. Population update. Data source: KBC_x000a_28/Jan/2016. Population update. Data source: KBC (mail by maran)_x000a_2/Dec/2015. Population update. Data source: KBC_x000a_25-Jun-15 Population update. Source: KBC_x000a_Update population. Source: Camp Profile."/>
    <s v="P3"/>
    <n v="0"/>
    <m/>
    <n v="0"/>
    <s v="Namtu Town"/>
    <n v="0.37588352961435612"/>
    <n v="1"/>
  </r>
  <r>
    <x v="1"/>
    <x v="0"/>
    <s v="MMR001"/>
    <s v="Puta-O"/>
    <s v="MMR001D004"/>
    <x v="17"/>
    <s v="MMR001014"/>
    <s v="Lang Taung"/>
    <s v="MMR001014009"/>
    <s v="Inn Lel Yan"/>
    <n v="217032"/>
    <x v="195"/>
    <x v="197"/>
    <x v="155"/>
    <n v="27.248964999999998"/>
    <n v="398"/>
    <n v="10"/>
    <n v="56"/>
    <n v="5.6"/>
    <x v="0"/>
    <x v="0"/>
    <x v="1"/>
    <x v="2"/>
    <d v="2013-08-01T00:00:00"/>
    <m/>
    <x v="0"/>
    <s v="IP"/>
    <m/>
    <d v="2014-04-07T00:00:00"/>
    <s v="New host families."/>
    <s v="P3"/>
    <n v="0"/>
    <m/>
    <n v="0"/>
    <s v="Machanbaw Town"/>
    <n v="4.789460146835963"/>
    <n v="1"/>
  </r>
  <r>
    <x v="1"/>
    <x v="0"/>
    <s v="MMR001"/>
    <s v="Puta-O"/>
    <s v="MMR001D004"/>
    <x v="17"/>
    <s v="MMR001014"/>
    <s v="Puta-O Town"/>
    <s v="MMR001014701"/>
    <s v="Lone Sut Ward"/>
    <s v="MMR001014701510"/>
    <x v="196"/>
    <x v="198"/>
    <x v="156"/>
    <n v="27.337499999999999"/>
    <m/>
    <n v="59"/>
    <n v="235"/>
    <n v="3.9830508474576272"/>
    <x v="0"/>
    <x v="0"/>
    <x v="0"/>
    <x v="1"/>
    <d v="2015-06-25T00:00:00"/>
    <m/>
    <x v="3"/>
    <s v="IP"/>
    <m/>
    <d v="2016-06-15T00:00:00"/>
    <s v="15/Jun/2016: Population update. Data source: monthly report by KBC_x000a_12/May/2016. Population update. Data source: KBC_x000a_28/Jan/2016. Population update. Data source: KBC (mail by maran)_x000a_13/Dec/2015. Population update. Data source: Mail by Ko Maran. Reason for pop changes: data obtain from Protection team monitoring report  November 2015_x000a_2/Dec/2015. Population update. Data source: KBC_x000a_19-Aug-15 Population update. Source KBC._x000a_25-Jun-15 New camp. Data Source : KBC"/>
    <m/>
    <n v="0"/>
    <m/>
    <n v="0"/>
    <s v=""/>
    <s v=""/>
    <s v=""/>
  </r>
  <r>
    <x v="0"/>
    <x v="0"/>
    <s v="MMR001"/>
    <s v="Mohnyin"/>
    <s v="MMR001D002"/>
    <x v="0"/>
    <s v="MMR001009"/>
    <m/>
    <m/>
    <m/>
    <m/>
    <x v="197"/>
    <x v="199"/>
    <x v="6"/>
    <m/>
    <m/>
    <n v="0"/>
    <n v="0"/>
    <s v="NA"/>
    <x v="0"/>
    <x v="0"/>
    <x v="0"/>
    <x v="0"/>
    <m/>
    <m/>
    <x v="0"/>
    <m/>
    <m/>
    <m/>
    <m/>
    <s v=""/>
    <n v="0"/>
    <m/>
    <n v="0"/>
    <s v=""/>
    <s v=""/>
    <s v=""/>
  </r>
  <r>
    <x v="1"/>
    <x v="0"/>
    <s v="MMR001"/>
    <s v="Puta-O"/>
    <s v="MMR001D004"/>
    <x v="17"/>
    <s v="MMR001014"/>
    <s v="Puta-O Town"/>
    <s v="MMR001014701"/>
    <s v="Doke Tan Ward"/>
    <s v="MMR001014701509"/>
    <x v="198"/>
    <x v="200"/>
    <x v="157"/>
    <n v="27.311699999999998"/>
    <n v="476.7"/>
    <n v="14"/>
    <n v="64"/>
    <n v="4.5714285714285712"/>
    <x v="0"/>
    <x v="0"/>
    <x v="1"/>
    <x v="2"/>
    <m/>
    <m/>
    <x v="0"/>
    <s v="IP"/>
    <m/>
    <d v="2014-04-07T00:00:00"/>
    <s v="Changed Camp to Host Families. Source: Camp Profile Questionnaire."/>
    <s v="P3"/>
    <n v="0"/>
    <m/>
    <n v="0"/>
    <s v="Puta-O Town"/>
    <n v="1.3759254000531889"/>
    <n v="1"/>
  </r>
  <r>
    <x v="1"/>
    <x v="0"/>
    <s v="MMR001"/>
    <s v="Bhamo"/>
    <s v="MMR001D003"/>
    <x v="19"/>
    <s v="MMR001011"/>
    <s v="Shwegu Town"/>
    <s v="MMR001011701"/>
    <m/>
    <m/>
    <x v="1"/>
    <x v="201"/>
    <x v="158"/>
    <n v="24.224830999999998"/>
    <m/>
    <n v="9"/>
    <n v="30"/>
    <n v="3.3333333333333335"/>
    <x v="0"/>
    <x v="0"/>
    <x v="1"/>
    <x v="1"/>
    <m/>
    <m/>
    <x v="0"/>
    <s v="RRD"/>
    <m/>
    <m/>
    <m/>
    <s v="P4"/>
    <n v="0"/>
    <m/>
    <n v="0"/>
    <s v="Shwegu Town"/>
    <n v="2.3794331620169178"/>
    <n v="1"/>
  </r>
  <r>
    <x v="0"/>
    <x v="0"/>
    <s v="MMR001"/>
    <s v="Mohnyin"/>
    <s v="MMR001D002"/>
    <x v="0"/>
    <s v="MMR001009"/>
    <m/>
    <m/>
    <m/>
    <m/>
    <x v="199"/>
    <x v="202"/>
    <x v="6"/>
    <m/>
    <m/>
    <n v="0"/>
    <n v="0"/>
    <s v="NA"/>
    <x v="0"/>
    <x v="0"/>
    <x v="0"/>
    <x v="0"/>
    <m/>
    <m/>
    <x v="0"/>
    <m/>
    <m/>
    <m/>
    <s v=" "/>
    <s v=""/>
    <n v="0"/>
    <m/>
    <n v="0"/>
    <s v=""/>
    <s v=""/>
    <s v=""/>
  </r>
  <r>
    <x v="1"/>
    <x v="0"/>
    <s v="MMR001"/>
    <s v="Bhamo"/>
    <s v="MMR001D003"/>
    <x v="19"/>
    <s v="MMR001011"/>
    <m/>
    <m/>
    <m/>
    <m/>
    <x v="200"/>
    <x v="203"/>
    <x v="6"/>
    <m/>
    <m/>
    <n v="375"/>
    <n v="1691"/>
    <n v="4.5093333333333332"/>
    <x v="1"/>
    <x v="0"/>
    <x v="1"/>
    <x v="2"/>
    <d v="2014-03-03T00:00:00"/>
    <m/>
    <x v="0"/>
    <s v="IRRC"/>
    <m/>
    <d v="2014-03-03T00:00:00"/>
    <s v="Change to Host Families."/>
    <s v="P4"/>
    <n v="0"/>
    <m/>
    <n v="0"/>
    <s v=""/>
    <s v=""/>
    <s v=""/>
  </r>
  <r>
    <x v="1"/>
    <x v="0"/>
    <s v="MMR001"/>
    <s v="Bhamo"/>
    <s v="MMR001D003"/>
    <x v="19"/>
    <s v="MMR001011"/>
    <s v="Shwegu Town"/>
    <s v="MMR001011701"/>
    <s v="Shwegu Town"/>
    <s v="MMR001011701504"/>
    <x v="201"/>
    <x v="204"/>
    <x v="159"/>
    <n v="24.200361000000001"/>
    <n v="0"/>
    <n v="86"/>
    <n v="309"/>
    <n v="3.5930232558139537"/>
    <x v="0"/>
    <x v="0"/>
    <x v="0"/>
    <x v="1"/>
    <d v="2011-07-01T00:00:00"/>
    <n v="1"/>
    <x v="3"/>
    <s v="IP"/>
    <m/>
    <d v="2016-06-15T00:00:00"/>
    <s v="15/Jun/2016: Population update. Data source: monthly report by KBC_x000a_12/May/2016. Population update. Data source: KBC_x000a_28/Jan/2016. Population update. Data source: KBC (mail by maran)_x000a_2/Dec/2015. Population update. Data source: KBC_x000a_25-Jun-2015 Update population. Data Source: KBC_x000a_Population update: Source UNHCR-Bhamo"/>
    <s v="P4"/>
    <n v="44"/>
    <m/>
    <n v="44"/>
    <s v="Shwegu Town"/>
    <n v="0.74396039478864395"/>
    <n v="1"/>
  </r>
  <r>
    <x v="1"/>
    <x v="0"/>
    <s v="MMR001"/>
    <s v="Bhamo"/>
    <s v="MMR001D003"/>
    <x v="19"/>
    <s v="MMR001011"/>
    <s v="Shwegu Town"/>
    <s v="MMR001011701"/>
    <s v="Shwegu Town"/>
    <s v="MMR001011701504"/>
    <x v="202"/>
    <x v="205"/>
    <x v="159"/>
    <n v="24.200367"/>
    <m/>
    <n v="41"/>
    <n v="152"/>
    <n v="3.7073170731707319"/>
    <x v="0"/>
    <x v="0"/>
    <x v="0"/>
    <x v="1"/>
    <d v="2011-07-01T00:00:00"/>
    <n v="2"/>
    <x v="1"/>
    <s v="IP"/>
    <m/>
    <d v="2016-01-28T00:00:00"/>
    <s v="28/Jan/2016. Population update. Data source: KBC (mail by maran)_x000a_19 Aug 2015. Update Population. Data Source; KMSS-BMO_x000a_Population update: Source UNHCR-Bhamo"/>
    <s v="P4"/>
    <n v="0"/>
    <m/>
    <n v="0"/>
    <s v="Shwegu Town"/>
    <n v="0.74330366237812662"/>
    <n v="1"/>
  </r>
  <r>
    <x v="1"/>
    <x v="0"/>
    <s v="MMR001"/>
    <s v="Puta-O"/>
    <s v="MMR001D004"/>
    <x v="20"/>
    <s v="MMR001015"/>
    <m/>
    <m/>
    <m/>
    <m/>
    <x v="203"/>
    <x v="206"/>
    <x v="160"/>
    <n v="26.569633"/>
    <m/>
    <n v="161"/>
    <n v="711"/>
    <n v="4.4161490683229809"/>
    <x v="0"/>
    <x v="0"/>
    <x v="0"/>
    <x v="0"/>
    <m/>
    <m/>
    <x v="0"/>
    <m/>
    <m/>
    <d v="2015-10-02T00:00:00"/>
    <s v="10/2/2015. New Camp. Data source: CCCM team-Ko Maran"/>
    <m/>
    <n v="161"/>
    <m/>
    <n v="161"/>
    <s v=""/>
    <s v=""/>
    <s v=""/>
  </r>
  <r>
    <x v="1"/>
    <x v="0"/>
    <s v="MMR001"/>
    <s v="Puta-O"/>
    <s v="MMR001D004"/>
    <x v="20"/>
    <s v="MMR001015"/>
    <m/>
    <m/>
    <m/>
    <m/>
    <x v="204"/>
    <x v="207"/>
    <x v="161"/>
    <n v="26.548506"/>
    <m/>
    <m/>
    <n v="489"/>
    <s v="NA"/>
    <x v="0"/>
    <x v="0"/>
    <x v="0"/>
    <x v="0"/>
    <m/>
    <m/>
    <x v="0"/>
    <m/>
    <m/>
    <d v="2015-10-02T00:00:00"/>
    <s v="10/2/2015. New Camp. Data source: CCCM team-Ko Maran"/>
    <m/>
    <n v="0"/>
    <m/>
    <n v="0"/>
    <s v=""/>
    <s v=""/>
    <s v=""/>
  </r>
  <r>
    <x v="1"/>
    <x v="0"/>
    <s v="MMR001"/>
    <s v="Puta-O"/>
    <s v="MMR001D004"/>
    <x v="20"/>
    <s v="MMR001015"/>
    <s v="Sumprabum Town"/>
    <s v="MMR001015701"/>
    <m/>
    <m/>
    <x v="205"/>
    <x v="208"/>
    <x v="162"/>
    <n v="26.541930000000001"/>
    <n v="1025"/>
    <n v="5"/>
    <n v="32"/>
    <n v="6.4"/>
    <x v="0"/>
    <x v="0"/>
    <x v="0"/>
    <x v="2"/>
    <m/>
    <m/>
    <x v="0"/>
    <s v="RRD"/>
    <m/>
    <m/>
    <s v=" "/>
    <s v="P4"/>
    <n v="5"/>
    <m/>
    <n v="5"/>
    <s v="Sumprabum Town"/>
    <n v="0.23004407510846425"/>
    <n v="1"/>
  </r>
  <r>
    <x v="1"/>
    <x v="0"/>
    <s v="MMR001"/>
    <s v="Myitkyina"/>
    <s v="MMR001D001"/>
    <x v="3"/>
    <s v="MMR001002"/>
    <s v="Mading"/>
    <s v="MMR001002001"/>
    <s v="Mading/Hka Kun"/>
    <n v="165730"/>
    <x v="206"/>
    <x v="209"/>
    <x v="163"/>
    <n v="25.356632000000001"/>
    <n v="0"/>
    <n v="22"/>
    <n v="128"/>
    <n v="5.8181818181818183"/>
    <x v="0"/>
    <x v="0"/>
    <x v="0"/>
    <x v="1"/>
    <d v="2012-05-01T00:00:00"/>
    <n v="1"/>
    <x v="3"/>
    <s v="IP"/>
    <m/>
    <d v="2016-06-15T00:00:00"/>
    <s v="15/Jun/2016: Population update. Data source: monthly report by KBC_x000a_12/May/2016. Population update. Data source: KBC_x000a_28/Jan/2016. Population update. Data source: KBC (mail by maran)_x000a_2/Dec/2015 (Population update. Data source: Monthly report by KBC)._x000a_19-Aug-2015 Update population from KBC._x000a_25-Jun-2015 Update population from KBC._x000a_Population updated. Source: Shelter unit."/>
    <s v="P4"/>
    <n v="0"/>
    <m/>
    <n v="0"/>
    <s v="Waingmaw Town"/>
    <n v="1.1134935940025397"/>
    <n v="1"/>
  </r>
  <r>
    <x v="1"/>
    <x v="0"/>
    <s v="MMR001"/>
    <s v="Myitkyina"/>
    <s v="MMR001D001"/>
    <x v="3"/>
    <s v="MMR001002"/>
    <s v="Hkat Shu"/>
    <s v="MMR001002003"/>
    <s v="Hkat Shu"/>
    <n v="165735"/>
    <x v="207"/>
    <x v="210"/>
    <x v="164"/>
    <n v="25.321710740740698"/>
    <n v="0"/>
    <n v="99"/>
    <n v="480"/>
    <n v="4.8484848484848486"/>
    <x v="0"/>
    <x v="0"/>
    <x v="0"/>
    <x v="2"/>
    <d v="2011-06-01T00:00:00"/>
    <n v="2"/>
    <x v="2"/>
    <s v="IP"/>
    <m/>
    <d v="2016-06-16T00:00:00"/>
    <s v="16/Jun/2016: Population update. Data source: mail by Shalom_x000a_10 May 2016. Population update: Data source_Shalom_x000a_28/Jan/2016. Population update. Data source: KBC (mail by maran)_x000a_9/Nov/15. Population update. Data source: monthly report by HAP._x000a_19-Aug-15. Population update. Source: Shalom._x000a_25-Jun-15 Population update. Source : Shalom._x000a_Population update: Source: Camp Profile Round 2."/>
    <s v="P4"/>
    <n v="0"/>
    <m/>
    <n v="0"/>
    <s v="Waingmaw Town"/>
    <n v="5.0655036329811631"/>
    <n v="2"/>
  </r>
  <r>
    <x v="1"/>
    <x v="0"/>
    <s v="MMR001"/>
    <s v="Myitkyina"/>
    <s v="MMR001D001"/>
    <x v="3"/>
    <s v="MMR001002"/>
    <s v="Mai Na"/>
    <s v="MMR001002006"/>
    <s v="Mai Na"/>
    <n v="165740"/>
    <x v="208"/>
    <x v="211"/>
    <x v="165"/>
    <n v="25.409612685185198"/>
    <n v="0"/>
    <n v="46"/>
    <n v="192"/>
    <n v="4.1739130434782608"/>
    <x v="0"/>
    <x v="0"/>
    <x v="0"/>
    <x v="1"/>
    <d v="2011-12-01T00:00:00"/>
    <n v="1"/>
    <x v="3"/>
    <s v="IP"/>
    <m/>
    <d v="2016-06-15T00:00:00"/>
    <s v="15/Jun/2016: Population update. Data source: monthly report by KBC_x000a_12/May/2016. Population update. Data source: KBC_x000a_28/Jan/2016. Population update. Data source: KBC (mail by maran)_x000a_2/Dec/2015 (Population update. Data source: Monthly report by KBC)._x000a_19-Aug-15 Update population from KBC_x000a_25-Jun-2015 Update population. Data Source: KBC_x000a_Update population according to KBC data"/>
    <s v="P4"/>
    <n v="6"/>
    <m/>
    <n v="6"/>
    <s v="Myitkyina Town"/>
    <n v="4.3887485673235673"/>
    <n v="1"/>
  </r>
  <r>
    <x v="1"/>
    <x v="0"/>
    <s v="MMR001"/>
    <s v="Myitkyina"/>
    <s v="MMR001D001"/>
    <x v="3"/>
    <s v="MMR001002"/>
    <s v="Mai Na"/>
    <s v="MMR001002006"/>
    <s v="Mai Na"/>
    <n v="165740"/>
    <x v="209"/>
    <x v="212"/>
    <x v="166"/>
    <n v="25.4118005797101"/>
    <n v="0"/>
    <n v="396"/>
    <n v="2120"/>
    <n v="5.3535353535353538"/>
    <x v="0"/>
    <x v="0"/>
    <x v="0"/>
    <x v="2"/>
    <d v="2012-06-01T00:00:00"/>
    <n v="3"/>
    <x v="3"/>
    <s v="IP"/>
    <m/>
    <d v="2016-06-15T00:00:00"/>
    <s v="15/Jun/2016: Population update. Data source: monthly report by KBC_x000a_12/May/2016. Population update. Data source: KBC_x000a_28/Jan/2016. Population update. Data source: KBC (mail by maran)_x000a_2/Dec/2015 (Population update. Data source: Monthly report by KBC)._x000a_19-Aug-15 Update population from KBC_x000a_25-Jun-2015 Update population. Data Source: KBC_x000a_Update population according to KBC data"/>
    <s v="P4"/>
    <n v="0"/>
    <m/>
    <n v="0"/>
    <s v="Myitkyina Town"/>
    <n v="5.2238983299151851"/>
    <n v="2"/>
  </r>
  <r>
    <x v="0"/>
    <x v="0"/>
    <s v="MMR001"/>
    <s v="Bhamo"/>
    <s v="MMR001D003"/>
    <x v="2"/>
    <s v="MMR001013"/>
    <m/>
    <m/>
    <m/>
    <m/>
    <x v="210"/>
    <x v="213"/>
    <x v="6"/>
    <m/>
    <m/>
    <n v="0"/>
    <n v="0"/>
    <s v="NA"/>
    <x v="0"/>
    <x v="0"/>
    <x v="0"/>
    <x v="2"/>
    <m/>
    <m/>
    <x v="0"/>
    <s v="IP"/>
    <m/>
    <d v="2014-01-13T00:00:00"/>
    <s v="Close (Source: OCHA)"/>
    <s v=""/>
    <n v="0"/>
    <m/>
    <n v="0"/>
    <s v=""/>
    <s v=""/>
    <s v=""/>
  </r>
  <r>
    <x v="1"/>
    <x v="0"/>
    <s v="MMR001"/>
    <s v="Myitkyina"/>
    <s v="MMR001D001"/>
    <x v="3"/>
    <s v="MMR001002"/>
    <s v="Mai Na"/>
    <s v="MMR001002006"/>
    <s v="Mai Na"/>
    <n v="165740"/>
    <x v="211"/>
    <x v="214"/>
    <x v="167"/>
    <n v="25.424529444444399"/>
    <n v="0"/>
    <n v="143"/>
    <n v="800"/>
    <n v="5.5944055944055942"/>
    <x v="0"/>
    <x v="0"/>
    <x v="0"/>
    <x v="2"/>
    <d v="2013-07-01T00:00:00"/>
    <n v="1"/>
    <x v="2"/>
    <s v="IP"/>
    <m/>
    <d v="2016-06-16T00:00:00"/>
    <s v="16/Jun/2016: Population update. Data source: mail by Shalom_x000a_10 May 2016. Population update: Data source_Shalom_x000a_28/Jan/2016. Population update. Data source: KBC (mail by maran)_x000a_9/Nov/15. Population update. Data source: monthly report by HAP._x000a_19-Aug-15 Population update. Source: Shalom._x000a_25-Jun-15 Population update. Source : Shalom._x000a_Update population. Source: Camp Profile."/>
    <s v="P4"/>
    <n v="36"/>
    <m/>
    <n v="36"/>
    <s v="Myitkyina Town"/>
    <n v="5.9727739497559158"/>
    <n v="2"/>
  </r>
  <r>
    <x v="0"/>
    <x v="0"/>
    <s v="MMR001"/>
    <s v="Bhamo"/>
    <s v="MMR001D003"/>
    <x v="1"/>
    <s v="MMR001010"/>
    <m/>
    <m/>
    <m/>
    <m/>
    <x v="212"/>
    <x v="215"/>
    <x v="6"/>
    <m/>
    <m/>
    <n v="0"/>
    <n v="0"/>
    <s v="NA"/>
    <x v="0"/>
    <x v="0"/>
    <x v="0"/>
    <x v="1"/>
    <m/>
    <m/>
    <x v="0"/>
    <s v="IP"/>
    <m/>
    <d v="2014-03-04T00:00:00"/>
    <s v="Closed. Rellocated next to AD 2000 Tharthana Compound and CCCM is under AD 2000"/>
    <s v=""/>
    <n v="0"/>
    <m/>
    <n v="0"/>
    <s v=""/>
    <s v=""/>
    <s v=""/>
  </r>
  <r>
    <x v="1"/>
    <x v="0"/>
    <s v="MMR001"/>
    <s v="Myitkyina"/>
    <s v="MMR001D001"/>
    <x v="3"/>
    <s v="MMR001002"/>
    <s v="Mai Na"/>
    <s v="MMR001002006"/>
    <s v="Mai Na"/>
    <n v="165740"/>
    <x v="213"/>
    <x v="216"/>
    <x v="168"/>
    <n v="25.415667500000001"/>
    <m/>
    <n v="222"/>
    <n v="1210"/>
    <n v="5.4504504504504503"/>
    <x v="0"/>
    <x v="0"/>
    <x v="0"/>
    <x v="1"/>
    <d v="2013-06-01T00:00:00"/>
    <n v="4"/>
    <x v="4"/>
    <s v="IP"/>
    <m/>
    <d v="2016-06-16T00:00:00"/>
    <s v="16/Jun/2016. Population update. Data source: monthly report from KMSS_MYT_x000a_10/May/2016. Population Update. Data source: KMSS_x000a_28/Jan/2016. Population update. Data source: KBC (mail by maran)_x000a_2/Dec/2015 (Population update. Data source: Monthly report by KMSS_MYT). Reason for pop changes; Arrived at the camp from daily work._x000a_23-Oct-15 (Population update. Data sorce: Monthly report by KMSS-MYT). Reasion for changes; Travelling from the camp for daily worker._x000a_2-Oct-15 (Pupulation update. Data Source: KMSS-MYT) and NFI Distribution List (New arrival)_x000a_19-Aug-15 (Population update. Data Source: KMSS-MYT)_x000a_25-Jun-15 (Population update. Source: KMSS-MYT)_x000a_Population Update. Source: KMSS-MYT"/>
    <s v="P4"/>
    <n v="12"/>
    <m/>
    <n v="12"/>
    <s v="Myitkyina Town"/>
    <n v="5.7019834469756479"/>
    <n v="2"/>
  </r>
  <r>
    <x v="1"/>
    <x v="0"/>
    <s v="MMR001"/>
    <s v="Myitkyina"/>
    <s v="MMR001D001"/>
    <x v="3"/>
    <s v="MMR001002"/>
    <s v="Ma Hkan Tee"/>
    <s v="MMR001002009"/>
    <s v="Nawng Hee"/>
    <n v="165745"/>
    <x v="214"/>
    <x v="217"/>
    <x v="169"/>
    <n v="25.351965"/>
    <m/>
    <n v="18"/>
    <n v="82"/>
    <n v="4.5555555555555554"/>
    <x v="0"/>
    <x v="0"/>
    <x v="0"/>
    <x v="2"/>
    <d v="2012-05-01T00:00:00"/>
    <n v="1"/>
    <x v="2"/>
    <s v="IP"/>
    <m/>
    <d v="2016-06-16T00:00:00"/>
    <s v="16/Jun/2016: Population update. Data source: mail by Shalom_x000a_10 May 2016. Population update: Data source_Shalom_x000a_28/Jan/2016. Population update. Data source: KBC (mail by maran)_x000a_19-Aug-15 Population update. Source: Shalom._x000a_Update population. Source: Camp Profile."/>
    <s v="P4"/>
    <n v="0"/>
    <m/>
    <n v="0"/>
    <s v="Myitkyina Town"/>
    <n v="6.0275881703713861"/>
    <n v="2"/>
  </r>
  <r>
    <x v="0"/>
    <x v="0"/>
    <s v="MMR001"/>
    <s v="Mohnyin"/>
    <s v="MMR001D002"/>
    <x v="0"/>
    <s v="MMR001009"/>
    <s v="Haung Par"/>
    <s v="MMR001009004"/>
    <s v="Haung Par"/>
    <n v="166794"/>
    <x v="215"/>
    <x v="218"/>
    <x v="6"/>
    <m/>
    <m/>
    <n v="0"/>
    <n v="0"/>
    <s v="NA"/>
    <x v="0"/>
    <x v="0"/>
    <x v="0"/>
    <x v="0"/>
    <m/>
    <m/>
    <x v="0"/>
    <m/>
    <m/>
    <m/>
    <m/>
    <s v=""/>
    <n v="0"/>
    <m/>
    <n v="0"/>
    <s v=""/>
    <s v=""/>
    <s v=""/>
  </r>
  <r>
    <x v="1"/>
    <x v="0"/>
    <s v="MMR001"/>
    <s v="Myitkyina"/>
    <s v="MMR001D001"/>
    <x v="3"/>
    <s v="MMR001002"/>
    <s v="Nam Sang Yang"/>
    <s v="MMR001002024"/>
    <s v="Nam Sang Yang"/>
    <n v="165772"/>
    <x v="216"/>
    <x v="219"/>
    <x v="170"/>
    <n v="24.755253"/>
    <n v="316"/>
    <n v="1354"/>
    <n v="6602"/>
    <n v="4.875923190546529"/>
    <x v="1"/>
    <x v="0"/>
    <x v="0"/>
    <x v="1"/>
    <d v="2011-06-01T00:00:00"/>
    <n v="5"/>
    <x v="4"/>
    <s v="IRRC"/>
    <m/>
    <d v="2016-06-16T00:00:00"/>
    <s v="16/Jun/2016. Population update. Data source: monthly report from KMSS_MYT_x000a_10/May/2016. Population update. Data source:KMSS_x000a_16/Feb/2016. HH and Pop correction_x000a_28/Jan/2016. Population update. Data source: KBC (mail by maran)_x000a_2/Dec/2015 (Population update. Data source: Monthly report by KMSS_MYT). Reason for pop changes; Travelling from the camp for daily work._x000a_23-Oct-15 (Population update. Data sorce: Monthly report by KMSS-MYT). Reason for changes; Arrived from daily work._x000a_2-Oct-15 (Population update. Data Source: Monthly report by KMSS-MYT)_x000a_19-Aug-15 (Population update: Data Source: KMSS-MYT)_x000a_25-Jun-15 (Population update. Source: IRRC)_x000a_Population Update. Source: KMSS-MYT"/>
    <s v="P4"/>
    <n v="1194"/>
    <m/>
    <n v="1194"/>
    <s v="Laiza town"/>
    <n v="1.7420415164460403"/>
    <n v="1"/>
  </r>
  <r>
    <x v="1"/>
    <x v="0"/>
    <s v="MMR001"/>
    <s v="Myitkyina"/>
    <s v="MMR001D001"/>
    <x v="3"/>
    <s v="MMR001002"/>
    <s v="Sa Ma"/>
    <s v="MMR001002031"/>
    <s v="Nar Gu"/>
    <n v="165790"/>
    <x v="217"/>
    <x v="220"/>
    <x v="171"/>
    <n v="24.980250000000002"/>
    <n v="984"/>
    <n v="586"/>
    <n v="2595"/>
    <n v="4.4283276450511941"/>
    <x v="1"/>
    <x v="0"/>
    <x v="0"/>
    <x v="2"/>
    <d v="2011-06-01T00:00:00"/>
    <n v="5"/>
    <x v="4"/>
    <s v="IP"/>
    <m/>
    <d v="2016-06-16T00:00:00"/>
    <s v="16/Jun/2016. Population update. Data source: monthly report from KMSS_MYT_x000a_10/May/2016. Population update. Data source:KMSS_x000a_28/Jan/2016. Population update. Data source: KBC (mail by maran)_x000a_23-Oct-15 (Population update. Data sorce: Monthly report by KMSS-MYT). Reason for changes; Traveling from the camp for daily worker._x000a_2-Oct-15 (Population update. Data Source: Monthly Report by KMSS-MYT)_x000a_19-Aug-15 (Population update. Data source: KMSS-MYT)_x000a_25-Jun-15 (Population update. Source: KMSS-MYT)_x000a_Population Update. Source: KMSS-MYT"/>
    <s v="P2"/>
    <n v="0"/>
    <m/>
    <n v="0"/>
    <s v="Laiza town"/>
    <n v="28.888856599204185"/>
    <n v="6"/>
  </r>
  <r>
    <x v="1"/>
    <x v="0"/>
    <s v="MMR001"/>
    <s v="Myitkyina"/>
    <s v="MMR001D001"/>
    <x v="3"/>
    <s v="MMR001002"/>
    <s v="Sa Ma"/>
    <s v="MMR001002031"/>
    <s v="Par Jaung"/>
    <n v="165792"/>
    <x v="218"/>
    <x v="221"/>
    <x v="172"/>
    <n v="24.831944"/>
    <n v="2330"/>
    <n v="178"/>
    <n v="850"/>
    <n v="4.7752808988764048"/>
    <x v="1"/>
    <x v="0"/>
    <x v="0"/>
    <x v="2"/>
    <d v="2011-07-01T00:00:00"/>
    <n v="3"/>
    <x v="3"/>
    <s v="IP"/>
    <m/>
    <d v="2016-06-15T00:00:00"/>
    <s v="15/Jun/2016: Population update. Data source: monthly report by KBC_x000a_12/May/2016. Population update. Data source: KBC_x000a_28/Jan/2016. Population update. Data source: KBC (mail by maran)_x000a_2/Dec/2015. Population update. Data source: KBC_x000a_25-Jun-15 Population update. Source: KBC_x000a_Update population according to KBC data"/>
    <s v="P1"/>
    <n v="143"/>
    <m/>
    <n v="143"/>
    <s v="Laiza town"/>
    <n v="20.599512012485512"/>
    <n v="5"/>
  </r>
  <r>
    <x v="1"/>
    <x v="0"/>
    <s v="MMR001"/>
    <s v="Bhamo"/>
    <s v="MMR001D003"/>
    <x v="3"/>
    <s v="MMR001002"/>
    <s v="Hpawt Dawt"/>
    <s v="MMR001002032"/>
    <s v="Lai Zar"/>
    <n v="165816"/>
    <x v="219"/>
    <x v="222"/>
    <x v="173"/>
    <n v="24.688338999999999"/>
    <n v="314"/>
    <n v="1643"/>
    <n v="8780"/>
    <n v="5.3438831405964695"/>
    <x v="1"/>
    <x v="0"/>
    <x v="0"/>
    <x v="2"/>
    <d v="2012-06-01T00:00:00"/>
    <n v="7"/>
    <x v="4"/>
    <s v="IP"/>
    <m/>
    <d v="2016-06-16T00:00:00"/>
    <s v="16/Jun/2016. Population update. Data source: monthly report from KMSS_MYT_x000a_10/May/2016. Population update. Data source:KMSS_x000a_28/Jan/2016. Population update. Data source: KBC (mail by maran)_x000a_2/Dec/2015 (population changes. Data source; KMSS_MYT). Reason for pop changes; arrived at the camp form daily work._x000a_2-Oct-15 (Population update. Data Source: KMSS-MYT)_x000a_19-Aug-15 (Population update. Data Source: KMSS-MYT)_x000a_25-Jun-15 (Population update. KMSS-MYT)_x000a_2015-03-16 (Population moved to Hpun Lum Yang as there was no land available)_x000a_Population Update. Source: KMSS-MYT"/>
    <s v="P2"/>
    <n v="448"/>
    <m/>
    <n v="448"/>
    <s v="Laiza town"/>
    <n v="7.985347533011188"/>
    <n v="2"/>
  </r>
  <r>
    <x v="1"/>
    <x v="0"/>
    <s v="MMR001"/>
    <s v="Myitkyina"/>
    <s v="MMR001D001"/>
    <x v="3"/>
    <s v="MMR001002"/>
    <s v="Waw Shung (Kan Paik Ti Sub-township)"/>
    <s v="MMR001002035"/>
    <s v="Shan Kyaing"/>
    <n v="165845"/>
    <x v="220"/>
    <x v="223"/>
    <x v="174"/>
    <n v="25.418084"/>
    <m/>
    <n v="179"/>
    <n v="940"/>
    <n v="5.2513966480446923"/>
    <x v="0"/>
    <x v="0"/>
    <x v="0"/>
    <x v="2"/>
    <d v="2011-11-01T00:00:00"/>
    <n v="2"/>
    <x v="3"/>
    <s v="IP"/>
    <m/>
    <d v="2016-06-15T00:00:00"/>
    <s v="15/Jun/2016: Population update. Data source: monthly report by KBC_x000a_12/May/2016. Population update. Data source: KBC_x000a_28/Jan/2016. Population update. Data source: KBC (mail by maran)_x000a_25-Jun-2015 Update population. Data Source: KBC_x000a_Changed NGCA to GCA. Source: Programme Unit."/>
    <s v="P1"/>
    <n v="0"/>
    <m/>
    <n v="0"/>
    <s v="Kan Paik Ti Town"/>
    <n v="9.3609732231189877"/>
    <n v="2"/>
  </r>
  <r>
    <x v="1"/>
    <x v="0"/>
    <s v="MMR001"/>
    <s v="Myitkyina"/>
    <s v="MMR001D001"/>
    <x v="3"/>
    <s v="MMR001002"/>
    <s v="Saga Pa"/>
    <s v="MMR001002040"/>
    <s v="Saga Pa"/>
    <n v="165895"/>
    <x v="221"/>
    <x v="224"/>
    <x v="175"/>
    <n v="25.265277999999999"/>
    <n v="2764"/>
    <n v="98"/>
    <n v="554"/>
    <n v="5.6530612244897958"/>
    <x v="1"/>
    <x v="0"/>
    <x v="0"/>
    <x v="3"/>
    <d v="2011-11-01T00:00:00"/>
    <n v="2"/>
    <x v="4"/>
    <s v="IP"/>
    <m/>
    <d v="2016-06-16T00:00:00"/>
    <s v="16/Jun/2016. Population update. Data source: monthly report from KMSS_MYT_x000a_10/May/2016. Population Update. Data source: KMSS_x000a_28/Jan/2016. Population update. Data source: KBC (mail by maran)_x000a_2/Dec/2015 (Population update. Data source: Monthly report by KMSS_MYT). Reason for pop changes; Arrived at the camp and travelling from the camp for daily work._x000a_2-Oct-15 (Population update. Data source: Monthly report by KMSS-MYT)_x000a_19-Aug-15 (Population update. Data Source: KMSS-MYT)_x000a_25-Jun-15 (Population update. Source: KMSS-MYT)_x000a_Update population according to KBC data"/>
    <s v="P1"/>
    <n v="33"/>
    <m/>
    <n v="33"/>
    <s v="Sadung Town"/>
    <n v="17.035515422123492"/>
    <n v="4"/>
  </r>
  <r>
    <x v="1"/>
    <x v="0"/>
    <s v="MMR001"/>
    <s v="Myitkyina"/>
    <s v="MMR001D001"/>
    <x v="3"/>
    <s v="MMR001002"/>
    <s v="Saga Pa (Sadung Sub-township)"/>
    <s v="MMR001002040"/>
    <s v="Saga Pa"/>
    <n v="165895"/>
    <x v="222"/>
    <x v="225"/>
    <x v="176"/>
    <n v="25.220278"/>
    <n v="2404"/>
    <n v="155"/>
    <n v="665"/>
    <n v="4.290322580645161"/>
    <x v="1"/>
    <x v="0"/>
    <x v="0"/>
    <x v="3"/>
    <d v="2011-11-01T00:00:00"/>
    <n v="3"/>
    <x v="4"/>
    <s v="IP"/>
    <m/>
    <d v="2016-06-16T00:00:00"/>
    <s v="16/Jun/2016. Population update. Data source: monthly report from KMSS_MYT_x000a_10/May/2016. Population Update. Data source: KMSS_x000a_28/Jan/2016. Population update. Data source: KBC (mail by maran)_x000a_2/Dec/2015 (Population update. Data source: Monthly report by KMSS_MYT). Reason for pop changes; Arrived at the camp from daily work._x000a_23-Oct-15 (Population update. Data sorce: Monthly report by KMSS-MYT). Reason for changes; Travelling from the camp for daily worker._x000a_2-Oct-15 (Population update. Data sorce: Monthly report by KMSS-MYT)_x000a_19-Aug-15 (Population update. Data source: KMSS-MYT)_x000a_25-Jun-15 (Population update. KMSS-MYT)_x000a_Population Update. Source: KMSS-MYT"/>
    <s v="P1"/>
    <n v="0"/>
    <m/>
    <n v="0"/>
    <s v="Sadung Town"/>
    <n v="18.198335991626355"/>
    <n v="4"/>
  </r>
  <r>
    <x v="0"/>
    <x v="0"/>
    <s v="MMR001"/>
    <s v="Bhamo"/>
    <s v="MMR001D003"/>
    <x v="1"/>
    <s v="MMR001010"/>
    <s v="Han Te"/>
    <s v="MMR001010024"/>
    <m/>
    <m/>
    <x v="223"/>
    <x v="226"/>
    <x v="177"/>
    <n v="24.229189999999999"/>
    <n v="126"/>
    <n v="0"/>
    <n v="0"/>
    <s v="NA"/>
    <x v="0"/>
    <x v="0"/>
    <x v="0"/>
    <x v="1"/>
    <m/>
    <m/>
    <x v="2"/>
    <s v="IP"/>
    <m/>
    <d v="2014-09-24T00:00:00"/>
    <s v="Closed. Source: UNHCR-Bhamo. (5-Nov-2014 During the yesterday GCM meeting, it is noted from WFP that the Tharthana Ahlin Yaung New Monastery, MMR001CMP224, is closed already. Some families are still remained staying with host family and WFP is still providing them with regular food supplies.)"/>
    <s v="P4"/>
    <n v="0"/>
    <m/>
    <n v="0"/>
    <s v=""/>
    <s v=""/>
    <s v=""/>
  </r>
  <r>
    <x v="0"/>
    <x v="0"/>
    <s v="MMR001"/>
    <s v="Mohnyin"/>
    <s v="MMR001D002"/>
    <x v="0"/>
    <s v="MMR001009"/>
    <s v="Hpakan Town"/>
    <s v="MMR001009701"/>
    <s v="Myo Ma Ward"/>
    <s v="MMR001009701503"/>
    <x v="224"/>
    <x v="227"/>
    <x v="6"/>
    <m/>
    <m/>
    <n v="0"/>
    <n v="0"/>
    <s v="NA"/>
    <x v="0"/>
    <x v="0"/>
    <x v="0"/>
    <x v="0"/>
    <m/>
    <m/>
    <x v="0"/>
    <m/>
    <m/>
    <m/>
    <s v=" "/>
    <s v=""/>
    <n v="0"/>
    <m/>
    <n v="0"/>
    <s v=""/>
    <s v=""/>
    <s v=""/>
  </r>
  <r>
    <x v="0"/>
    <x v="0"/>
    <s v="MMR001"/>
    <s v="Bhamo"/>
    <s v="MMR001D003"/>
    <x v="1"/>
    <s v="MMR001010"/>
    <m/>
    <m/>
    <m/>
    <m/>
    <x v="225"/>
    <x v="228"/>
    <x v="6"/>
    <m/>
    <m/>
    <n v="0"/>
    <n v="0"/>
    <s v="NA"/>
    <x v="0"/>
    <x v="0"/>
    <x v="0"/>
    <x v="1"/>
    <m/>
    <m/>
    <x v="0"/>
    <s v="IP"/>
    <m/>
    <d v="2014-03-03T00:00:00"/>
    <s v="Closed. Rellocated to Tharthana Ahlin Yaung."/>
    <s v=""/>
    <n v="0"/>
    <m/>
    <n v="0"/>
    <s v=""/>
    <s v=""/>
    <s v=""/>
  </r>
  <r>
    <x v="1"/>
    <x v="0"/>
    <s v="MMR001"/>
    <s v="Myitkyina"/>
    <s v="MMR001D001"/>
    <x v="3"/>
    <s v="MMR001002"/>
    <s v="Nam Sang Yang"/>
    <s v="MMR001002024"/>
    <m/>
    <m/>
    <x v="226"/>
    <x v="229"/>
    <x v="178"/>
    <n v="24.752471"/>
    <m/>
    <m/>
    <n v="1047"/>
    <s v="NA"/>
    <x v="1"/>
    <x v="0"/>
    <x v="4"/>
    <x v="1"/>
    <m/>
    <m/>
    <x v="0"/>
    <s v="IRRC"/>
    <m/>
    <d v="2014-09-17T00:00:00"/>
    <s v="In 2014, this school is no longer accepting the lower grade students."/>
    <s v="P2"/>
    <n v="0"/>
    <m/>
    <n v="0"/>
    <s v="Laiza town"/>
    <n v="2.3307568207764655"/>
    <n v="1"/>
  </r>
  <r>
    <x v="1"/>
    <x v="0"/>
    <s v="MMR001"/>
    <s v="Myitkyina"/>
    <s v="MMR001D001"/>
    <x v="3"/>
    <s v="MMR001002"/>
    <s v="Hpawt Dawt"/>
    <s v="MMR001002032"/>
    <s v="Mon Gar Zut"/>
    <n v="220360"/>
    <x v="227"/>
    <x v="230"/>
    <x v="179"/>
    <n v="25.106670000000001"/>
    <n v="756"/>
    <n v="612"/>
    <n v="2806"/>
    <n v="4.5849673202614376"/>
    <x v="1"/>
    <x v="0"/>
    <x v="0"/>
    <x v="2"/>
    <d v="2011-11-01T00:00:00"/>
    <n v="3"/>
    <x v="3"/>
    <s v="IP"/>
    <m/>
    <d v="2016-06-15T00:00:00"/>
    <s v="15/Jun/2016: Population update. Data source: monthly report by KBC_x000a_12/May/2016. Population update. Data source: KBC_x000a_28/Jan/2016. Population update. Data source: KBC (mail by maran)_x000a_2/Dec/2015. Population update. Data source: KBC_x000a_25-Jun-15 Population update. Source: KBC_x000a_Update population according to KBC data"/>
    <s v="P2"/>
    <n v="0"/>
    <m/>
    <n v="0"/>
    <s v="Sadung Town"/>
    <n v="32.827754639406997"/>
    <n v="7"/>
  </r>
  <r>
    <x v="0"/>
    <x v="0"/>
    <s v="MMR001"/>
    <s v="Myitkyina"/>
    <s v="MMR001D001"/>
    <x v="3"/>
    <s v="MMR001002"/>
    <s v="Waingmaw Town"/>
    <s v="MMR001002701"/>
    <s v="No (2) Ward"/>
    <s v="MMR001002701502"/>
    <x v="228"/>
    <x v="231"/>
    <x v="180"/>
    <n v="25.355841999999999"/>
    <n v="0"/>
    <m/>
    <m/>
    <s v="NA"/>
    <x v="0"/>
    <x v="0"/>
    <x v="4"/>
    <x v="1"/>
    <d v="2011-11-01T00:00:00"/>
    <n v="1"/>
    <x v="3"/>
    <s v="IP"/>
    <m/>
    <d v="2016-03-03T00:00:00"/>
    <s v="3/Mar/2016. Closed Camp. Data source: January report from KBC._x000a_28/Jan/2016. Population update. Data source: KBC (mail by maran)_x000a_2/Dec/2015 (Population update. Data source: Monthly report by KBC)._x000a_25-Jun-2015 Update population. Data Source: KBC_x000a_Changed to Boarding School."/>
    <s v="P4"/>
    <n v="0"/>
    <m/>
    <n v="0"/>
    <s v="Waingmaw Town"/>
    <n v="0.70725493400809891"/>
    <n v="1"/>
  </r>
  <r>
    <x v="0"/>
    <x v="0"/>
    <s v="MMR001"/>
    <s v="Mohnyin"/>
    <s v="MMR001D002"/>
    <x v="0"/>
    <s v="MMR001009"/>
    <s v="Seik Mu"/>
    <s v="MMR001009003"/>
    <s v="Seik Mu"/>
    <n v="166783"/>
    <x v="229"/>
    <x v="232"/>
    <x v="181"/>
    <n v="25.57921"/>
    <n v="0"/>
    <n v="0"/>
    <n v="0"/>
    <s v="NA"/>
    <x v="0"/>
    <x v="0"/>
    <x v="0"/>
    <x v="2"/>
    <d v="2013-01-01T00:00:00"/>
    <m/>
    <x v="4"/>
    <s v="RRD"/>
    <m/>
    <d v="2014-04-07T00:00:00"/>
    <s v="Move to Nant Ma Hpit Catholic Church."/>
    <s v=""/>
    <n v="0"/>
    <m/>
    <n v="0"/>
    <s v=""/>
    <s v=""/>
    <s v=""/>
  </r>
  <r>
    <x v="1"/>
    <x v="0"/>
    <s v="MMR001"/>
    <s v="Myitkyina"/>
    <s v="MMR001D001"/>
    <x v="3"/>
    <s v="MMR001002"/>
    <s v="Waingmaw Town"/>
    <s v="MMR001002701"/>
    <s v="No (2) Ward"/>
    <s v="MMR001002701502"/>
    <x v="230"/>
    <x v="233"/>
    <x v="182"/>
    <n v="25.351724999999998"/>
    <n v="0"/>
    <n v="65"/>
    <n v="328"/>
    <n v="5.046153846153846"/>
    <x v="0"/>
    <x v="0"/>
    <x v="0"/>
    <x v="1"/>
    <d v="2011-06-01T00:00:00"/>
    <n v="2"/>
    <x v="3"/>
    <s v="IP"/>
    <m/>
    <d v="2016-06-15T00:00:00"/>
    <s v="15/Jun/2016: Population update. Data source: monthly report by KBC_x000a_12/May/2016. Population update. Data source: KBC_x000a_28/Jan/2016. Population update. Data source: KBC (mail by maran)_x000a_2/Dec/2015 (Population update. Data source: Monthly report by KBC)._x000a_19-Aug-2015 Update population from KBC._x000a_25-Jun-2015 Update population from KBC._x000a_Checked with KBC data"/>
    <s v="P4"/>
    <n v="27"/>
    <m/>
    <n v="27"/>
    <s v="Waingmaw Town"/>
    <n v="0.4474205416025816"/>
    <n v="1"/>
  </r>
  <r>
    <x v="1"/>
    <x v="0"/>
    <s v="MMR001"/>
    <s v="Myitkyina"/>
    <s v="MMR001D001"/>
    <x v="3"/>
    <s v="MMR001002"/>
    <s v="Waingmaw Town"/>
    <s v="MMR001002701"/>
    <s v="No (2) Ward"/>
    <s v="MMR001002701502"/>
    <x v="231"/>
    <x v="234"/>
    <x v="183"/>
    <n v="25.3540362037037"/>
    <n v="0"/>
    <n v="91"/>
    <n v="329"/>
    <n v="3.6153846153846154"/>
    <x v="0"/>
    <x v="0"/>
    <x v="0"/>
    <x v="1"/>
    <d v="2011-07-01T00:00:00"/>
    <n v="2"/>
    <x v="2"/>
    <s v="IP"/>
    <m/>
    <d v="2016-06-16T00:00:00"/>
    <s v="16/Jun/2016: Population update. Data source: mail by Shalom_x000a_10 May 2016. Population update: Data source_Shalom_x000a_28/Jan/2016. Population update. Data source: KBC (mail by maran)_x000a_19-Aug-15 Population update. Source: Shalom._x000a_25-Jun-15 Population update. Source : Shalom."/>
    <s v="P4"/>
    <n v="0"/>
    <m/>
    <n v="0"/>
    <s v="Waingmaw Town"/>
    <n v="0.37684287609457234"/>
    <n v="1"/>
  </r>
  <r>
    <x v="0"/>
    <x v="0"/>
    <s v="MMR001"/>
    <s v="Myitkyina"/>
    <s v="MMR001D001"/>
    <x v="4"/>
    <s v="MMR001005"/>
    <m/>
    <m/>
    <m/>
    <m/>
    <x v="232"/>
    <x v="235"/>
    <x v="6"/>
    <m/>
    <m/>
    <n v="0"/>
    <n v="0"/>
    <s v="NA"/>
    <x v="0"/>
    <x v="0"/>
    <x v="0"/>
    <x v="0"/>
    <m/>
    <m/>
    <x v="0"/>
    <m/>
    <m/>
    <m/>
    <s v=" "/>
    <s v=""/>
    <n v="0"/>
    <m/>
    <n v="0"/>
    <s v=""/>
    <s v=""/>
    <s v=""/>
  </r>
  <r>
    <x v="0"/>
    <x v="0"/>
    <s v="MMR001"/>
    <s v="Mohnyin"/>
    <s v="MMR001D002"/>
    <x v="0"/>
    <s v="MMR001009"/>
    <s v="Hpakan Town"/>
    <s v="MMR001009701"/>
    <s v="Ma Shi Ka Htaung Ward"/>
    <s v="MMR001009701505"/>
    <x v="233"/>
    <x v="236"/>
    <x v="6"/>
    <m/>
    <m/>
    <n v="0"/>
    <n v="0"/>
    <s v="NA"/>
    <x v="0"/>
    <x v="0"/>
    <x v="0"/>
    <x v="0"/>
    <m/>
    <m/>
    <x v="0"/>
    <m/>
    <m/>
    <m/>
    <s v=" "/>
    <s v=""/>
    <n v="0"/>
    <m/>
    <n v="0"/>
    <s v=""/>
    <s v=""/>
    <s v=""/>
  </r>
  <r>
    <x v="1"/>
    <x v="0"/>
    <s v="MMR001"/>
    <s v="Myitkyina"/>
    <s v="MMR001D001"/>
    <x v="3"/>
    <s v="MMR001002"/>
    <s v="Waingmaw Town"/>
    <s v="MMR001002701"/>
    <s v="No (3) Ward"/>
    <s v="MMR001002701503"/>
    <x v="234"/>
    <x v="237"/>
    <x v="184"/>
    <n v="25.345918166666699"/>
    <m/>
    <n v="31"/>
    <n v="171"/>
    <n v="5.5161290322580649"/>
    <x v="0"/>
    <x v="0"/>
    <x v="0"/>
    <x v="1"/>
    <d v="2011-06-01T00:00:00"/>
    <n v="1"/>
    <x v="2"/>
    <s v="IP"/>
    <m/>
    <d v="2016-06-16T00:00:00"/>
    <s v="16/Jun/2016: Population update. Data source: mail by Shalom_x000a_10 May 2016. Population update: Data source_Shalom_x000a_28/Jan/2016. Population update. Data source: KBC (mail by maran)_x000a_25-Jun-15 Population update. Source : Shalom._x000a_Population update: Source: Camp Profile Round 2."/>
    <s v="P4"/>
    <n v="0"/>
    <m/>
    <n v="0"/>
    <s v="Waingmaw Town"/>
    <n v="0.77827912736780092"/>
    <n v="1"/>
  </r>
  <r>
    <x v="1"/>
    <x v="0"/>
    <s v="MMR001"/>
    <s v="Myitkyina"/>
    <s v="MMR001D001"/>
    <x v="3"/>
    <s v="MMR001002"/>
    <s v="Waingmaw Town"/>
    <s v="MMR001002701"/>
    <s v="No (3) Ward"/>
    <s v="MMR001002701503"/>
    <x v="235"/>
    <x v="238"/>
    <x v="185"/>
    <n v="25.351250396825399"/>
    <n v="476"/>
    <n v="70"/>
    <n v="278"/>
    <n v="3.9714285714285715"/>
    <x v="0"/>
    <x v="0"/>
    <x v="0"/>
    <x v="1"/>
    <d v="2011-11-01T00:00:00"/>
    <n v="1"/>
    <x v="2"/>
    <s v="IP"/>
    <m/>
    <d v="2016-06-16T00:00:00"/>
    <s v="16/Jun/2016: Population update. Data source: mail by Shalom_x000a_10 May 2016. Population update: Data source_Shalom_x000a_28/Jan/2016. Population update. Data source: KBC (mail by maran)_x000a_9/Nov/15. Population update. Data source: monthly report by HAP._x000a_19-Aug-15 Population update. Source: Shalom._x000a_25-Jun-15 Population update. Source : Shalom._x000a_Population update: Source: Camp Profile Round 2."/>
    <s v="P4"/>
    <n v="15"/>
    <m/>
    <n v="15"/>
    <s v="Waingmaw Town"/>
    <n v="0.15089472113650237"/>
    <n v="1"/>
  </r>
  <r>
    <x v="1"/>
    <x v="0"/>
    <s v="MMR001"/>
    <s v="Myitkyina"/>
    <s v="MMR001D001"/>
    <x v="3"/>
    <s v="MMR001002"/>
    <s v="Waingmaw Town"/>
    <s v="MMR001002701"/>
    <s v="No (4) Ward"/>
    <s v="MMR001002701504"/>
    <x v="236"/>
    <x v="239"/>
    <x v="186"/>
    <n v="25.350809000000002"/>
    <n v="0"/>
    <n v="88"/>
    <n v="482"/>
    <n v="5.4772727272727275"/>
    <x v="0"/>
    <x v="0"/>
    <x v="0"/>
    <x v="1"/>
    <d v="2012-02-01T00:00:00"/>
    <n v="1"/>
    <x v="2"/>
    <s v="IP"/>
    <m/>
    <d v="2016-06-16T00:00:00"/>
    <s v="16/Jun/2016: Population update. Data source: mail by Shalom_x000a_10 May 2016. Population update: Data source_Shalom_x000a_28/Jan/2016. Population update. Data source: KBC (mail by maran)_x000a_9/Nov/15. Population update. Data source: monthly report by HAP._x000a_19-Aug-15 Population update. Source: Shalom._x000a_25-Jun-15 Population update. Source : Shalom._x000a_Population update: Source: Camp Profile Round 2."/>
    <s v="P4"/>
    <n v="0"/>
    <m/>
    <n v="0"/>
    <s v="Waingmaw Town"/>
    <n v="1.0367202051285227"/>
    <n v="1"/>
  </r>
  <r>
    <x v="1"/>
    <x v="0"/>
    <s v="MMR001"/>
    <s v="Myitkyina"/>
    <s v="MMR001D001"/>
    <x v="3"/>
    <s v="MMR001002"/>
    <s v="Waingmaw Town"/>
    <s v="MMR001002701"/>
    <s v="No (4) Ward"/>
    <s v="MMR001002701504"/>
    <x v="237"/>
    <x v="240"/>
    <x v="187"/>
    <n v="25.333683333333301"/>
    <m/>
    <n v="44"/>
    <n v="182"/>
    <n v="4.1363636363636367"/>
    <x v="0"/>
    <x v="0"/>
    <x v="0"/>
    <x v="1"/>
    <d v="2011-11-01T00:00:00"/>
    <n v="1"/>
    <x v="2"/>
    <s v="IP"/>
    <m/>
    <d v="2016-06-16T00:00:00"/>
    <s v="16/Jun/2016: Population update. Data source: mail by Shalom_x000a_10 May 2016. Population update: Data source_Shalom_x000a_28/Jan/2016. Population update. Data source: KBC (mail by maran)_x000a_9/Nov/15. Population update. Data source: monthly report by HAP._x000a_19-Aug-15 Population update. Source: Shalom._x000a_25-Jun-15 Population update. Source : Shalom._x000a_Population update: Source: Camp Profile Round 2."/>
    <s v="P4"/>
    <n v="0"/>
    <m/>
    <n v="0"/>
    <s v="Waingmaw Town"/>
    <n v="2.4174307716662291"/>
    <n v="1"/>
  </r>
  <r>
    <x v="0"/>
    <x v="0"/>
    <s v="MMR001"/>
    <s v="Mohnyin"/>
    <s v="MMR001D002"/>
    <x v="0"/>
    <s v="MMR001009"/>
    <s v="Hpakan Town"/>
    <s v="MMR001009701"/>
    <s v="Maw Wam Ward"/>
    <s v="MMR001009701501"/>
    <x v="238"/>
    <x v="241"/>
    <x v="188"/>
    <n v="25.615006000000001"/>
    <m/>
    <n v="0"/>
    <n v="0"/>
    <s v="NA"/>
    <x v="0"/>
    <x v="0"/>
    <x v="0"/>
    <x v="0"/>
    <m/>
    <m/>
    <x v="0"/>
    <m/>
    <m/>
    <m/>
    <s v=" "/>
    <s v=""/>
    <n v="0"/>
    <m/>
    <n v="0"/>
    <s v=""/>
    <s v=""/>
    <s v=""/>
  </r>
  <r>
    <x v="1"/>
    <x v="0"/>
    <s v="MMR001"/>
    <s v="Myitkyina"/>
    <s v="MMR001D001"/>
    <x v="3"/>
    <s v="MMR001002"/>
    <s v="Saga Pa"/>
    <s v="MMR001002040"/>
    <s v="Hkau Shau"/>
    <m/>
    <x v="239"/>
    <x v="242"/>
    <x v="189"/>
    <n v="25.200333000000001"/>
    <n v="1023"/>
    <n v="146"/>
    <n v="1072"/>
    <n v="7.3424657534246576"/>
    <x v="1"/>
    <x v="0"/>
    <x v="0"/>
    <x v="2"/>
    <d v="2011-12-01T00:00:00"/>
    <n v="3"/>
    <x v="3"/>
    <s v="IP"/>
    <m/>
    <d v="2016-06-15T00:00:00"/>
    <s v="15/Jun/2016: Population update. Data source: monthly report by KBC_x000a_12/May/2016. Population update. Data source: KBC_x000a_28/Jan/2016. Population update. Data source: KBC (mail by maran)_x000a_2/Dec/2015. Population update. Data source: KBC_x000a_25-Jun-15 Population update. Source: KBC_x000a_Update population according to KBC data"/>
    <s v="P1"/>
    <n v="46"/>
    <m/>
    <n v="46"/>
    <s v="Sadung Town"/>
    <n v="21.287604662770121"/>
    <n v="5"/>
  </r>
</pivotCacheRecords>
</file>

<file path=xl/pivotCache/pivotCacheRecords4.xml><?xml version="1.0" encoding="utf-8"?>
<pivotCacheRecords xmlns="http://schemas.openxmlformats.org/spreadsheetml/2006/main" xmlns:r="http://schemas.openxmlformats.org/officeDocument/2006/relationships" count="1189">
  <r>
    <n v="40.233333333333334"/>
    <d v="2013-02-19T00:00:00"/>
    <x v="0"/>
    <s v="UNHCR"/>
    <s v="Kachin"/>
    <s v="Hpakant"/>
    <s v="1 Ward, Sein Yadanar Company(Lon Khin)"/>
    <m/>
    <m/>
    <n v="3"/>
    <n v="7"/>
    <n v="4"/>
    <n v="7"/>
    <n v="4"/>
    <n v="4"/>
    <n v="4"/>
    <n v="4"/>
    <m/>
    <m/>
    <m/>
    <m/>
    <m/>
    <m/>
    <m/>
    <n v="0"/>
    <n v="0"/>
    <n v="0"/>
    <n v="0"/>
    <n v="0"/>
    <n v="0"/>
    <n v="0"/>
    <n v="0"/>
    <n v="0"/>
    <n v="0"/>
    <n v="0"/>
    <n v="0"/>
    <n v="0"/>
    <n v="0"/>
    <x v="0"/>
    <n v="0"/>
    <s v="MMR001CMP171"/>
    <x v="0"/>
    <x v="0"/>
    <x v="0"/>
    <s v=""/>
    <s v="No"/>
    <m/>
  </r>
  <r>
    <n v="19.600000000000001"/>
    <d v="2014-10-31T00:00:00"/>
    <x v="0"/>
    <m/>
    <s v="Kachin"/>
    <s v="Hpakant"/>
    <s v="5 Ward Baptist Church(lon Khin)"/>
    <m/>
    <m/>
    <n v="77"/>
    <n v="154"/>
    <n v="77"/>
    <n v="154"/>
    <n v="77"/>
    <m/>
    <n v="77"/>
    <n v="385"/>
    <m/>
    <m/>
    <m/>
    <m/>
    <m/>
    <m/>
    <m/>
    <n v="0"/>
    <n v="0"/>
    <n v="0"/>
    <n v="0"/>
    <n v="0"/>
    <n v="0"/>
    <n v="0"/>
    <n v="0"/>
    <n v="0"/>
    <n v="0"/>
    <n v="0"/>
    <n v="0"/>
    <n v="0"/>
    <n v="0"/>
    <x v="0"/>
    <n v="0"/>
    <s v="MMR001CMP179"/>
    <x v="0"/>
    <x v="1"/>
    <x v="1"/>
    <n v="1"/>
    <m/>
    <m/>
  </r>
  <r>
    <n v="19.8"/>
    <d v="2014-10-25T00:00:00"/>
    <x v="1"/>
    <s v="MRCS"/>
    <s v="Kachin"/>
    <s v="Hpakant"/>
    <s v="5 Ward Baptist Church(lon Khin)"/>
    <m/>
    <m/>
    <m/>
    <m/>
    <m/>
    <m/>
    <m/>
    <m/>
    <m/>
    <m/>
    <n v="229"/>
    <n v="126"/>
    <m/>
    <m/>
    <m/>
    <m/>
    <m/>
    <n v="0"/>
    <n v="0"/>
    <n v="0"/>
    <n v="0"/>
    <n v="0"/>
    <n v="0"/>
    <n v="0"/>
    <n v="0"/>
    <n v="0"/>
    <n v="0"/>
    <n v="0"/>
    <n v="0"/>
    <n v="0"/>
    <n v="0"/>
    <x v="1"/>
    <n v="0"/>
    <s v="MMR001CMP179"/>
    <x v="0"/>
    <x v="1"/>
    <x v="1"/>
    <n v="0"/>
    <m/>
    <m/>
  </r>
  <r>
    <n v="40.233333333333334"/>
    <d v="2013-02-19T00:00:00"/>
    <x v="0"/>
    <s v="UNHCR"/>
    <s v="Kachin"/>
    <s v="Hpakant"/>
    <s v="5 Ward Baptist Church(lon Khin)"/>
    <m/>
    <m/>
    <n v="18"/>
    <n v="30"/>
    <n v="17"/>
    <n v="64"/>
    <n v="17"/>
    <n v="17"/>
    <n v="17"/>
    <n v="17"/>
    <m/>
    <m/>
    <m/>
    <m/>
    <m/>
    <m/>
    <m/>
    <n v="0"/>
    <n v="0"/>
    <n v="0"/>
    <n v="0"/>
    <n v="0"/>
    <n v="0"/>
    <n v="0"/>
    <n v="0"/>
    <n v="0"/>
    <n v="0"/>
    <n v="0"/>
    <n v="0"/>
    <n v="0"/>
    <n v="0"/>
    <x v="0"/>
    <n v="0"/>
    <s v="MMR001CMP179"/>
    <x v="0"/>
    <x v="1"/>
    <x v="1"/>
    <n v="0.22077922077922077"/>
    <s v="No"/>
    <m/>
  </r>
  <r>
    <n v="40.733333333333334"/>
    <d v="2013-02-04T00:00:00"/>
    <x v="2"/>
    <s v="MRCS"/>
    <s v="Kachin"/>
    <s v="Hpakant"/>
    <s v="5 Ward Baptist Church(lon Khin)"/>
    <m/>
    <m/>
    <m/>
    <m/>
    <m/>
    <m/>
    <n v="162"/>
    <m/>
    <n v="0"/>
    <n v="0"/>
    <m/>
    <m/>
    <m/>
    <m/>
    <m/>
    <m/>
    <m/>
    <n v="0"/>
    <n v="0"/>
    <n v="0"/>
    <n v="0"/>
    <n v="0"/>
    <n v="0"/>
    <n v="0"/>
    <n v="0"/>
    <n v="0"/>
    <n v="0"/>
    <n v="0"/>
    <n v="0"/>
    <n v="0"/>
    <n v="0"/>
    <x v="0"/>
    <n v="0"/>
    <s v="MMR001CMP179"/>
    <x v="0"/>
    <x v="1"/>
    <x v="1"/>
    <n v="2.1038961038961039"/>
    <s v="No"/>
    <m/>
  </r>
  <r>
    <n v="41.9"/>
    <d v="2012-12-31T00:00:00"/>
    <x v="3"/>
    <s v="DRC"/>
    <s v="Kachin"/>
    <s v="Hpakant"/>
    <s v="5 Ward Baptist Church(lon Khin)"/>
    <n v="12"/>
    <m/>
    <m/>
    <m/>
    <m/>
    <m/>
    <m/>
    <m/>
    <n v="0"/>
    <n v="0"/>
    <m/>
    <m/>
    <m/>
    <m/>
    <m/>
    <m/>
    <m/>
    <n v="0"/>
    <n v="0"/>
    <n v="0"/>
    <n v="0"/>
    <n v="0"/>
    <n v="0"/>
    <n v="0"/>
    <n v="0"/>
    <n v="0"/>
    <n v="0"/>
    <n v="0"/>
    <n v="0"/>
    <n v="0"/>
    <n v="0"/>
    <x v="0"/>
    <n v="0"/>
    <s v="MMR001CMP179"/>
    <x v="0"/>
    <x v="1"/>
    <x v="1"/>
    <n v="0"/>
    <s v="No"/>
    <m/>
  </r>
  <r>
    <n v="53.666666666666664"/>
    <d v="2012-01-13T00:00:00"/>
    <x v="0"/>
    <s v="KBC"/>
    <s v="Kachin"/>
    <s v="Hpakant"/>
    <s v="5 Ward Baptist Church(lon Khin)"/>
    <m/>
    <m/>
    <m/>
    <n v="52"/>
    <n v="26"/>
    <n v="36"/>
    <n v="0"/>
    <n v="26"/>
    <n v="26"/>
    <n v="26"/>
    <m/>
    <m/>
    <m/>
    <m/>
    <m/>
    <m/>
    <m/>
    <n v="0"/>
    <n v="0"/>
    <n v="0"/>
    <n v="0"/>
    <n v="0"/>
    <n v="0"/>
    <n v="0"/>
    <n v="0"/>
    <n v="0"/>
    <n v="0"/>
    <n v="0"/>
    <n v="0"/>
    <n v="0"/>
    <n v="0"/>
    <x v="0"/>
    <n v="0"/>
    <s v="MMR001CMP179"/>
    <x v="0"/>
    <x v="1"/>
    <x v="1"/>
    <n v="0"/>
    <s v="No"/>
    <m/>
  </r>
  <r>
    <n v="53.666666666666664"/>
    <d v="2012-01-13T00:00:00"/>
    <x v="0"/>
    <s v="KBC"/>
    <s v="Kachin"/>
    <s v="Hpakant"/>
    <s v="5 Ward Baptist Church(lon Khin)"/>
    <m/>
    <m/>
    <m/>
    <n v="120"/>
    <n v="60"/>
    <n v="60"/>
    <n v="0"/>
    <n v="60"/>
    <n v="60"/>
    <n v="60"/>
    <m/>
    <m/>
    <m/>
    <m/>
    <m/>
    <m/>
    <m/>
    <n v="0"/>
    <n v="0"/>
    <n v="0"/>
    <n v="0"/>
    <n v="0"/>
    <n v="0"/>
    <n v="0"/>
    <n v="0"/>
    <n v="0"/>
    <n v="0"/>
    <n v="0"/>
    <n v="0"/>
    <n v="0"/>
    <n v="0"/>
    <x v="0"/>
    <n v="0"/>
    <s v="MMR001CMP179"/>
    <x v="0"/>
    <x v="1"/>
    <x v="1"/>
    <n v="0"/>
    <s v="No"/>
    <m/>
  </r>
  <r>
    <n v="53.666666666666664"/>
    <d v="2012-01-13T00:00:00"/>
    <x v="0"/>
    <s v="KBC"/>
    <s v="Kachin"/>
    <s v="Hpakant"/>
    <s v="5 Ward Baptist Church(lon Khin)"/>
    <m/>
    <m/>
    <m/>
    <n v="148"/>
    <n v="74"/>
    <n v="74"/>
    <n v="0"/>
    <n v="74"/>
    <n v="74"/>
    <n v="74"/>
    <m/>
    <m/>
    <m/>
    <m/>
    <m/>
    <m/>
    <m/>
    <n v="0"/>
    <n v="0"/>
    <n v="0"/>
    <n v="0"/>
    <n v="0"/>
    <n v="0"/>
    <n v="0"/>
    <n v="0"/>
    <n v="0"/>
    <n v="0"/>
    <n v="0"/>
    <n v="0"/>
    <n v="0"/>
    <n v="0"/>
    <x v="0"/>
    <n v="0"/>
    <s v="MMR001CMP179"/>
    <x v="0"/>
    <x v="1"/>
    <x v="1"/>
    <n v="0"/>
    <s v="No"/>
    <m/>
  </r>
  <r>
    <n v="16.7"/>
    <d v="2015-01-26T00:00:00"/>
    <x v="0"/>
    <s v="KBC"/>
    <s v="Kachin"/>
    <s v="Hpakant"/>
    <s v="5 Ward RC Church(lon Khin)"/>
    <m/>
    <n v="100"/>
    <m/>
    <n v="200"/>
    <n v="200"/>
    <n v="200"/>
    <n v="100"/>
    <m/>
    <n v="100"/>
    <n v="500"/>
    <m/>
    <m/>
    <m/>
    <m/>
    <n v="100"/>
    <m/>
    <m/>
    <n v="0"/>
    <n v="0"/>
    <n v="0"/>
    <n v="0"/>
    <n v="0"/>
    <n v="0"/>
    <n v="0"/>
    <n v="0"/>
    <n v="0"/>
    <n v="0"/>
    <n v="0"/>
    <n v="0"/>
    <n v="0"/>
    <n v="0"/>
    <x v="0"/>
    <n v="0"/>
    <s v="MMR001CMP168"/>
    <x v="0"/>
    <x v="1"/>
    <x v="1"/>
    <n v="1.5151515151515151"/>
    <s v="No"/>
    <s v="Updated on 11/Nov/2015. Added jerry can data. Data source: mail by Win Aung Htun"/>
  </r>
  <r>
    <n v="19.600000000000001"/>
    <d v="2014-10-31T00:00:00"/>
    <x v="0"/>
    <m/>
    <s v="Kachin"/>
    <s v="Hpakant"/>
    <s v="5 Ward RC Church(lon Khin)"/>
    <m/>
    <m/>
    <n v="59"/>
    <n v="118"/>
    <n v="59"/>
    <n v="118"/>
    <n v="59"/>
    <m/>
    <n v="59"/>
    <n v="295"/>
    <m/>
    <m/>
    <m/>
    <m/>
    <m/>
    <m/>
    <m/>
    <n v="0"/>
    <n v="0"/>
    <n v="0"/>
    <n v="0"/>
    <n v="0"/>
    <n v="0"/>
    <n v="0"/>
    <n v="0"/>
    <n v="0"/>
    <n v="0"/>
    <n v="0"/>
    <n v="0"/>
    <n v="0"/>
    <n v="0"/>
    <x v="0"/>
    <n v="0"/>
    <s v="MMR001CMP168"/>
    <x v="0"/>
    <x v="1"/>
    <x v="1"/>
    <n v="0.89393939393939392"/>
    <m/>
    <m/>
  </r>
  <r>
    <n v="19.8"/>
    <d v="2014-10-25T00:00:00"/>
    <x v="1"/>
    <s v="MRCS"/>
    <s v="Kachin"/>
    <s v="Hpakant"/>
    <s v="5 Ward RC Church(lon Khin)"/>
    <m/>
    <m/>
    <m/>
    <m/>
    <m/>
    <m/>
    <m/>
    <m/>
    <m/>
    <m/>
    <n v="223"/>
    <n v="96"/>
    <m/>
    <m/>
    <m/>
    <m/>
    <m/>
    <n v="0"/>
    <n v="0"/>
    <n v="0"/>
    <n v="0"/>
    <n v="0"/>
    <n v="0"/>
    <n v="0"/>
    <n v="0"/>
    <n v="0"/>
    <n v="0"/>
    <n v="0"/>
    <n v="0"/>
    <n v="0"/>
    <n v="0"/>
    <x v="1"/>
    <n v="0"/>
    <s v="MMR001CMP168"/>
    <x v="0"/>
    <x v="1"/>
    <x v="1"/>
    <n v="0"/>
    <m/>
    <m/>
  </r>
  <r>
    <n v="20.6"/>
    <d v="2014-10-01T00:00:00"/>
    <x v="0"/>
    <s v="KMSS"/>
    <s v="Kachin"/>
    <s v="Hpakant"/>
    <s v="5 Ward RC Church(lon Khin)"/>
    <m/>
    <m/>
    <m/>
    <n v="156"/>
    <m/>
    <m/>
    <m/>
    <m/>
    <m/>
    <m/>
    <m/>
    <m/>
    <m/>
    <m/>
    <m/>
    <m/>
    <m/>
    <n v="0"/>
    <n v="0"/>
    <n v="0"/>
    <n v="0"/>
    <n v="0"/>
    <n v="0"/>
    <n v="0"/>
    <n v="0"/>
    <n v="0"/>
    <n v="0"/>
    <n v="0"/>
    <n v="0"/>
    <n v="0"/>
    <n v="0"/>
    <x v="0"/>
    <n v="0"/>
    <s v="MMR001CMP168"/>
    <x v="0"/>
    <x v="1"/>
    <x v="1"/>
    <n v="0"/>
    <m/>
    <m/>
  </r>
  <r>
    <n v="40.733333333333334"/>
    <d v="2013-02-04T00:00:00"/>
    <x v="2"/>
    <s v="MRCS"/>
    <s v="Kachin"/>
    <s v="Hpakant"/>
    <s v="5 Ward RC Church(lon Khin)"/>
    <m/>
    <m/>
    <m/>
    <m/>
    <m/>
    <m/>
    <n v="117"/>
    <m/>
    <n v="0"/>
    <n v="0"/>
    <m/>
    <m/>
    <m/>
    <m/>
    <m/>
    <m/>
    <m/>
    <n v="0"/>
    <n v="0"/>
    <n v="0"/>
    <n v="0"/>
    <n v="0"/>
    <n v="0"/>
    <n v="0"/>
    <n v="0"/>
    <n v="0"/>
    <n v="0"/>
    <n v="0"/>
    <n v="0"/>
    <n v="0"/>
    <n v="0"/>
    <x v="0"/>
    <n v="0"/>
    <s v="MMR001CMP168"/>
    <x v="0"/>
    <x v="1"/>
    <x v="1"/>
    <n v="1.7727272727272727"/>
    <s v="No"/>
    <m/>
  </r>
  <r>
    <n v="41.9"/>
    <d v="2012-12-31T00:00:00"/>
    <x v="3"/>
    <s v="DRC"/>
    <s v="Kachin"/>
    <s v="Hpakant"/>
    <s v="5 Ward RC Church(lon Khin)"/>
    <n v="19"/>
    <m/>
    <m/>
    <m/>
    <m/>
    <m/>
    <m/>
    <m/>
    <n v="0"/>
    <n v="0"/>
    <m/>
    <m/>
    <m/>
    <m/>
    <m/>
    <m/>
    <m/>
    <n v="0"/>
    <n v="0"/>
    <n v="0"/>
    <n v="0"/>
    <n v="0"/>
    <n v="0"/>
    <n v="0"/>
    <n v="0"/>
    <n v="0"/>
    <n v="0"/>
    <n v="0"/>
    <n v="0"/>
    <n v="0"/>
    <n v="0"/>
    <x v="0"/>
    <n v="0"/>
    <s v="MMR001CMP168"/>
    <x v="0"/>
    <x v="1"/>
    <x v="1"/>
    <n v="0"/>
    <s v="No"/>
    <m/>
  </r>
  <r>
    <n v="25.233333333333334"/>
    <d v="2014-05-15T00:00:00"/>
    <x v="0"/>
    <s v="UNHCR"/>
    <s v="Kachin"/>
    <s v="Bhamo"/>
    <s v="AD-2000 Tharthana Compound"/>
    <m/>
    <m/>
    <m/>
    <n v="10"/>
    <n v="4"/>
    <n v="12"/>
    <n v="4"/>
    <n v="4"/>
    <n v="4"/>
    <n v="12"/>
    <m/>
    <m/>
    <m/>
    <m/>
    <m/>
    <m/>
    <m/>
    <n v="0"/>
    <n v="0"/>
    <n v="0"/>
    <n v="0"/>
    <n v="0"/>
    <n v="0"/>
    <n v="0"/>
    <n v="0"/>
    <n v="0"/>
    <n v="0"/>
    <n v="0"/>
    <n v="0"/>
    <n v="0"/>
    <n v="0"/>
    <x v="0"/>
    <n v="0"/>
    <s v="MMR001CMP050"/>
    <x v="0"/>
    <x v="1"/>
    <x v="1"/>
    <n v="1.4598540145985401E-2"/>
    <s v="No"/>
    <m/>
  </r>
  <r>
    <n v="25.266666666666666"/>
    <d v="2014-05-14T00:00:00"/>
    <x v="0"/>
    <s v="UNHCR"/>
    <s v="Kachin"/>
    <s v="Bhamo"/>
    <s v="AD-2000 Tharthana Compound"/>
    <m/>
    <m/>
    <n v="11"/>
    <n v="12"/>
    <n v="4"/>
    <n v="12"/>
    <n v="4"/>
    <n v="4"/>
    <n v="4"/>
    <n v="15"/>
    <m/>
    <m/>
    <m/>
    <m/>
    <m/>
    <m/>
    <m/>
    <n v="0"/>
    <n v="0"/>
    <n v="0"/>
    <n v="0"/>
    <n v="0"/>
    <n v="0"/>
    <n v="0"/>
    <n v="0"/>
    <n v="0"/>
    <n v="0"/>
    <n v="0"/>
    <n v="0"/>
    <n v="0"/>
    <n v="0"/>
    <x v="0"/>
    <n v="0"/>
    <s v="MMR001CMP050"/>
    <x v="0"/>
    <x v="1"/>
    <x v="1"/>
    <n v="1.4598540145985401E-2"/>
    <s v="No"/>
    <m/>
  </r>
  <r>
    <n v="26.033333333333335"/>
    <d v="2014-04-21T00:00:00"/>
    <x v="0"/>
    <s v="UNHCR"/>
    <s v="Kachin"/>
    <s v="Bhamo"/>
    <s v="AD-2000 Tharthana Compound"/>
    <m/>
    <m/>
    <n v="5"/>
    <n v="6"/>
    <n v="2"/>
    <n v="6"/>
    <n v="2"/>
    <n v="2"/>
    <n v="2"/>
    <n v="6"/>
    <m/>
    <m/>
    <m/>
    <m/>
    <m/>
    <m/>
    <m/>
    <n v="0"/>
    <n v="0"/>
    <n v="0"/>
    <n v="0"/>
    <n v="0"/>
    <n v="0"/>
    <n v="0"/>
    <n v="0"/>
    <n v="0"/>
    <n v="0"/>
    <n v="0"/>
    <n v="0"/>
    <n v="0"/>
    <n v="0"/>
    <x v="0"/>
    <n v="0"/>
    <s v="MMR001CMP050"/>
    <x v="0"/>
    <x v="1"/>
    <x v="1"/>
    <n v="7.2992700729927005E-3"/>
    <s v="No"/>
    <m/>
  </r>
  <r>
    <n v="30"/>
    <d v="2013-12-23T00:00:00"/>
    <x v="0"/>
    <s v="UNHCR"/>
    <s v="Kachin"/>
    <s v="Bhamo"/>
    <s v="AD-2000 Tharthana Compound"/>
    <m/>
    <m/>
    <n v="10"/>
    <n v="10"/>
    <n v="7"/>
    <n v="10"/>
    <n v="7"/>
    <n v="7"/>
    <m/>
    <m/>
    <m/>
    <m/>
    <m/>
    <m/>
    <m/>
    <m/>
    <m/>
    <n v="0"/>
    <n v="0"/>
    <n v="0"/>
    <n v="0"/>
    <n v="0"/>
    <n v="0"/>
    <n v="0"/>
    <n v="0"/>
    <n v="0"/>
    <n v="0"/>
    <n v="0"/>
    <n v="0"/>
    <n v="0"/>
    <n v="0"/>
    <x v="0"/>
    <n v="0"/>
    <s v="MMR001CMP050"/>
    <x v="0"/>
    <x v="1"/>
    <x v="1"/>
    <n v="2.5547445255474453E-2"/>
    <s v="No"/>
    <m/>
  </r>
  <r>
    <n v="30.766666666666666"/>
    <d v="2013-11-30T00:00:00"/>
    <x v="4"/>
    <s v="MDCG"/>
    <s v="Kachin"/>
    <s v="Bhamo"/>
    <s v="AD-2000 Tharthana Compound"/>
    <m/>
    <m/>
    <m/>
    <m/>
    <m/>
    <n v="104"/>
    <m/>
    <m/>
    <m/>
    <m/>
    <n v="146"/>
    <n v="39"/>
    <n v="0"/>
    <m/>
    <m/>
    <m/>
    <m/>
    <n v="0"/>
    <n v="0"/>
    <n v="0"/>
    <n v="0"/>
    <n v="0"/>
    <n v="0"/>
    <n v="0"/>
    <n v="0"/>
    <n v="0"/>
    <n v="0"/>
    <n v="0"/>
    <n v="0"/>
    <n v="0"/>
    <n v="0"/>
    <x v="1"/>
    <n v="0"/>
    <s v="MMR001CMP050"/>
    <x v="0"/>
    <x v="1"/>
    <x v="1"/>
    <n v="0"/>
    <s v="No"/>
    <m/>
  </r>
  <r>
    <n v="30.766666666666666"/>
    <d v="2013-11-30T00:00:00"/>
    <x v="5"/>
    <m/>
    <s v="Kachin"/>
    <s v="Bhamo"/>
    <s v="AD-2000 Tharthana Compound"/>
    <m/>
    <m/>
    <m/>
    <m/>
    <m/>
    <m/>
    <m/>
    <m/>
    <m/>
    <n v="660"/>
    <m/>
    <m/>
    <m/>
    <m/>
    <m/>
    <m/>
    <m/>
    <n v="0"/>
    <n v="0"/>
    <n v="0"/>
    <n v="0"/>
    <n v="0"/>
    <n v="0"/>
    <n v="0"/>
    <n v="0"/>
    <n v="0"/>
    <n v="0"/>
    <n v="0"/>
    <n v="0"/>
    <n v="0"/>
    <n v="0"/>
    <x v="0"/>
    <n v="0"/>
    <s v="MMR001CMP050"/>
    <x v="0"/>
    <x v="1"/>
    <x v="1"/>
    <n v="0"/>
    <s v="No"/>
    <m/>
  </r>
  <r>
    <n v="30.766666666666666"/>
    <d v="2013-11-30T00:00:00"/>
    <x v="0"/>
    <s v="UNHCR"/>
    <s v="Kachin"/>
    <s v="Bhamo"/>
    <s v="AD-2000 Tharthana Compound"/>
    <m/>
    <m/>
    <m/>
    <n v="6"/>
    <n v="6"/>
    <n v="6"/>
    <n v="6"/>
    <n v="6"/>
    <m/>
    <m/>
    <m/>
    <m/>
    <m/>
    <m/>
    <m/>
    <m/>
    <m/>
    <n v="0"/>
    <n v="0"/>
    <n v="0"/>
    <n v="0"/>
    <n v="0"/>
    <n v="0"/>
    <n v="0"/>
    <n v="0"/>
    <n v="0"/>
    <n v="0"/>
    <n v="0"/>
    <n v="0"/>
    <n v="0"/>
    <n v="0"/>
    <x v="0"/>
    <n v="0"/>
    <s v="MMR001CMP050"/>
    <x v="0"/>
    <x v="1"/>
    <x v="1"/>
    <n v="2.1897810218978103E-2"/>
    <s v="No"/>
    <m/>
  </r>
  <r>
    <n v="31.666666666666668"/>
    <d v="2013-11-03T00:00:00"/>
    <x v="2"/>
    <s v="MRCS"/>
    <s v="Kachin"/>
    <s v="Bhamo"/>
    <s v="AD-2000 Tharthana Compound"/>
    <m/>
    <m/>
    <n v="21"/>
    <m/>
    <m/>
    <m/>
    <n v="21"/>
    <m/>
    <m/>
    <m/>
    <m/>
    <m/>
    <m/>
    <m/>
    <m/>
    <m/>
    <m/>
    <n v="0"/>
    <n v="0"/>
    <n v="0"/>
    <n v="0"/>
    <n v="0"/>
    <n v="0"/>
    <n v="0"/>
    <n v="0"/>
    <n v="0"/>
    <n v="0"/>
    <n v="0"/>
    <n v="0"/>
    <n v="0"/>
    <n v="0"/>
    <x v="0"/>
    <n v="0"/>
    <s v="MMR001CMP050"/>
    <x v="0"/>
    <x v="1"/>
    <x v="1"/>
    <n v="7.6642335766423361E-2"/>
    <s v="No"/>
    <m/>
  </r>
  <r>
    <n v="31.8"/>
    <d v="2013-10-30T00:00:00"/>
    <x v="0"/>
    <s v="UNHCR"/>
    <s v="Kachin"/>
    <s v="Bhamo"/>
    <s v="AD-2000 Tharthana Compound"/>
    <m/>
    <m/>
    <n v="22"/>
    <n v="40"/>
    <n v="21"/>
    <n v="40"/>
    <n v="21"/>
    <n v="21"/>
    <n v="21"/>
    <n v="21"/>
    <m/>
    <m/>
    <m/>
    <m/>
    <m/>
    <m/>
    <m/>
    <n v="0"/>
    <n v="0"/>
    <n v="0"/>
    <n v="0"/>
    <n v="0"/>
    <n v="0"/>
    <n v="0"/>
    <n v="0"/>
    <n v="0"/>
    <n v="0"/>
    <n v="0"/>
    <n v="0"/>
    <n v="0"/>
    <n v="0"/>
    <x v="0"/>
    <n v="0"/>
    <s v="MMR001CMP050"/>
    <x v="0"/>
    <x v="1"/>
    <x v="1"/>
    <n v="7.6642335766423361E-2"/>
    <s v="No"/>
    <m/>
  </r>
  <r>
    <n v="41.43333333333333"/>
    <d v="2013-01-14T00:00:00"/>
    <x v="5"/>
    <s v="Solidarities"/>
    <s v="Kachin"/>
    <s v="Bhamo"/>
    <s v="AD-2000 Tharthana Compound"/>
    <n v="940"/>
    <m/>
    <n v="1310"/>
    <m/>
    <m/>
    <m/>
    <m/>
    <m/>
    <n v="0"/>
    <n v="0"/>
    <m/>
    <m/>
    <m/>
    <m/>
    <m/>
    <m/>
    <m/>
    <n v="0"/>
    <n v="0"/>
    <n v="0"/>
    <n v="0"/>
    <n v="0"/>
    <n v="0"/>
    <n v="0"/>
    <n v="0"/>
    <n v="0"/>
    <n v="0"/>
    <n v="0"/>
    <n v="0"/>
    <n v="0"/>
    <n v="0"/>
    <x v="0"/>
    <n v="0"/>
    <s v="MMR001CMP050"/>
    <x v="0"/>
    <x v="1"/>
    <x v="1"/>
    <n v="0"/>
    <s v="No"/>
    <m/>
  </r>
  <r>
    <n v="49.366666666666667"/>
    <d v="2012-05-21T00:00:00"/>
    <x v="0"/>
    <s v="UNHCR"/>
    <s v="Kachin"/>
    <s v="Bhamo"/>
    <s v="AD-2000 Tharthana Compound"/>
    <m/>
    <m/>
    <m/>
    <n v="0"/>
    <n v="15"/>
    <n v="0"/>
    <n v="0"/>
    <n v="0"/>
    <m/>
    <m/>
    <m/>
    <m/>
    <m/>
    <m/>
    <m/>
    <m/>
    <m/>
    <n v="0"/>
    <n v="0"/>
    <n v="0"/>
    <n v="0"/>
    <n v="0"/>
    <n v="0"/>
    <n v="0"/>
    <n v="0"/>
    <n v="0"/>
    <n v="0"/>
    <n v="0"/>
    <n v="0"/>
    <n v="0"/>
    <n v="0"/>
    <x v="0"/>
    <n v="0"/>
    <s v="MMR001CMP050"/>
    <x v="0"/>
    <x v="1"/>
    <x v="1"/>
    <n v="0"/>
    <s v="No"/>
    <m/>
  </r>
  <r>
    <n v="49.56666666666667"/>
    <d v="2012-05-15T00:00:00"/>
    <x v="0"/>
    <s v="KBSS"/>
    <s v="Kachin"/>
    <s v="Bhamo"/>
    <s v="AD-2000 Tharthana Compound"/>
    <m/>
    <m/>
    <m/>
    <n v="90"/>
    <n v="0"/>
    <n v="0"/>
    <n v="0"/>
    <n v="0"/>
    <m/>
    <m/>
    <m/>
    <m/>
    <m/>
    <m/>
    <m/>
    <m/>
    <m/>
    <n v="0"/>
    <n v="0"/>
    <n v="0"/>
    <n v="0"/>
    <n v="0"/>
    <n v="0"/>
    <n v="0"/>
    <n v="0"/>
    <n v="0"/>
    <n v="0"/>
    <n v="0"/>
    <n v="0"/>
    <n v="0"/>
    <n v="0"/>
    <x v="0"/>
    <n v="0"/>
    <s v="MMR001CMP050"/>
    <x v="0"/>
    <x v="1"/>
    <x v="1"/>
    <n v="0"/>
    <s v="No"/>
    <m/>
  </r>
  <r>
    <n v="51.2"/>
    <d v="2012-03-27T00:00:00"/>
    <x v="0"/>
    <s v="UNHCR"/>
    <s v="Kachin"/>
    <s v="Bhamo"/>
    <s v="AD-2000 Tharthana Compound"/>
    <m/>
    <m/>
    <m/>
    <n v="560"/>
    <n v="280"/>
    <n v="560"/>
    <n v="280"/>
    <n v="280"/>
    <n v="280"/>
    <n v="280"/>
    <m/>
    <m/>
    <m/>
    <m/>
    <m/>
    <m/>
    <m/>
    <n v="0"/>
    <n v="0"/>
    <n v="0"/>
    <n v="0"/>
    <n v="0"/>
    <n v="0"/>
    <n v="0"/>
    <n v="0"/>
    <n v="0"/>
    <n v="0"/>
    <n v="0"/>
    <n v="0"/>
    <n v="0"/>
    <n v="0"/>
    <x v="0"/>
    <n v="0"/>
    <s v="MMR001CMP050"/>
    <x v="0"/>
    <x v="1"/>
    <x v="1"/>
    <n v="1.0218978102189782"/>
    <s v="No"/>
    <m/>
  </r>
  <r>
    <n v="19.600000000000001"/>
    <d v="2014-10-31T00:00:00"/>
    <x v="0"/>
    <m/>
    <s v="Kachin"/>
    <s v="Hpakant"/>
    <s v="AG Church, Hmaw Si Sa"/>
    <m/>
    <m/>
    <n v="67"/>
    <n v="134"/>
    <n v="67"/>
    <n v="134"/>
    <n v="67"/>
    <m/>
    <n v="67"/>
    <n v="335"/>
    <m/>
    <m/>
    <m/>
    <m/>
    <m/>
    <m/>
    <m/>
    <n v="0"/>
    <n v="0"/>
    <n v="0"/>
    <n v="0"/>
    <n v="0"/>
    <n v="0"/>
    <n v="0"/>
    <n v="0"/>
    <n v="0"/>
    <n v="0"/>
    <n v="0"/>
    <n v="0"/>
    <n v="0"/>
    <n v="0"/>
    <x v="0"/>
    <n v="0"/>
    <s v="MMR001CMP176"/>
    <x v="0"/>
    <x v="1"/>
    <x v="1"/>
    <n v="1"/>
    <m/>
    <m/>
  </r>
  <r>
    <n v="19.8"/>
    <d v="2014-10-25T00:00:00"/>
    <x v="1"/>
    <s v="MRCS"/>
    <s v="Kachin"/>
    <s v="Hpakant"/>
    <s v="AG Church, Hmaw Si Sa"/>
    <m/>
    <m/>
    <m/>
    <m/>
    <m/>
    <m/>
    <m/>
    <m/>
    <m/>
    <m/>
    <n v="232"/>
    <n v="105"/>
    <m/>
    <m/>
    <m/>
    <m/>
    <m/>
    <n v="0"/>
    <n v="0"/>
    <n v="0"/>
    <n v="0"/>
    <n v="0"/>
    <n v="0"/>
    <n v="0"/>
    <n v="0"/>
    <n v="0"/>
    <n v="0"/>
    <n v="0"/>
    <n v="0"/>
    <n v="0"/>
    <n v="0"/>
    <x v="1"/>
    <n v="0"/>
    <s v="MMR001CMP176"/>
    <x v="0"/>
    <x v="1"/>
    <x v="1"/>
    <n v="0"/>
    <m/>
    <m/>
  </r>
  <r>
    <n v="20.6"/>
    <d v="2014-10-01T00:00:00"/>
    <x v="0"/>
    <s v="Shalom"/>
    <s v="Kachin"/>
    <s v="Hpakant"/>
    <s v="AG Church, Hmaw Si Sa"/>
    <m/>
    <m/>
    <m/>
    <n v="130"/>
    <m/>
    <m/>
    <m/>
    <m/>
    <m/>
    <m/>
    <m/>
    <m/>
    <m/>
    <m/>
    <m/>
    <m/>
    <m/>
    <n v="0"/>
    <n v="0"/>
    <n v="0"/>
    <n v="0"/>
    <n v="0"/>
    <n v="0"/>
    <n v="0"/>
    <n v="0"/>
    <n v="0"/>
    <n v="0"/>
    <n v="0"/>
    <n v="0"/>
    <n v="0"/>
    <n v="0"/>
    <x v="0"/>
    <n v="0"/>
    <s v="MMR001CMP176"/>
    <x v="0"/>
    <x v="1"/>
    <x v="1"/>
    <n v="0"/>
    <m/>
    <m/>
  </r>
  <r>
    <n v="41.9"/>
    <d v="2012-12-31T00:00:00"/>
    <x v="3"/>
    <s v="DRC"/>
    <s v="Kachin"/>
    <s v="Hpakant"/>
    <s v="AG Church, Hmaw Si Sa"/>
    <n v="7"/>
    <m/>
    <m/>
    <m/>
    <m/>
    <m/>
    <m/>
    <m/>
    <n v="0"/>
    <n v="0"/>
    <m/>
    <m/>
    <m/>
    <m/>
    <m/>
    <m/>
    <m/>
    <n v="0"/>
    <n v="0"/>
    <n v="0"/>
    <n v="0"/>
    <n v="0"/>
    <n v="0"/>
    <n v="0"/>
    <n v="0"/>
    <n v="0"/>
    <n v="0"/>
    <n v="0"/>
    <n v="0"/>
    <n v="0"/>
    <n v="0"/>
    <x v="0"/>
    <n v="0"/>
    <s v="MMR001CMP176"/>
    <x v="0"/>
    <x v="1"/>
    <x v="1"/>
    <n v="0"/>
    <s v="No"/>
    <m/>
  </r>
  <r>
    <n v="19.600000000000001"/>
    <d v="2014-10-31T00:00:00"/>
    <x v="0"/>
    <m/>
    <s v="Kachin"/>
    <s v="Hpakant"/>
    <s v="AG Church, Maw Wan"/>
    <m/>
    <m/>
    <n v="14"/>
    <n v="28"/>
    <n v="14"/>
    <n v="28"/>
    <n v="14"/>
    <m/>
    <n v="14"/>
    <n v="70"/>
    <m/>
    <m/>
    <m/>
    <m/>
    <m/>
    <m/>
    <m/>
    <n v="0"/>
    <n v="0"/>
    <n v="0"/>
    <n v="0"/>
    <n v="0"/>
    <n v="0"/>
    <n v="0"/>
    <n v="0"/>
    <n v="0"/>
    <n v="0"/>
    <n v="0"/>
    <n v="0"/>
    <n v="0"/>
    <n v="0"/>
    <x v="0"/>
    <n v="0"/>
    <s v="MMR001CMP190"/>
    <x v="0"/>
    <x v="1"/>
    <x v="1"/>
    <n v="1"/>
    <m/>
    <m/>
  </r>
  <r>
    <n v="19.8"/>
    <d v="2014-10-25T00:00:00"/>
    <x v="1"/>
    <s v="MRCS"/>
    <s v="Kachin"/>
    <s v="Hpakant"/>
    <s v="AG Church, Maw Wan"/>
    <m/>
    <m/>
    <m/>
    <m/>
    <m/>
    <m/>
    <m/>
    <m/>
    <m/>
    <m/>
    <n v="55"/>
    <n v="27"/>
    <m/>
    <m/>
    <m/>
    <m/>
    <m/>
    <n v="0"/>
    <n v="0"/>
    <n v="0"/>
    <n v="0"/>
    <n v="0"/>
    <n v="0"/>
    <n v="0"/>
    <n v="0"/>
    <n v="0"/>
    <n v="0"/>
    <n v="0"/>
    <n v="0"/>
    <n v="0"/>
    <n v="0"/>
    <x v="1"/>
    <n v="0"/>
    <s v="MMR001CMP190"/>
    <x v="0"/>
    <x v="1"/>
    <x v="1"/>
    <n v="0"/>
    <m/>
    <m/>
  </r>
  <r>
    <n v="20.6"/>
    <d v="2014-10-01T00:00:00"/>
    <x v="0"/>
    <s v="Shalom"/>
    <s v="Kachin"/>
    <s v="Hpakant"/>
    <s v="AG Church, Maw Wan"/>
    <m/>
    <m/>
    <m/>
    <n v="30"/>
    <m/>
    <m/>
    <m/>
    <m/>
    <m/>
    <m/>
    <m/>
    <m/>
    <m/>
    <m/>
    <m/>
    <m/>
    <m/>
    <n v="0"/>
    <n v="0"/>
    <n v="0"/>
    <n v="0"/>
    <n v="0"/>
    <n v="0"/>
    <n v="0"/>
    <n v="0"/>
    <n v="0"/>
    <n v="0"/>
    <n v="0"/>
    <n v="0"/>
    <n v="0"/>
    <n v="0"/>
    <x v="0"/>
    <n v="0"/>
    <s v="MMR001CMP190"/>
    <x v="0"/>
    <x v="1"/>
    <x v="1"/>
    <n v="0"/>
    <m/>
    <m/>
  </r>
  <r>
    <n v="39.266666666666666"/>
    <d v="2013-03-20T00:00:00"/>
    <x v="0"/>
    <s v="UNHCR"/>
    <s v="Kachin"/>
    <s v="Hpakant"/>
    <s v="AG Church, Maw Wan"/>
    <m/>
    <m/>
    <n v="24"/>
    <n v="17"/>
    <n v="17"/>
    <n v="41"/>
    <n v="17"/>
    <n v="41"/>
    <n v="41"/>
    <n v="41"/>
    <m/>
    <m/>
    <m/>
    <m/>
    <m/>
    <m/>
    <m/>
    <n v="0"/>
    <n v="0"/>
    <n v="0"/>
    <n v="0"/>
    <n v="0"/>
    <n v="0"/>
    <n v="0"/>
    <n v="0"/>
    <n v="0"/>
    <n v="0"/>
    <n v="0"/>
    <n v="0"/>
    <n v="0"/>
    <n v="0"/>
    <x v="0"/>
    <n v="0"/>
    <s v="MMR001CMP190"/>
    <x v="0"/>
    <x v="1"/>
    <x v="1"/>
    <n v="1.2142857142857142"/>
    <s v="No"/>
    <m/>
  </r>
  <r>
    <n v="40.200000000000003"/>
    <d v="2013-02-20T00:00:00"/>
    <x v="0"/>
    <s v="UNHCR"/>
    <s v="Kachin"/>
    <s v="Hpakant"/>
    <s v="AG Church, Maw Wan"/>
    <m/>
    <m/>
    <m/>
    <n v="59"/>
    <n v="28"/>
    <n v="0"/>
    <n v="28"/>
    <n v="28"/>
    <n v="28"/>
    <n v="28"/>
    <m/>
    <m/>
    <m/>
    <m/>
    <m/>
    <m/>
    <m/>
    <n v="0"/>
    <n v="0"/>
    <n v="0"/>
    <n v="0"/>
    <n v="0"/>
    <n v="0"/>
    <n v="0"/>
    <n v="0"/>
    <n v="0"/>
    <n v="0"/>
    <n v="0"/>
    <n v="0"/>
    <n v="0"/>
    <n v="0"/>
    <x v="0"/>
    <n v="0"/>
    <s v="MMR001CMP190"/>
    <x v="0"/>
    <x v="1"/>
    <x v="1"/>
    <n v="2"/>
    <s v="No"/>
    <m/>
  </r>
  <r>
    <n v="41.9"/>
    <d v="2012-12-31T00:00:00"/>
    <x v="3"/>
    <s v="DRC"/>
    <s v="Kachin"/>
    <s v="Hpakant"/>
    <s v="AG Church, Maw Wan"/>
    <n v="4"/>
    <m/>
    <m/>
    <m/>
    <m/>
    <m/>
    <m/>
    <m/>
    <n v="0"/>
    <n v="0"/>
    <m/>
    <m/>
    <m/>
    <m/>
    <m/>
    <m/>
    <m/>
    <n v="0"/>
    <n v="0"/>
    <n v="0"/>
    <n v="0"/>
    <n v="0"/>
    <n v="0"/>
    <n v="0"/>
    <n v="0"/>
    <n v="0"/>
    <n v="0"/>
    <n v="0"/>
    <n v="0"/>
    <n v="0"/>
    <n v="0"/>
    <x v="0"/>
    <n v="0"/>
    <s v="MMR001CMP190"/>
    <x v="0"/>
    <x v="1"/>
    <x v="1"/>
    <n v="0"/>
    <s v="No"/>
    <m/>
  </r>
  <r>
    <n v="39.266666666666666"/>
    <d v="2013-03-20T00:00:00"/>
    <x v="0"/>
    <s v="UNHCR"/>
    <s v="Kachin"/>
    <s v="Hpakant"/>
    <s v="Anglican Church, Hmaw Si Sar"/>
    <m/>
    <m/>
    <n v="38"/>
    <n v="11"/>
    <n v="11"/>
    <n v="87"/>
    <n v="11"/>
    <n v="26"/>
    <n v="26"/>
    <n v="26"/>
    <m/>
    <m/>
    <m/>
    <m/>
    <m/>
    <m/>
    <m/>
    <n v="0"/>
    <n v="0"/>
    <n v="0"/>
    <n v="0"/>
    <n v="0"/>
    <n v="0"/>
    <n v="0"/>
    <n v="0"/>
    <n v="0"/>
    <n v="0"/>
    <n v="0"/>
    <n v="0"/>
    <n v="0"/>
    <n v="0"/>
    <x v="0"/>
    <n v="0"/>
    <s v="MMR001CMP173"/>
    <x v="0"/>
    <x v="0"/>
    <x v="0"/>
    <s v=""/>
    <s v="No"/>
    <m/>
  </r>
  <r>
    <n v="40.233333333333334"/>
    <d v="2013-02-19T00:00:00"/>
    <x v="0"/>
    <s v="UNHCR"/>
    <s v="Kachin"/>
    <s v="Hpakant"/>
    <s v="Anglican Church, Hmaw Si Sar"/>
    <m/>
    <m/>
    <n v="1"/>
    <n v="6"/>
    <n v="3"/>
    <n v="15"/>
    <n v="4"/>
    <n v="4"/>
    <n v="4"/>
    <n v="4"/>
    <m/>
    <m/>
    <m/>
    <m/>
    <m/>
    <m/>
    <m/>
    <n v="0"/>
    <n v="0"/>
    <n v="0"/>
    <n v="0"/>
    <n v="0"/>
    <n v="0"/>
    <n v="0"/>
    <n v="0"/>
    <n v="0"/>
    <n v="0"/>
    <n v="0"/>
    <n v="0"/>
    <n v="0"/>
    <n v="0"/>
    <x v="0"/>
    <n v="0"/>
    <s v="MMR001CMP173"/>
    <x v="0"/>
    <x v="0"/>
    <x v="0"/>
    <s v=""/>
    <s v="No"/>
    <m/>
  </r>
  <r>
    <n v="40.233333333333334"/>
    <d v="2013-02-19T00:00:00"/>
    <x v="0"/>
    <s v="UNHCR"/>
    <s v="Kachin"/>
    <s v="Hpakant"/>
    <s v="Anglican Church, Hmaw Si Sar"/>
    <m/>
    <m/>
    <n v="92"/>
    <n v="130"/>
    <n v="67"/>
    <n v="130"/>
    <n v="67"/>
    <n v="67"/>
    <n v="67"/>
    <n v="67"/>
    <m/>
    <m/>
    <m/>
    <m/>
    <m/>
    <m/>
    <m/>
    <n v="0"/>
    <n v="0"/>
    <n v="0"/>
    <n v="0"/>
    <n v="0"/>
    <n v="0"/>
    <n v="0"/>
    <n v="0"/>
    <n v="0"/>
    <n v="0"/>
    <n v="0"/>
    <n v="0"/>
    <n v="0"/>
    <n v="0"/>
    <x v="0"/>
    <n v="0"/>
    <s v="MMR001CMP173"/>
    <x v="0"/>
    <x v="0"/>
    <x v="0"/>
    <s v=""/>
    <s v="No"/>
    <m/>
  </r>
  <r>
    <n v="19.633333333333333"/>
    <d v="2014-10-30T00:00:00"/>
    <x v="0"/>
    <m/>
    <s v="Kachin"/>
    <s v="Bhamo"/>
    <s v="Aung Thar Church"/>
    <m/>
    <m/>
    <m/>
    <m/>
    <m/>
    <m/>
    <m/>
    <m/>
    <m/>
    <m/>
    <m/>
    <m/>
    <m/>
    <m/>
    <m/>
    <m/>
    <m/>
    <n v="0"/>
    <n v="0"/>
    <n v="0"/>
    <n v="0"/>
    <n v="0"/>
    <n v="0"/>
    <n v="0"/>
    <n v="0"/>
    <n v="0"/>
    <n v="0"/>
    <n v="0"/>
    <n v="0"/>
    <n v="0"/>
    <n v="0"/>
    <x v="0"/>
    <n v="0"/>
    <s v="MMR001CMP194"/>
    <x v="0"/>
    <x v="1"/>
    <x v="1"/>
    <n v="0"/>
    <m/>
    <m/>
  </r>
  <r>
    <n v="30.633333333333333"/>
    <d v="2013-12-04T00:00:00"/>
    <x v="0"/>
    <s v="UNHCR"/>
    <s v="Kachin"/>
    <s v="Bhamo"/>
    <s v="Aung Thar Church"/>
    <m/>
    <m/>
    <m/>
    <m/>
    <m/>
    <n v="10"/>
    <n v="5"/>
    <n v="5"/>
    <m/>
    <m/>
    <m/>
    <m/>
    <m/>
    <m/>
    <m/>
    <m/>
    <m/>
    <n v="0"/>
    <n v="0"/>
    <n v="0"/>
    <n v="0"/>
    <n v="0"/>
    <n v="0"/>
    <n v="0"/>
    <n v="0"/>
    <n v="0"/>
    <n v="0"/>
    <n v="0"/>
    <n v="0"/>
    <n v="0"/>
    <n v="0"/>
    <x v="0"/>
    <n v="0"/>
    <s v="MMR001CMP194"/>
    <x v="0"/>
    <x v="1"/>
    <x v="1"/>
    <n v="0.41666666666666669"/>
    <s v="No"/>
    <m/>
  </r>
  <r>
    <n v="30.766666666666666"/>
    <d v="2013-11-30T00:00:00"/>
    <x v="5"/>
    <m/>
    <s v="Kachin"/>
    <s v="Bhamo"/>
    <s v="Aung Thar Church"/>
    <m/>
    <m/>
    <m/>
    <m/>
    <m/>
    <m/>
    <m/>
    <m/>
    <m/>
    <m/>
    <m/>
    <m/>
    <m/>
    <m/>
    <m/>
    <m/>
    <m/>
    <n v="0"/>
    <n v="0"/>
    <n v="0"/>
    <n v="0"/>
    <n v="0"/>
    <n v="0"/>
    <n v="0"/>
    <n v="0"/>
    <n v="0"/>
    <n v="0"/>
    <n v="0"/>
    <n v="0"/>
    <n v="0"/>
    <n v="0"/>
    <x v="0"/>
    <n v="0"/>
    <s v="MMR001CMP194"/>
    <x v="0"/>
    <x v="0"/>
    <x v="1"/>
    <n v="0"/>
    <s v="No"/>
    <m/>
  </r>
  <r>
    <n v="30.9"/>
    <d v="2013-11-26T00:00:00"/>
    <x v="0"/>
    <s v="UNHCR"/>
    <s v="Kachin"/>
    <s v="Bhamo"/>
    <s v="Aung Thar Church"/>
    <m/>
    <m/>
    <m/>
    <n v="11"/>
    <n v="5"/>
    <n v="11"/>
    <n v="5"/>
    <n v="5"/>
    <m/>
    <m/>
    <m/>
    <m/>
    <m/>
    <m/>
    <m/>
    <m/>
    <m/>
    <n v="0"/>
    <n v="0"/>
    <n v="0"/>
    <n v="0"/>
    <n v="0"/>
    <n v="0"/>
    <n v="0"/>
    <n v="0"/>
    <n v="0"/>
    <n v="0"/>
    <n v="0"/>
    <n v="0"/>
    <n v="0"/>
    <n v="0"/>
    <x v="0"/>
    <n v="0"/>
    <s v="MMR001CMP194"/>
    <x v="0"/>
    <x v="1"/>
    <x v="1"/>
    <n v="0.41666666666666669"/>
    <s v="No"/>
    <m/>
  </r>
  <r>
    <n v="31.066666666666666"/>
    <d v="2013-11-21T00:00:00"/>
    <x v="0"/>
    <s v="UNHCR"/>
    <s v="Kachin"/>
    <s v="Bhamo"/>
    <s v="Aung Thar Church"/>
    <m/>
    <m/>
    <m/>
    <n v="34"/>
    <n v="18"/>
    <n v="34"/>
    <n v="18"/>
    <n v="18"/>
    <m/>
    <m/>
    <m/>
    <m/>
    <m/>
    <m/>
    <m/>
    <m/>
    <m/>
    <n v="0"/>
    <n v="0"/>
    <n v="0"/>
    <n v="0"/>
    <n v="0"/>
    <n v="0"/>
    <n v="0"/>
    <n v="0"/>
    <n v="0"/>
    <n v="0"/>
    <n v="0"/>
    <n v="0"/>
    <n v="0"/>
    <n v="0"/>
    <x v="0"/>
    <n v="0"/>
    <s v="MMR001CMP194"/>
    <x v="0"/>
    <x v="1"/>
    <x v="1"/>
    <n v="1.5"/>
    <s v="No"/>
    <m/>
  </r>
  <r>
    <n v="31.3"/>
    <d v="2013-11-14T00:00:00"/>
    <x v="0"/>
    <s v="UNHCR "/>
    <s v="Kachin"/>
    <s v="Bhamo"/>
    <s v="Aung Thar Church"/>
    <m/>
    <m/>
    <m/>
    <n v="12"/>
    <n v="9"/>
    <n v="12"/>
    <n v="9"/>
    <n v="9"/>
    <m/>
    <m/>
    <m/>
    <m/>
    <m/>
    <m/>
    <m/>
    <m/>
    <m/>
    <n v="0"/>
    <n v="0"/>
    <n v="0"/>
    <n v="0"/>
    <n v="0"/>
    <n v="0"/>
    <n v="0"/>
    <n v="0"/>
    <n v="0"/>
    <n v="0"/>
    <n v="0"/>
    <n v="0"/>
    <n v="0"/>
    <n v="0"/>
    <x v="0"/>
    <n v="0"/>
    <s v="MMR001CMP194"/>
    <x v="0"/>
    <x v="1"/>
    <x v="1"/>
    <n v="0.75"/>
    <s v="No"/>
    <m/>
  </r>
  <r>
    <n v="31.533333333333335"/>
    <d v="2013-11-07T00:00:00"/>
    <x v="5"/>
    <s v="Solidarities"/>
    <s v="Kachin"/>
    <s v="Bhamo"/>
    <s v="Aung Thar Church"/>
    <m/>
    <m/>
    <m/>
    <m/>
    <m/>
    <m/>
    <m/>
    <m/>
    <m/>
    <m/>
    <n v="25"/>
    <n v="73"/>
    <n v="196"/>
    <n v="98"/>
    <m/>
    <m/>
    <m/>
    <n v="0"/>
    <n v="0"/>
    <n v="0"/>
    <n v="0"/>
    <n v="0"/>
    <n v="0"/>
    <n v="0"/>
    <n v="0"/>
    <n v="0"/>
    <n v="0"/>
    <n v="0"/>
    <n v="0"/>
    <n v="0"/>
    <n v="0"/>
    <x v="1"/>
    <n v="0"/>
    <s v="MMR001CMP194"/>
    <x v="0"/>
    <x v="0"/>
    <x v="1"/>
    <n v="0"/>
    <m/>
    <m/>
  </r>
  <r>
    <n v="31.733333333333334"/>
    <d v="2013-11-01T00:00:00"/>
    <x v="0"/>
    <s v="UNHCR"/>
    <s v="Kachin"/>
    <s v="Bhamo"/>
    <s v="Aung Thar Church"/>
    <m/>
    <m/>
    <n v="8"/>
    <n v="6"/>
    <n v="4"/>
    <n v="6"/>
    <n v="4"/>
    <n v="4"/>
    <m/>
    <m/>
    <m/>
    <m/>
    <m/>
    <m/>
    <m/>
    <m/>
    <m/>
    <n v="0"/>
    <n v="0"/>
    <n v="0"/>
    <n v="0"/>
    <n v="0"/>
    <n v="0"/>
    <n v="0"/>
    <n v="0"/>
    <n v="0"/>
    <n v="0"/>
    <n v="0"/>
    <n v="0"/>
    <n v="0"/>
    <n v="0"/>
    <x v="0"/>
    <n v="0"/>
    <s v="MMR001CMP194"/>
    <x v="0"/>
    <x v="1"/>
    <x v="1"/>
    <n v="0.33333333333333331"/>
    <s v="No"/>
    <m/>
  </r>
  <r>
    <n v="40.233333333333334"/>
    <d v="2013-02-19T00:00:00"/>
    <x v="0"/>
    <s v="UNHCR"/>
    <s v="Kachin"/>
    <s v="Hpakant"/>
    <s v="Away Yar Rama Monastery, Ka Day village"/>
    <m/>
    <m/>
    <n v="8"/>
    <n v="16"/>
    <n v="8"/>
    <n v="16"/>
    <n v="8"/>
    <n v="8"/>
    <n v="8"/>
    <n v="8"/>
    <m/>
    <m/>
    <m/>
    <m/>
    <m/>
    <m/>
    <m/>
    <n v="0"/>
    <n v="0"/>
    <n v="0"/>
    <n v="0"/>
    <n v="0"/>
    <n v="0"/>
    <n v="0"/>
    <n v="0"/>
    <n v="0"/>
    <n v="0"/>
    <n v="0"/>
    <n v="0"/>
    <n v="0"/>
    <n v="0"/>
    <x v="0"/>
    <n v="0"/>
    <s v="MMR001CMP170"/>
    <x v="0"/>
    <x v="0"/>
    <x v="0"/>
    <s v=""/>
    <s v="No"/>
    <m/>
  </r>
  <r>
    <n v="40.200000000000003"/>
    <d v="2013-02-20T00:00:00"/>
    <x v="0"/>
    <s v="UNHCR"/>
    <s v="Kachin"/>
    <s v="Hpakant"/>
    <s v="Aye Mya Tharyar Church of Christ "/>
    <m/>
    <m/>
    <n v="18"/>
    <n v="0"/>
    <n v="0"/>
    <n v="0"/>
    <n v="0"/>
    <n v="0"/>
    <m/>
    <m/>
    <m/>
    <m/>
    <m/>
    <m/>
    <m/>
    <m/>
    <m/>
    <n v="0"/>
    <n v="0"/>
    <n v="0"/>
    <n v="0"/>
    <n v="0"/>
    <n v="0"/>
    <n v="0"/>
    <n v="0"/>
    <n v="0"/>
    <n v="0"/>
    <n v="0"/>
    <n v="0"/>
    <n v="0"/>
    <n v="0"/>
    <x v="0"/>
    <n v="0"/>
    <s v="MMR001CMP092"/>
    <x v="0"/>
    <x v="0"/>
    <x v="0"/>
    <s v=""/>
    <s v="No"/>
    <m/>
  </r>
  <r>
    <n v="41.9"/>
    <d v="2012-12-31T00:00:00"/>
    <x v="3"/>
    <s v="DRC"/>
    <s v="Kachin"/>
    <s v="Hpakant"/>
    <s v="Aye Mya Tharyar Church of Christ "/>
    <n v="16"/>
    <m/>
    <m/>
    <m/>
    <m/>
    <m/>
    <m/>
    <m/>
    <n v="0"/>
    <n v="0"/>
    <m/>
    <m/>
    <m/>
    <m/>
    <m/>
    <m/>
    <m/>
    <n v="0"/>
    <n v="0"/>
    <n v="0"/>
    <n v="0"/>
    <n v="0"/>
    <n v="0"/>
    <n v="0"/>
    <n v="0"/>
    <n v="0"/>
    <n v="0"/>
    <n v="0"/>
    <n v="0"/>
    <n v="0"/>
    <n v="0"/>
    <x v="0"/>
    <n v="0"/>
    <s v="MMR001CMP092"/>
    <x v="0"/>
    <x v="0"/>
    <x v="0"/>
    <s v=""/>
    <s v="No"/>
    <m/>
  </r>
  <r>
    <n v="30.966666666666665"/>
    <d v="2013-11-24T00:00:00"/>
    <x v="5"/>
    <s v="Solidarities"/>
    <s v="Kachin"/>
    <s v="Mansi"/>
    <s v="Ban Hkung (School)"/>
    <m/>
    <m/>
    <m/>
    <m/>
    <m/>
    <m/>
    <m/>
    <m/>
    <m/>
    <m/>
    <n v="24"/>
    <n v="48"/>
    <n v="144"/>
    <n v="72"/>
    <m/>
    <m/>
    <m/>
    <n v="0"/>
    <n v="0"/>
    <n v="0"/>
    <n v="0"/>
    <n v="0"/>
    <n v="0"/>
    <n v="0"/>
    <n v="0"/>
    <n v="0"/>
    <n v="0"/>
    <n v="0"/>
    <n v="0"/>
    <n v="0"/>
    <n v="0"/>
    <x v="1"/>
    <n v="0"/>
    <s v="MMR001CMP215"/>
    <x v="0"/>
    <x v="0"/>
    <x v="0"/>
    <s v=""/>
    <m/>
    <m/>
  </r>
  <r>
    <n v="30.966666666666665"/>
    <d v="2013-11-24T00:00:00"/>
    <x v="5"/>
    <s v="Solidarities"/>
    <s v="Kachin"/>
    <s v="Mansi"/>
    <s v="Ban Hkung Yang (Boarding School)"/>
    <m/>
    <m/>
    <m/>
    <m/>
    <m/>
    <m/>
    <m/>
    <m/>
    <m/>
    <m/>
    <n v="135"/>
    <n v="270"/>
    <n v="810"/>
    <n v="405"/>
    <m/>
    <m/>
    <m/>
    <n v="0"/>
    <n v="0"/>
    <n v="0"/>
    <n v="0"/>
    <n v="0"/>
    <n v="0"/>
    <n v="0"/>
    <n v="0"/>
    <n v="0"/>
    <n v="0"/>
    <n v="0"/>
    <n v="0"/>
    <n v="0"/>
    <n v="0"/>
    <x v="1"/>
    <n v="0"/>
    <s v="MMR001CMP214"/>
    <x v="0"/>
    <x v="0"/>
    <x v="0"/>
    <s v=""/>
    <m/>
    <m/>
  </r>
  <r>
    <n v="19.600000000000001"/>
    <d v="2014-10-31T00:00:00"/>
    <x v="0"/>
    <m/>
    <s v="Kachin"/>
    <s v="Hpakant"/>
    <s v="Baptist Church, Hmaw Si Sar(Lon Khin)"/>
    <m/>
    <m/>
    <n v="38"/>
    <n v="76"/>
    <n v="38"/>
    <n v="76"/>
    <n v="38"/>
    <m/>
    <n v="38"/>
    <n v="190"/>
    <m/>
    <m/>
    <m/>
    <m/>
    <m/>
    <m/>
    <m/>
    <n v="0"/>
    <n v="0"/>
    <n v="0"/>
    <n v="0"/>
    <n v="0"/>
    <n v="0"/>
    <n v="0"/>
    <n v="0"/>
    <n v="0"/>
    <n v="0"/>
    <n v="0"/>
    <n v="0"/>
    <n v="0"/>
    <n v="0"/>
    <x v="0"/>
    <n v="0"/>
    <s v="MMR001CMP169"/>
    <x v="0"/>
    <x v="1"/>
    <x v="1"/>
    <n v="1.0555555555555556"/>
    <m/>
    <m/>
  </r>
  <r>
    <n v="19.8"/>
    <d v="2014-10-25T00:00:00"/>
    <x v="1"/>
    <s v="MRCS"/>
    <s v="Kachin"/>
    <s v="Hpakant"/>
    <s v="Baptist Church, Hmaw Si Sar(Lon Khin)"/>
    <m/>
    <m/>
    <m/>
    <m/>
    <m/>
    <m/>
    <m/>
    <m/>
    <m/>
    <m/>
    <n v="123"/>
    <n v="104"/>
    <m/>
    <m/>
    <m/>
    <m/>
    <m/>
    <n v="0"/>
    <n v="0"/>
    <n v="0"/>
    <n v="0"/>
    <n v="0"/>
    <n v="0"/>
    <n v="0"/>
    <n v="0"/>
    <n v="0"/>
    <n v="0"/>
    <n v="0"/>
    <n v="0"/>
    <n v="0"/>
    <n v="0"/>
    <x v="1"/>
    <n v="0"/>
    <s v="MMR001CMP169"/>
    <x v="0"/>
    <x v="1"/>
    <x v="1"/>
    <n v="0"/>
    <m/>
    <m/>
  </r>
  <r>
    <n v="40.733333333333334"/>
    <d v="2013-02-04T00:00:00"/>
    <x v="2"/>
    <s v="MRCS"/>
    <s v="Kachin"/>
    <s v="Hpakant"/>
    <s v="Baptist Church, Hmaw Si Sar(Lon Khin)"/>
    <m/>
    <m/>
    <m/>
    <m/>
    <m/>
    <m/>
    <n v="106"/>
    <m/>
    <n v="0"/>
    <n v="0"/>
    <m/>
    <m/>
    <m/>
    <m/>
    <m/>
    <m/>
    <m/>
    <n v="0"/>
    <n v="0"/>
    <n v="0"/>
    <n v="0"/>
    <n v="0"/>
    <n v="0"/>
    <n v="0"/>
    <n v="0"/>
    <n v="0"/>
    <n v="0"/>
    <n v="0"/>
    <n v="0"/>
    <n v="0"/>
    <n v="0"/>
    <x v="0"/>
    <n v="0"/>
    <s v="MMR001CMP169"/>
    <x v="0"/>
    <x v="1"/>
    <x v="1"/>
    <n v="2.9444444444444446"/>
    <s v="No"/>
    <m/>
  </r>
  <r>
    <n v="41.9"/>
    <d v="2012-12-31T00:00:00"/>
    <x v="3"/>
    <s v="DRC"/>
    <s v="Kachin"/>
    <s v="Hpakant"/>
    <s v="Baptist Church, Hmaw Si Sar(Lon Khin)"/>
    <n v="20"/>
    <m/>
    <m/>
    <m/>
    <m/>
    <m/>
    <m/>
    <m/>
    <n v="0"/>
    <n v="0"/>
    <m/>
    <m/>
    <m/>
    <m/>
    <m/>
    <m/>
    <m/>
    <n v="0"/>
    <n v="0"/>
    <n v="0"/>
    <n v="0"/>
    <n v="0"/>
    <n v="0"/>
    <n v="0"/>
    <n v="0"/>
    <n v="0"/>
    <n v="0"/>
    <n v="0"/>
    <n v="0"/>
    <n v="0"/>
    <n v="0"/>
    <x v="0"/>
    <n v="0"/>
    <s v="MMR001CMP169"/>
    <x v="0"/>
    <x v="1"/>
    <x v="1"/>
    <n v="0"/>
    <s v="No"/>
    <m/>
  </r>
  <r>
    <n v="53.666666666666664"/>
    <d v="2012-01-13T00:00:00"/>
    <x v="0"/>
    <s v="KBC"/>
    <s v="Kachin"/>
    <s v="Hpakant"/>
    <s v="Baptist Church, Hmaw Si Sar(Lon Khin)"/>
    <m/>
    <m/>
    <m/>
    <n v="70"/>
    <n v="35"/>
    <n v="35"/>
    <n v="0"/>
    <n v="35"/>
    <n v="35"/>
    <n v="35"/>
    <m/>
    <m/>
    <m/>
    <m/>
    <m/>
    <m/>
    <m/>
    <n v="0"/>
    <n v="0"/>
    <n v="0"/>
    <n v="0"/>
    <n v="0"/>
    <n v="0"/>
    <n v="0"/>
    <n v="0"/>
    <n v="0"/>
    <n v="0"/>
    <n v="0"/>
    <n v="0"/>
    <n v="0"/>
    <n v="0"/>
    <x v="0"/>
    <n v="0"/>
    <s v="MMR001CMP169"/>
    <x v="0"/>
    <x v="1"/>
    <x v="1"/>
    <n v="0"/>
    <s v="No"/>
    <m/>
  </r>
  <r>
    <n v="19.8"/>
    <d v="2014-10-25T00:00:00"/>
    <x v="1"/>
    <s v="MRCS"/>
    <s v="Kachin"/>
    <s v="Hpakant"/>
    <s v="Baptist Church, Naung Hmee VT"/>
    <m/>
    <m/>
    <m/>
    <m/>
    <m/>
    <m/>
    <m/>
    <m/>
    <m/>
    <m/>
    <n v="48"/>
    <n v="30"/>
    <m/>
    <m/>
    <m/>
    <m/>
    <m/>
    <n v="0"/>
    <n v="0"/>
    <n v="0"/>
    <n v="0"/>
    <n v="0"/>
    <n v="0"/>
    <n v="0"/>
    <n v="0"/>
    <n v="0"/>
    <n v="0"/>
    <n v="0"/>
    <n v="0"/>
    <n v="0"/>
    <n v="0"/>
    <x v="1"/>
    <n v="0"/>
    <s v="MMR001CMP188"/>
    <x v="0"/>
    <x v="0"/>
    <x v="1"/>
    <s v=""/>
    <m/>
    <m/>
  </r>
  <r>
    <n v="20.6"/>
    <d v="2014-10-01T00:00:00"/>
    <x v="0"/>
    <s v="Shalom"/>
    <s v="Kachin"/>
    <s v="Hpakant"/>
    <s v="Baptist Church, Naung Hmee VT"/>
    <m/>
    <m/>
    <m/>
    <n v="30"/>
    <m/>
    <m/>
    <m/>
    <m/>
    <m/>
    <m/>
    <m/>
    <m/>
    <m/>
    <m/>
    <m/>
    <m/>
    <m/>
    <n v="0"/>
    <n v="0"/>
    <n v="0"/>
    <n v="0"/>
    <n v="0"/>
    <n v="0"/>
    <n v="0"/>
    <n v="0"/>
    <n v="0"/>
    <n v="0"/>
    <n v="0"/>
    <n v="0"/>
    <n v="0"/>
    <n v="0"/>
    <x v="0"/>
    <n v="0"/>
    <s v="MMR001CMP188"/>
    <x v="0"/>
    <x v="0"/>
    <x v="1"/>
    <s v=""/>
    <m/>
    <m/>
  </r>
  <r>
    <n v="26.533333333333335"/>
    <d v="2014-04-06T00:00:00"/>
    <x v="6"/>
    <s v="MRCS"/>
    <s v="Kachin"/>
    <s v="Hpakant"/>
    <s v="Baptist Church, Naung Hmee VT"/>
    <m/>
    <m/>
    <m/>
    <m/>
    <m/>
    <m/>
    <m/>
    <m/>
    <m/>
    <m/>
    <m/>
    <m/>
    <m/>
    <n v="30"/>
    <m/>
    <m/>
    <m/>
    <n v="0"/>
    <n v="0"/>
    <n v="0"/>
    <n v="0"/>
    <n v="0"/>
    <n v="0"/>
    <n v="0"/>
    <n v="0"/>
    <n v="0"/>
    <n v="0"/>
    <n v="0"/>
    <n v="0"/>
    <n v="0"/>
    <n v="0"/>
    <x v="1"/>
    <n v="0"/>
    <s v="MMR001CMP188"/>
    <x v="0"/>
    <x v="0"/>
    <x v="1"/>
    <s v=""/>
    <m/>
    <m/>
  </r>
  <r>
    <n v="31.533333333333335"/>
    <d v="2013-11-07T00:00:00"/>
    <x v="0"/>
    <s v="UNHCR"/>
    <s v="Kachin"/>
    <s v="Hpakant"/>
    <s v="Baptist Church, Naung Hmee VT"/>
    <m/>
    <m/>
    <n v="13"/>
    <n v="32"/>
    <n v="15"/>
    <n v="32"/>
    <n v="15"/>
    <m/>
    <n v="15"/>
    <n v="32"/>
    <m/>
    <m/>
    <m/>
    <m/>
    <m/>
    <m/>
    <m/>
    <n v="0"/>
    <n v="0"/>
    <n v="0"/>
    <n v="0"/>
    <n v="0"/>
    <n v="0"/>
    <n v="0"/>
    <n v="0"/>
    <n v="0"/>
    <n v="0"/>
    <n v="0"/>
    <n v="0"/>
    <n v="0"/>
    <n v="0"/>
    <x v="0"/>
    <n v="0"/>
    <s v="MMR001CMP188"/>
    <x v="0"/>
    <x v="0"/>
    <x v="1"/>
    <s v=""/>
    <s v="No"/>
    <m/>
  </r>
  <r>
    <n v="40.866666666666667"/>
    <d v="2013-01-31T00:00:00"/>
    <x v="7"/>
    <s v="World Vision"/>
    <s v="Kachin"/>
    <s v="Hpakant"/>
    <s v="Baptist Church, Naung Hmee VT"/>
    <m/>
    <m/>
    <m/>
    <m/>
    <m/>
    <n v="26"/>
    <m/>
    <m/>
    <n v="0"/>
    <n v="0"/>
    <m/>
    <m/>
    <m/>
    <m/>
    <m/>
    <m/>
    <m/>
    <n v="0"/>
    <n v="0"/>
    <n v="0"/>
    <n v="0"/>
    <n v="0"/>
    <n v="0"/>
    <n v="0"/>
    <n v="0"/>
    <n v="0"/>
    <n v="0"/>
    <n v="0"/>
    <n v="0"/>
    <n v="0"/>
    <n v="0"/>
    <x v="0"/>
    <n v="0"/>
    <s v="MMR001CMP188"/>
    <x v="0"/>
    <x v="0"/>
    <x v="1"/>
    <s v=""/>
    <s v="No"/>
    <m/>
  </r>
  <r>
    <n v="41.9"/>
    <d v="2012-12-31T00:00:00"/>
    <x v="3"/>
    <s v="DRC"/>
    <s v="Kachin"/>
    <s v="Hpakant"/>
    <s v="Baptist Church, Sai Ra village"/>
    <n v="3"/>
    <m/>
    <m/>
    <m/>
    <m/>
    <m/>
    <m/>
    <m/>
    <n v="0"/>
    <n v="0"/>
    <m/>
    <m/>
    <m/>
    <m/>
    <m/>
    <m/>
    <m/>
    <n v="0"/>
    <n v="0"/>
    <n v="0"/>
    <n v="0"/>
    <n v="0"/>
    <n v="0"/>
    <n v="0"/>
    <n v="0"/>
    <n v="0"/>
    <n v="0"/>
    <n v="0"/>
    <n v="0"/>
    <n v="0"/>
    <n v="0"/>
    <x v="0"/>
    <n v="0"/>
    <s v="MMR001CMP172"/>
    <x v="0"/>
    <x v="0"/>
    <x v="0"/>
    <s v=""/>
    <s v="No"/>
    <m/>
  </r>
  <r>
    <n v="55.533333333333331"/>
    <d v="2011-11-18T00:00:00"/>
    <x v="0"/>
    <s v="UNHCR"/>
    <s v="Kachin"/>
    <s v="Myitkyina"/>
    <s v="Bomb Blast Victims"/>
    <m/>
    <m/>
    <m/>
    <n v="24"/>
    <n v="3"/>
    <n v="24"/>
    <n v="3"/>
    <n v="3"/>
    <n v="3"/>
    <n v="3"/>
    <m/>
    <m/>
    <m/>
    <m/>
    <m/>
    <m/>
    <m/>
    <n v="0"/>
    <n v="0"/>
    <n v="0"/>
    <n v="0"/>
    <n v="0"/>
    <n v="0"/>
    <n v="0"/>
    <n v="0"/>
    <n v="0"/>
    <n v="0"/>
    <n v="0"/>
    <n v="0"/>
    <n v="0"/>
    <n v="0"/>
    <x v="0"/>
    <n v="0"/>
    <s v=""/>
    <x v="1"/>
    <x v="2"/>
    <x v="0"/>
    <s v=""/>
    <s v="No"/>
    <m/>
  </r>
  <r>
    <n v="18.433333333333334"/>
    <d v="2014-12-05T00:00:00"/>
    <x v="0"/>
    <s v="KMSS"/>
    <s v="Kachin"/>
    <s v="Waingmaw"/>
    <s v="Border Post 8"/>
    <m/>
    <m/>
    <m/>
    <n v="164"/>
    <m/>
    <m/>
    <m/>
    <m/>
    <m/>
    <m/>
    <n v="302"/>
    <n v="440"/>
    <m/>
    <n v="297"/>
    <m/>
    <m/>
    <m/>
    <n v="0"/>
    <n v="0"/>
    <n v="0"/>
    <n v="0"/>
    <n v="0"/>
    <n v="0"/>
    <n v="0"/>
    <n v="0"/>
    <n v="0"/>
    <n v="0"/>
    <n v="0"/>
    <n v="0"/>
    <n v="0"/>
    <n v="0"/>
    <x v="1"/>
    <n v="0"/>
    <s v="MMR001CMP113"/>
    <x v="0"/>
    <x v="1"/>
    <x v="2"/>
    <n v="0"/>
    <m/>
    <m/>
  </r>
  <r>
    <n v="29.266666666666666"/>
    <d v="2014-01-14T00:00:00"/>
    <x v="3"/>
    <s v="KMSS"/>
    <s v="Kachin"/>
    <s v="Waingmaw"/>
    <s v="Border Post 8"/>
    <m/>
    <m/>
    <m/>
    <m/>
    <m/>
    <m/>
    <m/>
    <n v="180"/>
    <m/>
    <m/>
    <m/>
    <m/>
    <m/>
    <m/>
    <m/>
    <m/>
    <m/>
    <n v="0"/>
    <n v="0"/>
    <n v="0"/>
    <n v="0"/>
    <n v="0"/>
    <n v="0"/>
    <n v="0"/>
    <n v="0"/>
    <n v="0"/>
    <n v="0"/>
    <n v="0"/>
    <n v="0"/>
    <n v="0"/>
    <n v="0"/>
    <x v="0"/>
    <n v="0"/>
    <s v="MMR001CMP113"/>
    <x v="0"/>
    <x v="1"/>
    <x v="2"/>
    <n v="0"/>
    <s v="No"/>
    <m/>
  </r>
  <r>
    <n v="29.266666666666666"/>
    <d v="2014-01-14T00:00:00"/>
    <x v="3"/>
    <s v="KMSS"/>
    <s v="Kachin"/>
    <s v="Waingmaw"/>
    <s v="Border Post 8"/>
    <m/>
    <m/>
    <m/>
    <m/>
    <m/>
    <m/>
    <m/>
    <m/>
    <m/>
    <m/>
    <n v="501"/>
    <n v="335"/>
    <m/>
    <m/>
    <m/>
    <m/>
    <m/>
    <n v="0"/>
    <n v="0"/>
    <n v="0"/>
    <n v="0"/>
    <n v="0"/>
    <n v="0"/>
    <n v="0"/>
    <n v="0"/>
    <n v="0"/>
    <n v="0"/>
    <n v="0"/>
    <n v="0"/>
    <n v="0"/>
    <n v="0"/>
    <x v="1"/>
    <n v="0"/>
    <s v="MMR001CMP113"/>
    <x v="0"/>
    <x v="1"/>
    <x v="2"/>
    <n v="0"/>
    <s v="No"/>
    <m/>
  </r>
  <r>
    <n v="30.666666666666668"/>
    <d v="2013-12-03T00:00:00"/>
    <x v="5"/>
    <s v="KBC"/>
    <s v="Kachin"/>
    <s v="Waingmaw"/>
    <s v="Border Post 8"/>
    <m/>
    <m/>
    <m/>
    <m/>
    <m/>
    <m/>
    <m/>
    <m/>
    <m/>
    <m/>
    <n v="181"/>
    <n v="362"/>
    <n v="1086"/>
    <n v="543"/>
    <m/>
    <m/>
    <m/>
    <n v="0"/>
    <n v="0"/>
    <n v="0"/>
    <n v="0"/>
    <n v="0"/>
    <n v="0"/>
    <n v="0"/>
    <n v="0"/>
    <n v="0"/>
    <n v="0"/>
    <n v="0"/>
    <n v="0"/>
    <n v="0"/>
    <n v="0"/>
    <x v="1"/>
    <n v="0"/>
    <s v="MMR001CMP113"/>
    <x v="0"/>
    <x v="1"/>
    <x v="2"/>
    <n v="0"/>
    <m/>
    <m/>
  </r>
  <r>
    <n v="30.766666666666666"/>
    <d v="2013-11-30T00:00:00"/>
    <x v="5"/>
    <s v="KBC"/>
    <s v="Kachin"/>
    <s v="Waingmaw"/>
    <s v="Border Post 8"/>
    <m/>
    <m/>
    <m/>
    <m/>
    <m/>
    <m/>
    <m/>
    <m/>
    <m/>
    <m/>
    <m/>
    <m/>
    <m/>
    <m/>
    <m/>
    <m/>
    <m/>
    <n v="0"/>
    <n v="0"/>
    <n v="0"/>
    <n v="0"/>
    <n v="0"/>
    <n v="0"/>
    <n v="0"/>
    <n v="0"/>
    <n v="0"/>
    <n v="0"/>
    <n v="0"/>
    <n v="0"/>
    <n v="0"/>
    <n v="0"/>
    <x v="0"/>
    <n v="0"/>
    <s v="MMR001CMP113"/>
    <x v="0"/>
    <x v="1"/>
    <x v="2"/>
    <n v="0"/>
    <s v="No"/>
    <m/>
  </r>
  <r>
    <n v="31"/>
    <d v="2013-11-23T00:00:00"/>
    <x v="3"/>
    <m/>
    <s v="Kachin"/>
    <s v="Waingmaw"/>
    <s v="Border Post 8"/>
    <m/>
    <m/>
    <m/>
    <m/>
    <m/>
    <n v="358"/>
    <m/>
    <m/>
    <m/>
    <m/>
    <m/>
    <m/>
    <m/>
    <m/>
    <m/>
    <m/>
    <m/>
    <n v="0"/>
    <n v="0"/>
    <n v="0"/>
    <n v="0"/>
    <n v="0"/>
    <n v="0"/>
    <n v="0"/>
    <n v="0"/>
    <n v="0"/>
    <n v="0"/>
    <n v="0"/>
    <n v="0"/>
    <n v="0"/>
    <n v="0"/>
    <x v="0"/>
    <n v="0"/>
    <s v="MMR001CMP113"/>
    <x v="0"/>
    <x v="1"/>
    <x v="2"/>
    <n v="0"/>
    <s v="No"/>
    <m/>
  </r>
  <r>
    <n v="37.43333333333333"/>
    <d v="2013-05-14T00:00:00"/>
    <x v="8"/>
    <s v="KMSS"/>
    <s v="Kachin"/>
    <s v="Waingmaw"/>
    <s v="Border Post 8"/>
    <n v="604"/>
    <m/>
    <m/>
    <m/>
    <m/>
    <m/>
    <m/>
    <m/>
    <m/>
    <m/>
    <m/>
    <m/>
    <m/>
    <m/>
    <m/>
    <m/>
    <m/>
    <n v="0"/>
    <n v="0"/>
    <n v="0"/>
    <n v="0"/>
    <n v="0"/>
    <n v="0"/>
    <n v="0"/>
    <n v="0"/>
    <n v="0"/>
    <n v="0"/>
    <n v="0"/>
    <n v="0"/>
    <n v="0"/>
    <n v="0"/>
    <x v="0"/>
    <n v="0"/>
    <s v="MMR001CMP113"/>
    <x v="0"/>
    <x v="1"/>
    <x v="2"/>
    <n v="0"/>
    <s v="No"/>
    <m/>
  </r>
  <r>
    <n v="47.466666666666669"/>
    <d v="2012-07-17T00:00:00"/>
    <x v="0"/>
    <s v="UNHCR"/>
    <s v="Kachin"/>
    <s v="Waingmaw"/>
    <s v="Border Post 8"/>
    <m/>
    <m/>
    <m/>
    <n v="19"/>
    <n v="19"/>
    <n v="19"/>
    <n v="19"/>
    <n v="19"/>
    <n v="19"/>
    <n v="19"/>
    <m/>
    <m/>
    <m/>
    <m/>
    <m/>
    <m/>
    <m/>
    <n v="0"/>
    <n v="0"/>
    <n v="0"/>
    <n v="0"/>
    <n v="0"/>
    <n v="0"/>
    <n v="0"/>
    <n v="0"/>
    <n v="0"/>
    <n v="0"/>
    <n v="0"/>
    <n v="0"/>
    <n v="0"/>
    <n v="0"/>
    <x v="0"/>
    <n v="0"/>
    <s v="MMR001CMP113"/>
    <x v="0"/>
    <x v="1"/>
    <x v="2"/>
    <n v="0.12258064516129032"/>
    <s v="No"/>
    <m/>
  </r>
  <r>
    <n v="51.2"/>
    <d v="2012-03-27T00:00:00"/>
    <x v="0"/>
    <s v="UNHCR"/>
    <s v="Kachin"/>
    <s v="Waingmaw"/>
    <s v="Border Post 8"/>
    <m/>
    <m/>
    <m/>
    <n v="460"/>
    <n v="228"/>
    <n v="460"/>
    <n v="228"/>
    <n v="228"/>
    <n v="228"/>
    <n v="228"/>
    <m/>
    <m/>
    <m/>
    <m/>
    <m/>
    <m/>
    <m/>
    <n v="0"/>
    <n v="0"/>
    <n v="0"/>
    <n v="0"/>
    <n v="0"/>
    <n v="0"/>
    <n v="0"/>
    <n v="0"/>
    <n v="0"/>
    <n v="0"/>
    <n v="0"/>
    <n v="0"/>
    <n v="0"/>
    <n v="0"/>
    <x v="0"/>
    <n v="0"/>
    <s v="MMR001CMP113"/>
    <x v="0"/>
    <x v="1"/>
    <x v="2"/>
    <n v="1.4709677419354839"/>
    <s v="No"/>
    <m/>
  </r>
  <r>
    <n v="51.233333333333334"/>
    <d v="2012-03-26T00:00:00"/>
    <x v="0"/>
    <s v="UNHCR"/>
    <s v="Kachin"/>
    <s v="Waingmaw"/>
    <s v="Border Post 8"/>
    <m/>
    <m/>
    <m/>
    <n v="460"/>
    <n v="250"/>
    <n v="460"/>
    <n v="230"/>
    <n v="0"/>
    <m/>
    <m/>
    <m/>
    <m/>
    <m/>
    <m/>
    <m/>
    <m/>
    <m/>
    <n v="0"/>
    <n v="0"/>
    <n v="0"/>
    <n v="0"/>
    <n v="0"/>
    <n v="0"/>
    <n v="0"/>
    <n v="0"/>
    <n v="0"/>
    <n v="0"/>
    <n v="0"/>
    <n v="0"/>
    <n v="0"/>
    <n v="0"/>
    <x v="0"/>
    <n v="0"/>
    <s v="MMR001CMP113"/>
    <x v="0"/>
    <x v="1"/>
    <x v="2"/>
    <n v="1.4838709677419355"/>
    <s v="No"/>
    <m/>
  </r>
  <r>
    <n v="28.933333333333334"/>
    <d v="2014-01-24T00:00:00"/>
    <x v="3"/>
    <m/>
    <s v="Kachin"/>
    <s v="Mansi"/>
    <s v="Bum Tsit Pa "/>
    <m/>
    <m/>
    <m/>
    <m/>
    <m/>
    <m/>
    <m/>
    <m/>
    <m/>
    <m/>
    <m/>
    <n v="838"/>
    <m/>
    <m/>
    <m/>
    <m/>
    <m/>
    <n v="0"/>
    <n v="0"/>
    <n v="0"/>
    <n v="0"/>
    <n v="0"/>
    <n v="0"/>
    <n v="0"/>
    <n v="0"/>
    <n v="0"/>
    <n v="0"/>
    <n v="0"/>
    <n v="0"/>
    <n v="0"/>
    <n v="0"/>
    <x v="1"/>
    <n v="0"/>
    <s v="MMR001CMP129"/>
    <x v="0"/>
    <x v="1"/>
    <x v="3"/>
    <n v="0"/>
    <s v="No"/>
    <m/>
  </r>
  <r>
    <n v="29.2"/>
    <d v="2014-01-16T00:00:00"/>
    <x v="0"/>
    <s v="UNHCR"/>
    <s v="Kachin"/>
    <s v="Mansi"/>
    <s v="Bum Tsit Pa "/>
    <m/>
    <m/>
    <m/>
    <n v="45"/>
    <n v="30"/>
    <n v="45"/>
    <n v="30"/>
    <m/>
    <n v="30"/>
    <n v="150"/>
    <m/>
    <m/>
    <m/>
    <m/>
    <m/>
    <m/>
    <m/>
    <n v="0"/>
    <n v="0"/>
    <n v="0"/>
    <n v="0"/>
    <n v="0"/>
    <n v="0"/>
    <n v="0"/>
    <n v="0"/>
    <n v="0"/>
    <n v="0"/>
    <n v="0"/>
    <n v="0"/>
    <n v="0"/>
    <n v="0"/>
    <x v="0"/>
    <n v="0"/>
    <s v="MMR001CMP129"/>
    <x v="0"/>
    <x v="1"/>
    <x v="3"/>
    <n v="0.12244897959183673"/>
    <s v="No"/>
    <m/>
  </r>
  <r>
    <n v="30.4"/>
    <d v="2013-12-11T00:00:00"/>
    <x v="9"/>
    <s v="WPN"/>
    <s v="Kachin"/>
    <s v="Mansi"/>
    <s v="Bum Tsit Pa "/>
    <m/>
    <m/>
    <m/>
    <m/>
    <m/>
    <n v="278"/>
    <m/>
    <m/>
    <m/>
    <m/>
    <m/>
    <m/>
    <m/>
    <m/>
    <m/>
    <m/>
    <m/>
    <n v="0"/>
    <n v="0"/>
    <n v="0"/>
    <n v="0"/>
    <n v="0"/>
    <n v="0"/>
    <n v="0"/>
    <n v="0"/>
    <n v="0"/>
    <n v="0"/>
    <n v="0"/>
    <n v="0"/>
    <n v="0"/>
    <n v="0"/>
    <x v="0"/>
    <n v="0"/>
    <s v="MMR001CMP129"/>
    <x v="0"/>
    <x v="1"/>
    <x v="3"/>
    <n v="0"/>
    <s v="No"/>
    <m/>
  </r>
  <r>
    <n v="30.4"/>
    <d v="2013-12-11T00:00:00"/>
    <x v="9"/>
    <s v="WPN"/>
    <s v="Kachin"/>
    <s v="Mansi"/>
    <s v="Bum Tsit Pa "/>
    <m/>
    <m/>
    <m/>
    <m/>
    <m/>
    <n v="174"/>
    <m/>
    <m/>
    <m/>
    <m/>
    <m/>
    <m/>
    <m/>
    <m/>
    <m/>
    <m/>
    <m/>
    <n v="0"/>
    <n v="0"/>
    <n v="0"/>
    <n v="0"/>
    <n v="0"/>
    <n v="0"/>
    <n v="0"/>
    <n v="0"/>
    <n v="0"/>
    <n v="0"/>
    <n v="0"/>
    <n v="0"/>
    <n v="0"/>
    <n v="0"/>
    <x v="0"/>
    <n v="0"/>
    <s v="MMR001CMP129"/>
    <x v="0"/>
    <x v="1"/>
    <x v="3"/>
    <n v="0"/>
    <s v="No"/>
    <m/>
  </r>
  <r>
    <n v="30.766666666666666"/>
    <d v="2013-11-30T00:00:00"/>
    <x v="4"/>
    <s v="MDCG"/>
    <s v="Kachin"/>
    <s v="Mansi"/>
    <s v="Bum Tsit Pa "/>
    <m/>
    <m/>
    <m/>
    <m/>
    <m/>
    <n v="819"/>
    <m/>
    <m/>
    <m/>
    <m/>
    <n v="966"/>
    <n v="484"/>
    <n v="0"/>
    <m/>
    <m/>
    <m/>
    <m/>
    <n v="0"/>
    <n v="0"/>
    <n v="0"/>
    <n v="0"/>
    <n v="0"/>
    <n v="0"/>
    <n v="0"/>
    <n v="0"/>
    <n v="0"/>
    <n v="0"/>
    <n v="0"/>
    <n v="0"/>
    <n v="0"/>
    <n v="0"/>
    <x v="1"/>
    <n v="0"/>
    <s v="MMR001CMP129"/>
    <x v="0"/>
    <x v="1"/>
    <x v="3"/>
    <n v="0"/>
    <s v="No"/>
    <m/>
  </r>
  <r>
    <n v="30.766666666666666"/>
    <d v="2013-11-30T00:00:00"/>
    <x v="5"/>
    <s v="KBC"/>
    <s v="Kachin"/>
    <s v="Mansi"/>
    <s v="Bum Tsit Pa "/>
    <m/>
    <m/>
    <m/>
    <m/>
    <m/>
    <m/>
    <m/>
    <m/>
    <m/>
    <n v="321"/>
    <m/>
    <m/>
    <m/>
    <m/>
    <m/>
    <m/>
    <m/>
    <n v="0"/>
    <n v="0"/>
    <n v="0"/>
    <n v="0"/>
    <n v="0"/>
    <n v="0"/>
    <n v="0"/>
    <n v="0"/>
    <n v="0"/>
    <n v="0"/>
    <n v="0"/>
    <n v="0"/>
    <n v="0"/>
    <n v="0"/>
    <x v="0"/>
    <n v="0"/>
    <s v="MMR001CMP129"/>
    <x v="0"/>
    <x v="1"/>
    <x v="3"/>
    <n v="0"/>
    <s v="No"/>
    <m/>
  </r>
  <r>
    <n v="30.766666666666666"/>
    <d v="2013-11-30T00:00:00"/>
    <x v="0"/>
    <s v="UNHCR"/>
    <s v="Kachin"/>
    <s v="Mansi"/>
    <s v="Bum Tsit Pa "/>
    <m/>
    <m/>
    <m/>
    <m/>
    <m/>
    <m/>
    <m/>
    <m/>
    <m/>
    <m/>
    <m/>
    <m/>
    <m/>
    <m/>
    <m/>
    <m/>
    <m/>
    <n v="0"/>
    <n v="0"/>
    <n v="0"/>
    <n v="0"/>
    <n v="0"/>
    <n v="0"/>
    <n v="0"/>
    <n v="0"/>
    <n v="0"/>
    <n v="0"/>
    <n v="0"/>
    <n v="0"/>
    <n v="0"/>
    <n v="0"/>
    <x v="0"/>
    <n v="0"/>
    <s v="MMR001CMP129"/>
    <x v="0"/>
    <x v="1"/>
    <x v="3"/>
    <n v="0"/>
    <s v="No"/>
    <m/>
  </r>
  <r>
    <n v="31.666666666666668"/>
    <d v="2013-11-03T00:00:00"/>
    <x v="0"/>
    <s v="UNHCR "/>
    <s v="Kachin"/>
    <s v="Mansi"/>
    <s v="Bum Tsit Pa "/>
    <m/>
    <m/>
    <n v="130"/>
    <n v="130"/>
    <n v="65"/>
    <n v="65"/>
    <n v="65"/>
    <n v="65"/>
    <m/>
    <m/>
    <m/>
    <m/>
    <m/>
    <m/>
    <m/>
    <m/>
    <m/>
    <n v="0"/>
    <n v="0"/>
    <n v="0"/>
    <n v="0"/>
    <n v="0"/>
    <n v="0"/>
    <n v="0"/>
    <n v="0"/>
    <n v="0"/>
    <n v="0"/>
    <n v="0"/>
    <n v="0"/>
    <n v="0"/>
    <n v="0"/>
    <x v="0"/>
    <n v="0"/>
    <s v="MMR001CMP129"/>
    <x v="0"/>
    <x v="1"/>
    <x v="3"/>
    <n v="0.26530612244897961"/>
    <s v="No"/>
    <m/>
  </r>
  <r>
    <n v="42.43333333333333"/>
    <d v="2012-12-15T00:00:00"/>
    <x v="5"/>
    <s v="Solidarities"/>
    <s v="Kachin"/>
    <s v="Mansi"/>
    <s v="Bum Tsit Pa "/>
    <n v="587"/>
    <m/>
    <n v="855"/>
    <m/>
    <m/>
    <m/>
    <m/>
    <m/>
    <n v="0"/>
    <n v="0"/>
    <m/>
    <m/>
    <m/>
    <m/>
    <m/>
    <m/>
    <m/>
    <n v="0"/>
    <n v="0"/>
    <n v="0"/>
    <n v="0"/>
    <n v="0"/>
    <n v="0"/>
    <n v="0"/>
    <n v="0"/>
    <n v="0"/>
    <n v="0"/>
    <n v="0"/>
    <n v="0"/>
    <n v="0"/>
    <n v="0"/>
    <x v="0"/>
    <n v="0"/>
    <s v="MMR001CMP129"/>
    <x v="0"/>
    <x v="1"/>
    <x v="3"/>
    <n v="0"/>
    <s v="No"/>
    <m/>
  </r>
  <r>
    <n v="50.93333333333333"/>
    <d v="2012-04-04T00:00:00"/>
    <x v="0"/>
    <s v="UNHCR"/>
    <s v="Kachin"/>
    <s v="Mansi"/>
    <s v="Bum Tsit Pa "/>
    <m/>
    <m/>
    <m/>
    <n v="216"/>
    <n v="108"/>
    <n v="216"/>
    <n v="108"/>
    <n v="108"/>
    <n v="108"/>
    <n v="108"/>
    <m/>
    <m/>
    <m/>
    <m/>
    <m/>
    <m/>
    <m/>
    <n v="0"/>
    <n v="0"/>
    <n v="0"/>
    <n v="0"/>
    <n v="0"/>
    <n v="0"/>
    <n v="0"/>
    <n v="0"/>
    <n v="0"/>
    <n v="0"/>
    <n v="0"/>
    <n v="0"/>
    <n v="0"/>
    <n v="0"/>
    <x v="0"/>
    <n v="0"/>
    <s v="MMR001CMP129"/>
    <x v="0"/>
    <x v="1"/>
    <x v="3"/>
    <n v="0.44081632653061226"/>
    <s v="No"/>
    <m/>
  </r>
  <r>
    <n v="51.133333333333333"/>
    <d v="2012-03-29T00:00:00"/>
    <x v="0"/>
    <s v="UNHCR"/>
    <s v="Kachin"/>
    <s v="Mansi"/>
    <s v="Bum Tsit Pa "/>
    <m/>
    <m/>
    <m/>
    <n v="66"/>
    <n v="66"/>
    <n v="0"/>
    <n v="0"/>
    <n v="0"/>
    <m/>
    <m/>
    <m/>
    <m/>
    <m/>
    <m/>
    <m/>
    <m/>
    <m/>
    <n v="0"/>
    <n v="0"/>
    <n v="0"/>
    <n v="0"/>
    <n v="0"/>
    <n v="0"/>
    <n v="0"/>
    <n v="0"/>
    <n v="0"/>
    <n v="0"/>
    <n v="0"/>
    <n v="0"/>
    <n v="0"/>
    <n v="0"/>
    <x v="0"/>
    <n v="0"/>
    <s v="MMR001CMP129"/>
    <x v="0"/>
    <x v="1"/>
    <x v="3"/>
    <n v="0"/>
    <s v="No"/>
    <m/>
  </r>
  <r>
    <n v="14.766666666666667"/>
    <d v="2015-03-25T00:00:00"/>
    <x v="0"/>
    <s v="KMSS-BMO"/>
    <s v="Kachin"/>
    <s v="Mansi"/>
    <s v="Bum Tsit Pa Camp I"/>
    <m/>
    <m/>
    <m/>
    <m/>
    <m/>
    <n v="829"/>
    <m/>
    <m/>
    <m/>
    <m/>
    <m/>
    <m/>
    <m/>
    <m/>
    <m/>
    <m/>
    <m/>
    <n v="0"/>
    <n v="0"/>
    <n v="0"/>
    <n v="0"/>
    <n v="0"/>
    <n v="0"/>
    <n v="0"/>
    <n v="0"/>
    <n v="0"/>
    <n v="0"/>
    <n v="0"/>
    <n v="0"/>
    <n v="0"/>
    <n v="0"/>
    <x v="0"/>
    <n v="0"/>
    <s v=""/>
    <x v="1"/>
    <x v="2"/>
    <x v="0"/>
    <s v=""/>
    <s v="No"/>
    <m/>
  </r>
  <r>
    <n v="22.066666666666666"/>
    <d v="2014-08-18T00:00:00"/>
    <x v="0"/>
    <m/>
    <s v="Kachin"/>
    <s v="Mansi"/>
    <s v="Bum Tsit Pa Camp II"/>
    <m/>
    <m/>
    <m/>
    <m/>
    <n v="70"/>
    <m/>
    <m/>
    <m/>
    <m/>
    <m/>
    <m/>
    <m/>
    <m/>
    <m/>
    <m/>
    <m/>
    <m/>
    <n v="0"/>
    <n v="0"/>
    <n v="0"/>
    <n v="0"/>
    <n v="0"/>
    <n v="0"/>
    <n v="0"/>
    <n v="0"/>
    <n v="0"/>
    <n v="0"/>
    <n v="0"/>
    <n v="0"/>
    <n v="0"/>
    <n v="0"/>
    <x v="0"/>
    <n v="0"/>
    <s v="MMR001CMP226"/>
    <x v="0"/>
    <x v="1"/>
    <x v="3"/>
    <n v="0"/>
    <m/>
    <m/>
  </r>
  <r>
    <n v="26.033333333333335"/>
    <d v="2014-04-21T00:00:00"/>
    <x v="0"/>
    <m/>
    <s v="Kachin"/>
    <s v="Mansi"/>
    <s v="Bum Tsit Pa Camp II"/>
    <m/>
    <m/>
    <m/>
    <n v="800"/>
    <n v="400"/>
    <m/>
    <n v="100"/>
    <m/>
    <n v="400"/>
    <n v="2000"/>
    <m/>
    <m/>
    <m/>
    <m/>
    <m/>
    <m/>
    <m/>
    <n v="0"/>
    <n v="0"/>
    <n v="0"/>
    <n v="0"/>
    <n v="0"/>
    <n v="0"/>
    <n v="0"/>
    <n v="0"/>
    <n v="0"/>
    <n v="0"/>
    <n v="0"/>
    <n v="0"/>
    <n v="0"/>
    <n v="0"/>
    <x v="0"/>
    <n v="0"/>
    <s v="MMR001CMP226"/>
    <x v="0"/>
    <x v="1"/>
    <x v="3"/>
    <n v="0.45662100456621002"/>
    <m/>
    <m/>
  </r>
  <r>
    <n v="14.666666666666666"/>
    <d v="2015-03-28T00:00:00"/>
    <x v="0"/>
    <s v="KMSS-BMO"/>
    <s v="Kachin"/>
    <s v="Mansi"/>
    <s v="Bum Tsit Pa Camp III"/>
    <m/>
    <m/>
    <m/>
    <m/>
    <m/>
    <n v="704"/>
    <m/>
    <m/>
    <n v="9"/>
    <m/>
    <m/>
    <m/>
    <m/>
    <m/>
    <m/>
    <m/>
    <m/>
    <n v="0"/>
    <n v="0"/>
    <n v="0"/>
    <n v="0"/>
    <n v="0"/>
    <n v="0"/>
    <n v="0"/>
    <n v="0"/>
    <n v="0"/>
    <n v="0"/>
    <n v="0"/>
    <n v="0"/>
    <n v="0"/>
    <n v="0"/>
    <x v="0"/>
    <n v="0"/>
    <s v=""/>
    <x v="1"/>
    <x v="2"/>
    <x v="0"/>
    <s v=""/>
    <s v="No"/>
    <m/>
  </r>
  <r>
    <n v="19.600000000000001"/>
    <d v="2014-10-31T00:00:00"/>
    <x v="0"/>
    <m/>
    <s v="Kachin"/>
    <s v="Hpakant"/>
    <s v="Chin Church, Seik Mu"/>
    <m/>
    <m/>
    <n v="5"/>
    <n v="10"/>
    <n v="5"/>
    <n v="10"/>
    <n v="5"/>
    <m/>
    <n v="5"/>
    <n v="25"/>
    <m/>
    <m/>
    <m/>
    <m/>
    <m/>
    <m/>
    <m/>
    <n v="0"/>
    <n v="0"/>
    <n v="0"/>
    <n v="0"/>
    <n v="0"/>
    <n v="0"/>
    <n v="0"/>
    <n v="0"/>
    <n v="0"/>
    <n v="0"/>
    <n v="0"/>
    <n v="0"/>
    <n v="0"/>
    <n v="0"/>
    <x v="0"/>
    <n v="0"/>
    <s v="MMR001CMP109"/>
    <x v="0"/>
    <x v="1"/>
    <x v="1"/>
    <n v="0.83333333333333337"/>
    <m/>
    <m/>
  </r>
  <r>
    <n v="19.8"/>
    <d v="2014-10-25T00:00:00"/>
    <x v="1"/>
    <s v="MRCS"/>
    <s v="Kachin"/>
    <s v="Hpakant"/>
    <s v="Chin Church, Seik Mu"/>
    <m/>
    <m/>
    <m/>
    <m/>
    <m/>
    <m/>
    <m/>
    <m/>
    <m/>
    <m/>
    <n v="15"/>
    <n v="10"/>
    <m/>
    <m/>
    <m/>
    <m/>
    <m/>
    <n v="0"/>
    <n v="0"/>
    <n v="0"/>
    <n v="0"/>
    <n v="0"/>
    <n v="0"/>
    <n v="0"/>
    <n v="0"/>
    <n v="0"/>
    <n v="0"/>
    <n v="0"/>
    <n v="0"/>
    <n v="0"/>
    <n v="0"/>
    <x v="1"/>
    <n v="0"/>
    <s v="MMR001CMP109"/>
    <x v="0"/>
    <x v="1"/>
    <x v="1"/>
    <n v="0"/>
    <m/>
    <m/>
  </r>
  <r>
    <n v="20.6"/>
    <d v="2014-10-01T00:00:00"/>
    <x v="0"/>
    <s v="Shalom"/>
    <s v="Kachin"/>
    <s v="Hpakant"/>
    <s v="Chin Church, Seik Mu"/>
    <m/>
    <m/>
    <m/>
    <n v="8"/>
    <m/>
    <m/>
    <m/>
    <m/>
    <m/>
    <m/>
    <m/>
    <m/>
    <m/>
    <m/>
    <m/>
    <m/>
    <m/>
    <n v="0"/>
    <n v="0"/>
    <n v="0"/>
    <n v="0"/>
    <n v="0"/>
    <n v="0"/>
    <n v="0"/>
    <n v="0"/>
    <n v="0"/>
    <n v="0"/>
    <n v="0"/>
    <n v="0"/>
    <n v="0"/>
    <n v="0"/>
    <x v="0"/>
    <n v="0"/>
    <s v="MMR001CMP109"/>
    <x v="0"/>
    <x v="1"/>
    <x v="1"/>
    <n v="0"/>
    <m/>
    <m/>
  </r>
  <r>
    <n v="39.266666666666666"/>
    <d v="2013-03-20T00:00:00"/>
    <x v="0"/>
    <s v="UNHCR"/>
    <s v="Kachin"/>
    <s v="Hpakant"/>
    <s v="Chin Church, Seik Mu"/>
    <m/>
    <m/>
    <n v="3"/>
    <n v="8"/>
    <n v="8"/>
    <n v="15"/>
    <n v="8"/>
    <n v="15"/>
    <n v="15"/>
    <n v="15"/>
    <m/>
    <m/>
    <m/>
    <m/>
    <m/>
    <m/>
    <m/>
    <n v="0"/>
    <n v="0"/>
    <n v="0"/>
    <n v="0"/>
    <n v="0"/>
    <n v="0"/>
    <n v="0"/>
    <n v="0"/>
    <n v="0"/>
    <n v="0"/>
    <n v="0"/>
    <n v="0"/>
    <n v="0"/>
    <n v="0"/>
    <x v="0"/>
    <n v="0"/>
    <s v="MMR001CMP109"/>
    <x v="0"/>
    <x v="1"/>
    <x v="1"/>
    <n v="1.3333333333333333"/>
    <s v="No"/>
    <m/>
  </r>
  <r>
    <n v="39.266666666666666"/>
    <d v="2013-03-20T00:00:00"/>
    <x v="0"/>
    <s v="UNHCR"/>
    <s v="Kachin"/>
    <s v="Hpakant"/>
    <s v="Chin(Zomi) Baptist Church"/>
    <m/>
    <m/>
    <n v="9"/>
    <n v="6"/>
    <n v="6"/>
    <n v="15"/>
    <n v="6"/>
    <n v="15"/>
    <n v="15"/>
    <n v="15"/>
    <m/>
    <m/>
    <m/>
    <m/>
    <m/>
    <m/>
    <m/>
    <n v="0"/>
    <n v="0"/>
    <n v="0"/>
    <n v="0"/>
    <n v="0"/>
    <n v="0"/>
    <n v="0"/>
    <n v="0"/>
    <n v="0"/>
    <n v="0"/>
    <n v="0"/>
    <n v="0"/>
    <n v="0"/>
    <n v="0"/>
    <x v="0"/>
    <n v="0"/>
    <s v="MMR001CMP086"/>
    <x v="0"/>
    <x v="0"/>
    <x v="0"/>
    <s v=""/>
    <s v="No"/>
    <m/>
  </r>
  <r>
    <n v="40.200000000000003"/>
    <d v="2013-02-20T00:00:00"/>
    <x v="0"/>
    <s v="UNHCR"/>
    <s v="Kachin"/>
    <s v="Hpakant"/>
    <s v="Chin(Zomi) Baptist Church"/>
    <m/>
    <m/>
    <n v="13"/>
    <n v="28"/>
    <n v="15"/>
    <n v="28"/>
    <n v="15"/>
    <n v="15"/>
    <n v="15"/>
    <n v="15"/>
    <m/>
    <m/>
    <m/>
    <m/>
    <m/>
    <m/>
    <m/>
    <n v="0"/>
    <n v="0"/>
    <n v="0"/>
    <n v="0"/>
    <n v="0"/>
    <n v="0"/>
    <n v="0"/>
    <n v="0"/>
    <n v="0"/>
    <n v="0"/>
    <n v="0"/>
    <n v="0"/>
    <n v="0"/>
    <n v="0"/>
    <x v="0"/>
    <n v="0"/>
    <s v="MMR001CMP086"/>
    <x v="0"/>
    <x v="0"/>
    <x v="0"/>
    <s v=""/>
    <s v="No"/>
    <m/>
  </r>
  <r>
    <n v="17.133333333333333"/>
    <d v="2015-01-13T00:00:00"/>
    <x v="1"/>
    <s v="MRCS"/>
    <s v="Kachin"/>
    <s v="Chipwi"/>
    <s v="Chipwi KBC camp"/>
    <m/>
    <m/>
    <m/>
    <m/>
    <m/>
    <m/>
    <m/>
    <m/>
    <m/>
    <m/>
    <n v="293"/>
    <n v="190"/>
    <m/>
    <n v="170"/>
    <m/>
    <m/>
    <m/>
    <n v="0"/>
    <n v="0"/>
    <n v="0"/>
    <n v="0"/>
    <n v="0"/>
    <n v="0"/>
    <n v="0"/>
    <n v="0"/>
    <n v="0"/>
    <n v="0"/>
    <n v="0"/>
    <n v="0"/>
    <n v="0"/>
    <n v="0"/>
    <x v="1"/>
    <n v="0"/>
    <s v="MMR001CMP042"/>
    <x v="0"/>
    <x v="1"/>
    <x v="2"/>
    <n v="0"/>
    <m/>
    <m/>
  </r>
  <r>
    <n v="20.6"/>
    <d v="2014-10-01T00:00:00"/>
    <x v="0"/>
    <s v="Shalom"/>
    <s v="Kachin"/>
    <s v="Chipwi"/>
    <s v="Chipwi KBC camp"/>
    <m/>
    <m/>
    <m/>
    <n v="214"/>
    <m/>
    <m/>
    <m/>
    <m/>
    <m/>
    <m/>
    <m/>
    <m/>
    <m/>
    <n v="214"/>
    <m/>
    <m/>
    <m/>
    <n v="0"/>
    <n v="0"/>
    <n v="0"/>
    <n v="0"/>
    <n v="0"/>
    <n v="0"/>
    <n v="0"/>
    <n v="0"/>
    <n v="0"/>
    <n v="0"/>
    <n v="0"/>
    <n v="0"/>
    <n v="0"/>
    <n v="0"/>
    <x v="1"/>
    <n v="0"/>
    <s v="MMR001CMP042"/>
    <x v="0"/>
    <x v="1"/>
    <x v="2"/>
    <n v="0"/>
    <m/>
    <m/>
  </r>
  <r>
    <n v="24.833333333333332"/>
    <d v="2014-05-27T00:00:00"/>
    <x v="0"/>
    <s v="Shalom"/>
    <s v="Kachin"/>
    <s v="Chipwi"/>
    <s v="Chipwi KBC camp"/>
    <m/>
    <m/>
    <n v="36"/>
    <n v="18"/>
    <n v="36"/>
    <n v="18"/>
    <m/>
    <n v="18"/>
    <n v="90"/>
    <m/>
    <m/>
    <m/>
    <m/>
    <m/>
    <m/>
    <m/>
    <m/>
    <n v="0"/>
    <n v="0"/>
    <n v="0"/>
    <n v="0"/>
    <n v="0"/>
    <n v="0"/>
    <n v="0"/>
    <n v="0"/>
    <n v="0"/>
    <n v="0"/>
    <n v="0"/>
    <n v="0"/>
    <n v="0"/>
    <n v="0"/>
    <x v="0"/>
    <n v="0"/>
    <s v="MMR001CMP042"/>
    <x v="0"/>
    <x v="1"/>
    <x v="2"/>
    <n v="0"/>
    <m/>
    <m/>
  </r>
  <r>
    <n v="27.933333333333334"/>
    <d v="2014-02-23T00:00:00"/>
    <x v="6"/>
    <s v="MRCS"/>
    <s v="Kachin"/>
    <s v="Chipwi"/>
    <s v="Chipwi KBC camp"/>
    <m/>
    <m/>
    <m/>
    <m/>
    <m/>
    <m/>
    <m/>
    <m/>
    <m/>
    <m/>
    <m/>
    <m/>
    <m/>
    <n v="222"/>
    <m/>
    <m/>
    <m/>
    <n v="0"/>
    <n v="0"/>
    <n v="0"/>
    <n v="0"/>
    <n v="0"/>
    <n v="0"/>
    <n v="0"/>
    <n v="0"/>
    <n v="0"/>
    <n v="0"/>
    <n v="0"/>
    <n v="0"/>
    <n v="0"/>
    <n v="0"/>
    <x v="1"/>
    <n v="0"/>
    <s v="MMR001CMP042"/>
    <x v="0"/>
    <x v="1"/>
    <x v="2"/>
    <n v="0"/>
    <m/>
    <m/>
  </r>
  <r>
    <n v="37.166666666666664"/>
    <d v="2013-05-22T00:00:00"/>
    <x v="8"/>
    <s v="KMSS"/>
    <s v="Kachin"/>
    <s v="Chipwi"/>
    <s v="Chipwi KBC camp"/>
    <n v="510"/>
    <m/>
    <m/>
    <m/>
    <m/>
    <m/>
    <m/>
    <m/>
    <m/>
    <m/>
    <m/>
    <m/>
    <m/>
    <m/>
    <m/>
    <m/>
    <m/>
    <n v="0"/>
    <n v="0"/>
    <n v="0"/>
    <n v="0"/>
    <n v="0"/>
    <n v="0"/>
    <n v="0"/>
    <n v="0"/>
    <n v="0"/>
    <n v="0"/>
    <n v="0"/>
    <n v="0"/>
    <n v="0"/>
    <n v="0"/>
    <x v="0"/>
    <n v="0"/>
    <s v="MMR001CMP042"/>
    <x v="0"/>
    <x v="1"/>
    <x v="2"/>
    <n v="0"/>
    <s v="No"/>
    <m/>
  </r>
  <r>
    <n v="37.166666666666664"/>
    <d v="2013-05-22T00:00:00"/>
    <x v="0"/>
    <s v="UNHCR"/>
    <s v="Kachin"/>
    <s v="Chipwi"/>
    <s v="Chipwi KBC camp"/>
    <m/>
    <m/>
    <n v="80"/>
    <n v="84"/>
    <n v="41"/>
    <n v="84"/>
    <n v="41"/>
    <n v="41"/>
    <n v="41"/>
    <n v="41"/>
    <m/>
    <m/>
    <m/>
    <m/>
    <m/>
    <m/>
    <m/>
    <n v="0"/>
    <n v="0"/>
    <n v="0"/>
    <n v="0"/>
    <n v="0"/>
    <n v="0"/>
    <n v="0"/>
    <n v="0"/>
    <n v="0"/>
    <n v="0"/>
    <n v="0"/>
    <n v="0"/>
    <n v="0"/>
    <n v="0"/>
    <x v="0"/>
    <n v="0"/>
    <s v="MMR001CMP042"/>
    <x v="0"/>
    <x v="1"/>
    <x v="2"/>
    <n v="0.37614678899082571"/>
    <s v="No"/>
    <m/>
  </r>
  <r>
    <n v="40.033333333333331"/>
    <d v="2013-02-25T00:00:00"/>
    <x v="0"/>
    <s v="Chipwe CM"/>
    <s v="Kachin"/>
    <s v="Chipwi"/>
    <s v="Chipwi KBC camp"/>
    <m/>
    <m/>
    <n v="11"/>
    <n v="17"/>
    <n v="7"/>
    <n v="17"/>
    <n v="7"/>
    <n v="7"/>
    <n v="7"/>
    <n v="7"/>
    <m/>
    <m/>
    <m/>
    <m/>
    <m/>
    <m/>
    <m/>
    <n v="0"/>
    <n v="0"/>
    <n v="0"/>
    <n v="0"/>
    <n v="0"/>
    <n v="0"/>
    <n v="0"/>
    <n v="0"/>
    <n v="0"/>
    <n v="0"/>
    <n v="0"/>
    <n v="0"/>
    <n v="0"/>
    <n v="0"/>
    <x v="0"/>
    <n v="0"/>
    <s v="MMR001CMP042"/>
    <x v="0"/>
    <x v="1"/>
    <x v="2"/>
    <n v="6.4220183486238536E-2"/>
    <s v="No"/>
    <m/>
  </r>
  <r>
    <n v="45.133333333333333"/>
    <d v="2012-09-25T00:00:00"/>
    <x v="0"/>
    <s v="Chipwe CM"/>
    <s v="Kachin"/>
    <s v="Chipwi"/>
    <s v="Chipwi KBC camp"/>
    <m/>
    <m/>
    <m/>
    <n v="33"/>
    <n v="11"/>
    <n v="33"/>
    <n v="11"/>
    <n v="11"/>
    <n v="11"/>
    <n v="11"/>
    <m/>
    <m/>
    <m/>
    <m/>
    <m/>
    <m/>
    <m/>
    <n v="0"/>
    <n v="0"/>
    <n v="0"/>
    <n v="0"/>
    <n v="0"/>
    <n v="0"/>
    <n v="0"/>
    <n v="0"/>
    <n v="0"/>
    <n v="0"/>
    <n v="0"/>
    <n v="0"/>
    <n v="0"/>
    <n v="0"/>
    <x v="0"/>
    <n v="0"/>
    <s v="MMR001CMP042"/>
    <x v="0"/>
    <x v="1"/>
    <x v="2"/>
    <n v="0.10091743119266056"/>
    <s v="No"/>
    <m/>
  </r>
  <r>
    <n v="19.600000000000001"/>
    <d v="2014-10-31T00:00:00"/>
    <x v="0"/>
    <m/>
    <s v="Kachin"/>
    <s v="Hpakant"/>
    <s v="Dhama Rakhita, Nyein Chan Tar Yar Ward(Lon Khin)"/>
    <m/>
    <m/>
    <n v="67"/>
    <n v="134"/>
    <n v="67"/>
    <n v="134"/>
    <n v="67"/>
    <m/>
    <n v="67"/>
    <n v="335"/>
    <m/>
    <m/>
    <m/>
    <m/>
    <m/>
    <m/>
    <m/>
    <n v="0"/>
    <n v="0"/>
    <n v="0"/>
    <n v="0"/>
    <n v="0"/>
    <n v="0"/>
    <n v="0"/>
    <n v="0"/>
    <n v="0"/>
    <n v="0"/>
    <n v="0"/>
    <n v="0"/>
    <n v="0"/>
    <n v="0"/>
    <x v="0"/>
    <n v="0"/>
    <s v="MMR001CMP174"/>
    <x v="0"/>
    <x v="1"/>
    <x v="1"/>
    <n v="1.0151515151515151"/>
    <m/>
    <m/>
  </r>
  <r>
    <n v="19.8"/>
    <d v="2014-10-25T00:00:00"/>
    <x v="1"/>
    <s v="MRCS"/>
    <s v="Kachin"/>
    <s v="Hpakant"/>
    <s v="Dhama Rakhita, Nyein Chan Tar Yar Ward(Lon Khin)"/>
    <m/>
    <m/>
    <m/>
    <m/>
    <m/>
    <m/>
    <m/>
    <m/>
    <m/>
    <m/>
    <n v="214"/>
    <n v="112"/>
    <m/>
    <m/>
    <m/>
    <m/>
    <m/>
    <n v="0"/>
    <n v="0"/>
    <n v="0"/>
    <n v="0"/>
    <n v="0"/>
    <n v="0"/>
    <n v="0"/>
    <n v="0"/>
    <n v="0"/>
    <n v="0"/>
    <n v="0"/>
    <n v="0"/>
    <n v="0"/>
    <n v="0"/>
    <x v="1"/>
    <n v="0"/>
    <s v="MMR001CMP174"/>
    <x v="0"/>
    <x v="1"/>
    <x v="1"/>
    <n v="0"/>
    <m/>
    <m/>
  </r>
  <r>
    <n v="20.6"/>
    <d v="2014-10-01T00:00:00"/>
    <x v="0"/>
    <s v="Shalom"/>
    <s v="Kachin"/>
    <s v="Hpakant"/>
    <s v="Dhama Rakhita, Nyein Chan Tar Yar Ward(Lon Khin)"/>
    <m/>
    <m/>
    <m/>
    <n v="130"/>
    <m/>
    <m/>
    <m/>
    <m/>
    <m/>
    <m/>
    <m/>
    <m/>
    <m/>
    <m/>
    <m/>
    <m/>
    <m/>
    <n v="0"/>
    <n v="0"/>
    <n v="0"/>
    <n v="0"/>
    <n v="0"/>
    <n v="0"/>
    <n v="0"/>
    <n v="0"/>
    <n v="0"/>
    <n v="0"/>
    <n v="0"/>
    <n v="0"/>
    <n v="0"/>
    <n v="0"/>
    <x v="0"/>
    <n v="0"/>
    <s v="MMR001CMP174"/>
    <x v="0"/>
    <x v="1"/>
    <x v="1"/>
    <n v="0"/>
    <m/>
    <m/>
  </r>
  <r>
    <n v="40.233333333333334"/>
    <d v="2013-02-19T00:00:00"/>
    <x v="0"/>
    <s v="UNHCR"/>
    <s v="Kachin"/>
    <s v="Hpakant"/>
    <s v="Dhama Rakhita, Nyein Chan Tar Yar Ward(Lon Khin)"/>
    <m/>
    <m/>
    <n v="74"/>
    <n v="105"/>
    <n v="59"/>
    <n v="105"/>
    <n v="59"/>
    <n v="59"/>
    <n v="59"/>
    <n v="59"/>
    <m/>
    <m/>
    <m/>
    <m/>
    <m/>
    <m/>
    <m/>
    <n v="0"/>
    <n v="0"/>
    <n v="0"/>
    <n v="0"/>
    <n v="0"/>
    <n v="0"/>
    <n v="0"/>
    <n v="0"/>
    <n v="0"/>
    <n v="0"/>
    <n v="0"/>
    <n v="0"/>
    <n v="0"/>
    <n v="0"/>
    <x v="0"/>
    <n v="0"/>
    <s v="MMR001CMP174"/>
    <x v="0"/>
    <x v="1"/>
    <x v="1"/>
    <n v="0.89393939393939392"/>
    <s v="No"/>
    <m/>
  </r>
  <r>
    <n v="40.733333333333334"/>
    <d v="2013-02-04T00:00:00"/>
    <x v="2"/>
    <s v="MRCS"/>
    <s v="Kachin"/>
    <s v="Hpakant"/>
    <s v="Dhama Rakhita, Nyein Chan Tar Yar Ward(Lon Khin)"/>
    <m/>
    <m/>
    <m/>
    <m/>
    <m/>
    <m/>
    <n v="58"/>
    <m/>
    <n v="0"/>
    <n v="0"/>
    <m/>
    <m/>
    <m/>
    <m/>
    <m/>
    <m/>
    <m/>
    <n v="0"/>
    <n v="0"/>
    <n v="0"/>
    <n v="0"/>
    <n v="0"/>
    <n v="0"/>
    <n v="0"/>
    <n v="0"/>
    <n v="0"/>
    <n v="0"/>
    <n v="0"/>
    <n v="0"/>
    <n v="0"/>
    <n v="0"/>
    <x v="0"/>
    <n v="0"/>
    <s v="MMR001CMP174"/>
    <x v="0"/>
    <x v="1"/>
    <x v="1"/>
    <n v="0.87878787878787878"/>
    <s v="No"/>
    <m/>
  </r>
  <r>
    <n v="41.9"/>
    <d v="2012-12-31T00:00:00"/>
    <x v="3"/>
    <s v="DRC"/>
    <s v="Kachin"/>
    <s v="Hpakant"/>
    <s v="Dhama Rakhita, Nyein Chan Tar Yar Ward(Lon Khin)"/>
    <n v="6"/>
    <m/>
    <m/>
    <m/>
    <m/>
    <m/>
    <m/>
    <m/>
    <n v="0"/>
    <n v="0"/>
    <m/>
    <m/>
    <m/>
    <m/>
    <m/>
    <m/>
    <m/>
    <n v="0"/>
    <n v="0"/>
    <n v="0"/>
    <n v="0"/>
    <n v="0"/>
    <n v="0"/>
    <n v="0"/>
    <n v="0"/>
    <n v="0"/>
    <n v="0"/>
    <n v="0"/>
    <n v="0"/>
    <n v="0"/>
    <n v="0"/>
    <x v="0"/>
    <n v="0"/>
    <s v="MMR001CMP174"/>
    <x v="0"/>
    <x v="1"/>
    <x v="1"/>
    <n v="0"/>
    <s v="No"/>
    <m/>
  </r>
  <r>
    <n v="24"/>
    <d v="2014-06-21T00:00:00"/>
    <x v="6"/>
    <s v="MRCS"/>
    <s v="Kachin"/>
    <s v="Myitkyina"/>
    <s v="Du Kahtawng Qtr. 14"/>
    <m/>
    <m/>
    <m/>
    <m/>
    <m/>
    <m/>
    <m/>
    <m/>
    <m/>
    <m/>
    <m/>
    <m/>
    <m/>
    <n v="12"/>
    <m/>
    <m/>
    <m/>
    <n v="0"/>
    <n v="0"/>
    <n v="0"/>
    <n v="0"/>
    <n v="0"/>
    <n v="0"/>
    <n v="0"/>
    <n v="0"/>
    <n v="0"/>
    <n v="0"/>
    <n v="0"/>
    <n v="0"/>
    <n v="0"/>
    <n v="0"/>
    <x v="1"/>
    <n v="0"/>
    <s v="MMR001CMP012"/>
    <x v="0"/>
    <x v="1"/>
    <x v="1"/>
    <n v="0"/>
    <m/>
    <m/>
  </r>
  <r>
    <n v="47.466666666666669"/>
    <d v="2012-07-17T00:00:00"/>
    <x v="0"/>
    <s v="UNHCR"/>
    <s v="Kachin"/>
    <s v="Myitkyina"/>
    <s v="Du Kahtawng Qtr. 14"/>
    <m/>
    <m/>
    <m/>
    <n v="5"/>
    <n v="5"/>
    <n v="5"/>
    <n v="5"/>
    <n v="5"/>
    <n v="5"/>
    <n v="5"/>
    <m/>
    <m/>
    <m/>
    <m/>
    <m/>
    <m/>
    <m/>
    <n v="0"/>
    <n v="0"/>
    <n v="0"/>
    <n v="0"/>
    <n v="0"/>
    <n v="0"/>
    <n v="0"/>
    <n v="0"/>
    <n v="0"/>
    <n v="0"/>
    <n v="0"/>
    <n v="0"/>
    <n v="0"/>
    <n v="0"/>
    <x v="0"/>
    <n v="0"/>
    <s v="MMR001CMP012"/>
    <x v="0"/>
    <x v="1"/>
    <x v="1"/>
    <n v="0.83333333333333337"/>
    <s v="No"/>
    <m/>
  </r>
  <r>
    <n v="56.06666666666667"/>
    <d v="2011-11-02T00:00:00"/>
    <x v="0"/>
    <s v="KBC"/>
    <s v="Kachin"/>
    <s v="Myitkyina"/>
    <s v="Du Kahtawng Qtr. 14"/>
    <m/>
    <m/>
    <m/>
    <n v="0"/>
    <n v="5"/>
    <n v="0"/>
    <n v="5"/>
    <n v="5"/>
    <n v="5"/>
    <n v="5"/>
    <m/>
    <m/>
    <m/>
    <m/>
    <m/>
    <m/>
    <m/>
    <n v="0"/>
    <n v="0"/>
    <n v="0"/>
    <n v="0"/>
    <n v="0"/>
    <n v="0"/>
    <n v="0"/>
    <n v="0"/>
    <n v="0"/>
    <n v="0"/>
    <n v="0"/>
    <n v="0"/>
    <n v="0"/>
    <n v="0"/>
    <x v="0"/>
    <n v="0"/>
    <s v="MMR001CMP012"/>
    <x v="0"/>
    <x v="1"/>
    <x v="1"/>
    <n v="0.83333333333333337"/>
    <s v="No"/>
    <m/>
  </r>
  <r>
    <n v="24"/>
    <d v="2014-06-21T00:00:00"/>
    <x v="6"/>
    <s v="MRCS"/>
    <s v="Kachin"/>
    <s v="Myitkyina"/>
    <s v="Du Kahtawng Qtr. 4"/>
    <m/>
    <m/>
    <m/>
    <m/>
    <m/>
    <m/>
    <m/>
    <m/>
    <m/>
    <m/>
    <m/>
    <m/>
    <m/>
    <n v="12"/>
    <m/>
    <m/>
    <m/>
    <n v="0"/>
    <n v="0"/>
    <n v="0"/>
    <n v="0"/>
    <n v="0"/>
    <n v="0"/>
    <n v="0"/>
    <n v="0"/>
    <n v="0"/>
    <n v="0"/>
    <n v="0"/>
    <n v="0"/>
    <n v="0"/>
    <n v="0"/>
    <x v="1"/>
    <n v="0"/>
    <s v="MMR001CMP010"/>
    <x v="0"/>
    <x v="1"/>
    <x v="1"/>
    <n v="0"/>
    <m/>
    <m/>
  </r>
  <r>
    <n v="47.466666666666669"/>
    <d v="2012-07-17T00:00:00"/>
    <x v="0"/>
    <s v="UNHCR"/>
    <s v="Kachin"/>
    <s v="Myitkyina"/>
    <s v="Du Kahtawng Qtr. 4"/>
    <m/>
    <m/>
    <m/>
    <n v="6"/>
    <n v="6"/>
    <n v="6"/>
    <n v="6"/>
    <n v="6"/>
    <n v="6"/>
    <n v="6"/>
    <m/>
    <m/>
    <m/>
    <m/>
    <m/>
    <m/>
    <m/>
    <n v="0"/>
    <n v="0"/>
    <n v="0"/>
    <n v="0"/>
    <n v="0"/>
    <n v="0"/>
    <n v="0"/>
    <n v="0"/>
    <n v="0"/>
    <n v="0"/>
    <n v="0"/>
    <n v="0"/>
    <n v="0"/>
    <n v="0"/>
    <x v="0"/>
    <n v="0"/>
    <s v="MMR001CMP010"/>
    <x v="0"/>
    <x v="1"/>
    <x v="1"/>
    <n v="1"/>
    <s v="No"/>
    <m/>
  </r>
  <r>
    <n v="56.06666666666667"/>
    <d v="2011-11-02T00:00:00"/>
    <x v="0"/>
    <s v="KBC"/>
    <s v="Kachin"/>
    <s v="Myitkyina"/>
    <s v="Du Kahtawng Qtr. 4"/>
    <m/>
    <m/>
    <m/>
    <n v="0"/>
    <n v="6"/>
    <n v="0"/>
    <n v="6"/>
    <n v="6"/>
    <n v="6"/>
    <n v="6"/>
    <m/>
    <m/>
    <m/>
    <m/>
    <m/>
    <m/>
    <m/>
    <n v="0"/>
    <n v="0"/>
    <n v="0"/>
    <n v="0"/>
    <n v="0"/>
    <n v="0"/>
    <n v="0"/>
    <n v="0"/>
    <n v="0"/>
    <n v="0"/>
    <n v="0"/>
    <n v="0"/>
    <n v="0"/>
    <n v="0"/>
    <x v="0"/>
    <n v="0"/>
    <s v="MMR001CMP010"/>
    <x v="0"/>
    <x v="1"/>
    <x v="1"/>
    <n v="1"/>
    <s v="No"/>
    <m/>
  </r>
  <r>
    <n v="24"/>
    <d v="2014-06-21T00:00:00"/>
    <x v="6"/>
    <s v="MRCS"/>
    <s v="Kachin"/>
    <s v="Myitkyina"/>
    <s v="Du Kahtawng Qtr. 5"/>
    <m/>
    <m/>
    <m/>
    <m/>
    <m/>
    <m/>
    <m/>
    <m/>
    <m/>
    <m/>
    <m/>
    <m/>
    <m/>
    <n v="16"/>
    <m/>
    <m/>
    <m/>
    <n v="0"/>
    <n v="0"/>
    <n v="0"/>
    <n v="0"/>
    <n v="0"/>
    <n v="0"/>
    <n v="0"/>
    <n v="0"/>
    <n v="0"/>
    <n v="0"/>
    <n v="0"/>
    <n v="0"/>
    <n v="0"/>
    <n v="0"/>
    <x v="1"/>
    <n v="0"/>
    <s v="MMR001CMP011"/>
    <x v="0"/>
    <x v="1"/>
    <x v="1"/>
    <n v="0"/>
    <m/>
    <m/>
  </r>
  <r>
    <n v="47.466666666666669"/>
    <d v="2012-07-17T00:00:00"/>
    <x v="0"/>
    <s v="UNHCR"/>
    <s v="Kachin"/>
    <s v="Myitkyina"/>
    <s v="Du Kahtawng Qtr. 5"/>
    <m/>
    <m/>
    <m/>
    <n v="6"/>
    <n v="6"/>
    <n v="6"/>
    <n v="6"/>
    <n v="6"/>
    <n v="6"/>
    <n v="6"/>
    <m/>
    <m/>
    <m/>
    <m/>
    <m/>
    <m/>
    <m/>
    <n v="0"/>
    <n v="0"/>
    <n v="0"/>
    <n v="0"/>
    <n v="0"/>
    <n v="0"/>
    <n v="0"/>
    <n v="0"/>
    <n v="0"/>
    <n v="0"/>
    <n v="0"/>
    <n v="0"/>
    <n v="0"/>
    <n v="0"/>
    <x v="0"/>
    <n v="0"/>
    <s v="MMR001CMP011"/>
    <x v="0"/>
    <x v="1"/>
    <x v="1"/>
    <n v="0.14285714285714285"/>
    <s v="No"/>
    <m/>
  </r>
  <r>
    <n v="56.06666666666667"/>
    <d v="2011-11-02T00:00:00"/>
    <x v="0"/>
    <s v="KBC"/>
    <s v="Kachin"/>
    <s v="Myitkyina"/>
    <s v="Du Kahtawng Qtr. 5"/>
    <m/>
    <m/>
    <m/>
    <n v="39"/>
    <n v="8"/>
    <n v="39"/>
    <n v="8"/>
    <n v="8"/>
    <n v="8"/>
    <n v="8"/>
    <m/>
    <m/>
    <m/>
    <m/>
    <m/>
    <m/>
    <m/>
    <n v="0"/>
    <n v="0"/>
    <n v="0"/>
    <n v="0"/>
    <n v="0"/>
    <n v="0"/>
    <n v="0"/>
    <n v="0"/>
    <n v="0"/>
    <n v="0"/>
    <n v="0"/>
    <n v="0"/>
    <n v="0"/>
    <n v="0"/>
    <x v="0"/>
    <n v="0"/>
    <s v="MMR001CMP011"/>
    <x v="0"/>
    <x v="1"/>
    <x v="1"/>
    <n v="0.19047619047619047"/>
    <s v="No"/>
    <m/>
  </r>
  <r>
    <n v="20.6"/>
    <d v="2014-10-01T00:00:00"/>
    <x v="0"/>
    <s v="KMSS"/>
    <s v="Kachin"/>
    <s v="Momauk"/>
    <s v="Dum Bung "/>
    <m/>
    <m/>
    <m/>
    <n v="238"/>
    <m/>
    <m/>
    <m/>
    <m/>
    <m/>
    <m/>
    <m/>
    <m/>
    <m/>
    <n v="238"/>
    <m/>
    <m/>
    <m/>
    <n v="0"/>
    <n v="0"/>
    <n v="0"/>
    <n v="0"/>
    <n v="0"/>
    <n v="0"/>
    <n v="0"/>
    <n v="0"/>
    <n v="0"/>
    <n v="0"/>
    <n v="0"/>
    <n v="0"/>
    <n v="0"/>
    <n v="0"/>
    <x v="1"/>
    <n v="0"/>
    <s v="MMR001CMP123"/>
    <x v="0"/>
    <x v="1"/>
    <x v="3"/>
    <n v="0"/>
    <m/>
    <m/>
  </r>
  <r>
    <n v="28.9"/>
    <d v="2014-01-25T00:00:00"/>
    <x v="0"/>
    <s v="UNHCR"/>
    <s v="Kachin"/>
    <s v="Momauk"/>
    <s v="Dum Bung "/>
    <m/>
    <m/>
    <m/>
    <n v="62"/>
    <n v="31"/>
    <n v="62"/>
    <n v="31"/>
    <m/>
    <n v="31"/>
    <n v="155"/>
    <m/>
    <m/>
    <m/>
    <m/>
    <m/>
    <m/>
    <m/>
    <n v="0"/>
    <n v="0"/>
    <n v="0"/>
    <n v="0"/>
    <n v="0"/>
    <n v="0"/>
    <n v="0"/>
    <n v="0"/>
    <n v="0"/>
    <n v="0"/>
    <n v="0"/>
    <n v="0"/>
    <n v="0"/>
    <n v="0"/>
    <x v="0"/>
    <n v="0"/>
    <s v="MMR001CMP123"/>
    <x v="0"/>
    <x v="1"/>
    <x v="3"/>
    <n v="0.27927927927927926"/>
    <s v="No"/>
    <m/>
  </r>
  <r>
    <n v="29.333333333333332"/>
    <d v="2014-01-12T00:00:00"/>
    <x v="3"/>
    <s v="KMSS"/>
    <s v="Kachin"/>
    <s v="Momauk"/>
    <s v="Dum Bung "/>
    <m/>
    <m/>
    <m/>
    <m/>
    <m/>
    <m/>
    <m/>
    <n v="125"/>
    <m/>
    <m/>
    <m/>
    <m/>
    <m/>
    <m/>
    <m/>
    <m/>
    <m/>
    <n v="0"/>
    <n v="0"/>
    <n v="0"/>
    <n v="0"/>
    <n v="0"/>
    <n v="0"/>
    <n v="0"/>
    <n v="0"/>
    <n v="0"/>
    <n v="0"/>
    <n v="0"/>
    <n v="0"/>
    <n v="0"/>
    <n v="0"/>
    <x v="0"/>
    <n v="0"/>
    <s v="MMR001CMP123"/>
    <x v="0"/>
    <x v="1"/>
    <x v="3"/>
    <n v="0"/>
    <s v="No"/>
    <m/>
  </r>
  <r>
    <n v="29.333333333333332"/>
    <d v="2014-01-12T00:00:00"/>
    <x v="3"/>
    <s v="KMSS"/>
    <s v="Kachin"/>
    <s v="Momauk"/>
    <s v="Dum Bung "/>
    <m/>
    <m/>
    <m/>
    <m/>
    <m/>
    <m/>
    <m/>
    <m/>
    <m/>
    <m/>
    <n v="393"/>
    <n v="232"/>
    <m/>
    <m/>
    <m/>
    <m/>
    <m/>
    <n v="0"/>
    <n v="0"/>
    <n v="0"/>
    <n v="0"/>
    <n v="0"/>
    <n v="0"/>
    <n v="0"/>
    <n v="0"/>
    <n v="0"/>
    <n v="0"/>
    <n v="0"/>
    <n v="0"/>
    <n v="0"/>
    <n v="0"/>
    <x v="1"/>
    <n v="0"/>
    <s v="MMR001CMP123"/>
    <x v="0"/>
    <x v="1"/>
    <x v="3"/>
    <n v="0"/>
    <s v="No"/>
    <m/>
  </r>
  <r>
    <n v="30.6"/>
    <d v="2013-12-05T00:00:00"/>
    <x v="5"/>
    <s v="KBC"/>
    <s v="Kachin"/>
    <s v="Momauk"/>
    <s v="Dum Bung "/>
    <m/>
    <m/>
    <m/>
    <m/>
    <m/>
    <m/>
    <m/>
    <m/>
    <m/>
    <m/>
    <n v="120"/>
    <n v="240"/>
    <n v="720"/>
    <n v="360"/>
    <m/>
    <m/>
    <m/>
    <n v="0"/>
    <n v="0"/>
    <n v="0"/>
    <n v="0"/>
    <n v="0"/>
    <n v="0"/>
    <n v="0"/>
    <n v="0"/>
    <n v="0"/>
    <n v="0"/>
    <n v="0"/>
    <n v="0"/>
    <n v="0"/>
    <n v="0"/>
    <x v="1"/>
    <n v="0"/>
    <s v="MMR001CMP123"/>
    <x v="0"/>
    <x v="1"/>
    <x v="3"/>
    <n v="0"/>
    <m/>
    <m/>
  </r>
  <r>
    <n v="30.766666666666666"/>
    <d v="2013-11-30T00:00:00"/>
    <x v="5"/>
    <s v="KBC"/>
    <s v="Kachin"/>
    <s v="Momauk"/>
    <s v="Dum Bung "/>
    <m/>
    <m/>
    <m/>
    <m/>
    <m/>
    <m/>
    <m/>
    <m/>
    <m/>
    <m/>
    <m/>
    <m/>
    <m/>
    <m/>
    <m/>
    <m/>
    <m/>
    <n v="0"/>
    <n v="0"/>
    <n v="0"/>
    <n v="0"/>
    <n v="0"/>
    <n v="0"/>
    <n v="0"/>
    <n v="0"/>
    <n v="0"/>
    <n v="0"/>
    <n v="0"/>
    <n v="0"/>
    <n v="0"/>
    <n v="0"/>
    <x v="0"/>
    <n v="0"/>
    <s v="MMR001CMP123"/>
    <x v="0"/>
    <x v="1"/>
    <x v="3"/>
    <n v="0"/>
    <s v="No"/>
    <m/>
  </r>
  <r>
    <n v="30.766666666666666"/>
    <d v="2013-11-30T00:00:00"/>
    <x v="0"/>
    <s v="UNHCR"/>
    <s v="Kachin"/>
    <s v="Momauk"/>
    <s v="Dum Bung "/>
    <m/>
    <m/>
    <m/>
    <m/>
    <m/>
    <m/>
    <m/>
    <m/>
    <m/>
    <m/>
    <m/>
    <m/>
    <m/>
    <m/>
    <m/>
    <m/>
    <m/>
    <n v="0"/>
    <n v="0"/>
    <n v="0"/>
    <n v="0"/>
    <n v="0"/>
    <n v="0"/>
    <n v="0"/>
    <n v="0"/>
    <n v="0"/>
    <n v="0"/>
    <n v="0"/>
    <n v="0"/>
    <n v="0"/>
    <n v="0"/>
    <x v="0"/>
    <n v="0"/>
    <s v="MMR001CMP123"/>
    <x v="0"/>
    <x v="1"/>
    <x v="3"/>
    <n v="0"/>
    <s v="No"/>
    <m/>
  </r>
  <r>
    <n v="47.466666666666669"/>
    <d v="2012-07-17T00:00:00"/>
    <x v="0"/>
    <s v="UNHCR"/>
    <s v="Kachin"/>
    <s v="Momauk"/>
    <s v="Dum Bung "/>
    <m/>
    <m/>
    <m/>
    <n v="380"/>
    <n v="156"/>
    <n v="380"/>
    <n v="156"/>
    <n v="156"/>
    <n v="156"/>
    <n v="156"/>
    <m/>
    <m/>
    <m/>
    <m/>
    <m/>
    <m/>
    <m/>
    <n v="0"/>
    <n v="0"/>
    <n v="0"/>
    <n v="0"/>
    <n v="0"/>
    <n v="0"/>
    <n v="0"/>
    <n v="0"/>
    <n v="0"/>
    <n v="0"/>
    <n v="0"/>
    <n v="0"/>
    <n v="0"/>
    <n v="0"/>
    <x v="0"/>
    <n v="0"/>
    <s v="MMR001CMP123"/>
    <x v="0"/>
    <x v="1"/>
    <x v="3"/>
    <n v="1.4054054054054055"/>
    <s v="No"/>
    <m/>
  </r>
  <r>
    <n v="48.266666666666666"/>
    <d v="2012-06-23T00:00:00"/>
    <x v="0"/>
    <s v="UNHCR"/>
    <s v="Kachin"/>
    <s v="Momauk"/>
    <s v="Dum Bung "/>
    <m/>
    <m/>
    <m/>
    <n v="24"/>
    <n v="13"/>
    <n v="24"/>
    <n v="13"/>
    <n v="13"/>
    <n v="13"/>
    <n v="13"/>
    <m/>
    <m/>
    <m/>
    <m/>
    <m/>
    <m/>
    <m/>
    <n v="0"/>
    <n v="0"/>
    <n v="0"/>
    <n v="0"/>
    <n v="0"/>
    <n v="0"/>
    <n v="0"/>
    <n v="0"/>
    <n v="0"/>
    <n v="0"/>
    <n v="0"/>
    <n v="0"/>
    <n v="0"/>
    <n v="0"/>
    <x v="0"/>
    <n v="0"/>
    <s v="MMR001CMP123"/>
    <x v="0"/>
    <x v="1"/>
    <x v="3"/>
    <n v="0.11711711711711711"/>
    <s v="No"/>
    <m/>
  </r>
  <r>
    <n v="50.233333333333334"/>
    <d v="2012-04-25T00:00:00"/>
    <x v="0"/>
    <s v="UNHCR"/>
    <s v="Kachin"/>
    <s v="Momauk"/>
    <s v="Dum Bung "/>
    <m/>
    <m/>
    <m/>
    <n v="198"/>
    <n v="99"/>
    <n v="198"/>
    <n v="99"/>
    <n v="99"/>
    <n v="99"/>
    <n v="99"/>
    <m/>
    <m/>
    <m/>
    <m/>
    <m/>
    <m/>
    <m/>
    <n v="0"/>
    <n v="0"/>
    <n v="0"/>
    <n v="0"/>
    <n v="0"/>
    <n v="0"/>
    <n v="0"/>
    <n v="0"/>
    <n v="0"/>
    <n v="0"/>
    <n v="0"/>
    <n v="0"/>
    <n v="0"/>
    <n v="0"/>
    <x v="0"/>
    <n v="0"/>
    <s v="MMR001CMP123"/>
    <x v="0"/>
    <x v="1"/>
    <x v="3"/>
    <n v="0.89189189189189189"/>
    <s v="No"/>
    <m/>
  </r>
  <r>
    <n v="16.7"/>
    <d v="2015-01-26T00:00:00"/>
    <x v="0"/>
    <s v="KMSS"/>
    <s v="Kachin"/>
    <s v="Hpakant"/>
    <s v="Emergency"/>
    <m/>
    <n v="200"/>
    <m/>
    <n v="400"/>
    <n v="250"/>
    <n v="400"/>
    <n v="200"/>
    <m/>
    <n v="200"/>
    <n v="1200"/>
    <m/>
    <m/>
    <m/>
    <m/>
    <n v="200"/>
    <m/>
    <n v="30"/>
    <n v="0"/>
    <n v="0"/>
    <n v="0"/>
    <n v="0"/>
    <n v="0"/>
    <n v="0"/>
    <n v="0"/>
    <n v="0"/>
    <n v="0"/>
    <n v="0"/>
    <n v="0"/>
    <n v="0"/>
    <n v="0"/>
    <n v="0"/>
    <x v="0"/>
    <n v="0"/>
    <s v=""/>
    <x v="1"/>
    <x v="2"/>
    <x v="0"/>
    <s v=""/>
    <s v="No"/>
    <m/>
  </r>
  <r>
    <n v="40.033333333333331"/>
    <d v="2013-02-25T00:00:00"/>
    <x v="0"/>
    <s v="Chipwe CM"/>
    <s v="Kachin"/>
    <s v="Chipwi"/>
    <s v="Gant Gwin"/>
    <m/>
    <m/>
    <n v="11"/>
    <n v="17"/>
    <n v="7"/>
    <n v="17"/>
    <n v="7"/>
    <n v="7"/>
    <n v="7"/>
    <n v="7"/>
    <m/>
    <m/>
    <m/>
    <m/>
    <m/>
    <m/>
    <m/>
    <n v="0"/>
    <n v="0"/>
    <n v="0"/>
    <n v="0"/>
    <n v="0"/>
    <n v="0"/>
    <n v="0"/>
    <n v="0"/>
    <n v="0"/>
    <n v="0"/>
    <n v="0"/>
    <n v="0"/>
    <n v="0"/>
    <n v="0"/>
    <x v="0"/>
    <n v="0"/>
    <s v="MMR001CMP046"/>
    <x v="0"/>
    <x v="0"/>
    <x v="2"/>
    <s v=""/>
    <s v="No"/>
    <m/>
  </r>
  <r>
    <n v="45.1"/>
    <d v="2012-09-26T00:00:00"/>
    <x v="0"/>
    <s v="Chipwe CM"/>
    <s v="Kachin"/>
    <s v="Chipwi"/>
    <s v="Gant Gwin"/>
    <m/>
    <m/>
    <m/>
    <n v="33"/>
    <n v="11"/>
    <n v="33"/>
    <n v="11"/>
    <n v="11"/>
    <n v="11"/>
    <n v="11"/>
    <m/>
    <m/>
    <m/>
    <m/>
    <m/>
    <m/>
    <m/>
    <n v="0"/>
    <n v="0"/>
    <n v="0"/>
    <n v="0"/>
    <n v="0"/>
    <n v="0"/>
    <n v="0"/>
    <n v="0"/>
    <n v="0"/>
    <n v="0"/>
    <n v="0"/>
    <n v="0"/>
    <n v="0"/>
    <n v="0"/>
    <x v="0"/>
    <n v="0"/>
    <s v="MMR001CMP046"/>
    <x v="0"/>
    <x v="0"/>
    <x v="2"/>
    <s v=""/>
    <s v="No"/>
    <m/>
  </r>
  <r>
    <n v="19.5"/>
    <d v="2014-11-03T00:00:00"/>
    <x v="0"/>
    <s v="Shalom"/>
    <s v="Kachin"/>
    <s v="Waingmaw"/>
    <s v="Hkat Cho "/>
    <m/>
    <m/>
    <n v="15"/>
    <n v="30"/>
    <n v="15"/>
    <n v="30"/>
    <n v="15"/>
    <m/>
    <n v="15"/>
    <n v="75"/>
    <m/>
    <m/>
    <m/>
    <m/>
    <m/>
    <m/>
    <m/>
    <n v="0"/>
    <n v="0"/>
    <n v="0"/>
    <n v="0"/>
    <n v="0"/>
    <n v="0"/>
    <n v="0"/>
    <n v="0"/>
    <n v="0"/>
    <n v="0"/>
    <n v="0"/>
    <n v="0"/>
    <n v="0"/>
    <n v="0"/>
    <x v="0"/>
    <n v="0"/>
    <s v="MMR001CMP028"/>
    <x v="0"/>
    <x v="1"/>
    <x v="1"/>
    <n v="0.15151515151515152"/>
    <m/>
    <m/>
  </r>
  <r>
    <n v="20.6"/>
    <d v="2014-10-01T00:00:00"/>
    <x v="0"/>
    <s v="Shalom"/>
    <s v="Kachin"/>
    <s v="Waingmaw"/>
    <s v="Hkat Cho "/>
    <m/>
    <m/>
    <m/>
    <n v="268"/>
    <m/>
    <m/>
    <m/>
    <m/>
    <m/>
    <m/>
    <m/>
    <m/>
    <m/>
    <m/>
    <m/>
    <m/>
    <m/>
    <n v="0"/>
    <n v="0"/>
    <n v="0"/>
    <n v="0"/>
    <n v="0"/>
    <n v="0"/>
    <n v="0"/>
    <n v="0"/>
    <n v="0"/>
    <n v="0"/>
    <n v="0"/>
    <n v="0"/>
    <n v="0"/>
    <n v="0"/>
    <x v="0"/>
    <n v="0"/>
    <s v="MMR001CMP028"/>
    <x v="0"/>
    <x v="1"/>
    <x v="1"/>
    <n v="0"/>
    <m/>
    <m/>
  </r>
  <r>
    <n v="24.833333333333332"/>
    <d v="2014-05-27T00:00:00"/>
    <x v="0"/>
    <s v="Shalom"/>
    <s v="Kachin"/>
    <s v="Waingmaw"/>
    <s v="Hkat Cho "/>
    <m/>
    <m/>
    <n v="2"/>
    <n v="1"/>
    <n v="2"/>
    <n v="1"/>
    <m/>
    <n v="1"/>
    <n v="5"/>
    <m/>
    <m/>
    <m/>
    <m/>
    <m/>
    <m/>
    <m/>
    <m/>
    <n v="0"/>
    <n v="0"/>
    <n v="0"/>
    <n v="0"/>
    <n v="0"/>
    <n v="0"/>
    <n v="0"/>
    <n v="0"/>
    <n v="0"/>
    <n v="0"/>
    <n v="0"/>
    <n v="0"/>
    <n v="0"/>
    <n v="0"/>
    <x v="0"/>
    <n v="0"/>
    <s v="MMR001CMP028"/>
    <x v="0"/>
    <x v="1"/>
    <x v="1"/>
    <n v="0"/>
    <m/>
    <m/>
  </r>
  <r>
    <n v="24.9"/>
    <d v="2014-05-25T00:00:00"/>
    <x v="6"/>
    <s v="MRCS"/>
    <s v="Kachin"/>
    <s v="Waingmaw"/>
    <s v="Hkat Cho "/>
    <m/>
    <m/>
    <m/>
    <m/>
    <m/>
    <m/>
    <m/>
    <m/>
    <m/>
    <m/>
    <m/>
    <m/>
    <m/>
    <n v="224"/>
    <m/>
    <m/>
    <m/>
    <n v="0"/>
    <n v="0"/>
    <n v="0"/>
    <n v="0"/>
    <n v="0"/>
    <n v="0"/>
    <n v="0"/>
    <n v="0"/>
    <n v="0"/>
    <n v="0"/>
    <n v="0"/>
    <n v="0"/>
    <n v="0"/>
    <n v="0"/>
    <x v="1"/>
    <n v="0"/>
    <s v="MMR001CMP028"/>
    <x v="0"/>
    <x v="1"/>
    <x v="1"/>
    <n v="0"/>
    <m/>
    <m/>
  </r>
  <r>
    <n v="30.166666666666668"/>
    <d v="2013-12-18T00:00:00"/>
    <x v="5"/>
    <s v="KBC"/>
    <s v="Kachin"/>
    <s v="Waingmaw"/>
    <s v="Hkat Cho "/>
    <m/>
    <m/>
    <m/>
    <m/>
    <m/>
    <m/>
    <m/>
    <m/>
    <m/>
    <m/>
    <n v="134"/>
    <n v="238"/>
    <n v="744"/>
    <n v="372"/>
    <m/>
    <m/>
    <m/>
    <n v="0"/>
    <n v="0"/>
    <n v="0"/>
    <n v="0"/>
    <n v="0"/>
    <n v="0"/>
    <n v="0"/>
    <n v="0"/>
    <n v="0"/>
    <n v="0"/>
    <n v="0"/>
    <n v="0"/>
    <n v="0"/>
    <n v="0"/>
    <x v="1"/>
    <n v="0"/>
    <s v="MMR001CMP028"/>
    <x v="0"/>
    <x v="1"/>
    <x v="1"/>
    <n v="0"/>
    <m/>
    <m/>
  </r>
  <r>
    <n v="30.766666666666666"/>
    <d v="2013-11-30T00:00:00"/>
    <x v="5"/>
    <s v="KBC"/>
    <s v="Kachin"/>
    <s v="Waingmaw"/>
    <s v="Hkat Cho "/>
    <m/>
    <m/>
    <m/>
    <m/>
    <m/>
    <m/>
    <m/>
    <m/>
    <m/>
    <m/>
    <m/>
    <m/>
    <m/>
    <m/>
    <m/>
    <m/>
    <m/>
    <n v="0"/>
    <n v="0"/>
    <n v="0"/>
    <n v="0"/>
    <n v="0"/>
    <n v="0"/>
    <n v="0"/>
    <n v="0"/>
    <n v="0"/>
    <n v="0"/>
    <n v="0"/>
    <n v="0"/>
    <n v="0"/>
    <n v="0"/>
    <x v="0"/>
    <n v="0"/>
    <s v="MMR001CMP028"/>
    <x v="0"/>
    <x v="1"/>
    <x v="1"/>
    <n v="0"/>
    <s v="No"/>
    <m/>
  </r>
  <r>
    <n v="40"/>
    <d v="2013-02-26T00:00:00"/>
    <x v="2"/>
    <s v="MRCS"/>
    <s v="Kachin"/>
    <s v="Waingmaw"/>
    <s v="Hkat Cho "/>
    <m/>
    <m/>
    <n v="136"/>
    <m/>
    <n v="66"/>
    <m/>
    <n v="70"/>
    <m/>
    <n v="0"/>
    <n v="0"/>
    <m/>
    <m/>
    <m/>
    <m/>
    <m/>
    <m/>
    <m/>
    <n v="0"/>
    <n v="0"/>
    <n v="0"/>
    <n v="0"/>
    <n v="0"/>
    <n v="0"/>
    <n v="0"/>
    <n v="0"/>
    <n v="0"/>
    <n v="0"/>
    <n v="0"/>
    <n v="0"/>
    <n v="0"/>
    <n v="0"/>
    <x v="0"/>
    <n v="0"/>
    <s v="MMR001CMP028"/>
    <x v="0"/>
    <x v="1"/>
    <x v="1"/>
    <n v="0.70707070707070707"/>
    <s v="No"/>
    <m/>
  </r>
  <r>
    <n v="40.033333333333331"/>
    <d v="2013-02-25T00:00:00"/>
    <x v="2"/>
    <s v="MRCS"/>
    <s v="Kachin"/>
    <s v="Waingmaw"/>
    <s v="Hkat Cho "/>
    <m/>
    <m/>
    <m/>
    <m/>
    <n v="1"/>
    <m/>
    <m/>
    <m/>
    <n v="0"/>
    <n v="0"/>
    <m/>
    <m/>
    <m/>
    <m/>
    <m/>
    <m/>
    <m/>
    <n v="0"/>
    <n v="0"/>
    <n v="0"/>
    <n v="0"/>
    <n v="0"/>
    <n v="0"/>
    <n v="0"/>
    <n v="0"/>
    <n v="0"/>
    <n v="0"/>
    <n v="0"/>
    <n v="0"/>
    <n v="0"/>
    <n v="0"/>
    <x v="0"/>
    <n v="0"/>
    <s v="MMR001CMP028"/>
    <x v="0"/>
    <x v="1"/>
    <x v="1"/>
    <n v="0"/>
    <s v="No"/>
    <m/>
  </r>
  <r>
    <n v="40.866666666666667"/>
    <d v="2013-01-31T00:00:00"/>
    <x v="7"/>
    <s v="World Vision"/>
    <s v="Kachin"/>
    <s v="Waingmaw"/>
    <s v="Hkat Cho "/>
    <m/>
    <m/>
    <m/>
    <m/>
    <m/>
    <n v="256"/>
    <m/>
    <m/>
    <n v="0"/>
    <n v="0"/>
    <m/>
    <m/>
    <m/>
    <m/>
    <m/>
    <m/>
    <m/>
    <n v="0"/>
    <n v="0"/>
    <n v="0"/>
    <n v="0"/>
    <n v="0"/>
    <n v="0"/>
    <n v="0"/>
    <n v="0"/>
    <n v="0"/>
    <n v="0"/>
    <n v="0"/>
    <n v="0"/>
    <n v="0"/>
    <n v="0"/>
    <x v="0"/>
    <n v="0"/>
    <s v="MMR001CMP028"/>
    <x v="0"/>
    <x v="1"/>
    <x v="1"/>
    <n v="0"/>
    <s v="No"/>
    <m/>
  </r>
  <r>
    <n v="41.9"/>
    <d v="2012-12-31T00:00:00"/>
    <x v="3"/>
    <s v="DRC"/>
    <s v="Kachin"/>
    <s v="Waingmaw"/>
    <s v="Hkat Cho "/>
    <n v="136"/>
    <m/>
    <m/>
    <m/>
    <m/>
    <m/>
    <m/>
    <m/>
    <n v="0"/>
    <n v="0"/>
    <m/>
    <m/>
    <m/>
    <m/>
    <m/>
    <m/>
    <m/>
    <n v="0"/>
    <n v="0"/>
    <n v="0"/>
    <n v="0"/>
    <n v="0"/>
    <n v="0"/>
    <n v="0"/>
    <n v="0"/>
    <n v="0"/>
    <n v="0"/>
    <n v="0"/>
    <n v="0"/>
    <n v="0"/>
    <n v="0"/>
    <x v="0"/>
    <n v="0"/>
    <s v="MMR001CMP028"/>
    <x v="0"/>
    <x v="1"/>
    <x v="1"/>
    <n v="0"/>
    <s v="No"/>
    <m/>
  </r>
  <r>
    <n v="47.6"/>
    <d v="2012-07-13T00:00:00"/>
    <x v="0"/>
    <s v="UNHCR"/>
    <s v="Kachin"/>
    <s v="Waingmaw"/>
    <s v="Hkat Cho "/>
    <m/>
    <m/>
    <m/>
    <n v="9"/>
    <n v="9"/>
    <n v="9"/>
    <n v="9"/>
    <n v="9"/>
    <n v="9"/>
    <n v="9"/>
    <m/>
    <m/>
    <m/>
    <m/>
    <m/>
    <m/>
    <m/>
    <n v="0"/>
    <n v="0"/>
    <n v="0"/>
    <n v="0"/>
    <n v="0"/>
    <n v="0"/>
    <n v="0"/>
    <n v="0"/>
    <n v="0"/>
    <n v="0"/>
    <n v="0"/>
    <n v="0"/>
    <n v="0"/>
    <n v="0"/>
    <x v="0"/>
    <n v="0"/>
    <s v="MMR001CMP028"/>
    <x v="0"/>
    <x v="1"/>
    <x v="1"/>
    <n v="9.0909090909090912E-2"/>
    <s v="No"/>
    <m/>
  </r>
  <r>
    <n v="54.2"/>
    <d v="2011-12-28T00:00:00"/>
    <x v="0"/>
    <s v="Shan Community"/>
    <s v="Kachin"/>
    <s v="Waingmaw"/>
    <s v="Hkat Cho "/>
    <m/>
    <m/>
    <m/>
    <n v="31"/>
    <n v="19"/>
    <n v="31"/>
    <n v="19"/>
    <n v="19"/>
    <n v="19"/>
    <n v="19"/>
    <m/>
    <m/>
    <m/>
    <m/>
    <m/>
    <m/>
    <m/>
    <n v="0"/>
    <n v="0"/>
    <n v="0"/>
    <n v="0"/>
    <n v="0"/>
    <n v="0"/>
    <n v="0"/>
    <n v="0"/>
    <n v="0"/>
    <n v="0"/>
    <n v="0"/>
    <n v="0"/>
    <n v="0"/>
    <n v="0"/>
    <x v="0"/>
    <n v="0"/>
    <s v="MMR001CMP028"/>
    <x v="0"/>
    <x v="1"/>
    <x v="1"/>
    <n v="0.19191919191919191"/>
    <s v="No"/>
    <m/>
  </r>
  <r>
    <n v="17.966666666666665"/>
    <d v="2014-12-19T00:00:00"/>
    <x v="0"/>
    <s v="KBC"/>
    <s v="Kachin"/>
    <s v="Waingmaw"/>
    <s v="Hkau Shau (BP 12)"/>
    <m/>
    <m/>
    <m/>
    <m/>
    <m/>
    <m/>
    <m/>
    <m/>
    <m/>
    <m/>
    <n v="364"/>
    <n v="543"/>
    <m/>
    <n v="362"/>
    <m/>
    <m/>
    <m/>
    <n v="0"/>
    <n v="0"/>
    <n v="0"/>
    <n v="0"/>
    <n v="0"/>
    <n v="0"/>
    <n v="0"/>
    <n v="0"/>
    <n v="0"/>
    <n v="0"/>
    <n v="0"/>
    <n v="0"/>
    <n v="0"/>
    <n v="0"/>
    <x v="1"/>
    <n v="0"/>
    <s v="MMR001CMP115"/>
    <x v="0"/>
    <x v="1"/>
    <x v="2"/>
    <n v="0"/>
    <m/>
    <m/>
  </r>
  <r>
    <n v="21.6"/>
    <d v="2014-09-01T00:00:00"/>
    <x v="10"/>
    <m/>
    <s v="Kachin"/>
    <s v="Waingmaw"/>
    <s v="Hkau Shau (BP 12)"/>
    <m/>
    <m/>
    <m/>
    <m/>
    <m/>
    <m/>
    <m/>
    <m/>
    <m/>
    <m/>
    <m/>
    <n v="407"/>
    <m/>
    <m/>
    <m/>
    <m/>
    <m/>
    <n v="0"/>
    <n v="0"/>
    <n v="0"/>
    <n v="0"/>
    <n v="0"/>
    <n v="0"/>
    <n v="0"/>
    <n v="0"/>
    <n v="0"/>
    <n v="0"/>
    <n v="0"/>
    <n v="0"/>
    <n v="0"/>
    <n v="0"/>
    <x v="1"/>
    <n v="0"/>
    <s v="MMR001CMP115"/>
    <x v="0"/>
    <x v="1"/>
    <x v="2"/>
    <n v="0"/>
    <m/>
    <m/>
  </r>
  <r>
    <n v="28.833333333333332"/>
    <d v="2014-01-27T00:00:00"/>
    <x v="10"/>
    <s v="KBC"/>
    <s v="Kachin"/>
    <s v="Waingmaw"/>
    <s v="Hkau Shau (BP 12)"/>
    <m/>
    <m/>
    <m/>
    <m/>
    <m/>
    <n v="181"/>
    <n v="181"/>
    <n v="181"/>
    <m/>
    <n v="181"/>
    <m/>
    <m/>
    <m/>
    <m/>
    <m/>
    <m/>
    <m/>
    <n v="0"/>
    <n v="0"/>
    <n v="0"/>
    <n v="0"/>
    <n v="0"/>
    <n v="0"/>
    <n v="0"/>
    <n v="0"/>
    <n v="0"/>
    <n v="0"/>
    <n v="0"/>
    <n v="0"/>
    <n v="0"/>
    <n v="0"/>
    <x v="0"/>
    <n v="0"/>
    <s v="MMR001CMP115"/>
    <x v="0"/>
    <x v="1"/>
    <x v="2"/>
    <n v="1.2397260273972603"/>
    <s v="No"/>
    <m/>
  </r>
  <r>
    <n v="30.766666666666666"/>
    <d v="2013-11-30T00:00:00"/>
    <x v="5"/>
    <s v="KBC"/>
    <s v="Kachin"/>
    <s v="Waingmaw"/>
    <s v="Hkau Shau (BP 12)"/>
    <m/>
    <m/>
    <m/>
    <m/>
    <m/>
    <m/>
    <m/>
    <m/>
    <m/>
    <m/>
    <m/>
    <m/>
    <m/>
    <m/>
    <m/>
    <m/>
    <m/>
    <n v="0"/>
    <n v="0"/>
    <n v="0"/>
    <n v="0"/>
    <n v="0"/>
    <n v="0"/>
    <n v="0"/>
    <n v="0"/>
    <n v="0"/>
    <n v="0"/>
    <n v="0"/>
    <n v="0"/>
    <n v="0"/>
    <n v="0"/>
    <x v="0"/>
    <n v="0"/>
    <s v="MMR001CMP115"/>
    <x v="0"/>
    <x v="1"/>
    <x v="2"/>
    <n v="0"/>
    <s v="No"/>
    <m/>
  </r>
  <r>
    <n v="30.8"/>
    <d v="2013-11-29T00:00:00"/>
    <x v="5"/>
    <s v="KBC"/>
    <s v="Kachin"/>
    <s v="Waingmaw"/>
    <s v="Hkau Shau (BP 12)"/>
    <m/>
    <m/>
    <m/>
    <m/>
    <m/>
    <m/>
    <m/>
    <m/>
    <m/>
    <m/>
    <n v="177"/>
    <n v="354"/>
    <n v="1062"/>
    <n v="531"/>
    <m/>
    <m/>
    <m/>
    <n v="0"/>
    <n v="0"/>
    <n v="0"/>
    <n v="0"/>
    <n v="0"/>
    <n v="0"/>
    <n v="0"/>
    <n v="0"/>
    <n v="0"/>
    <n v="0"/>
    <n v="0"/>
    <n v="0"/>
    <n v="0"/>
    <n v="0"/>
    <x v="1"/>
    <n v="0"/>
    <s v="MMR001CMP115"/>
    <x v="0"/>
    <x v="1"/>
    <x v="2"/>
    <n v="0"/>
    <m/>
    <m/>
  </r>
  <r>
    <n v="19.233333333333334"/>
    <d v="2014-11-11T00:00:00"/>
    <x v="0"/>
    <s v="KBC"/>
    <s v="Kachin"/>
    <s v="Hpakant"/>
    <s v="Hlaing Naung Baptist"/>
    <m/>
    <m/>
    <n v="19"/>
    <n v="38"/>
    <n v="19"/>
    <n v="38"/>
    <n v="19"/>
    <m/>
    <n v="19"/>
    <n v="95"/>
    <m/>
    <m/>
    <m/>
    <m/>
    <m/>
    <m/>
    <m/>
    <n v="0"/>
    <n v="0"/>
    <n v="0"/>
    <n v="0"/>
    <n v="0"/>
    <n v="0"/>
    <n v="0"/>
    <n v="0"/>
    <n v="0"/>
    <n v="0"/>
    <n v="0"/>
    <n v="0"/>
    <n v="0"/>
    <n v="0"/>
    <x v="0"/>
    <n v="0"/>
    <s v="MMR001CMP148"/>
    <x v="0"/>
    <x v="1"/>
    <x v="1"/>
    <n v="1.3571428571428572"/>
    <m/>
    <m/>
  </r>
  <r>
    <n v="19.8"/>
    <d v="2014-10-25T00:00:00"/>
    <x v="1"/>
    <s v="MRCS"/>
    <s v="Kachin"/>
    <s v="Hpakant"/>
    <s v="Hlaing Naung Baptist"/>
    <m/>
    <m/>
    <m/>
    <m/>
    <m/>
    <m/>
    <m/>
    <m/>
    <m/>
    <m/>
    <n v="37"/>
    <n v="24"/>
    <m/>
    <m/>
    <m/>
    <m/>
    <m/>
    <n v="0"/>
    <n v="0"/>
    <n v="0"/>
    <n v="0"/>
    <n v="0"/>
    <n v="0"/>
    <n v="0"/>
    <n v="0"/>
    <n v="0"/>
    <n v="0"/>
    <n v="0"/>
    <n v="0"/>
    <n v="0"/>
    <n v="0"/>
    <x v="1"/>
    <n v="0"/>
    <s v="MMR001CMP148"/>
    <x v="0"/>
    <x v="1"/>
    <x v="1"/>
    <n v="0"/>
    <m/>
    <m/>
  </r>
  <r>
    <n v="26.566666666666666"/>
    <d v="2014-04-05T00:00:00"/>
    <x v="6"/>
    <s v="MRCS"/>
    <s v="Kachin"/>
    <s v="Hpakant"/>
    <s v="Hlaing Naung Baptist"/>
    <m/>
    <m/>
    <m/>
    <m/>
    <m/>
    <m/>
    <m/>
    <m/>
    <m/>
    <m/>
    <m/>
    <m/>
    <m/>
    <n v="44"/>
    <m/>
    <m/>
    <m/>
    <n v="0"/>
    <n v="0"/>
    <n v="0"/>
    <n v="0"/>
    <n v="0"/>
    <n v="0"/>
    <n v="0"/>
    <n v="0"/>
    <n v="0"/>
    <n v="0"/>
    <n v="0"/>
    <n v="0"/>
    <n v="0"/>
    <n v="0"/>
    <x v="1"/>
    <n v="0"/>
    <s v="MMR001CMP148"/>
    <x v="0"/>
    <x v="1"/>
    <x v="1"/>
    <n v="0"/>
    <m/>
    <m/>
  </r>
  <r>
    <n v="40.266666666666666"/>
    <d v="2013-02-18T00:00:00"/>
    <x v="0"/>
    <s v="UNHCR"/>
    <s v="Kachin"/>
    <s v="Hpakant"/>
    <s v="Hlaing Naung Baptist"/>
    <m/>
    <m/>
    <n v="30"/>
    <n v="0"/>
    <n v="0"/>
    <n v="0"/>
    <n v="0"/>
    <n v="0"/>
    <m/>
    <m/>
    <m/>
    <m/>
    <m/>
    <m/>
    <m/>
    <m/>
    <m/>
    <n v="0"/>
    <n v="0"/>
    <n v="0"/>
    <n v="0"/>
    <n v="0"/>
    <n v="0"/>
    <n v="0"/>
    <n v="0"/>
    <n v="0"/>
    <n v="0"/>
    <n v="0"/>
    <n v="0"/>
    <n v="0"/>
    <n v="0"/>
    <x v="0"/>
    <n v="0"/>
    <s v="MMR001CMP148"/>
    <x v="0"/>
    <x v="1"/>
    <x v="1"/>
    <n v="0"/>
    <s v="No"/>
    <m/>
  </r>
  <r>
    <n v="41.9"/>
    <d v="2012-12-31T00:00:00"/>
    <x v="3"/>
    <s v="DRC"/>
    <s v="Kachin"/>
    <s v="Hpakant"/>
    <s v="Hlaing Naung Baptist"/>
    <n v="4"/>
    <m/>
    <m/>
    <m/>
    <m/>
    <m/>
    <m/>
    <m/>
    <n v="0"/>
    <n v="0"/>
    <m/>
    <m/>
    <m/>
    <m/>
    <m/>
    <m/>
    <m/>
    <n v="0"/>
    <n v="0"/>
    <n v="0"/>
    <n v="0"/>
    <n v="0"/>
    <n v="0"/>
    <n v="0"/>
    <n v="0"/>
    <n v="0"/>
    <n v="0"/>
    <n v="0"/>
    <n v="0"/>
    <n v="0"/>
    <n v="0"/>
    <x v="0"/>
    <n v="0"/>
    <s v="MMR001CMP148"/>
    <x v="0"/>
    <x v="1"/>
    <x v="1"/>
    <n v="0"/>
    <s v="No"/>
    <m/>
  </r>
  <r>
    <n v="42.266666666666666"/>
    <d v="2012-12-20T00:00:00"/>
    <x v="0"/>
    <s v="KBC"/>
    <s v="Kachin"/>
    <s v="Hpakant"/>
    <s v="Hlaing Naung Baptist"/>
    <m/>
    <m/>
    <m/>
    <n v="12"/>
    <n v="0"/>
    <n v="12"/>
    <n v="0"/>
    <n v="0"/>
    <m/>
    <m/>
    <m/>
    <m/>
    <m/>
    <m/>
    <m/>
    <m/>
    <m/>
    <n v="0"/>
    <n v="0"/>
    <n v="0"/>
    <n v="0"/>
    <n v="0"/>
    <n v="0"/>
    <n v="0"/>
    <n v="0"/>
    <n v="0"/>
    <n v="0"/>
    <n v="0"/>
    <n v="0"/>
    <n v="0"/>
    <n v="0"/>
    <x v="0"/>
    <n v="0"/>
    <s v="MMR001CMP148"/>
    <x v="0"/>
    <x v="1"/>
    <x v="1"/>
    <n v="0"/>
    <s v="No"/>
    <m/>
  </r>
  <r>
    <n v="43.6"/>
    <d v="2012-11-10T00:00:00"/>
    <x v="0"/>
    <s v="UNHCR"/>
    <s v="Kachin"/>
    <s v="Hpakant"/>
    <s v="Hlaing Naung Baptist"/>
    <m/>
    <m/>
    <m/>
    <n v="12"/>
    <n v="0"/>
    <n v="12"/>
    <n v="0"/>
    <n v="0"/>
    <m/>
    <m/>
    <m/>
    <m/>
    <m/>
    <m/>
    <m/>
    <m/>
    <m/>
    <n v="0"/>
    <n v="0"/>
    <n v="0"/>
    <n v="0"/>
    <n v="0"/>
    <n v="0"/>
    <n v="0"/>
    <n v="0"/>
    <n v="0"/>
    <n v="0"/>
    <n v="0"/>
    <n v="0"/>
    <n v="0"/>
    <n v="0"/>
    <x v="0"/>
    <n v="0"/>
    <s v="MMR001CMP148"/>
    <x v="0"/>
    <x v="1"/>
    <x v="1"/>
    <n v="0"/>
    <s v="No"/>
    <m/>
  </r>
  <r>
    <n v="43.766666666666666"/>
    <d v="2012-11-05T00:00:00"/>
    <x v="0"/>
    <s v="UNHCR"/>
    <s v="Kachin"/>
    <s v="Hpakant"/>
    <s v="Hlaing Naung Baptist"/>
    <m/>
    <m/>
    <m/>
    <n v="70"/>
    <n v="40"/>
    <n v="70"/>
    <n v="40"/>
    <n v="40"/>
    <n v="40"/>
    <n v="40"/>
    <m/>
    <m/>
    <m/>
    <m/>
    <m/>
    <m/>
    <m/>
    <n v="0"/>
    <n v="0"/>
    <n v="0"/>
    <n v="0"/>
    <n v="0"/>
    <n v="0"/>
    <n v="0"/>
    <n v="0"/>
    <n v="0"/>
    <n v="0"/>
    <n v="0"/>
    <n v="0"/>
    <n v="0"/>
    <n v="0"/>
    <x v="0"/>
    <n v="0"/>
    <s v="MMR001CMP148"/>
    <x v="0"/>
    <x v="1"/>
    <x v="1"/>
    <n v="2.8571428571428572"/>
    <s v="No"/>
    <m/>
  </r>
  <r>
    <n v="53.666666666666664"/>
    <d v="2012-01-13T00:00:00"/>
    <x v="0"/>
    <s v="KBC"/>
    <s v="Kachin"/>
    <s v="Hpakant"/>
    <s v="Hlaing Naung Baptist"/>
    <m/>
    <m/>
    <m/>
    <n v="10"/>
    <n v="5"/>
    <n v="5"/>
    <n v="0"/>
    <n v="5"/>
    <n v="5"/>
    <n v="5"/>
    <m/>
    <m/>
    <m/>
    <m/>
    <m/>
    <m/>
    <m/>
    <n v="0"/>
    <n v="0"/>
    <n v="0"/>
    <n v="0"/>
    <n v="0"/>
    <n v="0"/>
    <n v="0"/>
    <n v="0"/>
    <n v="0"/>
    <n v="0"/>
    <n v="0"/>
    <n v="0"/>
    <n v="0"/>
    <n v="0"/>
    <x v="0"/>
    <n v="0"/>
    <s v="MMR001CMP148"/>
    <x v="0"/>
    <x v="1"/>
    <x v="1"/>
    <n v="0"/>
    <s v="No"/>
    <m/>
  </r>
  <r>
    <n v="19.600000000000001"/>
    <d v="2014-10-31T00:00:00"/>
    <x v="0"/>
    <m/>
    <s v="Kachin"/>
    <s v="Hpakant"/>
    <s v="Hmaw Wan, Anglican"/>
    <m/>
    <m/>
    <n v="10"/>
    <n v="20"/>
    <n v="10"/>
    <n v="20"/>
    <n v="10"/>
    <m/>
    <n v="10"/>
    <n v="50"/>
    <m/>
    <m/>
    <m/>
    <m/>
    <m/>
    <m/>
    <m/>
    <n v="0"/>
    <n v="0"/>
    <n v="0"/>
    <n v="0"/>
    <n v="0"/>
    <n v="0"/>
    <n v="0"/>
    <n v="0"/>
    <n v="0"/>
    <n v="0"/>
    <n v="0"/>
    <n v="0"/>
    <n v="0"/>
    <n v="0"/>
    <x v="0"/>
    <n v="0"/>
    <s v="MMR001CMP191"/>
    <x v="0"/>
    <x v="1"/>
    <x v="1"/>
    <n v="1.25"/>
    <m/>
    <m/>
  </r>
  <r>
    <n v="19.8"/>
    <d v="2014-10-25T00:00:00"/>
    <x v="1"/>
    <s v="MRCS"/>
    <s v="Kachin"/>
    <s v="Hpakant"/>
    <s v="Hmaw Wan, Anglican"/>
    <m/>
    <m/>
    <m/>
    <m/>
    <m/>
    <m/>
    <m/>
    <m/>
    <m/>
    <m/>
    <n v="33"/>
    <n v="24"/>
    <m/>
    <m/>
    <m/>
    <m/>
    <m/>
    <n v="0"/>
    <n v="0"/>
    <n v="0"/>
    <n v="0"/>
    <n v="0"/>
    <n v="0"/>
    <n v="0"/>
    <n v="0"/>
    <n v="0"/>
    <n v="0"/>
    <n v="0"/>
    <n v="0"/>
    <n v="0"/>
    <n v="0"/>
    <x v="1"/>
    <n v="0"/>
    <s v="MMR001CMP191"/>
    <x v="0"/>
    <x v="1"/>
    <x v="1"/>
    <n v="0"/>
    <m/>
    <m/>
  </r>
  <r>
    <n v="20.6"/>
    <d v="2014-10-01T00:00:00"/>
    <x v="0"/>
    <s v="Shalom"/>
    <s v="Kachin"/>
    <s v="Hpakant"/>
    <s v="Hmaw Wan, Anglican"/>
    <m/>
    <m/>
    <m/>
    <n v="20"/>
    <m/>
    <m/>
    <m/>
    <m/>
    <m/>
    <m/>
    <m/>
    <m/>
    <m/>
    <m/>
    <m/>
    <m/>
    <m/>
    <n v="0"/>
    <n v="0"/>
    <n v="0"/>
    <n v="0"/>
    <n v="0"/>
    <n v="0"/>
    <n v="0"/>
    <n v="0"/>
    <n v="0"/>
    <n v="0"/>
    <n v="0"/>
    <n v="0"/>
    <n v="0"/>
    <n v="0"/>
    <x v="0"/>
    <n v="0"/>
    <s v="MMR001CMP191"/>
    <x v="0"/>
    <x v="1"/>
    <x v="1"/>
    <n v="0"/>
    <m/>
    <m/>
  </r>
  <r>
    <n v="41.9"/>
    <d v="2012-12-31T00:00:00"/>
    <x v="3"/>
    <s v="DRC"/>
    <s v="Kachin"/>
    <s v="Hpakant"/>
    <s v="Hmaw Wan, Anglican"/>
    <n v="3"/>
    <m/>
    <m/>
    <m/>
    <m/>
    <m/>
    <m/>
    <m/>
    <n v="0"/>
    <n v="0"/>
    <m/>
    <m/>
    <m/>
    <m/>
    <m/>
    <m/>
    <m/>
    <n v="0"/>
    <n v="0"/>
    <n v="0"/>
    <n v="0"/>
    <n v="0"/>
    <n v="0"/>
    <n v="0"/>
    <n v="0"/>
    <n v="0"/>
    <n v="0"/>
    <n v="0"/>
    <n v="0"/>
    <n v="0"/>
    <n v="0"/>
    <x v="0"/>
    <n v="0"/>
    <s v="MMR001CMP191"/>
    <x v="0"/>
    <x v="1"/>
    <x v="1"/>
    <n v="0"/>
    <s v="No"/>
    <m/>
  </r>
  <r>
    <n v="26.5"/>
    <d v="2014-04-07T00:00:00"/>
    <x v="6"/>
    <s v="MRCS"/>
    <s v="Kachin"/>
    <s v="Mansi"/>
    <s v="Host Families"/>
    <m/>
    <m/>
    <m/>
    <m/>
    <m/>
    <m/>
    <m/>
    <m/>
    <m/>
    <m/>
    <m/>
    <m/>
    <m/>
    <n v="558"/>
    <m/>
    <m/>
    <m/>
    <n v="0"/>
    <n v="0"/>
    <n v="0"/>
    <n v="0"/>
    <n v="0"/>
    <n v="0"/>
    <n v="0"/>
    <n v="0"/>
    <n v="0"/>
    <n v="0"/>
    <n v="0"/>
    <n v="0"/>
    <n v="0"/>
    <n v="0"/>
    <x v="1"/>
    <n v="0"/>
    <s v="MMR001CMP163"/>
    <x v="0"/>
    <x v="1"/>
    <x v="1"/>
    <n v="0"/>
    <m/>
    <m/>
  </r>
  <r>
    <n v="30.166666666666668"/>
    <d v="2013-12-18T00:00:00"/>
    <x v="0"/>
    <s v="UNHCR"/>
    <s v="Kachin"/>
    <s v="Bhamo"/>
    <s v="Host Families"/>
    <m/>
    <m/>
    <m/>
    <m/>
    <n v="4"/>
    <m/>
    <m/>
    <m/>
    <m/>
    <m/>
    <m/>
    <m/>
    <m/>
    <m/>
    <m/>
    <m/>
    <m/>
    <n v="0"/>
    <n v="0"/>
    <n v="0"/>
    <n v="0"/>
    <n v="0"/>
    <n v="0"/>
    <n v="0"/>
    <n v="0"/>
    <n v="0"/>
    <n v="0"/>
    <n v="0"/>
    <n v="0"/>
    <n v="0"/>
    <n v="0"/>
    <x v="0"/>
    <n v="0"/>
    <s v="MMR001CMP163"/>
    <x v="0"/>
    <x v="1"/>
    <x v="1"/>
    <n v="0"/>
    <s v="No"/>
    <m/>
  </r>
  <r>
    <n v="30.9"/>
    <d v="2013-11-26T00:00:00"/>
    <x v="0"/>
    <s v="UNHCR"/>
    <s v="Kachin"/>
    <s v="Bhamo"/>
    <s v="Host Families"/>
    <m/>
    <m/>
    <m/>
    <n v="25"/>
    <n v="13"/>
    <n v="25"/>
    <n v="13"/>
    <n v="13"/>
    <m/>
    <m/>
    <m/>
    <m/>
    <m/>
    <m/>
    <m/>
    <m/>
    <m/>
    <n v="0"/>
    <n v="0"/>
    <n v="0"/>
    <n v="0"/>
    <n v="0"/>
    <n v="0"/>
    <n v="0"/>
    <n v="0"/>
    <n v="0"/>
    <n v="0"/>
    <n v="0"/>
    <n v="0"/>
    <n v="0"/>
    <n v="0"/>
    <x v="0"/>
    <n v="0"/>
    <s v="MMR001CMP163"/>
    <x v="0"/>
    <x v="1"/>
    <x v="1"/>
    <n v="6.1611374407582936E-2"/>
    <s v="No"/>
    <m/>
  </r>
  <r>
    <n v="31.133333333333333"/>
    <d v="2013-11-19T00:00:00"/>
    <x v="0"/>
    <s v="UNHCR"/>
    <s v="Kachin"/>
    <s v="Bhamo"/>
    <s v="Host Families"/>
    <m/>
    <m/>
    <m/>
    <n v="57"/>
    <n v="33"/>
    <n v="57"/>
    <n v="33"/>
    <n v="33"/>
    <m/>
    <m/>
    <m/>
    <m/>
    <m/>
    <m/>
    <m/>
    <m/>
    <m/>
    <n v="0"/>
    <n v="0"/>
    <n v="0"/>
    <n v="0"/>
    <n v="0"/>
    <n v="0"/>
    <n v="0"/>
    <n v="0"/>
    <n v="0"/>
    <n v="0"/>
    <n v="0"/>
    <n v="0"/>
    <n v="0"/>
    <n v="0"/>
    <x v="0"/>
    <n v="0"/>
    <s v="MMR001CMP163"/>
    <x v="0"/>
    <x v="1"/>
    <x v="1"/>
    <n v="0.15639810426540285"/>
    <s v="No"/>
    <m/>
  </r>
  <r>
    <n v="34.4"/>
    <d v="2013-08-13T00:00:00"/>
    <x v="0"/>
    <s v="KMSS"/>
    <s v="Shan_North"/>
    <s v="Manton"/>
    <s v="Host Families"/>
    <m/>
    <m/>
    <n v="49"/>
    <n v="90"/>
    <n v="30"/>
    <n v="90"/>
    <n v="30"/>
    <n v="30"/>
    <n v="30"/>
    <n v="30"/>
    <m/>
    <m/>
    <m/>
    <m/>
    <m/>
    <m/>
    <m/>
    <n v="0"/>
    <n v="0"/>
    <n v="0"/>
    <n v="0"/>
    <n v="0"/>
    <n v="0"/>
    <n v="0"/>
    <n v="0"/>
    <n v="0"/>
    <n v="0"/>
    <n v="0"/>
    <n v="0"/>
    <n v="0"/>
    <n v="0"/>
    <x v="0"/>
    <n v="0"/>
    <s v="MMR001CMP163"/>
    <x v="0"/>
    <x v="1"/>
    <x v="1"/>
    <n v="0.14218009478672985"/>
    <s v="No"/>
    <m/>
  </r>
  <r>
    <n v="19.600000000000001"/>
    <d v="2014-10-31T00:00:00"/>
    <x v="0"/>
    <m/>
    <s v="Kachin"/>
    <s v="Hpakant"/>
    <s v="Hpakant Baptist Church, Nam Ma Hpit"/>
    <m/>
    <m/>
    <n v="64"/>
    <n v="128"/>
    <n v="64"/>
    <n v="128"/>
    <n v="64"/>
    <m/>
    <n v="64"/>
    <n v="320"/>
    <m/>
    <m/>
    <m/>
    <m/>
    <m/>
    <m/>
    <m/>
    <n v="0"/>
    <n v="0"/>
    <n v="0"/>
    <n v="0"/>
    <n v="0"/>
    <n v="0"/>
    <n v="0"/>
    <n v="0"/>
    <n v="0"/>
    <n v="0"/>
    <n v="0"/>
    <n v="0"/>
    <n v="0"/>
    <n v="0"/>
    <x v="0"/>
    <n v="0"/>
    <s v="MMR001CMP229"/>
    <x v="0"/>
    <x v="1"/>
    <x v="1"/>
    <n v="0.55172413793103448"/>
    <m/>
    <m/>
  </r>
  <r>
    <n v="19.8"/>
    <d v="2014-10-25T00:00:00"/>
    <x v="1"/>
    <s v="MRCS"/>
    <s v="Kachin"/>
    <s v="Hpakant"/>
    <s v="Hpakant Baptist Church, Nam Ma Hpit"/>
    <m/>
    <m/>
    <m/>
    <m/>
    <m/>
    <m/>
    <m/>
    <m/>
    <m/>
    <m/>
    <n v="186"/>
    <n v="125"/>
    <m/>
    <m/>
    <m/>
    <m/>
    <m/>
    <n v="0"/>
    <n v="0"/>
    <n v="0"/>
    <n v="0"/>
    <n v="0"/>
    <n v="0"/>
    <n v="0"/>
    <n v="0"/>
    <n v="0"/>
    <n v="0"/>
    <n v="0"/>
    <n v="0"/>
    <n v="0"/>
    <n v="0"/>
    <x v="1"/>
    <n v="0"/>
    <s v="MMR001CMP229"/>
    <x v="0"/>
    <x v="1"/>
    <x v="1"/>
    <n v="0"/>
    <m/>
    <m/>
  </r>
  <r>
    <n v="12.4"/>
    <d v="2015-06-04T00:00:00"/>
    <x v="0"/>
    <s v="KBC"/>
    <s v="Kachin"/>
    <s v="Bhamo"/>
    <s v="Hpankha kone camp"/>
    <m/>
    <m/>
    <m/>
    <m/>
    <n v="37"/>
    <m/>
    <m/>
    <m/>
    <m/>
    <m/>
    <m/>
    <m/>
    <m/>
    <m/>
    <m/>
    <m/>
    <m/>
    <n v="0"/>
    <n v="0"/>
    <n v="0"/>
    <n v="0"/>
    <n v="0"/>
    <n v="0"/>
    <n v="0"/>
    <n v="0"/>
    <n v="0"/>
    <n v="0"/>
    <n v="0"/>
    <n v="0"/>
    <n v="0"/>
    <n v="0"/>
    <x v="0"/>
    <n v="0"/>
    <s v=""/>
    <x v="1"/>
    <x v="2"/>
    <x v="0"/>
    <s v=""/>
    <s v="No"/>
    <m/>
  </r>
  <r>
    <n v="3.4666666666666668"/>
    <d v="2016-02-27T00:00:00"/>
    <x v="0"/>
    <s v="KBC"/>
    <s v="Kachin"/>
    <s v="Waingmaw"/>
    <s v="Hpare Hkyer - BP6"/>
    <m/>
    <m/>
    <m/>
    <m/>
    <m/>
    <m/>
    <m/>
    <m/>
    <m/>
    <m/>
    <n v="380"/>
    <n v="380"/>
    <m/>
    <m/>
    <m/>
    <m/>
    <m/>
    <n v="0"/>
    <n v="0"/>
    <n v="0"/>
    <n v="0"/>
    <n v="0"/>
    <n v="0"/>
    <n v="0"/>
    <n v="0"/>
    <n v="0"/>
    <n v="0"/>
    <n v="380"/>
    <n v="380"/>
    <n v="0"/>
    <n v="0"/>
    <x v="1"/>
    <n v="0"/>
    <s v="MMR001CMP043"/>
    <x v="0"/>
    <x v="1"/>
    <x v="2"/>
    <n v="0"/>
    <m/>
    <s v="13/May/16 (Hpare camp received only winter clothes)_x000a_For Pajau camp and Hpare camp, items transported by UNHCR laiza mission team and further distributed by KBC -&gt; 365 pcs of blackets, Fleece jackets for female (M) = 300 pcs, Fleece jackets for  female (L) = 160 pcs, "/>
  </r>
  <r>
    <n v="17.966666666666665"/>
    <d v="2014-12-19T00:00:00"/>
    <x v="0"/>
    <m/>
    <s v="Kachin"/>
    <s v="Chipwi"/>
    <s v="Hpare Hkyer - BP6"/>
    <m/>
    <m/>
    <m/>
    <m/>
    <m/>
    <m/>
    <m/>
    <m/>
    <m/>
    <m/>
    <n v="320"/>
    <n v="465"/>
    <m/>
    <n v="310"/>
    <m/>
    <m/>
    <m/>
    <n v="0"/>
    <n v="0"/>
    <n v="0"/>
    <n v="0"/>
    <n v="0"/>
    <n v="0"/>
    <n v="0"/>
    <n v="0"/>
    <n v="0"/>
    <n v="0"/>
    <n v="0"/>
    <n v="0"/>
    <n v="0"/>
    <n v="0"/>
    <x v="1"/>
    <n v="0"/>
    <s v="MMR001CMP043"/>
    <x v="0"/>
    <x v="1"/>
    <x v="2"/>
    <n v="0"/>
    <m/>
    <m/>
  </r>
  <r>
    <n v="21.6"/>
    <d v="2014-09-01T00:00:00"/>
    <x v="10"/>
    <m/>
    <s v="Kachin"/>
    <s v="Chipwi"/>
    <s v="Hpare Hkyer - BP6"/>
    <m/>
    <m/>
    <m/>
    <m/>
    <m/>
    <m/>
    <m/>
    <m/>
    <m/>
    <m/>
    <m/>
    <n v="347"/>
    <m/>
    <m/>
    <m/>
    <m/>
    <m/>
    <n v="0"/>
    <n v="0"/>
    <n v="0"/>
    <n v="0"/>
    <n v="0"/>
    <n v="0"/>
    <n v="0"/>
    <n v="0"/>
    <n v="0"/>
    <n v="0"/>
    <n v="0"/>
    <n v="0"/>
    <n v="0"/>
    <n v="0"/>
    <x v="1"/>
    <n v="0"/>
    <s v="MMR001CMP043"/>
    <x v="0"/>
    <x v="1"/>
    <x v="2"/>
    <n v="0"/>
    <m/>
    <m/>
  </r>
  <r>
    <n v="28.833333333333332"/>
    <d v="2014-01-27T00:00:00"/>
    <x v="10"/>
    <s v="KBC"/>
    <s v="Kachin"/>
    <s v="Chipwi"/>
    <s v="Hpare Hkyer - BP6"/>
    <m/>
    <m/>
    <m/>
    <m/>
    <m/>
    <n v="155"/>
    <n v="155"/>
    <n v="155"/>
    <m/>
    <n v="155"/>
    <m/>
    <m/>
    <m/>
    <m/>
    <m/>
    <m/>
    <m/>
    <n v="0"/>
    <n v="0"/>
    <n v="0"/>
    <n v="0"/>
    <n v="0"/>
    <n v="0"/>
    <n v="0"/>
    <n v="0"/>
    <n v="0"/>
    <n v="0"/>
    <n v="0"/>
    <n v="0"/>
    <n v="0"/>
    <n v="0"/>
    <x v="0"/>
    <n v="0"/>
    <s v="MMR001CMP043"/>
    <x v="0"/>
    <x v="1"/>
    <x v="2"/>
    <n v="1.0064935064935066"/>
    <s v="No"/>
    <m/>
  </r>
  <r>
    <n v="40.033333333333331"/>
    <d v="2013-02-25T00:00:00"/>
    <x v="0"/>
    <s v="Chipwe CM"/>
    <s v="Kachin"/>
    <s v="Chipwi"/>
    <s v="Hpare Hkyer - BP6"/>
    <m/>
    <m/>
    <n v="11"/>
    <n v="17"/>
    <n v="7"/>
    <n v="17"/>
    <n v="7"/>
    <n v="7"/>
    <n v="7"/>
    <n v="7"/>
    <m/>
    <m/>
    <m/>
    <m/>
    <m/>
    <m/>
    <m/>
    <n v="0"/>
    <n v="0"/>
    <n v="0"/>
    <n v="0"/>
    <n v="0"/>
    <n v="0"/>
    <n v="0"/>
    <n v="0"/>
    <n v="0"/>
    <n v="0"/>
    <n v="0"/>
    <n v="0"/>
    <n v="0"/>
    <n v="0"/>
    <x v="0"/>
    <n v="0"/>
    <s v="MMR001CMP043"/>
    <x v="0"/>
    <x v="1"/>
    <x v="2"/>
    <n v="4.5454545454545456E-2"/>
    <s v="No"/>
    <m/>
  </r>
  <r>
    <n v="45.06666666666667"/>
    <d v="2012-09-27T00:00:00"/>
    <x v="0"/>
    <s v="Chipwe CM"/>
    <s v="Kachin"/>
    <s v="Chipwi"/>
    <s v="Hpare Hkyer - BP6"/>
    <m/>
    <m/>
    <m/>
    <n v="33"/>
    <n v="11"/>
    <n v="33"/>
    <n v="11"/>
    <n v="11"/>
    <n v="11"/>
    <n v="11"/>
    <m/>
    <m/>
    <m/>
    <m/>
    <m/>
    <m/>
    <m/>
    <n v="0"/>
    <n v="0"/>
    <n v="0"/>
    <n v="0"/>
    <n v="0"/>
    <n v="0"/>
    <n v="0"/>
    <n v="0"/>
    <n v="0"/>
    <n v="0"/>
    <n v="0"/>
    <n v="0"/>
    <n v="0"/>
    <n v="0"/>
    <x v="0"/>
    <n v="0"/>
    <s v="MMR001CMP043"/>
    <x v="0"/>
    <x v="1"/>
    <x v="2"/>
    <n v="7.1428571428571425E-2"/>
    <s v="No"/>
    <m/>
  </r>
  <r>
    <n v="16"/>
    <d v="2015-02-16T00:00:00"/>
    <x v="0"/>
    <s v="KMSS"/>
    <s v="Kachin"/>
    <s v="Waingmaw"/>
    <s v="Hpun Lum Yang "/>
    <m/>
    <m/>
    <m/>
    <m/>
    <m/>
    <m/>
    <m/>
    <m/>
    <m/>
    <m/>
    <n v="865"/>
    <n v="924"/>
    <m/>
    <n v="918"/>
    <m/>
    <m/>
    <m/>
    <n v="0"/>
    <n v="0"/>
    <n v="0"/>
    <n v="0"/>
    <n v="0"/>
    <n v="0"/>
    <n v="0"/>
    <n v="0"/>
    <n v="0"/>
    <n v="0"/>
    <n v="0"/>
    <n v="0"/>
    <n v="0"/>
    <n v="0"/>
    <x v="1"/>
    <n v="0"/>
    <s v="MMR001CMP122"/>
    <x v="0"/>
    <x v="1"/>
    <x v="3"/>
    <n v="0"/>
    <s v="No"/>
    <m/>
  </r>
  <r>
    <n v="30.766666666666666"/>
    <d v="2013-11-30T00:00:00"/>
    <x v="5"/>
    <s v="KBC"/>
    <s v="Kachin"/>
    <s v="Momauk"/>
    <s v="Hpun Lum Yang "/>
    <m/>
    <m/>
    <m/>
    <m/>
    <m/>
    <m/>
    <m/>
    <m/>
    <m/>
    <n v="978"/>
    <m/>
    <m/>
    <m/>
    <m/>
    <m/>
    <m/>
    <m/>
    <n v="0"/>
    <n v="0"/>
    <n v="0"/>
    <n v="0"/>
    <n v="0"/>
    <n v="0"/>
    <n v="0"/>
    <n v="0"/>
    <n v="0"/>
    <n v="0"/>
    <n v="0"/>
    <n v="0"/>
    <n v="0"/>
    <n v="0"/>
    <x v="0"/>
    <n v="0"/>
    <s v="MMR001CMP122"/>
    <x v="0"/>
    <x v="1"/>
    <x v="3"/>
    <n v="0"/>
    <s v="No"/>
    <m/>
  </r>
  <r>
    <n v="32.93333333333333"/>
    <d v="2013-09-26T00:00:00"/>
    <x v="0"/>
    <s v="UNHCR"/>
    <s v="Kachin"/>
    <s v="Momauk"/>
    <s v="Hpun Lum Yang "/>
    <m/>
    <m/>
    <n v="882"/>
    <n v="882"/>
    <n v="441"/>
    <n v="882"/>
    <n v="441"/>
    <m/>
    <n v="441"/>
    <n v="882"/>
    <m/>
    <m/>
    <m/>
    <m/>
    <m/>
    <m/>
    <m/>
    <n v="0"/>
    <n v="0"/>
    <n v="0"/>
    <n v="0"/>
    <n v="0"/>
    <n v="0"/>
    <n v="0"/>
    <n v="0"/>
    <n v="0"/>
    <n v="0"/>
    <n v="0"/>
    <n v="0"/>
    <n v="0"/>
    <n v="0"/>
    <x v="0"/>
    <n v="0"/>
    <s v="MMR001CMP122"/>
    <x v="0"/>
    <x v="1"/>
    <x v="3"/>
    <n v="0.75255972696245732"/>
    <s v="No"/>
    <m/>
  </r>
  <r>
    <n v="42.56666666666667"/>
    <d v="2012-12-11T00:00:00"/>
    <x v="5"/>
    <s v="Solidarities"/>
    <s v="Kachin"/>
    <s v="Momauk"/>
    <s v="Hpun Lum Yang "/>
    <n v="1658"/>
    <m/>
    <n v="2085"/>
    <m/>
    <m/>
    <m/>
    <m/>
    <m/>
    <n v="0"/>
    <n v="0"/>
    <m/>
    <m/>
    <m/>
    <m/>
    <m/>
    <m/>
    <m/>
    <n v="0"/>
    <n v="0"/>
    <n v="0"/>
    <n v="0"/>
    <n v="0"/>
    <n v="0"/>
    <n v="0"/>
    <n v="0"/>
    <n v="0"/>
    <n v="0"/>
    <n v="0"/>
    <n v="0"/>
    <n v="0"/>
    <n v="0"/>
    <x v="0"/>
    <n v="0"/>
    <s v="MMR001CMP122"/>
    <x v="0"/>
    <x v="1"/>
    <x v="3"/>
    <n v="0"/>
    <s v="No"/>
    <m/>
  </r>
  <r>
    <n v="47.466666666666669"/>
    <d v="2012-07-17T00:00:00"/>
    <x v="0"/>
    <s v="UNHCR"/>
    <s v="Kachin"/>
    <s v="Momauk"/>
    <s v="Hpun Lum Yang "/>
    <m/>
    <m/>
    <m/>
    <n v="0"/>
    <n v="0"/>
    <n v="0"/>
    <n v="0"/>
    <n v="0"/>
    <m/>
    <m/>
    <m/>
    <m/>
    <m/>
    <m/>
    <m/>
    <m/>
    <m/>
    <n v="0"/>
    <n v="0"/>
    <n v="0"/>
    <n v="0"/>
    <n v="0"/>
    <n v="0"/>
    <n v="0"/>
    <n v="0"/>
    <n v="0"/>
    <n v="0"/>
    <n v="0"/>
    <n v="0"/>
    <n v="0"/>
    <n v="0"/>
    <x v="0"/>
    <n v="0"/>
    <s v="MMR001CMP122"/>
    <x v="0"/>
    <x v="1"/>
    <x v="3"/>
    <n v="0"/>
    <s v="No"/>
    <m/>
  </r>
  <r>
    <n v="48.833333333333336"/>
    <d v="2012-06-06T00:00:00"/>
    <x v="0"/>
    <s v="UNHCR "/>
    <s v="Kachin"/>
    <s v="Momauk"/>
    <s v="Hpun Lum Yang "/>
    <m/>
    <m/>
    <m/>
    <n v="0"/>
    <n v="200"/>
    <n v="0"/>
    <n v="0"/>
    <n v="0"/>
    <m/>
    <m/>
    <m/>
    <m/>
    <m/>
    <m/>
    <m/>
    <m/>
    <m/>
    <n v="0"/>
    <n v="0"/>
    <n v="0"/>
    <n v="0"/>
    <n v="0"/>
    <n v="0"/>
    <n v="0"/>
    <n v="0"/>
    <n v="0"/>
    <n v="0"/>
    <n v="0"/>
    <n v="0"/>
    <n v="0"/>
    <n v="0"/>
    <x v="0"/>
    <n v="0"/>
    <s v="MMR001CMP122"/>
    <x v="0"/>
    <x v="1"/>
    <x v="3"/>
    <n v="0"/>
    <s v="No"/>
    <m/>
  </r>
  <r>
    <n v="54.7"/>
    <d v="2011-12-13T00:00:00"/>
    <x v="0"/>
    <s v="IRRC"/>
    <s v="Kachin"/>
    <s v="Momauk"/>
    <s v="Hpun Lum Yang "/>
    <m/>
    <m/>
    <m/>
    <n v="250"/>
    <n v="125"/>
    <n v="250"/>
    <n v="125"/>
    <n v="125"/>
    <n v="125"/>
    <n v="125"/>
    <m/>
    <m/>
    <m/>
    <m/>
    <m/>
    <m/>
    <m/>
    <n v="0"/>
    <n v="0"/>
    <n v="0"/>
    <n v="0"/>
    <n v="0"/>
    <n v="0"/>
    <n v="0"/>
    <n v="0"/>
    <n v="0"/>
    <n v="0"/>
    <n v="0"/>
    <n v="0"/>
    <n v="0"/>
    <n v="0"/>
    <x v="0"/>
    <n v="0"/>
    <s v="MMR001CMP122"/>
    <x v="0"/>
    <x v="1"/>
    <x v="3"/>
    <n v="0.21331058020477817"/>
    <s v="No"/>
    <m/>
  </r>
  <r>
    <n v="26.466666666666665"/>
    <d v="2014-04-08T00:00:00"/>
    <x v="6"/>
    <s v="MRCS"/>
    <s v="Kachin"/>
    <s v="Bhamo"/>
    <s v="Htoi San Church"/>
    <m/>
    <m/>
    <m/>
    <m/>
    <m/>
    <m/>
    <m/>
    <m/>
    <m/>
    <m/>
    <m/>
    <m/>
    <m/>
    <n v="90"/>
    <m/>
    <m/>
    <m/>
    <n v="0"/>
    <n v="0"/>
    <n v="0"/>
    <n v="0"/>
    <n v="0"/>
    <n v="0"/>
    <n v="0"/>
    <n v="0"/>
    <n v="0"/>
    <n v="0"/>
    <n v="0"/>
    <n v="0"/>
    <n v="0"/>
    <n v="0"/>
    <x v="1"/>
    <n v="0"/>
    <s v="MMR001CMP052"/>
    <x v="0"/>
    <x v="1"/>
    <x v="1"/>
    <n v="0"/>
    <m/>
    <m/>
  </r>
  <r>
    <n v="30.766666666666666"/>
    <d v="2013-11-30T00:00:00"/>
    <x v="4"/>
    <s v="MDCG"/>
    <s v="Kachin"/>
    <s v="Bhamo"/>
    <s v="Htoi San Church"/>
    <m/>
    <m/>
    <m/>
    <m/>
    <m/>
    <n v="105"/>
    <m/>
    <m/>
    <m/>
    <m/>
    <n v="154"/>
    <n v="26"/>
    <n v="0"/>
    <m/>
    <m/>
    <m/>
    <m/>
    <n v="0"/>
    <n v="0"/>
    <n v="0"/>
    <n v="0"/>
    <n v="0"/>
    <n v="0"/>
    <n v="0"/>
    <n v="0"/>
    <n v="0"/>
    <n v="0"/>
    <n v="0"/>
    <n v="0"/>
    <n v="0"/>
    <n v="0"/>
    <x v="1"/>
    <n v="0"/>
    <s v="MMR001CMP052"/>
    <x v="0"/>
    <x v="1"/>
    <x v="1"/>
    <n v="0"/>
    <s v="No"/>
    <m/>
  </r>
  <r>
    <n v="30.766666666666666"/>
    <d v="2013-11-30T00:00:00"/>
    <x v="5"/>
    <m/>
    <s v="Kachin"/>
    <s v="Bhamo"/>
    <s v="Htoi San Church"/>
    <m/>
    <m/>
    <m/>
    <m/>
    <m/>
    <m/>
    <m/>
    <m/>
    <m/>
    <n v="138"/>
    <m/>
    <m/>
    <m/>
    <m/>
    <m/>
    <m/>
    <m/>
    <n v="0"/>
    <n v="0"/>
    <n v="0"/>
    <n v="0"/>
    <n v="0"/>
    <n v="0"/>
    <n v="0"/>
    <n v="0"/>
    <n v="0"/>
    <n v="0"/>
    <n v="0"/>
    <n v="0"/>
    <n v="0"/>
    <n v="0"/>
    <x v="0"/>
    <n v="0"/>
    <s v="MMR001CMP052"/>
    <x v="0"/>
    <x v="1"/>
    <x v="1"/>
    <n v="0"/>
    <s v="No"/>
    <m/>
  </r>
  <r>
    <n v="31.666666666666668"/>
    <d v="2013-11-03T00:00:00"/>
    <x v="2"/>
    <s v="MRCS"/>
    <s v="Kachin"/>
    <s v="Bhamo"/>
    <s v="Htoi San Church"/>
    <m/>
    <m/>
    <n v="41"/>
    <m/>
    <m/>
    <m/>
    <n v="41"/>
    <m/>
    <m/>
    <m/>
    <m/>
    <m/>
    <m/>
    <m/>
    <m/>
    <m/>
    <m/>
    <n v="0"/>
    <n v="0"/>
    <n v="0"/>
    <n v="0"/>
    <n v="0"/>
    <n v="0"/>
    <n v="0"/>
    <n v="0"/>
    <n v="0"/>
    <n v="0"/>
    <n v="0"/>
    <n v="0"/>
    <n v="0"/>
    <n v="0"/>
    <x v="0"/>
    <n v="0"/>
    <s v="MMR001CMP052"/>
    <x v="0"/>
    <x v="1"/>
    <x v="1"/>
    <n v="1.0512820512820513"/>
    <s v="No"/>
    <m/>
  </r>
  <r>
    <n v="31.733333333333334"/>
    <d v="2013-11-01T00:00:00"/>
    <x v="0"/>
    <s v="UNHCR"/>
    <s v="Kachin"/>
    <s v="Bhamo"/>
    <s v="Htoi San Church"/>
    <m/>
    <m/>
    <n v="12"/>
    <n v="9"/>
    <n v="6"/>
    <n v="9"/>
    <n v="6"/>
    <n v="6"/>
    <n v="6"/>
    <m/>
    <m/>
    <m/>
    <m/>
    <m/>
    <m/>
    <m/>
    <m/>
    <n v="0"/>
    <n v="0"/>
    <n v="0"/>
    <n v="0"/>
    <n v="0"/>
    <n v="0"/>
    <n v="0"/>
    <n v="0"/>
    <n v="0"/>
    <n v="0"/>
    <n v="0"/>
    <n v="0"/>
    <n v="0"/>
    <n v="0"/>
    <x v="0"/>
    <n v="0"/>
    <s v="MMR001CMP052"/>
    <x v="0"/>
    <x v="1"/>
    <x v="1"/>
    <n v="0.15384615384615385"/>
    <s v="No"/>
    <m/>
  </r>
  <r>
    <n v="31.8"/>
    <d v="2013-10-30T00:00:00"/>
    <x v="0"/>
    <s v="UNHCR"/>
    <s v="Kachin"/>
    <s v="Bhamo"/>
    <s v="Htoi San Church"/>
    <m/>
    <m/>
    <n v="72"/>
    <n v="61"/>
    <n v="36"/>
    <n v="61"/>
    <n v="36"/>
    <n v="36"/>
    <n v="36"/>
    <n v="36"/>
    <m/>
    <m/>
    <m/>
    <m/>
    <m/>
    <m/>
    <m/>
    <n v="0"/>
    <n v="0"/>
    <n v="0"/>
    <n v="0"/>
    <n v="0"/>
    <n v="0"/>
    <n v="0"/>
    <n v="0"/>
    <n v="0"/>
    <n v="0"/>
    <n v="0"/>
    <n v="0"/>
    <n v="0"/>
    <n v="0"/>
    <x v="0"/>
    <n v="0"/>
    <s v="MMR001CMP052"/>
    <x v="0"/>
    <x v="1"/>
    <x v="1"/>
    <n v="0.92307692307692313"/>
    <s v="No"/>
    <m/>
  </r>
  <r>
    <n v="41.56666666666667"/>
    <d v="2013-01-10T00:00:00"/>
    <x v="5"/>
    <s v="Solidarities"/>
    <s v="Kachin"/>
    <s v="Bhamo"/>
    <s v="Htoi San Church"/>
    <n v="212"/>
    <m/>
    <n v="240"/>
    <m/>
    <m/>
    <m/>
    <m/>
    <m/>
    <n v="0"/>
    <n v="0"/>
    <m/>
    <m/>
    <m/>
    <m/>
    <m/>
    <m/>
    <m/>
    <n v="0"/>
    <n v="0"/>
    <n v="0"/>
    <n v="0"/>
    <n v="0"/>
    <n v="0"/>
    <n v="0"/>
    <n v="0"/>
    <n v="0"/>
    <n v="0"/>
    <n v="0"/>
    <n v="0"/>
    <n v="0"/>
    <n v="0"/>
    <x v="0"/>
    <n v="0"/>
    <s v="MMR001CMP052"/>
    <x v="0"/>
    <x v="1"/>
    <x v="1"/>
    <n v="0"/>
    <s v="No"/>
    <m/>
  </r>
  <r>
    <n v="30"/>
    <d v="2013-12-23T00:00:00"/>
    <x v="5"/>
    <s v="KBC"/>
    <s v="Kachin"/>
    <s v="Waingmaw"/>
    <s v="IDP Boarding School, A Len Bum"/>
    <m/>
    <m/>
    <m/>
    <m/>
    <m/>
    <m/>
    <m/>
    <m/>
    <m/>
    <m/>
    <n v="2"/>
    <n v="111"/>
    <n v="226"/>
    <n v="113"/>
    <m/>
    <m/>
    <m/>
    <n v="0"/>
    <n v="0"/>
    <n v="0"/>
    <n v="0"/>
    <n v="0"/>
    <n v="0"/>
    <n v="0"/>
    <n v="0"/>
    <n v="0"/>
    <n v="0"/>
    <n v="0"/>
    <n v="0"/>
    <n v="0"/>
    <n v="0"/>
    <x v="1"/>
    <n v="0"/>
    <s v="MMR001CMP208"/>
    <x v="0"/>
    <x v="1"/>
    <x v="3"/>
    <s v=""/>
    <m/>
    <m/>
  </r>
  <r>
    <n v="29.433333333333334"/>
    <d v="2014-01-09T00:00:00"/>
    <x v="5"/>
    <s v="KBC"/>
    <s v="Kachin"/>
    <s v="Mansi"/>
    <s v="IDPs scattered in South Mansi"/>
    <m/>
    <m/>
    <m/>
    <m/>
    <m/>
    <m/>
    <m/>
    <m/>
    <m/>
    <m/>
    <n v="142"/>
    <n v="284"/>
    <n v="852"/>
    <n v="426"/>
    <m/>
    <m/>
    <m/>
    <n v="0"/>
    <n v="0"/>
    <n v="0"/>
    <n v="0"/>
    <n v="0"/>
    <n v="0"/>
    <n v="0"/>
    <n v="0"/>
    <n v="0"/>
    <n v="0"/>
    <n v="0"/>
    <n v="0"/>
    <n v="0"/>
    <n v="0"/>
    <x v="1"/>
    <n v="0"/>
    <s v="MMR001CMP217"/>
    <x v="0"/>
    <x v="0"/>
    <x v="0"/>
    <s v=""/>
    <m/>
    <m/>
  </r>
  <r>
    <n v="18.833333333333332"/>
    <d v="2014-11-23T00:00:00"/>
    <x v="0"/>
    <s v="KBC"/>
    <s v="Kachin"/>
    <s v="Myitkyina"/>
    <s v="Jan Mai Kawng Baptist Church"/>
    <m/>
    <m/>
    <m/>
    <n v="72"/>
    <n v="36"/>
    <n v="72"/>
    <n v="36"/>
    <m/>
    <n v="36"/>
    <n v="180"/>
    <m/>
    <m/>
    <m/>
    <m/>
    <m/>
    <m/>
    <m/>
    <n v="0"/>
    <n v="0"/>
    <n v="0"/>
    <n v="0"/>
    <n v="0"/>
    <n v="0"/>
    <n v="0"/>
    <n v="0"/>
    <n v="0"/>
    <n v="0"/>
    <n v="0"/>
    <n v="0"/>
    <n v="0"/>
    <n v="0"/>
    <x v="0"/>
    <n v="0"/>
    <s v="MMR001CMP018"/>
    <x v="0"/>
    <x v="1"/>
    <x v="1"/>
    <n v="0.17647058823529413"/>
    <m/>
    <m/>
  </r>
  <r>
    <n v="24.233333333333334"/>
    <d v="2014-06-14T00:00:00"/>
    <x v="6"/>
    <s v="MRCS"/>
    <s v="Kachin"/>
    <s v="Myitkyina"/>
    <s v="Jan Mai Kawng Baptist Church"/>
    <m/>
    <m/>
    <m/>
    <m/>
    <m/>
    <m/>
    <m/>
    <m/>
    <m/>
    <m/>
    <m/>
    <m/>
    <m/>
    <n v="406"/>
    <m/>
    <m/>
    <m/>
    <n v="0"/>
    <n v="0"/>
    <n v="0"/>
    <n v="0"/>
    <n v="0"/>
    <n v="0"/>
    <n v="0"/>
    <n v="0"/>
    <n v="0"/>
    <n v="0"/>
    <n v="0"/>
    <n v="0"/>
    <n v="0"/>
    <n v="0"/>
    <x v="1"/>
    <n v="0"/>
    <s v="MMR001CMP018"/>
    <x v="0"/>
    <x v="1"/>
    <x v="1"/>
    <n v="0"/>
    <m/>
    <m/>
  </r>
  <r>
    <n v="40.56666666666667"/>
    <d v="2013-02-09T00:00:00"/>
    <x v="2"/>
    <s v="MRCS"/>
    <s v="Kachin"/>
    <s v="Myitkyina"/>
    <s v="Jan Mai Kawng Baptist Church"/>
    <m/>
    <m/>
    <m/>
    <m/>
    <n v="177"/>
    <n v="10"/>
    <n v="10"/>
    <m/>
    <n v="0"/>
    <n v="0"/>
    <m/>
    <m/>
    <m/>
    <m/>
    <m/>
    <m/>
    <m/>
    <n v="0"/>
    <n v="0"/>
    <n v="0"/>
    <n v="0"/>
    <n v="0"/>
    <n v="0"/>
    <n v="0"/>
    <n v="0"/>
    <n v="0"/>
    <n v="0"/>
    <n v="0"/>
    <n v="0"/>
    <n v="0"/>
    <n v="0"/>
    <x v="0"/>
    <n v="0"/>
    <s v="MMR001CMP018"/>
    <x v="0"/>
    <x v="1"/>
    <x v="1"/>
    <n v="4.9019607843137254E-2"/>
    <s v="No"/>
    <m/>
  </r>
  <r>
    <n v="40.700000000000003"/>
    <d v="2013-02-05T00:00:00"/>
    <x v="2"/>
    <s v="MRCS"/>
    <s v="Kachin"/>
    <s v="Myitkyina"/>
    <s v="Jan Mai Kawng Baptist Church"/>
    <n v="22"/>
    <m/>
    <m/>
    <m/>
    <m/>
    <m/>
    <m/>
    <m/>
    <n v="0"/>
    <n v="0"/>
    <m/>
    <m/>
    <m/>
    <m/>
    <m/>
    <m/>
    <m/>
    <n v="0"/>
    <n v="0"/>
    <n v="0"/>
    <n v="0"/>
    <n v="0"/>
    <n v="0"/>
    <n v="0"/>
    <n v="0"/>
    <n v="0"/>
    <n v="0"/>
    <n v="0"/>
    <n v="0"/>
    <n v="0"/>
    <n v="0"/>
    <x v="0"/>
    <n v="0"/>
    <s v="MMR001CMP018"/>
    <x v="0"/>
    <x v="1"/>
    <x v="1"/>
    <n v="0"/>
    <s v="No"/>
    <m/>
  </r>
  <r>
    <n v="42.266666666666666"/>
    <d v="2012-12-20T00:00:00"/>
    <x v="0"/>
    <s v="UNHCR"/>
    <s v="Kachin"/>
    <s v="Myitkyina"/>
    <s v="Jan Mai Kawng Baptist Church"/>
    <m/>
    <m/>
    <m/>
    <n v="19"/>
    <n v="10"/>
    <n v="19"/>
    <n v="10"/>
    <n v="10"/>
    <n v="10"/>
    <n v="10"/>
    <m/>
    <m/>
    <m/>
    <m/>
    <m/>
    <m/>
    <m/>
    <n v="0"/>
    <n v="0"/>
    <n v="0"/>
    <n v="0"/>
    <n v="0"/>
    <n v="0"/>
    <n v="0"/>
    <n v="0"/>
    <n v="0"/>
    <n v="0"/>
    <n v="0"/>
    <n v="0"/>
    <n v="0"/>
    <n v="0"/>
    <x v="0"/>
    <n v="0"/>
    <s v="MMR001CMP018"/>
    <x v="0"/>
    <x v="1"/>
    <x v="1"/>
    <n v="4.9019607843137254E-2"/>
    <s v="No"/>
    <m/>
  </r>
  <r>
    <n v="46.1"/>
    <d v="2012-08-27T00:00:00"/>
    <x v="0"/>
    <s v="UNHCR"/>
    <s v="Kachin"/>
    <s v="Myitkyina"/>
    <s v="Jan Mai Kawng Baptist Church"/>
    <m/>
    <m/>
    <m/>
    <n v="7"/>
    <n v="4"/>
    <n v="7"/>
    <n v="3"/>
    <n v="3"/>
    <n v="3"/>
    <n v="3"/>
    <m/>
    <m/>
    <m/>
    <m/>
    <m/>
    <m/>
    <m/>
    <n v="0"/>
    <n v="0"/>
    <n v="0"/>
    <n v="0"/>
    <n v="0"/>
    <n v="0"/>
    <n v="0"/>
    <n v="0"/>
    <n v="0"/>
    <n v="0"/>
    <n v="0"/>
    <n v="0"/>
    <n v="0"/>
    <n v="0"/>
    <x v="0"/>
    <n v="0"/>
    <s v="MMR001CMP018"/>
    <x v="0"/>
    <x v="1"/>
    <x v="1"/>
    <n v="1.4705882352941176E-2"/>
    <s v="No"/>
    <m/>
  </r>
  <r>
    <n v="46.7"/>
    <d v="2012-08-09T00:00:00"/>
    <x v="0"/>
    <s v="UNHCR"/>
    <s v="Kachin"/>
    <s v="Myitkyina"/>
    <s v="Jan Mai Kawng Baptist Church"/>
    <m/>
    <m/>
    <m/>
    <n v="7"/>
    <n v="3"/>
    <n v="7"/>
    <n v="3"/>
    <n v="3"/>
    <n v="3"/>
    <n v="3"/>
    <m/>
    <m/>
    <m/>
    <m/>
    <m/>
    <m/>
    <m/>
    <n v="0"/>
    <n v="0"/>
    <n v="0"/>
    <n v="0"/>
    <n v="0"/>
    <n v="0"/>
    <n v="0"/>
    <n v="0"/>
    <n v="0"/>
    <n v="0"/>
    <n v="0"/>
    <n v="0"/>
    <n v="0"/>
    <n v="0"/>
    <x v="0"/>
    <n v="0"/>
    <s v="MMR001CMP018"/>
    <x v="0"/>
    <x v="1"/>
    <x v="1"/>
    <n v="1.4705882352941176E-2"/>
    <s v="No"/>
    <m/>
  </r>
  <r>
    <n v="47.466666666666669"/>
    <d v="2012-07-17T00:00:00"/>
    <x v="0"/>
    <s v="UNHCR"/>
    <s v="Kachin"/>
    <s v="Myitkyina"/>
    <s v="Jan Mai Kawng Baptist Church"/>
    <m/>
    <m/>
    <m/>
    <n v="21"/>
    <n v="21"/>
    <n v="21"/>
    <n v="21"/>
    <n v="21"/>
    <n v="21"/>
    <n v="21"/>
    <m/>
    <m/>
    <m/>
    <m/>
    <m/>
    <m/>
    <m/>
    <n v="0"/>
    <n v="0"/>
    <n v="0"/>
    <n v="0"/>
    <n v="0"/>
    <n v="0"/>
    <n v="0"/>
    <n v="0"/>
    <n v="0"/>
    <n v="0"/>
    <n v="0"/>
    <n v="0"/>
    <n v="0"/>
    <n v="0"/>
    <x v="0"/>
    <n v="0"/>
    <s v="MMR001CMP018"/>
    <x v="0"/>
    <x v="1"/>
    <x v="1"/>
    <n v="0.10294117647058823"/>
    <s v="No"/>
    <m/>
  </r>
  <r>
    <n v="49.3"/>
    <d v="2012-05-23T00:00:00"/>
    <x v="0"/>
    <s v="UNHCR"/>
    <s v="Kachin"/>
    <s v="Myitkyina"/>
    <s v="Jan Mai Kawng Baptist Church"/>
    <m/>
    <m/>
    <m/>
    <n v="22"/>
    <n v="15"/>
    <n v="22"/>
    <n v="15"/>
    <n v="15"/>
    <n v="15"/>
    <n v="15"/>
    <m/>
    <m/>
    <m/>
    <m/>
    <m/>
    <m/>
    <m/>
    <n v="0"/>
    <n v="0"/>
    <n v="0"/>
    <n v="0"/>
    <n v="0"/>
    <n v="0"/>
    <n v="0"/>
    <n v="0"/>
    <n v="0"/>
    <n v="0"/>
    <n v="0"/>
    <n v="0"/>
    <n v="0"/>
    <n v="0"/>
    <x v="0"/>
    <n v="0"/>
    <s v="MMR001CMP018"/>
    <x v="0"/>
    <x v="1"/>
    <x v="1"/>
    <n v="7.3529411764705885E-2"/>
    <s v="No"/>
    <m/>
  </r>
  <r>
    <n v="53.466666666666669"/>
    <d v="2012-01-19T00:00:00"/>
    <x v="0"/>
    <s v="KBC"/>
    <s v="Kachin"/>
    <s v="Myitkyina"/>
    <s v="Jan Mai Kawng Baptist Church"/>
    <m/>
    <m/>
    <m/>
    <n v="0"/>
    <n v="0"/>
    <n v="0"/>
    <n v="0"/>
    <n v="118"/>
    <n v="118"/>
    <n v="118"/>
    <m/>
    <m/>
    <m/>
    <m/>
    <m/>
    <m/>
    <m/>
    <n v="0"/>
    <n v="0"/>
    <n v="0"/>
    <n v="0"/>
    <n v="0"/>
    <n v="0"/>
    <n v="0"/>
    <n v="0"/>
    <n v="0"/>
    <n v="0"/>
    <n v="0"/>
    <n v="0"/>
    <n v="0"/>
    <n v="0"/>
    <x v="0"/>
    <n v="0"/>
    <s v="MMR001CMP018"/>
    <x v="0"/>
    <x v="1"/>
    <x v="1"/>
    <n v="0"/>
    <s v="No"/>
    <m/>
  </r>
  <r>
    <n v="53.866666666666667"/>
    <d v="2012-01-07T00:00:00"/>
    <x v="0"/>
    <s v="KMSS"/>
    <s v="Kachin"/>
    <s v="Myitkyina"/>
    <s v="Jan Mai Kawng Baptist Church"/>
    <m/>
    <m/>
    <m/>
    <n v="32"/>
    <n v="16"/>
    <n v="32"/>
    <n v="16"/>
    <n v="16"/>
    <n v="16"/>
    <n v="16"/>
    <m/>
    <m/>
    <m/>
    <m/>
    <m/>
    <m/>
    <m/>
    <n v="0"/>
    <n v="0"/>
    <n v="0"/>
    <n v="0"/>
    <n v="0"/>
    <n v="0"/>
    <n v="0"/>
    <n v="0"/>
    <n v="0"/>
    <n v="0"/>
    <n v="0"/>
    <n v="0"/>
    <n v="0"/>
    <n v="0"/>
    <x v="0"/>
    <n v="0"/>
    <s v="MMR001CMP018"/>
    <x v="0"/>
    <x v="1"/>
    <x v="1"/>
    <n v="7.8431372549019607E-2"/>
    <s v="No"/>
    <m/>
  </r>
  <r>
    <n v="54.133333333333333"/>
    <d v="2011-12-30T00:00:00"/>
    <x v="0"/>
    <s v="KBC"/>
    <s v="Kachin"/>
    <s v="Myitkyina"/>
    <s v="Jan Mai Kawng Baptist Church"/>
    <m/>
    <m/>
    <m/>
    <n v="56"/>
    <n v="29"/>
    <n v="56"/>
    <n v="29"/>
    <n v="29"/>
    <n v="29"/>
    <n v="29"/>
    <m/>
    <m/>
    <m/>
    <m/>
    <m/>
    <m/>
    <m/>
    <n v="0"/>
    <n v="0"/>
    <n v="0"/>
    <n v="0"/>
    <n v="0"/>
    <n v="0"/>
    <n v="0"/>
    <n v="0"/>
    <n v="0"/>
    <n v="0"/>
    <n v="0"/>
    <n v="0"/>
    <n v="0"/>
    <n v="0"/>
    <x v="0"/>
    <n v="0"/>
    <s v="MMR001CMP018"/>
    <x v="0"/>
    <x v="1"/>
    <x v="1"/>
    <n v="0.14215686274509803"/>
    <s v="No"/>
    <m/>
  </r>
  <r>
    <n v="54.966666666666669"/>
    <d v="2011-12-05T00:00:00"/>
    <x v="0"/>
    <s v="KMSS"/>
    <s v="Kachin"/>
    <s v="Myitkyina"/>
    <s v="Jan Mai Kawng Baptist Church"/>
    <m/>
    <m/>
    <m/>
    <n v="80"/>
    <n v="45"/>
    <n v="80"/>
    <n v="45"/>
    <n v="45"/>
    <n v="45"/>
    <n v="45"/>
    <m/>
    <m/>
    <m/>
    <m/>
    <m/>
    <m/>
    <m/>
    <n v="0"/>
    <n v="0"/>
    <n v="0"/>
    <n v="0"/>
    <n v="0"/>
    <n v="0"/>
    <n v="0"/>
    <n v="0"/>
    <n v="0"/>
    <n v="0"/>
    <n v="0"/>
    <n v="0"/>
    <n v="0"/>
    <n v="0"/>
    <x v="0"/>
    <n v="0"/>
    <s v="MMR001CMP018"/>
    <x v="0"/>
    <x v="1"/>
    <x v="1"/>
    <n v="0.22058823529411764"/>
    <s v="No"/>
    <m/>
  </r>
  <r>
    <n v="56"/>
    <d v="2011-11-04T00:00:00"/>
    <x v="0"/>
    <s v="KBC"/>
    <s v="Kachin"/>
    <s v="Myitkyina"/>
    <s v="Jan Mai Kawng Baptist Church"/>
    <m/>
    <m/>
    <m/>
    <n v="208"/>
    <n v="102"/>
    <n v="208"/>
    <n v="102"/>
    <n v="102"/>
    <n v="102"/>
    <n v="102"/>
    <m/>
    <m/>
    <m/>
    <m/>
    <m/>
    <m/>
    <m/>
    <n v="0"/>
    <n v="0"/>
    <n v="0"/>
    <n v="0"/>
    <n v="0"/>
    <n v="0"/>
    <n v="0"/>
    <n v="0"/>
    <n v="0"/>
    <n v="0"/>
    <n v="0"/>
    <n v="0"/>
    <n v="0"/>
    <n v="0"/>
    <x v="0"/>
    <n v="0"/>
    <s v="MMR001CMP018"/>
    <x v="0"/>
    <x v="1"/>
    <x v="1"/>
    <n v="0.5"/>
    <s v="No"/>
    <m/>
  </r>
  <r>
    <n v="56.033333333333331"/>
    <d v="2011-11-03T00:00:00"/>
    <x v="0"/>
    <s v="KMSS"/>
    <s v="Kachin"/>
    <s v="Myitkyina"/>
    <s v="Jan Mai Kawng Baptist Church"/>
    <m/>
    <m/>
    <m/>
    <n v="106"/>
    <n v="52"/>
    <n v="106"/>
    <n v="52"/>
    <n v="52"/>
    <n v="52"/>
    <n v="52"/>
    <m/>
    <m/>
    <m/>
    <m/>
    <m/>
    <m/>
    <m/>
    <n v="0"/>
    <n v="0"/>
    <n v="0"/>
    <n v="0"/>
    <n v="0"/>
    <n v="0"/>
    <n v="0"/>
    <n v="0"/>
    <n v="0"/>
    <n v="0"/>
    <n v="0"/>
    <n v="0"/>
    <n v="0"/>
    <n v="0"/>
    <x v="0"/>
    <n v="0"/>
    <s v="MMR001CMP018"/>
    <x v="0"/>
    <x v="1"/>
    <x v="1"/>
    <n v="0.25490196078431371"/>
    <s v="No"/>
    <m/>
  </r>
  <r>
    <n v="20.6"/>
    <d v="2014-10-01T00:00:00"/>
    <x v="0"/>
    <s v="KMSS"/>
    <s v="Kachin"/>
    <s v="Myitkyina"/>
    <s v="Jan Mai Kawng Catholic Church"/>
    <m/>
    <m/>
    <m/>
    <n v="218"/>
    <m/>
    <m/>
    <m/>
    <m/>
    <m/>
    <m/>
    <m/>
    <m/>
    <m/>
    <m/>
    <m/>
    <m/>
    <m/>
    <n v="0"/>
    <n v="0"/>
    <n v="0"/>
    <n v="0"/>
    <n v="0"/>
    <n v="0"/>
    <n v="0"/>
    <n v="0"/>
    <n v="0"/>
    <n v="0"/>
    <n v="0"/>
    <n v="0"/>
    <n v="0"/>
    <n v="0"/>
    <x v="0"/>
    <n v="0"/>
    <s v="MMR001CMP019"/>
    <x v="0"/>
    <x v="1"/>
    <x v="1"/>
    <n v="0"/>
    <m/>
    <m/>
  </r>
  <r>
    <n v="24.233333333333334"/>
    <d v="2014-06-14T00:00:00"/>
    <x v="6"/>
    <s v="MRCS"/>
    <s v="Kachin"/>
    <s v="Myitkyina"/>
    <s v="Jan Mai Kawng Catholic Church"/>
    <m/>
    <m/>
    <m/>
    <m/>
    <m/>
    <m/>
    <m/>
    <m/>
    <m/>
    <m/>
    <m/>
    <m/>
    <m/>
    <n v="216"/>
    <m/>
    <m/>
    <m/>
    <n v="0"/>
    <n v="0"/>
    <n v="0"/>
    <n v="0"/>
    <n v="0"/>
    <n v="0"/>
    <n v="0"/>
    <n v="0"/>
    <n v="0"/>
    <n v="0"/>
    <n v="0"/>
    <n v="0"/>
    <n v="0"/>
    <n v="0"/>
    <x v="1"/>
    <n v="0"/>
    <s v="MMR001CMP019"/>
    <x v="0"/>
    <x v="1"/>
    <x v="1"/>
    <n v="0"/>
    <m/>
    <m/>
  </r>
  <r>
    <n v="37.6"/>
    <d v="2013-05-09T00:00:00"/>
    <x v="8"/>
    <s v="KMSS"/>
    <s v="Kachin"/>
    <s v="Myitkyina"/>
    <s v="Jan Mai Kawng Catholic Church"/>
    <n v="460"/>
    <m/>
    <m/>
    <m/>
    <m/>
    <m/>
    <m/>
    <m/>
    <m/>
    <m/>
    <m/>
    <m/>
    <m/>
    <m/>
    <m/>
    <m/>
    <m/>
    <n v="0"/>
    <n v="0"/>
    <n v="0"/>
    <n v="0"/>
    <n v="0"/>
    <n v="0"/>
    <n v="0"/>
    <n v="0"/>
    <n v="0"/>
    <n v="0"/>
    <n v="0"/>
    <n v="0"/>
    <n v="0"/>
    <n v="0"/>
    <x v="0"/>
    <n v="0"/>
    <s v="MMR001CMP019"/>
    <x v="0"/>
    <x v="1"/>
    <x v="1"/>
    <n v="0"/>
    <s v="No"/>
    <m/>
  </r>
  <r>
    <n v="40"/>
    <d v="2013-02-26T00:00:00"/>
    <x v="2"/>
    <s v="MRCS"/>
    <s v="Kachin"/>
    <s v="Myitkyina"/>
    <s v="Jan Mai Kawng Catholic Church"/>
    <m/>
    <m/>
    <n v="99"/>
    <m/>
    <n v="99"/>
    <m/>
    <m/>
    <m/>
    <n v="0"/>
    <n v="0"/>
    <m/>
    <m/>
    <m/>
    <m/>
    <m/>
    <m/>
    <m/>
    <n v="0"/>
    <n v="0"/>
    <n v="0"/>
    <n v="0"/>
    <n v="0"/>
    <n v="0"/>
    <n v="0"/>
    <n v="0"/>
    <n v="0"/>
    <n v="0"/>
    <n v="0"/>
    <n v="0"/>
    <n v="0"/>
    <n v="0"/>
    <x v="0"/>
    <n v="0"/>
    <s v="MMR001CMP019"/>
    <x v="0"/>
    <x v="1"/>
    <x v="1"/>
    <n v="0"/>
    <s v="No"/>
    <m/>
  </r>
  <r>
    <n v="47.266666666666666"/>
    <d v="2012-07-23T00:00:00"/>
    <x v="0"/>
    <s v="UNHCR"/>
    <s v="Kachin"/>
    <s v="Myitkyina"/>
    <s v="Jan Mai Kawng Catholic Church"/>
    <m/>
    <m/>
    <m/>
    <n v="19"/>
    <n v="10"/>
    <n v="19"/>
    <n v="10"/>
    <n v="11"/>
    <n v="11"/>
    <n v="11"/>
    <m/>
    <m/>
    <m/>
    <m/>
    <m/>
    <m/>
    <m/>
    <n v="0"/>
    <n v="0"/>
    <n v="0"/>
    <n v="0"/>
    <n v="0"/>
    <n v="0"/>
    <n v="0"/>
    <n v="0"/>
    <n v="0"/>
    <n v="0"/>
    <n v="0"/>
    <n v="0"/>
    <n v="0"/>
    <n v="0"/>
    <x v="0"/>
    <n v="0"/>
    <s v="MMR001CMP019"/>
    <x v="0"/>
    <x v="1"/>
    <x v="1"/>
    <n v="9.7087378640776698E-2"/>
    <s v="No"/>
    <m/>
  </r>
  <r>
    <n v="53.9"/>
    <d v="2012-01-06T00:00:00"/>
    <x v="0"/>
    <s v="KMSS"/>
    <s v="Kachin"/>
    <s v="Myitkyina"/>
    <s v="Jan Mai Kawng Catholic Church"/>
    <m/>
    <m/>
    <m/>
    <n v="0"/>
    <n v="0"/>
    <n v="0"/>
    <n v="0"/>
    <n v="9"/>
    <n v="9"/>
    <n v="9"/>
    <m/>
    <m/>
    <m/>
    <m/>
    <m/>
    <m/>
    <m/>
    <n v="0"/>
    <n v="0"/>
    <n v="0"/>
    <n v="0"/>
    <n v="0"/>
    <n v="0"/>
    <n v="0"/>
    <n v="0"/>
    <n v="0"/>
    <n v="0"/>
    <n v="0"/>
    <n v="0"/>
    <n v="0"/>
    <n v="0"/>
    <x v="0"/>
    <n v="0"/>
    <s v="MMR001CMP019"/>
    <x v="0"/>
    <x v="1"/>
    <x v="1"/>
    <n v="0"/>
    <s v="No"/>
    <m/>
  </r>
  <r>
    <n v="50.333333333333336"/>
    <d v="2012-04-22T00:00:00"/>
    <x v="0"/>
    <s v="UNHCR"/>
    <s v="Kachin"/>
    <s v="Momauk"/>
    <s v="Je Gau  (+ WaRaPa )"/>
    <m/>
    <m/>
    <m/>
    <n v="846"/>
    <n v="423"/>
    <n v="846"/>
    <n v="423"/>
    <n v="423"/>
    <n v="423"/>
    <n v="423"/>
    <m/>
    <m/>
    <m/>
    <m/>
    <m/>
    <m/>
    <m/>
    <n v="0"/>
    <n v="0"/>
    <n v="0"/>
    <n v="0"/>
    <n v="0"/>
    <n v="0"/>
    <n v="0"/>
    <n v="0"/>
    <n v="0"/>
    <n v="0"/>
    <n v="0"/>
    <n v="0"/>
    <n v="0"/>
    <n v="0"/>
    <x v="0"/>
    <n v="0"/>
    <s v=""/>
    <x v="1"/>
    <x v="2"/>
    <x v="0"/>
    <s v=""/>
    <s v="No"/>
    <m/>
  </r>
  <r>
    <n v="16"/>
    <d v="2015-02-16T00:00:00"/>
    <x v="0"/>
    <s v="KMSS"/>
    <s v="Kachin"/>
    <s v="Waingmaw"/>
    <s v="Je Yang Hka "/>
    <m/>
    <m/>
    <m/>
    <m/>
    <m/>
    <m/>
    <m/>
    <m/>
    <m/>
    <m/>
    <n v="2676"/>
    <n v="2672"/>
    <m/>
    <n v="3186"/>
    <m/>
    <m/>
    <m/>
    <n v="0"/>
    <n v="0"/>
    <n v="0"/>
    <n v="0"/>
    <n v="0"/>
    <n v="0"/>
    <n v="0"/>
    <n v="0"/>
    <n v="0"/>
    <n v="0"/>
    <n v="0"/>
    <n v="0"/>
    <n v="0"/>
    <n v="0"/>
    <x v="1"/>
    <n v="0"/>
    <s v="MMR001CMP121"/>
    <x v="0"/>
    <x v="1"/>
    <x v="3"/>
    <n v="0"/>
    <s v="No"/>
    <m/>
  </r>
  <r>
    <n v="22.733333333333334"/>
    <d v="2014-07-29T00:00:00"/>
    <x v="0"/>
    <m/>
    <s v="Kachin"/>
    <s v="Momauk"/>
    <s v="Je Yang Hka "/>
    <m/>
    <m/>
    <m/>
    <n v="254"/>
    <n v="204"/>
    <n v="254"/>
    <n v="134"/>
    <m/>
    <n v="134"/>
    <n v="608"/>
    <m/>
    <m/>
    <m/>
    <m/>
    <m/>
    <m/>
    <m/>
    <n v="0"/>
    <n v="0"/>
    <n v="0"/>
    <n v="0"/>
    <n v="0"/>
    <n v="0"/>
    <n v="0"/>
    <n v="0"/>
    <n v="0"/>
    <n v="0"/>
    <n v="0"/>
    <n v="0"/>
    <n v="0"/>
    <n v="0"/>
    <x v="0"/>
    <n v="0"/>
    <s v="MMR001CMP121"/>
    <x v="0"/>
    <x v="1"/>
    <x v="3"/>
    <n v="8.1558125380401705E-2"/>
    <m/>
    <m/>
  </r>
  <r>
    <n v="30.766666666666666"/>
    <d v="2013-11-30T00:00:00"/>
    <x v="5"/>
    <s v="KBC"/>
    <s v="Kachin"/>
    <s v="Momauk"/>
    <s v="Je Yang Hka "/>
    <m/>
    <m/>
    <m/>
    <m/>
    <m/>
    <m/>
    <m/>
    <m/>
    <m/>
    <n v="5268"/>
    <m/>
    <m/>
    <m/>
    <m/>
    <m/>
    <m/>
    <m/>
    <n v="0"/>
    <n v="0"/>
    <n v="0"/>
    <n v="0"/>
    <n v="0"/>
    <n v="0"/>
    <n v="0"/>
    <n v="0"/>
    <n v="0"/>
    <n v="0"/>
    <n v="0"/>
    <n v="0"/>
    <n v="0"/>
    <n v="0"/>
    <x v="0"/>
    <n v="0"/>
    <s v="MMR001CMP121"/>
    <x v="0"/>
    <x v="1"/>
    <x v="3"/>
    <n v="0"/>
    <s v="No"/>
    <m/>
  </r>
  <r>
    <n v="32.93333333333333"/>
    <d v="2013-09-26T00:00:00"/>
    <x v="0"/>
    <s v="UNHCR"/>
    <s v="Kachin"/>
    <s v="Momauk"/>
    <s v="Je Yang Hka "/>
    <m/>
    <m/>
    <n v="1628"/>
    <n v="3256"/>
    <n v="1628"/>
    <n v="3256"/>
    <n v="1628"/>
    <m/>
    <n v="1628"/>
    <n v="3256"/>
    <m/>
    <m/>
    <m/>
    <m/>
    <m/>
    <m/>
    <m/>
    <n v="0"/>
    <n v="0"/>
    <n v="0"/>
    <n v="0"/>
    <n v="0"/>
    <n v="0"/>
    <n v="0"/>
    <n v="0"/>
    <n v="0"/>
    <n v="0"/>
    <n v="0"/>
    <n v="0"/>
    <n v="0"/>
    <n v="0"/>
    <x v="0"/>
    <n v="0"/>
    <s v="MMR001CMP121"/>
    <x v="0"/>
    <x v="1"/>
    <x v="3"/>
    <n v="0.99087035909920873"/>
    <s v="No"/>
    <m/>
  </r>
  <r>
    <n v="42.533333333333331"/>
    <d v="2012-12-12T00:00:00"/>
    <x v="5"/>
    <s v="Solidarities"/>
    <s v="Kachin"/>
    <s v="Momauk"/>
    <s v="Je Yang Hka "/>
    <n v="5228"/>
    <m/>
    <n v="6005"/>
    <m/>
    <m/>
    <m/>
    <m/>
    <m/>
    <n v="0"/>
    <n v="0"/>
    <m/>
    <m/>
    <m/>
    <m/>
    <m/>
    <m/>
    <m/>
    <n v="0"/>
    <n v="0"/>
    <n v="0"/>
    <n v="0"/>
    <n v="0"/>
    <n v="0"/>
    <n v="0"/>
    <n v="0"/>
    <n v="0"/>
    <n v="0"/>
    <n v="0"/>
    <n v="0"/>
    <n v="0"/>
    <n v="0"/>
    <x v="0"/>
    <n v="0"/>
    <s v="MMR001CMP121"/>
    <x v="0"/>
    <x v="1"/>
    <x v="3"/>
    <n v="0"/>
    <s v="No"/>
    <m/>
  </r>
  <r>
    <n v="54.7"/>
    <d v="2011-12-13T00:00:00"/>
    <x v="0"/>
    <s v="IRRC"/>
    <s v="Kachin"/>
    <s v="Momauk"/>
    <s v="Je Yang Hka "/>
    <m/>
    <m/>
    <m/>
    <n v="250"/>
    <n v="125"/>
    <n v="250"/>
    <n v="125"/>
    <n v="125"/>
    <n v="125"/>
    <n v="125"/>
    <m/>
    <m/>
    <m/>
    <m/>
    <m/>
    <m/>
    <m/>
    <n v="0"/>
    <n v="0"/>
    <n v="0"/>
    <n v="0"/>
    <n v="0"/>
    <n v="0"/>
    <n v="0"/>
    <n v="0"/>
    <n v="0"/>
    <n v="0"/>
    <n v="0"/>
    <n v="0"/>
    <n v="0"/>
    <n v="0"/>
    <x v="0"/>
    <n v="0"/>
    <s v="MMR001CMP121"/>
    <x v="0"/>
    <x v="1"/>
    <x v="3"/>
    <n v="7.6080340839926958E-2"/>
    <s v="No"/>
    <m/>
  </r>
  <r>
    <n v="53.666666666666664"/>
    <d v="2012-01-13T00:00:00"/>
    <x v="0"/>
    <s v="KBC"/>
    <s v="Kachin"/>
    <m/>
    <s v="Kat Hmaw Zut Baptist Church"/>
    <m/>
    <m/>
    <m/>
    <n v="76"/>
    <n v="38"/>
    <n v="38"/>
    <n v="0"/>
    <n v="38"/>
    <n v="38"/>
    <n v="38"/>
    <m/>
    <m/>
    <m/>
    <m/>
    <m/>
    <m/>
    <m/>
    <n v="0"/>
    <n v="0"/>
    <n v="0"/>
    <n v="0"/>
    <n v="0"/>
    <n v="0"/>
    <n v="0"/>
    <n v="0"/>
    <n v="0"/>
    <n v="0"/>
    <n v="0"/>
    <n v="0"/>
    <n v="0"/>
    <n v="0"/>
    <x v="0"/>
    <n v="0"/>
    <s v=""/>
    <x v="1"/>
    <x v="2"/>
    <x v="0"/>
    <s v=""/>
    <s v="No"/>
    <m/>
  </r>
  <r>
    <n v="34.4"/>
    <d v="2013-08-13T00:00:00"/>
    <x v="0"/>
    <s v="KBC"/>
    <s v="Shan_North"/>
    <s v="Kutkai"/>
    <s v="Kone Khem Camp"/>
    <m/>
    <m/>
    <n v="70"/>
    <n v="120"/>
    <n v="48"/>
    <n v="120"/>
    <n v="48"/>
    <n v="48"/>
    <n v="48"/>
    <n v="48"/>
    <m/>
    <m/>
    <m/>
    <m/>
    <m/>
    <m/>
    <m/>
    <n v="0"/>
    <n v="0"/>
    <n v="0"/>
    <n v="0"/>
    <n v="0"/>
    <n v="0"/>
    <n v="0"/>
    <n v="0"/>
    <n v="0"/>
    <n v="0"/>
    <n v="0"/>
    <n v="0"/>
    <n v="0"/>
    <n v="0"/>
    <x v="0"/>
    <n v="0"/>
    <s v="MMR015CMP015"/>
    <x v="0"/>
    <x v="1"/>
    <x v="4"/>
    <n v="0.54545454545454541"/>
    <s v="No"/>
    <m/>
  </r>
  <r>
    <n v="14.033333333333333"/>
    <d v="2015-04-16T00:00:00"/>
    <x v="0"/>
    <s v="KMSS-LSO"/>
    <s v="Shan_North"/>
    <s v="Kutkai"/>
    <s v="Kut Kai camp"/>
    <m/>
    <m/>
    <m/>
    <m/>
    <m/>
    <m/>
    <m/>
    <m/>
    <m/>
    <n v="69"/>
    <m/>
    <m/>
    <m/>
    <m/>
    <m/>
    <m/>
    <m/>
    <n v="0"/>
    <n v="0"/>
    <n v="0"/>
    <n v="0"/>
    <n v="0"/>
    <n v="0"/>
    <n v="0"/>
    <n v="0"/>
    <n v="0"/>
    <n v="0"/>
    <n v="0"/>
    <n v="0"/>
    <n v="0"/>
    <n v="0"/>
    <x v="0"/>
    <n v="0"/>
    <s v=""/>
    <x v="1"/>
    <x v="2"/>
    <x v="0"/>
    <s v=""/>
    <s v="No"/>
    <m/>
  </r>
  <r>
    <n v="40.266666666666666"/>
    <d v="2013-02-18T00:00:00"/>
    <x v="0"/>
    <s v="KBC"/>
    <s v="Shan_North"/>
    <s v="Kutkai"/>
    <s v="Kutkai downtown (KBC Church)"/>
    <m/>
    <m/>
    <n v="120"/>
    <n v="120"/>
    <n v="60"/>
    <n v="120"/>
    <n v="60"/>
    <n v="60"/>
    <n v="60"/>
    <n v="60"/>
    <m/>
    <m/>
    <m/>
    <m/>
    <m/>
    <m/>
    <m/>
    <n v="0"/>
    <n v="0"/>
    <n v="0"/>
    <n v="0"/>
    <n v="0"/>
    <n v="0"/>
    <n v="0"/>
    <n v="0"/>
    <n v="0"/>
    <n v="0"/>
    <n v="0"/>
    <n v="0"/>
    <n v="0"/>
    <n v="0"/>
    <x v="0"/>
    <n v="0"/>
    <s v="MMR015CMP016"/>
    <x v="0"/>
    <x v="1"/>
    <x v="4"/>
    <n v="0.95238095238095233"/>
    <s v="No"/>
    <m/>
  </r>
  <r>
    <n v="34.4"/>
    <d v="2013-08-13T00:00:00"/>
    <x v="0"/>
    <s v="KMSS"/>
    <s v="Shan_North"/>
    <s v="Kutkai"/>
    <s v="Kutkai downtown (RC Church)"/>
    <m/>
    <m/>
    <n v="47"/>
    <n v="103"/>
    <n v="41"/>
    <n v="103"/>
    <n v="41"/>
    <n v="41"/>
    <n v="41"/>
    <n v="41"/>
    <m/>
    <m/>
    <m/>
    <m/>
    <m/>
    <m/>
    <m/>
    <n v="0"/>
    <n v="0"/>
    <n v="0"/>
    <n v="0"/>
    <n v="0"/>
    <n v="0"/>
    <n v="0"/>
    <n v="0"/>
    <n v="0"/>
    <n v="0"/>
    <n v="0"/>
    <n v="0"/>
    <n v="0"/>
    <n v="0"/>
    <x v="0"/>
    <n v="0"/>
    <s v="MMR015CMP017"/>
    <x v="0"/>
    <x v="1"/>
    <x v="4"/>
    <n v="1.3225806451612903"/>
    <s v="No"/>
    <m/>
  </r>
  <r>
    <n v="25.066666666666666"/>
    <d v="2014-05-20T00:00:00"/>
    <x v="6"/>
    <s v="MRCS"/>
    <s v="Kachin"/>
    <s v="Myitkyina"/>
    <s v="Kyun Pin Thar Baptist Church"/>
    <m/>
    <m/>
    <m/>
    <m/>
    <m/>
    <m/>
    <m/>
    <m/>
    <m/>
    <m/>
    <m/>
    <m/>
    <m/>
    <n v="88"/>
    <m/>
    <m/>
    <m/>
    <n v="0"/>
    <n v="0"/>
    <n v="0"/>
    <n v="0"/>
    <n v="0"/>
    <n v="0"/>
    <n v="0"/>
    <n v="0"/>
    <n v="0"/>
    <n v="0"/>
    <n v="0"/>
    <n v="0"/>
    <n v="0"/>
    <n v="0"/>
    <x v="1"/>
    <n v="0"/>
    <s v="MMR001CMP013"/>
    <x v="0"/>
    <x v="1"/>
    <x v="1"/>
    <n v="0"/>
    <m/>
    <m/>
  </r>
  <r>
    <n v="47.4"/>
    <d v="2012-07-19T00:00:00"/>
    <x v="0"/>
    <s v="UNHCR"/>
    <s v="Kachin"/>
    <s v="Myitkyina"/>
    <s v="Kyun Pin Thar Baptist Church"/>
    <m/>
    <m/>
    <m/>
    <n v="6"/>
    <n v="4"/>
    <n v="6"/>
    <n v="4"/>
    <n v="4"/>
    <n v="4"/>
    <n v="4"/>
    <m/>
    <m/>
    <m/>
    <m/>
    <m/>
    <m/>
    <m/>
    <n v="0"/>
    <n v="0"/>
    <n v="0"/>
    <n v="0"/>
    <n v="0"/>
    <n v="0"/>
    <n v="0"/>
    <n v="0"/>
    <n v="0"/>
    <n v="0"/>
    <n v="0"/>
    <n v="0"/>
    <n v="0"/>
    <n v="0"/>
    <x v="0"/>
    <n v="0"/>
    <s v="MMR001CMP013"/>
    <x v="0"/>
    <x v="1"/>
    <x v="1"/>
    <n v="9.0909090909090912E-2"/>
    <s v="No"/>
    <m/>
  </r>
  <r>
    <n v="47.5"/>
    <d v="2012-07-16T00:00:00"/>
    <x v="0"/>
    <s v="UNHCR"/>
    <s v="Kachin"/>
    <s v="Myitkyina"/>
    <s v="Kyun Pin Thar Baptist Church"/>
    <m/>
    <m/>
    <m/>
    <n v="33"/>
    <n v="33"/>
    <n v="33"/>
    <n v="33"/>
    <n v="33"/>
    <n v="33"/>
    <n v="33"/>
    <m/>
    <m/>
    <m/>
    <m/>
    <m/>
    <m/>
    <m/>
    <n v="0"/>
    <n v="0"/>
    <n v="0"/>
    <n v="0"/>
    <n v="0"/>
    <n v="0"/>
    <n v="0"/>
    <n v="0"/>
    <n v="0"/>
    <n v="0"/>
    <n v="0"/>
    <n v="0"/>
    <n v="0"/>
    <n v="0"/>
    <x v="0"/>
    <n v="0"/>
    <s v="MMR001CMP013"/>
    <x v="0"/>
    <x v="1"/>
    <x v="1"/>
    <n v="0.75"/>
    <s v="No"/>
    <m/>
  </r>
  <r>
    <n v="55.666666666666664"/>
    <d v="2011-11-14T00:00:00"/>
    <x v="0"/>
    <s v="KBC"/>
    <s v="Kachin"/>
    <s v="Myitkyina"/>
    <s v="Kyun Pin Thar Baptist Church"/>
    <m/>
    <m/>
    <m/>
    <n v="47"/>
    <n v="28"/>
    <n v="47"/>
    <n v="28"/>
    <n v="28"/>
    <n v="28"/>
    <n v="28"/>
    <m/>
    <m/>
    <m/>
    <m/>
    <m/>
    <m/>
    <m/>
    <n v="0"/>
    <n v="0"/>
    <n v="0"/>
    <n v="0"/>
    <n v="0"/>
    <n v="0"/>
    <n v="0"/>
    <n v="0"/>
    <n v="0"/>
    <n v="0"/>
    <n v="0"/>
    <n v="0"/>
    <n v="0"/>
    <n v="0"/>
    <x v="0"/>
    <n v="0"/>
    <s v="MMR001CMP013"/>
    <x v="0"/>
    <x v="1"/>
    <x v="1"/>
    <n v="0.63636363636363635"/>
    <s v="No"/>
    <m/>
  </r>
  <r>
    <n v="10.133333333333333"/>
    <d v="2015-08-11T00:00:00"/>
    <x v="0"/>
    <s v="KBC"/>
    <s v="Kachin"/>
    <s v="Mogaung"/>
    <s v="Kyun Taw Baptist Church "/>
    <m/>
    <m/>
    <m/>
    <n v="14"/>
    <n v="14"/>
    <m/>
    <m/>
    <m/>
    <m/>
    <m/>
    <m/>
    <m/>
    <m/>
    <m/>
    <m/>
    <m/>
    <m/>
    <n v="0"/>
    <n v="0"/>
    <n v="0"/>
    <n v="14"/>
    <n v="14"/>
    <n v="0"/>
    <n v="0"/>
    <n v="0"/>
    <n v="0"/>
    <n v="0"/>
    <n v="0"/>
    <n v="0"/>
    <n v="0"/>
    <n v="0"/>
    <x v="0"/>
    <n v="0"/>
    <s v="MMR001CMP078"/>
    <x v="0"/>
    <x v="1"/>
    <x v="1"/>
    <n v="0"/>
    <s v="No"/>
    <s v="Updated on 2/Dec/2015. Data source: mail by Win Aung Htun_x000a_Updated on 29/Sep/2015. _x000a_Data Source: Lu Lu Awng and Win Aung Tun"/>
  </r>
  <r>
    <n v="27.866666666666667"/>
    <d v="2014-02-25T00:00:00"/>
    <x v="6"/>
    <s v="MRCS"/>
    <s v="Kachin"/>
    <s v="Mogaung"/>
    <s v="Kyun Taw Baptist Church "/>
    <m/>
    <m/>
    <m/>
    <m/>
    <m/>
    <m/>
    <m/>
    <m/>
    <m/>
    <m/>
    <m/>
    <m/>
    <m/>
    <n v="26"/>
    <m/>
    <m/>
    <m/>
    <n v="0"/>
    <n v="0"/>
    <n v="0"/>
    <n v="0"/>
    <n v="0"/>
    <n v="0"/>
    <n v="0"/>
    <n v="0"/>
    <n v="0"/>
    <n v="0"/>
    <n v="0"/>
    <n v="0"/>
    <n v="0"/>
    <n v="0"/>
    <x v="1"/>
    <n v="0"/>
    <s v="MMR001CMP078"/>
    <x v="0"/>
    <x v="1"/>
    <x v="1"/>
    <n v="0"/>
    <m/>
    <m/>
  </r>
  <r>
    <n v="47.133333333333333"/>
    <d v="2012-07-27T00:00:00"/>
    <x v="0"/>
    <s v="UNHCR"/>
    <s v="Kachin"/>
    <s v="Mogaung"/>
    <s v="Kyun Taw Baptist Church "/>
    <m/>
    <m/>
    <m/>
    <n v="35"/>
    <n v="14"/>
    <n v="35"/>
    <n v="14"/>
    <n v="14"/>
    <n v="14"/>
    <n v="14"/>
    <m/>
    <m/>
    <m/>
    <m/>
    <m/>
    <m/>
    <m/>
    <n v="0"/>
    <n v="0"/>
    <n v="0"/>
    <n v="0"/>
    <n v="0"/>
    <n v="0"/>
    <n v="0"/>
    <n v="0"/>
    <n v="0"/>
    <n v="0"/>
    <n v="0"/>
    <n v="0"/>
    <n v="0"/>
    <n v="0"/>
    <x v="0"/>
    <n v="0"/>
    <s v="MMR001CMP078"/>
    <x v="0"/>
    <x v="1"/>
    <x v="1"/>
    <n v="1.0769230769230769"/>
    <s v="No"/>
    <m/>
  </r>
  <r>
    <n v="30.766666666666666"/>
    <d v="2013-11-30T00:00:00"/>
    <x v="4"/>
    <s v="MDCG"/>
    <s v="Kachin"/>
    <s v="Mansi"/>
    <s v="Lagatyan "/>
    <m/>
    <m/>
    <m/>
    <m/>
    <m/>
    <n v="447"/>
    <m/>
    <m/>
    <m/>
    <m/>
    <n v="398"/>
    <n v="390"/>
    <n v="0"/>
    <m/>
    <m/>
    <m/>
    <m/>
    <n v="0"/>
    <n v="0"/>
    <n v="0"/>
    <n v="0"/>
    <n v="0"/>
    <n v="0"/>
    <n v="0"/>
    <n v="0"/>
    <n v="0"/>
    <n v="0"/>
    <n v="0"/>
    <n v="0"/>
    <n v="0"/>
    <n v="0"/>
    <x v="1"/>
    <n v="0"/>
    <s v="MMR001CMP202"/>
    <x v="0"/>
    <x v="0"/>
    <x v="1"/>
    <s v=""/>
    <s v="No"/>
    <m/>
  </r>
  <r>
    <n v="30.766666666666666"/>
    <d v="2013-11-30T00:00:00"/>
    <x v="5"/>
    <m/>
    <s v="Kachin"/>
    <s v="Mansi"/>
    <s v="Lagatyan "/>
    <m/>
    <m/>
    <m/>
    <m/>
    <m/>
    <m/>
    <m/>
    <m/>
    <m/>
    <m/>
    <m/>
    <m/>
    <m/>
    <m/>
    <m/>
    <m/>
    <m/>
    <n v="0"/>
    <n v="0"/>
    <n v="0"/>
    <n v="0"/>
    <n v="0"/>
    <n v="0"/>
    <n v="0"/>
    <n v="0"/>
    <n v="0"/>
    <n v="0"/>
    <n v="0"/>
    <n v="0"/>
    <n v="0"/>
    <n v="0"/>
    <x v="0"/>
    <n v="0"/>
    <s v="MMR001CMP202"/>
    <x v="0"/>
    <x v="0"/>
    <x v="1"/>
    <s v=""/>
    <s v="No"/>
    <m/>
  </r>
  <r>
    <n v="30.9"/>
    <d v="2013-11-26T00:00:00"/>
    <x v="5"/>
    <s v="Solidarities"/>
    <s v="Kachin"/>
    <s v="Mansi"/>
    <s v="Lagatyan "/>
    <m/>
    <m/>
    <m/>
    <m/>
    <m/>
    <m/>
    <m/>
    <m/>
    <m/>
    <m/>
    <n v="80"/>
    <n v="160"/>
    <n v="480"/>
    <n v="240"/>
    <m/>
    <m/>
    <m/>
    <n v="0"/>
    <n v="0"/>
    <n v="0"/>
    <n v="0"/>
    <n v="0"/>
    <n v="0"/>
    <n v="0"/>
    <n v="0"/>
    <n v="0"/>
    <n v="0"/>
    <n v="0"/>
    <n v="0"/>
    <n v="0"/>
    <n v="0"/>
    <x v="1"/>
    <n v="0"/>
    <s v="MMR001CMP202"/>
    <x v="0"/>
    <x v="0"/>
    <x v="1"/>
    <s v=""/>
    <m/>
    <m/>
  </r>
  <r>
    <n v="31.3"/>
    <d v="2013-11-14T00:00:00"/>
    <x v="5"/>
    <s v="Solidarities"/>
    <s v="Kachin"/>
    <s v="Mansi"/>
    <s v="Lagatyan "/>
    <m/>
    <m/>
    <m/>
    <m/>
    <m/>
    <m/>
    <m/>
    <m/>
    <m/>
    <m/>
    <n v="120"/>
    <n v="207"/>
    <n v="654"/>
    <n v="327"/>
    <m/>
    <m/>
    <m/>
    <n v="0"/>
    <n v="0"/>
    <n v="0"/>
    <n v="0"/>
    <n v="0"/>
    <n v="0"/>
    <n v="0"/>
    <n v="0"/>
    <n v="0"/>
    <n v="0"/>
    <n v="0"/>
    <n v="0"/>
    <n v="0"/>
    <n v="0"/>
    <x v="1"/>
    <n v="0"/>
    <s v="MMR001CMP202"/>
    <x v="0"/>
    <x v="0"/>
    <x v="1"/>
    <s v=""/>
    <m/>
    <m/>
  </r>
  <r>
    <n v="16"/>
    <d v="2015-02-16T00:00:00"/>
    <x v="0"/>
    <s v="KMSS"/>
    <s v="Kachin"/>
    <s v="Waingmaw"/>
    <s v="Laiza Market 3 - Laiza Gat"/>
    <m/>
    <m/>
    <m/>
    <m/>
    <m/>
    <m/>
    <m/>
    <m/>
    <m/>
    <m/>
    <n v="1119"/>
    <n v="1455"/>
    <m/>
    <n v="1080"/>
    <m/>
    <m/>
    <m/>
    <n v="0"/>
    <n v="0"/>
    <n v="0"/>
    <n v="0"/>
    <n v="0"/>
    <n v="0"/>
    <n v="0"/>
    <n v="0"/>
    <n v="0"/>
    <n v="0"/>
    <n v="0"/>
    <n v="0"/>
    <n v="0"/>
    <n v="0"/>
    <x v="1"/>
    <n v="0"/>
    <s v="MMR001CMP117"/>
    <x v="0"/>
    <x v="0"/>
    <x v="3"/>
    <s v=""/>
    <s v="No"/>
    <m/>
  </r>
  <r>
    <n v="30.766666666666666"/>
    <d v="2013-11-30T00:00:00"/>
    <x v="5"/>
    <s v="KBC"/>
    <s v="Kachin"/>
    <s v="Waingmaw"/>
    <s v="Laiza Market 3 - Laiza Gat"/>
    <m/>
    <m/>
    <m/>
    <m/>
    <m/>
    <m/>
    <m/>
    <m/>
    <m/>
    <n v="729"/>
    <m/>
    <m/>
    <m/>
    <m/>
    <m/>
    <m/>
    <m/>
    <n v="0"/>
    <n v="0"/>
    <n v="0"/>
    <n v="0"/>
    <n v="0"/>
    <n v="0"/>
    <n v="0"/>
    <n v="0"/>
    <n v="0"/>
    <n v="0"/>
    <n v="0"/>
    <n v="0"/>
    <n v="0"/>
    <n v="0"/>
    <x v="0"/>
    <n v="0"/>
    <s v="MMR001CMP117"/>
    <x v="0"/>
    <x v="0"/>
    <x v="3"/>
    <s v=""/>
    <s v="No"/>
    <m/>
  </r>
  <r>
    <n v="32.93333333333333"/>
    <d v="2013-09-26T00:00:00"/>
    <x v="0"/>
    <s v="UNHCR"/>
    <s v="Kachin"/>
    <s v="Waingmaw"/>
    <s v="Laiza Market 3 - Laiza Gat"/>
    <m/>
    <m/>
    <n v="437"/>
    <n v="874"/>
    <n v="437"/>
    <n v="874"/>
    <n v="437"/>
    <n v="54"/>
    <n v="383"/>
    <n v="766"/>
    <m/>
    <m/>
    <m/>
    <m/>
    <m/>
    <m/>
    <m/>
    <n v="0"/>
    <n v="0"/>
    <n v="0"/>
    <n v="0"/>
    <n v="0"/>
    <n v="0"/>
    <n v="0"/>
    <n v="0"/>
    <n v="0"/>
    <n v="0"/>
    <n v="0"/>
    <n v="0"/>
    <n v="0"/>
    <n v="0"/>
    <x v="0"/>
    <n v="0"/>
    <s v="MMR001CMP117"/>
    <x v="0"/>
    <x v="0"/>
    <x v="3"/>
    <s v=""/>
    <s v="No"/>
    <m/>
  </r>
  <r>
    <n v="42.666666666666664"/>
    <d v="2012-12-08T00:00:00"/>
    <x v="5"/>
    <s v="Solidarities"/>
    <s v="Kachin"/>
    <s v="Waingmaw"/>
    <s v="Laiza Market 3 - Laiza Gat"/>
    <n v="1690"/>
    <m/>
    <n v="2245"/>
    <m/>
    <m/>
    <m/>
    <m/>
    <m/>
    <n v="0"/>
    <n v="0"/>
    <m/>
    <m/>
    <m/>
    <m/>
    <m/>
    <m/>
    <m/>
    <n v="0"/>
    <n v="0"/>
    <n v="0"/>
    <n v="0"/>
    <n v="0"/>
    <n v="0"/>
    <n v="0"/>
    <n v="0"/>
    <n v="0"/>
    <n v="0"/>
    <n v="0"/>
    <n v="0"/>
    <n v="0"/>
    <n v="0"/>
    <x v="0"/>
    <n v="0"/>
    <s v="MMR001CMP117"/>
    <x v="0"/>
    <x v="0"/>
    <x v="3"/>
    <s v=""/>
    <s v="No"/>
    <m/>
  </r>
  <r>
    <n v="40.033333333333331"/>
    <d v="2013-02-25T00:00:00"/>
    <x v="0"/>
    <s v="Chipwe CM"/>
    <s v="Kachin"/>
    <s v="Chipwi"/>
    <s v="Lan Jaw "/>
    <m/>
    <m/>
    <n v="11"/>
    <n v="17"/>
    <n v="7"/>
    <n v="17"/>
    <n v="7"/>
    <n v="7"/>
    <n v="7"/>
    <n v="7"/>
    <m/>
    <m/>
    <m/>
    <m/>
    <m/>
    <m/>
    <m/>
    <n v="0"/>
    <n v="0"/>
    <n v="0"/>
    <n v="0"/>
    <n v="0"/>
    <n v="0"/>
    <n v="0"/>
    <n v="0"/>
    <n v="0"/>
    <n v="0"/>
    <n v="0"/>
    <n v="0"/>
    <n v="0"/>
    <n v="0"/>
    <x v="0"/>
    <n v="0"/>
    <s v="MMR001CMP045"/>
    <x v="0"/>
    <x v="1"/>
    <x v="2"/>
    <s v=""/>
    <s v="No"/>
    <m/>
  </r>
  <r>
    <n v="45.033333333333331"/>
    <d v="2012-09-28T00:00:00"/>
    <x v="0"/>
    <s v="Chipwe CM"/>
    <s v="Kachin"/>
    <s v="Chipwi"/>
    <s v="Lan Jaw "/>
    <m/>
    <m/>
    <m/>
    <n v="33"/>
    <n v="11"/>
    <n v="33"/>
    <n v="11"/>
    <n v="11"/>
    <n v="11"/>
    <n v="11"/>
    <m/>
    <m/>
    <m/>
    <m/>
    <m/>
    <m/>
    <m/>
    <n v="0"/>
    <n v="0"/>
    <n v="0"/>
    <n v="0"/>
    <n v="0"/>
    <n v="0"/>
    <n v="0"/>
    <n v="0"/>
    <n v="0"/>
    <n v="0"/>
    <n v="0"/>
    <n v="0"/>
    <n v="0"/>
    <n v="0"/>
    <x v="0"/>
    <n v="0"/>
    <s v="MMR001CMP045"/>
    <x v="0"/>
    <x v="1"/>
    <x v="2"/>
    <s v=""/>
    <s v="No"/>
    <m/>
  </r>
  <r>
    <n v="14.7"/>
    <d v="2015-03-27T00:00:00"/>
    <x v="0"/>
    <s v="KMSS-BMO"/>
    <s v="Kachin"/>
    <s v="Mansi"/>
    <s v="Lana Zup Ja "/>
    <m/>
    <m/>
    <m/>
    <m/>
    <m/>
    <n v="357"/>
    <m/>
    <m/>
    <m/>
    <m/>
    <m/>
    <m/>
    <m/>
    <m/>
    <m/>
    <m/>
    <m/>
    <n v="0"/>
    <n v="0"/>
    <n v="0"/>
    <n v="0"/>
    <n v="0"/>
    <n v="0"/>
    <n v="0"/>
    <n v="0"/>
    <n v="0"/>
    <n v="0"/>
    <n v="0"/>
    <n v="0"/>
    <n v="0"/>
    <n v="0"/>
    <x v="0"/>
    <n v="0"/>
    <s v="MMR001CMP128"/>
    <x v="0"/>
    <x v="1"/>
    <x v="3"/>
    <n v="0"/>
    <s v="No"/>
    <m/>
  </r>
  <r>
    <n v="29.266666666666666"/>
    <d v="2014-01-14T00:00:00"/>
    <x v="0"/>
    <s v="UNHCR"/>
    <s v="Kachin"/>
    <s v="Mansi"/>
    <s v="Lana Zup Ja "/>
    <m/>
    <m/>
    <m/>
    <n v="140"/>
    <n v="70"/>
    <n v="140"/>
    <n v="70"/>
    <m/>
    <n v="70"/>
    <n v="350"/>
    <m/>
    <m/>
    <m/>
    <m/>
    <m/>
    <m/>
    <m/>
    <n v="0"/>
    <n v="0"/>
    <n v="0"/>
    <n v="0"/>
    <n v="0"/>
    <n v="0"/>
    <n v="0"/>
    <n v="0"/>
    <n v="0"/>
    <n v="0"/>
    <n v="0"/>
    <n v="0"/>
    <n v="0"/>
    <n v="0"/>
    <x v="0"/>
    <n v="0"/>
    <s v="MMR001CMP128"/>
    <x v="0"/>
    <x v="1"/>
    <x v="3"/>
    <n v="0.12844036697247707"/>
    <s v="No"/>
    <m/>
  </r>
  <r>
    <n v="30.4"/>
    <d v="2013-12-11T00:00:00"/>
    <x v="9"/>
    <s v="WPN"/>
    <s v="Kachin"/>
    <s v="Mansi"/>
    <s v="Lana Zup Ja "/>
    <m/>
    <m/>
    <m/>
    <m/>
    <m/>
    <n v="543"/>
    <m/>
    <m/>
    <m/>
    <m/>
    <m/>
    <m/>
    <m/>
    <m/>
    <m/>
    <m/>
    <m/>
    <n v="0"/>
    <n v="0"/>
    <n v="0"/>
    <n v="0"/>
    <n v="0"/>
    <n v="0"/>
    <n v="0"/>
    <n v="0"/>
    <n v="0"/>
    <n v="0"/>
    <n v="0"/>
    <n v="0"/>
    <n v="0"/>
    <n v="0"/>
    <x v="0"/>
    <n v="0"/>
    <s v="MMR001CMP128"/>
    <x v="0"/>
    <x v="1"/>
    <x v="3"/>
    <n v="0"/>
    <s v="No"/>
    <m/>
  </r>
  <r>
    <n v="30.766666666666666"/>
    <d v="2013-11-30T00:00:00"/>
    <x v="5"/>
    <s v="LDO"/>
    <s v="Kachin"/>
    <s v="Mansi"/>
    <s v="Lana Zup Ja "/>
    <m/>
    <m/>
    <m/>
    <m/>
    <m/>
    <m/>
    <m/>
    <m/>
    <m/>
    <m/>
    <m/>
    <m/>
    <m/>
    <m/>
    <m/>
    <m/>
    <m/>
    <n v="0"/>
    <n v="0"/>
    <n v="0"/>
    <n v="0"/>
    <n v="0"/>
    <n v="0"/>
    <n v="0"/>
    <n v="0"/>
    <n v="0"/>
    <n v="0"/>
    <n v="0"/>
    <n v="0"/>
    <n v="0"/>
    <n v="0"/>
    <x v="0"/>
    <n v="0"/>
    <s v="MMR001CMP128"/>
    <x v="0"/>
    <x v="1"/>
    <x v="3"/>
    <n v="0"/>
    <s v="No"/>
    <m/>
  </r>
  <r>
    <n v="30.766666666666666"/>
    <d v="2013-11-30T00:00:00"/>
    <x v="0"/>
    <s v="UNHCR"/>
    <s v="Kachin"/>
    <s v="Mansi"/>
    <s v="Lana Zup Ja "/>
    <m/>
    <m/>
    <m/>
    <m/>
    <m/>
    <m/>
    <m/>
    <m/>
    <m/>
    <m/>
    <m/>
    <m/>
    <m/>
    <m/>
    <m/>
    <m/>
    <m/>
    <n v="0"/>
    <n v="0"/>
    <n v="0"/>
    <n v="0"/>
    <n v="0"/>
    <n v="0"/>
    <n v="0"/>
    <n v="0"/>
    <n v="0"/>
    <n v="0"/>
    <n v="0"/>
    <n v="0"/>
    <n v="0"/>
    <n v="0"/>
    <x v="0"/>
    <n v="0"/>
    <s v="MMR001CMP128"/>
    <x v="0"/>
    <x v="1"/>
    <x v="3"/>
    <n v="0"/>
    <s v="No"/>
    <m/>
  </r>
  <r>
    <n v="31.3"/>
    <d v="2013-11-14T00:00:00"/>
    <x v="5"/>
    <s v="LDO"/>
    <s v="Kachin"/>
    <s v="Mansi"/>
    <s v="Lana Zup Ja "/>
    <m/>
    <m/>
    <m/>
    <m/>
    <m/>
    <m/>
    <m/>
    <m/>
    <m/>
    <m/>
    <n v="550"/>
    <n v="1101"/>
    <n v="3302"/>
    <n v="1651"/>
    <m/>
    <m/>
    <m/>
    <n v="0"/>
    <n v="0"/>
    <n v="0"/>
    <n v="0"/>
    <n v="0"/>
    <n v="0"/>
    <n v="0"/>
    <n v="0"/>
    <n v="0"/>
    <n v="0"/>
    <n v="0"/>
    <n v="0"/>
    <n v="0"/>
    <n v="0"/>
    <x v="1"/>
    <n v="0"/>
    <s v="MMR001CMP128"/>
    <x v="0"/>
    <x v="1"/>
    <x v="3"/>
    <n v="0"/>
    <m/>
    <m/>
  </r>
  <r>
    <n v="31.666666666666668"/>
    <d v="2013-11-03T00:00:00"/>
    <x v="0"/>
    <s v="UNHCR "/>
    <s v="Kachin"/>
    <s v="Mansi"/>
    <s v="Lana Zup Ja "/>
    <m/>
    <m/>
    <n v="592"/>
    <n v="592"/>
    <n v="296"/>
    <n v="296"/>
    <n v="296"/>
    <n v="296"/>
    <m/>
    <m/>
    <m/>
    <m/>
    <m/>
    <m/>
    <m/>
    <m/>
    <m/>
    <n v="0"/>
    <n v="0"/>
    <n v="0"/>
    <n v="0"/>
    <n v="0"/>
    <n v="0"/>
    <n v="0"/>
    <n v="0"/>
    <n v="0"/>
    <n v="0"/>
    <n v="0"/>
    <n v="0"/>
    <n v="0"/>
    <n v="0"/>
    <x v="0"/>
    <n v="0"/>
    <s v="MMR001CMP128"/>
    <x v="0"/>
    <x v="1"/>
    <x v="3"/>
    <n v="0.5431192660550459"/>
    <s v="No"/>
    <m/>
  </r>
  <r>
    <n v="50.966666666666669"/>
    <d v="2012-04-03T00:00:00"/>
    <x v="0"/>
    <s v="UNHCR"/>
    <s v="Kachin"/>
    <s v="Mansi"/>
    <s v="Lana Zup Ja "/>
    <m/>
    <m/>
    <m/>
    <n v="510"/>
    <n v="0"/>
    <n v="510"/>
    <n v="255"/>
    <n v="255"/>
    <n v="255"/>
    <n v="255"/>
    <m/>
    <m/>
    <m/>
    <m/>
    <m/>
    <m/>
    <m/>
    <n v="0"/>
    <n v="0"/>
    <n v="0"/>
    <n v="0"/>
    <n v="0"/>
    <n v="0"/>
    <n v="0"/>
    <n v="0"/>
    <n v="0"/>
    <n v="0"/>
    <n v="0"/>
    <n v="0"/>
    <n v="0"/>
    <n v="0"/>
    <x v="0"/>
    <n v="0"/>
    <s v="MMR001CMP128"/>
    <x v="0"/>
    <x v="1"/>
    <x v="3"/>
    <n v="0.46788990825688076"/>
    <s v="No"/>
    <m/>
  </r>
  <r>
    <n v="14.766666666666667"/>
    <d v="2015-03-25T00:00:00"/>
    <x v="0"/>
    <s v="UNHCR"/>
    <s v="Kachin"/>
    <s v="Mansi"/>
    <s v="Lana Zup Ja and Bumtsit pa (1) and (2)"/>
    <m/>
    <m/>
    <m/>
    <n v="1621"/>
    <m/>
    <m/>
    <m/>
    <m/>
    <m/>
    <m/>
    <m/>
    <m/>
    <m/>
    <m/>
    <m/>
    <m/>
    <m/>
    <n v="0"/>
    <n v="0"/>
    <n v="0"/>
    <n v="0"/>
    <n v="0"/>
    <n v="0"/>
    <n v="0"/>
    <n v="0"/>
    <n v="0"/>
    <n v="0"/>
    <n v="0"/>
    <n v="0"/>
    <n v="0"/>
    <n v="0"/>
    <x v="0"/>
    <n v="0"/>
    <s v=""/>
    <x v="1"/>
    <x v="2"/>
    <x v="0"/>
    <s v=""/>
    <s v="No"/>
    <m/>
  </r>
  <r>
    <n v="30.966666666666665"/>
    <d v="2013-11-24T00:00:00"/>
    <x v="5"/>
    <s v="Solidarities"/>
    <s v="Kachin"/>
    <s v="Shwegu"/>
    <s v="Lawk Awng Mare D. (Sinbo Area)"/>
    <m/>
    <m/>
    <m/>
    <m/>
    <m/>
    <m/>
    <m/>
    <m/>
    <m/>
    <m/>
    <n v="45"/>
    <n v="90"/>
    <n v="270"/>
    <n v="135"/>
    <m/>
    <m/>
    <m/>
    <n v="0"/>
    <n v="0"/>
    <n v="0"/>
    <n v="0"/>
    <n v="0"/>
    <n v="0"/>
    <n v="0"/>
    <n v="0"/>
    <n v="0"/>
    <n v="0"/>
    <n v="0"/>
    <n v="0"/>
    <n v="0"/>
    <n v="0"/>
    <x v="1"/>
    <n v="0"/>
    <s v="MMR001CMP147"/>
    <x v="2"/>
    <x v="1"/>
    <x v="1"/>
    <n v="0"/>
    <m/>
    <m/>
  </r>
  <r>
    <n v="49.2"/>
    <d v="2012-05-26T00:00:00"/>
    <x v="0"/>
    <s v="KBC"/>
    <s v="Kachin"/>
    <s v="Shwegu"/>
    <s v="Lawk Awng Mare D. (Sinbo Area)"/>
    <m/>
    <m/>
    <m/>
    <n v="200"/>
    <n v="200"/>
    <n v="0"/>
    <n v="0"/>
    <n v="0"/>
    <m/>
    <m/>
    <m/>
    <m/>
    <m/>
    <m/>
    <m/>
    <m/>
    <m/>
    <n v="0"/>
    <n v="0"/>
    <n v="0"/>
    <n v="0"/>
    <n v="0"/>
    <n v="0"/>
    <n v="0"/>
    <n v="0"/>
    <n v="0"/>
    <n v="0"/>
    <n v="0"/>
    <n v="0"/>
    <n v="0"/>
    <n v="0"/>
    <x v="0"/>
    <n v="0"/>
    <s v="MMR001CMP147"/>
    <x v="2"/>
    <x v="1"/>
    <x v="1"/>
    <n v="0"/>
    <s v="No"/>
    <m/>
  </r>
  <r>
    <n v="37.366666666666667"/>
    <d v="2013-05-16T00:00:00"/>
    <x v="8"/>
    <s v="KMSS"/>
    <s v="Kachin"/>
    <s v="Hpakant"/>
    <s v="Lawng Hkang"/>
    <n v="394"/>
    <m/>
    <m/>
    <m/>
    <m/>
    <m/>
    <m/>
    <m/>
    <m/>
    <m/>
    <m/>
    <m/>
    <m/>
    <m/>
    <m/>
    <m/>
    <m/>
    <n v="0"/>
    <n v="0"/>
    <n v="0"/>
    <n v="0"/>
    <n v="0"/>
    <n v="0"/>
    <n v="0"/>
    <n v="0"/>
    <n v="0"/>
    <n v="0"/>
    <n v="0"/>
    <n v="0"/>
    <n v="0"/>
    <n v="0"/>
    <x v="0"/>
    <n v="0"/>
    <s v=""/>
    <x v="1"/>
    <x v="2"/>
    <x v="0"/>
    <s v=""/>
    <s v="No"/>
    <m/>
  </r>
  <r>
    <n v="25.066666666666666"/>
    <d v="2014-05-20T00:00:00"/>
    <x v="6"/>
    <s v="MRCS"/>
    <s v="Kachin"/>
    <s v="Myitkyina"/>
    <s v="Le Kone Bethlehem Church"/>
    <m/>
    <m/>
    <m/>
    <m/>
    <m/>
    <m/>
    <m/>
    <m/>
    <m/>
    <m/>
    <m/>
    <m/>
    <m/>
    <n v="188"/>
    <m/>
    <m/>
    <m/>
    <n v="0"/>
    <n v="0"/>
    <n v="0"/>
    <n v="0"/>
    <n v="0"/>
    <n v="0"/>
    <n v="0"/>
    <n v="0"/>
    <n v="0"/>
    <n v="0"/>
    <n v="0"/>
    <n v="0"/>
    <n v="0"/>
    <n v="0"/>
    <x v="1"/>
    <n v="0"/>
    <s v="MMR001CMP015"/>
    <x v="0"/>
    <x v="1"/>
    <x v="1"/>
    <n v="0"/>
    <m/>
    <m/>
  </r>
  <r>
    <n v="35.06666666666667"/>
    <d v="2013-07-24T00:00:00"/>
    <x v="0"/>
    <s v="KBC"/>
    <s v="Kachin"/>
    <s v="Myitkyina"/>
    <s v="Le Kone Bethlehem Church"/>
    <m/>
    <m/>
    <n v="66"/>
    <n v="98"/>
    <n v="45"/>
    <n v="98"/>
    <n v="45"/>
    <n v="45"/>
    <n v="45"/>
    <n v="45"/>
    <m/>
    <m/>
    <m/>
    <m/>
    <m/>
    <m/>
    <m/>
    <n v="0"/>
    <n v="0"/>
    <n v="0"/>
    <n v="0"/>
    <n v="0"/>
    <n v="0"/>
    <n v="0"/>
    <n v="0"/>
    <n v="0"/>
    <n v="0"/>
    <n v="0"/>
    <n v="0"/>
    <n v="0"/>
    <n v="0"/>
    <x v="0"/>
    <n v="0"/>
    <s v="MMR001CMP015"/>
    <x v="0"/>
    <x v="1"/>
    <x v="1"/>
    <n v="0.46875"/>
    <s v="No"/>
    <m/>
  </r>
  <r>
    <n v="47.5"/>
    <d v="2012-07-16T00:00:00"/>
    <x v="0"/>
    <s v="UNHCR"/>
    <s v="Kachin"/>
    <s v="Myitkyina"/>
    <s v="Le Kone Bethlehem Church"/>
    <m/>
    <m/>
    <m/>
    <n v="6"/>
    <n v="6"/>
    <n v="6"/>
    <n v="6"/>
    <n v="6"/>
    <n v="6"/>
    <n v="6"/>
    <m/>
    <m/>
    <m/>
    <m/>
    <m/>
    <m/>
    <m/>
    <n v="0"/>
    <n v="0"/>
    <n v="0"/>
    <n v="0"/>
    <n v="0"/>
    <n v="0"/>
    <n v="0"/>
    <n v="0"/>
    <n v="0"/>
    <n v="0"/>
    <n v="0"/>
    <n v="0"/>
    <n v="0"/>
    <n v="0"/>
    <x v="0"/>
    <n v="0"/>
    <s v="MMR001CMP015"/>
    <x v="0"/>
    <x v="1"/>
    <x v="1"/>
    <n v="6.25E-2"/>
    <s v="No"/>
    <m/>
  </r>
  <r>
    <n v="47.5"/>
    <d v="2012-07-16T00:00:00"/>
    <x v="0"/>
    <s v="UNHCR"/>
    <s v="Kachin"/>
    <s v="Myitkyina"/>
    <s v="Le Kone Bethlehem Church"/>
    <m/>
    <m/>
    <m/>
    <n v="13"/>
    <n v="13"/>
    <n v="13"/>
    <n v="13"/>
    <n v="13"/>
    <n v="13"/>
    <n v="13"/>
    <m/>
    <m/>
    <m/>
    <m/>
    <m/>
    <m/>
    <m/>
    <n v="0"/>
    <n v="0"/>
    <n v="0"/>
    <n v="0"/>
    <n v="0"/>
    <n v="0"/>
    <n v="0"/>
    <n v="0"/>
    <n v="0"/>
    <n v="0"/>
    <n v="0"/>
    <n v="0"/>
    <n v="0"/>
    <n v="0"/>
    <x v="0"/>
    <n v="0"/>
    <s v="MMR001CMP015"/>
    <x v="0"/>
    <x v="1"/>
    <x v="1"/>
    <n v="0.13541666666666666"/>
    <s v="No"/>
    <m/>
  </r>
  <r>
    <n v="54.833333333333336"/>
    <d v="2011-12-09T00:00:00"/>
    <x v="0"/>
    <s v="KBC"/>
    <s v="Kachin"/>
    <s v="Myitkyina"/>
    <s v="Le Kone Bethlehem Church"/>
    <m/>
    <m/>
    <m/>
    <n v="13"/>
    <n v="6"/>
    <n v="13"/>
    <n v="6"/>
    <n v="6"/>
    <n v="6"/>
    <n v="6"/>
    <m/>
    <m/>
    <m/>
    <m/>
    <m/>
    <m/>
    <m/>
    <n v="0"/>
    <n v="0"/>
    <n v="0"/>
    <n v="0"/>
    <n v="0"/>
    <n v="0"/>
    <n v="0"/>
    <n v="0"/>
    <n v="0"/>
    <n v="0"/>
    <n v="0"/>
    <n v="0"/>
    <n v="0"/>
    <n v="0"/>
    <x v="0"/>
    <n v="0"/>
    <s v="MMR001CMP015"/>
    <x v="0"/>
    <x v="1"/>
    <x v="1"/>
    <n v="6.25E-2"/>
    <s v="No"/>
    <m/>
  </r>
  <r>
    <n v="55.666666666666664"/>
    <d v="2011-11-14T00:00:00"/>
    <x v="0"/>
    <s v="KBC"/>
    <s v="Kachin"/>
    <s v="Myitkyina"/>
    <s v="Le Kone Bethlehem Church"/>
    <m/>
    <m/>
    <m/>
    <n v="52"/>
    <n v="25"/>
    <n v="52"/>
    <n v="25"/>
    <n v="25"/>
    <n v="25"/>
    <n v="25"/>
    <m/>
    <m/>
    <m/>
    <m/>
    <m/>
    <m/>
    <m/>
    <n v="0"/>
    <n v="0"/>
    <n v="0"/>
    <n v="0"/>
    <n v="0"/>
    <n v="0"/>
    <n v="0"/>
    <n v="0"/>
    <n v="0"/>
    <n v="0"/>
    <n v="0"/>
    <n v="0"/>
    <n v="0"/>
    <n v="0"/>
    <x v="0"/>
    <n v="0"/>
    <s v="MMR001CMP015"/>
    <x v="0"/>
    <x v="1"/>
    <x v="1"/>
    <n v="0.26041666666666669"/>
    <s v="No"/>
    <m/>
  </r>
  <r>
    <n v="25.066666666666666"/>
    <d v="2014-05-20T00:00:00"/>
    <x v="6"/>
    <s v="MRCS"/>
    <s v="Kachin"/>
    <s v="Myitkyina"/>
    <s v="Le Kone Ziun Baptist Church "/>
    <m/>
    <m/>
    <m/>
    <m/>
    <m/>
    <m/>
    <m/>
    <m/>
    <m/>
    <m/>
    <m/>
    <m/>
    <m/>
    <n v="278"/>
    <m/>
    <m/>
    <m/>
    <n v="0"/>
    <n v="0"/>
    <n v="0"/>
    <n v="0"/>
    <n v="0"/>
    <n v="0"/>
    <n v="0"/>
    <n v="0"/>
    <n v="0"/>
    <n v="0"/>
    <n v="0"/>
    <n v="0"/>
    <n v="0"/>
    <n v="0"/>
    <x v="1"/>
    <n v="0"/>
    <s v="MMR001CMP014"/>
    <x v="0"/>
    <x v="1"/>
    <x v="1"/>
    <n v="0"/>
    <m/>
    <m/>
  </r>
  <r>
    <n v="35.06666666666667"/>
    <d v="2013-07-24T00:00:00"/>
    <x v="0"/>
    <s v="KBC"/>
    <s v="Kachin"/>
    <s v="Myitkyina"/>
    <s v="Le Kone Ziun Baptist Church "/>
    <m/>
    <m/>
    <n v="100"/>
    <n v="158"/>
    <n v="65"/>
    <n v="158"/>
    <n v="65"/>
    <n v="65"/>
    <n v="65"/>
    <n v="65"/>
    <m/>
    <m/>
    <m/>
    <m/>
    <m/>
    <m/>
    <m/>
    <n v="0"/>
    <n v="0"/>
    <n v="0"/>
    <n v="0"/>
    <n v="0"/>
    <n v="0"/>
    <n v="0"/>
    <n v="0"/>
    <n v="0"/>
    <n v="0"/>
    <n v="0"/>
    <n v="0"/>
    <n v="0"/>
    <n v="0"/>
    <x v="0"/>
    <n v="0"/>
    <s v="MMR001CMP014"/>
    <x v="0"/>
    <x v="1"/>
    <x v="1"/>
    <n v="0.47101449275362317"/>
    <s v="No"/>
    <m/>
  </r>
  <r>
    <n v="47.5"/>
    <d v="2012-07-16T00:00:00"/>
    <x v="0"/>
    <s v="UNHCR"/>
    <s v="Kachin"/>
    <s v="Myitkyina"/>
    <s v="Le Kone Ziun Baptist Church "/>
    <m/>
    <m/>
    <m/>
    <n v="50"/>
    <n v="50"/>
    <n v="50"/>
    <n v="50"/>
    <n v="50"/>
    <n v="50"/>
    <n v="50"/>
    <m/>
    <m/>
    <m/>
    <m/>
    <m/>
    <m/>
    <m/>
    <n v="0"/>
    <n v="0"/>
    <n v="0"/>
    <n v="0"/>
    <n v="0"/>
    <n v="0"/>
    <n v="0"/>
    <n v="0"/>
    <n v="0"/>
    <n v="0"/>
    <n v="0"/>
    <n v="0"/>
    <n v="0"/>
    <n v="0"/>
    <x v="0"/>
    <n v="0"/>
    <s v="MMR001CMP014"/>
    <x v="0"/>
    <x v="1"/>
    <x v="1"/>
    <n v="0.36231884057971014"/>
    <s v="No"/>
    <m/>
  </r>
  <r>
    <n v="56.033333333333331"/>
    <d v="2011-11-03T00:00:00"/>
    <x v="0"/>
    <s v="KBC"/>
    <s v="Kachin"/>
    <s v="Myitkyina"/>
    <s v="Le Kone Ziun Baptist Church "/>
    <m/>
    <m/>
    <m/>
    <n v="116"/>
    <n v="49"/>
    <n v="116"/>
    <n v="49"/>
    <n v="49"/>
    <n v="49"/>
    <n v="49"/>
    <m/>
    <m/>
    <m/>
    <m/>
    <m/>
    <m/>
    <m/>
    <n v="0"/>
    <n v="0"/>
    <n v="0"/>
    <n v="0"/>
    <n v="0"/>
    <n v="0"/>
    <n v="0"/>
    <n v="0"/>
    <n v="0"/>
    <n v="0"/>
    <n v="0"/>
    <n v="0"/>
    <n v="0"/>
    <n v="0"/>
    <x v="0"/>
    <n v="0"/>
    <s v="MMR001CMP014"/>
    <x v="0"/>
    <x v="1"/>
    <x v="1"/>
    <n v="0.35507246376811596"/>
    <s v="No"/>
    <m/>
  </r>
  <r>
    <n v="53.666666666666664"/>
    <d v="2012-01-13T00:00:00"/>
    <x v="0"/>
    <s v="KBC"/>
    <s v="Kachin"/>
    <m/>
    <s v="Le Pyin - Kar Gyi Winn"/>
    <m/>
    <m/>
    <m/>
    <n v="18"/>
    <n v="9"/>
    <n v="9"/>
    <n v="0"/>
    <n v="9"/>
    <n v="9"/>
    <n v="9"/>
    <m/>
    <m/>
    <m/>
    <m/>
    <m/>
    <m/>
    <m/>
    <n v="0"/>
    <n v="0"/>
    <n v="0"/>
    <n v="0"/>
    <n v="0"/>
    <n v="0"/>
    <n v="0"/>
    <n v="0"/>
    <n v="0"/>
    <n v="0"/>
    <n v="0"/>
    <n v="0"/>
    <n v="0"/>
    <n v="0"/>
    <x v="0"/>
    <n v="0"/>
    <s v=""/>
    <x v="1"/>
    <x v="2"/>
    <x v="0"/>
    <s v=""/>
    <s v="No"/>
    <s v="Lone Zut"/>
  </r>
  <r>
    <n v="53.666666666666664"/>
    <d v="2012-01-13T00:00:00"/>
    <x v="0"/>
    <s v="KBC"/>
    <s v="Kachin"/>
    <m/>
    <s v="Le Pyin Christian Church"/>
    <m/>
    <m/>
    <m/>
    <n v="10"/>
    <n v="5"/>
    <n v="5"/>
    <n v="0"/>
    <n v="5"/>
    <n v="5"/>
    <n v="5"/>
    <m/>
    <m/>
    <m/>
    <m/>
    <m/>
    <m/>
    <m/>
    <n v="0"/>
    <n v="0"/>
    <n v="0"/>
    <n v="0"/>
    <n v="0"/>
    <n v="0"/>
    <n v="0"/>
    <n v="0"/>
    <n v="0"/>
    <n v="0"/>
    <n v="0"/>
    <n v="0"/>
    <n v="0"/>
    <n v="0"/>
    <x v="0"/>
    <n v="0"/>
    <s v=""/>
    <x v="1"/>
    <x v="2"/>
    <x v="0"/>
    <s v=""/>
    <s v="No"/>
    <s v="CBP"/>
  </r>
  <r>
    <n v="17.133333333333333"/>
    <d v="2015-01-13T00:00:00"/>
    <x v="1"/>
    <s v="MRCS"/>
    <s v="Kachin"/>
    <s v="Chipwi"/>
    <s v="Lhaovao Baptist Church (LBC)"/>
    <m/>
    <m/>
    <m/>
    <m/>
    <m/>
    <m/>
    <m/>
    <m/>
    <m/>
    <m/>
    <n v="350"/>
    <n v="236"/>
    <m/>
    <n v="203"/>
    <m/>
    <m/>
    <m/>
    <n v="0"/>
    <n v="0"/>
    <n v="0"/>
    <n v="0"/>
    <n v="0"/>
    <n v="0"/>
    <n v="0"/>
    <n v="0"/>
    <n v="0"/>
    <n v="0"/>
    <n v="0"/>
    <n v="0"/>
    <n v="0"/>
    <n v="0"/>
    <x v="1"/>
    <n v="0"/>
    <s v="MMR001CMP195"/>
    <x v="0"/>
    <x v="1"/>
    <x v="2"/>
    <n v="0"/>
    <m/>
    <m/>
  </r>
  <r>
    <n v="20.6"/>
    <d v="2014-10-01T00:00:00"/>
    <x v="0"/>
    <s v="Shalom"/>
    <s v="Kachin"/>
    <s v="Chipwi"/>
    <s v="Lhaovao Baptist Church (LBC)"/>
    <m/>
    <m/>
    <m/>
    <n v="278"/>
    <m/>
    <m/>
    <m/>
    <m/>
    <m/>
    <m/>
    <m/>
    <m/>
    <m/>
    <n v="278"/>
    <m/>
    <m/>
    <m/>
    <n v="0"/>
    <n v="0"/>
    <n v="0"/>
    <n v="0"/>
    <n v="0"/>
    <n v="0"/>
    <n v="0"/>
    <n v="0"/>
    <n v="0"/>
    <n v="0"/>
    <n v="0"/>
    <n v="0"/>
    <n v="0"/>
    <n v="0"/>
    <x v="1"/>
    <n v="0"/>
    <s v="MMR001CMP195"/>
    <x v="0"/>
    <x v="1"/>
    <x v="2"/>
    <n v="0"/>
    <m/>
    <m/>
  </r>
  <r>
    <n v="22.433333333333334"/>
    <d v="2014-08-07T00:00:00"/>
    <x v="0"/>
    <s v="Shalom"/>
    <s v="Kachin"/>
    <s v="Chipwi"/>
    <s v="Lhaovao Baptist Church (LBC)"/>
    <m/>
    <m/>
    <n v="50"/>
    <n v="25"/>
    <n v="50"/>
    <n v="25"/>
    <m/>
    <n v="25"/>
    <n v="125"/>
    <m/>
    <m/>
    <m/>
    <m/>
    <m/>
    <m/>
    <m/>
    <m/>
    <n v="0"/>
    <n v="0"/>
    <n v="0"/>
    <n v="0"/>
    <n v="0"/>
    <n v="0"/>
    <n v="0"/>
    <n v="0"/>
    <n v="0"/>
    <n v="0"/>
    <n v="0"/>
    <n v="0"/>
    <n v="0"/>
    <n v="0"/>
    <x v="0"/>
    <n v="0"/>
    <s v="MMR001CMP195"/>
    <x v="0"/>
    <x v="1"/>
    <x v="2"/>
    <n v="0"/>
    <m/>
    <m/>
  </r>
  <r>
    <n v="27.933333333333334"/>
    <d v="2014-02-23T00:00:00"/>
    <x v="6"/>
    <s v="MRCS"/>
    <s v="Kachin"/>
    <s v="Chipwi"/>
    <s v="Lhaovao Baptist Church (LBC)"/>
    <m/>
    <m/>
    <m/>
    <m/>
    <m/>
    <m/>
    <m/>
    <m/>
    <m/>
    <m/>
    <m/>
    <m/>
    <m/>
    <n v="278"/>
    <m/>
    <m/>
    <m/>
    <n v="0"/>
    <n v="0"/>
    <n v="0"/>
    <n v="0"/>
    <n v="0"/>
    <n v="0"/>
    <n v="0"/>
    <n v="0"/>
    <n v="0"/>
    <n v="0"/>
    <n v="0"/>
    <n v="0"/>
    <n v="0"/>
    <n v="0"/>
    <x v="1"/>
    <n v="0"/>
    <s v="MMR001CMP195"/>
    <x v="0"/>
    <x v="1"/>
    <x v="2"/>
    <n v="0"/>
    <m/>
    <m/>
  </r>
  <r>
    <n v="30.766666666666666"/>
    <d v="2013-11-30T00:00:00"/>
    <x v="5"/>
    <s v="KBC"/>
    <s v="Kachin"/>
    <s v="Chipwi"/>
    <s v="Lhaovao Baptist Church (LBC)"/>
    <m/>
    <m/>
    <m/>
    <m/>
    <m/>
    <m/>
    <m/>
    <m/>
    <m/>
    <m/>
    <m/>
    <m/>
    <m/>
    <m/>
    <m/>
    <m/>
    <m/>
    <n v="0"/>
    <n v="0"/>
    <n v="0"/>
    <n v="0"/>
    <n v="0"/>
    <n v="0"/>
    <n v="0"/>
    <n v="0"/>
    <n v="0"/>
    <n v="0"/>
    <n v="0"/>
    <n v="0"/>
    <n v="0"/>
    <n v="0"/>
    <x v="0"/>
    <n v="0"/>
    <s v="MMR001CMP195"/>
    <x v="0"/>
    <x v="1"/>
    <x v="2"/>
    <n v="0"/>
    <s v="No"/>
    <m/>
  </r>
  <r>
    <n v="37.166666666666664"/>
    <d v="2013-05-22T00:00:00"/>
    <x v="8"/>
    <s v="KMSS"/>
    <s v="Kachin"/>
    <s v="Chipwi"/>
    <s v="Lhaovao Baptist Church (LBC)"/>
    <n v="35"/>
    <m/>
    <m/>
    <m/>
    <m/>
    <m/>
    <m/>
    <m/>
    <m/>
    <m/>
    <m/>
    <m/>
    <m/>
    <m/>
    <m/>
    <m/>
    <m/>
    <n v="0"/>
    <n v="0"/>
    <n v="0"/>
    <n v="0"/>
    <n v="0"/>
    <n v="0"/>
    <n v="0"/>
    <n v="0"/>
    <n v="0"/>
    <n v="0"/>
    <n v="0"/>
    <n v="0"/>
    <n v="0"/>
    <n v="0"/>
    <x v="0"/>
    <n v="0"/>
    <s v="MMR001CMP195"/>
    <x v="0"/>
    <x v="1"/>
    <x v="2"/>
    <n v="0"/>
    <s v="No"/>
    <m/>
  </r>
  <r>
    <n v="40.033333333333331"/>
    <d v="2013-02-25T00:00:00"/>
    <x v="0"/>
    <s v="Chipwe CM"/>
    <s v="Kachin"/>
    <s v="Chipwi"/>
    <s v="Lhaovao Baptist Church (LBC)"/>
    <m/>
    <m/>
    <n v="12"/>
    <n v="17"/>
    <n v="7"/>
    <n v="17"/>
    <n v="7"/>
    <n v="7"/>
    <n v="7"/>
    <n v="7"/>
    <m/>
    <m/>
    <m/>
    <m/>
    <m/>
    <m/>
    <m/>
    <n v="0"/>
    <n v="0"/>
    <n v="0"/>
    <n v="0"/>
    <n v="0"/>
    <n v="0"/>
    <n v="0"/>
    <n v="0"/>
    <n v="0"/>
    <n v="0"/>
    <n v="0"/>
    <n v="0"/>
    <n v="0"/>
    <n v="0"/>
    <x v="0"/>
    <n v="0"/>
    <s v="MMR001CMP195"/>
    <x v="0"/>
    <x v="1"/>
    <x v="2"/>
    <n v="4.8951048951048952E-2"/>
    <s v="No"/>
    <m/>
  </r>
  <r>
    <n v="45"/>
    <d v="2012-09-29T00:00:00"/>
    <x v="0"/>
    <s v="Chipwe CM"/>
    <s v="Kachin"/>
    <s v="Chipwi"/>
    <s v="Lhaovao Baptist Church (LBC)"/>
    <m/>
    <m/>
    <m/>
    <n v="34"/>
    <n v="12"/>
    <n v="34"/>
    <n v="12"/>
    <n v="12"/>
    <n v="12"/>
    <n v="12"/>
    <m/>
    <m/>
    <m/>
    <m/>
    <m/>
    <m/>
    <m/>
    <n v="0"/>
    <n v="0"/>
    <n v="0"/>
    <n v="0"/>
    <n v="0"/>
    <n v="0"/>
    <n v="0"/>
    <n v="0"/>
    <n v="0"/>
    <n v="0"/>
    <n v="0"/>
    <n v="0"/>
    <n v="0"/>
    <n v="0"/>
    <x v="0"/>
    <n v="0"/>
    <s v="MMR001CMP195"/>
    <x v="0"/>
    <x v="1"/>
    <x v="2"/>
    <n v="8.3916083916083919E-2"/>
    <s v="No"/>
    <m/>
  </r>
  <r>
    <n v="48.7"/>
    <d v="2012-06-10T00:00:00"/>
    <x v="0"/>
    <s v="UNHCR"/>
    <s v="Kachin"/>
    <s v="Chipwi"/>
    <s v="Lhaovao Baptist Church (LBC)"/>
    <m/>
    <m/>
    <m/>
    <n v="200"/>
    <n v="100"/>
    <n v="150"/>
    <n v="100"/>
    <n v="100"/>
    <n v="100"/>
    <n v="100"/>
    <m/>
    <m/>
    <m/>
    <m/>
    <m/>
    <m/>
    <m/>
    <n v="0"/>
    <n v="0"/>
    <n v="0"/>
    <n v="0"/>
    <n v="0"/>
    <n v="0"/>
    <n v="0"/>
    <n v="0"/>
    <n v="0"/>
    <n v="0"/>
    <n v="0"/>
    <n v="0"/>
    <n v="0"/>
    <n v="0"/>
    <x v="0"/>
    <n v="0"/>
    <s v="MMR001CMP195"/>
    <x v="0"/>
    <x v="1"/>
    <x v="2"/>
    <n v="0.69930069930069927"/>
    <s v="No"/>
    <m/>
  </r>
  <r>
    <n v="14.466666666666667"/>
    <d v="2015-04-03T00:00:00"/>
    <x v="0"/>
    <s v="Shalom-BM"/>
    <s v="Kachin"/>
    <s v="Bhamo"/>
    <s v="Lisu Baptist Church"/>
    <m/>
    <m/>
    <m/>
    <m/>
    <m/>
    <n v="15"/>
    <m/>
    <m/>
    <n v="26"/>
    <n v="720"/>
    <m/>
    <m/>
    <m/>
    <m/>
    <n v="26"/>
    <m/>
    <m/>
    <n v="0"/>
    <n v="0"/>
    <n v="0"/>
    <n v="0"/>
    <n v="0"/>
    <n v="0"/>
    <n v="0"/>
    <n v="0"/>
    <n v="0"/>
    <n v="0"/>
    <n v="0"/>
    <n v="0"/>
    <n v="0"/>
    <n v="0"/>
    <x v="0"/>
    <n v="0"/>
    <s v=""/>
    <x v="1"/>
    <x v="2"/>
    <x v="0"/>
    <s v=""/>
    <s v="No"/>
    <m/>
  </r>
  <r>
    <n v="19.600000000000001"/>
    <d v="2014-10-31T00:00:00"/>
    <x v="0"/>
    <m/>
    <s v="Kachin"/>
    <s v="Hpakant"/>
    <s v="Lisu Baptist Church, Maw Shan Vil,. Seik Mu"/>
    <m/>
    <m/>
    <n v="25"/>
    <n v="50"/>
    <n v="25"/>
    <n v="50"/>
    <n v="25"/>
    <m/>
    <n v="25"/>
    <n v="125"/>
    <m/>
    <m/>
    <m/>
    <m/>
    <m/>
    <m/>
    <m/>
    <n v="0"/>
    <n v="0"/>
    <n v="0"/>
    <n v="0"/>
    <n v="0"/>
    <n v="0"/>
    <n v="0"/>
    <n v="0"/>
    <n v="0"/>
    <n v="0"/>
    <n v="0"/>
    <n v="0"/>
    <n v="0"/>
    <n v="0"/>
    <x v="0"/>
    <n v="0"/>
    <s v="MMR001CMP181"/>
    <x v="0"/>
    <x v="1"/>
    <x v="1"/>
    <n v="1"/>
    <m/>
    <m/>
  </r>
  <r>
    <n v="19.8"/>
    <d v="2014-10-25T00:00:00"/>
    <x v="1"/>
    <s v="MRCS"/>
    <s v="Kachin"/>
    <s v="Hpakant"/>
    <s v="Lisu Baptist Church, Maw Shan Vil,. Seik Mu"/>
    <m/>
    <m/>
    <m/>
    <m/>
    <m/>
    <m/>
    <m/>
    <m/>
    <m/>
    <m/>
    <n v="90"/>
    <n v="39"/>
    <m/>
    <m/>
    <m/>
    <m/>
    <m/>
    <n v="0"/>
    <n v="0"/>
    <n v="0"/>
    <n v="0"/>
    <n v="0"/>
    <n v="0"/>
    <n v="0"/>
    <n v="0"/>
    <n v="0"/>
    <n v="0"/>
    <n v="0"/>
    <n v="0"/>
    <n v="0"/>
    <n v="0"/>
    <x v="1"/>
    <n v="0"/>
    <s v="MMR001CMP181"/>
    <x v="0"/>
    <x v="1"/>
    <x v="1"/>
    <n v="0"/>
    <m/>
    <m/>
  </r>
  <r>
    <n v="20.6"/>
    <d v="2014-10-01T00:00:00"/>
    <x v="0"/>
    <s v="Shalom"/>
    <s v="Kachin"/>
    <s v="Hpakant"/>
    <s v="Lisu Baptist Church, Maw Shan Vil,. Seik Mu"/>
    <m/>
    <m/>
    <m/>
    <n v="40"/>
    <m/>
    <m/>
    <m/>
    <m/>
    <m/>
    <m/>
    <m/>
    <m/>
    <m/>
    <m/>
    <m/>
    <m/>
    <m/>
    <n v="0"/>
    <n v="0"/>
    <n v="0"/>
    <n v="0"/>
    <n v="0"/>
    <n v="0"/>
    <n v="0"/>
    <n v="0"/>
    <n v="0"/>
    <n v="0"/>
    <n v="0"/>
    <n v="0"/>
    <n v="0"/>
    <n v="0"/>
    <x v="0"/>
    <n v="0"/>
    <s v="MMR001CMP181"/>
    <x v="0"/>
    <x v="1"/>
    <x v="1"/>
    <n v="0"/>
    <m/>
    <m/>
  </r>
  <r>
    <n v="39.233333333333334"/>
    <d v="2013-03-21T00:00:00"/>
    <x v="0"/>
    <s v="UNHCR"/>
    <s v="Kachin"/>
    <s v="Hpakant"/>
    <s v="Lisu Baptist Church, Maw Shan Vil,. Seik Mu"/>
    <m/>
    <m/>
    <n v="34"/>
    <n v="40"/>
    <n v="40"/>
    <n v="75"/>
    <n v="40"/>
    <n v="75"/>
    <n v="75"/>
    <n v="75"/>
    <m/>
    <m/>
    <m/>
    <m/>
    <m/>
    <m/>
    <m/>
    <n v="0"/>
    <n v="0"/>
    <n v="0"/>
    <n v="0"/>
    <n v="0"/>
    <n v="0"/>
    <n v="0"/>
    <n v="0"/>
    <n v="0"/>
    <n v="0"/>
    <n v="0"/>
    <n v="0"/>
    <n v="0"/>
    <n v="0"/>
    <x v="0"/>
    <n v="0"/>
    <s v="MMR001CMP181"/>
    <x v="0"/>
    <x v="1"/>
    <x v="1"/>
    <n v="1.6"/>
    <s v="No"/>
    <m/>
  </r>
  <r>
    <n v="19.600000000000001"/>
    <d v="2014-10-31T00:00:00"/>
    <x v="0"/>
    <m/>
    <s v="Kachin"/>
    <s v="Hpakant"/>
    <s v="Lisu Baptist Church, Maw Wan Ward"/>
    <m/>
    <m/>
    <n v="15"/>
    <n v="30"/>
    <n v="15"/>
    <n v="30"/>
    <n v="15"/>
    <m/>
    <n v="15"/>
    <n v="75"/>
    <m/>
    <m/>
    <m/>
    <m/>
    <m/>
    <m/>
    <m/>
    <n v="0"/>
    <n v="0"/>
    <n v="0"/>
    <n v="0"/>
    <n v="0"/>
    <n v="0"/>
    <n v="0"/>
    <n v="0"/>
    <n v="0"/>
    <n v="0"/>
    <n v="0"/>
    <n v="0"/>
    <n v="0"/>
    <n v="0"/>
    <x v="0"/>
    <n v="0"/>
    <s v="MMR001CMP167"/>
    <x v="0"/>
    <x v="1"/>
    <x v="1"/>
    <n v="1"/>
    <m/>
    <m/>
  </r>
  <r>
    <n v="19.8"/>
    <d v="2014-10-25T00:00:00"/>
    <x v="1"/>
    <s v="MRCS"/>
    <s v="Kachin"/>
    <s v="Hpakant"/>
    <s v="Lisu Baptist Church, Maw Wan Ward"/>
    <m/>
    <m/>
    <m/>
    <m/>
    <m/>
    <m/>
    <m/>
    <m/>
    <m/>
    <m/>
    <n v="48"/>
    <n v="23"/>
    <m/>
    <m/>
    <m/>
    <m/>
    <m/>
    <n v="0"/>
    <n v="0"/>
    <n v="0"/>
    <n v="0"/>
    <n v="0"/>
    <n v="0"/>
    <n v="0"/>
    <n v="0"/>
    <n v="0"/>
    <n v="0"/>
    <n v="0"/>
    <n v="0"/>
    <n v="0"/>
    <n v="0"/>
    <x v="1"/>
    <n v="0"/>
    <s v="MMR001CMP167"/>
    <x v="0"/>
    <x v="1"/>
    <x v="1"/>
    <n v="0"/>
    <m/>
    <m/>
  </r>
  <r>
    <n v="20.6"/>
    <d v="2014-10-01T00:00:00"/>
    <x v="0"/>
    <s v="Shalom"/>
    <s v="Kachin"/>
    <s v="Hpakant"/>
    <s v="Lisu Baptist Church, Maw Wan Ward"/>
    <m/>
    <m/>
    <m/>
    <n v="16"/>
    <m/>
    <m/>
    <m/>
    <m/>
    <m/>
    <m/>
    <m/>
    <m/>
    <m/>
    <m/>
    <m/>
    <m/>
    <m/>
    <n v="0"/>
    <n v="0"/>
    <n v="0"/>
    <n v="0"/>
    <n v="0"/>
    <n v="0"/>
    <n v="0"/>
    <n v="0"/>
    <n v="0"/>
    <n v="0"/>
    <n v="0"/>
    <n v="0"/>
    <n v="0"/>
    <n v="0"/>
    <x v="0"/>
    <n v="0"/>
    <s v="MMR001CMP167"/>
    <x v="0"/>
    <x v="1"/>
    <x v="1"/>
    <n v="0"/>
    <m/>
    <m/>
  </r>
  <r>
    <n v="39.266666666666666"/>
    <d v="2013-03-20T00:00:00"/>
    <x v="0"/>
    <s v="UNHCR"/>
    <s v="Kachin"/>
    <s v="Hpakant"/>
    <s v="Lisu Baptist Church, Maw Wan Ward"/>
    <m/>
    <m/>
    <n v="32"/>
    <n v="27"/>
    <n v="27"/>
    <n v="66"/>
    <n v="27"/>
    <n v="66"/>
    <n v="66"/>
    <n v="66"/>
    <m/>
    <m/>
    <m/>
    <m/>
    <m/>
    <m/>
    <m/>
    <n v="0"/>
    <n v="0"/>
    <n v="0"/>
    <n v="0"/>
    <n v="0"/>
    <n v="0"/>
    <n v="0"/>
    <n v="0"/>
    <n v="0"/>
    <n v="0"/>
    <n v="0"/>
    <n v="0"/>
    <n v="0"/>
    <n v="0"/>
    <x v="0"/>
    <n v="0"/>
    <s v="MMR001CMP167"/>
    <x v="0"/>
    <x v="1"/>
    <x v="1"/>
    <n v="1.8"/>
    <s v="No"/>
    <m/>
  </r>
  <r>
    <n v="40.200000000000003"/>
    <d v="2013-02-20T00:00:00"/>
    <x v="0"/>
    <s v="UNHCR"/>
    <s v="Kachin"/>
    <s v="Hpakant"/>
    <s v="Lisu Baptist Church, Maw Wan Ward"/>
    <m/>
    <m/>
    <n v="12"/>
    <n v="20"/>
    <n v="8"/>
    <n v="20"/>
    <n v="8"/>
    <n v="8"/>
    <n v="8"/>
    <n v="8"/>
    <m/>
    <m/>
    <m/>
    <m/>
    <m/>
    <m/>
    <m/>
    <n v="0"/>
    <n v="0"/>
    <n v="0"/>
    <n v="0"/>
    <n v="0"/>
    <n v="0"/>
    <n v="0"/>
    <n v="0"/>
    <n v="0"/>
    <n v="0"/>
    <n v="0"/>
    <n v="0"/>
    <n v="0"/>
    <n v="0"/>
    <x v="0"/>
    <n v="0"/>
    <s v="MMR001CMP167"/>
    <x v="0"/>
    <x v="1"/>
    <x v="1"/>
    <n v="0.53333333333333333"/>
    <s v="No"/>
    <m/>
  </r>
  <r>
    <n v="41.9"/>
    <d v="2012-12-31T00:00:00"/>
    <x v="3"/>
    <s v="DRC"/>
    <s v="Kachin"/>
    <s v="Hpakant"/>
    <s v="Lisu Baptist Church, Maw Wan Ward"/>
    <n v="1"/>
    <m/>
    <m/>
    <m/>
    <m/>
    <m/>
    <m/>
    <m/>
    <n v="0"/>
    <n v="0"/>
    <m/>
    <m/>
    <m/>
    <m/>
    <m/>
    <m/>
    <m/>
    <n v="0"/>
    <n v="0"/>
    <n v="0"/>
    <n v="0"/>
    <n v="0"/>
    <n v="0"/>
    <n v="0"/>
    <n v="0"/>
    <n v="0"/>
    <n v="0"/>
    <n v="0"/>
    <n v="0"/>
    <n v="0"/>
    <n v="0"/>
    <x v="0"/>
    <n v="0"/>
    <s v="MMR001CMP167"/>
    <x v="0"/>
    <x v="1"/>
    <x v="1"/>
    <n v="0"/>
    <s v="No"/>
    <m/>
  </r>
  <r>
    <n v="2.1"/>
    <d v="2016-04-08T00:00:00"/>
    <x v="0"/>
    <s v="KBC"/>
    <s v="Kachin"/>
    <s v="Bhamo"/>
    <s v="Lisu Boarding-House"/>
    <m/>
    <m/>
    <m/>
    <m/>
    <n v="10"/>
    <m/>
    <m/>
    <m/>
    <m/>
    <m/>
    <m/>
    <m/>
    <m/>
    <m/>
    <m/>
    <m/>
    <m/>
    <n v="0"/>
    <n v="0"/>
    <n v="0"/>
    <n v="0"/>
    <n v="10"/>
    <n v="0"/>
    <n v="0"/>
    <n v="0"/>
    <n v="0"/>
    <n v="0"/>
    <n v="0"/>
    <n v="0"/>
    <n v="0"/>
    <n v="0"/>
    <x v="0"/>
    <n v="0"/>
    <s v="MMR001CMP049"/>
    <x v="0"/>
    <x v="1"/>
    <x v="1"/>
    <n v="0"/>
    <m/>
    <m/>
  </r>
  <r>
    <n v="22.866666666666667"/>
    <d v="2014-07-25T00:00:00"/>
    <x v="0"/>
    <m/>
    <s v="Kachin"/>
    <s v="Bhamo"/>
    <s v="Lisu Boarding-House"/>
    <m/>
    <m/>
    <m/>
    <m/>
    <n v="7"/>
    <n v="3"/>
    <m/>
    <m/>
    <n v="4"/>
    <n v="9"/>
    <m/>
    <m/>
    <m/>
    <m/>
    <m/>
    <m/>
    <m/>
    <n v="0"/>
    <n v="0"/>
    <n v="0"/>
    <n v="0"/>
    <n v="0"/>
    <n v="0"/>
    <n v="0"/>
    <n v="0"/>
    <n v="0"/>
    <n v="0"/>
    <n v="0"/>
    <n v="0"/>
    <n v="0"/>
    <n v="0"/>
    <x v="0"/>
    <n v="0"/>
    <s v="MMR001CMP049"/>
    <x v="0"/>
    <x v="1"/>
    <x v="1"/>
    <n v="0"/>
    <m/>
    <m/>
  </r>
  <r>
    <n v="23"/>
    <d v="2014-07-21T00:00:00"/>
    <x v="0"/>
    <m/>
    <s v="Kachin"/>
    <s v="Bhamo"/>
    <s v="Lisu Boarding-House"/>
    <m/>
    <m/>
    <m/>
    <n v="10"/>
    <n v="36"/>
    <n v="10"/>
    <n v="5"/>
    <m/>
    <n v="33"/>
    <n v="117"/>
    <m/>
    <m/>
    <m/>
    <m/>
    <m/>
    <m/>
    <m/>
    <n v="0"/>
    <n v="0"/>
    <n v="0"/>
    <n v="0"/>
    <n v="0"/>
    <n v="0"/>
    <n v="0"/>
    <n v="0"/>
    <n v="0"/>
    <n v="0"/>
    <n v="0"/>
    <n v="0"/>
    <n v="0"/>
    <n v="0"/>
    <x v="0"/>
    <n v="0"/>
    <s v="MMR001CMP049"/>
    <x v="0"/>
    <x v="1"/>
    <x v="1"/>
    <n v="4.3103448275862072E-2"/>
    <m/>
    <m/>
  </r>
  <r>
    <n v="30.766666666666666"/>
    <d v="2013-11-30T00:00:00"/>
    <x v="4"/>
    <s v="MDCG"/>
    <s v="Kachin"/>
    <s v="Bhamo"/>
    <s v="Lisu Boarding-House"/>
    <m/>
    <m/>
    <m/>
    <m/>
    <m/>
    <n v="206"/>
    <m/>
    <m/>
    <m/>
    <m/>
    <n v="242"/>
    <n v="156"/>
    <n v="0"/>
    <m/>
    <m/>
    <m/>
    <m/>
    <n v="0"/>
    <n v="0"/>
    <n v="0"/>
    <n v="0"/>
    <n v="0"/>
    <n v="0"/>
    <n v="0"/>
    <n v="0"/>
    <n v="0"/>
    <n v="0"/>
    <n v="0"/>
    <n v="0"/>
    <n v="0"/>
    <n v="0"/>
    <x v="1"/>
    <n v="0"/>
    <s v="MMR001CMP049"/>
    <x v="0"/>
    <x v="1"/>
    <x v="1"/>
    <n v="0"/>
    <s v="No"/>
    <m/>
  </r>
  <r>
    <n v="30.766666666666666"/>
    <d v="2013-11-30T00:00:00"/>
    <x v="5"/>
    <m/>
    <s v="Kachin"/>
    <s v="Bhamo"/>
    <s v="Lisu Boarding-House"/>
    <m/>
    <m/>
    <m/>
    <m/>
    <m/>
    <m/>
    <m/>
    <m/>
    <m/>
    <n v="120"/>
    <m/>
    <m/>
    <m/>
    <m/>
    <m/>
    <m/>
    <m/>
    <n v="0"/>
    <n v="0"/>
    <n v="0"/>
    <n v="0"/>
    <n v="0"/>
    <n v="0"/>
    <n v="0"/>
    <n v="0"/>
    <n v="0"/>
    <n v="0"/>
    <n v="0"/>
    <n v="0"/>
    <n v="0"/>
    <n v="0"/>
    <x v="0"/>
    <n v="0"/>
    <s v="MMR001CMP049"/>
    <x v="0"/>
    <x v="1"/>
    <x v="1"/>
    <n v="0"/>
    <s v="No"/>
    <m/>
  </r>
  <r>
    <n v="30.9"/>
    <d v="2013-11-26T00:00:00"/>
    <x v="0"/>
    <s v="UNHCR"/>
    <s v="Kachin"/>
    <s v="Bhamo"/>
    <s v="Lisu Boarding-House"/>
    <m/>
    <m/>
    <m/>
    <n v="31"/>
    <n v="13"/>
    <n v="31"/>
    <n v="13"/>
    <n v="13"/>
    <m/>
    <m/>
    <m/>
    <m/>
    <m/>
    <m/>
    <m/>
    <m/>
    <m/>
    <n v="0"/>
    <n v="0"/>
    <n v="0"/>
    <n v="0"/>
    <n v="0"/>
    <n v="0"/>
    <n v="0"/>
    <n v="0"/>
    <n v="0"/>
    <n v="0"/>
    <n v="0"/>
    <n v="0"/>
    <n v="0"/>
    <n v="0"/>
    <x v="0"/>
    <n v="0"/>
    <s v="MMR001CMP049"/>
    <x v="0"/>
    <x v="1"/>
    <x v="1"/>
    <n v="0.11206896551724138"/>
    <s v="No"/>
    <m/>
  </r>
  <r>
    <n v="41.6"/>
    <d v="2013-01-09T00:00:00"/>
    <x v="5"/>
    <s v="Solidarities"/>
    <s v="Kachin"/>
    <s v="Bhamo"/>
    <s v="Lisu Boarding-House"/>
    <n v="205"/>
    <m/>
    <n v="200"/>
    <m/>
    <m/>
    <m/>
    <m/>
    <m/>
    <n v="0"/>
    <n v="0"/>
    <m/>
    <m/>
    <m/>
    <m/>
    <m/>
    <m/>
    <m/>
    <n v="0"/>
    <n v="0"/>
    <n v="0"/>
    <n v="0"/>
    <n v="0"/>
    <n v="0"/>
    <n v="0"/>
    <n v="0"/>
    <n v="0"/>
    <n v="0"/>
    <n v="0"/>
    <n v="0"/>
    <n v="0"/>
    <n v="0"/>
    <x v="0"/>
    <n v="0"/>
    <s v="MMR001CMP049"/>
    <x v="0"/>
    <x v="1"/>
    <x v="1"/>
    <n v="0"/>
    <s v="No"/>
    <m/>
  </r>
  <r>
    <n v="42.233333333333334"/>
    <d v="2012-12-21T00:00:00"/>
    <x v="0"/>
    <s v="UNHCR"/>
    <s v="Kachin"/>
    <s v="Bhamo"/>
    <s v="Lisu Boarding-House"/>
    <m/>
    <m/>
    <m/>
    <n v="0"/>
    <n v="12"/>
    <n v="0"/>
    <n v="12"/>
    <n v="12"/>
    <n v="12"/>
    <n v="12"/>
    <m/>
    <m/>
    <m/>
    <m/>
    <m/>
    <m/>
    <m/>
    <n v="0"/>
    <n v="0"/>
    <n v="0"/>
    <n v="0"/>
    <n v="0"/>
    <n v="0"/>
    <n v="0"/>
    <n v="0"/>
    <n v="0"/>
    <n v="0"/>
    <n v="0"/>
    <n v="0"/>
    <n v="0"/>
    <n v="0"/>
    <x v="0"/>
    <n v="0"/>
    <s v="MMR001CMP049"/>
    <x v="0"/>
    <x v="1"/>
    <x v="1"/>
    <n v="0.10344827586206896"/>
    <s v="No"/>
    <m/>
  </r>
  <r>
    <n v="19.8"/>
    <d v="2014-10-25T00:00:00"/>
    <x v="1"/>
    <s v="MRCS"/>
    <s v="Kachin"/>
    <s v="Momauk"/>
    <s v="Loi Je Baptist Church"/>
    <m/>
    <m/>
    <m/>
    <m/>
    <m/>
    <m/>
    <m/>
    <m/>
    <m/>
    <m/>
    <n v="112"/>
    <n v="59"/>
    <m/>
    <n v="74"/>
    <m/>
    <m/>
    <m/>
    <n v="0"/>
    <n v="0"/>
    <n v="0"/>
    <n v="0"/>
    <n v="0"/>
    <n v="0"/>
    <n v="0"/>
    <n v="0"/>
    <n v="0"/>
    <n v="0"/>
    <n v="0"/>
    <n v="0"/>
    <n v="0"/>
    <n v="0"/>
    <x v="1"/>
    <n v="0"/>
    <s v="MMR001CMP071"/>
    <x v="0"/>
    <x v="1"/>
    <x v="4"/>
    <n v="0"/>
    <m/>
    <m/>
  </r>
  <r>
    <n v="20.3"/>
    <d v="2014-10-10T00:00:00"/>
    <x v="0"/>
    <m/>
    <s v="Kachin"/>
    <s v="Momauk"/>
    <s v="Loi Je Baptist Church"/>
    <m/>
    <m/>
    <m/>
    <m/>
    <n v="60"/>
    <m/>
    <m/>
    <m/>
    <m/>
    <m/>
    <m/>
    <m/>
    <m/>
    <m/>
    <m/>
    <m/>
    <m/>
    <n v="0"/>
    <n v="0"/>
    <n v="0"/>
    <n v="0"/>
    <n v="0"/>
    <n v="0"/>
    <n v="0"/>
    <n v="0"/>
    <n v="0"/>
    <n v="0"/>
    <n v="0"/>
    <n v="0"/>
    <n v="0"/>
    <n v="0"/>
    <x v="0"/>
    <n v="0"/>
    <s v="MMR001CMP071"/>
    <x v="0"/>
    <x v="1"/>
    <x v="4"/>
    <n v="0"/>
    <m/>
    <m/>
  </r>
  <r>
    <n v="30.766666666666666"/>
    <d v="2013-11-30T00:00:00"/>
    <x v="5"/>
    <m/>
    <s v="Kachin"/>
    <s v="Momauk"/>
    <s v="Loi Je Baptist Church"/>
    <m/>
    <m/>
    <m/>
    <m/>
    <m/>
    <m/>
    <m/>
    <m/>
    <m/>
    <n v="105"/>
    <m/>
    <m/>
    <m/>
    <m/>
    <m/>
    <m/>
    <m/>
    <n v="0"/>
    <n v="0"/>
    <n v="0"/>
    <n v="0"/>
    <n v="0"/>
    <n v="0"/>
    <n v="0"/>
    <n v="0"/>
    <n v="0"/>
    <n v="0"/>
    <n v="0"/>
    <n v="0"/>
    <n v="0"/>
    <n v="0"/>
    <x v="0"/>
    <n v="0"/>
    <s v="MMR001CMP071"/>
    <x v="0"/>
    <x v="1"/>
    <x v="4"/>
    <n v="0"/>
    <s v="No"/>
    <m/>
  </r>
  <r>
    <n v="31.3"/>
    <d v="2013-11-14T00:00:00"/>
    <x v="3"/>
    <m/>
    <s v="Kachin"/>
    <s v="Momauk"/>
    <s v="Loi Je Baptist Church"/>
    <m/>
    <m/>
    <m/>
    <m/>
    <m/>
    <n v="75"/>
    <m/>
    <m/>
    <m/>
    <m/>
    <m/>
    <m/>
    <m/>
    <m/>
    <m/>
    <m/>
    <m/>
    <n v="0"/>
    <n v="0"/>
    <n v="0"/>
    <n v="0"/>
    <n v="0"/>
    <n v="0"/>
    <n v="0"/>
    <n v="0"/>
    <n v="0"/>
    <n v="0"/>
    <n v="0"/>
    <n v="0"/>
    <n v="0"/>
    <n v="0"/>
    <x v="0"/>
    <n v="0"/>
    <s v="MMR001CMP071"/>
    <x v="0"/>
    <x v="1"/>
    <x v="4"/>
    <n v="0"/>
    <s v="No"/>
    <m/>
  </r>
  <r>
    <n v="36.43333333333333"/>
    <d v="2013-06-13T00:00:00"/>
    <x v="0"/>
    <s v="UNHCR"/>
    <s v="Kachin"/>
    <s v="Momauk"/>
    <s v="Loi Je Baptist Church"/>
    <m/>
    <m/>
    <n v="152"/>
    <n v="11"/>
    <n v="4"/>
    <n v="11"/>
    <n v="4"/>
    <n v="4"/>
    <n v="4"/>
    <n v="4"/>
    <m/>
    <m/>
    <m/>
    <m/>
    <m/>
    <m/>
    <m/>
    <n v="0"/>
    <n v="0"/>
    <n v="0"/>
    <n v="0"/>
    <n v="0"/>
    <n v="0"/>
    <n v="0"/>
    <n v="0"/>
    <n v="0"/>
    <n v="0"/>
    <n v="0"/>
    <n v="0"/>
    <n v="0"/>
    <n v="0"/>
    <x v="0"/>
    <n v="0"/>
    <s v="MMR001CMP071"/>
    <x v="0"/>
    <x v="1"/>
    <x v="4"/>
    <n v="0.1111111111111111"/>
    <s v="No"/>
    <m/>
  </r>
  <r>
    <n v="39.866666666666667"/>
    <d v="2013-03-02T00:00:00"/>
    <x v="5"/>
    <s v="Solidarities"/>
    <s v="Kachin"/>
    <s v="Momauk"/>
    <s v="Loi Je Baptist Church"/>
    <n v="3"/>
    <m/>
    <m/>
    <m/>
    <m/>
    <m/>
    <m/>
    <m/>
    <n v="0"/>
    <n v="0"/>
    <m/>
    <m/>
    <m/>
    <m/>
    <m/>
    <m/>
    <m/>
    <n v="0"/>
    <n v="0"/>
    <n v="0"/>
    <n v="0"/>
    <n v="0"/>
    <n v="0"/>
    <n v="0"/>
    <n v="0"/>
    <n v="0"/>
    <n v="0"/>
    <n v="0"/>
    <n v="0"/>
    <n v="0"/>
    <n v="0"/>
    <x v="0"/>
    <n v="0"/>
    <s v="MMR001CMP071"/>
    <x v="0"/>
    <x v="1"/>
    <x v="4"/>
    <n v="0"/>
    <s v="No"/>
    <m/>
  </r>
  <r>
    <n v="45.8"/>
    <d v="2012-09-05T00:00:00"/>
    <x v="0"/>
    <s v="UNHCR"/>
    <s v="Kachin"/>
    <s v="Momauk"/>
    <s v="Loi Je Baptist Church"/>
    <m/>
    <m/>
    <m/>
    <n v="40"/>
    <n v="17"/>
    <n v="40"/>
    <n v="17"/>
    <n v="17"/>
    <n v="17"/>
    <n v="17"/>
    <m/>
    <m/>
    <m/>
    <m/>
    <m/>
    <m/>
    <m/>
    <n v="0"/>
    <n v="0"/>
    <n v="0"/>
    <n v="0"/>
    <n v="0"/>
    <n v="0"/>
    <n v="0"/>
    <n v="0"/>
    <n v="0"/>
    <n v="0"/>
    <n v="0"/>
    <n v="0"/>
    <n v="0"/>
    <n v="0"/>
    <x v="0"/>
    <n v="0"/>
    <s v="MMR001CMP071"/>
    <x v="0"/>
    <x v="1"/>
    <x v="4"/>
    <n v="0.47222222222222221"/>
    <s v="No"/>
    <m/>
  </r>
  <r>
    <n v="19.8"/>
    <d v="2014-10-25T00:00:00"/>
    <x v="1"/>
    <s v="MRCS"/>
    <s v="Kachin"/>
    <s v="Momauk"/>
    <s v="Loi Je Catholic Church"/>
    <m/>
    <m/>
    <m/>
    <m/>
    <m/>
    <m/>
    <m/>
    <m/>
    <m/>
    <m/>
    <n v="203"/>
    <n v="102"/>
    <m/>
    <n v="138"/>
    <m/>
    <m/>
    <m/>
    <n v="0"/>
    <n v="0"/>
    <n v="0"/>
    <n v="0"/>
    <n v="0"/>
    <n v="0"/>
    <n v="0"/>
    <n v="0"/>
    <n v="0"/>
    <n v="0"/>
    <n v="0"/>
    <n v="0"/>
    <n v="0"/>
    <n v="0"/>
    <x v="1"/>
    <n v="0"/>
    <s v="MMR001CMP069"/>
    <x v="0"/>
    <x v="1"/>
    <x v="4"/>
    <n v="0"/>
    <m/>
    <m/>
  </r>
  <r>
    <n v="22.533333333333335"/>
    <d v="2014-08-04T00:00:00"/>
    <x v="0"/>
    <m/>
    <s v="Kachin"/>
    <s v="Momauk"/>
    <s v="Loi Je Catholic Church"/>
    <m/>
    <m/>
    <m/>
    <m/>
    <n v="116"/>
    <m/>
    <m/>
    <m/>
    <m/>
    <m/>
    <m/>
    <m/>
    <m/>
    <m/>
    <m/>
    <m/>
    <m/>
    <n v="0"/>
    <n v="0"/>
    <n v="0"/>
    <n v="0"/>
    <n v="0"/>
    <n v="0"/>
    <n v="0"/>
    <n v="0"/>
    <n v="0"/>
    <n v="0"/>
    <n v="0"/>
    <n v="0"/>
    <n v="0"/>
    <n v="0"/>
    <x v="0"/>
    <n v="0"/>
    <s v="MMR001CMP069"/>
    <x v="0"/>
    <x v="1"/>
    <x v="4"/>
    <n v="0"/>
    <m/>
    <m/>
  </r>
  <r>
    <n v="30.766666666666666"/>
    <d v="2013-11-30T00:00:00"/>
    <x v="5"/>
    <m/>
    <s v="Kachin"/>
    <s v="Momauk"/>
    <s v="Loi Je Catholic Church"/>
    <m/>
    <m/>
    <m/>
    <m/>
    <m/>
    <m/>
    <m/>
    <m/>
    <m/>
    <n v="246"/>
    <m/>
    <m/>
    <m/>
    <m/>
    <m/>
    <m/>
    <m/>
    <n v="0"/>
    <n v="0"/>
    <n v="0"/>
    <n v="0"/>
    <n v="0"/>
    <n v="0"/>
    <n v="0"/>
    <n v="0"/>
    <n v="0"/>
    <n v="0"/>
    <n v="0"/>
    <n v="0"/>
    <n v="0"/>
    <n v="0"/>
    <x v="0"/>
    <n v="0"/>
    <s v="MMR001CMP069"/>
    <x v="0"/>
    <x v="1"/>
    <x v="4"/>
    <n v="0"/>
    <s v="No"/>
    <m/>
  </r>
  <r>
    <n v="31.2"/>
    <d v="2013-11-17T00:00:00"/>
    <x v="3"/>
    <m/>
    <s v="Kachin"/>
    <s v="Momauk"/>
    <s v="Loi Je Catholic Church"/>
    <m/>
    <m/>
    <m/>
    <m/>
    <m/>
    <n v="141"/>
    <m/>
    <m/>
    <m/>
    <m/>
    <m/>
    <m/>
    <m/>
    <m/>
    <m/>
    <m/>
    <m/>
    <n v="0"/>
    <n v="0"/>
    <n v="0"/>
    <n v="0"/>
    <n v="0"/>
    <n v="0"/>
    <n v="0"/>
    <n v="0"/>
    <n v="0"/>
    <n v="0"/>
    <n v="0"/>
    <n v="0"/>
    <n v="0"/>
    <n v="0"/>
    <x v="0"/>
    <n v="0"/>
    <s v="MMR001CMP069"/>
    <x v="0"/>
    <x v="1"/>
    <x v="4"/>
    <n v="0"/>
    <s v="No"/>
    <m/>
  </r>
  <r>
    <n v="36.43333333333333"/>
    <d v="2013-06-13T00:00:00"/>
    <x v="0"/>
    <s v="UNHCR"/>
    <s v="Kachin"/>
    <s v="Momauk"/>
    <s v="Loi Je Catholic Church"/>
    <m/>
    <m/>
    <n v="425"/>
    <n v="30"/>
    <n v="11"/>
    <n v="30"/>
    <n v="11"/>
    <n v="11"/>
    <n v="11"/>
    <n v="11"/>
    <m/>
    <m/>
    <m/>
    <m/>
    <m/>
    <m/>
    <m/>
    <n v="0"/>
    <n v="0"/>
    <n v="0"/>
    <n v="0"/>
    <n v="0"/>
    <n v="0"/>
    <n v="0"/>
    <n v="0"/>
    <n v="0"/>
    <n v="0"/>
    <n v="0"/>
    <n v="0"/>
    <n v="0"/>
    <n v="0"/>
    <x v="0"/>
    <n v="0"/>
    <s v="MMR001CMP069"/>
    <x v="0"/>
    <x v="1"/>
    <x v="4"/>
    <n v="8.8709677419354843E-2"/>
    <s v="No"/>
    <m/>
  </r>
  <r>
    <n v="41.633333333333333"/>
    <d v="2013-01-08T00:00:00"/>
    <x v="5"/>
    <s v="Solidarities"/>
    <s v="Kachin"/>
    <s v="Momauk"/>
    <s v="Loi Je Catholic Church"/>
    <n v="353"/>
    <m/>
    <n v="435"/>
    <m/>
    <m/>
    <m/>
    <m/>
    <m/>
    <n v="0"/>
    <n v="0"/>
    <m/>
    <m/>
    <m/>
    <m/>
    <m/>
    <m/>
    <m/>
    <n v="0"/>
    <n v="0"/>
    <n v="0"/>
    <n v="0"/>
    <n v="0"/>
    <n v="0"/>
    <n v="0"/>
    <n v="0"/>
    <n v="0"/>
    <n v="0"/>
    <n v="0"/>
    <n v="0"/>
    <n v="0"/>
    <n v="0"/>
    <x v="0"/>
    <n v="0"/>
    <s v="MMR001CMP069"/>
    <x v="0"/>
    <x v="1"/>
    <x v="4"/>
    <n v="0"/>
    <s v="No"/>
    <m/>
  </r>
  <r>
    <n v="45.8"/>
    <d v="2012-09-05T00:00:00"/>
    <x v="0"/>
    <s v="UNHCR"/>
    <s v="Kachin"/>
    <s v="Momauk"/>
    <s v="Loi Je Catholic Church"/>
    <m/>
    <m/>
    <m/>
    <n v="21"/>
    <n v="10"/>
    <n v="21"/>
    <n v="10"/>
    <n v="10"/>
    <n v="10"/>
    <n v="10"/>
    <m/>
    <m/>
    <m/>
    <m/>
    <m/>
    <m/>
    <m/>
    <n v="0"/>
    <n v="0"/>
    <n v="0"/>
    <n v="0"/>
    <n v="0"/>
    <n v="0"/>
    <n v="0"/>
    <n v="0"/>
    <n v="0"/>
    <n v="0"/>
    <n v="0"/>
    <n v="0"/>
    <n v="0"/>
    <n v="0"/>
    <x v="0"/>
    <n v="0"/>
    <s v="MMR001CMP069"/>
    <x v="0"/>
    <x v="1"/>
    <x v="4"/>
    <n v="8.0645161290322578E-2"/>
    <s v="No"/>
    <m/>
  </r>
  <r>
    <n v="12.4"/>
    <d v="2015-06-04T00:00:00"/>
    <x v="0"/>
    <s v="KBC"/>
    <s v="Kachin"/>
    <s v="Momauk"/>
    <s v="Loi Je Lisu Camp"/>
    <m/>
    <m/>
    <m/>
    <m/>
    <n v="88"/>
    <n v="27"/>
    <n v="9"/>
    <m/>
    <n v="9"/>
    <n v="48"/>
    <m/>
    <m/>
    <m/>
    <m/>
    <n v="9"/>
    <m/>
    <m/>
    <n v="0"/>
    <n v="0"/>
    <n v="0"/>
    <n v="0"/>
    <n v="0"/>
    <n v="0"/>
    <n v="0"/>
    <n v="0"/>
    <n v="0"/>
    <n v="0"/>
    <n v="0"/>
    <n v="0"/>
    <n v="0"/>
    <n v="0"/>
    <x v="0"/>
    <n v="0"/>
    <s v="MMR001CMP070"/>
    <x v="0"/>
    <x v="1"/>
    <x v="4"/>
    <n v="4.736842105263158E-2"/>
    <s v="No"/>
    <m/>
  </r>
  <r>
    <n v="13.766666666666667"/>
    <d v="2015-04-24T00:00:00"/>
    <x v="0"/>
    <s v="KBC"/>
    <s v="Kachin"/>
    <s v="Momauk"/>
    <s v="Loi Je Lisu Camp"/>
    <m/>
    <m/>
    <m/>
    <m/>
    <m/>
    <m/>
    <m/>
    <m/>
    <n v="9"/>
    <m/>
    <m/>
    <m/>
    <m/>
    <m/>
    <m/>
    <m/>
    <m/>
    <n v="0"/>
    <n v="0"/>
    <n v="0"/>
    <n v="0"/>
    <n v="0"/>
    <n v="0"/>
    <n v="0"/>
    <n v="0"/>
    <n v="0"/>
    <n v="0"/>
    <n v="0"/>
    <n v="0"/>
    <n v="0"/>
    <n v="0"/>
    <x v="0"/>
    <n v="0"/>
    <s v="MMR001CMP070"/>
    <x v="0"/>
    <x v="1"/>
    <x v="4"/>
    <n v="0"/>
    <s v="No"/>
    <m/>
  </r>
  <r>
    <n v="19.8"/>
    <d v="2014-10-25T00:00:00"/>
    <x v="1"/>
    <s v="MRCS"/>
    <s v="Kachin"/>
    <s v="Momauk"/>
    <s v="Loi Je Lisu Camp"/>
    <m/>
    <m/>
    <m/>
    <m/>
    <m/>
    <m/>
    <m/>
    <m/>
    <m/>
    <m/>
    <n v="591"/>
    <n v="347"/>
    <m/>
    <n v="311"/>
    <m/>
    <m/>
    <m/>
    <n v="0"/>
    <n v="0"/>
    <n v="0"/>
    <n v="0"/>
    <n v="0"/>
    <n v="0"/>
    <n v="0"/>
    <n v="0"/>
    <n v="0"/>
    <n v="0"/>
    <n v="0"/>
    <n v="0"/>
    <n v="0"/>
    <n v="0"/>
    <x v="1"/>
    <n v="0"/>
    <s v="MMR001CMP070"/>
    <x v="0"/>
    <x v="1"/>
    <x v="4"/>
    <n v="0"/>
    <m/>
    <m/>
  </r>
  <r>
    <n v="20.3"/>
    <d v="2014-10-10T00:00:00"/>
    <x v="0"/>
    <m/>
    <s v="Kachin"/>
    <s v="Momauk"/>
    <s v="Loi Je Lisu Camp"/>
    <m/>
    <m/>
    <m/>
    <m/>
    <n v="30"/>
    <m/>
    <m/>
    <m/>
    <m/>
    <m/>
    <m/>
    <m/>
    <m/>
    <m/>
    <m/>
    <m/>
    <m/>
    <n v="0"/>
    <n v="0"/>
    <n v="0"/>
    <n v="0"/>
    <n v="0"/>
    <n v="0"/>
    <n v="0"/>
    <n v="0"/>
    <n v="0"/>
    <n v="0"/>
    <n v="0"/>
    <n v="0"/>
    <n v="0"/>
    <n v="0"/>
    <x v="0"/>
    <n v="0"/>
    <s v="MMR001CMP070"/>
    <x v="0"/>
    <x v="1"/>
    <x v="4"/>
    <n v="0"/>
    <m/>
    <m/>
  </r>
  <r>
    <n v="22.533333333333335"/>
    <d v="2014-08-04T00:00:00"/>
    <x v="0"/>
    <m/>
    <s v="Kachin"/>
    <s v="Momauk"/>
    <s v="Loi Je Lisu Camp"/>
    <m/>
    <m/>
    <m/>
    <n v="84"/>
    <n v="36"/>
    <n v="84"/>
    <n v="36"/>
    <m/>
    <n v="36"/>
    <n v="180"/>
    <m/>
    <m/>
    <m/>
    <m/>
    <m/>
    <m/>
    <m/>
    <n v="0"/>
    <n v="0"/>
    <n v="0"/>
    <n v="0"/>
    <n v="0"/>
    <n v="0"/>
    <n v="0"/>
    <n v="0"/>
    <n v="0"/>
    <n v="0"/>
    <n v="0"/>
    <n v="0"/>
    <n v="0"/>
    <n v="0"/>
    <x v="0"/>
    <n v="0"/>
    <s v="MMR001CMP070"/>
    <x v="0"/>
    <x v="1"/>
    <x v="4"/>
    <n v="0.18947368421052632"/>
    <m/>
    <m/>
  </r>
  <r>
    <n v="30.766666666666666"/>
    <d v="2013-11-30T00:00:00"/>
    <x v="5"/>
    <m/>
    <s v="Kachin"/>
    <s v="Momauk"/>
    <s v="Loi Je Lisu Camp"/>
    <m/>
    <m/>
    <m/>
    <m/>
    <m/>
    <m/>
    <m/>
    <m/>
    <m/>
    <n v="369"/>
    <m/>
    <m/>
    <m/>
    <m/>
    <m/>
    <m/>
    <m/>
    <n v="0"/>
    <n v="0"/>
    <n v="0"/>
    <n v="0"/>
    <n v="0"/>
    <n v="0"/>
    <n v="0"/>
    <n v="0"/>
    <n v="0"/>
    <n v="0"/>
    <n v="0"/>
    <n v="0"/>
    <n v="0"/>
    <n v="0"/>
    <x v="0"/>
    <n v="0"/>
    <s v="MMR001CMP070"/>
    <x v="0"/>
    <x v="1"/>
    <x v="4"/>
    <n v="0"/>
    <s v="No"/>
    <m/>
  </r>
  <r>
    <n v="31.166666666666668"/>
    <d v="2013-11-18T00:00:00"/>
    <x v="3"/>
    <m/>
    <s v="Kachin"/>
    <s v="Momauk"/>
    <s v="Loi Je Lisu Camp"/>
    <m/>
    <m/>
    <m/>
    <m/>
    <m/>
    <n v="395"/>
    <m/>
    <m/>
    <m/>
    <m/>
    <m/>
    <m/>
    <m/>
    <m/>
    <m/>
    <m/>
    <m/>
    <n v="0"/>
    <n v="0"/>
    <n v="0"/>
    <n v="0"/>
    <n v="0"/>
    <n v="0"/>
    <n v="0"/>
    <n v="0"/>
    <n v="0"/>
    <n v="0"/>
    <n v="0"/>
    <n v="0"/>
    <n v="0"/>
    <n v="0"/>
    <x v="0"/>
    <n v="0"/>
    <s v="MMR001CMP070"/>
    <x v="0"/>
    <x v="1"/>
    <x v="4"/>
    <n v="0"/>
    <s v="No"/>
    <m/>
  </r>
  <r>
    <n v="31.666666666666668"/>
    <d v="2013-11-03T00:00:00"/>
    <x v="0"/>
    <s v="UNHCR "/>
    <s v="Kachin"/>
    <s v="Momauk"/>
    <s v="Loi Je Lisu Camp"/>
    <m/>
    <m/>
    <n v="24"/>
    <n v="24"/>
    <n v="12"/>
    <n v="12"/>
    <n v="12"/>
    <n v="12"/>
    <m/>
    <m/>
    <m/>
    <m/>
    <m/>
    <m/>
    <m/>
    <m/>
    <m/>
    <n v="0"/>
    <n v="0"/>
    <n v="0"/>
    <n v="0"/>
    <n v="0"/>
    <n v="0"/>
    <n v="0"/>
    <n v="0"/>
    <n v="0"/>
    <n v="0"/>
    <n v="0"/>
    <n v="0"/>
    <n v="0"/>
    <n v="0"/>
    <x v="0"/>
    <n v="0"/>
    <s v="MMR001CMP070"/>
    <x v="0"/>
    <x v="1"/>
    <x v="4"/>
    <n v="6.3157894736842107E-2"/>
    <s v="No"/>
    <m/>
  </r>
  <r>
    <n v="36.43333333333333"/>
    <d v="2013-06-13T00:00:00"/>
    <x v="0"/>
    <s v="UNHCR"/>
    <s v="Kachin"/>
    <s v="Momauk"/>
    <s v="Loi Je Lisu Camp"/>
    <m/>
    <m/>
    <n v="941"/>
    <n v="67"/>
    <n v="24"/>
    <n v="67"/>
    <n v="24"/>
    <n v="24"/>
    <n v="24"/>
    <n v="24"/>
    <m/>
    <m/>
    <m/>
    <m/>
    <m/>
    <m/>
    <m/>
    <n v="0"/>
    <n v="0"/>
    <n v="0"/>
    <n v="0"/>
    <n v="0"/>
    <n v="0"/>
    <n v="0"/>
    <n v="0"/>
    <n v="0"/>
    <n v="0"/>
    <n v="0"/>
    <n v="0"/>
    <n v="0"/>
    <n v="0"/>
    <x v="0"/>
    <n v="0"/>
    <s v="MMR001CMP070"/>
    <x v="0"/>
    <x v="1"/>
    <x v="4"/>
    <n v="0.12631578947368421"/>
    <s v="No"/>
    <m/>
  </r>
  <r>
    <n v="39.866666666666667"/>
    <d v="2013-03-02T00:00:00"/>
    <x v="5"/>
    <s v="Solidarities"/>
    <s v="Kachin"/>
    <s v="Momauk"/>
    <s v="Loi Je Lisu Camp"/>
    <n v="368"/>
    <m/>
    <m/>
    <m/>
    <m/>
    <m/>
    <m/>
    <m/>
    <n v="0"/>
    <n v="0"/>
    <m/>
    <m/>
    <m/>
    <m/>
    <m/>
    <m/>
    <m/>
    <n v="0"/>
    <n v="0"/>
    <n v="0"/>
    <n v="0"/>
    <n v="0"/>
    <n v="0"/>
    <n v="0"/>
    <n v="0"/>
    <n v="0"/>
    <n v="0"/>
    <n v="0"/>
    <n v="0"/>
    <n v="0"/>
    <n v="0"/>
    <x v="0"/>
    <n v="0"/>
    <s v="MMR001CMP070"/>
    <x v="0"/>
    <x v="1"/>
    <x v="4"/>
    <n v="0"/>
    <s v="No"/>
    <m/>
  </r>
  <r>
    <n v="45"/>
    <d v="2012-09-29T00:00:00"/>
    <x v="0"/>
    <s v="UNHCR"/>
    <s v="Kachin"/>
    <s v="Momauk"/>
    <s v="Loi Je Lisu Camp"/>
    <m/>
    <m/>
    <m/>
    <n v="151"/>
    <n v="59"/>
    <n v="151"/>
    <n v="59"/>
    <n v="59"/>
    <n v="59"/>
    <n v="59"/>
    <m/>
    <m/>
    <m/>
    <m/>
    <m/>
    <m/>
    <m/>
    <n v="0"/>
    <n v="0"/>
    <n v="0"/>
    <n v="0"/>
    <n v="0"/>
    <n v="0"/>
    <n v="0"/>
    <n v="0"/>
    <n v="0"/>
    <n v="0"/>
    <n v="0"/>
    <n v="0"/>
    <n v="0"/>
    <n v="0"/>
    <x v="0"/>
    <n v="0"/>
    <s v="MMR001CMP070"/>
    <x v="0"/>
    <x v="1"/>
    <x v="4"/>
    <n v="0.31052631578947371"/>
    <s v="No"/>
    <m/>
  </r>
  <r>
    <n v="45.8"/>
    <d v="2012-09-05T00:00:00"/>
    <x v="0"/>
    <s v="UNHCR"/>
    <s v="Kachin"/>
    <s v="Momauk"/>
    <s v="Loi Je Lisu Camp"/>
    <m/>
    <m/>
    <m/>
    <n v="133"/>
    <n v="62"/>
    <n v="133"/>
    <n v="62"/>
    <n v="62"/>
    <n v="62"/>
    <n v="62"/>
    <m/>
    <m/>
    <m/>
    <m/>
    <m/>
    <m/>
    <m/>
    <n v="0"/>
    <n v="0"/>
    <n v="0"/>
    <n v="0"/>
    <n v="0"/>
    <n v="0"/>
    <n v="0"/>
    <n v="0"/>
    <n v="0"/>
    <n v="0"/>
    <n v="0"/>
    <n v="0"/>
    <n v="0"/>
    <n v="0"/>
    <x v="0"/>
    <n v="0"/>
    <s v="MMR001CMP070"/>
    <x v="0"/>
    <x v="1"/>
    <x v="4"/>
    <n v="0.32631578947368423"/>
    <s v="No"/>
    <m/>
  </r>
  <r>
    <n v="47.466666666666669"/>
    <d v="2012-07-17T00:00:00"/>
    <x v="0"/>
    <s v="UNHCR"/>
    <s v="Kachin"/>
    <s v="Momauk"/>
    <s v="Loi Je Lisu Camp"/>
    <m/>
    <m/>
    <m/>
    <n v="0"/>
    <n v="0"/>
    <n v="0"/>
    <n v="0"/>
    <n v="0"/>
    <m/>
    <m/>
    <m/>
    <m/>
    <m/>
    <m/>
    <m/>
    <m/>
    <m/>
    <n v="0"/>
    <n v="0"/>
    <n v="0"/>
    <n v="0"/>
    <n v="0"/>
    <n v="0"/>
    <n v="0"/>
    <n v="0"/>
    <n v="0"/>
    <n v="0"/>
    <n v="0"/>
    <n v="0"/>
    <n v="0"/>
    <n v="0"/>
    <x v="0"/>
    <n v="0"/>
    <s v="MMR001CMP070"/>
    <x v="0"/>
    <x v="1"/>
    <x v="4"/>
    <n v="0"/>
    <s v="No"/>
    <m/>
  </r>
  <r>
    <n v="13.766666666666667"/>
    <d v="2015-04-24T00:00:00"/>
    <x v="0"/>
    <s v="KBC"/>
    <s v="Kachin"/>
    <s v="Momauk"/>
    <s v="Loi Je Seng Ja Camp thru Mission"/>
    <m/>
    <m/>
    <m/>
    <n v="36"/>
    <n v="18"/>
    <n v="90"/>
    <n v="18"/>
    <m/>
    <m/>
    <n v="90"/>
    <m/>
    <m/>
    <m/>
    <m/>
    <n v="18"/>
    <m/>
    <m/>
    <n v="0"/>
    <n v="0"/>
    <n v="0"/>
    <n v="0"/>
    <n v="0"/>
    <n v="0"/>
    <n v="0"/>
    <n v="0"/>
    <n v="0"/>
    <n v="0"/>
    <n v="0"/>
    <n v="0"/>
    <n v="0"/>
    <n v="0"/>
    <x v="0"/>
    <n v="0"/>
    <s v=""/>
    <x v="1"/>
    <x v="2"/>
    <x v="0"/>
    <s v=""/>
    <s v="No"/>
    <m/>
  </r>
  <r>
    <n v="12.4"/>
    <d v="2015-06-04T00:00:00"/>
    <x v="0"/>
    <s v="KBC"/>
    <s v="Kachin"/>
    <s v="Momauk"/>
    <s v="Loije Seng Ja "/>
    <m/>
    <m/>
    <m/>
    <n v="18"/>
    <n v="35"/>
    <m/>
    <m/>
    <m/>
    <m/>
    <m/>
    <m/>
    <m/>
    <m/>
    <m/>
    <m/>
    <m/>
    <n v="8"/>
    <n v="0"/>
    <n v="0"/>
    <n v="0"/>
    <n v="0"/>
    <n v="0"/>
    <n v="0"/>
    <n v="0"/>
    <n v="0"/>
    <n v="0"/>
    <n v="0"/>
    <n v="0"/>
    <n v="0"/>
    <n v="0"/>
    <n v="0"/>
    <x v="0"/>
    <n v="0"/>
    <s v=""/>
    <x v="1"/>
    <x v="2"/>
    <x v="0"/>
    <s v=""/>
    <s v="No"/>
    <m/>
  </r>
  <r>
    <n v="30.4"/>
    <d v="2013-12-11T00:00:00"/>
    <x v="9"/>
    <s v="WPN"/>
    <s v="Kachin"/>
    <s v="Mansi"/>
    <s v="Lung Kawk  ( Hka Hkye Zup)"/>
    <m/>
    <m/>
    <m/>
    <m/>
    <m/>
    <n v="38"/>
    <m/>
    <m/>
    <m/>
    <m/>
    <m/>
    <m/>
    <m/>
    <m/>
    <m/>
    <m/>
    <m/>
    <n v="0"/>
    <n v="0"/>
    <n v="0"/>
    <n v="0"/>
    <n v="0"/>
    <n v="0"/>
    <n v="0"/>
    <n v="0"/>
    <n v="0"/>
    <n v="0"/>
    <n v="0"/>
    <n v="0"/>
    <n v="0"/>
    <n v="0"/>
    <x v="0"/>
    <n v="0"/>
    <s v="MMR001CMP135"/>
    <x v="0"/>
    <x v="0"/>
    <x v="3"/>
    <s v=""/>
    <s v="No"/>
    <m/>
  </r>
  <r>
    <n v="30.766666666666666"/>
    <d v="2013-11-30T00:00:00"/>
    <x v="5"/>
    <s v="LDO"/>
    <s v="Kachin"/>
    <s v="Mansi"/>
    <s v="Lung Kawk  ( Hka Hkye Zup)"/>
    <m/>
    <m/>
    <m/>
    <m/>
    <m/>
    <m/>
    <m/>
    <m/>
    <m/>
    <m/>
    <m/>
    <m/>
    <m/>
    <m/>
    <m/>
    <m/>
    <m/>
    <n v="0"/>
    <n v="0"/>
    <n v="0"/>
    <n v="0"/>
    <n v="0"/>
    <n v="0"/>
    <n v="0"/>
    <n v="0"/>
    <n v="0"/>
    <n v="0"/>
    <n v="0"/>
    <n v="0"/>
    <n v="0"/>
    <n v="0"/>
    <x v="0"/>
    <n v="0"/>
    <s v="MMR001CMP135"/>
    <x v="0"/>
    <x v="0"/>
    <x v="3"/>
    <s v=""/>
    <s v="No"/>
    <m/>
  </r>
  <r>
    <n v="31.266666666666666"/>
    <d v="2013-11-15T00:00:00"/>
    <x v="5"/>
    <s v="LDO"/>
    <s v="Kachin"/>
    <s v="Mansi"/>
    <s v="Lung Kawk  ( Hka Hkye Zup)"/>
    <m/>
    <m/>
    <m/>
    <m/>
    <m/>
    <m/>
    <m/>
    <m/>
    <m/>
    <m/>
    <n v="54"/>
    <n v="106"/>
    <n v="320"/>
    <n v="160"/>
    <m/>
    <m/>
    <m/>
    <n v="0"/>
    <n v="0"/>
    <n v="0"/>
    <n v="0"/>
    <n v="0"/>
    <n v="0"/>
    <n v="0"/>
    <n v="0"/>
    <n v="0"/>
    <n v="0"/>
    <n v="0"/>
    <n v="0"/>
    <n v="0"/>
    <n v="0"/>
    <x v="1"/>
    <n v="0"/>
    <s v="MMR001CMP135"/>
    <x v="0"/>
    <x v="0"/>
    <x v="3"/>
    <s v=""/>
    <m/>
    <m/>
  </r>
  <r>
    <n v="47.466666666666669"/>
    <d v="2012-07-17T00:00:00"/>
    <x v="0"/>
    <s v="UNHCR"/>
    <s v="Kachin"/>
    <s v="Mansi"/>
    <s v="Lung Kawk  ( Hka Hkye Zup)"/>
    <m/>
    <m/>
    <m/>
    <n v="0"/>
    <n v="0"/>
    <n v="0"/>
    <n v="0"/>
    <n v="0"/>
    <m/>
    <m/>
    <m/>
    <m/>
    <m/>
    <m/>
    <m/>
    <m/>
    <m/>
    <n v="0"/>
    <n v="0"/>
    <n v="0"/>
    <n v="0"/>
    <n v="0"/>
    <n v="0"/>
    <n v="0"/>
    <n v="0"/>
    <n v="0"/>
    <n v="0"/>
    <n v="0"/>
    <n v="0"/>
    <n v="0"/>
    <n v="0"/>
    <x v="0"/>
    <n v="0"/>
    <s v="MMR001CMP135"/>
    <x v="0"/>
    <x v="0"/>
    <x v="3"/>
    <s v=""/>
    <s v="No"/>
    <m/>
  </r>
  <r>
    <n v="1.2"/>
    <d v="2016-05-05T00:00:00"/>
    <x v="0"/>
    <s v="KMSS_Myitkyina"/>
    <s v="Kachin"/>
    <s v="Mogaung"/>
    <s v="Ma Hawng RC "/>
    <m/>
    <n v="7"/>
    <n v="7"/>
    <n v="13"/>
    <n v="7"/>
    <n v="13"/>
    <n v="7"/>
    <n v="7"/>
    <n v="13"/>
    <m/>
    <m/>
    <m/>
    <m/>
    <m/>
    <n v="7"/>
    <m/>
    <m/>
    <n v="0"/>
    <n v="7"/>
    <n v="7"/>
    <n v="13"/>
    <n v="7"/>
    <n v="13"/>
    <n v="7"/>
    <n v="7"/>
    <n v="13"/>
    <n v="0"/>
    <n v="0"/>
    <n v="0"/>
    <n v="0"/>
    <n v="0"/>
    <x v="0"/>
    <n v="7"/>
    <s v="MMR001CMP237"/>
    <x v="2"/>
    <x v="1"/>
    <x v="5"/>
    <n v="0.77777777777777779"/>
    <m/>
    <m/>
  </r>
  <r>
    <n v="19.600000000000001"/>
    <d v="2014-10-31T00:00:00"/>
    <x v="1"/>
    <s v="MRCS"/>
    <s v="Kachin"/>
    <s v="Machanbaw"/>
    <s v="Machanbaw - KBC"/>
    <m/>
    <m/>
    <m/>
    <m/>
    <m/>
    <m/>
    <m/>
    <m/>
    <m/>
    <m/>
    <n v="20"/>
    <n v="8"/>
    <m/>
    <m/>
    <m/>
    <m/>
    <m/>
    <n v="0"/>
    <n v="0"/>
    <n v="0"/>
    <n v="0"/>
    <n v="0"/>
    <n v="0"/>
    <n v="0"/>
    <n v="0"/>
    <n v="0"/>
    <n v="0"/>
    <n v="0"/>
    <n v="0"/>
    <n v="0"/>
    <n v="0"/>
    <x v="1"/>
    <n v="0"/>
    <s v="MMR001CMP221"/>
    <x v="0"/>
    <x v="0"/>
    <x v="4"/>
    <s v=""/>
    <m/>
    <m/>
  </r>
  <r>
    <n v="29.066666666666666"/>
    <d v="2014-01-20T00:00:00"/>
    <x v="1"/>
    <s v="MRCS"/>
    <s v="Kachin"/>
    <s v="Machanbaw"/>
    <s v="Machanbaw - KBC"/>
    <m/>
    <m/>
    <m/>
    <n v="8"/>
    <n v="16"/>
    <n v="16"/>
    <n v="8"/>
    <m/>
    <m/>
    <m/>
    <n v="19"/>
    <n v="9"/>
    <m/>
    <m/>
    <m/>
    <m/>
    <m/>
    <n v="0"/>
    <n v="0"/>
    <n v="0"/>
    <n v="0"/>
    <n v="0"/>
    <n v="0"/>
    <n v="0"/>
    <n v="0"/>
    <n v="0"/>
    <n v="0"/>
    <n v="0"/>
    <n v="0"/>
    <n v="0"/>
    <n v="0"/>
    <x v="1"/>
    <n v="0"/>
    <s v="MMR001CMP221"/>
    <x v="0"/>
    <x v="0"/>
    <x v="4"/>
    <s v=""/>
    <m/>
    <m/>
  </r>
  <r>
    <n v="25"/>
    <d v="2014-05-22T00:00:00"/>
    <x v="6"/>
    <s v="MRCS"/>
    <s v="Kachin"/>
    <s v="Waingmaw"/>
    <s v="Mading Baptist Church"/>
    <m/>
    <m/>
    <m/>
    <m/>
    <m/>
    <m/>
    <m/>
    <m/>
    <m/>
    <m/>
    <m/>
    <m/>
    <m/>
    <n v="46"/>
    <m/>
    <m/>
    <m/>
    <n v="0"/>
    <n v="0"/>
    <n v="0"/>
    <n v="0"/>
    <n v="0"/>
    <n v="0"/>
    <n v="0"/>
    <n v="0"/>
    <n v="0"/>
    <n v="0"/>
    <n v="0"/>
    <n v="0"/>
    <n v="0"/>
    <n v="0"/>
    <x v="1"/>
    <n v="0"/>
    <s v="MMR001CMP027"/>
    <x v="0"/>
    <x v="1"/>
    <x v="1"/>
    <n v="0"/>
    <m/>
    <m/>
  </r>
  <r>
    <n v="30.166666666666668"/>
    <d v="2013-12-18T00:00:00"/>
    <x v="5"/>
    <s v="KBC"/>
    <s v="Kachin"/>
    <s v="Waingmaw"/>
    <s v="Mading Baptist Church"/>
    <m/>
    <m/>
    <m/>
    <m/>
    <m/>
    <m/>
    <m/>
    <m/>
    <m/>
    <m/>
    <n v="23"/>
    <n v="45"/>
    <n v="136"/>
    <n v="68"/>
    <m/>
    <m/>
    <m/>
    <n v="0"/>
    <n v="0"/>
    <n v="0"/>
    <n v="0"/>
    <n v="0"/>
    <n v="0"/>
    <n v="0"/>
    <n v="0"/>
    <n v="0"/>
    <n v="0"/>
    <n v="0"/>
    <n v="0"/>
    <n v="0"/>
    <n v="0"/>
    <x v="1"/>
    <n v="0"/>
    <s v="MMR001CMP027"/>
    <x v="0"/>
    <x v="1"/>
    <x v="1"/>
    <n v="0"/>
    <m/>
    <m/>
  </r>
  <r>
    <n v="30.766666666666666"/>
    <d v="2013-11-30T00:00:00"/>
    <x v="5"/>
    <s v="KBC"/>
    <s v="Kachin"/>
    <s v="Waingmaw"/>
    <s v="Mading Baptist Church"/>
    <m/>
    <m/>
    <m/>
    <m/>
    <m/>
    <m/>
    <m/>
    <m/>
    <m/>
    <m/>
    <m/>
    <m/>
    <m/>
    <m/>
    <m/>
    <m/>
    <m/>
    <n v="0"/>
    <n v="0"/>
    <n v="0"/>
    <n v="0"/>
    <n v="0"/>
    <n v="0"/>
    <n v="0"/>
    <n v="0"/>
    <n v="0"/>
    <n v="0"/>
    <n v="0"/>
    <n v="0"/>
    <n v="0"/>
    <n v="0"/>
    <x v="0"/>
    <n v="0"/>
    <s v="MMR001CMP027"/>
    <x v="0"/>
    <x v="1"/>
    <x v="1"/>
    <n v="0"/>
    <s v="No"/>
    <m/>
  </r>
  <r>
    <n v="34.6"/>
    <d v="2013-08-07T00:00:00"/>
    <x v="0"/>
    <s v="UNHCR"/>
    <s v="Kachin"/>
    <s v="Waingmaw"/>
    <s v="Mading Baptist Church"/>
    <m/>
    <m/>
    <n v="15"/>
    <n v="57"/>
    <n v="24"/>
    <n v="57"/>
    <n v="24"/>
    <n v="24"/>
    <n v="24"/>
    <n v="24"/>
    <m/>
    <m/>
    <m/>
    <m/>
    <m/>
    <m/>
    <m/>
    <n v="0"/>
    <n v="0"/>
    <n v="0"/>
    <n v="0"/>
    <n v="0"/>
    <n v="0"/>
    <n v="0"/>
    <n v="0"/>
    <n v="0"/>
    <n v="0"/>
    <n v="0"/>
    <n v="0"/>
    <n v="0"/>
    <n v="0"/>
    <x v="0"/>
    <n v="0"/>
    <s v="MMR001CMP027"/>
    <x v="0"/>
    <x v="1"/>
    <x v="1"/>
    <n v="1.0909090909090908"/>
    <s v="No"/>
    <m/>
  </r>
  <r>
    <n v="40.866666666666667"/>
    <d v="2013-01-31T00:00:00"/>
    <x v="7"/>
    <s v="World Vision"/>
    <s v="Kachin"/>
    <s v="Waingmaw"/>
    <s v="Mading Baptist Church"/>
    <m/>
    <m/>
    <m/>
    <m/>
    <m/>
    <n v="42"/>
    <m/>
    <m/>
    <n v="0"/>
    <n v="0"/>
    <m/>
    <m/>
    <m/>
    <m/>
    <m/>
    <m/>
    <m/>
    <n v="0"/>
    <n v="0"/>
    <n v="0"/>
    <n v="0"/>
    <n v="0"/>
    <n v="0"/>
    <n v="0"/>
    <n v="0"/>
    <n v="0"/>
    <n v="0"/>
    <n v="0"/>
    <n v="0"/>
    <n v="0"/>
    <n v="0"/>
    <x v="0"/>
    <n v="0"/>
    <s v="MMR001CMP027"/>
    <x v="0"/>
    <x v="1"/>
    <x v="1"/>
    <n v="0"/>
    <s v="No"/>
    <m/>
  </r>
  <r>
    <n v="41.9"/>
    <d v="2012-12-31T00:00:00"/>
    <x v="3"/>
    <s v="DRC"/>
    <s v="Kachin"/>
    <s v="Waingmaw"/>
    <s v="Mading Baptist Church"/>
    <n v="23"/>
    <m/>
    <m/>
    <m/>
    <m/>
    <m/>
    <m/>
    <m/>
    <n v="0"/>
    <n v="0"/>
    <m/>
    <m/>
    <m/>
    <m/>
    <m/>
    <m/>
    <m/>
    <n v="0"/>
    <n v="0"/>
    <n v="0"/>
    <n v="0"/>
    <n v="0"/>
    <n v="0"/>
    <n v="0"/>
    <n v="0"/>
    <n v="0"/>
    <n v="0"/>
    <n v="0"/>
    <n v="0"/>
    <n v="0"/>
    <n v="0"/>
    <x v="0"/>
    <n v="0"/>
    <s v="MMR001CMP027"/>
    <x v="0"/>
    <x v="1"/>
    <x v="1"/>
    <n v="0"/>
    <s v="No"/>
    <m/>
  </r>
  <r>
    <n v="20.6"/>
    <d v="2014-10-01T00:00:00"/>
    <x v="0"/>
    <s v="KMSS"/>
    <s v="Kachin"/>
    <s v="Waingmaw"/>
    <s v="Maga Yang "/>
    <m/>
    <m/>
    <m/>
    <n v="1248"/>
    <m/>
    <m/>
    <m/>
    <m/>
    <m/>
    <m/>
    <m/>
    <m/>
    <m/>
    <n v="1248"/>
    <m/>
    <m/>
    <m/>
    <n v="0"/>
    <n v="0"/>
    <n v="0"/>
    <n v="0"/>
    <n v="0"/>
    <n v="0"/>
    <n v="0"/>
    <n v="0"/>
    <n v="0"/>
    <n v="0"/>
    <n v="0"/>
    <n v="0"/>
    <n v="0"/>
    <n v="0"/>
    <x v="1"/>
    <n v="0"/>
    <s v="MMR001CMP119"/>
    <x v="0"/>
    <x v="1"/>
    <x v="3"/>
    <n v="0"/>
    <m/>
    <m/>
  </r>
  <r>
    <n v="21.6"/>
    <d v="2014-09-01T00:00:00"/>
    <x v="10"/>
    <m/>
    <s v="Kachin"/>
    <s v="Waingmaw"/>
    <s v="Maga Yang "/>
    <m/>
    <m/>
    <m/>
    <m/>
    <m/>
    <m/>
    <m/>
    <m/>
    <m/>
    <m/>
    <m/>
    <n v="917"/>
    <m/>
    <m/>
    <m/>
    <m/>
    <m/>
    <n v="0"/>
    <n v="0"/>
    <n v="0"/>
    <n v="0"/>
    <n v="0"/>
    <n v="0"/>
    <n v="0"/>
    <n v="0"/>
    <n v="0"/>
    <n v="0"/>
    <n v="0"/>
    <n v="0"/>
    <n v="0"/>
    <n v="0"/>
    <x v="1"/>
    <n v="0"/>
    <s v="MMR001CMP119"/>
    <x v="0"/>
    <x v="1"/>
    <x v="3"/>
    <n v="0"/>
    <m/>
    <m/>
  </r>
  <r>
    <n v="29.066666666666666"/>
    <d v="2014-01-20T00:00:00"/>
    <x v="3"/>
    <s v="KMSS"/>
    <s v="Kachin"/>
    <s v="Waingmaw"/>
    <s v="Maga Yang "/>
    <m/>
    <m/>
    <m/>
    <m/>
    <m/>
    <m/>
    <m/>
    <m/>
    <m/>
    <m/>
    <n v="1497"/>
    <n v="925"/>
    <m/>
    <m/>
    <m/>
    <m/>
    <m/>
    <n v="0"/>
    <n v="0"/>
    <n v="0"/>
    <n v="0"/>
    <n v="0"/>
    <n v="0"/>
    <n v="0"/>
    <n v="0"/>
    <n v="0"/>
    <n v="0"/>
    <n v="0"/>
    <n v="0"/>
    <n v="0"/>
    <n v="0"/>
    <x v="1"/>
    <n v="0"/>
    <s v="MMR001CMP119"/>
    <x v="0"/>
    <x v="1"/>
    <x v="3"/>
    <n v="0"/>
    <s v="No"/>
    <m/>
  </r>
  <r>
    <n v="29.2"/>
    <d v="2014-01-16T00:00:00"/>
    <x v="3"/>
    <s v="KMSS"/>
    <s v="Kachin"/>
    <s v="Waingmaw"/>
    <s v="Maga Yang "/>
    <m/>
    <m/>
    <m/>
    <m/>
    <m/>
    <m/>
    <m/>
    <n v="600"/>
    <m/>
    <m/>
    <m/>
    <m/>
    <m/>
    <m/>
    <m/>
    <m/>
    <m/>
    <n v="0"/>
    <n v="0"/>
    <n v="0"/>
    <n v="0"/>
    <n v="0"/>
    <n v="0"/>
    <n v="0"/>
    <n v="0"/>
    <n v="0"/>
    <n v="0"/>
    <n v="0"/>
    <n v="0"/>
    <n v="0"/>
    <n v="0"/>
    <x v="0"/>
    <n v="0"/>
    <s v="MMR001CMP119"/>
    <x v="0"/>
    <x v="1"/>
    <x v="3"/>
    <n v="0"/>
    <s v="No"/>
    <m/>
  </r>
  <r>
    <n v="30.766666666666666"/>
    <d v="2013-11-30T00:00:00"/>
    <x v="5"/>
    <s v="KBC"/>
    <s v="Kachin"/>
    <s v="Waingmaw"/>
    <s v="Maga Yang "/>
    <m/>
    <m/>
    <m/>
    <m/>
    <m/>
    <m/>
    <m/>
    <m/>
    <m/>
    <m/>
    <m/>
    <m/>
    <m/>
    <m/>
    <m/>
    <m/>
    <m/>
    <n v="0"/>
    <n v="0"/>
    <n v="0"/>
    <n v="0"/>
    <n v="0"/>
    <n v="0"/>
    <n v="0"/>
    <n v="0"/>
    <n v="0"/>
    <n v="0"/>
    <n v="0"/>
    <n v="0"/>
    <n v="0"/>
    <n v="0"/>
    <x v="0"/>
    <n v="0"/>
    <s v="MMR001CMP119"/>
    <x v="0"/>
    <x v="1"/>
    <x v="3"/>
    <n v="0"/>
    <s v="No"/>
    <m/>
  </r>
  <r>
    <n v="31.133333333333333"/>
    <d v="2013-11-19T00:00:00"/>
    <x v="5"/>
    <s v="KBC"/>
    <s v="Kachin"/>
    <s v="Waingmaw"/>
    <s v="Maga Yang "/>
    <m/>
    <m/>
    <m/>
    <m/>
    <m/>
    <m/>
    <m/>
    <m/>
    <m/>
    <m/>
    <n v="613"/>
    <n v="1226"/>
    <n v="3678"/>
    <n v="1839"/>
    <m/>
    <m/>
    <m/>
    <n v="0"/>
    <n v="0"/>
    <n v="0"/>
    <n v="0"/>
    <n v="0"/>
    <n v="0"/>
    <n v="0"/>
    <n v="0"/>
    <n v="0"/>
    <n v="0"/>
    <n v="0"/>
    <n v="0"/>
    <n v="0"/>
    <n v="0"/>
    <x v="1"/>
    <n v="0"/>
    <s v="MMR001CMP119"/>
    <x v="0"/>
    <x v="1"/>
    <x v="3"/>
    <n v="0"/>
    <m/>
    <m/>
  </r>
  <r>
    <n v="47.7"/>
    <d v="2012-07-10T00:00:00"/>
    <x v="0"/>
    <s v="KMSS"/>
    <s v="Kachin"/>
    <s v="Waingmaw"/>
    <s v="Maga Yang "/>
    <m/>
    <m/>
    <m/>
    <n v="0"/>
    <n v="599"/>
    <n v="675"/>
    <n v="599"/>
    <n v="0"/>
    <m/>
    <m/>
    <m/>
    <m/>
    <m/>
    <m/>
    <m/>
    <m/>
    <m/>
    <n v="0"/>
    <n v="0"/>
    <n v="0"/>
    <n v="0"/>
    <n v="0"/>
    <n v="0"/>
    <n v="0"/>
    <n v="0"/>
    <n v="0"/>
    <n v="0"/>
    <n v="0"/>
    <n v="0"/>
    <n v="0"/>
    <n v="0"/>
    <x v="0"/>
    <n v="0"/>
    <s v="MMR001CMP119"/>
    <x v="0"/>
    <x v="1"/>
    <x v="3"/>
    <n v="1.0221843003412969"/>
    <s v="No"/>
    <m/>
  </r>
  <r>
    <n v="54.7"/>
    <d v="2011-12-13T00:00:00"/>
    <x v="0"/>
    <s v="IRRC"/>
    <s v="Kachin"/>
    <s v="Waingmaw"/>
    <s v="Maga Yang "/>
    <m/>
    <m/>
    <m/>
    <n v="250"/>
    <n v="125"/>
    <n v="250"/>
    <n v="125"/>
    <n v="125"/>
    <n v="125"/>
    <n v="125"/>
    <m/>
    <m/>
    <m/>
    <m/>
    <m/>
    <m/>
    <m/>
    <n v="0"/>
    <n v="0"/>
    <n v="0"/>
    <n v="0"/>
    <n v="0"/>
    <n v="0"/>
    <n v="0"/>
    <n v="0"/>
    <n v="0"/>
    <n v="0"/>
    <n v="0"/>
    <n v="0"/>
    <n v="0"/>
    <n v="0"/>
    <x v="0"/>
    <n v="0"/>
    <s v="MMR001CMP119"/>
    <x v="0"/>
    <x v="1"/>
    <x v="3"/>
    <n v="0.21331058020477817"/>
    <s v="No"/>
    <m/>
  </r>
  <r>
    <n v="12.433333333333334"/>
    <d v="2015-06-03T00:00:00"/>
    <x v="0"/>
    <s v="KBC"/>
    <s v="Kachin"/>
    <s v="Mansi"/>
    <s v="Mai hkawng Camp"/>
    <m/>
    <m/>
    <m/>
    <n v="6"/>
    <n v="12"/>
    <n v="24"/>
    <n v="3"/>
    <m/>
    <n v="3"/>
    <n v="9"/>
    <m/>
    <m/>
    <m/>
    <m/>
    <n v="3"/>
    <m/>
    <m/>
    <n v="0"/>
    <n v="0"/>
    <n v="0"/>
    <n v="0"/>
    <n v="0"/>
    <n v="0"/>
    <n v="0"/>
    <n v="0"/>
    <n v="0"/>
    <n v="0"/>
    <n v="0"/>
    <n v="0"/>
    <n v="0"/>
    <n v="0"/>
    <x v="0"/>
    <n v="0"/>
    <s v=""/>
    <x v="1"/>
    <x v="2"/>
    <x v="0"/>
    <s v=""/>
    <s v="No"/>
    <m/>
  </r>
  <r>
    <n v="14.3"/>
    <d v="2015-04-08T00:00:00"/>
    <x v="0"/>
    <s v="KBC"/>
    <s v="Kachin"/>
    <s v="Mansi"/>
    <s v="Mai hkawng Camp"/>
    <m/>
    <m/>
    <m/>
    <n v="8"/>
    <n v="4"/>
    <m/>
    <n v="4"/>
    <m/>
    <n v="4"/>
    <m/>
    <m/>
    <m/>
    <m/>
    <m/>
    <m/>
    <m/>
    <m/>
    <n v="0"/>
    <n v="0"/>
    <n v="0"/>
    <n v="0"/>
    <n v="0"/>
    <n v="0"/>
    <n v="0"/>
    <n v="0"/>
    <n v="0"/>
    <n v="0"/>
    <n v="0"/>
    <n v="0"/>
    <n v="0"/>
    <n v="0"/>
    <x v="0"/>
    <n v="0"/>
    <s v=""/>
    <x v="1"/>
    <x v="2"/>
    <x v="0"/>
    <s v=""/>
    <s v="No"/>
    <m/>
  </r>
  <r>
    <n v="7.3666666666666663"/>
    <d v="2015-11-02T00:00:00"/>
    <x v="0"/>
    <s v="KBC"/>
    <s v="Kachin"/>
    <s v="Mansi"/>
    <s v="Mai hkawng Camp (RC +KBC)"/>
    <m/>
    <m/>
    <n v="223"/>
    <m/>
    <n v="30"/>
    <m/>
    <m/>
    <m/>
    <m/>
    <n v="337"/>
    <m/>
    <m/>
    <m/>
    <m/>
    <m/>
    <m/>
    <m/>
    <n v="0"/>
    <n v="0"/>
    <n v="223"/>
    <n v="0"/>
    <n v="30"/>
    <n v="0"/>
    <n v="0"/>
    <n v="0"/>
    <n v="0"/>
    <n v="842.5"/>
    <n v="0"/>
    <n v="0"/>
    <n v="0"/>
    <n v="0"/>
    <x v="0"/>
    <n v="0"/>
    <s v=""/>
    <x v="1"/>
    <x v="2"/>
    <x v="0"/>
    <s v=""/>
    <s v="No"/>
    <m/>
  </r>
  <r>
    <n v="8.4333333333333336"/>
    <d v="2015-10-01T00:00:00"/>
    <x v="0"/>
    <s v="KBC"/>
    <s v="Kachin"/>
    <s v="Mansi"/>
    <s v="Mai hkawng Camp (RC +KBC)"/>
    <m/>
    <n v="77"/>
    <n v="232"/>
    <n v="200"/>
    <n v="89"/>
    <n v="200"/>
    <n v="119"/>
    <m/>
    <n v="119"/>
    <n v="345"/>
    <m/>
    <m/>
    <m/>
    <m/>
    <n v="119"/>
    <m/>
    <n v="45"/>
    <n v="0"/>
    <n v="77"/>
    <n v="232"/>
    <n v="200"/>
    <n v="89"/>
    <n v="200"/>
    <n v="119"/>
    <n v="0"/>
    <n v="119"/>
    <n v="862.5"/>
    <n v="0"/>
    <n v="0"/>
    <n v="0"/>
    <n v="0"/>
    <x v="0"/>
    <n v="119"/>
    <s v=""/>
    <x v="1"/>
    <x v="2"/>
    <x v="0"/>
    <s v=""/>
    <s v="No"/>
    <m/>
  </r>
  <r>
    <n v="8.7333333333333325"/>
    <d v="2015-09-22T00:00:00"/>
    <x v="0"/>
    <s v="KBC"/>
    <s v="Kachin"/>
    <s v="Mansi"/>
    <s v="Mai hkawng Camp (RC +KBC)"/>
    <m/>
    <m/>
    <n v="145"/>
    <n v="132"/>
    <n v="66"/>
    <n v="132"/>
    <n v="66"/>
    <m/>
    <n v="66"/>
    <n v="243"/>
    <m/>
    <m/>
    <m/>
    <m/>
    <n v="66"/>
    <m/>
    <m/>
    <n v="0"/>
    <n v="0"/>
    <n v="145"/>
    <n v="132"/>
    <n v="66"/>
    <n v="132"/>
    <n v="66"/>
    <n v="0"/>
    <n v="66"/>
    <n v="607.5"/>
    <n v="0"/>
    <n v="0"/>
    <n v="0"/>
    <n v="0"/>
    <x v="0"/>
    <n v="66"/>
    <s v=""/>
    <x v="1"/>
    <x v="2"/>
    <x v="0"/>
    <s v=""/>
    <s v="No"/>
    <m/>
  </r>
  <r>
    <n v="51.2"/>
    <d v="2012-03-27T00:00:00"/>
    <x v="0"/>
    <s v="UNHCR"/>
    <s v="Kachin"/>
    <s v="Momauk"/>
    <s v="Mai Ja Yang Gat Pa "/>
    <m/>
    <m/>
    <m/>
    <n v="52"/>
    <n v="52"/>
    <n v="0"/>
    <n v="0"/>
    <n v="0"/>
    <m/>
    <m/>
    <m/>
    <m/>
    <m/>
    <m/>
    <m/>
    <m/>
    <m/>
    <n v="0"/>
    <n v="0"/>
    <n v="0"/>
    <n v="0"/>
    <n v="0"/>
    <n v="0"/>
    <n v="0"/>
    <n v="0"/>
    <n v="0"/>
    <n v="0"/>
    <n v="0"/>
    <n v="0"/>
    <n v="0"/>
    <n v="0"/>
    <x v="0"/>
    <n v="0"/>
    <s v=""/>
    <x v="1"/>
    <x v="2"/>
    <x v="0"/>
    <s v=""/>
    <s v="No"/>
    <m/>
  </r>
  <r>
    <n v="51.166666666666664"/>
    <d v="2012-03-28T00:00:00"/>
    <x v="0"/>
    <s v="UNHCR"/>
    <s v="Kachin"/>
    <s v="Momauk"/>
    <s v="Mai Ja Yang Ung Lung "/>
    <m/>
    <m/>
    <m/>
    <n v="217"/>
    <n v="217"/>
    <n v="0"/>
    <n v="0"/>
    <n v="0"/>
    <m/>
    <m/>
    <m/>
    <m/>
    <m/>
    <m/>
    <m/>
    <m/>
    <m/>
    <n v="0"/>
    <n v="0"/>
    <n v="0"/>
    <n v="0"/>
    <n v="0"/>
    <n v="0"/>
    <n v="0"/>
    <n v="0"/>
    <n v="0"/>
    <n v="0"/>
    <n v="0"/>
    <n v="0"/>
    <n v="0"/>
    <n v="0"/>
    <x v="0"/>
    <n v="0"/>
    <s v=""/>
    <x v="1"/>
    <x v="2"/>
    <x v="0"/>
    <s v=""/>
    <s v="No"/>
    <m/>
  </r>
  <r>
    <n v="47.466666666666669"/>
    <d v="2012-07-17T00:00:00"/>
    <x v="0"/>
    <s v="UNHCR"/>
    <s v="Kachin"/>
    <s v="Momauk"/>
    <s v="Mai Khat "/>
    <m/>
    <m/>
    <m/>
    <n v="0"/>
    <n v="0"/>
    <n v="0"/>
    <n v="0"/>
    <n v="0"/>
    <m/>
    <m/>
    <m/>
    <m/>
    <m/>
    <m/>
    <m/>
    <m/>
    <m/>
    <n v="0"/>
    <n v="0"/>
    <n v="0"/>
    <n v="0"/>
    <n v="0"/>
    <n v="0"/>
    <n v="0"/>
    <n v="0"/>
    <n v="0"/>
    <n v="0"/>
    <n v="0"/>
    <n v="0"/>
    <n v="0"/>
    <n v="0"/>
    <x v="0"/>
    <n v="0"/>
    <s v="MMR001CMP064"/>
    <x v="0"/>
    <x v="1"/>
    <x v="1"/>
    <n v="0"/>
    <s v="No"/>
    <m/>
  </r>
  <r>
    <n v="47.466666666666669"/>
    <d v="2012-07-17T00:00:00"/>
    <x v="0"/>
    <s v="UNHCR"/>
    <s v="Kachin"/>
    <s v="Momauk"/>
    <s v="Mai Khat "/>
    <m/>
    <m/>
    <m/>
    <n v="0"/>
    <n v="0"/>
    <n v="0"/>
    <n v="0"/>
    <n v="0"/>
    <m/>
    <m/>
    <m/>
    <m/>
    <m/>
    <m/>
    <m/>
    <m/>
    <m/>
    <n v="0"/>
    <n v="0"/>
    <n v="0"/>
    <n v="0"/>
    <n v="0"/>
    <n v="0"/>
    <n v="0"/>
    <n v="0"/>
    <n v="0"/>
    <n v="0"/>
    <n v="0"/>
    <n v="0"/>
    <n v="0"/>
    <n v="0"/>
    <x v="0"/>
    <n v="0"/>
    <s v="MMR001CMP064"/>
    <x v="0"/>
    <x v="1"/>
    <x v="1"/>
    <n v="0"/>
    <s v="No"/>
    <m/>
  </r>
  <r>
    <n v="20.6"/>
    <d v="2014-10-01T00:00:00"/>
    <x v="0"/>
    <s v="Shalom"/>
    <s v="Kachin"/>
    <s v="Waingmaw"/>
    <s v="Maina AG Church"/>
    <m/>
    <m/>
    <m/>
    <n v="286"/>
    <m/>
    <m/>
    <m/>
    <m/>
    <m/>
    <m/>
    <m/>
    <m/>
    <m/>
    <m/>
    <m/>
    <m/>
    <m/>
    <n v="0"/>
    <n v="0"/>
    <n v="0"/>
    <n v="0"/>
    <n v="0"/>
    <n v="0"/>
    <n v="0"/>
    <n v="0"/>
    <n v="0"/>
    <n v="0"/>
    <n v="0"/>
    <n v="0"/>
    <n v="0"/>
    <n v="0"/>
    <x v="0"/>
    <n v="0"/>
    <s v="MMR001CMP031"/>
    <x v="0"/>
    <x v="1"/>
    <x v="1"/>
    <n v="0"/>
    <m/>
    <m/>
  </r>
  <r>
    <n v="24.833333333333332"/>
    <d v="2014-05-27T00:00:00"/>
    <x v="0"/>
    <s v="Shalom"/>
    <s v="Kachin"/>
    <s v="Waingmaw"/>
    <s v="Maina AG Church"/>
    <m/>
    <m/>
    <n v="50"/>
    <n v="25"/>
    <n v="50"/>
    <n v="25"/>
    <m/>
    <n v="25"/>
    <n v="125"/>
    <m/>
    <m/>
    <m/>
    <m/>
    <m/>
    <m/>
    <m/>
    <m/>
    <n v="0"/>
    <n v="0"/>
    <n v="0"/>
    <n v="0"/>
    <n v="0"/>
    <n v="0"/>
    <n v="0"/>
    <n v="0"/>
    <n v="0"/>
    <n v="0"/>
    <n v="0"/>
    <n v="0"/>
    <n v="0"/>
    <n v="0"/>
    <x v="0"/>
    <n v="0"/>
    <s v="MMR001CMP031"/>
    <x v="0"/>
    <x v="1"/>
    <x v="1"/>
    <n v="0"/>
    <m/>
    <m/>
  </r>
  <r>
    <n v="25.1"/>
    <d v="2014-05-19T00:00:00"/>
    <x v="6"/>
    <s v="MRCS"/>
    <s v="Kachin"/>
    <s v="Waingmaw"/>
    <s v="Maina AG Church"/>
    <m/>
    <m/>
    <m/>
    <m/>
    <m/>
    <m/>
    <m/>
    <m/>
    <m/>
    <m/>
    <m/>
    <m/>
    <m/>
    <n v="224"/>
    <m/>
    <m/>
    <m/>
    <n v="0"/>
    <n v="0"/>
    <n v="0"/>
    <n v="0"/>
    <n v="0"/>
    <n v="0"/>
    <n v="0"/>
    <n v="0"/>
    <n v="0"/>
    <n v="0"/>
    <n v="0"/>
    <n v="0"/>
    <n v="0"/>
    <n v="0"/>
    <x v="1"/>
    <n v="0"/>
    <s v="MMR001CMP031"/>
    <x v="0"/>
    <x v="1"/>
    <x v="1"/>
    <n v="0"/>
    <m/>
    <m/>
  </r>
  <r>
    <n v="30.1"/>
    <d v="2013-12-20T00:00:00"/>
    <x v="5"/>
    <s v="KBC"/>
    <s v="Kachin"/>
    <s v="Waingmaw"/>
    <s v="Maina AG Church"/>
    <m/>
    <m/>
    <m/>
    <m/>
    <m/>
    <m/>
    <m/>
    <m/>
    <m/>
    <m/>
    <n v="141"/>
    <n v="265"/>
    <n v="812"/>
    <n v="406"/>
    <m/>
    <m/>
    <m/>
    <n v="0"/>
    <n v="0"/>
    <n v="0"/>
    <n v="0"/>
    <n v="0"/>
    <n v="0"/>
    <n v="0"/>
    <n v="0"/>
    <n v="0"/>
    <n v="0"/>
    <n v="0"/>
    <n v="0"/>
    <n v="0"/>
    <n v="0"/>
    <x v="1"/>
    <n v="0"/>
    <s v="MMR001CMP031"/>
    <x v="0"/>
    <x v="1"/>
    <x v="1"/>
    <n v="0"/>
    <m/>
    <m/>
  </r>
  <r>
    <n v="30.766666666666666"/>
    <d v="2013-11-30T00:00:00"/>
    <x v="5"/>
    <s v="KBC"/>
    <s v="Kachin"/>
    <s v="Waingmaw"/>
    <s v="Maina AG Church"/>
    <m/>
    <m/>
    <m/>
    <m/>
    <m/>
    <m/>
    <m/>
    <m/>
    <m/>
    <m/>
    <m/>
    <m/>
    <m/>
    <m/>
    <m/>
    <m/>
    <m/>
    <n v="0"/>
    <n v="0"/>
    <n v="0"/>
    <n v="0"/>
    <n v="0"/>
    <n v="0"/>
    <n v="0"/>
    <n v="0"/>
    <n v="0"/>
    <n v="0"/>
    <n v="0"/>
    <n v="0"/>
    <n v="0"/>
    <n v="0"/>
    <x v="0"/>
    <n v="0"/>
    <s v="MMR001CMP031"/>
    <x v="0"/>
    <x v="1"/>
    <x v="1"/>
    <n v="0"/>
    <s v="No"/>
    <m/>
  </r>
  <r>
    <n v="34.6"/>
    <d v="2013-08-07T00:00:00"/>
    <x v="0"/>
    <s v="UNHCR"/>
    <s v="Kachin"/>
    <s v="Waingmaw"/>
    <s v="Maina AG Church"/>
    <m/>
    <m/>
    <n v="20"/>
    <n v="40"/>
    <n v="17"/>
    <n v="40"/>
    <n v="17"/>
    <n v="17"/>
    <n v="17"/>
    <n v="17"/>
    <m/>
    <m/>
    <m/>
    <m/>
    <m/>
    <m/>
    <m/>
    <n v="0"/>
    <n v="0"/>
    <n v="0"/>
    <n v="0"/>
    <n v="0"/>
    <n v="0"/>
    <n v="0"/>
    <n v="0"/>
    <n v="0"/>
    <n v="0"/>
    <n v="0"/>
    <n v="0"/>
    <n v="0"/>
    <n v="0"/>
    <x v="0"/>
    <n v="0"/>
    <s v="MMR001CMP031"/>
    <x v="0"/>
    <x v="1"/>
    <x v="1"/>
    <n v="0.11888111888111888"/>
    <s v="No"/>
    <m/>
  </r>
  <r>
    <n v="35.06666666666667"/>
    <d v="2013-07-24T00:00:00"/>
    <x v="0"/>
    <s v="Shalom"/>
    <s v="Kachin"/>
    <s v="Waingmaw"/>
    <s v="Maina AG Church"/>
    <m/>
    <m/>
    <n v="10"/>
    <n v="14"/>
    <n v="7"/>
    <n v="14"/>
    <n v="7"/>
    <n v="7"/>
    <n v="7"/>
    <n v="7"/>
    <m/>
    <m/>
    <m/>
    <m/>
    <m/>
    <m/>
    <m/>
    <n v="0"/>
    <n v="0"/>
    <n v="0"/>
    <n v="0"/>
    <n v="0"/>
    <n v="0"/>
    <n v="0"/>
    <n v="0"/>
    <n v="0"/>
    <n v="0"/>
    <n v="0"/>
    <n v="0"/>
    <n v="0"/>
    <n v="0"/>
    <x v="0"/>
    <n v="0"/>
    <s v="MMR001CMP031"/>
    <x v="0"/>
    <x v="1"/>
    <x v="1"/>
    <n v="4.8951048951048952E-2"/>
    <s v="No"/>
    <m/>
  </r>
  <r>
    <n v="38.799999999999997"/>
    <d v="2013-04-03T00:00:00"/>
    <x v="0"/>
    <s v="UNHCR"/>
    <s v="Kachin"/>
    <s v="Waingmaw"/>
    <s v="Maina AG Church"/>
    <m/>
    <m/>
    <n v="15"/>
    <n v="22"/>
    <n v="11"/>
    <n v="22"/>
    <n v="11"/>
    <n v="11"/>
    <n v="11"/>
    <n v="11"/>
    <m/>
    <m/>
    <m/>
    <m/>
    <m/>
    <m/>
    <m/>
    <n v="0"/>
    <n v="0"/>
    <n v="0"/>
    <n v="0"/>
    <n v="0"/>
    <n v="0"/>
    <n v="0"/>
    <n v="0"/>
    <n v="0"/>
    <n v="0"/>
    <n v="0"/>
    <n v="0"/>
    <n v="0"/>
    <n v="0"/>
    <x v="0"/>
    <n v="0"/>
    <s v="MMR001CMP031"/>
    <x v="0"/>
    <x v="1"/>
    <x v="1"/>
    <n v="7.6923076923076927E-2"/>
    <s v="No"/>
    <m/>
  </r>
  <r>
    <n v="39.966666666666669"/>
    <d v="2013-02-27T00:00:00"/>
    <x v="0"/>
    <s v="UNHCR"/>
    <s v="Kachin"/>
    <s v="Waingmaw"/>
    <s v="Maina AG Church"/>
    <m/>
    <m/>
    <n v="23"/>
    <n v="40"/>
    <n v="18"/>
    <n v="40"/>
    <n v="18"/>
    <n v="18"/>
    <n v="18"/>
    <n v="18"/>
    <m/>
    <m/>
    <m/>
    <m/>
    <m/>
    <m/>
    <m/>
    <n v="0"/>
    <n v="0"/>
    <n v="0"/>
    <n v="0"/>
    <n v="0"/>
    <n v="0"/>
    <n v="0"/>
    <n v="0"/>
    <n v="0"/>
    <n v="0"/>
    <n v="0"/>
    <n v="0"/>
    <n v="0"/>
    <n v="0"/>
    <x v="0"/>
    <n v="0"/>
    <s v="MMR001CMP031"/>
    <x v="0"/>
    <x v="1"/>
    <x v="1"/>
    <n v="0.12587412587412589"/>
    <s v="No"/>
    <m/>
  </r>
  <r>
    <n v="40.700000000000003"/>
    <d v="2013-02-05T00:00:00"/>
    <x v="0"/>
    <s v="UNHCR"/>
    <s v="Kachin"/>
    <s v="Waingmaw"/>
    <s v="Maina AG Church"/>
    <m/>
    <m/>
    <n v="37"/>
    <n v="70"/>
    <n v="34"/>
    <n v="70"/>
    <n v="34"/>
    <n v="34"/>
    <n v="34"/>
    <n v="34"/>
    <m/>
    <m/>
    <m/>
    <m/>
    <m/>
    <m/>
    <m/>
    <n v="0"/>
    <n v="0"/>
    <n v="0"/>
    <n v="0"/>
    <n v="0"/>
    <n v="0"/>
    <n v="0"/>
    <n v="0"/>
    <n v="0"/>
    <n v="0"/>
    <n v="0"/>
    <n v="0"/>
    <n v="0"/>
    <n v="0"/>
    <x v="0"/>
    <n v="0"/>
    <s v="MMR001CMP031"/>
    <x v="0"/>
    <x v="1"/>
    <x v="1"/>
    <n v="0.23776223776223776"/>
    <s v="No"/>
    <m/>
  </r>
  <r>
    <n v="40.866666666666667"/>
    <d v="2013-01-31T00:00:00"/>
    <x v="7"/>
    <s v="World Vision"/>
    <s v="Kachin"/>
    <s v="Waingmaw"/>
    <s v="Maina AG Church"/>
    <m/>
    <m/>
    <m/>
    <m/>
    <m/>
    <n v="128"/>
    <m/>
    <m/>
    <n v="0"/>
    <n v="0"/>
    <m/>
    <m/>
    <m/>
    <m/>
    <m/>
    <m/>
    <m/>
    <n v="0"/>
    <n v="0"/>
    <n v="0"/>
    <n v="0"/>
    <n v="0"/>
    <n v="0"/>
    <n v="0"/>
    <n v="0"/>
    <n v="0"/>
    <n v="0"/>
    <n v="0"/>
    <n v="0"/>
    <n v="0"/>
    <n v="0"/>
    <x v="0"/>
    <n v="0"/>
    <s v="MMR001CMP031"/>
    <x v="0"/>
    <x v="1"/>
    <x v="1"/>
    <n v="0"/>
    <s v="No"/>
    <m/>
  </r>
  <r>
    <n v="41.9"/>
    <d v="2012-12-31T00:00:00"/>
    <x v="3"/>
    <s v="DRC"/>
    <s v="Kachin"/>
    <s v="Waingmaw"/>
    <s v="Maina AG Church"/>
    <n v="79"/>
    <m/>
    <m/>
    <m/>
    <m/>
    <m/>
    <m/>
    <m/>
    <n v="0"/>
    <n v="0"/>
    <m/>
    <m/>
    <m/>
    <m/>
    <m/>
    <m/>
    <m/>
    <n v="0"/>
    <n v="0"/>
    <n v="0"/>
    <n v="0"/>
    <n v="0"/>
    <n v="0"/>
    <n v="0"/>
    <n v="0"/>
    <n v="0"/>
    <n v="0"/>
    <n v="0"/>
    <n v="0"/>
    <n v="0"/>
    <n v="0"/>
    <x v="0"/>
    <n v="0"/>
    <s v="MMR001CMP031"/>
    <x v="0"/>
    <x v="1"/>
    <x v="1"/>
    <n v="0"/>
    <s v="No"/>
    <m/>
  </r>
  <r>
    <n v="49.966666666666669"/>
    <d v="2012-05-03T00:00:00"/>
    <x v="0"/>
    <s v="UNHCR"/>
    <s v="Kachin"/>
    <s v="Waingmaw"/>
    <s v="Maina AG Church"/>
    <m/>
    <m/>
    <m/>
    <n v="42"/>
    <n v="0"/>
    <n v="42"/>
    <n v="0"/>
    <n v="20"/>
    <n v="20"/>
    <n v="20"/>
    <m/>
    <m/>
    <m/>
    <m/>
    <m/>
    <m/>
    <m/>
    <n v="0"/>
    <n v="0"/>
    <n v="0"/>
    <n v="0"/>
    <n v="0"/>
    <n v="0"/>
    <n v="0"/>
    <n v="0"/>
    <n v="0"/>
    <n v="0"/>
    <n v="0"/>
    <n v="0"/>
    <n v="0"/>
    <n v="0"/>
    <x v="0"/>
    <n v="0"/>
    <s v="MMR001CMP031"/>
    <x v="0"/>
    <x v="1"/>
    <x v="1"/>
    <n v="0"/>
    <s v="No"/>
    <m/>
  </r>
  <r>
    <n v="8.7666666666666675"/>
    <d v="2015-09-21T00:00:00"/>
    <x v="0"/>
    <s v="KMSS"/>
    <s v="Kachin"/>
    <s v="Waingmaw"/>
    <s v="Maina Catholic Church (St. Joseph)"/>
    <m/>
    <m/>
    <m/>
    <n v="41"/>
    <n v="16"/>
    <n v="41"/>
    <n v="16"/>
    <m/>
    <n v="16"/>
    <n v="80"/>
    <m/>
    <m/>
    <m/>
    <m/>
    <n v="16"/>
    <m/>
    <m/>
    <n v="0"/>
    <n v="0"/>
    <n v="0"/>
    <n v="41"/>
    <n v="16"/>
    <n v="41"/>
    <n v="16"/>
    <n v="0"/>
    <n v="16"/>
    <n v="200"/>
    <n v="0"/>
    <n v="0"/>
    <n v="0"/>
    <n v="0"/>
    <x v="0"/>
    <n v="16"/>
    <s v="MMR001CMP029"/>
    <x v="0"/>
    <x v="1"/>
    <x v="1"/>
    <n v="7.2072072072072071E-2"/>
    <s v="No"/>
    <m/>
  </r>
  <r>
    <n v="15.166666666666666"/>
    <d v="2015-03-13T00:00:00"/>
    <x v="0"/>
    <s v="KMSS"/>
    <s v="Kachin"/>
    <s v="Waingmaw"/>
    <s v="Maina Catholic Church (St. Joseph)"/>
    <m/>
    <m/>
    <m/>
    <m/>
    <n v="1"/>
    <m/>
    <m/>
    <m/>
    <m/>
    <m/>
    <m/>
    <m/>
    <m/>
    <m/>
    <m/>
    <m/>
    <m/>
    <n v="0"/>
    <n v="0"/>
    <n v="0"/>
    <n v="0"/>
    <n v="0"/>
    <n v="0"/>
    <n v="0"/>
    <n v="0"/>
    <n v="0"/>
    <n v="0"/>
    <n v="0"/>
    <n v="0"/>
    <n v="0"/>
    <n v="0"/>
    <x v="0"/>
    <n v="0"/>
    <s v="MMR001CMP029"/>
    <x v="0"/>
    <x v="1"/>
    <x v="1"/>
    <n v="0"/>
    <s v="No"/>
    <m/>
  </r>
  <r>
    <n v="20.6"/>
    <d v="2014-10-01T00:00:00"/>
    <x v="0"/>
    <s v="KMSS"/>
    <s v="Kachin"/>
    <s v="Waingmaw"/>
    <s v="Maina Catholic Church (St. Joseph)"/>
    <m/>
    <m/>
    <m/>
    <n v="462"/>
    <m/>
    <m/>
    <m/>
    <m/>
    <m/>
    <m/>
    <m/>
    <m/>
    <m/>
    <m/>
    <m/>
    <m/>
    <m/>
    <n v="0"/>
    <n v="0"/>
    <n v="0"/>
    <n v="0"/>
    <n v="0"/>
    <n v="0"/>
    <n v="0"/>
    <n v="0"/>
    <n v="0"/>
    <n v="0"/>
    <n v="0"/>
    <n v="0"/>
    <n v="0"/>
    <n v="0"/>
    <x v="0"/>
    <n v="0"/>
    <s v="MMR001CMP029"/>
    <x v="0"/>
    <x v="1"/>
    <x v="1"/>
    <n v="0"/>
    <m/>
    <m/>
  </r>
  <r>
    <n v="25.2"/>
    <d v="2014-05-16T00:00:00"/>
    <x v="6"/>
    <s v="MRCS"/>
    <s v="Kachin"/>
    <s v="Waingmaw"/>
    <s v="Maina Catholic Church (St. Joseph)"/>
    <m/>
    <m/>
    <m/>
    <m/>
    <m/>
    <m/>
    <m/>
    <m/>
    <m/>
    <m/>
    <m/>
    <m/>
    <m/>
    <n v="470"/>
    <m/>
    <m/>
    <m/>
    <n v="0"/>
    <n v="0"/>
    <n v="0"/>
    <n v="0"/>
    <n v="0"/>
    <n v="0"/>
    <n v="0"/>
    <n v="0"/>
    <n v="0"/>
    <n v="0"/>
    <n v="0"/>
    <n v="0"/>
    <n v="0"/>
    <n v="0"/>
    <x v="1"/>
    <n v="0"/>
    <s v="MMR001CMP029"/>
    <x v="0"/>
    <x v="1"/>
    <x v="1"/>
    <n v="0"/>
    <m/>
    <m/>
  </r>
  <r>
    <n v="35.06666666666667"/>
    <d v="2013-07-24T00:00:00"/>
    <x v="0"/>
    <s v="KMSS"/>
    <s v="Kachin"/>
    <s v="Waingmaw"/>
    <s v="Maina Catholic Church (St. Joseph)"/>
    <m/>
    <m/>
    <n v="40"/>
    <n v="49"/>
    <n v="23"/>
    <n v="49"/>
    <n v="23"/>
    <n v="23"/>
    <n v="23"/>
    <n v="23"/>
    <m/>
    <m/>
    <m/>
    <m/>
    <m/>
    <m/>
    <m/>
    <n v="0"/>
    <n v="0"/>
    <n v="0"/>
    <n v="0"/>
    <n v="0"/>
    <n v="0"/>
    <n v="0"/>
    <n v="0"/>
    <n v="0"/>
    <n v="0"/>
    <n v="0"/>
    <n v="0"/>
    <n v="0"/>
    <n v="0"/>
    <x v="0"/>
    <n v="0"/>
    <s v="MMR001CMP029"/>
    <x v="0"/>
    <x v="1"/>
    <x v="1"/>
    <n v="0.1036036036036036"/>
    <s v="No"/>
    <m/>
  </r>
  <r>
    <n v="37.633333333333333"/>
    <d v="2013-05-08T00:00:00"/>
    <x v="8"/>
    <s v="KMSS"/>
    <s v="Kachin"/>
    <s v="Waingmaw"/>
    <s v="Maina Catholic Church (St. Joseph)"/>
    <n v="1062"/>
    <m/>
    <m/>
    <m/>
    <m/>
    <m/>
    <m/>
    <m/>
    <m/>
    <m/>
    <m/>
    <m/>
    <m/>
    <m/>
    <m/>
    <m/>
    <m/>
    <n v="0"/>
    <n v="0"/>
    <n v="0"/>
    <n v="0"/>
    <n v="0"/>
    <n v="0"/>
    <n v="0"/>
    <n v="0"/>
    <n v="0"/>
    <n v="0"/>
    <n v="0"/>
    <n v="0"/>
    <n v="0"/>
    <n v="0"/>
    <x v="0"/>
    <n v="0"/>
    <s v="MMR001CMP029"/>
    <x v="0"/>
    <x v="1"/>
    <x v="1"/>
    <n v="0"/>
    <s v="No"/>
    <m/>
  </r>
  <r>
    <n v="40.700000000000003"/>
    <d v="2013-02-05T00:00:00"/>
    <x v="2"/>
    <s v="MRCS"/>
    <s v="Kachin"/>
    <s v="Waingmaw"/>
    <s v="Maina Catholic Church (St. Joseph)"/>
    <n v="46"/>
    <m/>
    <m/>
    <m/>
    <m/>
    <m/>
    <m/>
    <m/>
    <n v="0"/>
    <n v="0"/>
    <m/>
    <m/>
    <m/>
    <m/>
    <m/>
    <m/>
    <m/>
    <n v="0"/>
    <n v="0"/>
    <n v="0"/>
    <n v="0"/>
    <n v="0"/>
    <n v="0"/>
    <n v="0"/>
    <n v="0"/>
    <n v="0"/>
    <n v="0"/>
    <n v="0"/>
    <n v="0"/>
    <n v="0"/>
    <n v="0"/>
    <x v="0"/>
    <n v="0"/>
    <s v="MMR001CMP029"/>
    <x v="0"/>
    <x v="1"/>
    <x v="1"/>
    <n v="0"/>
    <s v="No"/>
    <m/>
  </r>
  <r>
    <n v="40.866666666666667"/>
    <d v="2013-01-31T00:00:00"/>
    <x v="7"/>
    <s v="World Vision"/>
    <s v="Kachin"/>
    <s v="Waingmaw"/>
    <s v="Maina Catholic Church (St. Joseph)"/>
    <m/>
    <m/>
    <m/>
    <m/>
    <m/>
    <n v="442"/>
    <m/>
    <m/>
    <n v="0"/>
    <n v="0"/>
    <m/>
    <m/>
    <m/>
    <m/>
    <m/>
    <m/>
    <m/>
    <n v="0"/>
    <n v="0"/>
    <n v="0"/>
    <n v="0"/>
    <n v="0"/>
    <n v="0"/>
    <n v="0"/>
    <n v="0"/>
    <n v="0"/>
    <n v="0"/>
    <n v="0"/>
    <n v="0"/>
    <n v="0"/>
    <n v="0"/>
    <x v="0"/>
    <n v="0"/>
    <s v="MMR001CMP029"/>
    <x v="0"/>
    <x v="1"/>
    <x v="1"/>
    <n v="0"/>
    <s v="No"/>
    <m/>
  </r>
  <r>
    <n v="45.5"/>
    <d v="2012-09-14T00:00:00"/>
    <x v="0"/>
    <s v="UNHCR"/>
    <s v="Kachin"/>
    <s v="Waingmaw"/>
    <s v="Maina Catholic Church (St. Joseph)"/>
    <m/>
    <m/>
    <m/>
    <n v="94"/>
    <n v="48"/>
    <n v="94"/>
    <n v="48"/>
    <n v="48"/>
    <n v="48"/>
    <n v="48"/>
    <m/>
    <m/>
    <m/>
    <m/>
    <m/>
    <m/>
    <m/>
    <n v="0"/>
    <n v="0"/>
    <n v="0"/>
    <n v="0"/>
    <n v="0"/>
    <n v="0"/>
    <n v="0"/>
    <n v="0"/>
    <n v="0"/>
    <n v="0"/>
    <n v="0"/>
    <n v="0"/>
    <n v="0"/>
    <n v="0"/>
    <x v="0"/>
    <n v="0"/>
    <s v="MMR001CMP029"/>
    <x v="0"/>
    <x v="1"/>
    <x v="1"/>
    <n v="0.21621621621621623"/>
    <s v="No"/>
    <m/>
  </r>
  <r>
    <n v="49.7"/>
    <d v="2012-05-11T00:00:00"/>
    <x v="0"/>
    <s v="UNHCR"/>
    <s v="Kachin"/>
    <s v="Waingmaw"/>
    <s v="Maina Catholic Church (St. Joseph)"/>
    <m/>
    <m/>
    <m/>
    <n v="57"/>
    <n v="29"/>
    <n v="57"/>
    <n v="29"/>
    <n v="29"/>
    <n v="29"/>
    <n v="29"/>
    <m/>
    <m/>
    <m/>
    <m/>
    <m/>
    <m/>
    <m/>
    <n v="0"/>
    <n v="0"/>
    <n v="0"/>
    <n v="0"/>
    <n v="0"/>
    <n v="0"/>
    <n v="0"/>
    <n v="0"/>
    <n v="0"/>
    <n v="0"/>
    <n v="0"/>
    <n v="0"/>
    <n v="0"/>
    <n v="0"/>
    <x v="0"/>
    <n v="0"/>
    <s v="MMR001CMP029"/>
    <x v="0"/>
    <x v="1"/>
    <x v="1"/>
    <n v="0.13063063063063063"/>
    <s v="No"/>
    <m/>
  </r>
  <r>
    <n v="53.866666666666667"/>
    <d v="2012-01-07T00:00:00"/>
    <x v="0"/>
    <s v="KMSS"/>
    <s v="Kachin"/>
    <s v="Waingmaw"/>
    <s v="Maina Catholic Church (St. Joseph)"/>
    <m/>
    <m/>
    <m/>
    <n v="50"/>
    <n v="25"/>
    <n v="50"/>
    <n v="25"/>
    <n v="27"/>
    <n v="27"/>
    <n v="27"/>
    <m/>
    <m/>
    <m/>
    <m/>
    <m/>
    <m/>
    <m/>
    <n v="0"/>
    <n v="0"/>
    <n v="0"/>
    <n v="0"/>
    <n v="0"/>
    <n v="0"/>
    <n v="0"/>
    <n v="0"/>
    <n v="0"/>
    <n v="0"/>
    <n v="0"/>
    <n v="0"/>
    <n v="0"/>
    <n v="0"/>
    <x v="0"/>
    <n v="0"/>
    <s v="MMR001CMP029"/>
    <x v="0"/>
    <x v="1"/>
    <x v="1"/>
    <n v="0.11261261261261261"/>
    <s v="No"/>
    <m/>
  </r>
  <r>
    <n v="54.1"/>
    <d v="2011-12-31T00:00:00"/>
    <x v="0"/>
    <s v="KMSS"/>
    <s v="Kachin"/>
    <s v="Waingmaw"/>
    <s v="Maina Catholic Church (St. Joseph)"/>
    <m/>
    <m/>
    <m/>
    <n v="46"/>
    <n v="27"/>
    <n v="47"/>
    <n v="27"/>
    <n v="27"/>
    <n v="27"/>
    <n v="27"/>
    <m/>
    <m/>
    <m/>
    <m/>
    <m/>
    <m/>
    <m/>
    <n v="0"/>
    <n v="0"/>
    <n v="0"/>
    <n v="0"/>
    <n v="0"/>
    <n v="0"/>
    <n v="0"/>
    <n v="0"/>
    <n v="0"/>
    <n v="0"/>
    <n v="0"/>
    <n v="0"/>
    <n v="0"/>
    <n v="0"/>
    <x v="0"/>
    <n v="0"/>
    <s v="MMR001CMP029"/>
    <x v="0"/>
    <x v="1"/>
    <x v="1"/>
    <n v="0.12162162162162163"/>
    <s v="No"/>
    <m/>
  </r>
  <r>
    <n v="25.066666666666666"/>
    <d v="2014-05-20T00:00:00"/>
    <x v="6"/>
    <s v="MRCS"/>
    <s v="Kachin"/>
    <s v="Waingmaw"/>
    <s v="Maina KBC (Bawng Ring)"/>
    <m/>
    <m/>
    <m/>
    <m/>
    <m/>
    <m/>
    <m/>
    <m/>
    <m/>
    <m/>
    <m/>
    <m/>
    <m/>
    <n v="824"/>
    <m/>
    <m/>
    <m/>
    <n v="0"/>
    <n v="0"/>
    <n v="0"/>
    <n v="0"/>
    <n v="0"/>
    <n v="0"/>
    <n v="0"/>
    <n v="0"/>
    <n v="0"/>
    <n v="0"/>
    <n v="0"/>
    <n v="0"/>
    <n v="0"/>
    <n v="0"/>
    <x v="1"/>
    <n v="0"/>
    <s v="MMR001CMP040"/>
    <x v="0"/>
    <x v="1"/>
    <x v="1"/>
    <n v="0"/>
    <m/>
    <m/>
  </r>
  <r>
    <n v="30.133333333333333"/>
    <d v="2013-12-19T00:00:00"/>
    <x v="5"/>
    <s v="KBC"/>
    <s v="Kachin"/>
    <s v="Waingmaw"/>
    <s v="Maina KBC (Bawng Ring)"/>
    <m/>
    <m/>
    <m/>
    <m/>
    <m/>
    <m/>
    <m/>
    <m/>
    <m/>
    <m/>
    <n v="414"/>
    <n v="764"/>
    <n v="2356"/>
    <n v="1178"/>
    <m/>
    <m/>
    <m/>
    <n v="0"/>
    <n v="0"/>
    <n v="0"/>
    <n v="0"/>
    <n v="0"/>
    <n v="0"/>
    <n v="0"/>
    <n v="0"/>
    <n v="0"/>
    <n v="0"/>
    <n v="0"/>
    <n v="0"/>
    <n v="0"/>
    <n v="0"/>
    <x v="1"/>
    <n v="0"/>
    <s v="MMR001CMP040"/>
    <x v="0"/>
    <x v="1"/>
    <x v="1"/>
    <n v="0"/>
    <m/>
    <m/>
  </r>
  <r>
    <n v="30.766666666666666"/>
    <d v="2013-11-30T00:00:00"/>
    <x v="5"/>
    <s v="KBC"/>
    <s v="Kachin"/>
    <s v="Waingmaw"/>
    <s v="Maina KBC (Bawng Ring)"/>
    <m/>
    <m/>
    <m/>
    <m/>
    <m/>
    <m/>
    <m/>
    <m/>
    <m/>
    <m/>
    <m/>
    <m/>
    <m/>
    <m/>
    <m/>
    <m/>
    <m/>
    <n v="0"/>
    <n v="0"/>
    <n v="0"/>
    <n v="0"/>
    <n v="0"/>
    <n v="0"/>
    <n v="0"/>
    <n v="0"/>
    <n v="0"/>
    <n v="0"/>
    <n v="0"/>
    <n v="0"/>
    <n v="0"/>
    <n v="0"/>
    <x v="0"/>
    <n v="0"/>
    <s v="MMR001CMP040"/>
    <x v="0"/>
    <x v="1"/>
    <x v="1"/>
    <n v="0"/>
    <s v="No"/>
    <m/>
  </r>
  <r>
    <n v="39.733333333333334"/>
    <d v="2013-03-06T00:00:00"/>
    <x v="0"/>
    <s v="UNHCR"/>
    <s v="Kachin"/>
    <s v="Waingmaw"/>
    <s v="Maina KBC (Bawng Ring)"/>
    <m/>
    <m/>
    <n v="34"/>
    <n v="73"/>
    <n v="38"/>
    <n v="73"/>
    <n v="38"/>
    <n v="33"/>
    <n v="33"/>
    <n v="33"/>
    <m/>
    <m/>
    <m/>
    <m/>
    <m/>
    <m/>
    <m/>
    <n v="0"/>
    <n v="0"/>
    <n v="0"/>
    <n v="0"/>
    <n v="0"/>
    <n v="0"/>
    <n v="0"/>
    <n v="0"/>
    <n v="0"/>
    <n v="0"/>
    <n v="0"/>
    <n v="0"/>
    <n v="0"/>
    <n v="0"/>
    <x v="0"/>
    <n v="0"/>
    <s v="MMR001CMP040"/>
    <x v="0"/>
    <x v="1"/>
    <x v="1"/>
    <n v="9.5959595959595953E-2"/>
    <s v="No"/>
    <m/>
  </r>
  <r>
    <n v="40.033333333333331"/>
    <d v="2013-02-25T00:00:00"/>
    <x v="2"/>
    <s v="MRCS"/>
    <s v="Kachin"/>
    <s v="Waingmaw"/>
    <s v="Maina KBC (Bawng Ring)"/>
    <m/>
    <m/>
    <n v="235"/>
    <m/>
    <n v="174"/>
    <m/>
    <n v="61"/>
    <m/>
    <n v="0"/>
    <n v="0"/>
    <m/>
    <m/>
    <m/>
    <m/>
    <m/>
    <m/>
    <m/>
    <n v="0"/>
    <n v="0"/>
    <n v="0"/>
    <n v="0"/>
    <n v="0"/>
    <n v="0"/>
    <n v="0"/>
    <n v="0"/>
    <n v="0"/>
    <n v="0"/>
    <n v="0"/>
    <n v="0"/>
    <n v="0"/>
    <n v="0"/>
    <x v="0"/>
    <n v="0"/>
    <s v="MMR001CMP040"/>
    <x v="0"/>
    <x v="1"/>
    <x v="1"/>
    <n v="0.15404040404040403"/>
    <s v="No"/>
    <m/>
  </r>
  <r>
    <n v="40.866666666666667"/>
    <d v="2013-01-31T00:00:00"/>
    <x v="7"/>
    <s v="World Vision"/>
    <s v="Kachin"/>
    <s v="Waingmaw"/>
    <s v="Maina KBC (Bawng Ring)"/>
    <m/>
    <m/>
    <m/>
    <m/>
    <m/>
    <n v="324"/>
    <m/>
    <m/>
    <n v="0"/>
    <n v="0"/>
    <m/>
    <m/>
    <m/>
    <m/>
    <m/>
    <m/>
    <m/>
    <n v="0"/>
    <n v="0"/>
    <n v="0"/>
    <n v="0"/>
    <n v="0"/>
    <n v="0"/>
    <n v="0"/>
    <n v="0"/>
    <n v="0"/>
    <n v="0"/>
    <n v="0"/>
    <n v="0"/>
    <n v="0"/>
    <n v="0"/>
    <x v="0"/>
    <n v="0"/>
    <s v="MMR001CMP040"/>
    <x v="0"/>
    <x v="1"/>
    <x v="1"/>
    <n v="0"/>
    <s v="No"/>
    <m/>
  </r>
  <r>
    <n v="48.4"/>
    <d v="2012-06-19T00:00:00"/>
    <x v="0"/>
    <s v="UNHCR"/>
    <s v="Kachin"/>
    <s v="Waingmaw"/>
    <s v="Maina KBC (Bawng Ring)"/>
    <m/>
    <m/>
    <m/>
    <n v="32"/>
    <n v="17"/>
    <n v="32"/>
    <n v="17"/>
    <n v="17"/>
    <n v="17"/>
    <n v="17"/>
    <m/>
    <m/>
    <m/>
    <m/>
    <m/>
    <m/>
    <m/>
    <n v="0"/>
    <n v="0"/>
    <n v="0"/>
    <n v="0"/>
    <n v="0"/>
    <n v="0"/>
    <n v="0"/>
    <n v="0"/>
    <n v="0"/>
    <n v="0"/>
    <n v="0"/>
    <n v="0"/>
    <n v="0"/>
    <n v="0"/>
    <x v="0"/>
    <n v="0"/>
    <s v="MMR001CMP040"/>
    <x v="0"/>
    <x v="1"/>
    <x v="1"/>
    <n v="4.2929292929292928E-2"/>
    <s v="No"/>
    <m/>
  </r>
  <r>
    <n v="49.7"/>
    <d v="2012-05-11T00:00:00"/>
    <x v="0"/>
    <s v="UNHCR"/>
    <s v="Kachin"/>
    <s v="Waingmaw"/>
    <s v="Maina KBC (Bawng Ring)"/>
    <m/>
    <m/>
    <m/>
    <n v="50"/>
    <n v="25"/>
    <n v="50"/>
    <n v="24"/>
    <n v="13"/>
    <n v="13"/>
    <n v="13"/>
    <m/>
    <m/>
    <m/>
    <m/>
    <m/>
    <m/>
    <m/>
    <n v="0"/>
    <n v="0"/>
    <n v="0"/>
    <n v="0"/>
    <n v="0"/>
    <n v="0"/>
    <n v="0"/>
    <n v="0"/>
    <n v="0"/>
    <n v="0"/>
    <n v="0"/>
    <n v="0"/>
    <n v="0"/>
    <n v="0"/>
    <x v="0"/>
    <n v="0"/>
    <s v="MMR001CMP040"/>
    <x v="0"/>
    <x v="1"/>
    <x v="1"/>
    <n v="6.0606060606060608E-2"/>
    <s v="No"/>
    <m/>
  </r>
  <r>
    <n v="25.1"/>
    <d v="2014-05-19T00:00:00"/>
    <x v="6"/>
    <s v="MRCS"/>
    <s v="Kachin"/>
    <s v="Waingmaw"/>
    <s v="Maina Lawang Baptist Church"/>
    <m/>
    <m/>
    <m/>
    <m/>
    <m/>
    <m/>
    <m/>
    <m/>
    <m/>
    <m/>
    <m/>
    <m/>
    <m/>
    <n v="230"/>
    <m/>
    <m/>
    <m/>
    <n v="0"/>
    <n v="0"/>
    <n v="0"/>
    <n v="0"/>
    <n v="0"/>
    <n v="0"/>
    <n v="0"/>
    <n v="0"/>
    <n v="0"/>
    <n v="0"/>
    <n v="0"/>
    <n v="0"/>
    <n v="0"/>
    <n v="0"/>
    <x v="1"/>
    <n v="0"/>
    <s v="MMR001CMP039"/>
    <x v="0"/>
    <x v="1"/>
    <x v="1"/>
    <n v="0"/>
    <m/>
    <m/>
  </r>
  <r>
    <n v="30.1"/>
    <d v="2013-12-20T00:00:00"/>
    <x v="5"/>
    <s v="KBC"/>
    <s v="Kachin"/>
    <s v="Waingmaw"/>
    <s v="Maina Lawang Baptist Church"/>
    <m/>
    <m/>
    <m/>
    <m/>
    <m/>
    <m/>
    <m/>
    <m/>
    <m/>
    <m/>
    <n v="47"/>
    <n v="85"/>
    <n v="264"/>
    <n v="132"/>
    <m/>
    <m/>
    <m/>
    <n v="0"/>
    <n v="0"/>
    <n v="0"/>
    <n v="0"/>
    <n v="0"/>
    <n v="0"/>
    <n v="0"/>
    <n v="0"/>
    <n v="0"/>
    <n v="0"/>
    <n v="0"/>
    <n v="0"/>
    <n v="0"/>
    <n v="0"/>
    <x v="1"/>
    <n v="0"/>
    <s v="MMR001CMP039"/>
    <x v="0"/>
    <x v="1"/>
    <x v="1"/>
    <n v="0"/>
    <m/>
    <m/>
  </r>
  <r>
    <n v="30.766666666666666"/>
    <d v="2013-11-30T00:00:00"/>
    <x v="5"/>
    <s v="KBC"/>
    <s v="Kachin"/>
    <s v="Waingmaw"/>
    <s v="Maina Lawang Baptist Church"/>
    <m/>
    <m/>
    <m/>
    <m/>
    <m/>
    <m/>
    <m/>
    <m/>
    <m/>
    <m/>
    <m/>
    <m/>
    <m/>
    <m/>
    <m/>
    <m/>
    <m/>
    <n v="0"/>
    <n v="0"/>
    <n v="0"/>
    <n v="0"/>
    <n v="0"/>
    <n v="0"/>
    <n v="0"/>
    <n v="0"/>
    <n v="0"/>
    <n v="0"/>
    <n v="0"/>
    <n v="0"/>
    <n v="0"/>
    <n v="0"/>
    <x v="0"/>
    <n v="0"/>
    <s v="MMR001CMP039"/>
    <x v="0"/>
    <x v="1"/>
    <x v="1"/>
    <n v="0"/>
    <s v="No"/>
    <m/>
  </r>
  <r>
    <n v="40.866666666666667"/>
    <d v="2013-01-31T00:00:00"/>
    <x v="7"/>
    <s v="World Vision"/>
    <s v="Kachin"/>
    <s v="Waingmaw"/>
    <s v="Maina Lawang Baptist Church"/>
    <m/>
    <m/>
    <m/>
    <m/>
    <m/>
    <n v="94"/>
    <m/>
    <m/>
    <n v="0"/>
    <n v="0"/>
    <m/>
    <m/>
    <m/>
    <m/>
    <m/>
    <m/>
    <m/>
    <n v="0"/>
    <n v="0"/>
    <n v="0"/>
    <n v="0"/>
    <n v="0"/>
    <n v="0"/>
    <n v="0"/>
    <n v="0"/>
    <n v="0"/>
    <n v="0"/>
    <n v="0"/>
    <n v="0"/>
    <n v="0"/>
    <n v="0"/>
    <x v="0"/>
    <n v="0"/>
    <s v="MMR001CMP039"/>
    <x v="0"/>
    <x v="1"/>
    <x v="1"/>
    <n v="0"/>
    <s v="No"/>
    <m/>
  </r>
  <r>
    <n v="47.6"/>
    <d v="2012-07-13T00:00:00"/>
    <x v="0"/>
    <s v="UNHCR"/>
    <s v="Kachin"/>
    <s v="Waingmaw"/>
    <s v="Maina Lawang Baptist Church"/>
    <m/>
    <m/>
    <m/>
    <n v="6"/>
    <n v="6"/>
    <n v="6"/>
    <n v="6"/>
    <n v="6"/>
    <n v="6"/>
    <n v="6"/>
    <m/>
    <m/>
    <m/>
    <m/>
    <m/>
    <m/>
    <m/>
    <n v="0"/>
    <n v="0"/>
    <n v="0"/>
    <n v="0"/>
    <n v="0"/>
    <n v="0"/>
    <n v="0"/>
    <n v="0"/>
    <n v="0"/>
    <n v="0"/>
    <n v="0"/>
    <n v="0"/>
    <n v="0"/>
    <n v="0"/>
    <x v="0"/>
    <n v="0"/>
    <s v="MMR001CMP039"/>
    <x v="0"/>
    <x v="1"/>
    <x v="1"/>
    <n v="0.13043478260869565"/>
    <s v="No"/>
    <m/>
  </r>
  <r>
    <n v="53.666666666666664"/>
    <d v="2012-01-13T00:00:00"/>
    <x v="0"/>
    <s v="UNHCR"/>
    <s v="Kachin"/>
    <s v="Waingmaw"/>
    <s v="Maina Lawang Baptist Church"/>
    <m/>
    <m/>
    <m/>
    <n v="35"/>
    <n v="17"/>
    <n v="35"/>
    <n v="17"/>
    <n v="17"/>
    <n v="17"/>
    <n v="17"/>
    <m/>
    <m/>
    <m/>
    <m/>
    <m/>
    <m/>
    <m/>
    <n v="0"/>
    <n v="0"/>
    <n v="0"/>
    <n v="0"/>
    <n v="0"/>
    <n v="0"/>
    <n v="0"/>
    <n v="0"/>
    <n v="0"/>
    <n v="0"/>
    <n v="0"/>
    <n v="0"/>
    <n v="0"/>
    <n v="0"/>
    <x v="0"/>
    <n v="0"/>
    <s v="MMR001CMP039"/>
    <x v="0"/>
    <x v="1"/>
    <x v="1"/>
    <n v="0.36956521739130432"/>
    <s v="No"/>
    <m/>
  </r>
  <r>
    <n v="53.93333333333333"/>
    <d v="2012-01-05T00:00:00"/>
    <x v="0"/>
    <s v="KBC"/>
    <s v="Kachin"/>
    <s v="Waingmaw"/>
    <s v="Maina Lawang Baptist Church"/>
    <m/>
    <m/>
    <m/>
    <n v="52"/>
    <n v="29"/>
    <n v="52"/>
    <n v="29"/>
    <n v="29"/>
    <n v="29"/>
    <n v="29"/>
    <m/>
    <m/>
    <m/>
    <m/>
    <m/>
    <m/>
    <m/>
    <n v="0"/>
    <n v="0"/>
    <n v="0"/>
    <n v="0"/>
    <n v="0"/>
    <n v="0"/>
    <n v="0"/>
    <n v="0"/>
    <n v="0"/>
    <n v="0"/>
    <n v="0"/>
    <n v="0"/>
    <n v="0"/>
    <n v="0"/>
    <x v="0"/>
    <n v="0"/>
    <s v="MMR001CMP039"/>
    <x v="0"/>
    <x v="1"/>
    <x v="1"/>
    <n v="0.63043478260869568"/>
    <s v="No"/>
    <m/>
  </r>
  <r>
    <n v="23.4"/>
    <d v="2014-07-09T00:00:00"/>
    <x v="0"/>
    <m/>
    <s v="Kachin"/>
    <s v="Mansi"/>
    <s v="Maing Khaung"/>
    <m/>
    <m/>
    <m/>
    <m/>
    <m/>
    <n v="10"/>
    <m/>
    <m/>
    <m/>
    <m/>
    <m/>
    <m/>
    <m/>
    <m/>
    <m/>
    <m/>
    <m/>
    <n v="0"/>
    <n v="0"/>
    <n v="0"/>
    <n v="0"/>
    <n v="0"/>
    <n v="0"/>
    <n v="0"/>
    <n v="0"/>
    <n v="0"/>
    <n v="0"/>
    <n v="0"/>
    <n v="0"/>
    <n v="0"/>
    <n v="0"/>
    <x v="0"/>
    <n v="0"/>
    <s v="MMR001CMP218"/>
    <x v="0"/>
    <x v="1"/>
    <x v="1"/>
    <n v="0"/>
    <m/>
    <m/>
  </r>
  <r>
    <n v="23.6"/>
    <d v="2014-07-03T00:00:00"/>
    <x v="0"/>
    <m/>
    <s v="Kachin"/>
    <s v="Mansi"/>
    <s v="Maing Khaung"/>
    <m/>
    <m/>
    <m/>
    <m/>
    <m/>
    <n v="9"/>
    <m/>
    <m/>
    <n v="19"/>
    <n v="1"/>
    <m/>
    <m/>
    <m/>
    <m/>
    <m/>
    <m/>
    <m/>
    <n v="0"/>
    <n v="0"/>
    <n v="0"/>
    <n v="0"/>
    <n v="0"/>
    <n v="0"/>
    <n v="0"/>
    <n v="0"/>
    <n v="0"/>
    <n v="0"/>
    <n v="0"/>
    <n v="0"/>
    <n v="0"/>
    <n v="0"/>
    <x v="0"/>
    <n v="0"/>
    <s v="MMR001CMP218"/>
    <x v="0"/>
    <x v="1"/>
    <x v="1"/>
    <n v="0"/>
    <m/>
    <m/>
  </r>
  <r>
    <n v="23.666666666666668"/>
    <d v="2014-07-01T00:00:00"/>
    <x v="0"/>
    <m/>
    <s v="Kachin"/>
    <s v="Mansi"/>
    <s v="Maing Khaung"/>
    <m/>
    <m/>
    <m/>
    <m/>
    <n v="19"/>
    <m/>
    <n v="19"/>
    <m/>
    <m/>
    <n v="100"/>
    <m/>
    <m/>
    <m/>
    <m/>
    <m/>
    <m/>
    <m/>
    <n v="0"/>
    <n v="0"/>
    <n v="0"/>
    <n v="0"/>
    <n v="0"/>
    <n v="0"/>
    <n v="0"/>
    <n v="0"/>
    <n v="0"/>
    <n v="0"/>
    <n v="0"/>
    <n v="0"/>
    <n v="0"/>
    <n v="0"/>
    <x v="0"/>
    <n v="0"/>
    <s v="MMR001CMP218"/>
    <x v="0"/>
    <x v="1"/>
    <x v="1"/>
    <n v="5.2054794520547946E-2"/>
    <m/>
    <m/>
  </r>
  <r>
    <n v="24.133333333333333"/>
    <d v="2014-06-17T00:00:00"/>
    <x v="0"/>
    <m/>
    <s v="Kachin"/>
    <s v="Mansi"/>
    <s v="Maing Khaung"/>
    <m/>
    <m/>
    <m/>
    <n v="10"/>
    <n v="3"/>
    <n v="10"/>
    <n v="3"/>
    <m/>
    <n v="3"/>
    <n v="10"/>
    <m/>
    <m/>
    <m/>
    <m/>
    <m/>
    <m/>
    <m/>
    <n v="0"/>
    <n v="0"/>
    <n v="0"/>
    <n v="0"/>
    <n v="0"/>
    <n v="0"/>
    <n v="0"/>
    <n v="0"/>
    <n v="0"/>
    <n v="0"/>
    <n v="0"/>
    <n v="0"/>
    <n v="0"/>
    <n v="0"/>
    <x v="0"/>
    <n v="0"/>
    <s v="MMR001CMP218"/>
    <x v="0"/>
    <x v="1"/>
    <x v="1"/>
    <n v="8.21917808219178E-3"/>
    <m/>
    <m/>
  </r>
  <r>
    <n v="24.266666666666666"/>
    <d v="2014-06-13T00:00:00"/>
    <x v="0"/>
    <m/>
    <s v="Kachin"/>
    <s v="Mansi"/>
    <s v="Maing Khaung"/>
    <m/>
    <m/>
    <m/>
    <n v="54"/>
    <n v="18"/>
    <n v="45"/>
    <n v="18"/>
    <m/>
    <n v="18"/>
    <n v="50"/>
    <m/>
    <m/>
    <m/>
    <m/>
    <m/>
    <m/>
    <m/>
    <n v="0"/>
    <n v="0"/>
    <n v="0"/>
    <n v="0"/>
    <n v="0"/>
    <n v="0"/>
    <n v="0"/>
    <n v="0"/>
    <n v="0"/>
    <n v="0"/>
    <n v="0"/>
    <n v="0"/>
    <n v="0"/>
    <n v="0"/>
    <x v="0"/>
    <n v="0"/>
    <s v="MMR001CMP218"/>
    <x v="0"/>
    <x v="1"/>
    <x v="1"/>
    <n v="4.9315068493150684E-2"/>
    <m/>
    <m/>
  </r>
  <r>
    <n v="25.233333333333334"/>
    <d v="2014-05-15T00:00:00"/>
    <x v="0"/>
    <s v="UNHCR"/>
    <s v="Kachin"/>
    <s v="Mansi"/>
    <s v="Maing Khaung"/>
    <m/>
    <m/>
    <n v="10"/>
    <n v="10"/>
    <n v="5"/>
    <n v="15"/>
    <n v="5"/>
    <n v="5"/>
    <n v="5"/>
    <n v="20"/>
    <m/>
    <m/>
    <m/>
    <m/>
    <m/>
    <m/>
    <m/>
    <n v="0"/>
    <n v="0"/>
    <n v="0"/>
    <n v="0"/>
    <n v="0"/>
    <n v="0"/>
    <n v="0"/>
    <n v="0"/>
    <n v="0"/>
    <n v="0"/>
    <n v="0"/>
    <n v="0"/>
    <n v="0"/>
    <n v="0"/>
    <x v="0"/>
    <n v="0"/>
    <s v="MMR001CMP218"/>
    <x v="0"/>
    <x v="1"/>
    <x v="1"/>
    <n v="1.3698630136986301E-2"/>
    <s v="No"/>
    <m/>
  </r>
  <r>
    <n v="26.5"/>
    <d v="2014-04-07T00:00:00"/>
    <x v="6"/>
    <s v="MRCS"/>
    <s v="Kachin"/>
    <s v="Mansi"/>
    <s v="Maing Khaung"/>
    <m/>
    <m/>
    <m/>
    <m/>
    <m/>
    <m/>
    <m/>
    <m/>
    <m/>
    <m/>
    <m/>
    <m/>
    <m/>
    <n v="478"/>
    <m/>
    <m/>
    <m/>
    <n v="0"/>
    <n v="0"/>
    <n v="0"/>
    <n v="0"/>
    <n v="0"/>
    <n v="0"/>
    <n v="0"/>
    <n v="0"/>
    <n v="0"/>
    <n v="0"/>
    <n v="0"/>
    <n v="0"/>
    <n v="0"/>
    <n v="0"/>
    <x v="1"/>
    <n v="0"/>
    <s v="MMR001CMP218"/>
    <x v="0"/>
    <x v="1"/>
    <x v="1"/>
    <n v="0"/>
    <m/>
    <m/>
  </r>
  <r>
    <n v="28.766666666666666"/>
    <d v="2014-01-29T00:00:00"/>
    <x v="0"/>
    <s v="UNHCR"/>
    <s v="Kachin"/>
    <s v="Mansi"/>
    <s v="Maing Khaung"/>
    <m/>
    <m/>
    <m/>
    <n v="100"/>
    <n v="58"/>
    <n v="100"/>
    <n v="58"/>
    <m/>
    <n v="58"/>
    <n v="290"/>
    <m/>
    <m/>
    <m/>
    <m/>
    <m/>
    <m/>
    <m/>
    <n v="0"/>
    <n v="0"/>
    <n v="0"/>
    <n v="0"/>
    <n v="0"/>
    <n v="0"/>
    <n v="0"/>
    <n v="0"/>
    <n v="0"/>
    <n v="0"/>
    <n v="0"/>
    <n v="0"/>
    <n v="0"/>
    <n v="0"/>
    <x v="0"/>
    <n v="0"/>
    <s v="MMR001CMP218"/>
    <x v="0"/>
    <x v="1"/>
    <x v="1"/>
    <n v="0.15890410958904111"/>
    <s v="No"/>
    <m/>
  </r>
  <r>
    <n v="35.866666666666667"/>
    <d v="2013-06-30T00:00:00"/>
    <x v="0"/>
    <m/>
    <s v="Kachin"/>
    <s v="Mansi"/>
    <s v="Maing Khaung"/>
    <m/>
    <m/>
    <m/>
    <m/>
    <m/>
    <n v="9"/>
    <m/>
    <m/>
    <n v="19"/>
    <n v="1"/>
    <m/>
    <m/>
    <m/>
    <m/>
    <m/>
    <m/>
    <m/>
    <n v="0"/>
    <n v="0"/>
    <n v="0"/>
    <n v="0"/>
    <n v="0"/>
    <n v="0"/>
    <n v="0"/>
    <n v="0"/>
    <n v="0"/>
    <n v="0"/>
    <n v="0"/>
    <n v="0"/>
    <n v="0"/>
    <n v="0"/>
    <x v="0"/>
    <n v="0"/>
    <s v="MMR001CMP218"/>
    <x v="0"/>
    <x v="1"/>
    <x v="1"/>
    <n v="0"/>
    <m/>
    <m/>
  </r>
  <r>
    <n v="35.9"/>
    <d v="2013-06-29T00:00:00"/>
    <x v="0"/>
    <m/>
    <s v="Kachin"/>
    <s v="Mansi"/>
    <s v="Maing Khaung"/>
    <m/>
    <m/>
    <m/>
    <m/>
    <n v="19"/>
    <m/>
    <n v="19"/>
    <m/>
    <m/>
    <n v="100"/>
    <m/>
    <m/>
    <m/>
    <m/>
    <m/>
    <m/>
    <m/>
    <n v="0"/>
    <n v="0"/>
    <n v="0"/>
    <n v="0"/>
    <n v="0"/>
    <n v="0"/>
    <n v="0"/>
    <n v="0"/>
    <n v="0"/>
    <n v="0"/>
    <n v="0"/>
    <n v="0"/>
    <n v="0"/>
    <n v="0"/>
    <x v="0"/>
    <n v="0"/>
    <s v="MMR001CMP218"/>
    <x v="0"/>
    <x v="1"/>
    <x v="1"/>
    <n v="5.2054794520547946E-2"/>
    <m/>
    <m/>
  </r>
  <r>
    <n v="35.93333333333333"/>
    <d v="2013-06-28T00:00:00"/>
    <x v="0"/>
    <m/>
    <s v="Kachin"/>
    <s v="Mansi"/>
    <s v="Maing Khaung"/>
    <m/>
    <m/>
    <m/>
    <n v="10"/>
    <n v="3"/>
    <n v="10"/>
    <n v="3"/>
    <m/>
    <n v="3"/>
    <n v="10"/>
    <m/>
    <m/>
    <m/>
    <m/>
    <m/>
    <m/>
    <m/>
    <n v="0"/>
    <n v="0"/>
    <n v="0"/>
    <n v="0"/>
    <n v="0"/>
    <n v="0"/>
    <n v="0"/>
    <n v="0"/>
    <n v="0"/>
    <n v="0"/>
    <n v="0"/>
    <n v="0"/>
    <n v="0"/>
    <n v="0"/>
    <x v="0"/>
    <n v="0"/>
    <s v="MMR001CMP218"/>
    <x v="0"/>
    <x v="1"/>
    <x v="1"/>
    <n v="8.21917808219178E-3"/>
    <m/>
    <m/>
  </r>
  <r>
    <n v="35.966666666666669"/>
    <d v="2013-06-27T00:00:00"/>
    <x v="0"/>
    <m/>
    <s v="Kachin"/>
    <s v="Mansi"/>
    <s v="Maing Khaung"/>
    <m/>
    <m/>
    <m/>
    <n v="54"/>
    <n v="18"/>
    <n v="45"/>
    <n v="18"/>
    <m/>
    <n v="18"/>
    <n v="50"/>
    <m/>
    <m/>
    <m/>
    <m/>
    <m/>
    <m/>
    <m/>
    <n v="0"/>
    <n v="0"/>
    <n v="0"/>
    <n v="0"/>
    <n v="0"/>
    <n v="0"/>
    <n v="0"/>
    <n v="0"/>
    <n v="0"/>
    <n v="0"/>
    <n v="0"/>
    <n v="0"/>
    <n v="0"/>
    <n v="0"/>
    <x v="0"/>
    <n v="0"/>
    <s v="MMR001CMP218"/>
    <x v="0"/>
    <x v="1"/>
    <x v="1"/>
    <n v="4.9315068493150684E-2"/>
    <m/>
    <m/>
  </r>
  <r>
    <n v="22.533333333333335"/>
    <d v="2014-08-04T00:00:00"/>
    <x v="0"/>
    <m/>
    <s v="Kachin"/>
    <s v="Mansi"/>
    <s v="Maing Khaung Catholic Church"/>
    <m/>
    <m/>
    <m/>
    <m/>
    <m/>
    <m/>
    <m/>
    <m/>
    <n v="2"/>
    <m/>
    <m/>
    <m/>
    <m/>
    <m/>
    <m/>
    <m/>
    <m/>
    <n v="0"/>
    <n v="0"/>
    <n v="0"/>
    <n v="0"/>
    <n v="0"/>
    <n v="0"/>
    <n v="0"/>
    <n v="0"/>
    <n v="0"/>
    <n v="0"/>
    <n v="0"/>
    <n v="0"/>
    <n v="0"/>
    <n v="0"/>
    <x v="0"/>
    <n v="0"/>
    <s v="MMR001CMP223"/>
    <x v="0"/>
    <x v="1"/>
    <x v="1"/>
    <n v="0"/>
    <m/>
    <m/>
  </r>
  <r>
    <n v="23.4"/>
    <d v="2014-07-09T00:00:00"/>
    <x v="0"/>
    <m/>
    <s v="Kachin"/>
    <s v="Mansi"/>
    <s v="Maing Khaung Catholic Church"/>
    <m/>
    <m/>
    <m/>
    <n v="35"/>
    <n v="13"/>
    <n v="70"/>
    <n v="13"/>
    <m/>
    <n v="13"/>
    <n v="25"/>
    <m/>
    <m/>
    <m/>
    <m/>
    <m/>
    <m/>
    <m/>
    <n v="0"/>
    <n v="0"/>
    <n v="0"/>
    <n v="0"/>
    <n v="0"/>
    <n v="0"/>
    <n v="0"/>
    <n v="0"/>
    <n v="0"/>
    <n v="0"/>
    <n v="0"/>
    <n v="0"/>
    <n v="0"/>
    <n v="0"/>
    <x v="0"/>
    <n v="0"/>
    <s v="MMR001CMP223"/>
    <x v="0"/>
    <x v="1"/>
    <x v="1"/>
    <n v="0.10569105691056911"/>
    <m/>
    <m/>
  </r>
  <r>
    <n v="23.6"/>
    <d v="2014-07-03T00:00:00"/>
    <x v="0"/>
    <m/>
    <s v="Kachin"/>
    <s v="Mansi"/>
    <s v="Maing Khaung Catholic Church"/>
    <m/>
    <m/>
    <m/>
    <n v="50"/>
    <n v="15"/>
    <m/>
    <n v="15"/>
    <m/>
    <n v="15"/>
    <n v="60"/>
    <m/>
    <m/>
    <m/>
    <m/>
    <m/>
    <m/>
    <m/>
    <n v="0"/>
    <n v="0"/>
    <n v="0"/>
    <n v="0"/>
    <n v="0"/>
    <n v="0"/>
    <n v="0"/>
    <n v="0"/>
    <n v="0"/>
    <n v="0"/>
    <n v="0"/>
    <n v="0"/>
    <n v="0"/>
    <n v="0"/>
    <x v="0"/>
    <n v="0"/>
    <s v="MMR001CMP223"/>
    <x v="0"/>
    <x v="1"/>
    <x v="1"/>
    <n v="0.12195121951219512"/>
    <m/>
    <m/>
  </r>
  <r>
    <n v="26.5"/>
    <d v="2014-04-07T00:00:00"/>
    <x v="6"/>
    <s v="MRCS"/>
    <s v="Kachin"/>
    <s v="Mansi"/>
    <s v="Maing Khaung Catholic Church"/>
    <m/>
    <m/>
    <m/>
    <m/>
    <m/>
    <m/>
    <m/>
    <m/>
    <m/>
    <m/>
    <m/>
    <m/>
    <m/>
    <n v="158"/>
    <m/>
    <m/>
    <m/>
    <n v="0"/>
    <n v="0"/>
    <n v="0"/>
    <n v="0"/>
    <n v="0"/>
    <n v="0"/>
    <n v="0"/>
    <n v="0"/>
    <n v="0"/>
    <n v="0"/>
    <n v="0"/>
    <n v="0"/>
    <n v="0"/>
    <n v="0"/>
    <x v="1"/>
    <n v="0"/>
    <s v="MMR001CMP223"/>
    <x v="0"/>
    <x v="1"/>
    <x v="1"/>
    <n v="0"/>
    <m/>
    <m/>
  </r>
  <r>
    <n v="28.8"/>
    <d v="2014-01-28T00:00:00"/>
    <x v="0"/>
    <m/>
    <s v="Kachin"/>
    <s v="Mansi"/>
    <s v="Maing Khaung Catholic Church"/>
    <m/>
    <m/>
    <m/>
    <n v="18"/>
    <n v="10"/>
    <n v="18"/>
    <n v="40"/>
    <m/>
    <n v="10"/>
    <n v="50"/>
    <m/>
    <m/>
    <m/>
    <m/>
    <m/>
    <m/>
    <m/>
    <n v="0"/>
    <n v="0"/>
    <n v="0"/>
    <n v="0"/>
    <n v="0"/>
    <n v="0"/>
    <n v="0"/>
    <n v="0"/>
    <n v="0"/>
    <n v="0"/>
    <n v="0"/>
    <n v="0"/>
    <n v="0"/>
    <n v="0"/>
    <x v="0"/>
    <n v="0"/>
    <s v="MMR001CMP223"/>
    <x v="0"/>
    <x v="1"/>
    <x v="1"/>
    <n v="0.32520325203252032"/>
    <m/>
    <m/>
  </r>
  <r>
    <n v="35.866666666666667"/>
    <d v="2013-06-30T00:00:00"/>
    <x v="0"/>
    <m/>
    <s v="Kachin"/>
    <s v="Mansi"/>
    <s v="Maing Khaung Catholic Church"/>
    <m/>
    <m/>
    <m/>
    <n v="50"/>
    <n v="15"/>
    <m/>
    <n v="15"/>
    <m/>
    <n v="15"/>
    <n v="60"/>
    <m/>
    <m/>
    <m/>
    <m/>
    <m/>
    <m/>
    <m/>
    <n v="0"/>
    <n v="0"/>
    <n v="0"/>
    <n v="0"/>
    <n v="0"/>
    <n v="0"/>
    <n v="0"/>
    <n v="0"/>
    <n v="0"/>
    <n v="0"/>
    <n v="0"/>
    <n v="0"/>
    <n v="0"/>
    <n v="0"/>
    <x v="0"/>
    <n v="0"/>
    <s v="MMR001CMP223"/>
    <x v="0"/>
    <x v="1"/>
    <x v="1"/>
    <n v="0.12195121951219512"/>
    <m/>
    <m/>
  </r>
  <r>
    <n v="25.066666666666666"/>
    <d v="2014-05-20T00:00:00"/>
    <x v="6"/>
    <s v="MRCS"/>
    <s v="Kachin"/>
    <s v="Myitkyina"/>
    <s v="Maliyang Baptist Church"/>
    <m/>
    <m/>
    <m/>
    <m/>
    <m/>
    <m/>
    <m/>
    <m/>
    <m/>
    <m/>
    <m/>
    <m/>
    <m/>
    <n v="142"/>
    <m/>
    <m/>
    <m/>
    <n v="0"/>
    <n v="0"/>
    <n v="0"/>
    <n v="0"/>
    <n v="0"/>
    <n v="0"/>
    <n v="0"/>
    <n v="0"/>
    <n v="0"/>
    <n v="0"/>
    <n v="0"/>
    <n v="0"/>
    <n v="0"/>
    <n v="0"/>
    <x v="1"/>
    <n v="0"/>
    <s v="MMR001CMP016"/>
    <x v="0"/>
    <x v="1"/>
    <x v="1"/>
    <n v="0"/>
    <m/>
    <m/>
  </r>
  <r>
    <n v="34.6"/>
    <d v="2013-08-07T00:00:00"/>
    <x v="0"/>
    <s v="UNHCR"/>
    <s v="Kachin"/>
    <s v="Myitkyina"/>
    <s v="Maliyang Baptist Church"/>
    <m/>
    <m/>
    <n v="15"/>
    <n v="25"/>
    <n v="11"/>
    <n v="25"/>
    <n v="11"/>
    <n v="11"/>
    <n v="11"/>
    <n v="11"/>
    <m/>
    <m/>
    <m/>
    <m/>
    <m/>
    <m/>
    <m/>
    <n v="0"/>
    <n v="0"/>
    <n v="0"/>
    <n v="0"/>
    <n v="0"/>
    <n v="0"/>
    <n v="0"/>
    <n v="0"/>
    <n v="0"/>
    <n v="0"/>
    <n v="0"/>
    <n v="0"/>
    <n v="0"/>
    <n v="0"/>
    <x v="0"/>
    <n v="0"/>
    <s v="MMR001CMP016"/>
    <x v="0"/>
    <x v="1"/>
    <x v="1"/>
    <n v="0.18333333333333332"/>
    <s v="No"/>
    <m/>
  </r>
  <r>
    <n v="46.1"/>
    <d v="2012-08-27T00:00:00"/>
    <x v="0"/>
    <s v="UNHCR"/>
    <s v="Kachin"/>
    <s v="Myitkyina"/>
    <s v="Maliyang Baptist Church"/>
    <m/>
    <m/>
    <m/>
    <n v="2"/>
    <n v="1"/>
    <n v="2"/>
    <n v="1"/>
    <n v="1"/>
    <n v="1"/>
    <n v="1"/>
    <m/>
    <m/>
    <m/>
    <m/>
    <m/>
    <m/>
    <m/>
    <n v="0"/>
    <n v="0"/>
    <n v="0"/>
    <n v="0"/>
    <n v="0"/>
    <n v="0"/>
    <n v="0"/>
    <n v="0"/>
    <n v="0"/>
    <n v="0"/>
    <n v="0"/>
    <n v="0"/>
    <n v="0"/>
    <n v="0"/>
    <x v="0"/>
    <n v="0"/>
    <s v="MMR001CMP016"/>
    <x v="0"/>
    <x v="1"/>
    <x v="1"/>
    <n v="1.6666666666666666E-2"/>
    <s v="No"/>
    <m/>
  </r>
  <r>
    <n v="46.7"/>
    <d v="2012-08-09T00:00:00"/>
    <x v="0"/>
    <s v="UNHCR"/>
    <s v="Kachin"/>
    <s v="Myitkyina"/>
    <s v="Maliyang Baptist Church"/>
    <m/>
    <m/>
    <m/>
    <n v="2"/>
    <n v="1"/>
    <n v="2"/>
    <n v="1"/>
    <n v="1"/>
    <n v="1"/>
    <n v="1"/>
    <m/>
    <m/>
    <m/>
    <m/>
    <m/>
    <m/>
    <m/>
    <n v="0"/>
    <n v="0"/>
    <n v="0"/>
    <n v="0"/>
    <n v="0"/>
    <n v="0"/>
    <n v="0"/>
    <n v="0"/>
    <n v="0"/>
    <n v="0"/>
    <n v="0"/>
    <n v="0"/>
    <n v="0"/>
    <n v="0"/>
    <x v="0"/>
    <n v="0"/>
    <s v="MMR001CMP016"/>
    <x v="0"/>
    <x v="1"/>
    <x v="1"/>
    <n v="1.6666666666666666E-2"/>
    <s v="No"/>
    <m/>
  </r>
  <r>
    <n v="47.266666666666666"/>
    <d v="2012-07-23T00:00:00"/>
    <x v="0"/>
    <s v="UNHCR"/>
    <s v="Kachin"/>
    <s v="Myitkyina"/>
    <s v="Maliyang Baptist Church"/>
    <m/>
    <m/>
    <m/>
    <n v="72"/>
    <n v="39"/>
    <n v="72"/>
    <n v="39"/>
    <n v="39"/>
    <n v="39"/>
    <n v="39"/>
    <m/>
    <m/>
    <m/>
    <m/>
    <m/>
    <m/>
    <m/>
    <n v="0"/>
    <n v="0"/>
    <n v="0"/>
    <n v="0"/>
    <n v="0"/>
    <n v="0"/>
    <n v="0"/>
    <n v="0"/>
    <n v="0"/>
    <n v="0"/>
    <n v="0"/>
    <n v="0"/>
    <n v="0"/>
    <n v="0"/>
    <x v="0"/>
    <n v="0"/>
    <s v="MMR001CMP016"/>
    <x v="0"/>
    <x v="1"/>
    <x v="1"/>
    <n v="0.65"/>
    <s v="No"/>
    <m/>
  </r>
  <r>
    <n v="47.5"/>
    <d v="2012-07-16T00:00:00"/>
    <x v="0"/>
    <s v="UNHCR"/>
    <s v="Kachin"/>
    <s v="Myitkyina"/>
    <s v="Maliyang Baptist Church"/>
    <m/>
    <m/>
    <m/>
    <n v="3"/>
    <n v="3"/>
    <n v="3"/>
    <n v="3"/>
    <n v="3"/>
    <n v="3"/>
    <n v="3"/>
    <m/>
    <m/>
    <m/>
    <m/>
    <m/>
    <m/>
    <m/>
    <n v="0"/>
    <n v="0"/>
    <n v="0"/>
    <n v="0"/>
    <n v="0"/>
    <n v="0"/>
    <n v="0"/>
    <n v="0"/>
    <n v="0"/>
    <n v="0"/>
    <n v="0"/>
    <n v="0"/>
    <n v="0"/>
    <n v="0"/>
    <x v="0"/>
    <n v="0"/>
    <s v="MMR001CMP016"/>
    <x v="0"/>
    <x v="1"/>
    <x v="1"/>
    <n v="0.05"/>
    <s v="No"/>
    <m/>
  </r>
  <r>
    <n v="55.666666666666664"/>
    <d v="2011-11-14T00:00:00"/>
    <x v="0"/>
    <s v="KBC"/>
    <s v="Kachin"/>
    <s v="Myitkyina"/>
    <s v="Maliyang Baptist Church"/>
    <m/>
    <m/>
    <m/>
    <n v="57"/>
    <n v="30"/>
    <n v="57"/>
    <n v="30"/>
    <n v="30"/>
    <n v="30"/>
    <n v="30"/>
    <m/>
    <m/>
    <m/>
    <m/>
    <m/>
    <m/>
    <m/>
    <n v="0"/>
    <n v="0"/>
    <n v="0"/>
    <n v="0"/>
    <n v="0"/>
    <n v="0"/>
    <n v="0"/>
    <n v="0"/>
    <n v="0"/>
    <n v="0"/>
    <n v="0"/>
    <n v="0"/>
    <n v="0"/>
    <n v="0"/>
    <x v="0"/>
    <n v="0"/>
    <s v="MMR001CMP016"/>
    <x v="0"/>
    <x v="1"/>
    <x v="1"/>
    <n v="0.5"/>
    <s v="No"/>
    <m/>
  </r>
  <r>
    <n v="13.133333333333333"/>
    <d v="2015-05-13T00:00:00"/>
    <x v="0"/>
    <s v="KMSS-BMO"/>
    <s v="Kachin"/>
    <s v="Momauk"/>
    <s v="Man Bung Catholic compound"/>
    <m/>
    <m/>
    <m/>
    <m/>
    <m/>
    <n v="28"/>
    <m/>
    <m/>
    <m/>
    <m/>
    <m/>
    <m/>
    <m/>
    <m/>
    <m/>
    <m/>
    <m/>
    <n v="0"/>
    <n v="0"/>
    <n v="0"/>
    <n v="0"/>
    <n v="0"/>
    <n v="0"/>
    <n v="0"/>
    <n v="0"/>
    <n v="0"/>
    <n v="0"/>
    <n v="0"/>
    <n v="0"/>
    <n v="0"/>
    <n v="0"/>
    <x v="0"/>
    <n v="0"/>
    <s v="MMR001CMP062"/>
    <x v="0"/>
    <x v="1"/>
    <x v="1"/>
    <n v="0"/>
    <s v="No"/>
    <m/>
  </r>
  <r>
    <n v="20.233333333333334"/>
    <d v="2014-10-12T00:00:00"/>
    <x v="0"/>
    <m/>
    <s v="Kachin"/>
    <s v="Momauk"/>
    <s v="Man Bung Catholic compound"/>
    <m/>
    <m/>
    <m/>
    <m/>
    <n v="25"/>
    <m/>
    <m/>
    <m/>
    <m/>
    <m/>
    <m/>
    <m/>
    <m/>
    <m/>
    <m/>
    <m/>
    <m/>
    <n v="0"/>
    <n v="0"/>
    <n v="0"/>
    <n v="0"/>
    <n v="0"/>
    <n v="0"/>
    <n v="0"/>
    <n v="0"/>
    <n v="0"/>
    <n v="0"/>
    <n v="0"/>
    <n v="0"/>
    <n v="0"/>
    <n v="0"/>
    <x v="0"/>
    <n v="0"/>
    <s v="MMR001CMP062"/>
    <x v="0"/>
    <x v="1"/>
    <x v="1"/>
    <n v="0"/>
    <m/>
    <m/>
  </r>
  <r>
    <n v="30.766666666666666"/>
    <d v="2013-11-30T00:00:00"/>
    <x v="5"/>
    <m/>
    <s v="Kachin"/>
    <s v="Momauk"/>
    <s v="Man Bung Catholic compound"/>
    <m/>
    <m/>
    <m/>
    <m/>
    <m/>
    <m/>
    <m/>
    <m/>
    <m/>
    <n v="141"/>
    <m/>
    <m/>
    <m/>
    <m/>
    <m/>
    <m/>
    <m/>
    <n v="0"/>
    <n v="0"/>
    <n v="0"/>
    <n v="0"/>
    <n v="0"/>
    <n v="0"/>
    <n v="0"/>
    <n v="0"/>
    <n v="0"/>
    <n v="0"/>
    <n v="0"/>
    <n v="0"/>
    <n v="0"/>
    <n v="0"/>
    <x v="0"/>
    <n v="0"/>
    <s v="MMR001CMP062"/>
    <x v="0"/>
    <x v="1"/>
    <x v="1"/>
    <n v="0"/>
    <s v="No"/>
    <m/>
  </r>
  <r>
    <n v="41.1"/>
    <d v="2013-01-24T00:00:00"/>
    <x v="5"/>
    <s v="Solidarities"/>
    <s v="Kachin"/>
    <s v="Momauk"/>
    <s v="Man Bung Catholic compound"/>
    <n v="200"/>
    <m/>
    <n v="250"/>
    <m/>
    <m/>
    <m/>
    <m/>
    <m/>
    <n v="0"/>
    <n v="0"/>
    <m/>
    <m/>
    <m/>
    <m/>
    <m/>
    <m/>
    <m/>
    <n v="0"/>
    <n v="0"/>
    <n v="0"/>
    <n v="0"/>
    <n v="0"/>
    <n v="0"/>
    <n v="0"/>
    <n v="0"/>
    <n v="0"/>
    <n v="0"/>
    <n v="0"/>
    <n v="0"/>
    <n v="0"/>
    <n v="0"/>
    <x v="0"/>
    <n v="0"/>
    <s v="MMR001CMP062"/>
    <x v="0"/>
    <x v="1"/>
    <x v="1"/>
    <n v="0"/>
    <s v="No"/>
    <m/>
  </r>
  <r>
    <n v="45.4"/>
    <d v="2012-09-17T00:00:00"/>
    <x v="0"/>
    <s v="UNHCR"/>
    <s v="Kachin"/>
    <s v="Momauk"/>
    <s v="Man Bung Catholic compound"/>
    <m/>
    <m/>
    <m/>
    <n v="86"/>
    <n v="43"/>
    <n v="86"/>
    <n v="43"/>
    <n v="43"/>
    <n v="43"/>
    <n v="43"/>
    <m/>
    <m/>
    <m/>
    <m/>
    <m/>
    <m/>
    <m/>
    <n v="0"/>
    <n v="0"/>
    <n v="0"/>
    <n v="0"/>
    <n v="0"/>
    <n v="0"/>
    <n v="0"/>
    <n v="0"/>
    <n v="0"/>
    <n v="0"/>
    <n v="0"/>
    <n v="0"/>
    <n v="0"/>
    <n v="0"/>
    <x v="0"/>
    <n v="0"/>
    <s v="MMR001CMP062"/>
    <x v="0"/>
    <x v="1"/>
    <x v="1"/>
    <n v="0.16475095785440613"/>
    <s v="No"/>
    <m/>
  </r>
  <r>
    <n v="25.333333333333332"/>
    <d v="2014-05-12T00:00:00"/>
    <x v="6"/>
    <s v="MRCS"/>
    <s v="Kachin"/>
    <s v="Myitkyina"/>
    <s v="Man Hkring Baptist Church"/>
    <m/>
    <m/>
    <m/>
    <m/>
    <m/>
    <m/>
    <m/>
    <m/>
    <m/>
    <m/>
    <m/>
    <m/>
    <m/>
    <n v="184"/>
    <m/>
    <m/>
    <m/>
    <n v="0"/>
    <n v="0"/>
    <n v="0"/>
    <n v="0"/>
    <n v="0"/>
    <n v="0"/>
    <n v="0"/>
    <n v="0"/>
    <n v="0"/>
    <n v="0"/>
    <n v="0"/>
    <n v="0"/>
    <n v="0"/>
    <n v="0"/>
    <x v="1"/>
    <n v="0"/>
    <s v="MMR001CMP008"/>
    <x v="0"/>
    <x v="1"/>
    <x v="1"/>
    <n v="0"/>
    <m/>
    <m/>
  </r>
  <r>
    <n v="54.766666666666666"/>
    <d v="2011-12-11T00:00:00"/>
    <x v="0"/>
    <s v="KBC"/>
    <s v="Kachin"/>
    <s v="Myitkyina"/>
    <s v="Man Hkring Baptist Church"/>
    <m/>
    <m/>
    <m/>
    <n v="6"/>
    <n v="4"/>
    <n v="6"/>
    <n v="4"/>
    <n v="4"/>
    <n v="4"/>
    <n v="4"/>
    <m/>
    <m/>
    <m/>
    <m/>
    <m/>
    <m/>
    <m/>
    <n v="0"/>
    <n v="0"/>
    <n v="0"/>
    <n v="0"/>
    <n v="0"/>
    <n v="0"/>
    <n v="0"/>
    <n v="0"/>
    <n v="0"/>
    <n v="0"/>
    <n v="0"/>
    <n v="0"/>
    <n v="0"/>
    <n v="0"/>
    <x v="0"/>
    <n v="0"/>
    <s v="MMR001CMP008"/>
    <x v="0"/>
    <x v="1"/>
    <x v="1"/>
    <n v="3.9603960396039604E-2"/>
    <s v="No"/>
    <m/>
  </r>
  <r>
    <n v="56.06666666666667"/>
    <d v="2011-11-02T00:00:00"/>
    <x v="0"/>
    <s v="KBC"/>
    <s v="Kachin"/>
    <s v="Myitkyina"/>
    <s v="Man Hkring Baptist Church"/>
    <m/>
    <m/>
    <m/>
    <n v="112"/>
    <n v="68"/>
    <n v="112"/>
    <n v="68"/>
    <n v="68"/>
    <n v="68"/>
    <n v="68"/>
    <m/>
    <m/>
    <m/>
    <m/>
    <m/>
    <m/>
    <m/>
    <n v="0"/>
    <n v="0"/>
    <n v="0"/>
    <n v="0"/>
    <n v="0"/>
    <n v="0"/>
    <n v="0"/>
    <n v="0"/>
    <n v="0"/>
    <n v="0"/>
    <n v="0"/>
    <n v="0"/>
    <n v="0"/>
    <n v="0"/>
    <x v="0"/>
    <n v="0"/>
    <s v="MMR001CMP008"/>
    <x v="0"/>
    <x v="1"/>
    <x v="1"/>
    <n v="0.67326732673267331"/>
    <s v="No"/>
    <m/>
  </r>
  <r>
    <n v="31.066666666666666"/>
    <d v="2013-11-21T00:00:00"/>
    <x v="0"/>
    <s v="UNHCR "/>
    <s v="Kachin"/>
    <s v="Mansi"/>
    <s v="Man Kawng Baptist Church"/>
    <m/>
    <m/>
    <m/>
    <n v="400"/>
    <n v="210"/>
    <n v="400"/>
    <n v="210"/>
    <m/>
    <m/>
    <n v="210"/>
    <m/>
    <m/>
    <m/>
    <m/>
    <m/>
    <m/>
    <m/>
    <n v="0"/>
    <n v="0"/>
    <n v="0"/>
    <n v="0"/>
    <n v="0"/>
    <n v="0"/>
    <n v="0"/>
    <n v="0"/>
    <n v="0"/>
    <n v="0"/>
    <n v="0"/>
    <n v="0"/>
    <n v="0"/>
    <n v="0"/>
    <x v="0"/>
    <n v="0"/>
    <s v="MMR001CMP212"/>
    <x v="0"/>
    <x v="0"/>
    <x v="0"/>
    <s v=""/>
    <s v="No"/>
    <m/>
  </r>
  <r>
    <n v="26.066666666666666"/>
    <d v="2014-04-20T00:00:00"/>
    <x v="0"/>
    <m/>
    <s v="Kachin"/>
    <s v="Mansi"/>
    <s v="Man Wing Baptist Church"/>
    <m/>
    <m/>
    <m/>
    <n v="220"/>
    <n v="110"/>
    <n v="1000"/>
    <n v="110"/>
    <m/>
    <n v="110"/>
    <n v="550"/>
    <m/>
    <m/>
    <m/>
    <m/>
    <m/>
    <m/>
    <m/>
    <n v="0"/>
    <n v="0"/>
    <n v="0"/>
    <n v="0"/>
    <n v="0"/>
    <n v="0"/>
    <n v="0"/>
    <n v="0"/>
    <n v="0"/>
    <n v="0"/>
    <n v="0"/>
    <n v="0"/>
    <n v="0"/>
    <n v="0"/>
    <x v="0"/>
    <n v="0"/>
    <s v="MMR001CMP133"/>
    <x v="0"/>
    <x v="1"/>
    <x v="1"/>
    <n v="1.02803738317757"/>
    <m/>
    <m/>
  </r>
  <r>
    <n v="30.766666666666666"/>
    <d v="2013-11-30T00:00:00"/>
    <x v="4"/>
    <s v="MDCG"/>
    <s v="Kachin"/>
    <s v="Mansi"/>
    <s v="Man Wing Baptist Church"/>
    <m/>
    <m/>
    <m/>
    <m/>
    <m/>
    <n v="347"/>
    <m/>
    <m/>
    <m/>
    <m/>
    <n v="386"/>
    <n v="234"/>
    <n v="0"/>
    <m/>
    <m/>
    <m/>
    <m/>
    <n v="0"/>
    <n v="0"/>
    <n v="0"/>
    <n v="0"/>
    <n v="0"/>
    <n v="0"/>
    <n v="0"/>
    <n v="0"/>
    <n v="0"/>
    <n v="0"/>
    <n v="0"/>
    <n v="0"/>
    <n v="0"/>
    <n v="0"/>
    <x v="1"/>
    <n v="0"/>
    <s v="MMR001CMP133"/>
    <x v="0"/>
    <x v="1"/>
    <x v="1"/>
    <n v="0"/>
    <s v="No"/>
    <m/>
  </r>
  <r>
    <n v="30.766666666666666"/>
    <d v="2013-11-30T00:00:00"/>
    <x v="5"/>
    <m/>
    <s v="Kachin"/>
    <s v="Mansi"/>
    <s v="Man Wing Baptist Church"/>
    <m/>
    <m/>
    <m/>
    <m/>
    <m/>
    <m/>
    <m/>
    <m/>
    <m/>
    <n v="444"/>
    <m/>
    <m/>
    <m/>
    <m/>
    <m/>
    <m/>
    <m/>
    <n v="0"/>
    <n v="0"/>
    <n v="0"/>
    <n v="0"/>
    <n v="0"/>
    <n v="0"/>
    <n v="0"/>
    <n v="0"/>
    <n v="0"/>
    <n v="0"/>
    <n v="0"/>
    <n v="0"/>
    <n v="0"/>
    <n v="0"/>
    <x v="0"/>
    <n v="0"/>
    <s v="MMR001CMP133"/>
    <x v="0"/>
    <x v="1"/>
    <x v="1"/>
    <n v="0"/>
    <s v="No"/>
    <m/>
  </r>
  <r>
    <n v="30.933333333333334"/>
    <d v="2013-11-25T00:00:00"/>
    <x v="5"/>
    <s v="Solidarities"/>
    <s v="Kachin"/>
    <s v="Mansi"/>
    <s v="Man Wing Baptist Church"/>
    <m/>
    <m/>
    <m/>
    <m/>
    <m/>
    <m/>
    <m/>
    <m/>
    <m/>
    <m/>
    <m/>
    <m/>
    <m/>
    <m/>
    <m/>
    <m/>
    <m/>
    <n v="0"/>
    <n v="0"/>
    <n v="0"/>
    <n v="0"/>
    <n v="0"/>
    <n v="0"/>
    <n v="0"/>
    <n v="0"/>
    <n v="0"/>
    <n v="0"/>
    <n v="0"/>
    <n v="0"/>
    <n v="0"/>
    <n v="0"/>
    <x v="0"/>
    <n v="0"/>
    <s v="MMR001CMP133"/>
    <x v="0"/>
    <x v="1"/>
    <x v="1"/>
    <n v="0"/>
    <m/>
    <m/>
  </r>
  <r>
    <n v="30.933333333333334"/>
    <d v="2013-11-25T00:00:00"/>
    <x v="5"/>
    <s v="Solidarities"/>
    <s v="Kachin"/>
    <s v="Mansi"/>
    <s v="Man Wing Baptist Church"/>
    <m/>
    <m/>
    <m/>
    <m/>
    <m/>
    <m/>
    <m/>
    <m/>
    <m/>
    <m/>
    <n v="19"/>
    <n v="38"/>
    <n v="114"/>
    <n v="57"/>
    <m/>
    <m/>
    <m/>
    <n v="0"/>
    <n v="0"/>
    <n v="0"/>
    <n v="0"/>
    <n v="0"/>
    <n v="0"/>
    <n v="0"/>
    <n v="0"/>
    <n v="0"/>
    <n v="0"/>
    <n v="0"/>
    <n v="0"/>
    <n v="0"/>
    <n v="0"/>
    <x v="1"/>
    <n v="0"/>
    <s v="MMR001CMP133"/>
    <x v="0"/>
    <x v="1"/>
    <x v="1"/>
    <n v="0"/>
    <m/>
    <m/>
  </r>
  <r>
    <n v="31.3"/>
    <d v="2013-11-14T00:00:00"/>
    <x v="3"/>
    <m/>
    <s v="Kachin"/>
    <s v="Mansi"/>
    <s v="Man Wing Baptist Church"/>
    <m/>
    <m/>
    <m/>
    <m/>
    <m/>
    <m/>
    <m/>
    <m/>
    <m/>
    <m/>
    <m/>
    <n v="32"/>
    <m/>
    <m/>
    <m/>
    <m/>
    <m/>
    <n v="0"/>
    <n v="0"/>
    <n v="0"/>
    <n v="0"/>
    <n v="0"/>
    <n v="0"/>
    <n v="0"/>
    <n v="0"/>
    <n v="0"/>
    <n v="0"/>
    <n v="0"/>
    <n v="0"/>
    <n v="0"/>
    <n v="0"/>
    <x v="1"/>
    <n v="0"/>
    <s v="MMR001CMP133"/>
    <x v="0"/>
    <x v="1"/>
    <x v="1"/>
    <n v="0"/>
    <s v="No"/>
    <m/>
  </r>
  <r>
    <n v="31.333333333333332"/>
    <d v="2013-11-13T00:00:00"/>
    <x v="5"/>
    <s v="Solidarities"/>
    <s v="Kachin"/>
    <s v="Mansi"/>
    <s v="Man Wing Baptist Church"/>
    <m/>
    <m/>
    <m/>
    <m/>
    <m/>
    <m/>
    <m/>
    <m/>
    <m/>
    <m/>
    <m/>
    <n v="160"/>
    <n v="320"/>
    <n v="160"/>
    <m/>
    <m/>
    <m/>
    <n v="0"/>
    <n v="0"/>
    <n v="0"/>
    <n v="0"/>
    <n v="0"/>
    <n v="0"/>
    <n v="0"/>
    <n v="0"/>
    <n v="0"/>
    <n v="0"/>
    <n v="0"/>
    <n v="0"/>
    <n v="0"/>
    <n v="0"/>
    <x v="1"/>
    <n v="0"/>
    <s v="MMR001CMP133"/>
    <x v="0"/>
    <x v="1"/>
    <x v="1"/>
    <n v="0"/>
    <m/>
    <m/>
  </r>
  <r>
    <n v="39.966666666666669"/>
    <d v="2013-02-27T00:00:00"/>
    <x v="5"/>
    <s v="Solidarities"/>
    <s v="Kachin"/>
    <s v="Mansi"/>
    <s v="Man Wing Baptist Church"/>
    <n v="595"/>
    <m/>
    <n v="740"/>
    <m/>
    <m/>
    <m/>
    <m/>
    <m/>
    <n v="0"/>
    <n v="0"/>
    <m/>
    <m/>
    <m/>
    <m/>
    <m/>
    <m/>
    <m/>
    <n v="0"/>
    <n v="0"/>
    <n v="0"/>
    <n v="0"/>
    <n v="0"/>
    <n v="0"/>
    <n v="0"/>
    <n v="0"/>
    <n v="0"/>
    <n v="0"/>
    <n v="0"/>
    <n v="0"/>
    <n v="0"/>
    <n v="0"/>
    <x v="0"/>
    <n v="0"/>
    <s v="MMR001CMP133"/>
    <x v="0"/>
    <x v="1"/>
    <x v="1"/>
    <n v="0"/>
    <s v="No"/>
    <m/>
  </r>
  <r>
    <n v="40.266666666666666"/>
    <d v="2013-02-18T00:00:00"/>
    <x v="0"/>
    <s v="KBC"/>
    <s v="Kachin"/>
    <s v="Mansi"/>
    <s v="Man Wing Baptist Church"/>
    <m/>
    <m/>
    <n v="221"/>
    <n v="221"/>
    <n v="110"/>
    <n v="221"/>
    <n v="110"/>
    <n v="110"/>
    <n v="110"/>
    <n v="110"/>
    <m/>
    <m/>
    <m/>
    <m/>
    <m/>
    <m/>
    <m/>
    <n v="0"/>
    <n v="0"/>
    <n v="0"/>
    <n v="0"/>
    <n v="0"/>
    <n v="0"/>
    <n v="0"/>
    <n v="0"/>
    <n v="0"/>
    <n v="0"/>
    <n v="0"/>
    <n v="0"/>
    <n v="0"/>
    <n v="0"/>
    <x v="0"/>
    <n v="0"/>
    <s v="MMR001CMP133"/>
    <x v="0"/>
    <x v="1"/>
    <x v="1"/>
    <n v="1.02803738317757"/>
    <s v="No"/>
    <m/>
  </r>
  <r>
    <n v="47.466666666666669"/>
    <d v="2012-07-17T00:00:00"/>
    <x v="0"/>
    <s v="UNHCR"/>
    <s v="Kachin"/>
    <s v="Mansi"/>
    <s v="Man Wing Baptist Church"/>
    <m/>
    <m/>
    <m/>
    <n v="0"/>
    <n v="0"/>
    <n v="0"/>
    <n v="0"/>
    <n v="0"/>
    <m/>
    <m/>
    <m/>
    <m/>
    <m/>
    <m/>
    <m/>
    <m/>
    <m/>
    <n v="0"/>
    <n v="0"/>
    <n v="0"/>
    <n v="0"/>
    <n v="0"/>
    <n v="0"/>
    <n v="0"/>
    <n v="0"/>
    <n v="0"/>
    <n v="0"/>
    <n v="0"/>
    <n v="0"/>
    <n v="0"/>
    <n v="0"/>
    <x v="0"/>
    <n v="0"/>
    <s v="MMR001CMP133"/>
    <x v="0"/>
    <x v="1"/>
    <x v="1"/>
    <n v="0"/>
    <s v="No"/>
    <m/>
  </r>
  <r>
    <n v="26.1"/>
    <d v="2014-04-19T00:00:00"/>
    <x v="0"/>
    <m/>
    <s v="Kachin"/>
    <s v="Mansi"/>
    <s v="Man Wing Catholic Church"/>
    <m/>
    <m/>
    <m/>
    <n v="400"/>
    <n v="190"/>
    <n v="870"/>
    <n v="190"/>
    <m/>
    <n v="190"/>
    <n v="1000"/>
    <m/>
    <m/>
    <m/>
    <m/>
    <m/>
    <m/>
    <m/>
    <n v="0"/>
    <n v="0"/>
    <n v="0"/>
    <n v="0"/>
    <n v="0"/>
    <n v="0"/>
    <n v="0"/>
    <n v="0"/>
    <n v="0"/>
    <n v="0"/>
    <n v="0"/>
    <n v="0"/>
    <n v="0"/>
    <n v="0"/>
    <x v="0"/>
    <n v="0"/>
    <s v="MMR001CMP132"/>
    <x v="0"/>
    <x v="1"/>
    <x v="1"/>
    <n v="0.41484716157205243"/>
    <m/>
    <m/>
  </r>
  <r>
    <n v="30.433333333333334"/>
    <d v="2013-12-10T00:00:00"/>
    <x v="3"/>
    <m/>
    <s v="Kachin"/>
    <s v="Mansi"/>
    <s v="Man Wing Catholic Church"/>
    <m/>
    <m/>
    <m/>
    <m/>
    <m/>
    <m/>
    <m/>
    <m/>
    <m/>
    <m/>
    <m/>
    <n v="256"/>
    <m/>
    <m/>
    <m/>
    <m/>
    <m/>
    <n v="0"/>
    <n v="0"/>
    <n v="0"/>
    <n v="0"/>
    <n v="0"/>
    <n v="0"/>
    <n v="0"/>
    <n v="0"/>
    <n v="0"/>
    <n v="0"/>
    <n v="0"/>
    <n v="0"/>
    <n v="0"/>
    <n v="0"/>
    <x v="1"/>
    <n v="0"/>
    <s v="MMR001CMP132"/>
    <x v="0"/>
    <x v="1"/>
    <x v="1"/>
    <n v="0"/>
    <s v="No"/>
    <m/>
  </r>
  <r>
    <n v="30.766666666666666"/>
    <d v="2013-11-30T00:00:00"/>
    <x v="4"/>
    <s v="MDCG"/>
    <s v="Kachin"/>
    <s v="Mansi"/>
    <s v="Man Wing Catholic Church"/>
    <m/>
    <m/>
    <m/>
    <m/>
    <m/>
    <n v="770"/>
    <m/>
    <m/>
    <m/>
    <m/>
    <n v="889"/>
    <n v="492"/>
    <n v="0"/>
    <m/>
    <m/>
    <m/>
    <m/>
    <n v="0"/>
    <n v="0"/>
    <n v="0"/>
    <n v="0"/>
    <n v="0"/>
    <n v="0"/>
    <n v="0"/>
    <n v="0"/>
    <n v="0"/>
    <n v="0"/>
    <n v="0"/>
    <n v="0"/>
    <n v="0"/>
    <n v="0"/>
    <x v="1"/>
    <n v="0"/>
    <s v="MMR001CMP132"/>
    <x v="0"/>
    <x v="1"/>
    <x v="1"/>
    <n v="0"/>
    <s v="No"/>
    <m/>
  </r>
  <r>
    <n v="30.766666666666666"/>
    <d v="2013-11-30T00:00:00"/>
    <x v="5"/>
    <m/>
    <s v="Kachin"/>
    <s v="Mansi"/>
    <s v="Man Wing Catholic Church"/>
    <m/>
    <m/>
    <m/>
    <m/>
    <m/>
    <m/>
    <m/>
    <m/>
    <m/>
    <n v="1080"/>
    <m/>
    <m/>
    <m/>
    <m/>
    <m/>
    <m/>
    <m/>
    <n v="0"/>
    <n v="0"/>
    <n v="0"/>
    <n v="0"/>
    <n v="0"/>
    <n v="0"/>
    <n v="0"/>
    <n v="0"/>
    <n v="0"/>
    <n v="0"/>
    <n v="0"/>
    <n v="0"/>
    <n v="0"/>
    <n v="0"/>
    <x v="0"/>
    <n v="0"/>
    <s v="MMR001CMP132"/>
    <x v="0"/>
    <x v="1"/>
    <x v="1"/>
    <n v="0"/>
    <s v="No"/>
    <m/>
  </r>
  <r>
    <n v="30.933333333333334"/>
    <d v="2013-11-25T00:00:00"/>
    <x v="5"/>
    <s v="Solidarities"/>
    <s v="Kachin"/>
    <s v="Mansi"/>
    <s v="Man Wing Catholic Church"/>
    <m/>
    <m/>
    <m/>
    <m/>
    <m/>
    <m/>
    <m/>
    <m/>
    <m/>
    <m/>
    <n v="60"/>
    <n v="120"/>
    <n v="360"/>
    <n v="180"/>
    <m/>
    <m/>
    <m/>
    <n v="0"/>
    <n v="0"/>
    <n v="0"/>
    <n v="0"/>
    <n v="0"/>
    <n v="0"/>
    <n v="0"/>
    <n v="0"/>
    <n v="0"/>
    <n v="0"/>
    <n v="0"/>
    <n v="0"/>
    <n v="0"/>
    <n v="0"/>
    <x v="1"/>
    <n v="0"/>
    <s v="MMR001CMP132"/>
    <x v="0"/>
    <x v="1"/>
    <x v="1"/>
    <n v="0"/>
    <m/>
    <m/>
  </r>
  <r>
    <n v="31.2"/>
    <d v="2013-11-17T00:00:00"/>
    <x v="0"/>
    <s v="UNHCR "/>
    <s v="Kachin"/>
    <s v="Mansi"/>
    <s v="Man Wing Catholic Church"/>
    <m/>
    <m/>
    <m/>
    <n v="700"/>
    <n v="350"/>
    <n v="700"/>
    <n v="350"/>
    <n v="350"/>
    <m/>
    <m/>
    <m/>
    <m/>
    <m/>
    <m/>
    <m/>
    <m/>
    <m/>
    <n v="0"/>
    <n v="0"/>
    <n v="0"/>
    <n v="0"/>
    <n v="0"/>
    <n v="0"/>
    <n v="0"/>
    <n v="0"/>
    <n v="0"/>
    <n v="0"/>
    <n v="0"/>
    <n v="0"/>
    <n v="0"/>
    <n v="0"/>
    <x v="0"/>
    <n v="0"/>
    <s v="MMR001CMP132"/>
    <x v="0"/>
    <x v="1"/>
    <x v="1"/>
    <n v="0.76419213973799127"/>
    <s v="No"/>
    <m/>
  </r>
  <r>
    <n v="31.3"/>
    <d v="2013-11-14T00:00:00"/>
    <x v="5"/>
    <s v="Solidarities"/>
    <s v="Kachin"/>
    <s v="Mansi"/>
    <s v="Man Wing Catholic Church"/>
    <m/>
    <m/>
    <m/>
    <m/>
    <m/>
    <m/>
    <m/>
    <m/>
    <m/>
    <m/>
    <m/>
    <n v="176"/>
    <n v="352"/>
    <n v="176"/>
    <m/>
    <m/>
    <m/>
    <n v="0"/>
    <n v="0"/>
    <n v="0"/>
    <n v="0"/>
    <n v="0"/>
    <n v="0"/>
    <n v="0"/>
    <n v="0"/>
    <n v="0"/>
    <n v="0"/>
    <n v="0"/>
    <n v="0"/>
    <n v="0"/>
    <n v="0"/>
    <x v="1"/>
    <n v="0"/>
    <s v="MMR001CMP132"/>
    <x v="0"/>
    <x v="1"/>
    <x v="1"/>
    <n v="0"/>
    <m/>
    <m/>
  </r>
  <r>
    <n v="39.866666666666667"/>
    <d v="2013-03-02T00:00:00"/>
    <x v="5"/>
    <s v="Solidarities"/>
    <s v="Kachin"/>
    <s v="Mansi"/>
    <s v="Man Wing Catholic Church"/>
    <n v="1542"/>
    <m/>
    <n v="1800"/>
    <m/>
    <m/>
    <m/>
    <m/>
    <m/>
    <n v="0"/>
    <n v="0"/>
    <m/>
    <m/>
    <m/>
    <m/>
    <m/>
    <m/>
    <m/>
    <n v="0"/>
    <n v="0"/>
    <n v="0"/>
    <n v="0"/>
    <n v="0"/>
    <n v="0"/>
    <n v="0"/>
    <n v="0"/>
    <n v="0"/>
    <n v="0"/>
    <n v="0"/>
    <n v="0"/>
    <n v="0"/>
    <n v="0"/>
    <x v="0"/>
    <n v="0"/>
    <s v="MMR001CMP132"/>
    <x v="0"/>
    <x v="1"/>
    <x v="1"/>
    <n v="0"/>
    <s v="No"/>
    <m/>
  </r>
  <r>
    <n v="14.466666666666667"/>
    <d v="2015-04-03T00:00:00"/>
    <x v="0"/>
    <s v="Shalom"/>
    <s v="Kachin"/>
    <s v="Momauk"/>
    <s v="Mandalay Monestry"/>
    <m/>
    <m/>
    <m/>
    <m/>
    <m/>
    <m/>
    <m/>
    <m/>
    <m/>
    <m/>
    <m/>
    <m/>
    <m/>
    <m/>
    <m/>
    <m/>
    <m/>
    <n v="0"/>
    <n v="0"/>
    <n v="0"/>
    <n v="0"/>
    <n v="0"/>
    <n v="0"/>
    <n v="0"/>
    <n v="0"/>
    <n v="0"/>
    <n v="0"/>
    <n v="0"/>
    <n v="0"/>
    <n v="0"/>
    <n v="0"/>
    <x v="0"/>
    <n v="0"/>
    <s v="MMR001CMP058"/>
    <x v="0"/>
    <x v="0"/>
    <x v="1"/>
    <s v=""/>
    <s v="No"/>
    <m/>
  </r>
  <r>
    <n v="26.466666666666665"/>
    <d v="2014-04-08T00:00:00"/>
    <x v="6"/>
    <s v="MRCS"/>
    <s v="Kachin"/>
    <s v="Momauk"/>
    <s v="Mandalay Monestry"/>
    <m/>
    <m/>
    <m/>
    <m/>
    <m/>
    <m/>
    <m/>
    <m/>
    <m/>
    <m/>
    <m/>
    <m/>
    <m/>
    <n v="10"/>
    <m/>
    <m/>
    <m/>
    <n v="0"/>
    <n v="0"/>
    <n v="0"/>
    <n v="0"/>
    <n v="0"/>
    <n v="0"/>
    <n v="0"/>
    <n v="0"/>
    <n v="0"/>
    <n v="0"/>
    <n v="0"/>
    <n v="0"/>
    <n v="0"/>
    <n v="0"/>
    <x v="1"/>
    <n v="0"/>
    <s v="MMR001CMP058"/>
    <x v="0"/>
    <x v="0"/>
    <x v="1"/>
    <s v=""/>
    <m/>
    <m/>
  </r>
  <r>
    <n v="34.4"/>
    <d v="2013-08-13T00:00:00"/>
    <x v="0"/>
    <s v="KBC"/>
    <s v="Shan_North"/>
    <s v="Manton"/>
    <s v="Mandung - Jinghpaw"/>
    <m/>
    <m/>
    <n v="36"/>
    <n v="84"/>
    <n v="42"/>
    <n v="84"/>
    <n v="42"/>
    <n v="42"/>
    <n v="42"/>
    <n v="42"/>
    <m/>
    <m/>
    <m/>
    <m/>
    <m/>
    <m/>
    <m/>
    <n v="0"/>
    <n v="0"/>
    <n v="0"/>
    <n v="0"/>
    <n v="0"/>
    <n v="0"/>
    <n v="0"/>
    <n v="0"/>
    <n v="0"/>
    <n v="0"/>
    <n v="0"/>
    <n v="0"/>
    <n v="0"/>
    <n v="0"/>
    <x v="0"/>
    <n v="0"/>
    <s v="MMR015CMP009"/>
    <x v="0"/>
    <x v="1"/>
    <x v="3"/>
    <n v="1.1351351351351351"/>
    <s v="No"/>
    <m/>
  </r>
  <r>
    <n v="40.266666666666666"/>
    <d v="2013-02-18T00:00:00"/>
    <x v="0"/>
    <s v="KBC"/>
    <s v="Shan_North"/>
    <s v="Manton"/>
    <s v="Mandung - Jinghpaw"/>
    <m/>
    <m/>
    <n v="57"/>
    <n v="57"/>
    <n v="29"/>
    <n v="57"/>
    <n v="29"/>
    <n v="29"/>
    <n v="29"/>
    <n v="29"/>
    <m/>
    <m/>
    <m/>
    <m/>
    <m/>
    <m/>
    <m/>
    <n v="0"/>
    <n v="0"/>
    <n v="0"/>
    <n v="0"/>
    <n v="0"/>
    <n v="0"/>
    <n v="0"/>
    <n v="0"/>
    <n v="0"/>
    <n v="0"/>
    <n v="0"/>
    <n v="0"/>
    <n v="0"/>
    <n v="0"/>
    <x v="0"/>
    <n v="0"/>
    <s v="MMR015CMP009"/>
    <x v="0"/>
    <x v="1"/>
    <x v="3"/>
    <n v="0.78378378378378377"/>
    <s v="No"/>
    <m/>
  </r>
  <r>
    <n v="27.866666666666667"/>
    <d v="2014-02-25T00:00:00"/>
    <x v="6"/>
    <s v="MRCS"/>
    <s v="Kachin"/>
    <s v="Mogaung"/>
    <s v="Mang Hawng Baptist Church"/>
    <m/>
    <m/>
    <m/>
    <m/>
    <m/>
    <m/>
    <m/>
    <m/>
    <m/>
    <m/>
    <m/>
    <m/>
    <m/>
    <n v="26"/>
    <m/>
    <m/>
    <m/>
    <n v="0"/>
    <n v="0"/>
    <n v="0"/>
    <n v="0"/>
    <n v="0"/>
    <n v="0"/>
    <n v="0"/>
    <n v="0"/>
    <n v="0"/>
    <n v="0"/>
    <n v="0"/>
    <n v="0"/>
    <n v="0"/>
    <n v="0"/>
    <x v="1"/>
    <n v="0"/>
    <s v="MMR001CMP077"/>
    <x v="0"/>
    <x v="1"/>
    <x v="1"/>
    <n v="0"/>
    <m/>
    <m/>
  </r>
  <r>
    <n v="29.7"/>
    <d v="2014-01-01T00:00:00"/>
    <x v="11"/>
    <s v="MRCS"/>
    <s v="Kachin"/>
    <s v="Mogaung"/>
    <s v="Mang Hawng Baptist Church"/>
    <m/>
    <m/>
    <m/>
    <m/>
    <m/>
    <m/>
    <n v="14"/>
    <m/>
    <m/>
    <m/>
    <m/>
    <m/>
    <m/>
    <m/>
    <m/>
    <m/>
    <m/>
    <n v="0"/>
    <n v="0"/>
    <n v="0"/>
    <n v="0"/>
    <n v="0"/>
    <n v="0"/>
    <n v="0"/>
    <n v="0"/>
    <n v="0"/>
    <n v="0"/>
    <n v="0"/>
    <n v="0"/>
    <n v="0"/>
    <n v="0"/>
    <x v="0"/>
    <n v="0"/>
    <s v="MMR001CMP077"/>
    <x v="0"/>
    <x v="1"/>
    <x v="1"/>
    <n v="0.82352941176470584"/>
    <s v="No"/>
    <m/>
  </r>
  <r>
    <n v="47.166666666666664"/>
    <d v="2012-07-26T00:00:00"/>
    <x v="0"/>
    <s v="UNHCR"/>
    <s v="Kachin"/>
    <s v="Mogaung"/>
    <s v="Mang Hawng Baptist Church"/>
    <m/>
    <m/>
    <m/>
    <n v="31"/>
    <n v="15"/>
    <n v="31"/>
    <n v="15"/>
    <n v="16"/>
    <n v="16"/>
    <n v="16"/>
    <m/>
    <m/>
    <m/>
    <m/>
    <m/>
    <m/>
    <m/>
    <n v="0"/>
    <n v="0"/>
    <n v="0"/>
    <n v="0"/>
    <n v="0"/>
    <n v="0"/>
    <n v="0"/>
    <n v="0"/>
    <n v="0"/>
    <n v="0"/>
    <n v="0"/>
    <n v="0"/>
    <n v="0"/>
    <n v="0"/>
    <x v="0"/>
    <n v="0"/>
    <s v="MMR001CMP077"/>
    <x v="0"/>
    <x v="1"/>
    <x v="1"/>
    <n v="0.88235294117647056"/>
    <s v="No"/>
    <m/>
  </r>
  <r>
    <n v="5.9333333333333336"/>
    <d v="2015-12-15T00:00:00"/>
    <x v="0"/>
    <s v="KBC"/>
    <s v="Kachin"/>
    <s v="Myitkyina"/>
    <s v="Manhkring camp"/>
    <m/>
    <m/>
    <m/>
    <n v="7"/>
    <n v="7"/>
    <m/>
    <n v="7"/>
    <m/>
    <n v="7"/>
    <n v="27"/>
    <m/>
    <m/>
    <m/>
    <n v="27"/>
    <n v="7"/>
    <m/>
    <m/>
    <n v="0"/>
    <n v="0"/>
    <n v="0"/>
    <n v="7"/>
    <n v="7"/>
    <n v="0"/>
    <n v="7"/>
    <n v="0"/>
    <n v="7"/>
    <n v="67.5"/>
    <n v="0"/>
    <n v="0"/>
    <n v="0"/>
    <n v="27"/>
    <x v="1"/>
    <n v="7"/>
    <s v=""/>
    <x v="1"/>
    <x v="2"/>
    <x v="0"/>
    <s v=""/>
    <s v="No"/>
    <m/>
  </r>
  <r>
    <n v="26.033333333333335"/>
    <d v="2014-04-21T00:00:00"/>
    <x v="0"/>
    <s v="UNHCR"/>
    <s v="Kachin"/>
    <s v="Mansi"/>
    <s v="Mansi Baptist Church"/>
    <m/>
    <m/>
    <n v="20"/>
    <n v="30"/>
    <n v="13"/>
    <n v="40"/>
    <n v="13"/>
    <n v="13"/>
    <n v="13"/>
    <n v="25"/>
    <m/>
    <m/>
    <m/>
    <m/>
    <m/>
    <m/>
    <m/>
    <n v="0"/>
    <n v="0"/>
    <n v="0"/>
    <n v="0"/>
    <n v="0"/>
    <n v="0"/>
    <n v="0"/>
    <n v="0"/>
    <n v="0"/>
    <n v="0"/>
    <n v="0"/>
    <n v="0"/>
    <n v="0"/>
    <n v="0"/>
    <x v="0"/>
    <n v="0"/>
    <s v="MMR001CMP066"/>
    <x v="0"/>
    <x v="1"/>
    <x v="1"/>
    <n v="5.8823529411764705E-2"/>
    <s v="No"/>
    <m/>
  </r>
  <r>
    <n v="26.5"/>
    <d v="2014-04-07T00:00:00"/>
    <x v="6"/>
    <s v="MRCS"/>
    <s v="Kachin"/>
    <s v="Mansi"/>
    <s v="Mansi Baptist Church"/>
    <m/>
    <m/>
    <m/>
    <m/>
    <m/>
    <m/>
    <m/>
    <m/>
    <m/>
    <m/>
    <m/>
    <m/>
    <m/>
    <n v="262"/>
    <m/>
    <m/>
    <m/>
    <n v="0"/>
    <n v="0"/>
    <n v="0"/>
    <n v="0"/>
    <n v="0"/>
    <n v="0"/>
    <n v="0"/>
    <n v="0"/>
    <n v="0"/>
    <n v="0"/>
    <n v="0"/>
    <n v="0"/>
    <n v="0"/>
    <n v="0"/>
    <x v="1"/>
    <n v="0"/>
    <s v="MMR001CMP066"/>
    <x v="0"/>
    <x v="1"/>
    <x v="1"/>
    <n v="0"/>
    <m/>
    <m/>
  </r>
  <r>
    <n v="30.333333333333332"/>
    <d v="2013-12-13T00:00:00"/>
    <x v="5"/>
    <s v="Solidarities"/>
    <s v="Kachin"/>
    <s v="Mansi"/>
    <s v="Mansi Baptist Church"/>
    <m/>
    <m/>
    <m/>
    <m/>
    <m/>
    <m/>
    <m/>
    <m/>
    <m/>
    <m/>
    <n v="13"/>
    <n v="53"/>
    <n v="132"/>
    <n v="66"/>
    <m/>
    <m/>
    <m/>
    <n v="0"/>
    <n v="0"/>
    <n v="0"/>
    <n v="0"/>
    <n v="0"/>
    <n v="0"/>
    <n v="0"/>
    <n v="0"/>
    <n v="0"/>
    <n v="0"/>
    <n v="0"/>
    <n v="0"/>
    <n v="0"/>
    <n v="0"/>
    <x v="1"/>
    <n v="0"/>
    <s v="MMR001CMP066"/>
    <x v="0"/>
    <x v="1"/>
    <x v="1"/>
    <n v="0"/>
    <m/>
    <m/>
  </r>
  <r>
    <n v="30.766666666666666"/>
    <d v="2013-11-30T00:00:00"/>
    <x v="5"/>
    <m/>
    <s v="Kachin"/>
    <s v="Mansi"/>
    <s v="Mansi Baptist Church"/>
    <m/>
    <m/>
    <m/>
    <m/>
    <m/>
    <m/>
    <m/>
    <m/>
    <m/>
    <n v="225"/>
    <m/>
    <m/>
    <m/>
    <m/>
    <m/>
    <m/>
    <m/>
    <n v="0"/>
    <n v="0"/>
    <n v="0"/>
    <n v="0"/>
    <n v="0"/>
    <n v="0"/>
    <n v="0"/>
    <n v="0"/>
    <n v="0"/>
    <n v="0"/>
    <n v="0"/>
    <n v="0"/>
    <n v="0"/>
    <n v="0"/>
    <x v="0"/>
    <n v="0"/>
    <s v="MMR001CMP066"/>
    <x v="0"/>
    <x v="1"/>
    <x v="1"/>
    <n v="0"/>
    <s v="No"/>
    <m/>
  </r>
  <r>
    <n v="30.833333333333332"/>
    <d v="2013-11-28T00:00:00"/>
    <x v="0"/>
    <s v="UNHCR"/>
    <s v="Kachin"/>
    <s v="Mansi"/>
    <s v="Mansi Baptist Church"/>
    <m/>
    <m/>
    <m/>
    <n v="20"/>
    <n v="7"/>
    <n v="22"/>
    <n v="7"/>
    <n v="7"/>
    <m/>
    <m/>
    <m/>
    <m/>
    <m/>
    <m/>
    <m/>
    <m/>
    <m/>
    <n v="0"/>
    <n v="0"/>
    <n v="0"/>
    <n v="0"/>
    <n v="0"/>
    <n v="0"/>
    <n v="0"/>
    <n v="0"/>
    <n v="0"/>
    <n v="0"/>
    <n v="0"/>
    <n v="0"/>
    <n v="0"/>
    <n v="0"/>
    <x v="0"/>
    <n v="0"/>
    <s v="MMR001CMP066"/>
    <x v="0"/>
    <x v="1"/>
    <x v="1"/>
    <n v="3.1674208144796379E-2"/>
    <s v="No"/>
    <m/>
  </r>
  <r>
    <n v="31.3"/>
    <d v="2013-11-14T00:00:00"/>
    <x v="0"/>
    <s v="UNHCR"/>
    <s v="Kachin"/>
    <s v="Mansi"/>
    <s v="Mansi Baptist Church"/>
    <m/>
    <m/>
    <n v="18"/>
    <n v="31"/>
    <n v="18"/>
    <n v="31"/>
    <n v="18"/>
    <n v="18"/>
    <m/>
    <m/>
    <m/>
    <m/>
    <m/>
    <m/>
    <m/>
    <m/>
    <m/>
    <n v="0"/>
    <n v="0"/>
    <n v="0"/>
    <n v="0"/>
    <n v="0"/>
    <n v="0"/>
    <n v="0"/>
    <n v="0"/>
    <n v="0"/>
    <n v="0"/>
    <n v="0"/>
    <n v="0"/>
    <n v="0"/>
    <n v="0"/>
    <x v="0"/>
    <n v="0"/>
    <s v="MMR001CMP066"/>
    <x v="0"/>
    <x v="1"/>
    <x v="1"/>
    <n v="8.1447963800904979E-2"/>
    <s v="No"/>
    <m/>
  </r>
  <r>
    <n v="31.6"/>
    <d v="2013-11-05T00:00:00"/>
    <x v="0"/>
    <s v="UNHCR"/>
    <s v="Kachin"/>
    <s v="Mansi"/>
    <s v="Mansi Baptist Church"/>
    <m/>
    <m/>
    <n v="60"/>
    <n v="54"/>
    <n v="30"/>
    <n v="54"/>
    <n v="30"/>
    <n v="30"/>
    <m/>
    <m/>
    <m/>
    <m/>
    <m/>
    <m/>
    <m/>
    <m/>
    <m/>
    <n v="0"/>
    <n v="0"/>
    <n v="0"/>
    <n v="0"/>
    <n v="0"/>
    <n v="0"/>
    <n v="0"/>
    <n v="0"/>
    <n v="0"/>
    <n v="0"/>
    <n v="0"/>
    <n v="0"/>
    <n v="0"/>
    <n v="0"/>
    <x v="0"/>
    <n v="0"/>
    <s v="MMR001CMP066"/>
    <x v="0"/>
    <x v="1"/>
    <x v="1"/>
    <n v="0.13574660633484162"/>
    <s v="No"/>
    <m/>
  </r>
  <r>
    <n v="31.666666666666668"/>
    <d v="2013-11-03T00:00:00"/>
    <x v="2"/>
    <s v="MRCS"/>
    <s v="Kachin"/>
    <s v="Mansi"/>
    <s v="Mansi Baptist Church"/>
    <m/>
    <m/>
    <n v="29"/>
    <m/>
    <m/>
    <m/>
    <n v="29"/>
    <m/>
    <m/>
    <m/>
    <m/>
    <m/>
    <m/>
    <m/>
    <m/>
    <m/>
    <m/>
    <n v="0"/>
    <n v="0"/>
    <n v="0"/>
    <n v="0"/>
    <n v="0"/>
    <n v="0"/>
    <n v="0"/>
    <n v="0"/>
    <n v="0"/>
    <n v="0"/>
    <n v="0"/>
    <n v="0"/>
    <n v="0"/>
    <n v="0"/>
    <x v="0"/>
    <n v="0"/>
    <s v="MMR001CMP066"/>
    <x v="0"/>
    <x v="1"/>
    <x v="1"/>
    <n v="0.13122171945701358"/>
    <s v="No"/>
    <m/>
  </r>
  <r>
    <n v="41.7"/>
    <d v="2013-01-06T00:00:00"/>
    <x v="5"/>
    <s v="Solidarities"/>
    <s v="Kachin"/>
    <s v="Mansi"/>
    <s v="Mansi Baptist Church"/>
    <n v="351"/>
    <m/>
    <n v="415"/>
    <m/>
    <m/>
    <m/>
    <m/>
    <m/>
    <n v="0"/>
    <n v="0"/>
    <m/>
    <m/>
    <m/>
    <m/>
    <m/>
    <m/>
    <m/>
    <n v="0"/>
    <n v="0"/>
    <n v="0"/>
    <n v="0"/>
    <n v="0"/>
    <n v="0"/>
    <n v="0"/>
    <n v="0"/>
    <n v="0"/>
    <n v="0"/>
    <n v="0"/>
    <n v="0"/>
    <n v="0"/>
    <n v="0"/>
    <x v="0"/>
    <n v="0"/>
    <s v="MMR001CMP066"/>
    <x v="0"/>
    <x v="1"/>
    <x v="1"/>
    <n v="0"/>
    <s v="No"/>
    <m/>
  </r>
  <r>
    <n v="46.766666666666666"/>
    <d v="2012-08-07T00:00:00"/>
    <x v="0"/>
    <s v="UNHCR "/>
    <s v="Kachin"/>
    <s v="Mansi"/>
    <s v="Mansi Baptist Church"/>
    <m/>
    <m/>
    <m/>
    <n v="0"/>
    <n v="73"/>
    <n v="0"/>
    <n v="73"/>
    <n v="73"/>
    <n v="73"/>
    <n v="73"/>
    <m/>
    <m/>
    <m/>
    <m/>
    <m/>
    <m/>
    <m/>
    <n v="0"/>
    <n v="0"/>
    <n v="0"/>
    <n v="0"/>
    <n v="0"/>
    <n v="0"/>
    <n v="0"/>
    <n v="0"/>
    <n v="0"/>
    <n v="0"/>
    <n v="0"/>
    <n v="0"/>
    <n v="0"/>
    <n v="0"/>
    <x v="0"/>
    <n v="0"/>
    <s v="MMR001CMP066"/>
    <x v="0"/>
    <x v="1"/>
    <x v="1"/>
    <n v="0.33031674208144796"/>
    <s v="No"/>
    <m/>
  </r>
  <r>
    <n v="37.166666666666664"/>
    <d v="2013-05-22T00:00:00"/>
    <x v="0"/>
    <s v="UNHCR"/>
    <s v="Kachin"/>
    <s v="Hpakant"/>
    <s v="Mashi Kahtawng Baptist  Church"/>
    <m/>
    <m/>
    <n v="48"/>
    <n v="74"/>
    <n v="31"/>
    <n v="74"/>
    <n v="31"/>
    <n v="31"/>
    <n v="31"/>
    <n v="31"/>
    <m/>
    <m/>
    <m/>
    <m/>
    <m/>
    <m/>
    <m/>
    <n v="0"/>
    <n v="0"/>
    <n v="0"/>
    <n v="0"/>
    <n v="0"/>
    <n v="0"/>
    <n v="0"/>
    <n v="0"/>
    <n v="0"/>
    <n v="0"/>
    <n v="0"/>
    <n v="0"/>
    <n v="0"/>
    <n v="0"/>
    <x v="0"/>
    <n v="0"/>
    <s v="MMR001CMP094"/>
    <x v="0"/>
    <x v="0"/>
    <x v="0"/>
    <s v=""/>
    <s v="No"/>
    <m/>
  </r>
  <r>
    <n v="40.200000000000003"/>
    <d v="2013-02-20T00:00:00"/>
    <x v="0"/>
    <s v="UNHCR"/>
    <s v="Kachin"/>
    <s v="Hpakant"/>
    <s v="Mashi Kahtawng Baptist  Church"/>
    <m/>
    <m/>
    <n v="74"/>
    <n v="0"/>
    <n v="0"/>
    <n v="0"/>
    <n v="0"/>
    <n v="0"/>
    <m/>
    <m/>
    <m/>
    <m/>
    <m/>
    <m/>
    <m/>
    <m/>
    <m/>
    <n v="0"/>
    <n v="0"/>
    <n v="0"/>
    <n v="0"/>
    <n v="0"/>
    <n v="0"/>
    <n v="0"/>
    <n v="0"/>
    <n v="0"/>
    <n v="0"/>
    <n v="0"/>
    <n v="0"/>
    <n v="0"/>
    <n v="0"/>
    <x v="0"/>
    <n v="0"/>
    <s v="MMR001CMP094"/>
    <x v="0"/>
    <x v="0"/>
    <x v="0"/>
    <s v=""/>
    <s v="No"/>
    <m/>
  </r>
  <r>
    <n v="41.9"/>
    <d v="2012-12-31T00:00:00"/>
    <x v="3"/>
    <s v="DRC"/>
    <s v="Kachin"/>
    <s v="Hpakant"/>
    <s v="Mashi Kahtawng Baptist  Church"/>
    <n v="57"/>
    <m/>
    <m/>
    <m/>
    <m/>
    <m/>
    <m/>
    <m/>
    <n v="0"/>
    <n v="0"/>
    <m/>
    <m/>
    <m/>
    <m/>
    <m/>
    <m/>
    <m/>
    <n v="0"/>
    <n v="0"/>
    <n v="0"/>
    <n v="0"/>
    <n v="0"/>
    <n v="0"/>
    <n v="0"/>
    <n v="0"/>
    <n v="0"/>
    <n v="0"/>
    <n v="0"/>
    <n v="0"/>
    <n v="0"/>
    <n v="0"/>
    <x v="0"/>
    <n v="0"/>
    <s v="MMR001CMP094"/>
    <x v="0"/>
    <x v="0"/>
    <x v="0"/>
    <s v=""/>
    <s v="No"/>
    <m/>
  </r>
  <r>
    <n v="40.200000000000003"/>
    <d v="2013-02-20T00:00:00"/>
    <x v="0"/>
    <s v="UNHCR"/>
    <s v="Kachin"/>
    <s v="Hpakant"/>
    <s v="Mashi Kahtawng Catholic Church"/>
    <m/>
    <m/>
    <n v="16"/>
    <n v="26"/>
    <n v="13"/>
    <n v="26"/>
    <n v="13"/>
    <n v="13"/>
    <n v="13"/>
    <n v="13"/>
    <m/>
    <m/>
    <m/>
    <m/>
    <m/>
    <m/>
    <m/>
    <n v="0"/>
    <n v="0"/>
    <n v="0"/>
    <n v="0"/>
    <n v="0"/>
    <n v="0"/>
    <n v="0"/>
    <n v="0"/>
    <n v="0"/>
    <n v="0"/>
    <n v="0"/>
    <n v="0"/>
    <n v="0"/>
    <n v="0"/>
    <x v="0"/>
    <n v="0"/>
    <s v="MMR001CMP093"/>
    <x v="0"/>
    <x v="0"/>
    <x v="0"/>
    <s v=""/>
    <s v="No"/>
    <m/>
  </r>
  <r>
    <n v="41.9"/>
    <d v="2012-12-31T00:00:00"/>
    <x v="3"/>
    <s v="DRC"/>
    <s v="Kachin"/>
    <s v="Hpakant"/>
    <s v="Mashi Kahtawng Catholic Church"/>
    <n v="2"/>
    <m/>
    <m/>
    <m/>
    <m/>
    <m/>
    <m/>
    <m/>
    <n v="0"/>
    <n v="0"/>
    <m/>
    <m/>
    <m/>
    <m/>
    <m/>
    <m/>
    <m/>
    <n v="0"/>
    <n v="0"/>
    <n v="0"/>
    <n v="0"/>
    <n v="0"/>
    <n v="0"/>
    <n v="0"/>
    <n v="0"/>
    <n v="0"/>
    <n v="0"/>
    <n v="0"/>
    <n v="0"/>
    <n v="0"/>
    <n v="0"/>
    <x v="0"/>
    <n v="0"/>
    <s v="MMR001CMP093"/>
    <x v="0"/>
    <x v="0"/>
    <x v="0"/>
    <s v=""/>
    <s v="No"/>
    <m/>
  </r>
  <r>
    <n v="20.6"/>
    <d v="2014-10-01T00:00:00"/>
    <x v="0"/>
    <s v="Shalom"/>
    <s v="Kachin"/>
    <s v="Myitkyina"/>
    <s v="Maw Hpawng Hka Nan Baptist Church"/>
    <m/>
    <m/>
    <m/>
    <n v="52"/>
    <m/>
    <m/>
    <m/>
    <m/>
    <m/>
    <m/>
    <m/>
    <m/>
    <m/>
    <m/>
    <m/>
    <m/>
    <m/>
    <n v="0"/>
    <n v="0"/>
    <n v="0"/>
    <n v="0"/>
    <n v="0"/>
    <n v="0"/>
    <n v="0"/>
    <n v="0"/>
    <n v="0"/>
    <n v="0"/>
    <n v="0"/>
    <n v="0"/>
    <n v="0"/>
    <n v="0"/>
    <x v="0"/>
    <n v="0"/>
    <s v="MMR001CMP020"/>
    <x v="0"/>
    <x v="1"/>
    <x v="1"/>
    <n v="0"/>
    <m/>
    <m/>
  </r>
  <r>
    <n v="23.9"/>
    <d v="2014-06-24T00:00:00"/>
    <x v="6"/>
    <s v="MRCS"/>
    <s v="Kachin"/>
    <s v="Myitkyina"/>
    <s v="Maw Hpawng Hka Nan Baptist Church"/>
    <m/>
    <m/>
    <m/>
    <m/>
    <m/>
    <m/>
    <m/>
    <m/>
    <m/>
    <m/>
    <m/>
    <m/>
    <m/>
    <n v="44"/>
    <m/>
    <m/>
    <m/>
    <n v="0"/>
    <n v="0"/>
    <n v="0"/>
    <n v="0"/>
    <n v="0"/>
    <n v="0"/>
    <n v="0"/>
    <n v="0"/>
    <n v="0"/>
    <n v="0"/>
    <n v="0"/>
    <n v="0"/>
    <n v="0"/>
    <n v="0"/>
    <x v="1"/>
    <n v="0"/>
    <s v="MMR001CMP020"/>
    <x v="0"/>
    <x v="1"/>
    <x v="1"/>
    <n v="0"/>
    <m/>
    <m/>
  </r>
  <r>
    <n v="24.833333333333332"/>
    <d v="2014-05-27T00:00:00"/>
    <x v="0"/>
    <s v="Shalom"/>
    <s v="Kachin"/>
    <s v="Myitkyina"/>
    <s v="Maw Hpawng Hka Nan Baptist Church"/>
    <m/>
    <m/>
    <n v="12"/>
    <n v="6"/>
    <n v="12"/>
    <n v="6"/>
    <m/>
    <n v="6"/>
    <n v="30"/>
    <m/>
    <m/>
    <m/>
    <m/>
    <m/>
    <m/>
    <m/>
    <m/>
    <n v="0"/>
    <n v="0"/>
    <n v="0"/>
    <n v="0"/>
    <n v="0"/>
    <n v="0"/>
    <n v="0"/>
    <n v="0"/>
    <n v="0"/>
    <n v="0"/>
    <n v="0"/>
    <n v="0"/>
    <n v="0"/>
    <n v="0"/>
    <x v="0"/>
    <n v="0"/>
    <s v="MMR001CMP020"/>
    <x v="0"/>
    <x v="1"/>
    <x v="1"/>
    <n v="0"/>
    <m/>
    <m/>
  </r>
  <r>
    <n v="41.9"/>
    <d v="2012-12-31T00:00:00"/>
    <x v="3"/>
    <s v="DRC"/>
    <s v="Kachin"/>
    <s v="Myitkyina"/>
    <s v="Maw Hpawng Hka Nan Baptist Church"/>
    <n v="14"/>
    <m/>
    <m/>
    <m/>
    <m/>
    <m/>
    <m/>
    <m/>
    <n v="0"/>
    <n v="0"/>
    <m/>
    <m/>
    <m/>
    <m/>
    <m/>
    <m/>
    <m/>
    <n v="0"/>
    <n v="0"/>
    <n v="0"/>
    <n v="0"/>
    <n v="0"/>
    <n v="0"/>
    <n v="0"/>
    <n v="0"/>
    <n v="0"/>
    <n v="0"/>
    <n v="0"/>
    <n v="0"/>
    <n v="0"/>
    <n v="0"/>
    <x v="0"/>
    <n v="0"/>
    <s v="MMR001CMP020"/>
    <x v="0"/>
    <x v="1"/>
    <x v="1"/>
    <n v="0"/>
    <s v="No"/>
    <m/>
  </r>
  <r>
    <n v="46.1"/>
    <d v="2012-08-27T00:00:00"/>
    <x v="0"/>
    <s v="UNHCR"/>
    <s v="Kachin"/>
    <s v="Myitkyina"/>
    <s v="Maw Hpawng Hka Nan Baptist Church"/>
    <m/>
    <m/>
    <m/>
    <n v="2"/>
    <n v="1"/>
    <n v="2"/>
    <n v="1"/>
    <n v="1"/>
    <n v="1"/>
    <n v="1"/>
    <m/>
    <m/>
    <m/>
    <m/>
    <m/>
    <m/>
    <m/>
    <n v="0"/>
    <n v="0"/>
    <n v="0"/>
    <n v="0"/>
    <n v="0"/>
    <n v="0"/>
    <n v="0"/>
    <n v="0"/>
    <n v="0"/>
    <n v="0"/>
    <n v="0"/>
    <n v="0"/>
    <n v="0"/>
    <n v="0"/>
    <x v="0"/>
    <n v="0"/>
    <s v="MMR001CMP020"/>
    <x v="0"/>
    <x v="1"/>
    <x v="1"/>
    <n v="4.7619047619047616E-2"/>
    <s v="No"/>
    <m/>
  </r>
  <r>
    <n v="46.7"/>
    <d v="2012-08-09T00:00:00"/>
    <x v="0"/>
    <s v="UNHCR"/>
    <s v="Kachin"/>
    <s v="Myitkyina"/>
    <s v="Maw Hpawng Hka Nan Baptist Church"/>
    <m/>
    <m/>
    <m/>
    <n v="2"/>
    <n v="1"/>
    <n v="2"/>
    <n v="1"/>
    <n v="1"/>
    <n v="1"/>
    <n v="1"/>
    <m/>
    <m/>
    <m/>
    <m/>
    <m/>
    <m/>
    <m/>
    <n v="0"/>
    <n v="0"/>
    <n v="0"/>
    <n v="0"/>
    <n v="0"/>
    <n v="0"/>
    <n v="0"/>
    <n v="0"/>
    <n v="0"/>
    <n v="0"/>
    <n v="0"/>
    <n v="0"/>
    <n v="0"/>
    <n v="0"/>
    <x v="0"/>
    <n v="0"/>
    <s v="MMR001CMP020"/>
    <x v="0"/>
    <x v="1"/>
    <x v="1"/>
    <n v="4.7619047619047616E-2"/>
    <s v="No"/>
    <m/>
  </r>
  <r>
    <n v="47.466666666666669"/>
    <d v="2012-07-17T00:00:00"/>
    <x v="0"/>
    <s v="UNHCR"/>
    <s v="Kachin"/>
    <s v="Myitkyina"/>
    <s v="Maw Hpawng Hka Nan Baptist Church"/>
    <m/>
    <m/>
    <m/>
    <n v="0"/>
    <n v="0"/>
    <n v="0"/>
    <n v="0"/>
    <n v="0"/>
    <m/>
    <m/>
    <m/>
    <m/>
    <m/>
    <m/>
    <m/>
    <m/>
    <m/>
    <n v="0"/>
    <n v="0"/>
    <n v="0"/>
    <n v="0"/>
    <n v="0"/>
    <n v="0"/>
    <n v="0"/>
    <n v="0"/>
    <n v="0"/>
    <n v="0"/>
    <n v="0"/>
    <n v="0"/>
    <n v="0"/>
    <n v="0"/>
    <x v="0"/>
    <n v="0"/>
    <s v="MMR001CMP020"/>
    <x v="0"/>
    <x v="1"/>
    <x v="1"/>
    <n v="0"/>
    <s v="No"/>
    <m/>
  </r>
  <r>
    <n v="47.466666666666669"/>
    <d v="2012-07-17T00:00:00"/>
    <x v="0"/>
    <s v="UNHCR"/>
    <s v="Kachin"/>
    <s v="Myitkyina"/>
    <s v="Maw Hpawng Hka Nan Baptist Church"/>
    <m/>
    <m/>
    <m/>
    <n v="19"/>
    <n v="19"/>
    <n v="19"/>
    <n v="19"/>
    <n v="19"/>
    <n v="19"/>
    <n v="19"/>
    <m/>
    <m/>
    <m/>
    <m/>
    <m/>
    <m/>
    <m/>
    <n v="0"/>
    <n v="0"/>
    <n v="0"/>
    <n v="0"/>
    <n v="0"/>
    <n v="0"/>
    <n v="0"/>
    <n v="0"/>
    <n v="0"/>
    <n v="0"/>
    <n v="0"/>
    <n v="0"/>
    <n v="0"/>
    <n v="0"/>
    <x v="0"/>
    <n v="0"/>
    <s v="MMR001CMP020"/>
    <x v="0"/>
    <x v="1"/>
    <x v="1"/>
    <n v="0.90476190476190477"/>
    <s v="No"/>
    <m/>
  </r>
  <r>
    <n v="49"/>
    <d v="2012-06-01T00:00:00"/>
    <x v="0"/>
    <s v="UNHCR"/>
    <s v="Kachin"/>
    <s v="Myitkyina"/>
    <s v="Maw Hpawng Hka Nan Baptist Church"/>
    <m/>
    <m/>
    <m/>
    <n v="22"/>
    <n v="11"/>
    <n v="22"/>
    <n v="11"/>
    <n v="11"/>
    <n v="11"/>
    <n v="11"/>
    <m/>
    <m/>
    <m/>
    <m/>
    <m/>
    <m/>
    <m/>
    <n v="0"/>
    <n v="0"/>
    <n v="0"/>
    <n v="0"/>
    <n v="0"/>
    <n v="0"/>
    <n v="0"/>
    <n v="0"/>
    <n v="0"/>
    <n v="0"/>
    <n v="0"/>
    <n v="0"/>
    <n v="0"/>
    <n v="0"/>
    <x v="0"/>
    <n v="0"/>
    <s v="MMR001CMP020"/>
    <x v="0"/>
    <x v="1"/>
    <x v="1"/>
    <n v="0.52380952380952384"/>
    <s v="No"/>
    <m/>
  </r>
  <r>
    <n v="52.833333333333336"/>
    <d v="2012-02-07T00:00:00"/>
    <x v="0"/>
    <s v="SC&amp;L Group"/>
    <s v="Kachin"/>
    <s v="Myitkyina"/>
    <s v="Maw Hpawng Hka Nan Baptist Church"/>
    <m/>
    <m/>
    <m/>
    <n v="38"/>
    <n v="18"/>
    <n v="38"/>
    <n v="18"/>
    <n v="18"/>
    <n v="18"/>
    <n v="18"/>
    <m/>
    <m/>
    <m/>
    <m/>
    <m/>
    <m/>
    <m/>
    <n v="0"/>
    <n v="0"/>
    <n v="0"/>
    <n v="0"/>
    <n v="0"/>
    <n v="0"/>
    <n v="0"/>
    <n v="0"/>
    <n v="0"/>
    <n v="0"/>
    <n v="0"/>
    <n v="0"/>
    <n v="0"/>
    <n v="0"/>
    <x v="0"/>
    <n v="0"/>
    <s v="MMR001CMP020"/>
    <x v="0"/>
    <x v="1"/>
    <x v="1"/>
    <n v="0.8571428571428571"/>
    <s v="No"/>
    <m/>
  </r>
  <r>
    <n v="20.6"/>
    <d v="2014-10-01T00:00:00"/>
    <x v="0"/>
    <s v="Shalom"/>
    <s v="Kachin"/>
    <s v="Myitkyina"/>
    <s v="Maw Hpawng Lhaovo Baptist Church"/>
    <m/>
    <m/>
    <m/>
    <n v="42"/>
    <m/>
    <m/>
    <m/>
    <m/>
    <m/>
    <m/>
    <m/>
    <m/>
    <m/>
    <m/>
    <m/>
    <m/>
    <m/>
    <n v="0"/>
    <n v="0"/>
    <n v="0"/>
    <n v="0"/>
    <n v="0"/>
    <n v="0"/>
    <n v="0"/>
    <n v="0"/>
    <n v="0"/>
    <n v="0"/>
    <n v="0"/>
    <n v="0"/>
    <n v="0"/>
    <n v="0"/>
    <x v="0"/>
    <n v="0"/>
    <s v="MMR001CMP021"/>
    <x v="0"/>
    <x v="1"/>
    <x v="1"/>
    <n v="0"/>
    <m/>
    <m/>
  </r>
  <r>
    <n v="23.9"/>
    <d v="2014-06-24T00:00:00"/>
    <x v="6"/>
    <s v="MRCS"/>
    <s v="Kachin"/>
    <s v="Myitkyina"/>
    <s v="Maw Hpawng Lhaovo Baptist Church"/>
    <m/>
    <m/>
    <m/>
    <m/>
    <m/>
    <m/>
    <m/>
    <m/>
    <m/>
    <m/>
    <m/>
    <m/>
    <m/>
    <n v="28"/>
    <m/>
    <m/>
    <m/>
    <n v="0"/>
    <n v="0"/>
    <n v="0"/>
    <n v="0"/>
    <n v="0"/>
    <n v="0"/>
    <n v="0"/>
    <n v="0"/>
    <n v="0"/>
    <n v="0"/>
    <n v="0"/>
    <n v="0"/>
    <n v="0"/>
    <n v="0"/>
    <x v="1"/>
    <n v="0"/>
    <s v="MMR001CMP021"/>
    <x v="0"/>
    <x v="1"/>
    <x v="1"/>
    <n v="0"/>
    <m/>
    <m/>
  </r>
  <r>
    <n v="40.700000000000003"/>
    <d v="2013-02-05T00:00:00"/>
    <x v="0"/>
    <s v="UNHCR"/>
    <s v="Kachin"/>
    <s v="Myitkyina"/>
    <s v="Maw Hpawng Lhaovo Baptist Church"/>
    <m/>
    <m/>
    <n v="10"/>
    <n v="16"/>
    <n v="7"/>
    <n v="16"/>
    <n v="7"/>
    <n v="7"/>
    <n v="7"/>
    <n v="7"/>
    <m/>
    <m/>
    <m/>
    <m/>
    <m/>
    <m/>
    <m/>
    <n v="0"/>
    <n v="0"/>
    <n v="0"/>
    <n v="0"/>
    <n v="0"/>
    <n v="0"/>
    <n v="0"/>
    <n v="0"/>
    <n v="0"/>
    <n v="0"/>
    <n v="0"/>
    <n v="0"/>
    <n v="0"/>
    <n v="0"/>
    <x v="0"/>
    <n v="0"/>
    <s v="MMR001CMP021"/>
    <x v="0"/>
    <x v="1"/>
    <x v="1"/>
    <n v="0.5"/>
    <s v="No"/>
    <m/>
  </r>
  <r>
    <n v="41.9"/>
    <d v="2012-12-31T00:00:00"/>
    <x v="3"/>
    <s v="DRC"/>
    <s v="Kachin"/>
    <s v="Myitkyina"/>
    <s v="Maw Hpawng Lhaovo Baptist Church"/>
    <n v="23"/>
    <m/>
    <m/>
    <m/>
    <m/>
    <m/>
    <m/>
    <m/>
    <n v="0"/>
    <n v="0"/>
    <m/>
    <m/>
    <m/>
    <m/>
    <m/>
    <m/>
    <m/>
    <n v="0"/>
    <n v="0"/>
    <n v="0"/>
    <n v="0"/>
    <n v="0"/>
    <n v="0"/>
    <n v="0"/>
    <n v="0"/>
    <n v="0"/>
    <n v="0"/>
    <n v="0"/>
    <n v="0"/>
    <n v="0"/>
    <n v="0"/>
    <x v="0"/>
    <n v="0"/>
    <s v="MMR001CMP021"/>
    <x v="0"/>
    <x v="1"/>
    <x v="1"/>
    <n v="0"/>
    <s v="No"/>
    <m/>
  </r>
  <r>
    <n v="46.1"/>
    <d v="2012-08-27T00:00:00"/>
    <x v="0"/>
    <s v="UNHCR"/>
    <s v="Kachin"/>
    <s v="Myitkyina"/>
    <s v="Maw Hpawng Lhaovo Baptist Church"/>
    <m/>
    <m/>
    <m/>
    <n v="10"/>
    <n v="5"/>
    <n v="10"/>
    <n v="5"/>
    <n v="5"/>
    <n v="5"/>
    <n v="5"/>
    <m/>
    <m/>
    <m/>
    <m/>
    <m/>
    <m/>
    <m/>
    <n v="0"/>
    <n v="0"/>
    <n v="0"/>
    <n v="0"/>
    <n v="0"/>
    <n v="0"/>
    <n v="0"/>
    <n v="0"/>
    <n v="0"/>
    <n v="0"/>
    <n v="0"/>
    <n v="0"/>
    <n v="0"/>
    <n v="0"/>
    <x v="0"/>
    <n v="0"/>
    <s v="MMR001CMP021"/>
    <x v="0"/>
    <x v="1"/>
    <x v="1"/>
    <n v="0.35714285714285715"/>
    <s v="No"/>
    <m/>
  </r>
  <r>
    <n v="46.7"/>
    <d v="2012-08-09T00:00:00"/>
    <x v="0"/>
    <s v="UNHCR"/>
    <s v="Kachin"/>
    <s v="Myitkyina"/>
    <s v="Maw Hpawng Lhaovo Baptist Church"/>
    <m/>
    <m/>
    <m/>
    <n v="10"/>
    <n v="5"/>
    <n v="10"/>
    <n v="5"/>
    <n v="5"/>
    <n v="5"/>
    <n v="5"/>
    <m/>
    <m/>
    <m/>
    <m/>
    <m/>
    <m/>
    <m/>
    <n v="0"/>
    <n v="0"/>
    <n v="0"/>
    <n v="0"/>
    <n v="0"/>
    <n v="0"/>
    <n v="0"/>
    <n v="0"/>
    <n v="0"/>
    <n v="0"/>
    <n v="0"/>
    <n v="0"/>
    <n v="0"/>
    <n v="0"/>
    <x v="0"/>
    <n v="0"/>
    <s v="MMR001CMP021"/>
    <x v="0"/>
    <x v="1"/>
    <x v="1"/>
    <n v="0.35714285714285715"/>
    <s v="No"/>
    <m/>
  </r>
  <r>
    <n v="49"/>
    <d v="2012-06-01T00:00:00"/>
    <x v="0"/>
    <s v="UNHCR"/>
    <s v="Kachin"/>
    <s v="Myitkyina"/>
    <s v="Maw Hpawng Lhaovo Baptist Church"/>
    <m/>
    <m/>
    <m/>
    <n v="35"/>
    <n v="17"/>
    <n v="35"/>
    <n v="17"/>
    <n v="17"/>
    <n v="17"/>
    <n v="17"/>
    <m/>
    <m/>
    <m/>
    <m/>
    <m/>
    <m/>
    <m/>
    <n v="0"/>
    <n v="0"/>
    <n v="0"/>
    <n v="0"/>
    <n v="0"/>
    <n v="0"/>
    <n v="0"/>
    <n v="0"/>
    <n v="0"/>
    <n v="0"/>
    <n v="0"/>
    <n v="0"/>
    <n v="0"/>
    <n v="0"/>
    <x v="0"/>
    <n v="0"/>
    <s v="MMR001CMP021"/>
    <x v="0"/>
    <x v="1"/>
    <x v="1"/>
    <n v="1.2142857142857142"/>
    <s v="No"/>
    <m/>
  </r>
  <r>
    <n v="41.9"/>
    <d v="2012-12-31T00:00:00"/>
    <x v="3"/>
    <s v="DRC"/>
    <s v="Kachin"/>
    <s v="Hpakant"/>
    <s v="Maw Si Zar, Thiriyardanar Sein, Damma Compound, Lone Khin"/>
    <n v="3"/>
    <m/>
    <m/>
    <m/>
    <m/>
    <m/>
    <m/>
    <m/>
    <n v="0"/>
    <n v="0"/>
    <m/>
    <m/>
    <m/>
    <m/>
    <m/>
    <m/>
    <m/>
    <n v="0"/>
    <n v="0"/>
    <n v="0"/>
    <n v="0"/>
    <n v="0"/>
    <n v="0"/>
    <n v="0"/>
    <n v="0"/>
    <n v="0"/>
    <n v="0"/>
    <n v="0"/>
    <n v="0"/>
    <n v="0"/>
    <n v="0"/>
    <x v="0"/>
    <n v="0"/>
    <s v="MMR001CMP106"/>
    <x v="0"/>
    <x v="0"/>
    <x v="0"/>
    <s v=""/>
    <s v="No"/>
    <m/>
  </r>
  <r>
    <n v="53.666666666666664"/>
    <d v="2012-01-13T00:00:00"/>
    <x v="0"/>
    <s v="KBC"/>
    <s v="Kachin"/>
    <s v="Hpakant"/>
    <s v="Maw Si Zar, Thiriyardanar Sein, Damma Compound, Lone Khin"/>
    <m/>
    <m/>
    <m/>
    <n v="224"/>
    <n v="112"/>
    <n v="112"/>
    <n v="0"/>
    <n v="112"/>
    <n v="112"/>
    <n v="112"/>
    <m/>
    <m/>
    <m/>
    <m/>
    <m/>
    <m/>
    <m/>
    <n v="0"/>
    <n v="0"/>
    <n v="0"/>
    <n v="0"/>
    <n v="0"/>
    <n v="0"/>
    <n v="0"/>
    <n v="0"/>
    <n v="0"/>
    <n v="0"/>
    <n v="0"/>
    <n v="0"/>
    <n v="0"/>
    <n v="0"/>
    <x v="0"/>
    <n v="0"/>
    <s v="MMR001CMP106"/>
    <x v="0"/>
    <x v="0"/>
    <x v="0"/>
    <s v=""/>
    <s v="No"/>
    <m/>
  </r>
  <r>
    <n v="39.266666666666666"/>
    <d v="2013-03-20T00:00:00"/>
    <x v="0"/>
    <s v="UNHCR"/>
    <s v="Kachin"/>
    <s v="Hpakant"/>
    <s v="Maw Wan, Kachin Baptist Church"/>
    <m/>
    <m/>
    <n v="18"/>
    <n v="17"/>
    <n v="17"/>
    <n v="42"/>
    <n v="17"/>
    <n v="42"/>
    <n v="42"/>
    <n v="42"/>
    <m/>
    <m/>
    <m/>
    <m/>
    <m/>
    <m/>
    <m/>
    <n v="0"/>
    <n v="0"/>
    <n v="0"/>
    <n v="0"/>
    <n v="0"/>
    <n v="0"/>
    <n v="0"/>
    <n v="0"/>
    <n v="0"/>
    <n v="0"/>
    <n v="0"/>
    <n v="0"/>
    <n v="0"/>
    <n v="0"/>
    <x v="0"/>
    <n v="0"/>
    <s v="MMR001CMP085"/>
    <x v="0"/>
    <x v="0"/>
    <x v="0"/>
    <s v=""/>
    <s v="No"/>
    <m/>
  </r>
  <r>
    <n v="40.200000000000003"/>
    <d v="2013-02-20T00:00:00"/>
    <x v="0"/>
    <s v="UNHCR"/>
    <s v="Kachin"/>
    <s v="Hpakant"/>
    <s v="Maw Wan, Kachin Baptist Church"/>
    <m/>
    <m/>
    <n v="85"/>
    <n v="138"/>
    <n v="65"/>
    <n v="138"/>
    <n v="65"/>
    <n v="65"/>
    <n v="65"/>
    <n v="65"/>
    <m/>
    <m/>
    <m/>
    <m/>
    <m/>
    <m/>
    <m/>
    <n v="0"/>
    <n v="0"/>
    <n v="0"/>
    <n v="0"/>
    <n v="0"/>
    <n v="0"/>
    <n v="0"/>
    <n v="0"/>
    <n v="0"/>
    <n v="0"/>
    <n v="0"/>
    <n v="0"/>
    <n v="0"/>
    <n v="0"/>
    <x v="0"/>
    <n v="0"/>
    <s v="MMR001CMP085"/>
    <x v="0"/>
    <x v="0"/>
    <x v="0"/>
    <s v=""/>
    <s v="No"/>
    <m/>
  </r>
  <r>
    <n v="41.9"/>
    <d v="2012-12-31T00:00:00"/>
    <x v="3"/>
    <s v="DRC"/>
    <s v="Kachin"/>
    <s v="Hpakant"/>
    <s v="Maw Wan, Kachin Baptist Church"/>
    <n v="10"/>
    <m/>
    <m/>
    <m/>
    <m/>
    <m/>
    <m/>
    <m/>
    <n v="0"/>
    <n v="0"/>
    <m/>
    <m/>
    <m/>
    <m/>
    <m/>
    <m/>
    <m/>
    <n v="0"/>
    <n v="0"/>
    <n v="0"/>
    <n v="0"/>
    <n v="0"/>
    <n v="0"/>
    <n v="0"/>
    <n v="0"/>
    <n v="0"/>
    <n v="0"/>
    <n v="0"/>
    <n v="0"/>
    <n v="0"/>
    <n v="0"/>
    <x v="0"/>
    <n v="0"/>
    <s v="MMR001CMP085"/>
    <x v="0"/>
    <x v="0"/>
    <x v="0"/>
    <s v=""/>
    <s v="No"/>
    <m/>
  </r>
  <r>
    <n v="53.666666666666664"/>
    <d v="2012-01-13T00:00:00"/>
    <x v="0"/>
    <s v="KBC"/>
    <s v="Kachin"/>
    <s v="Hpakant"/>
    <s v="Maw Wan, Kachin Baptist Church"/>
    <m/>
    <m/>
    <m/>
    <n v="34"/>
    <n v="17"/>
    <n v="17"/>
    <n v="0"/>
    <n v="17"/>
    <n v="17"/>
    <n v="17"/>
    <m/>
    <m/>
    <m/>
    <m/>
    <m/>
    <m/>
    <m/>
    <n v="0"/>
    <n v="0"/>
    <n v="0"/>
    <n v="0"/>
    <n v="0"/>
    <n v="0"/>
    <n v="0"/>
    <n v="0"/>
    <n v="0"/>
    <n v="0"/>
    <n v="0"/>
    <n v="0"/>
    <n v="0"/>
    <n v="0"/>
    <x v="0"/>
    <n v="0"/>
    <s v="MMR001CMP085"/>
    <x v="0"/>
    <x v="0"/>
    <x v="0"/>
    <s v=""/>
    <s v="No"/>
    <m/>
  </r>
  <r>
    <n v="19.600000000000001"/>
    <d v="2014-10-31T00:00:00"/>
    <x v="1"/>
    <s v="MRCS"/>
    <s v="Kachin"/>
    <s v="Hpakant"/>
    <s v="Maw Wan, Mu-yin Baptist Church"/>
    <m/>
    <m/>
    <m/>
    <m/>
    <m/>
    <m/>
    <m/>
    <m/>
    <m/>
    <m/>
    <n v="11"/>
    <n v="15"/>
    <m/>
    <m/>
    <m/>
    <m/>
    <m/>
    <n v="0"/>
    <n v="0"/>
    <n v="0"/>
    <n v="0"/>
    <n v="0"/>
    <n v="0"/>
    <n v="0"/>
    <n v="0"/>
    <n v="0"/>
    <n v="0"/>
    <n v="0"/>
    <n v="0"/>
    <n v="0"/>
    <n v="0"/>
    <x v="1"/>
    <n v="0"/>
    <s v="MMR001CMP091"/>
    <x v="0"/>
    <x v="1"/>
    <x v="1"/>
    <n v="0"/>
    <m/>
    <m/>
  </r>
  <r>
    <n v="19.600000000000001"/>
    <d v="2014-10-31T00:00:00"/>
    <x v="0"/>
    <m/>
    <s v="Kachin"/>
    <s v="Hpakant"/>
    <s v="Maw Wan, Mu-yin Baptist Church"/>
    <m/>
    <m/>
    <n v="5"/>
    <n v="10"/>
    <n v="5"/>
    <n v="10"/>
    <n v="5"/>
    <m/>
    <n v="5"/>
    <n v="25"/>
    <m/>
    <m/>
    <m/>
    <m/>
    <m/>
    <m/>
    <m/>
    <n v="0"/>
    <n v="0"/>
    <n v="0"/>
    <n v="0"/>
    <n v="0"/>
    <n v="0"/>
    <n v="0"/>
    <n v="0"/>
    <n v="0"/>
    <n v="0"/>
    <n v="0"/>
    <n v="0"/>
    <n v="0"/>
    <n v="0"/>
    <x v="0"/>
    <n v="0"/>
    <s v="MMR001CMP091"/>
    <x v="0"/>
    <x v="1"/>
    <x v="1"/>
    <n v="1"/>
    <m/>
    <m/>
  </r>
  <r>
    <n v="20.6"/>
    <d v="2014-10-01T00:00:00"/>
    <x v="0"/>
    <s v="Shalom"/>
    <s v="Kachin"/>
    <s v="Hpakant"/>
    <s v="Maw Wan, Mu-yin Baptist Church"/>
    <m/>
    <m/>
    <m/>
    <n v="10"/>
    <m/>
    <m/>
    <m/>
    <m/>
    <m/>
    <m/>
    <m/>
    <m/>
    <m/>
    <m/>
    <m/>
    <m/>
    <m/>
    <n v="0"/>
    <n v="0"/>
    <n v="0"/>
    <n v="0"/>
    <n v="0"/>
    <n v="0"/>
    <n v="0"/>
    <n v="0"/>
    <n v="0"/>
    <n v="0"/>
    <n v="0"/>
    <n v="0"/>
    <n v="0"/>
    <n v="0"/>
    <x v="0"/>
    <n v="0"/>
    <s v="MMR001CMP091"/>
    <x v="0"/>
    <x v="1"/>
    <x v="1"/>
    <n v="0"/>
    <m/>
    <m/>
  </r>
  <r>
    <n v="39.266666666666666"/>
    <d v="2013-03-20T00:00:00"/>
    <x v="0"/>
    <s v="UNHCR"/>
    <s v="Kachin"/>
    <s v="Hpakant"/>
    <s v="Maw Wan, Mu-yin Baptist Church"/>
    <m/>
    <m/>
    <n v="17"/>
    <n v="17"/>
    <n v="17"/>
    <n v="41"/>
    <n v="17"/>
    <n v="41"/>
    <n v="41"/>
    <n v="41"/>
    <m/>
    <m/>
    <m/>
    <m/>
    <m/>
    <m/>
    <m/>
    <n v="0"/>
    <n v="0"/>
    <n v="0"/>
    <n v="0"/>
    <n v="0"/>
    <n v="0"/>
    <n v="0"/>
    <n v="0"/>
    <n v="0"/>
    <n v="0"/>
    <n v="0"/>
    <n v="0"/>
    <n v="0"/>
    <n v="0"/>
    <x v="0"/>
    <n v="0"/>
    <s v="MMR001CMP091"/>
    <x v="0"/>
    <x v="1"/>
    <x v="1"/>
    <n v="3.4"/>
    <s v="No"/>
    <m/>
  </r>
  <r>
    <n v="41.9"/>
    <d v="2012-12-31T00:00:00"/>
    <x v="3"/>
    <s v="DRC"/>
    <s v="Kachin"/>
    <s v="Hpakant"/>
    <s v="Maw Wan, Mu-yin Baptist Church"/>
    <n v="2"/>
    <m/>
    <m/>
    <m/>
    <m/>
    <m/>
    <m/>
    <m/>
    <n v="0"/>
    <n v="0"/>
    <m/>
    <m/>
    <m/>
    <m/>
    <m/>
    <m/>
    <m/>
    <n v="0"/>
    <n v="0"/>
    <n v="0"/>
    <n v="0"/>
    <n v="0"/>
    <n v="0"/>
    <n v="0"/>
    <n v="0"/>
    <n v="0"/>
    <n v="0"/>
    <n v="0"/>
    <n v="0"/>
    <n v="0"/>
    <n v="0"/>
    <x v="0"/>
    <n v="0"/>
    <s v="MMR001CMP091"/>
    <x v="0"/>
    <x v="1"/>
    <x v="1"/>
    <n v="0"/>
    <s v="No"/>
    <m/>
  </r>
  <r>
    <n v="40.233333333333334"/>
    <d v="2013-02-19T00:00:00"/>
    <x v="0"/>
    <s v="UNHCR"/>
    <s v="Kachin"/>
    <s v="Hpakant"/>
    <s v="May Di Ka Rama Monastery(Lon Khin)"/>
    <m/>
    <m/>
    <n v="9"/>
    <n v="21"/>
    <n v="9"/>
    <n v="21"/>
    <n v="9"/>
    <n v="9"/>
    <n v="9"/>
    <n v="9"/>
    <m/>
    <m/>
    <m/>
    <m/>
    <m/>
    <m/>
    <m/>
    <n v="0"/>
    <n v="0"/>
    <n v="0"/>
    <n v="0"/>
    <n v="0"/>
    <n v="0"/>
    <n v="0"/>
    <n v="0"/>
    <n v="0"/>
    <n v="0"/>
    <n v="0"/>
    <n v="0"/>
    <n v="0"/>
    <n v="0"/>
    <x v="0"/>
    <n v="0"/>
    <s v="MMR001CMP178"/>
    <x v="0"/>
    <x v="0"/>
    <x v="0"/>
    <s v=""/>
    <s v="No"/>
    <m/>
  </r>
  <r>
    <n v="41.9"/>
    <d v="2012-12-31T00:00:00"/>
    <x v="3"/>
    <s v="DRC"/>
    <s v="Kachin"/>
    <s v="Hpakant"/>
    <s v="May Di Ka Rama Monastery(Lon Khin)"/>
    <n v="5"/>
    <m/>
    <m/>
    <m/>
    <m/>
    <m/>
    <m/>
    <m/>
    <n v="0"/>
    <n v="0"/>
    <m/>
    <m/>
    <m/>
    <m/>
    <m/>
    <m/>
    <m/>
    <n v="0"/>
    <n v="0"/>
    <n v="0"/>
    <n v="0"/>
    <n v="0"/>
    <n v="0"/>
    <n v="0"/>
    <n v="0"/>
    <n v="0"/>
    <n v="0"/>
    <n v="0"/>
    <n v="0"/>
    <n v="0"/>
    <n v="0"/>
    <x v="0"/>
    <n v="0"/>
    <s v="MMR001CMP178"/>
    <x v="0"/>
    <x v="0"/>
    <x v="0"/>
    <s v=""/>
    <s v="No"/>
    <m/>
  </r>
  <r>
    <n v="30.766666666666666"/>
    <d v="2013-11-30T00:00:00"/>
    <x v="4"/>
    <s v="MDCG"/>
    <s v="Shan_North"/>
    <s v="Kutkai"/>
    <s v="Mine Yu Lay village"/>
    <m/>
    <m/>
    <m/>
    <m/>
    <m/>
    <n v="258"/>
    <m/>
    <m/>
    <m/>
    <m/>
    <n v="349"/>
    <n v="175"/>
    <n v="0"/>
    <m/>
    <m/>
    <m/>
    <m/>
    <n v="0"/>
    <n v="0"/>
    <n v="0"/>
    <n v="0"/>
    <n v="0"/>
    <n v="0"/>
    <n v="0"/>
    <n v="0"/>
    <n v="0"/>
    <n v="0"/>
    <n v="0"/>
    <n v="0"/>
    <n v="0"/>
    <n v="0"/>
    <x v="1"/>
    <n v="0"/>
    <s v="MMR015CMP018"/>
    <x v="0"/>
    <x v="1"/>
    <x v="4"/>
    <n v="0"/>
    <s v="No"/>
    <m/>
  </r>
  <r>
    <n v="34.4"/>
    <d v="2013-08-13T00:00:00"/>
    <x v="0"/>
    <s v="KBC"/>
    <s v="Shan_North"/>
    <s v="Kutkai"/>
    <s v="Mine Yu Lay village"/>
    <m/>
    <m/>
    <n v="113"/>
    <n v="160"/>
    <n v="32"/>
    <n v="160"/>
    <n v="32"/>
    <n v="32"/>
    <n v="32"/>
    <n v="32"/>
    <m/>
    <m/>
    <m/>
    <m/>
    <m/>
    <m/>
    <m/>
    <n v="0"/>
    <n v="0"/>
    <n v="0"/>
    <n v="0"/>
    <n v="0"/>
    <n v="0"/>
    <n v="0"/>
    <n v="0"/>
    <n v="0"/>
    <n v="0"/>
    <n v="0"/>
    <n v="0"/>
    <n v="0"/>
    <n v="0"/>
    <x v="0"/>
    <n v="0"/>
    <s v="MMR015CMP018"/>
    <x v="0"/>
    <x v="1"/>
    <x v="4"/>
    <n v="0.50793650793650791"/>
    <s v="No"/>
    <m/>
  </r>
  <r>
    <n v="16.2"/>
    <d v="2015-02-10T00:00:00"/>
    <x v="0"/>
    <s v="UNHCR"/>
    <s v="Shan_North"/>
    <s v="Mansi"/>
    <s v="Moe Gok (A Shae Kyaung)"/>
    <m/>
    <m/>
    <m/>
    <n v="49"/>
    <n v="16"/>
    <n v="49"/>
    <n v="16"/>
    <m/>
    <n v="16"/>
    <n v="92"/>
    <m/>
    <m/>
    <m/>
    <m/>
    <n v="15"/>
    <m/>
    <m/>
    <n v="0"/>
    <n v="0"/>
    <n v="0"/>
    <n v="0"/>
    <n v="0"/>
    <n v="0"/>
    <n v="0"/>
    <n v="0"/>
    <n v="0"/>
    <n v="0"/>
    <n v="0"/>
    <n v="0"/>
    <n v="0"/>
    <n v="0"/>
    <x v="0"/>
    <n v="0"/>
    <s v=""/>
    <x v="1"/>
    <x v="2"/>
    <x v="0"/>
    <s v=""/>
    <s v="No"/>
    <m/>
  </r>
  <r>
    <n v="16.2"/>
    <d v="2015-02-10T00:00:00"/>
    <x v="0"/>
    <s v="UNHCR"/>
    <s v="Shan_North"/>
    <s v="Mansi"/>
    <s v="Moe Gok (Aung Daw Mu)"/>
    <m/>
    <m/>
    <m/>
    <n v="75"/>
    <n v="13"/>
    <n v="110"/>
    <n v="13"/>
    <m/>
    <n v="13"/>
    <n v="45"/>
    <m/>
    <m/>
    <m/>
    <m/>
    <m/>
    <m/>
    <m/>
    <n v="0"/>
    <n v="0"/>
    <n v="0"/>
    <n v="0"/>
    <n v="0"/>
    <n v="0"/>
    <n v="0"/>
    <n v="0"/>
    <n v="0"/>
    <n v="0"/>
    <n v="0"/>
    <n v="0"/>
    <n v="0"/>
    <n v="0"/>
    <x v="0"/>
    <n v="0"/>
    <s v=""/>
    <x v="1"/>
    <x v="2"/>
    <x v="0"/>
    <s v=""/>
    <s v="No"/>
    <m/>
  </r>
  <r>
    <n v="16.2"/>
    <d v="2015-02-10T00:00:00"/>
    <x v="0"/>
    <s v="UNHCR"/>
    <s v="Shan_North"/>
    <s v="Mansi"/>
    <s v="Moe Gok (Pain Pyit Lisu Village)"/>
    <m/>
    <n v="200"/>
    <m/>
    <n v="86"/>
    <n v="28"/>
    <n v="173"/>
    <n v="28"/>
    <m/>
    <n v="43"/>
    <n v="199"/>
    <m/>
    <m/>
    <m/>
    <m/>
    <n v="42"/>
    <m/>
    <m/>
    <n v="0"/>
    <n v="0"/>
    <n v="0"/>
    <n v="0"/>
    <n v="0"/>
    <n v="0"/>
    <n v="0"/>
    <n v="0"/>
    <n v="0"/>
    <n v="0"/>
    <n v="0"/>
    <n v="0"/>
    <n v="0"/>
    <n v="0"/>
    <x v="0"/>
    <n v="0"/>
    <s v=""/>
    <x v="1"/>
    <x v="2"/>
    <x v="0"/>
    <s v=""/>
    <s v="No"/>
    <m/>
  </r>
  <r>
    <n v="16.2"/>
    <d v="2015-02-10T00:00:00"/>
    <x v="0"/>
    <s v="UNHCR"/>
    <s v="Shan_North"/>
    <s v="Mansi"/>
    <s v="Moe Mait (Man Ohn0"/>
    <m/>
    <m/>
    <m/>
    <n v="90"/>
    <n v="43"/>
    <n v="93"/>
    <n v="43"/>
    <m/>
    <n v="32"/>
    <n v="164"/>
    <m/>
    <m/>
    <m/>
    <m/>
    <n v="43"/>
    <m/>
    <m/>
    <n v="0"/>
    <n v="0"/>
    <n v="0"/>
    <n v="0"/>
    <n v="0"/>
    <n v="0"/>
    <n v="0"/>
    <n v="0"/>
    <n v="0"/>
    <n v="0"/>
    <n v="0"/>
    <n v="0"/>
    <n v="0"/>
    <n v="0"/>
    <x v="0"/>
    <n v="0"/>
    <s v=""/>
    <x v="1"/>
    <x v="2"/>
    <x v="0"/>
    <s v=""/>
    <s v="No"/>
    <m/>
  </r>
  <r>
    <n v="47.466666666666669"/>
    <d v="2012-07-17T00:00:00"/>
    <x v="0"/>
    <s v="UNHCR"/>
    <s v="Kachin"/>
    <s v="Waingmaw"/>
    <s v="Moke Lwe Village - Hkar Shi"/>
    <m/>
    <m/>
    <m/>
    <n v="0"/>
    <n v="0"/>
    <n v="0"/>
    <n v="0"/>
    <n v="0"/>
    <m/>
    <m/>
    <m/>
    <m/>
    <m/>
    <m/>
    <m/>
    <m/>
    <m/>
    <n v="0"/>
    <n v="0"/>
    <n v="0"/>
    <n v="0"/>
    <n v="0"/>
    <n v="0"/>
    <n v="0"/>
    <n v="0"/>
    <n v="0"/>
    <n v="0"/>
    <n v="0"/>
    <n v="0"/>
    <n v="0"/>
    <n v="0"/>
    <x v="0"/>
    <n v="0"/>
    <s v="MMR001CMP035"/>
    <x v="0"/>
    <x v="0"/>
    <x v="0"/>
    <s v=""/>
    <s v="No"/>
    <m/>
  </r>
  <r>
    <n v="12.4"/>
    <d v="2015-06-04T00:00:00"/>
    <x v="0"/>
    <s v="KBC"/>
    <s v="Kachin"/>
    <s v="Momauk"/>
    <s v="Momauk Baptist Church"/>
    <m/>
    <m/>
    <m/>
    <m/>
    <n v="80"/>
    <m/>
    <m/>
    <m/>
    <m/>
    <m/>
    <m/>
    <m/>
    <m/>
    <m/>
    <m/>
    <m/>
    <m/>
    <n v="0"/>
    <n v="0"/>
    <n v="0"/>
    <n v="0"/>
    <n v="0"/>
    <n v="0"/>
    <n v="0"/>
    <n v="0"/>
    <n v="0"/>
    <n v="0"/>
    <n v="0"/>
    <n v="0"/>
    <n v="0"/>
    <n v="0"/>
    <x v="0"/>
    <n v="0"/>
    <s v="MMR001CMP056"/>
    <x v="0"/>
    <x v="1"/>
    <x v="1"/>
    <n v="0"/>
    <s v="No"/>
    <m/>
  </r>
  <r>
    <n v="23"/>
    <d v="2014-07-21T00:00:00"/>
    <x v="0"/>
    <m/>
    <s v="Kachin"/>
    <s v="Momauk"/>
    <s v="Momauk Baptist Church"/>
    <m/>
    <m/>
    <m/>
    <m/>
    <n v="75"/>
    <m/>
    <m/>
    <m/>
    <m/>
    <m/>
    <m/>
    <m/>
    <m/>
    <m/>
    <m/>
    <m/>
    <m/>
    <n v="0"/>
    <n v="0"/>
    <n v="0"/>
    <n v="0"/>
    <n v="0"/>
    <n v="0"/>
    <n v="0"/>
    <n v="0"/>
    <n v="0"/>
    <n v="0"/>
    <n v="0"/>
    <n v="0"/>
    <n v="0"/>
    <n v="0"/>
    <x v="0"/>
    <n v="0"/>
    <s v="MMR001CMP056"/>
    <x v="0"/>
    <x v="1"/>
    <x v="1"/>
    <n v="0"/>
    <m/>
    <m/>
  </r>
  <r>
    <n v="23.866666666666667"/>
    <d v="2014-06-25T00:00:00"/>
    <x v="6"/>
    <s v="MRCS"/>
    <s v="Kachin"/>
    <s v="Momauk"/>
    <s v="Momauk Baptist Church"/>
    <m/>
    <m/>
    <m/>
    <m/>
    <m/>
    <m/>
    <m/>
    <m/>
    <m/>
    <m/>
    <m/>
    <m/>
    <m/>
    <n v="832"/>
    <m/>
    <m/>
    <m/>
    <n v="0"/>
    <n v="0"/>
    <n v="0"/>
    <n v="0"/>
    <n v="0"/>
    <n v="0"/>
    <n v="0"/>
    <n v="0"/>
    <n v="0"/>
    <n v="0"/>
    <n v="0"/>
    <n v="0"/>
    <n v="0"/>
    <n v="0"/>
    <x v="1"/>
    <n v="0"/>
    <s v="MMR001CMP056"/>
    <x v="0"/>
    <x v="1"/>
    <x v="1"/>
    <n v="0"/>
    <m/>
    <m/>
  </r>
  <r>
    <n v="24.566666666666666"/>
    <d v="2014-06-04T00:00:00"/>
    <x v="0"/>
    <s v="KBC"/>
    <s v="Kachin"/>
    <s v="Momauk"/>
    <s v="Momauk Baptist Church"/>
    <m/>
    <m/>
    <m/>
    <m/>
    <n v="80"/>
    <m/>
    <m/>
    <m/>
    <m/>
    <m/>
    <m/>
    <m/>
    <m/>
    <m/>
    <m/>
    <m/>
    <m/>
    <n v="0"/>
    <n v="0"/>
    <n v="0"/>
    <n v="0"/>
    <n v="0"/>
    <n v="0"/>
    <n v="0"/>
    <n v="0"/>
    <n v="0"/>
    <n v="0"/>
    <n v="0"/>
    <n v="0"/>
    <n v="0"/>
    <n v="0"/>
    <x v="0"/>
    <n v="0"/>
    <s v="MMR001CMP056"/>
    <x v="0"/>
    <x v="1"/>
    <x v="1"/>
    <n v="0"/>
    <s v="No"/>
    <m/>
  </r>
  <r>
    <n v="25.266666666666666"/>
    <d v="2014-05-14T00:00:00"/>
    <x v="0"/>
    <s v="UNHCR"/>
    <s v="Kachin"/>
    <s v="Momauk"/>
    <s v="Momauk Baptist Church"/>
    <m/>
    <m/>
    <n v="5"/>
    <n v="6"/>
    <n v="32"/>
    <n v="6"/>
    <n v="2"/>
    <n v="2"/>
    <n v="2"/>
    <n v="10"/>
    <m/>
    <m/>
    <m/>
    <m/>
    <m/>
    <m/>
    <m/>
    <n v="0"/>
    <n v="0"/>
    <n v="0"/>
    <n v="0"/>
    <n v="0"/>
    <n v="0"/>
    <n v="0"/>
    <n v="0"/>
    <n v="0"/>
    <n v="0"/>
    <n v="0"/>
    <n v="0"/>
    <n v="0"/>
    <n v="0"/>
    <x v="0"/>
    <n v="0"/>
    <s v="MMR001CMP056"/>
    <x v="0"/>
    <x v="1"/>
    <x v="1"/>
    <n v="8.8495575221238937E-3"/>
    <s v="No"/>
    <m/>
  </r>
  <r>
    <n v="26.033333333333335"/>
    <d v="2014-04-21T00:00:00"/>
    <x v="0"/>
    <s v="UNHCR"/>
    <s v="Kachin"/>
    <s v="Momauk"/>
    <s v="Momauk Baptist Church"/>
    <m/>
    <m/>
    <n v="15"/>
    <n v="16"/>
    <n v="50"/>
    <n v="16"/>
    <n v="7"/>
    <n v="7"/>
    <n v="7"/>
    <n v="13"/>
    <m/>
    <m/>
    <m/>
    <m/>
    <m/>
    <m/>
    <m/>
    <n v="0"/>
    <n v="0"/>
    <n v="0"/>
    <n v="0"/>
    <n v="0"/>
    <n v="0"/>
    <n v="0"/>
    <n v="0"/>
    <n v="0"/>
    <n v="0"/>
    <n v="0"/>
    <n v="0"/>
    <n v="0"/>
    <n v="0"/>
    <x v="0"/>
    <n v="0"/>
    <s v="MMR001CMP056"/>
    <x v="0"/>
    <x v="1"/>
    <x v="1"/>
    <n v="3.0973451327433628E-2"/>
    <s v="No"/>
    <m/>
  </r>
  <r>
    <n v="26.166666666666668"/>
    <d v="2014-04-17T00:00:00"/>
    <x v="0"/>
    <s v="UNHCR"/>
    <s v="Kachin"/>
    <s v="Momauk"/>
    <s v="Momauk Baptist Church"/>
    <m/>
    <m/>
    <m/>
    <n v="8"/>
    <n v="4"/>
    <n v="12"/>
    <n v="4"/>
    <n v="4"/>
    <n v="4"/>
    <n v="41"/>
    <m/>
    <m/>
    <m/>
    <m/>
    <m/>
    <m/>
    <m/>
    <n v="0"/>
    <n v="0"/>
    <n v="0"/>
    <n v="0"/>
    <n v="0"/>
    <n v="0"/>
    <n v="0"/>
    <n v="0"/>
    <n v="0"/>
    <n v="0"/>
    <n v="0"/>
    <n v="0"/>
    <n v="0"/>
    <n v="0"/>
    <x v="0"/>
    <n v="0"/>
    <s v="MMR001CMP056"/>
    <x v="0"/>
    <x v="1"/>
    <x v="1"/>
    <n v="1.7699115044247787E-2"/>
    <s v="No"/>
    <m/>
  </r>
  <r>
    <n v="26.266666666666666"/>
    <d v="2014-04-14T00:00:00"/>
    <x v="0"/>
    <s v="UNHCR"/>
    <s v="Kachin"/>
    <s v="Momauk"/>
    <s v="Momauk Baptist Church"/>
    <m/>
    <m/>
    <m/>
    <n v="10"/>
    <n v="5"/>
    <n v="15"/>
    <n v="5"/>
    <n v="5"/>
    <n v="5"/>
    <m/>
    <m/>
    <m/>
    <m/>
    <m/>
    <m/>
    <m/>
    <m/>
    <n v="0"/>
    <n v="0"/>
    <n v="0"/>
    <n v="0"/>
    <n v="0"/>
    <n v="0"/>
    <n v="0"/>
    <n v="0"/>
    <n v="0"/>
    <n v="0"/>
    <n v="0"/>
    <n v="0"/>
    <n v="0"/>
    <n v="0"/>
    <x v="0"/>
    <n v="0"/>
    <s v="MMR001CMP056"/>
    <x v="0"/>
    <x v="1"/>
    <x v="1"/>
    <n v="2.2123893805309734E-2"/>
    <s v="No"/>
    <m/>
  </r>
  <r>
    <n v="30.666666666666668"/>
    <d v="2013-12-03T00:00:00"/>
    <x v="0"/>
    <s v="UNHCR"/>
    <s v="Kachin"/>
    <s v="Momauk"/>
    <s v="Momauk Baptist Church"/>
    <m/>
    <m/>
    <m/>
    <n v="25"/>
    <n v="13"/>
    <n v="25"/>
    <n v="13"/>
    <n v="13"/>
    <m/>
    <m/>
    <m/>
    <m/>
    <m/>
    <m/>
    <m/>
    <m/>
    <m/>
    <n v="0"/>
    <n v="0"/>
    <n v="0"/>
    <n v="0"/>
    <n v="0"/>
    <n v="0"/>
    <n v="0"/>
    <n v="0"/>
    <n v="0"/>
    <n v="0"/>
    <n v="0"/>
    <n v="0"/>
    <n v="0"/>
    <n v="0"/>
    <x v="0"/>
    <n v="0"/>
    <s v="MMR001CMP056"/>
    <x v="0"/>
    <x v="1"/>
    <x v="1"/>
    <n v="5.7522123893805309E-2"/>
    <s v="No"/>
    <m/>
  </r>
  <r>
    <n v="30.766666666666666"/>
    <d v="2013-11-30T00:00:00"/>
    <x v="5"/>
    <m/>
    <s v="Kachin"/>
    <s v="Momauk"/>
    <s v="Momauk Baptist Church"/>
    <m/>
    <m/>
    <m/>
    <m/>
    <m/>
    <m/>
    <m/>
    <m/>
    <m/>
    <n v="906"/>
    <m/>
    <m/>
    <m/>
    <m/>
    <m/>
    <m/>
    <m/>
    <n v="0"/>
    <n v="0"/>
    <n v="0"/>
    <n v="0"/>
    <n v="0"/>
    <n v="0"/>
    <n v="0"/>
    <n v="0"/>
    <n v="0"/>
    <n v="0"/>
    <n v="0"/>
    <n v="0"/>
    <n v="0"/>
    <n v="0"/>
    <x v="0"/>
    <n v="0"/>
    <s v="MMR001CMP056"/>
    <x v="0"/>
    <x v="1"/>
    <x v="1"/>
    <n v="0"/>
    <s v="No"/>
    <m/>
  </r>
  <r>
    <n v="41.366666666666667"/>
    <d v="2013-01-16T00:00:00"/>
    <x v="5"/>
    <s v="Solidarities"/>
    <s v="Kachin"/>
    <s v="Momauk"/>
    <s v="Momauk Baptist Church"/>
    <n v="1215"/>
    <m/>
    <n v="1735"/>
    <m/>
    <m/>
    <m/>
    <m/>
    <m/>
    <n v="0"/>
    <n v="0"/>
    <m/>
    <m/>
    <m/>
    <m/>
    <m/>
    <m/>
    <m/>
    <n v="0"/>
    <n v="0"/>
    <n v="0"/>
    <n v="0"/>
    <n v="0"/>
    <n v="0"/>
    <n v="0"/>
    <n v="0"/>
    <n v="0"/>
    <n v="0"/>
    <n v="0"/>
    <n v="0"/>
    <n v="0"/>
    <n v="0"/>
    <x v="0"/>
    <n v="0"/>
    <s v="MMR001CMP056"/>
    <x v="0"/>
    <x v="1"/>
    <x v="1"/>
    <n v="0"/>
    <s v="No"/>
    <m/>
  </r>
  <r>
    <n v="48.2"/>
    <d v="2012-06-25T00:00:00"/>
    <x v="0"/>
    <s v="UNHCR"/>
    <s v="Kachin"/>
    <s v="Momauk"/>
    <s v="Momauk Baptist Church"/>
    <m/>
    <m/>
    <m/>
    <n v="290"/>
    <n v="145"/>
    <n v="290"/>
    <n v="145"/>
    <n v="145"/>
    <n v="145"/>
    <n v="145"/>
    <m/>
    <m/>
    <m/>
    <m/>
    <m/>
    <m/>
    <m/>
    <n v="0"/>
    <n v="0"/>
    <n v="0"/>
    <n v="0"/>
    <n v="0"/>
    <n v="0"/>
    <n v="0"/>
    <n v="0"/>
    <n v="0"/>
    <n v="0"/>
    <n v="0"/>
    <n v="0"/>
    <n v="0"/>
    <n v="0"/>
    <x v="0"/>
    <n v="0"/>
    <s v="MMR001CMP056"/>
    <x v="0"/>
    <x v="1"/>
    <x v="1"/>
    <n v="0.6415929203539823"/>
    <s v="No"/>
    <m/>
  </r>
  <r>
    <n v="23.966666666666665"/>
    <d v="2014-06-22T00:00:00"/>
    <x v="6"/>
    <s v="MRCS"/>
    <s v="Kachin"/>
    <s v="Momauk"/>
    <s v="Momauk Catholic Church (St. Patrick)"/>
    <m/>
    <m/>
    <m/>
    <m/>
    <m/>
    <m/>
    <m/>
    <m/>
    <m/>
    <m/>
    <m/>
    <m/>
    <m/>
    <n v="462"/>
    <m/>
    <m/>
    <m/>
    <n v="0"/>
    <n v="0"/>
    <n v="0"/>
    <n v="0"/>
    <n v="0"/>
    <n v="0"/>
    <n v="0"/>
    <n v="0"/>
    <n v="0"/>
    <n v="0"/>
    <n v="0"/>
    <n v="0"/>
    <n v="0"/>
    <n v="0"/>
    <x v="1"/>
    <n v="0"/>
    <s v="MMR001CMP057"/>
    <x v="0"/>
    <x v="0"/>
    <x v="1"/>
    <s v=""/>
    <m/>
    <m/>
  </r>
  <r>
    <n v="30.766666666666666"/>
    <d v="2013-11-30T00:00:00"/>
    <x v="5"/>
    <m/>
    <s v="Kachin"/>
    <s v="Momauk"/>
    <s v="Momauk Catholic Church (St. Patrick)"/>
    <m/>
    <m/>
    <m/>
    <m/>
    <m/>
    <m/>
    <m/>
    <m/>
    <m/>
    <n v="543"/>
    <m/>
    <m/>
    <m/>
    <m/>
    <m/>
    <m/>
    <m/>
    <n v="0"/>
    <n v="0"/>
    <n v="0"/>
    <n v="0"/>
    <n v="0"/>
    <n v="0"/>
    <n v="0"/>
    <n v="0"/>
    <n v="0"/>
    <n v="0"/>
    <n v="0"/>
    <n v="0"/>
    <n v="0"/>
    <n v="0"/>
    <x v="0"/>
    <n v="0"/>
    <s v="MMR001CMP057"/>
    <x v="0"/>
    <x v="0"/>
    <x v="1"/>
    <s v=""/>
    <s v="No"/>
    <m/>
  </r>
  <r>
    <n v="41.1"/>
    <d v="2013-01-24T00:00:00"/>
    <x v="5"/>
    <s v="Solidarities"/>
    <s v="Kachin"/>
    <s v="Momauk"/>
    <s v="Momauk Catholic Church (St. Patrick)"/>
    <n v="793"/>
    <m/>
    <n v="1125"/>
    <m/>
    <m/>
    <m/>
    <m/>
    <m/>
    <n v="0"/>
    <n v="0"/>
    <m/>
    <m/>
    <m/>
    <m/>
    <m/>
    <m/>
    <m/>
    <n v="0"/>
    <n v="0"/>
    <n v="0"/>
    <n v="0"/>
    <n v="0"/>
    <n v="0"/>
    <n v="0"/>
    <n v="0"/>
    <n v="0"/>
    <n v="0"/>
    <n v="0"/>
    <n v="0"/>
    <n v="0"/>
    <n v="0"/>
    <x v="0"/>
    <n v="0"/>
    <s v="MMR001CMP057"/>
    <x v="0"/>
    <x v="0"/>
    <x v="1"/>
    <s v=""/>
    <s v="No"/>
    <m/>
  </r>
  <r>
    <n v="45.4"/>
    <d v="2012-09-17T00:00:00"/>
    <x v="0"/>
    <s v="UNHCR"/>
    <s v="Kachin"/>
    <s v="Momauk"/>
    <s v="Momauk Catholic Church (St. Patrick)"/>
    <m/>
    <m/>
    <m/>
    <n v="86"/>
    <n v="43"/>
    <n v="86"/>
    <n v="43"/>
    <n v="43"/>
    <n v="43"/>
    <n v="43"/>
    <m/>
    <m/>
    <m/>
    <m/>
    <m/>
    <m/>
    <m/>
    <n v="0"/>
    <n v="0"/>
    <n v="0"/>
    <n v="0"/>
    <n v="0"/>
    <n v="0"/>
    <n v="0"/>
    <n v="0"/>
    <n v="0"/>
    <n v="0"/>
    <n v="0"/>
    <n v="0"/>
    <n v="0"/>
    <n v="0"/>
    <x v="0"/>
    <n v="0"/>
    <s v="MMR001CMP057"/>
    <x v="0"/>
    <x v="0"/>
    <x v="1"/>
    <s v=""/>
    <s v="No"/>
    <m/>
  </r>
  <r>
    <n v="48.866666666666667"/>
    <d v="2012-06-05T00:00:00"/>
    <x v="0"/>
    <s v="UNHCR"/>
    <s v="Kachin"/>
    <s v="Momauk"/>
    <s v="Momauk Catholic Church (St. Patrick)"/>
    <m/>
    <m/>
    <m/>
    <n v="10"/>
    <n v="5"/>
    <n v="10"/>
    <n v="5"/>
    <n v="5"/>
    <n v="5"/>
    <n v="5"/>
    <m/>
    <m/>
    <m/>
    <m/>
    <m/>
    <m/>
    <m/>
    <n v="0"/>
    <n v="0"/>
    <n v="0"/>
    <n v="0"/>
    <n v="0"/>
    <n v="0"/>
    <n v="0"/>
    <n v="0"/>
    <n v="0"/>
    <n v="0"/>
    <n v="0"/>
    <n v="0"/>
    <n v="0"/>
    <n v="0"/>
    <x v="0"/>
    <n v="0"/>
    <s v="MMR001CMP057"/>
    <x v="0"/>
    <x v="0"/>
    <x v="1"/>
    <s v=""/>
    <s v="No"/>
    <m/>
  </r>
  <r>
    <n v="50.9"/>
    <d v="2012-04-05T00:00:00"/>
    <x v="0"/>
    <s v="UNHCR"/>
    <s v="Kachin"/>
    <s v="Momauk"/>
    <s v="Momauk Catholic Church (St. Patrick)"/>
    <m/>
    <m/>
    <m/>
    <n v="0"/>
    <n v="50"/>
    <n v="0"/>
    <n v="0"/>
    <n v="0"/>
    <m/>
    <m/>
    <m/>
    <m/>
    <m/>
    <m/>
    <m/>
    <m/>
    <m/>
    <n v="0"/>
    <n v="0"/>
    <n v="0"/>
    <n v="0"/>
    <n v="0"/>
    <n v="0"/>
    <n v="0"/>
    <n v="0"/>
    <n v="0"/>
    <n v="0"/>
    <n v="0"/>
    <n v="0"/>
    <n v="0"/>
    <n v="0"/>
    <x v="0"/>
    <n v="0"/>
    <s v="MMR001CMP057"/>
    <x v="0"/>
    <x v="0"/>
    <x v="1"/>
    <s v=""/>
    <s v="No"/>
    <m/>
  </r>
  <r>
    <n v="51.233333333333334"/>
    <d v="2012-03-26T00:00:00"/>
    <x v="0"/>
    <s v="UNHCR"/>
    <s v="Kachin"/>
    <s v="Momauk"/>
    <s v="Momauk Catholic Church (St. Patrick)"/>
    <m/>
    <m/>
    <m/>
    <n v="49"/>
    <n v="49"/>
    <n v="0"/>
    <n v="0"/>
    <n v="49"/>
    <n v="49"/>
    <n v="49"/>
    <m/>
    <m/>
    <m/>
    <m/>
    <m/>
    <m/>
    <m/>
    <n v="0"/>
    <n v="0"/>
    <n v="0"/>
    <n v="0"/>
    <n v="0"/>
    <n v="0"/>
    <n v="0"/>
    <n v="0"/>
    <n v="0"/>
    <n v="0"/>
    <n v="0"/>
    <n v="0"/>
    <n v="0"/>
    <n v="0"/>
    <x v="0"/>
    <n v="0"/>
    <s v="MMR001CMP057"/>
    <x v="0"/>
    <x v="0"/>
    <x v="1"/>
    <s v=""/>
    <s v="No"/>
    <m/>
  </r>
  <r>
    <n v="40.266666666666666"/>
    <d v="2013-02-18T00:00:00"/>
    <x v="0"/>
    <s v="KBC"/>
    <s v="Shan_North"/>
    <s v="Muse"/>
    <s v="Munekoe Pa (Giwang) - Hka San (Mung  Go  Pa ) "/>
    <m/>
    <m/>
    <n v="60"/>
    <n v="60"/>
    <n v="30"/>
    <n v="60"/>
    <n v="30"/>
    <n v="30"/>
    <n v="30"/>
    <n v="30"/>
    <m/>
    <m/>
    <m/>
    <m/>
    <m/>
    <m/>
    <m/>
    <n v="0"/>
    <n v="0"/>
    <n v="0"/>
    <n v="0"/>
    <n v="0"/>
    <n v="0"/>
    <n v="0"/>
    <n v="0"/>
    <n v="0"/>
    <n v="0"/>
    <n v="0"/>
    <n v="0"/>
    <n v="0"/>
    <n v="0"/>
    <x v="0"/>
    <n v="0"/>
    <s v="MMR015CMP012"/>
    <x v="0"/>
    <x v="0"/>
    <x v="2"/>
    <s v=""/>
    <s v="No"/>
    <m/>
  </r>
  <r>
    <n v="47.43333333333333"/>
    <d v="2012-07-18T00:00:00"/>
    <x v="0"/>
    <s v="UNHCR"/>
    <s v="Kachin"/>
    <s v="Mansi"/>
    <s v="Mung Ding Pa  (Boarder)"/>
    <m/>
    <m/>
    <m/>
    <n v="170"/>
    <n v="16"/>
    <n v="170"/>
    <n v="85"/>
    <n v="85"/>
    <n v="85"/>
    <n v="85"/>
    <m/>
    <m/>
    <m/>
    <m/>
    <m/>
    <m/>
    <m/>
    <n v="0"/>
    <n v="0"/>
    <n v="0"/>
    <n v="0"/>
    <n v="0"/>
    <n v="0"/>
    <n v="0"/>
    <n v="0"/>
    <n v="0"/>
    <n v="0"/>
    <n v="0"/>
    <n v="0"/>
    <n v="0"/>
    <n v="0"/>
    <x v="0"/>
    <n v="0"/>
    <s v="MMR001CMP203"/>
    <x v="0"/>
    <x v="0"/>
    <x v="0"/>
    <s v=""/>
    <s v="No"/>
    <m/>
  </r>
  <r>
    <n v="34.4"/>
    <d v="2013-08-13T00:00:00"/>
    <x v="0"/>
    <s v="KMSS"/>
    <s v="Shan_North"/>
    <s v="Kutkai"/>
    <s v="Mungji Pa Dabang (Baptist Church)         "/>
    <m/>
    <m/>
    <n v="30"/>
    <n v="56"/>
    <n v="23"/>
    <n v="56"/>
    <n v="23"/>
    <n v="23"/>
    <n v="23"/>
    <n v="23"/>
    <m/>
    <m/>
    <m/>
    <m/>
    <m/>
    <m/>
    <m/>
    <n v="0"/>
    <n v="0"/>
    <n v="0"/>
    <n v="0"/>
    <n v="0"/>
    <n v="0"/>
    <n v="0"/>
    <n v="0"/>
    <n v="0"/>
    <n v="0"/>
    <n v="0"/>
    <n v="0"/>
    <n v="0"/>
    <n v="0"/>
    <x v="0"/>
    <n v="0"/>
    <s v="MMR015CMP006"/>
    <x v="0"/>
    <x v="1"/>
    <x v="2"/>
    <n v="0.46938775510204084"/>
    <s v="No"/>
    <m/>
  </r>
  <r>
    <n v="40.266666666666666"/>
    <d v="2013-02-18T00:00:00"/>
    <x v="0"/>
    <s v="KBC"/>
    <s v="Shan_North"/>
    <s v="Kutkai"/>
    <s v="Mungji Pa Dabang (Baptist Church)         "/>
    <m/>
    <m/>
    <n v="93"/>
    <n v="93"/>
    <n v="46"/>
    <n v="93"/>
    <n v="46"/>
    <n v="46"/>
    <n v="46"/>
    <n v="46"/>
    <m/>
    <m/>
    <m/>
    <m/>
    <m/>
    <m/>
    <m/>
    <n v="0"/>
    <n v="0"/>
    <n v="0"/>
    <n v="0"/>
    <n v="0"/>
    <n v="0"/>
    <n v="0"/>
    <n v="0"/>
    <n v="0"/>
    <n v="0"/>
    <n v="0"/>
    <n v="0"/>
    <n v="0"/>
    <n v="0"/>
    <x v="0"/>
    <n v="0"/>
    <s v="MMR015CMP006"/>
    <x v="0"/>
    <x v="1"/>
    <x v="2"/>
    <n v="0.93877551020408168"/>
    <s v="No"/>
    <m/>
  </r>
  <r>
    <n v="34.4"/>
    <d v="2013-08-13T00:00:00"/>
    <x v="0"/>
    <s v="KMSS"/>
    <s v="Shan_North"/>
    <s v="Kutkai"/>
    <s v="Mungji Pa Dabang (RC Church)         "/>
    <m/>
    <m/>
    <n v="70"/>
    <n v="130"/>
    <n v="52"/>
    <n v="130"/>
    <n v="52"/>
    <n v="52"/>
    <n v="52"/>
    <n v="52"/>
    <m/>
    <m/>
    <m/>
    <m/>
    <m/>
    <m/>
    <m/>
    <n v="0"/>
    <n v="0"/>
    <n v="0"/>
    <n v="0"/>
    <n v="0"/>
    <n v="0"/>
    <n v="0"/>
    <n v="0"/>
    <n v="0"/>
    <n v="0"/>
    <n v="0"/>
    <n v="0"/>
    <n v="0"/>
    <n v="0"/>
    <x v="0"/>
    <n v="0"/>
    <s v="MMR015CMP019"/>
    <x v="0"/>
    <x v="0"/>
    <x v="0"/>
    <s v=""/>
    <s v="No"/>
    <m/>
  </r>
  <r>
    <n v="39.266666666666666"/>
    <d v="2013-03-20T00:00:00"/>
    <x v="0"/>
    <s v="UNHCR"/>
    <s v="Kachin"/>
    <s v="Hpakant"/>
    <s v="Muring Baptist Church, Awng Ra, Wa Ra Zut VT"/>
    <m/>
    <m/>
    <n v="48"/>
    <n v="48"/>
    <n v="48"/>
    <n v="98"/>
    <n v="48"/>
    <n v="98"/>
    <n v="98"/>
    <n v="98"/>
    <m/>
    <m/>
    <m/>
    <m/>
    <m/>
    <m/>
    <m/>
    <n v="0"/>
    <n v="0"/>
    <n v="0"/>
    <n v="0"/>
    <n v="0"/>
    <n v="0"/>
    <n v="0"/>
    <n v="0"/>
    <n v="0"/>
    <n v="0"/>
    <n v="0"/>
    <n v="0"/>
    <n v="0"/>
    <n v="0"/>
    <x v="0"/>
    <n v="0"/>
    <s v="MMR001CMP177"/>
    <x v="0"/>
    <x v="0"/>
    <x v="0"/>
    <s v=""/>
    <s v="No"/>
    <m/>
  </r>
  <r>
    <n v="41.9"/>
    <d v="2012-12-31T00:00:00"/>
    <x v="3"/>
    <s v="DRC"/>
    <s v="Kachin"/>
    <s v="Hpakant"/>
    <s v="Muring Baptist Church, Awng Ra, Wa Ra Zut VT"/>
    <n v="1"/>
    <m/>
    <m/>
    <m/>
    <m/>
    <m/>
    <m/>
    <m/>
    <n v="0"/>
    <n v="0"/>
    <m/>
    <m/>
    <m/>
    <m/>
    <m/>
    <m/>
    <m/>
    <n v="0"/>
    <n v="0"/>
    <n v="0"/>
    <n v="0"/>
    <n v="0"/>
    <n v="0"/>
    <n v="0"/>
    <n v="0"/>
    <n v="0"/>
    <n v="0"/>
    <n v="0"/>
    <n v="0"/>
    <n v="0"/>
    <n v="0"/>
    <x v="0"/>
    <n v="0"/>
    <s v="MMR001CMP177"/>
    <x v="0"/>
    <x v="0"/>
    <x v="0"/>
    <s v=""/>
    <s v="No"/>
    <m/>
  </r>
  <r>
    <n v="25.366666666666667"/>
    <d v="2014-05-11T00:00:00"/>
    <x v="0"/>
    <m/>
    <s v="Shan_North"/>
    <s v="Muse"/>
    <s v="Muse Baptist Church"/>
    <m/>
    <m/>
    <m/>
    <n v="138"/>
    <n v="19"/>
    <n v="238"/>
    <n v="19"/>
    <n v="0"/>
    <n v="19"/>
    <n v="95"/>
    <m/>
    <m/>
    <m/>
    <m/>
    <m/>
    <m/>
    <m/>
    <n v="0"/>
    <n v="0"/>
    <n v="0"/>
    <n v="0"/>
    <n v="0"/>
    <n v="0"/>
    <n v="0"/>
    <n v="0"/>
    <n v="0"/>
    <n v="0"/>
    <n v="0"/>
    <n v="0"/>
    <n v="0"/>
    <n v="0"/>
    <x v="0"/>
    <n v="0"/>
    <s v="MMR015CMP213"/>
    <x v="2"/>
    <x v="1"/>
    <x v="1"/>
    <n v="0.36538461538461536"/>
    <m/>
    <s v="Items distributed to other affected people"/>
  </r>
  <r>
    <n v="25.366666666666667"/>
    <d v="2014-05-11T00:00:00"/>
    <x v="0"/>
    <m/>
    <s v="Shan_North"/>
    <s v="Muse"/>
    <s v="Muse Baptist Church"/>
    <m/>
    <m/>
    <m/>
    <n v="162"/>
    <n v="81"/>
    <n v="162"/>
    <n v="81"/>
    <m/>
    <n v="81"/>
    <n v="405"/>
    <m/>
    <m/>
    <m/>
    <m/>
    <m/>
    <m/>
    <m/>
    <n v="0"/>
    <n v="0"/>
    <n v="0"/>
    <n v="0"/>
    <n v="0"/>
    <n v="0"/>
    <n v="0"/>
    <n v="0"/>
    <n v="0"/>
    <n v="0"/>
    <n v="0"/>
    <n v="0"/>
    <n v="0"/>
    <n v="0"/>
    <x v="0"/>
    <n v="0"/>
    <s v="MMR015CMP213"/>
    <x v="2"/>
    <x v="1"/>
    <x v="1"/>
    <n v="1.5576923076923077"/>
    <m/>
    <m/>
  </r>
  <r>
    <n v="25.333333333333332"/>
    <d v="2014-05-12T00:00:00"/>
    <x v="0"/>
    <m/>
    <s v="Shan_North"/>
    <s v="Muse"/>
    <s v="Muse Catholic Church"/>
    <m/>
    <m/>
    <m/>
    <n v="68"/>
    <n v="9"/>
    <n v="118"/>
    <n v="9"/>
    <n v="0"/>
    <n v="9"/>
    <n v="45"/>
    <m/>
    <m/>
    <m/>
    <m/>
    <m/>
    <m/>
    <m/>
    <n v="0"/>
    <n v="0"/>
    <n v="0"/>
    <n v="0"/>
    <n v="0"/>
    <n v="0"/>
    <n v="0"/>
    <n v="0"/>
    <n v="0"/>
    <n v="0"/>
    <n v="0"/>
    <n v="0"/>
    <n v="0"/>
    <n v="0"/>
    <x v="0"/>
    <n v="0"/>
    <s v="MMR015CMP216"/>
    <x v="2"/>
    <x v="1"/>
    <x v="1"/>
    <n v="0.34615384615384615"/>
    <m/>
    <s v="Items distributed to other affected people"/>
  </r>
  <r>
    <n v="25.333333333333332"/>
    <d v="2014-05-12T00:00:00"/>
    <x v="0"/>
    <m/>
    <s v="Shan_North"/>
    <s v="Muse"/>
    <s v="Muse Catholic Church"/>
    <m/>
    <m/>
    <m/>
    <n v="82"/>
    <n v="41"/>
    <n v="82"/>
    <n v="41"/>
    <m/>
    <n v="41"/>
    <n v="205"/>
    <m/>
    <m/>
    <m/>
    <m/>
    <m/>
    <m/>
    <m/>
    <n v="0"/>
    <n v="0"/>
    <n v="0"/>
    <n v="0"/>
    <n v="0"/>
    <n v="0"/>
    <n v="0"/>
    <n v="0"/>
    <n v="0"/>
    <n v="0"/>
    <n v="0"/>
    <n v="0"/>
    <n v="0"/>
    <n v="0"/>
    <x v="0"/>
    <n v="0"/>
    <s v="MMR015CMP216"/>
    <x v="2"/>
    <x v="1"/>
    <x v="1"/>
    <n v="1.5769230769230769"/>
    <m/>
    <m/>
  </r>
  <r>
    <n v="2.3666666666666667"/>
    <d v="2016-03-31T00:00:00"/>
    <x v="0"/>
    <s v="Shalom"/>
    <s v="Kachin"/>
    <s v="Bhamo"/>
    <s v="Mu-yin Baptist Church"/>
    <m/>
    <m/>
    <m/>
    <m/>
    <n v="4"/>
    <m/>
    <m/>
    <m/>
    <m/>
    <m/>
    <m/>
    <m/>
    <m/>
    <m/>
    <m/>
    <m/>
    <m/>
    <n v="0"/>
    <n v="0"/>
    <n v="0"/>
    <n v="0"/>
    <n v="4"/>
    <n v="0"/>
    <n v="0"/>
    <n v="0"/>
    <n v="0"/>
    <n v="0"/>
    <n v="0"/>
    <n v="0"/>
    <n v="0"/>
    <n v="0"/>
    <x v="0"/>
    <n v="0"/>
    <s v="MMR001CMP051"/>
    <x v="0"/>
    <x v="1"/>
    <x v="1"/>
    <n v="0"/>
    <m/>
    <m/>
  </r>
  <r>
    <n v="14.466666666666667"/>
    <d v="2015-04-03T00:00:00"/>
    <x v="0"/>
    <s v="Shalom-BM"/>
    <s v="Kachin"/>
    <s v="Bhamo"/>
    <s v="Mu-yin Baptist Church"/>
    <m/>
    <m/>
    <m/>
    <m/>
    <n v="3"/>
    <n v="53"/>
    <m/>
    <m/>
    <n v="3"/>
    <n v="11"/>
    <m/>
    <m/>
    <m/>
    <m/>
    <n v="3"/>
    <m/>
    <m/>
    <n v="0"/>
    <n v="0"/>
    <n v="0"/>
    <n v="0"/>
    <n v="0"/>
    <n v="0"/>
    <n v="0"/>
    <n v="0"/>
    <n v="0"/>
    <n v="0"/>
    <n v="0"/>
    <n v="0"/>
    <n v="0"/>
    <n v="0"/>
    <x v="0"/>
    <n v="0"/>
    <s v="MMR001CMP051"/>
    <x v="0"/>
    <x v="1"/>
    <x v="1"/>
    <n v="0"/>
    <s v="No"/>
    <m/>
  </r>
  <r>
    <n v="25.2"/>
    <d v="2014-05-16T00:00:00"/>
    <x v="0"/>
    <s v="UNHCR"/>
    <s v="Kachin"/>
    <s v="Bhamo"/>
    <s v="Mu-yin Baptist Church"/>
    <m/>
    <m/>
    <m/>
    <n v="10"/>
    <n v="4"/>
    <n v="10"/>
    <n v="4"/>
    <n v="4"/>
    <n v="4"/>
    <n v="18"/>
    <m/>
    <m/>
    <m/>
    <m/>
    <m/>
    <m/>
    <m/>
    <n v="0"/>
    <n v="0"/>
    <n v="0"/>
    <n v="0"/>
    <n v="0"/>
    <n v="0"/>
    <n v="0"/>
    <n v="0"/>
    <n v="0"/>
    <n v="0"/>
    <n v="0"/>
    <n v="0"/>
    <n v="0"/>
    <n v="0"/>
    <x v="0"/>
    <n v="0"/>
    <s v="MMR001CMP051"/>
    <x v="0"/>
    <x v="1"/>
    <x v="1"/>
    <n v="0.2857142857142857"/>
    <s v="No"/>
    <m/>
  </r>
  <r>
    <n v="26.666666666666668"/>
    <d v="2014-04-02T00:00:00"/>
    <x v="0"/>
    <s v="UNHCR"/>
    <s v="Kachin"/>
    <s v="Bhamo"/>
    <s v="Mu-yin Baptist Church"/>
    <m/>
    <m/>
    <m/>
    <m/>
    <n v="1"/>
    <n v="3"/>
    <n v="2"/>
    <m/>
    <n v="3"/>
    <m/>
    <m/>
    <m/>
    <m/>
    <m/>
    <m/>
    <m/>
    <m/>
    <n v="0"/>
    <n v="0"/>
    <n v="0"/>
    <n v="0"/>
    <n v="0"/>
    <n v="0"/>
    <n v="0"/>
    <n v="0"/>
    <n v="0"/>
    <n v="0"/>
    <n v="0"/>
    <n v="0"/>
    <n v="0"/>
    <n v="0"/>
    <x v="0"/>
    <n v="0"/>
    <s v="MMR001CMP051"/>
    <x v="0"/>
    <x v="1"/>
    <x v="1"/>
    <n v="0.14285714285714285"/>
    <s v="No"/>
    <m/>
  </r>
  <r>
    <n v="30.9"/>
    <d v="2013-11-26T00:00:00"/>
    <x v="0"/>
    <s v="UNHCR"/>
    <s v="Kachin"/>
    <s v="Bhamo"/>
    <s v="Mu-yin Baptist Church"/>
    <m/>
    <m/>
    <m/>
    <n v="22"/>
    <n v="11"/>
    <n v="22"/>
    <n v="11"/>
    <n v="11"/>
    <m/>
    <m/>
    <m/>
    <m/>
    <m/>
    <m/>
    <m/>
    <m/>
    <m/>
    <n v="0"/>
    <n v="0"/>
    <n v="0"/>
    <n v="0"/>
    <n v="0"/>
    <n v="0"/>
    <n v="0"/>
    <n v="0"/>
    <n v="0"/>
    <n v="0"/>
    <n v="0"/>
    <n v="0"/>
    <n v="0"/>
    <n v="0"/>
    <x v="0"/>
    <n v="0"/>
    <s v="MMR001CMP051"/>
    <x v="0"/>
    <x v="1"/>
    <x v="1"/>
    <n v="0.7857142857142857"/>
    <s v="No"/>
    <m/>
  </r>
  <r>
    <n v="20.6"/>
    <d v="2014-10-01T00:00:00"/>
    <x v="0"/>
    <s v="Shalom"/>
    <s v="Kachin"/>
    <s v="Myitkyina"/>
    <s v="Myay Myint Baptist Church"/>
    <m/>
    <m/>
    <m/>
    <n v="24"/>
    <m/>
    <m/>
    <m/>
    <m/>
    <m/>
    <m/>
    <m/>
    <m/>
    <m/>
    <m/>
    <m/>
    <m/>
    <m/>
    <n v="0"/>
    <n v="0"/>
    <n v="0"/>
    <n v="0"/>
    <n v="0"/>
    <n v="0"/>
    <n v="0"/>
    <n v="0"/>
    <n v="0"/>
    <n v="0"/>
    <n v="0"/>
    <n v="0"/>
    <n v="0"/>
    <n v="0"/>
    <x v="0"/>
    <n v="0"/>
    <s v="MMR001CMP017"/>
    <x v="0"/>
    <x v="0"/>
    <x v="1"/>
    <s v=""/>
    <m/>
    <m/>
  </r>
  <r>
    <n v="25.033333333333335"/>
    <d v="2014-05-21T00:00:00"/>
    <x v="6"/>
    <s v="MRCS"/>
    <s v="Kachin"/>
    <s v="Myitkyina"/>
    <s v="Myay Myint Baptist Church"/>
    <m/>
    <m/>
    <m/>
    <m/>
    <m/>
    <m/>
    <m/>
    <m/>
    <m/>
    <m/>
    <m/>
    <m/>
    <m/>
    <n v="24"/>
    <m/>
    <m/>
    <m/>
    <n v="0"/>
    <n v="0"/>
    <n v="0"/>
    <n v="0"/>
    <n v="0"/>
    <n v="0"/>
    <n v="0"/>
    <n v="0"/>
    <n v="0"/>
    <n v="0"/>
    <n v="0"/>
    <n v="0"/>
    <n v="0"/>
    <n v="0"/>
    <x v="1"/>
    <n v="0"/>
    <s v="MMR001CMP017"/>
    <x v="0"/>
    <x v="0"/>
    <x v="1"/>
    <s v=""/>
    <m/>
    <m/>
  </r>
  <r>
    <n v="41.9"/>
    <d v="2012-12-31T00:00:00"/>
    <x v="3"/>
    <s v="DRC"/>
    <s v="Kachin"/>
    <s v="Myitkyina"/>
    <s v="Myay Myint Baptist Church"/>
    <n v="12"/>
    <m/>
    <m/>
    <m/>
    <m/>
    <m/>
    <m/>
    <m/>
    <n v="0"/>
    <n v="0"/>
    <m/>
    <m/>
    <m/>
    <m/>
    <m/>
    <m/>
    <m/>
    <n v="0"/>
    <n v="0"/>
    <n v="0"/>
    <n v="0"/>
    <n v="0"/>
    <n v="0"/>
    <n v="0"/>
    <n v="0"/>
    <n v="0"/>
    <n v="0"/>
    <n v="0"/>
    <n v="0"/>
    <n v="0"/>
    <n v="0"/>
    <x v="0"/>
    <n v="0"/>
    <s v="MMR001CMP017"/>
    <x v="0"/>
    <x v="0"/>
    <x v="1"/>
    <s v=""/>
    <s v="No"/>
    <m/>
  </r>
  <r>
    <n v="45.633333333333333"/>
    <d v="2012-09-10T00:00:00"/>
    <x v="0"/>
    <s v="UNHCR"/>
    <s v="Kachin"/>
    <s v="Myitkyina"/>
    <s v="Myay Myint Baptist Church"/>
    <m/>
    <m/>
    <m/>
    <n v="10"/>
    <n v="6"/>
    <n v="10"/>
    <n v="6"/>
    <n v="6"/>
    <n v="6"/>
    <n v="6"/>
    <m/>
    <m/>
    <m/>
    <m/>
    <m/>
    <m/>
    <m/>
    <n v="0"/>
    <n v="0"/>
    <n v="0"/>
    <n v="0"/>
    <n v="0"/>
    <n v="0"/>
    <n v="0"/>
    <n v="0"/>
    <n v="0"/>
    <n v="0"/>
    <n v="0"/>
    <n v="0"/>
    <n v="0"/>
    <n v="0"/>
    <x v="0"/>
    <n v="0"/>
    <s v="MMR001CMP017"/>
    <x v="0"/>
    <x v="0"/>
    <x v="1"/>
    <s v=""/>
    <s v="No"/>
    <m/>
  </r>
  <r>
    <n v="49.966666666666669"/>
    <d v="2012-05-03T00:00:00"/>
    <x v="0"/>
    <s v="UNHCR"/>
    <s v="Kachin"/>
    <s v="Myitkyina"/>
    <s v="Myay Myint Baptist Church"/>
    <m/>
    <m/>
    <m/>
    <n v="0"/>
    <n v="0"/>
    <n v="0"/>
    <n v="0"/>
    <n v="5"/>
    <n v="5"/>
    <n v="5"/>
    <m/>
    <m/>
    <m/>
    <m/>
    <m/>
    <m/>
    <m/>
    <n v="0"/>
    <n v="0"/>
    <n v="0"/>
    <n v="0"/>
    <n v="0"/>
    <n v="0"/>
    <n v="0"/>
    <n v="0"/>
    <n v="0"/>
    <n v="0"/>
    <n v="0"/>
    <n v="0"/>
    <n v="0"/>
    <n v="0"/>
    <x v="0"/>
    <n v="0"/>
    <s v="MMR001CMP017"/>
    <x v="0"/>
    <x v="0"/>
    <x v="1"/>
    <s v=""/>
    <s v="No"/>
    <m/>
  </r>
  <r>
    <n v="56"/>
    <d v="2011-11-04T00:00:00"/>
    <x v="0"/>
    <s v="KBC"/>
    <s v="Kachin"/>
    <s v="Myitkyina"/>
    <s v="Myay Myint Baptist Church"/>
    <m/>
    <m/>
    <m/>
    <n v="10"/>
    <n v="6"/>
    <n v="10"/>
    <n v="6"/>
    <n v="6"/>
    <n v="6"/>
    <n v="6"/>
    <m/>
    <m/>
    <m/>
    <m/>
    <m/>
    <m/>
    <m/>
    <n v="0"/>
    <n v="0"/>
    <n v="0"/>
    <n v="0"/>
    <n v="0"/>
    <n v="0"/>
    <n v="0"/>
    <n v="0"/>
    <n v="0"/>
    <n v="0"/>
    <n v="0"/>
    <n v="0"/>
    <n v="0"/>
    <n v="0"/>
    <x v="0"/>
    <n v="0"/>
    <s v="MMR001CMP017"/>
    <x v="0"/>
    <x v="0"/>
    <x v="1"/>
    <s v=""/>
    <s v="No"/>
    <m/>
  </r>
  <r>
    <n v="34.4"/>
    <d v="2013-08-13T00:00:00"/>
    <x v="0"/>
    <s v="KBC"/>
    <s v="Shan_North"/>
    <s v="Hseni"/>
    <s v="Na Ti (Koe Kant Traditional school)"/>
    <m/>
    <m/>
    <n v="67"/>
    <n v="90"/>
    <n v="30"/>
    <n v="90"/>
    <n v="30"/>
    <n v="30"/>
    <n v="30"/>
    <n v="30"/>
    <m/>
    <m/>
    <m/>
    <m/>
    <m/>
    <m/>
    <m/>
    <n v="0"/>
    <n v="0"/>
    <n v="0"/>
    <n v="0"/>
    <n v="0"/>
    <n v="0"/>
    <n v="0"/>
    <n v="0"/>
    <n v="0"/>
    <n v="0"/>
    <n v="0"/>
    <n v="0"/>
    <n v="0"/>
    <n v="0"/>
    <x v="0"/>
    <n v="0"/>
    <s v=""/>
    <x v="1"/>
    <x v="2"/>
    <x v="0"/>
    <s v=""/>
    <s v="No"/>
    <m/>
  </r>
  <r>
    <n v="34.4"/>
    <d v="2013-08-13T00:00:00"/>
    <x v="0"/>
    <s v="KBC"/>
    <s v="Shan_North"/>
    <s v="Namhkan"/>
    <s v="Nam Hkam - Nay Win Ni (Palawng)"/>
    <m/>
    <m/>
    <n v="125"/>
    <n v="233"/>
    <n v="93"/>
    <n v="233"/>
    <n v="93"/>
    <n v="93"/>
    <n v="93"/>
    <n v="93"/>
    <m/>
    <m/>
    <m/>
    <m/>
    <m/>
    <m/>
    <m/>
    <n v="0"/>
    <n v="0"/>
    <n v="0"/>
    <n v="0"/>
    <n v="0"/>
    <n v="0"/>
    <n v="0"/>
    <n v="0"/>
    <n v="0"/>
    <n v="0"/>
    <n v="0"/>
    <n v="0"/>
    <n v="0"/>
    <n v="0"/>
    <x v="0"/>
    <n v="0"/>
    <s v="MMR015CMP004"/>
    <x v="0"/>
    <x v="1"/>
    <x v="4"/>
    <n v="1.3285714285714285"/>
    <s v="No"/>
    <m/>
  </r>
  <r>
    <n v="40.266666666666666"/>
    <d v="2013-02-18T00:00:00"/>
    <x v="0"/>
    <s v="KBC"/>
    <s v="Shan_North"/>
    <s v="Namhkan"/>
    <s v="Nam Hkam - Nay Win Ni (Palawng)"/>
    <m/>
    <m/>
    <n v="118"/>
    <n v="118"/>
    <n v="59"/>
    <n v="118"/>
    <n v="59"/>
    <n v="59"/>
    <n v="59"/>
    <n v="59"/>
    <m/>
    <m/>
    <m/>
    <m/>
    <m/>
    <m/>
    <m/>
    <n v="0"/>
    <n v="0"/>
    <n v="0"/>
    <n v="0"/>
    <n v="0"/>
    <n v="0"/>
    <n v="0"/>
    <n v="0"/>
    <n v="0"/>
    <n v="0"/>
    <n v="0"/>
    <n v="0"/>
    <n v="0"/>
    <n v="0"/>
    <x v="0"/>
    <n v="0"/>
    <s v="MMR015CMP004"/>
    <x v="0"/>
    <x v="1"/>
    <x v="4"/>
    <n v="0.84285714285714286"/>
    <s v="No"/>
    <m/>
  </r>
  <r>
    <n v="34.4"/>
    <d v="2013-08-13T00:00:00"/>
    <x v="0"/>
    <s v="KMSS"/>
    <s v="Shan_North"/>
    <s v="Namhkan"/>
    <s v="Nam Hkam (KBC Jaw Wang)"/>
    <m/>
    <m/>
    <n v="100"/>
    <n v="188"/>
    <n v="75"/>
    <n v="188"/>
    <n v="75"/>
    <n v="75"/>
    <n v="75"/>
    <n v="75"/>
    <m/>
    <m/>
    <m/>
    <m/>
    <m/>
    <m/>
    <m/>
    <n v="0"/>
    <n v="0"/>
    <n v="0"/>
    <n v="0"/>
    <n v="0"/>
    <n v="0"/>
    <n v="0"/>
    <n v="0"/>
    <n v="0"/>
    <n v="0"/>
    <n v="0"/>
    <n v="0"/>
    <n v="0"/>
    <n v="0"/>
    <x v="0"/>
    <n v="0"/>
    <s v="MMR015CMP001"/>
    <x v="0"/>
    <x v="1"/>
    <x v="4"/>
    <n v="1.0273972602739727"/>
    <s v="No"/>
    <m/>
  </r>
  <r>
    <n v="40.266666666666666"/>
    <d v="2013-02-18T00:00:00"/>
    <x v="0"/>
    <s v="KBC"/>
    <s v="Shan_North"/>
    <s v="Namhkan"/>
    <s v="Nam Hkam (KBC Jaw Wang)"/>
    <m/>
    <m/>
    <n v="139"/>
    <n v="139"/>
    <n v="70"/>
    <n v="139"/>
    <n v="70"/>
    <n v="70"/>
    <n v="70"/>
    <n v="70"/>
    <m/>
    <m/>
    <m/>
    <m/>
    <m/>
    <m/>
    <m/>
    <n v="0"/>
    <n v="0"/>
    <n v="0"/>
    <n v="0"/>
    <n v="0"/>
    <n v="0"/>
    <n v="0"/>
    <n v="0"/>
    <n v="0"/>
    <n v="0"/>
    <n v="0"/>
    <n v="0"/>
    <n v="0"/>
    <n v="0"/>
    <x v="0"/>
    <n v="0"/>
    <s v="MMR015CMP001"/>
    <x v="0"/>
    <x v="1"/>
    <x v="4"/>
    <n v="0.95890410958904104"/>
    <s v="No"/>
    <m/>
  </r>
  <r>
    <n v="26.033333333333335"/>
    <d v="2014-04-21T00:00:00"/>
    <x v="0"/>
    <m/>
    <s v="Shan_North"/>
    <s v="Namhkan"/>
    <s v="Nam Hkam (KBC Jaw Wang) II"/>
    <m/>
    <m/>
    <m/>
    <n v="0"/>
    <n v="1"/>
    <n v="167"/>
    <n v="1"/>
    <n v="0"/>
    <n v="1"/>
    <n v="0"/>
    <m/>
    <m/>
    <m/>
    <m/>
    <m/>
    <m/>
    <m/>
    <n v="0"/>
    <n v="0"/>
    <n v="0"/>
    <n v="0"/>
    <n v="0"/>
    <n v="0"/>
    <n v="0"/>
    <n v="0"/>
    <n v="0"/>
    <n v="0"/>
    <n v="0"/>
    <n v="0"/>
    <n v="0"/>
    <n v="0"/>
    <x v="0"/>
    <n v="0"/>
    <s v="MMR015CMP214"/>
    <x v="2"/>
    <x v="1"/>
    <x v="1"/>
    <n v="2.7027027027027029E-2"/>
    <m/>
    <s v="Items distributed to other affected people"/>
  </r>
  <r>
    <n v="26.033333333333335"/>
    <d v="2014-04-21T00:00:00"/>
    <x v="0"/>
    <m/>
    <s v="Shan_North"/>
    <s v="Namhkan"/>
    <s v="Nam Hkam (KBC Jaw Wang) II"/>
    <m/>
    <m/>
    <m/>
    <n v="90"/>
    <n v="49"/>
    <n v="98"/>
    <n v="49"/>
    <m/>
    <n v="49"/>
    <n v="225"/>
    <m/>
    <m/>
    <m/>
    <m/>
    <m/>
    <m/>
    <m/>
    <n v="0"/>
    <n v="0"/>
    <n v="0"/>
    <n v="0"/>
    <n v="0"/>
    <n v="0"/>
    <n v="0"/>
    <n v="0"/>
    <n v="0"/>
    <n v="0"/>
    <n v="0"/>
    <n v="0"/>
    <n v="0"/>
    <n v="0"/>
    <x v="0"/>
    <n v="0"/>
    <s v="MMR015CMP214"/>
    <x v="2"/>
    <x v="1"/>
    <x v="1"/>
    <n v="1.3243243243243243"/>
    <m/>
    <m/>
  </r>
  <r>
    <n v="34.4"/>
    <d v="2013-08-13T00:00:00"/>
    <x v="0"/>
    <s v="KMSS"/>
    <s v="Shan_North"/>
    <s v="Namhkan"/>
    <s v="Nam Hkam Catholic Church ( St. Thomas I)"/>
    <m/>
    <m/>
    <n v="36"/>
    <n v="72"/>
    <n v="33"/>
    <n v="72"/>
    <n v="33"/>
    <n v="33"/>
    <n v="33"/>
    <n v="33"/>
    <m/>
    <m/>
    <m/>
    <m/>
    <m/>
    <m/>
    <m/>
    <n v="0"/>
    <n v="0"/>
    <n v="0"/>
    <n v="0"/>
    <n v="0"/>
    <n v="0"/>
    <n v="0"/>
    <n v="0"/>
    <n v="0"/>
    <n v="0"/>
    <n v="0"/>
    <n v="0"/>
    <n v="0"/>
    <n v="0"/>
    <x v="0"/>
    <n v="0"/>
    <s v="MMR015CMP003"/>
    <x v="0"/>
    <x v="1"/>
    <x v="4"/>
    <n v="0.6875"/>
    <s v="No"/>
    <m/>
  </r>
  <r>
    <n v="34.4"/>
    <d v="2013-08-13T00:00:00"/>
    <x v="0"/>
    <s v="KMSS"/>
    <s v="Shan_North"/>
    <s v="Namhkan"/>
    <s v="Nam Hkam Catholic Church ( St. Thomas II)"/>
    <m/>
    <m/>
    <n v="40"/>
    <n v="83"/>
    <n v="33"/>
    <n v="83"/>
    <n v="33"/>
    <n v="33"/>
    <n v="33"/>
    <n v="33"/>
    <m/>
    <m/>
    <m/>
    <m/>
    <m/>
    <m/>
    <m/>
    <n v="0"/>
    <n v="0"/>
    <n v="0"/>
    <n v="0"/>
    <n v="0"/>
    <n v="0"/>
    <n v="0"/>
    <n v="0"/>
    <n v="0"/>
    <n v="0"/>
    <n v="0"/>
    <n v="0"/>
    <n v="0"/>
    <n v="0"/>
    <x v="0"/>
    <n v="0"/>
    <s v="MMR015CMP024"/>
    <x v="0"/>
    <x v="0"/>
    <x v="0"/>
    <s v=""/>
    <s v="No"/>
    <m/>
  </r>
  <r>
    <n v="40.266666666666666"/>
    <d v="2013-02-18T00:00:00"/>
    <x v="0"/>
    <s v="KBC"/>
    <s v="Shan_North"/>
    <s v="Namhkan"/>
    <s v="Nam Hkawng"/>
    <m/>
    <m/>
    <n v="16"/>
    <n v="16"/>
    <n v="8"/>
    <n v="16"/>
    <n v="8"/>
    <n v="8"/>
    <n v="8"/>
    <n v="8"/>
    <m/>
    <m/>
    <m/>
    <m/>
    <m/>
    <m/>
    <m/>
    <n v="0"/>
    <n v="0"/>
    <n v="0"/>
    <n v="0"/>
    <n v="0"/>
    <n v="0"/>
    <n v="0"/>
    <n v="0"/>
    <n v="0"/>
    <n v="0"/>
    <n v="0"/>
    <n v="0"/>
    <n v="0"/>
    <n v="0"/>
    <x v="0"/>
    <n v="0"/>
    <s v="MMR015CMP139"/>
    <x v="0"/>
    <x v="0"/>
    <x v="3"/>
    <s v=""/>
    <s v="No"/>
    <m/>
  </r>
  <r>
    <n v="40.266666666666666"/>
    <d v="2013-02-18T00:00:00"/>
    <x v="0"/>
    <s v="KBC"/>
    <s v="Shan_North"/>
    <s v="Kutkai"/>
    <s v="Nam Hpak Ka Mare "/>
    <m/>
    <m/>
    <n v="86"/>
    <n v="86"/>
    <n v="43"/>
    <n v="86"/>
    <n v="43"/>
    <n v="43"/>
    <n v="43"/>
    <n v="43"/>
    <m/>
    <m/>
    <m/>
    <m/>
    <m/>
    <m/>
    <m/>
    <n v="0"/>
    <n v="0"/>
    <n v="0"/>
    <n v="0"/>
    <n v="0"/>
    <n v="0"/>
    <n v="0"/>
    <n v="0"/>
    <n v="0"/>
    <n v="0"/>
    <n v="0"/>
    <n v="0"/>
    <n v="0"/>
    <n v="0"/>
    <x v="0"/>
    <n v="0"/>
    <s v="MMR015CMP007"/>
    <x v="0"/>
    <x v="1"/>
    <x v="4"/>
    <n v="0.69354838709677424"/>
    <s v="No"/>
    <m/>
  </r>
  <r>
    <n v="15.433333333333334"/>
    <d v="2015-03-05T00:00:00"/>
    <x v="0"/>
    <s v="KMSS-LSO"/>
    <s v="Shan_North"/>
    <s v="Hseni"/>
    <s v="Nam Jarap"/>
    <m/>
    <n v="43"/>
    <n v="43"/>
    <n v="85"/>
    <n v="43"/>
    <n v="95"/>
    <n v="43"/>
    <n v="43"/>
    <n v="43"/>
    <n v="95"/>
    <m/>
    <m/>
    <m/>
    <m/>
    <n v="43"/>
    <m/>
    <m/>
    <n v="0"/>
    <n v="0"/>
    <n v="0"/>
    <n v="0"/>
    <n v="0"/>
    <n v="0"/>
    <n v="0"/>
    <n v="0"/>
    <n v="0"/>
    <n v="0"/>
    <n v="0"/>
    <n v="0"/>
    <n v="0"/>
    <n v="0"/>
    <x v="0"/>
    <n v="0"/>
    <s v=""/>
    <x v="1"/>
    <x v="2"/>
    <x v="0"/>
    <s v=""/>
    <s v="No"/>
    <m/>
  </r>
  <r>
    <n v="30.766666666666666"/>
    <d v="2013-11-30T00:00:00"/>
    <x v="5"/>
    <s v="KBC"/>
    <s v="Kachin"/>
    <s v="Mansi"/>
    <s v="Nam Lim Pa - Scattered IDPs in forest"/>
    <m/>
    <m/>
    <m/>
    <m/>
    <m/>
    <m/>
    <m/>
    <m/>
    <m/>
    <m/>
    <m/>
    <m/>
    <m/>
    <m/>
    <m/>
    <m/>
    <m/>
    <n v="0"/>
    <n v="0"/>
    <n v="0"/>
    <n v="0"/>
    <n v="0"/>
    <n v="0"/>
    <n v="0"/>
    <n v="0"/>
    <n v="0"/>
    <n v="0"/>
    <n v="0"/>
    <n v="0"/>
    <n v="0"/>
    <n v="0"/>
    <x v="0"/>
    <n v="0"/>
    <s v="MMR001CMP137"/>
    <x v="0"/>
    <x v="0"/>
    <x v="0"/>
    <s v=""/>
    <s v="No"/>
    <m/>
  </r>
  <r>
    <n v="47.43333333333333"/>
    <d v="2012-07-18T00:00:00"/>
    <x v="0"/>
    <s v="UNHCR"/>
    <s v="Kachin"/>
    <s v="Mansi"/>
    <s v="Nam Lim Pa - Scattered IDPs in forest"/>
    <m/>
    <m/>
    <m/>
    <n v="206"/>
    <n v="78"/>
    <n v="206"/>
    <n v="103"/>
    <n v="103"/>
    <n v="103"/>
    <n v="103"/>
    <m/>
    <m/>
    <m/>
    <m/>
    <m/>
    <m/>
    <m/>
    <n v="0"/>
    <n v="0"/>
    <n v="0"/>
    <n v="0"/>
    <n v="0"/>
    <n v="0"/>
    <n v="0"/>
    <n v="0"/>
    <n v="0"/>
    <n v="0"/>
    <n v="0"/>
    <n v="0"/>
    <n v="0"/>
    <n v="0"/>
    <x v="0"/>
    <n v="0"/>
    <s v="MMR001CMP137"/>
    <x v="0"/>
    <x v="0"/>
    <x v="0"/>
    <s v=""/>
    <s v="No"/>
    <m/>
  </r>
  <r>
    <n v="19.266666666666666"/>
    <d v="2014-11-10T00:00:00"/>
    <x v="1"/>
    <s v="MRCS"/>
    <s v="Kachin"/>
    <s v="Hpakant"/>
    <s v="Nam Ma Phyit, COC"/>
    <m/>
    <m/>
    <m/>
    <m/>
    <m/>
    <m/>
    <m/>
    <m/>
    <m/>
    <m/>
    <n v="50"/>
    <n v="17"/>
    <m/>
    <m/>
    <m/>
    <m/>
    <m/>
    <n v="0"/>
    <n v="0"/>
    <n v="0"/>
    <n v="0"/>
    <n v="0"/>
    <n v="0"/>
    <n v="0"/>
    <n v="0"/>
    <n v="0"/>
    <n v="0"/>
    <n v="0"/>
    <n v="0"/>
    <n v="0"/>
    <n v="0"/>
    <x v="1"/>
    <n v="0"/>
    <s v="MMR001CMP192"/>
    <x v="0"/>
    <x v="1"/>
    <x v="1"/>
    <n v="0"/>
    <m/>
    <m/>
  </r>
  <r>
    <n v="19.600000000000001"/>
    <d v="2014-10-31T00:00:00"/>
    <x v="0"/>
    <m/>
    <s v="Kachin"/>
    <s v="Hpakant"/>
    <s v="Nam Ma Phyit, COC"/>
    <m/>
    <m/>
    <n v="17"/>
    <n v="34"/>
    <n v="17"/>
    <n v="34"/>
    <n v="17"/>
    <m/>
    <n v="17"/>
    <n v="85"/>
    <m/>
    <m/>
    <m/>
    <m/>
    <m/>
    <m/>
    <m/>
    <n v="0"/>
    <n v="0"/>
    <n v="0"/>
    <n v="0"/>
    <n v="0"/>
    <n v="0"/>
    <n v="0"/>
    <n v="0"/>
    <n v="0"/>
    <n v="0"/>
    <n v="0"/>
    <n v="0"/>
    <n v="0"/>
    <n v="0"/>
    <x v="0"/>
    <n v="0"/>
    <s v="MMR001CMP192"/>
    <x v="0"/>
    <x v="1"/>
    <x v="1"/>
    <n v="1"/>
    <m/>
    <m/>
  </r>
  <r>
    <n v="20.6"/>
    <d v="2014-10-01T00:00:00"/>
    <x v="0"/>
    <s v="Shalom"/>
    <s v="Kachin"/>
    <s v="Hpakant"/>
    <s v="Nam Ma Phyit, COC"/>
    <m/>
    <m/>
    <m/>
    <n v="36"/>
    <m/>
    <m/>
    <m/>
    <m/>
    <m/>
    <m/>
    <m/>
    <m/>
    <m/>
    <m/>
    <m/>
    <m/>
    <m/>
    <n v="0"/>
    <n v="0"/>
    <n v="0"/>
    <n v="0"/>
    <n v="0"/>
    <n v="0"/>
    <n v="0"/>
    <n v="0"/>
    <n v="0"/>
    <n v="0"/>
    <n v="0"/>
    <n v="0"/>
    <n v="0"/>
    <n v="0"/>
    <x v="0"/>
    <n v="0"/>
    <s v="MMR001CMP192"/>
    <x v="0"/>
    <x v="1"/>
    <x v="1"/>
    <n v="0"/>
    <m/>
    <m/>
  </r>
  <r>
    <n v="37.166666666666664"/>
    <d v="2013-05-22T00:00:00"/>
    <x v="0"/>
    <s v="UNHCR"/>
    <s v="Kachin"/>
    <s v="Hpakant"/>
    <s v="Nam Ma Phyit, COC"/>
    <m/>
    <m/>
    <n v="34"/>
    <n v="61"/>
    <n v="30"/>
    <n v="61"/>
    <n v="30"/>
    <n v="30"/>
    <n v="30"/>
    <n v="30"/>
    <m/>
    <m/>
    <m/>
    <m/>
    <m/>
    <m/>
    <m/>
    <n v="0"/>
    <n v="0"/>
    <n v="0"/>
    <n v="0"/>
    <n v="0"/>
    <n v="0"/>
    <n v="0"/>
    <n v="0"/>
    <n v="0"/>
    <n v="0"/>
    <n v="0"/>
    <n v="0"/>
    <n v="0"/>
    <n v="0"/>
    <x v="0"/>
    <n v="0"/>
    <s v="MMR001CMP192"/>
    <x v="0"/>
    <x v="1"/>
    <x v="1"/>
    <n v="1.7647058823529411"/>
    <s v="No"/>
    <m/>
  </r>
  <r>
    <n v="40.233333333333334"/>
    <d v="2013-02-19T00:00:00"/>
    <x v="0"/>
    <s v="UNHCR"/>
    <s v="Kachin"/>
    <s v="Hpakant"/>
    <s v="Nam Ma Phyit, COC"/>
    <m/>
    <m/>
    <n v="19"/>
    <n v="30"/>
    <n v="18"/>
    <n v="68"/>
    <n v="18"/>
    <n v="18"/>
    <n v="18"/>
    <n v="18"/>
    <m/>
    <m/>
    <m/>
    <m/>
    <m/>
    <m/>
    <m/>
    <n v="0"/>
    <n v="0"/>
    <n v="0"/>
    <n v="0"/>
    <n v="0"/>
    <n v="0"/>
    <n v="0"/>
    <n v="0"/>
    <n v="0"/>
    <n v="0"/>
    <n v="0"/>
    <n v="0"/>
    <n v="0"/>
    <n v="0"/>
    <x v="0"/>
    <n v="0"/>
    <s v="MMR001CMP192"/>
    <x v="0"/>
    <x v="1"/>
    <x v="1"/>
    <n v="1.0588235294117647"/>
    <s v="No"/>
    <m/>
  </r>
  <r>
    <n v="41.9"/>
    <d v="2012-12-31T00:00:00"/>
    <x v="3"/>
    <s v="DRC"/>
    <s v="Kachin"/>
    <s v="Hpakant"/>
    <s v="Nam Ma Phyit, COC"/>
    <n v="32"/>
    <m/>
    <m/>
    <m/>
    <m/>
    <m/>
    <m/>
    <m/>
    <n v="0"/>
    <n v="0"/>
    <m/>
    <m/>
    <m/>
    <m/>
    <m/>
    <m/>
    <m/>
    <n v="0"/>
    <n v="0"/>
    <n v="0"/>
    <n v="0"/>
    <n v="0"/>
    <n v="0"/>
    <n v="0"/>
    <n v="0"/>
    <n v="0"/>
    <n v="0"/>
    <n v="0"/>
    <n v="0"/>
    <n v="0"/>
    <n v="0"/>
    <x v="0"/>
    <n v="0"/>
    <s v="MMR001CMP192"/>
    <x v="0"/>
    <x v="1"/>
    <x v="1"/>
    <n v="0"/>
    <s v="No"/>
    <m/>
  </r>
  <r>
    <n v="34.4"/>
    <d v="2013-08-13T00:00:00"/>
    <x v="0"/>
    <s v="KMSS"/>
    <s v="Shan_North"/>
    <s v="Namtu"/>
    <s v="Nam Tu RC"/>
    <m/>
    <m/>
    <n v="130"/>
    <n v="288"/>
    <n v="115"/>
    <n v="288"/>
    <n v="115"/>
    <n v="115"/>
    <n v="115"/>
    <n v="115"/>
    <m/>
    <m/>
    <m/>
    <m/>
    <m/>
    <m/>
    <m/>
    <n v="0"/>
    <n v="0"/>
    <n v="0"/>
    <n v="0"/>
    <n v="0"/>
    <n v="0"/>
    <n v="0"/>
    <n v="0"/>
    <n v="0"/>
    <n v="0"/>
    <n v="0"/>
    <n v="0"/>
    <n v="0"/>
    <n v="0"/>
    <x v="0"/>
    <n v="0"/>
    <s v="MMR015CMP210"/>
    <x v="0"/>
    <x v="1"/>
    <x v="4"/>
    <n v="0.97457627118644063"/>
    <s v="No"/>
    <m/>
  </r>
  <r>
    <n v="40.266666666666666"/>
    <d v="2013-02-18T00:00:00"/>
    <x v="0"/>
    <s v="KBC"/>
    <s v="Shan_North"/>
    <s v="Namtu"/>
    <s v="Nam Tu RC"/>
    <m/>
    <m/>
    <n v="90"/>
    <n v="90"/>
    <n v="45"/>
    <n v="90"/>
    <n v="45"/>
    <n v="45"/>
    <n v="45"/>
    <n v="45"/>
    <m/>
    <m/>
    <m/>
    <m/>
    <m/>
    <m/>
    <m/>
    <n v="0"/>
    <n v="0"/>
    <n v="0"/>
    <n v="0"/>
    <n v="0"/>
    <n v="0"/>
    <n v="0"/>
    <n v="0"/>
    <n v="0"/>
    <n v="0"/>
    <n v="0"/>
    <n v="0"/>
    <n v="0"/>
    <n v="0"/>
    <x v="0"/>
    <n v="0"/>
    <s v="MMR015CMP210"/>
    <x v="0"/>
    <x v="1"/>
    <x v="4"/>
    <n v="0.38135593220338981"/>
    <s v="No"/>
    <m/>
  </r>
  <r>
    <n v="15.833333333333334"/>
    <d v="2015-02-21T00:00:00"/>
    <x v="0"/>
    <s v="UNHCR"/>
    <s v="Shan_North"/>
    <s v="Kutkai"/>
    <s v="Namtit"/>
    <m/>
    <m/>
    <m/>
    <n v="161"/>
    <n v="76"/>
    <m/>
    <n v="76"/>
    <m/>
    <n v="76"/>
    <m/>
    <m/>
    <m/>
    <m/>
    <m/>
    <n v="76"/>
    <m/>
    <m/>
    <n v="0"/>
    <n v="0"/>
    <n v="0"/>
    <n v="0"/>
    <n v="0"/>
    <n v="0"/>
    <n v="0"/>
    <n v="0"/>
    <n v="0"/>
    <n v="0"/>
    <n v="0"/>
    <n v="0"/>
    <n v="0"/>
    <n v="0"/>
    <x v="0"/>
    <n v="0"/>
    <s v=""/>
    <x v="1"/>
    <x v="2"/>
    <x v="0"/>
    <s v=""/>
    <s v="No"/>
    <m/>
  </r>
  <r>
    <n v="20.6"/>
    <d v="2014-10-01T00:00:00"/>
    <x v="0"/>
    <s v="KMSS"/>
    <s v="Kachin"/>
    <s v="Myitkyina"/>
    <s v="Nan Kway St. John Catholic Church"/>
    <m/>
    <m/>
    <m/>
    <n v="144"/>
    <m/>
    <m/>
    <m/>
    <m/>
    <m/>
    <m/>
    <m/>
    <m/>
    <m/>
    <m/>
    <m/>
    <m/>
    <m/>
    <n v="0"/>
    <n v="0"/>
    <n v="0"/>
    <n v="0"/>
    <n v="0"/>
    <n v="0"/>
    <n v="0"/>
    <n v="0"/>
    <n v="0"/>
    <n v="0"/>
    <n v="0"/>
    <n v="0"/>
    <n v="0"/>
    <n v="0"/>
    <x v="0"/>
    <n v="0"/>
    <s v="MMR001CMP024"/>
    <x v="0"/>
    <x v="1"/>
    <x v="1"/>
    <n v="0"/>
    <m/>
    <m/>
  </r>
  <r>
    <n v="25.2"/>
    <d v="2014-05-16T00:00:00"/>
    <x v="6"/>
    <s v="MRCS"/>
    <s v="Kachin"/>
    <s v="Myitkyina"/>
    <s v="Nan Kway St. John Catholic Church"/>
    <m/>
    <m/>
    <m/>
    <m/>
    <m/>
    <m/>
    <m/>
    <m/>
    <m/>
    <m/>
    <m/>
    <m/>
    <m/>
    <n v="142"/>
    <m/>
    <m/>
    <m/>
    <n v="0"/>
    <n v="0"/>
    <n v="0"/>
    <n v="0"/>
    <n v="0"/>
    <n v="0"/>
    <n v="0"/>
    <n v="0"/>
    <n v="0"/>
    <n v="0"/>
    <n v="0"/>
    <n v="0"/>
    <n v="0"/>
    <n v="0"/>
    <x v="1"/>
    <n v="0"/>
    <s v="MMR001CMP024"/>
    <x v="0"/>
    <x v="1"/>
    <x v="1"/>
    <n v="0"/>
    <m/>
    <m/>
  </r>
  <r>
    <n v="35.06666666666667"/>
    <d v="2013-07-24T00:00:00"/>
    <x v="0"/>
    <s v="KMSS"/>
    <s v="Kachin"/>
    <s v="Myitkyina"/>
    <s v="Nan Kway St. John Catholic Church"/>
    <m/>
    <m/>
    <n v="21"/>
    <n v="30"/>
    <n v="15"/>
    <n v="30"/>
    <n v="15"/>
    <n v="15"/>
    <n v="15"/>
    <n v="15"/>
    <m/>
    <m/>
    <m/>
    <m/>
    <m/>
    <m/>
    <m/>
    <n v="0"/>
    <n v="0"/>
    <n v="0"/>
    <n v="0"/>
    <n v="0"/>
    <n v="0"/>
    <n v="0"/>
    <n v="0"/>
    <n v="0"/>
    <n v="0"/>
    <n v="0"/>
    <n v="0"/>
    <n v="0"/>
    <n v="0"/>
    <x v="0"/>
    <n v="0"/>
    <s v="MMR001CMP024"/>
    <x v="0"/>
    <x v="1"/>
    <x v="1"/>
    <n v="0.22727272727272727"/>
    <s v="No"/>
    <m/>
  </r>
  <r>
    <n v="37.6"/>
    <d v="2013-05-09T00:00:00"/>
    <x v="8"/>
    <s v="KMSS"/>
    <s v="Kachin"/>
    <s v="Myitkyina"/>
    <s v="Nan Kway St. John Catholic Church"/>
    <n v="324"/>
    <m/>
    <m/>
    <m/>
    <m/>
    <m/>
    <m/>
    <m/>
    <m/>
    <m/>
    <m/>
    <m/>
    <m/>
    <m/>
    <m/>
    <m/>
    <m/>
    <n v="0"/>
    <n v="0"/>
    <n v="0"/>
    <n v="0"/>
    <n v="0"/>
    <n v="0"/>
    <n v="0"/>
    <n v="0"/>
    <n v="0"/>
    <n v="0"/>
    <n v="0"/>
    <n v="0"/>
    <n v="0"/>
    <n v="0"/>
    <x v="0"/>
    <n v="0"/>
    <s v="MMR001CMP024"/>
    <x v="0"/>
    <x v="1"/>
    <x v="1"/>
    <n v="0"/>
    <s v="No"/>
    <m/>
  </r>
  <r>
    <n v="42.5"/>
    <d v="2012-12-13T00:00:00"/>
    <x v="0"/>
    <s v="UNHCR"/>
    <s v="Kachin"/>
    <s v="Myitkyina"/>
    <s v="Nan Kway St. John Catholic Church"/>
    <m/>
    <m/>
    <m/>
    <n v="16"/>
    <n v="7"/>
    <n v="16"/>
    <n v="7"/>
    <n v="7"/>
    <n v="7"/>
    <n v="7"/>
    <m/>
    <m/>
    <m/>
    <m/>
    <m/>
    <m/>
    <m/>
    <n v="0"/>
    <n v="0"/>
    <n v="0"/>
    <n v="0"/>
    <n v="0"/>
    <n v="0"/>
    <n v="0"/>
    <n v="0"/>
    <n v="0"/>
    <n v="0"/>
    <n v="0"/>
    <n v="0"/>
    <n v="0"/>
    <n v="0"/>
    <x v="0"/>
    <n v="0"/>
    <s v="MMR001CMP024"/>
    <x v="0"/>
    <x v="1"/>
    <x v="1"/>
    <n v="0.10606060606060606"/>
    <s v="No"/>
    <m/>
  </r>
  <r>
    <n v="46.7"/>
    <d v="2012-08-09T00:00:00"/>
    <x v="0"/>
    <s v="UNHCR"/>
    <s v="Kachin"/>
    <s v="Myitkyina"/>
    <s v="Nan Kway St. John Catholic Church"/>
    <m/>
    <m/>
    <m/>
    <n v="42"/>
    <n v="20"/>
    <n v="42"/>
    <n v="20"/>
    <n v="20"/>
    <n v="20"/>
    <n v="20"/>
    <m/>
    <m/>
    <m/>
    <m/>
    <m/>
    <m/>
    <m/>
    <n v="0"/>
    <n v="0"/>
    <n v="0"/>
    <n v="0"/>
    <n v="0"/>
    <n v="0"/>
    <n v="0"/>
    <n v="0"/>
    <n v="0"/>
    <n v="0"/>
    <n v="0"/>
    <n v="0"/>
    <n v="0"/>
    <n v="0"/>
    <x v="0"/>
    <n v="0"/>
    <s v="MMR001CMP024"/>
    <x v="0"/>
    <x v="1"/>
    <x v="1"/>
    <n v="0.30303030303030304"/>
    <s v="No"/>
    <m/>
  </r>
  <r>
    <n v="47.466666666666669"/>
    <d v="2012-07-17T00:00:00"/>
    <x v="0"/>
    <s v="UNHCR"/>
    <s v="Kachin"/>
    <s v="Myitkyina"/>
    <s v="Nan Kway St. John Catholic Church"/>
    <m/>
    <m/>
    <m/>
    <n v="6"/>
    <n v="6"/>
    <n v="6"/>
    <n v="6"/>
    <n v="6"/>
    <n v="6"/>
    <n v="6"/>
    <m/>
    <m/>
    <m/>
    <m/>
    <m/>
    <m/>
    <m/>
    <n v="0"/>
    <n v="0"/>
    <n v="0"/>
    <n v="0"/>
    <n v="0"/>
    <n v="0"/>
    <n v="0"/>
    <n v="0"/>
    <n v="0"/>
    <n v="0"/>
    <n v="0"/>
    <n v="0"/>
    <n v="0"/>
    <n v="0"/>
    <x v="0"/>
    <n v="0"/>
    <s v="MMR001CMP024"/>
    <x v="0"/>
    <x v="1"/>
    <x v="1"/>
    <n v="9.0909090909090912E-2"/>
    <s v="No"/>
    <m/>
  </r>
  <r>
    <n v="49.3"/>
    <d v="2012-05-23T00:00:00"/>
    <x v="0"/>
    <s v="UNHCR"/>
    <s v="Kachin"/>
    <s v="Myitkyina"/>
    <s v="Nan Kway St. John Catholic Church"/>
    <m/>
    <m/>
    <m/>
    <n v="58"/>
    <n v="29"/>
    <n v="58"/>
    <n v="29"/>
    <n v="29"/>
    <n v="29"/>
    <n v="29"/>
    <m/>
    <m/>
    <m/>
    <m/>
    <m/>
    <m/>
    <m/>
    <n v="0"/>
    <n v="0"/>
    <n v="0"/>
    <n v="0"/>
    <n v="0"/>
    <n v="0"/>
    <n v="0"/>
    <n v="0"/>
    <n v="0"/>
    <n v="0"/>
    <n v="0"/>
    <n v="0"/>
    <n v="0"/>
    <n v="0"/>
    <x v="0"/>
    <n v="0"/>
    <s v="MMR001CMP024"/>
    <x v="0"/>
    <x v="1"/>
    <x v="1"/>
    <n v="0.43939393939393939"/>
    <s v="No"/>
    <m/>
  </r>
  <r>
    <n v="30.766666666666666"/>
    <d v="2013-11-30T00:00:00"/>
    <x v="5"/>
    <m/>
    <s v="Kachin"/>
    <s v="Bhamo"/>
    <s v="Nant Hlaing Church"/>
    <m/>
    <m/>
    <m/>
    <m/>
    <m/>
    <m/>
    <m/>
    <m/>
    <m/>
    <n v="57"/>
    <m/>
    <m/>
    <m/>
    <m/>
    <m/>
    <m/>
    <m/>
    <n v="0"/>
    <n v="0"/>
    <n v="0"/>
    <n v="0"/>
    <n v="0"/>
    <n v="0"/>
    <n v="0"/>
    <n v="0"/>
    <n v="0"/>
    <n v="0"/>
    <n v="0"/>
    <n v="0"/>
    <n v="0"/>
    <n v="0"/>
    <x v="0"/>
    <n v="0"/>
    <s v="MMR001CMP054"/>
    <x v="0"/>
    <x v="1"/>
    <x v="1"/>
    <n v="0"/>
    <s v="No"/>
    <m/>
  </r>
  <r>
    <n v="41.2"/>
    <d v="2013-01-21T00:00:00"/>
    <x v="5"/>
    <s v="Solidarities"/>
    <s v="Kachin"/>
    <s v="Bhamo"/>
    <s v="Nant Hlaing Church"/>
    <n v="85"/>
    <m/>
    <n v="105"/>
    <m/>
    <m/>
    <m/>
    <m/>
    <m/>
    <n v="0"/>
    <n v="0"/>
    <m/>
    <m/>
    <m/>
    <m/>
    <m/>
    <m/>
    <m/>
    <n v="0"/>
    <n v="0"/>
    <n v="0"/>
    <n v="0"/>
    <n v="0"/>
    <n v="0"/>
    <n v="0"/>
    <n v="0"/>
    <n v="0"/>
    <n v="0"/>
    <n v="0"/>
    <n v="0"/>
    <n v="0"/>
    <n v="0"/>
    <x v="0"/>
    <n v="0"/>
    <s v="MMR001CMP054"/>
    <x v="0"/>
    <x v="1"/>
    <x v="1"/>
    <n v="0"/>
    <s v="No"/>
    <m/>
  </r>
  <r>
    <n v="48.766666666666666"/>
    <d v="2012-06-08T00:00:00"/>
    <x v="0"/>
    <s v="UNHCR"/>
    <s v="Kachin"/>
    <s v="Bhamo"/>
    <s v="Nant Hlaing Church"/>
    <m/>
    <m/>
    <m/>
    <n v="12"/>
    <n v="6"/>
    <n v="12"/>
    <n v="6"/>
    <n v="6"/>
    <n v="6"/>
    <n v="6"/>
    <m/>
    <m/>
    <m/>
    <m/>
    <m/>
    <m/>
    <m/>
    <n v="0"/>
    <n v="0"/>
    <n v="0"/>
    <n v="0"/>
    <n v="0"/>
    <n v="0"/>
    <n v="0"/>
    <n v="0"/>
    <n v="0"/>
    <n v="0"/>
    <n v="0"/>
    <n v="0"/>
    <n v="0"/>
    <n v="0"/>
    <x v="0"/>
    <n v="0"/>
    <s v="MMR001CMP054"/>
    <x v="0"/>
    <x v="1"/>
    <x v="1"/>
    <n v="0.3"/>
    <s v="No"/>
    <m/>
  </r>
  <r>
    <n v="19.266666666666666"/>
    <d v="2014-11-10T00:00:00"/>
    <x v="1"/>
    <s v="MRCS"/>
    <s v="Kachin"/>
    <s v="Hpakant"/>
    <s v="Nant Ma Hpit Catholic Church"/>
    <m/>
    <m/>
    <m/>
    <m/>
    <m/>
    <m/>
    <m/>
    <m/>
    <m/>
    <m/>
    <n v="117"/>
    <n v="65"/>
    <m/>
    <m/>
    <m/>
    <m/>
    <m/>
    <n v="0"/>
    <n v="0"/>
    <n v="0"/>
    <n v="0"/>
    <n v="0"/>
    <n v="0"/>
    <n v="0"/>
    <n v="0"/>
    <n v="0"/>
    <n v="0"/>
    <n v="0"/>
    <n v="0"/>
    <n v="0"/>
    <n v="0"/>
    <x v="1"/>
    <n v="0"/>
    <s v="MMR001CMP103"/>
    <x v="0"/>
    <x v="1"/>
    <x v="1"/>
    <n v="0"/>
    <m/>
    <m/>
  </r>
  <r>
    <n v="19.600000000000001"/>
    <d v="2014-10-31T00:00:00"/>
    <x v="0"/>
    <m/>
    <s v="Kachin"/>
    <s v="Hpakant"/>
    <s v="Nant Ma Hpit Catholic Church"/>
    <m/>
    <m/>
    <n v="36"/>
    <n v="72"/>
    <n v="36"/>
    <n v="72"/>
    <n v="36"/>
    <m/>
    <n v="36"/>
    <n v="180"/>
    <m/>
    <m/>
    <m/>
    <m/>
    <m/>
    <m/>
    <m/>
    <n v="0"/>
    <n v="0"/>
    <n v="0"/>
    <n v="0"/>
    <n v="0"/>
    <n v="0"/>
    <n v="0"/>
    <n v="0"/>
    <n v="0"/>
    <n v="0"/>
    <n v="0"/>
    <n v="0"/>
    <n v="0"/>
    <n v="0"/>
    <x v="0"/>
    <n v="0"/>
    <s v="MMR001CMP103"/>
    <x v="0"/>
    <x v="1"/>
    <x v="1"/>
    <n v="0.67924528301886788"/>
    <m/>
    <s v="used in warehouse"/>
  </r>
  <r>
    <n v="20.6"/>
    <d v="2014-10-01T00:00:00"/>
    <x v="0"/>
    <s v="KMSS"/>
    <s v="Kachin"/>
    <s v="Hpakant"/>
    <s v="Nant Ma Hpit Catholic Church"/>
    <m/>
    <m/>
    <m/>
    <n v="80"/>
    <m/>
    <m/>
    <m/>
    <m/>
    <m/>
    <m/>
    <m/>
    <m/>
    <m/>
    <m/>
    <m/>
    <m/>
    <m/>
    <n v="0"/>
    <n v="0"/>
    <n v="0"/>
    <n v="0"/>
    <n v="0"/>
    <n v="0"/>
    <n v="0"/>
    <n v="0"/>
    <n v="0"/>
    <n v="0"/>
    <n v="0"/>
    <n v="0"/>
    <n v="0"/>
    <n v="0"/>
    <x v="0"/>
    <n v="0"/>
    <s v="MMR001CMP103"/>
    <x v="0"/>
    <x v="1"/>
    <x v="1"/>
    <n v="0"/>
    <m/>
    <m/>
  </r>
  <r>
    <n v="35.06666666666667"/>
    <d v="2013-07-24T00:00:00"/>
    <x v="0"/>
    <s v="KMSS"/>
    <s v="Kachin"/>
    <s v="Hpakant"/>
    <s v="Nant Ma Hpit Catholic Church"/>
    <m/>
    <m/>
    <n v="15"/>
    <n v="25"/>
    <n v="10"/>
    <n v="25"/>
    <n v="10"/>
    <n v="10"/>
    <n v="10"/>
    <n v="10"/>
    <m/>
    <m/>
    <m/>
    <m/>
    <m/>
    <m/>
    <m/>
    <n v="0"/>
    <n v="0"/>
    <n v="0"/>
    <n v="0"/>
    <n v="0"/>
    <n v="0"/>
    <n v="0"/>
    <n v="0"/>
    <n v="0"/>
    <n v="0"/>
    <n v="0"/>
    <n v="0"/>
    <n v="0"/>
    <n v="0"/>
    <x v="0"/>
    <n v="0"/>
    <s v="MMR001CMP103"/>
    <x v="0"/>
    <x v="1"/>
    <x v="1"/>
    <n v="0.18867924528301888"/>
    <s v="No"/>
    <m/>
  </r>
  <r>
    <n v="37.366666666666667"/>
    <d v="2013-05-16T00:00:00"/>
    <x v="8"/>
    <s v="KMSS"/>
    <s v="Kachin"/>
    <s v="Hpakant"/>
    <s v="Nant Ma Hpit Catholic Church"/>
    <n v="423"/>
    <m/>
    <m/>
    <m/>
    <m/>
    <m/>
    <m/>
    <m/>
    <m/>
    <m/>
    <m/>
    <m/>
    <m/>
    <m/>
    <m/>
    <m/>
    <m/>
    <n v="0"/>
    <n v="0"/>
    <n v="0"/>
    <n v="0"/>
    <n v="0"/>
    <n v="0"/>
    <n v="0"/>
    <n v="0"/>
    <n v="0"/>
    <n v="0"/>
    <n v="0"/>
    <n v="0"/>
    <n v="0"/>
    <n v="0"/>
    <x v="0"/>
    <n v="0"/>
    <s v="MMR001CMP103"/>
    <x v="0"/>
    <x v="1"/>
    <x v="1"/>
    <n v="0"/>
    <s v="No"/>
    <m/>
  </r>
  <r>
    <n v="40.200000000000003"/>
    <d v="2013-02-20T00:00:00"/>
    <x v="0"/>
    <s v="UNHCR"/>
    <s v="Kachin"/>
    <s v="Hpakant"/>
    <s v="Nant Ma Hpit Catholic Church"/>
    <m/>
    <m/>
    <n v="35"/>
    <n v="0"/>
    <n v="0"/>
    <n v="0"/>
    <n v="0"/>
    <n v="0"/>
    <m/>
    <m/>
    <m/>
    <m/>
    <m/>
    <m/>
    <m/>
    <m/>
    <m/>
    <n v="0"/>
    <n v="0"/>
    <n v="0"/>
    <n v="0"/>
    <n v="0"/>
    <n v="0"/>
    <n v="0"/>
    <n v="0"/>
    <n v="0"/>
    <n v="0"/>
    <n v="0"/>
    <n v="0"/>
    <n v="0"/>
    <n v="0"/>
    <x v="0"/>
    <n v="0"/>
    <s v="MMR001CMP103"/>
    <x v="0"/>
    <x v="1"/>
    <x v="1"/>
    <n v="0"/>
    <s v="No"/>
    <m/>
  </r>
  <r>
    <n v="40.200000000000003"/>
    <d v="2013-02-20T00:00:00"/>
    <x v="0"/>
    <s v="UNHCR"/>
    <s v="Kachin"/>
    <s v="Hpakant"/>
    <s v="Nant Ma Hpit Catholic Church"/>
    <m/>
    <m/>
    <n v="32"/>
    <n v="64"/>
    <n v="33"/>
    <n v="64"/>
    <n v="33"/>
    <n v="33"/>
    <n v="33"/>
    <n v="33"/>
    <m/>
    <m/>
    <m/>
    <m/>
    <m/>
    <m/>
    <m/>
    <n v="0"/>
    <n v="0"/>
    <n v="0"/>
    <n v="0"/>
    <n v="0"/>
    <n v="0"/>
    <n v="0"/>
    <n v="0"/>
    <n v="0"/>
    <n v="0"/>
    <n v="0"/>
    <n v="0"/>
    <n v="0"/>
    <n v="0"/>
    <x v="0"/>
    <n v="0"/>
    <s v="MMR001CMP103"/>
    <x v="0"/>
    <x v="1"/>
    <x v="1"/>
    <n v="0.62264150943396224"/>
    <s v="No"/>
    <m/>
  </r>
  <r>
    <n v="41.9"/>
    <d v="2012-12-31T00:00:00"/>
    <x v="3"/>
    <s v="DRC"/>
    <s v="Kachin"/>
    <s v="Hpakant"/>
    <s v="Nant Ma Hpit Catholic Church"/>
    <n v="4"/>
    <m/>
    <m/>
    <m/>
    <m/>
    <m/>
    <m/>
    <m/>
    <n v="0"/>
    <n v="0"/>
    <m/>
    <m/>
    <m/>
    <m/>
    <m/>
    <m/>
    <m/>
    <n v="0"/>
    <n v="0"/>
    <n v="0"/>
    <n v="0"/>
    <n v="0"/>
    <n v="0"/>
    <n v="0"/>
    <n v="0"/>
    <n v="0"/>
    <n v="0"/>
    <n v="0"/>
    <n v="0"/>
    <n v="0"/>
    <n v="0"/>
    <x v="0"/>
    <n v="0"/>
    <s v="MMR001CMP103"/>
    <x v="0"/>
    <x v="1"/>
    <x v="1"/>
    <n v="0"/>
    <s v="No"/>
    <m/>
  </r>
  <r>
    <n v="29.7"/>
    <d v="2014-01-01T00:00:00"/>
    <x v="11"/>
    <s v="MRCS"/>
    <s v="Kachin"/>
    <s v="Mohnyin"/>
    <s v="Nant Mun"/>
    <m/>
    <m/>
    <m/>
    <m/>
    <m/>
    <m/>
    <n v="12"/>
    <m/>
    <m/>
    <m/>
    <m/>
    <m/>
    <m/>
    <m/>
    <m/>
    <m/>
    <m/>
    <n v="0"/>
    <n v="0"/>
    <n v="0"/>
    <n v="0"/>
    <n v="0"/>
    <n v="0"/>
    <n v="0"/>
    <n v="0"/>
    <n v="0"/>
    <n v="0"/>
    <n v="0"/>
    <n v="0"/>
    <n v="0"/>
    <n v="0"/>
    <x v="0"/>
    <n v="0"/>
    <s v="MMR001CMP081"/>
    <x v="0"/>
    <x v="0"/>
    <x v="1"/>
    <s v=""/>
    <s v="No"/>
    <m/>
  </r>
  <r>
    <n v="40.533333333333331"/>
    <d v="2013-02-10T00:00:00"/>
    <x v="2"/>
    <s v="MRCS"/>
    <s v="Kachin"/>
    <s v="Mohnyin"/>
    <s v="Nant Mun"/>
    <m/>
    <m/>
    <m/>
    <m/>
    <n v="36"/>
    <m/>
    <n v="22"/>
    <m/>
    <n v="0"/>
    <n v="0"/>
    <m/>
    <m/>
    <m/>
    <m/>
    <m/>
    <m/>
    <m/>
    <n v="0"/>
    <n v="0"/>
    <n v="0"/>
    <n v="0"/>
    <n v="0"/>
    <n v="0"/>
    <n v="0"/>
    <n v="0"/>
    <n v="0"/>
    <n v="0"/>
    <n v="0"/>
    <n v="0"/>
    <n v="0"/>
    <n v="0"/>
    <x v="0"/>
    <n v="0"/>
    <s v="MMR001CMP081"/>
    <x v="0"/>
    <x v="0"/>
    <x v="1"/>
    <s v=""/>
    <s v="No"/>
    <m/>
  </r>
  <r>
    <n v="53.666666666666664"/>
    <d v="2012-01-13T00:00:00"/>
    <x v="0"/>
    <s v="KBC"/>
    <s v="Kachin"/>
    <m/>
    <s v="Nant Yar Baptist Church"/>
    <m/>
    <m/>
    <m/>
    <n v="126"/>
    <n v="63"/>
    <n v="63"/>
    <n v="0"/>
    <n v="63"/>
    <n v="63"/>
    <n v="63"/>
    <m/>
    <m/>
    <m/>
    <m/>
    <m/>
    <m/>
    <m/>
    <n v="0"/>
    <n v="0"/>
    <n v="0"/>
    <n v="0"/>
    <n v="0"/>
    <n v="0"/>
    <n v="0"/>
    <n v="0"/>
    <n v="0"/>
    <n v="0"/>
    <n v="0"/>
    <n v="0"/>
    <n v="0"/>
    <n v="0"/>
    <x v="0"/>
    <n v="0"/>
    <s v=""/>
    <x v="1"/>
    <x v="2"/>
    <x v="0"/>
    <s v=""/>
    <s v="No"/>
    <s v="Emergency Aung Bar Li"/>
  </r>
  <r>
    <n v="30.766666666666666"/>
    <d v="2013-11-30T00:00:00"/>
    <x v="4"/>
    <s v="MDCG"/>
    <s v="Shan_North"/>
    <s v="Hseni"/>
    <s v="Narte"/>
    <m/>
    <m/>
    <m/>
    <m/>
    <m/>
    <n v="201"/>
    <m/>
    <m/>
    <m/>
    <m/>
    <n v="266"/>
    <n v="126"/>
    <n v="0"/>
    <m/>
    <m/>
    <m/>
    <m/>
    <n v="0"/>
    <n v="0"/>
    <n v="0"/>
    <n v="0"/>
    <n v="0"/>
    <n v="0"/>
    <n v="0"/>
    <n v="0"/>
    <n v="0"/>
    <n v="0"/>
    <n v="0"/>
    <n v="0"/>
    <n v="0"/>
    <n v="0"/>
    <x v="1"/>
    <n v="0"/>
    <s v="MMR015CMP207"/>
    <x v="0"/>
    <x v="1"/>
    <x v="1"/>
    <n v="0"/>
    <s v="No"/>
    <m/>
  </r>
  <r>
    <n v="34.4"/>
    <d v="2013-08-13T00:00:00"/>
    <x v="0"/>
    <s v="KBC"/>
    <s v="Shan_North"/>
    <s v="Hseni"/>
    <s v="Narte"/>
    <m/>
    <m/>
    <n v="27"/>
    <n v="43"/>
    <n v="17"/>
    <n v="43"/>
    <n v="17"/>
    <n v="17"/>
    <n v="17"/>
    <n v="17"/>
    <m/>
    <m/>
    <m/>
    <m/>
    <m/>
    <m/>
    <m/>
    <n v="0"/>
    <n v="0"/>
    <n v="0"/>
    <n v="0"/>
    <n v="0"/>
    <n v="0"/>
    <n v="0"/>
    <n v="0"/>
    <n v="0"/>
    <n v="0"/>
    <n v="0"/>
    <n v="0"/>
    <n v="0"/>
    <n v="0"/>
    <x v="0"/>
    <n v="0"/>
    <s v="MMR015CMP207"/>
    <x v="0"/>
    <x v="1"/>
    <x v="1"/>
    <n v="0.2537313432835821"/>
    <s v="No"/>
    <m/>
  </r>
  <r>
    <n v="27.866666666666667"/>
    <d v="2014-02-25T00:00:00"/>
    <x v="6"/>
    <s v="MRCS"/>
    <s v="Kachin"/>
    <s v="Mogaung"/>
    <s v="Nat Gyi Kone Baptist Church "/>
    <m/>
    <m/>
    <m/>
    <m/>
    <m/>
    <m/>
    <m/>
    <m/>
    <m/>
    <m/>
    <m/>
    <m/>
    <m/>
    <n v="28"/>
    <m/>
    <m/>
    <m/>
    <n v="0"/>
    <n v="0"/>
    <n v="0"/>
    <n v="0"/>
    <n v="0"/>
    <n v="0"/>
    <n v="0"/>
    <n v="0"/>
    <n v="0"/>
    <n v="0"/>
    <n v="0"/>
    <n v="0"/>
    <n v="0"/>
    <n v="0"/>
    <x v="1"/>
    <n v="0"/>
    <s v="MMR001CMP079"/>
    <x v="0"/>
    <x v="1"/>
    <x v="1"/>
    <n v="0"/>
    <m/>
    <m/>
  </r>
  <r>
    <n v="29.7"/>
    <d v="2014-01-01T00:00:00"/>
    <x v="11"/>
    <s v="MRCS"/>
    <s v="Kachin"/>
    <s v="Mogaung"/>
    <s v="Nat Gyi Kone Baptist Church "/>
    <m/>
    <m/>
    <m/>
    <m/>
    <m/>
    <m/>
    <n v="13"/>
    <m/>
    <m/>
    <m/>
    <m/>
    <m/>
    <m/>
    <m/>
    <m/>
    <m/>
    <m/>
    <n v="0"/>
    <n v="0"/>
    <n v="0"/>
    <n v="0"/>
    <n v="0"/>
    <n v="0"/>
    <n v="0"/>
    <n v="0"/>
    <n v="0"/>
    <n v="0"/>
    <n v="0"/>
    <n v="0"/>
    <n v="0"/>
    <n v="0"/>
    <x v="0"/>
    <n v="0"/>
    <s v="MMR001CMP079"/>
    <x v="0"/>
    <x v="1"/>
    <x v="1"/>
    <n v="1.0833333333333333"/>
    <s v="No"/>
    <m/>
  </r>
  <r>
    <n v="47.166666666666664"/>
    <d v="2012-07-26T00:00:00"/>
    <x v="0"/>
    <s v="UNHCR"/>
    <s v="Kachin"/>
    <s v="Mogaung"/>
    <s v="Nat Gyi Kone Baptist Church "/>
    <m/>
    <m/>
    <m/>
    <n v="21"/>
    <n v="17"/>
    <n v="21"/>
    <n v="17"/>
    <n v="17"/>
    <n v="17"/>
    <n v="17"/>
    <m/>
    <m/>
    <m/>
    <m/>
    <m/>
    <m/>
    <m/>
    <n v="0"/>
    <n v="0"/>
    <n v="0"/>
    <n v="0"/>
    <n v="0"/>
    <n v="0"/>
    <n v="0"/>
    <n v="0"/>
    <n v="0"/>
    <n v="0"/>
    <n v="0"/>
    <n v="0"/>
    <n v="0"/>
    <n v="0"/>
    <x v="0"/>
    <n v="0"/>
    <s v="MMR001CMP079"/>
    <x v="0"/>
    <x v="1"/>
    <x v="1"/>
    <n v="1.4166666666666667"/>
    <s v="No"/>
    <m/>
  </r>
  <r>
    <n v="17.233333333333334"/>
    <d v="2015-01-10T00:00:00"/>
    <x v="0"/>
    <s v="UNHCR"/>
    <s v="Kachin"/>
    <s v="Puta-O"/>
    <s v="Naung Khaing"/>
    <m/>
    <m/>
    <n v="55"/>
    <n v="110"/>
    <n v="55"/>
    <n v="110"/>
    <n v="55"/>
    <m/>
    <n v="55"/>
    <n v="275"/>
    <m/>
    <m/>
    <m/>
    <m/>
    <n v="55"/>
    <m/>
    <m/>
    <n v="0"/>
    <n v="0"/>
    <n v="0"/>
    <n v="0"/>
    <n v="0"/>
    <n v="0"/>
    <n v="0"/>
    <n v="0"/>
    <n v="0"/>
    <n v="0"/>
    <n v="0"/>
    <n v="0"/>
    <n v="0"/>
    <n v="0"/>
    <x v="0"/>
    <n v="0"/>
    <s v="MMR001CMP220"/>
    <x v="0"/>
    <x v="0"/>
    <x v="4"/>
    <s v=""/>
    <s v="No"/>
    <m/>
  </r>
  <r>
    <n v="19.266666666666666"/>
    <d v="2014-11-10T00:00:00"/>
    <x v="1"/>
    <s v="MRCS"/>
    <s v="Kachin"/>
    <s v="Puta-O"/>
    <s v="Naung Khaing"/>
    <m/>
    <m/>
    <m/>
    <m/>
    <m/>
    <m/>
    <m/>
    <m/>
    <m/>
    <m/>
    <n v="52"/>
    <n v="16"/>
    <m/>
    <m/>
    <m/>
    <m/>
    <m/>
    <n v="0"/>
    <n v="0"/>
    <n v="0"/>
    <n v="0"/>
    <n v="0"/>
    <n v="0"/>
    <n v="0"/>
    <n v="0"/>
    <n v="0"/>
    <n v="0"/>
    <n v="0"/>
    <n v="0"/>
    <n v="0"/>
    <n v="0"/>
    <x v="1"/>
    <n v="0"/>
    <s v="MMR001CMP220"/>
    <x v="0"/>
    <x v="0"/>
    <x v="4"/>
    <s v=""/>
    <m/>
    <m/>
  </r>
  <r>
    <n v="29.066666666666666"/>
    <d v="2014-01-20T00:00:00"/>
    <x v="1"/>
    <s v="MRCS"/>
    <s v="Kachin"/>
    <s v="Puta-O"/>
    <s v="Naung Khaing"/>
    <m/>
    <m/>
    <m/>
    <n v="17"/>
    <n v="34"/>
    <n v="34"/>
    <n v="17"/>
    <m/>
    <m/>
    <m/>
    <n v="31"/>
    <n v="28"/>
    <m/>
    <m/>
    <m/>
    <m/>
    <m/>
    <n v="0"/>
    <n v="0"/>
    <n v="0"/>
    <n v="0"/>
    <n v="0"/>
    <n v="0"/>
    <n v="0"/>
    <n v="0"/>
    <n v="0"/>
    <n v="0"/>
    <n v="0"/>
    <n v="0"/>
    <n v="0"/>
    <n v="0"/>
    <x v="1"/>
    <n v="0"/>
    <s v="MMR001CMP220"/>
    <x v="0"/>
    <x v="0"/>
    <x v="4"/>
    <s v=""/>
    <m/>
    <m/>
  </r>
  <r>
    <n v="20.6"/>
    <d v="2014-10-01T00:00:00"/>
    <x v="0"/>
    <s v="Shalom"/>
    <s v="Kachin"/>
    <s v="Waingmaw"/>
    <s v="Nawng Hee Village"/>
    <m/>
    <m/>
    <m/>
    <n v="36"/>
    <m/>
    <m/>
    <m/>
    <m/>
    <m/>
    <m/>
    <m/>
    <m/>
    <m/>
    <m/>
    <m/>
    <m/>
    <m/>
    <n v="0"/>
    <n v="0"/>
    <n v="0"/>
    <n v="0"/>
    <n v="0"/>
    <n v="0"/>
    <n v="0"/>
    <n v="0"/>
    <n v="0"/>
    <n v="0"/>
    <n v="0"/>
    <n v="0"/>
    <n v="0"/>
    <n v="0"/>
    <x v="0"/>
    <n v="0"/>
    <s v="MMR001CMP033"/>
    <x v="0"/>
    <x v="1"/>
    <x v="1"/>
    <n v="0"/>
    <m/>
    <m/>
  </r>
  <r>
    <n v="24.866666666666667"/>
    <d v="2014-05-26T00:00:00"/>
    <x v="6"/>
    <s v="MRCS"/>
    <s v="Kachin"/>
    <s v="Waingmaw"/>
    <s v="Nawng Hee Village"/>
    <m/>
    <m/>
    <m/>
    <m/>
    <m/>
    <m/>
    <m/>
    <m/>
    <m/>
    <m/>
    <m/>
    <m/>
    <m/>
    <n v="36"/>
    <m/>
    <m/>
    <m/>
    <n v="0"/>
    <n v="0"/>
    <n v="0"/>
    <n v="0"/>
    <n v="0"/>
    <n v="0"/>
    <n v="0"/>
    <n v="0"/>
    <n v="0"/>
    <n v="0"/>
    <n v="0"/>
    <n v="0"/>
    <n v="0"/>
    <n v="0"/>
    <x v="1"/>
    <n v="0"/>
    <s v="MMR001CMP033"/>
    <x v="0"/>
    <x v="1"/>
    <x v="1"/>
    <n v="0"/>
    <m/>
    <m/>
  </r>
  <r>
    <n v="24.466666666666665"/>
    <d v="2014-06-07T00:00:00"/>
    <x v="6"/>
    <s v="MRCS"/>
    <s v="Kachin"/>
    <s v="Mohnyin"/>
    <s v="Nawng Ing (Indawgyi) Baptist Church  "/>
    <m/>
    <m/>
    <m/>
    <m/>
    <m/>
    <m/>
    <m/>
    <m/>
    <m/>
    <m/>
    <m/>
    <m/>
    <m/>
    <n v="40"/>
    <m/>
    <m/>
    <m/>
    <n v="0"/>
    <n v="0"/>
    <n v="0"/>
    <n v="0"/>
    <n v="0"/>
    <n v="0"/>
    <n v="0"/>
    <n v="0"/>
    <n v="0"/>
    <n v="0"/>
    <n v="0"/>
    <n v="0"/>
    <n v="0"/>
    <n v="0"/>
    <x v="1"/>
    <n v="0"/>
    <s v="MMR001CMP152"/>
    <x v="0"/>
    <x v="1"/>
    <x v="1"/>
    <n v="0"/>
    <m/>
    <m/>
  </r>
  <r>
    <n v="37.166666666666664"/>
    <d v="2013-05-22T00:00:00"/>
    <x v="0"/>
    <s v="UNHCR"/>
    <s v="Kachin"/>
    <s v="Hpakant"/>
    <s v="Nga Pyaw Taw Baptist Nursery School "/>
    <m/>
    <m/>
    <n v="273"/>
    <n v="339"/>
    <n v="151"/>
    <n v="339"/>
    <n v="151"/>
    <n v="151"/>
    <n v="151"/>
    <n v="151"/>
    <m/>
    <m/>
    <m/>
    <m/>
    <m/>
    <m/>
    <m/>
    <n v="0"/>
    <n v="0"/>
    <n v="0"/>
    <n v="0"/>
    <n v="0"/>
    <n v="0"/>
    <n v="0"/>
    <n v="0"/>
    <n v="0"/>
    <n v="0"/>
    <n v="0"/>
    <n v="0"/>
    <n v="0"/>
    <n v="0"/>
    <x v="0"/>
    <n v="0"/>
    <s v="MMR001CMP082"/>
    <x v="0"/>
    <x v="0"/>
    <x v="0"/>
    <s v=""/>
    <s v="No"/>
    <m/>
  </r>
  <r>
    <n v="40.200000000000003"/>
    <d v="2013-02-20T00:00:00"/>
    <x v="0"/>
    <s v="UNHCR"/>
    <s v="Kachin"/>
    <s v="Hpakant"/>
    <s v="Nga Pyaw Taw Baptist Nursery School "/>
    <m/>
    <m/>
    <n v="175"/>
    <n v="0"/>
    <n v="0"/>
    <n v="0"/>
    <n v="0"/>
    <n v="0"/>
    <m/>
    <m/>
    <m/>
    <m/>
    <m/>
    <m/>
    <m/>
    <m/>
    <m/>
    <n v="0"/>
    <n v="0"/>
    <n v="0"/>
    <n v="0"/>
    <n v="0"/>
    <n v="0"/>
    <n v="0"/>
    <n v="0"/>
    <n v="0"/>
    <n v="0"/>
    <n v="0"/>
    <n v="0"/>
    <n v="0"/>
    <n v="0"/>
    <x v="0"/>
    <n v="0"/>
    <s v="MMR001CMP082"/>
    <x v="0"/>
    <x v="0"/>
    <x v="0"/>
    <s v=""/>
    <s v="No"/>
    <m/>
  </r>
  <r>
    <n v="53.666666666666664"/>
    <d v="2012-01-13T00:00:00"/>
    <x v="0"/>
    <s v="KBC"/>
    <s v="Kachin"/>
    <s v="Hpakant"/>
    <s v="Nga Pyaw Taw Baptist Nursery School "/>
    <m/>
    <m/>
    <m/>
    <n v="112"/>
    <n v="56"/>
    <n v="56"/>
    <n v="0"/>
    <n v="56"/>
    <n v="56"/>
    <n v="56"/>
    <m/>
    <m/>
    <m/>
    <m/>
    <m/>
    <m/>
    <m/>
    <n v="0"/>
    <n v="0"/>
    <n v="0"/>
    <n v="0"/>
    <n v="0"/>
    <n v="0"/>
    <n v="0"/>
    <n v="0"/>
    <n v="0"/>
    <n v="0"/>
    <n v="0"/>
    <n v="0"/>
    <n v="0"/>
    <n v="0"/>
    <x v="0"/>
    <n v="0"/>
    <s v="MMR001CMP082"/>
    <x v="0"/>
    <x v="0"/>
    <x v="0"/>
    <s v=""/>
    <s v="No"/>
    <m/>
  </r>
  <r>
    <n v="40.200000000000003"/>
    <d v="2013-02-20T00:00:00"/>
    <x v="0"/>
    <s v="UNHCR"/>
    <s v="Kachin"/>
    <s v="Hpakant"/>
    <s v="Nga Pyaw Taw Roman Catholic Church"/>
    <m/>
    <m/>
    <n v="38"/>
    <n v="89"/>
    <n v="44"/>
    <n v="89"/>
    <n v="44"/>
    <n v="44"/>
    <n v="44"/>
    <n v="44"/>
    <m/>
    <m/>
    <m/>
    <m/>
    <m/>
    <m/>
    <m/>
    <n v="0"/>
    <n v="0"/>
    <n v="0"/>
    <n v="0"/>
    <n v="0"/>
    <n v="0"/>
    <n v="0"/>
    <n v="0"/>
    <n v="0"/>
    <n v="0"/>
    <n v="0"/>
    <n v="0"/>
    <n v="0"/>
    <n v="0"/>
    <x v="0"/>
    <n v="0"/>
    <s v="MMR001CMP083"/>
    <x v="0"/>
    <x v="0"/>
    <x v="0"/>
    <s v=""/>
    <s v="No"/>
    <m/>
  </r>
  <r>
    <n v="41.9"/>
    <d v="2012-12-31T00:00:00"/>
    <x v="3"/>
    <s v="DRC"/>
    <s v="Kachin"/>
    <s v="Hpakant"/>
    <s v="Nga Pyaw Taw Roman Catholic Church"/>
    <n v="3"/>
    <m/>
    <m/>
    <m/>
    <m/>
    <m/>
    <m/>
    <m/>
    <n v="0"/>
    <n v="0"/>
    <m/>
    <m/>
    <m/>
    <m/>
    <m/>
    <m/>
    <m/>
    <n v="0"/>
    <n v="0"/>
    <n v="0"/>
    <n v="0"/>
    <n v="0"/>
    <n v="0"/>
    <n v="0"/>
    <n v="0"/>
    <n v="0"/>
    <n v="0"/>
    <n v="0"/>
    <n v="0"/>
    <n v="0"/>
    <n v="0"/>
    <x v="0"/>
    <n v="0"/>
    <s v="MMR001CMP083"/>
    <x v="0"/>
    <x v="0"/>
    <x v="0"/>
    <s v=""/>
    <s v="No"/>
    <m/>
  </r>
  <r>
    <n v="14.466666666666667"/>
    <d v="2015-04-03T00:00:00"/>
    <x v="0"/>
    <s v="UNHCR"/>
    <s v="Kachin"/>
    <s v="Momauk"/>
    <s v="Nhkawng Pa "/>
    <m/>
    <m/>
    <m/>
    <m/>
    <m/>
    <m/>
    <m/>
    <m/>
    <m/>
    <m/>
    <m/>
    <m/>
    <m/>
    <m/>
    <n v="405"/>
    <m/>
    <m/>
    <n v="0"/>
    <n v="0"/>
    <n v="0"/>
    <n v="0"/>
    <n v="0"/>
    <n v="0"/>
    <n v="0"/>
    <n v="0"/>
    <n v="0"/>
    <n v="0"/>
    <n v="0"/>
    <n v="0"/>
    <n v="0"/>
    <n v="0"/>
    <x v="0"/>
    <n v="0"/>
    <s v="MMR001CMP131"/>
    <x v="0"/>
    <x v="1"/>
    <x v="2"/>
    <n v="0"/>
    <s v="No"/>
    <m/>
  </r>
  <r>
    <n v="20.933333333333334"/>
    <d v="2014-09-21T00:00:00"/>
    <x v="0"/>
    <m/>
    <s v="Kachin"/>
    <s v="Momauk"/>
    <s v="Nhkawng Pa "/>
    <m/>
    <m/>
    <m/>
    <n v="604"/>
    <m/>
    <m/>
    <m/>
    <m/>
    <m/>
    <m/>
    <m/>
    <m/>
    <m/>
    <n v="784"/>
    <m/>
    <m/>
    <m/>
    <n v="0"/>
    <n v="0"/>
    <n v="0"/>
    <n v="0"/>
    <n v="0"/>
    <n v="0"/>
    <n v="0"/>
    <n v="0"/>
    <n v="0"/>
    <n v="0"/>
    <n v="0"/>
    <n v="0"/>
    <n v="0"/>
    <n v="0"/>
    <x v="1"/>
    <n v="0"/>
    <s v="MMR001CMP131"/>
    <x v="0"/>
    <x v="1"/>
    <x v="2"/>
    <n v="0"/>
    <m/>
    <m/>
  </r>
  <r>
    <n v="30.4"/>
    <d v="2013-12-11T00:00:00"/>
    <x v="9"/>
    <s v="WPN"/>
    <s v="Kachin"/>
    <s v="Momauk"/>
    <s v="Nhkawng Pa "/>
    <m/>
    <m/>
    <m/>
    <m/>
    <m/>
    <n v="350"/>
    <m/>
    <m/>
    <m/>
    <m/>
    <m/>
    <m/>
    <m/>
    <m/>
    <m/>
    <m/>
    <m/>
    <n v="0"/>
    <n v="0"/>
    <n v="0"/>
    <n v="0"/>
    <n v="0"/>
    <n v="0"/>
    <n v="0"/>
    <n v="0"/>
    <n v="0"/>
    <n v="0"/>
    <n v="0"/>
    <n v="0"/>
    <n v="0"/>
    <n v="0"/>
    <x v="0"/>
    <n v="0"/>
    <s v="MMR001CMP131"/>
    <x v="0"/>
    <x v="1"/>
    <x v="2"/>
    <n v="0"/>
    <s v="No"/>
    <m/>
  </r>
  <r>
    <n v="30.766666666666666"/>
    <d v="2013-11-30T00:00:00"/>
    <x v="5"/>
    <s v="LDO"/>
    <s v="Kachin"/>
    <s v="Momauk"/>
    <s v="Nhkawng Pa "/>
    <m/>
    <m/>
    <m/>
    <m/>
    <m/>
    <m/>
    <m/>
    <m/>
    <m/>
    <m/>
    <m/>
    <m/>
    <m/>
    <m/>
    <m/>
    <m/>
    <m/>
    <n v="0"/>
    <n v="0"/>
    <n v="0"/>
    <n v="0"/>
    <n v="0"/>
    <n v="0"/>
    <n v="0"/>
    <n v="0"/>
    <n v="0"/>
    <n v="0"/>
    <n v="0"/>
    <n v="0"/>
    <n v="0"/>
    <n v="0"/>
    <x v="0"/>
    <n v="0"/>
    <s v="MMR001CMP131"/>
    <x v="0"/>
    <x v="1"/>
    <x v="2"/>
    <n v="0"/>
    <s v="No"/>
    <m/>
  </r>
  <r>
    <n v="31.266666666666666"/>
    <d v="2013-11-15T00:00:00"/>
    <x v="5"/>
    <s v="LDO"/>
    <s v="Kachin"/>
    <s v="Momauk"/>
    <s v="Nhkawng Pa "/>
    <m/>
    <m/>
    <m/>
    <m/>
    <m/>
    <m/>
    <m/>
    <m/>
    <m/>
    <m/>
    <n v="387"/>
    <n v="760"/>
    <n v="2294"/>
    <n v="1147"/>
    <m/>
    <m/>
    <m/>
    <n v="0"/>
    <n v="0"/>
    <n v="0"/>
    <n v="0"/>
    <n v="0"/>
    <n v="0"/>
    <n v="0"/>
    <n v="0"/>
    <n v="0"/>
    <n v="0"/>
    <n v="0"/>
    <n v="0"/>
    <n v="0"/>
    <n v="0"/>
    <x v="1"/>
    <n v="0"/>
    <s v="MMR001CMP131"/>
    <x v="0"/>
    <x v="1"/>
    <x v="2"/>
    <n v="0"/>
    <m/>
    <m/>
  </r>
  <r>
    <n v="31.4"/>
    <d v="2013-11-11T00:00:00"/>
    <x v="0"/>
    <s v="UNHCR "/>
    <s v="Kachin"/>
    <s v="Momauk"/>
    <s v="Nhkawng Pa "/>
    <m/>
    <m/>
    <n v="36"/>
    <n v="200"/>
    <n v="100"/>
    <m/>
    <n v="100"/>
    <n v="100"/>
    <m/>
    <m/>
    <m/>
    <m/>
    <m/>
    <m/>
    <m/>
    <m/>
    <m/>
    <n v="0"/>
    <n v="0"/>
    <n v="0"/>
    <n v="0"/>
    <n v="0"/>
    <n v="0"/>
    <n v="0"/>
    <n v="0"/>
    <n v="0"/>
    <n v="0"/>
    <n v="0"/>
    <n v="0"/>
    <n v="0"/>
    <n v="0"/>
    <x v="0"/>
    <n v="0"/>
    <s v="MMR001CMP131"/>
    <x v="0"/>
    <x v="1"/>
    <x v="2"/>
    <n v="0.26666666666666666"/>
    <s v="No"/>
    <m/>
  </r>
  <r>
    <n v="33.4"/>
    <d v="2013-09-12T00:00:00"/>
    <x v="0"/>
    <s v="UNHCR"/>
    <s v="Kachin"/>
    <s v="Momauk"/>
    <s v="Nhkawng Pa "/>
    <m/>
    <m/>
    <n v="640"/>
    <n v="640"/>
    <n v="320"/>
    <n v="320"/>
    <n v="320"/>
    <n v="320"/>
    <n v="640"/>
    <n v="320"/>
    <m/>
    <m/>
    <m/>
    <m/>
    <m/>
    <m/>
    <m/>
    <n v="0"/>
    <n v="0"/>
    <n v="0"/>
    <n v="0"/>
    <n v="0"/>
    <n v="0"/>
    <n v="0"/>
    <n v="0"/>
    <n v="0"/>
    <n v="0"/>
    <n v="0"/>
    <n v="0"/>
    <n v="0"/>
    <n v="0"/>
    <x v="0"/>
    <n v="0"/>
    <s v="MMR001CMP131"/>
    <x v="0"/>
    <x v="1"/>
    <x v="2"/>
    <n v="0.85333333333333339"/>
    <s v="No"/>
    <m/>
  </r>
  <r>
    <n v="48.3"/>
    <d v="2012-06-22T00:00:00"/>
    <x v="0"/>
    <s v="UNHCR"/>
    <s v="Kachin"/>
    <s v="Momauk"/>
    <s v="Nhkawng Pa "/>
    <m/>
    <m/>
    <m/>
    <n v="140"/>
    <n v="70"/>
    <n v="140"/>
    <n v="70"/>
    <n v="70"/>
    <n v="70"/>
    <n v="70"/>
    <m/>
    <m/>
    <m/>
    <m/>
    <m/>
    <m/>
    <m/>
    <n v="0"/>
    <n v="0"/>
    <n v="0"/>
    <n v="0"/>
    <n v="0"/>
    <n v="0"/>
    <n v="0"/>
    <n v="0"/>
    <n v="0"/>
    <n v="0"/>
    <n v="0"/>
    <n v="0"/>
    <n v="0"/>
    <n v="0"/>
    <x v="0"/>
    <n v="0"/>
    <s v="MMR001CMP131"/>
    <x v="0"/>
    <x v="1"/>
    <x v="2"/>
    <n v="0.18666666666666668"/>
    <s v="No"/>
    <m/>
  </r>
  <r>
    <n v="14.766666666666667"/>
    <d v="2015-03-25T00:00:00"/>
    <x v="0"/>
    <s v="UNHCR"/>
    <s v="Kachin"/>
    <s v="Bhamo"/>
    <s v="Nhkawng Pa camp and Pa Kahtawng camp thru cross line mission with KMSS-Bhamo"/>
    <m/>
    <m/>
    <m/>
    <m/>
    <m/>
    <m/>
    <m/>
    <m/>
    <m/>
    <m/>
    <n v="2086"/>
    <n v="3036"/>
    <m/>
    <m/>
    <m/>
    <m/>
    <m/>
    <n v="0"/>
    <n v="0"/>
    <n v="0"/>
    <n v="0"/>
    <n v="0"/>
    <n v="0"/>
    <n v="0"/>
    <n v="0"/>
    <n v="0"/>
    <n v="0"/>
    <n v="0"/>
    <n v="0"/>
    <n v="0"/>
    <n v="0"/>
    <x v="1"/>
    <n v="0"/>
    <s v=""/>
    <x v="1"/>
    <x v="2"/>
    <x v="0"/>
    <s v=""/>
    <s v="No"/>
    <m/>
  </r>
  <r>
    <n v="15.066666666666666"/>
    <d v="2015-03-16T00:00:00"/>
    <x v="0"/>
    <s v="UNHCR"/>
    <s v="Kachin"/>
    <s v="Bhamo"/>
    <s v="Nhkawng Pa camp and Pa Kahtawng camp thru cross line mission with KMSS-Bhamo"/>
    <m/>
    <m/>
    <m/>
    <m/>
    <m/>
    <m/>
    <m/>
    <m/>
    <m/>
    <m/>
    <n v="2460"/>
    <n v="3600"/>
    <m/>
    <m/>
    <m/>
    <m/>
    <m/>
    <n v="0"/>
    <n v="0"/>
    <n v="0"/>
    <n v="0"/>
    <n v="0"/>
    <n v="0"/>
    <n v="0"/>
    <n v="0"/>
    <n v="0"/>
    <n v="0"/>
    <n v="0"/>
    <n v="0"/>
    <n v="0"/>
    <n v="0"/>
    <x v="1"/>
    <n v="0"/>
    <s v=""/>
    <x v="1"/>
    <x v="2"/>
    <x v="0"/>
    <s v=""/>
    <s v="No"/>
    <m/>
  </r>
  <r>
    <n v="14.466666666666667"/>
    <d v="2015-04-03T00:00:00"/>
    <x v="0"/>
    <s v="Shalom"/>
    <s v="Kachin"/>
    <s v="Momauk"/>
    <s v="Ni Thaw Ka Monestry"/>
    <m/>
    <m/>
    <m/>
    <n v="105"/>
    <n v="26"/>
    <n v="308"/>
    <n v="29"/>
    <m/>
    <m/>
    <n v="69"/>
    <m/>
    <m/>
    <m/>
    <m/>
    <m/>
    <m/>
    <m/>
    <n v="0"/>
    <n v="0"/>
    <n v="0"/>
    <n v="0"/>
    <n v="0"/>
    <n v="0"/>
    <n v="0"/>
    <n v="0"/>
    <n v="0"/>
    <n v="0"/>
    <n v="0"/>
    <n v="0"/>
    <n v="0"/>
    <n v="0"/>
    <x v="0"/>
    <n v="0"/>
    <s v="MMR001CMP059"/>
    <x v="0"/>
    <x v="0"/>
    <x v="1"/>
    <s v=""/>
    <s v="No"/>
    <m/>
  </r>
  <r>
    <n v="26.466666666666665"/>
    <d v="2014-04-08T00:00:00"/>
    <x v="6"/>
    <s v="MRCS"/>
    <s v="Kachin"/>
    <s v="Momauk"/>
    <s v="Ni Thaw Ka Monestry"/>
    <m/>
    <m/>
    <m/>
    <m/>
    <m/>
    <m/>
    <m/>
    <m/>
    <m/>
    <m/>
    <m/>
    <m/>
    <m/>
    <n v="46"/>
    <m/>
    <m/>
    <m/>
    <n v="0"/>
    <n v="0"/>
    <n v="0"/>
    <n v="0"/>
    <n v="0"/>
    <n v="0"/>
    <n v="0"/>
    <n v="0"/>
    <n v="0"/>
    <n v="0"/>
    <n v="0"/>
    <n v="0"/>
    <n v="0"/>
    <n v="0"/>
    <x v="1"/>
    <n v="0"/>
    <s v="MMR001CMP059"/>
    <x v="0"/>
    <x v="0"/>
    <x v="1"/>
    <s v=""/>
    <m/>
    <m/>
  </r>
  <r>
    <n v="30.766666666666666"/>
    <d v="2013-11-30T00:00:00"/>
    <x v="5"/>
    <m/>
    <s v="Kachin"/>
    <s v="Momauk"/>
    <s v="Ni Thaw Ka Monestry"/>
    <m/>
    <m/>
    <m/>
    <m/>
    <m/>
    <m/>
    <m/>
    <m/>
    <m/>
    <n v="60"/>
    <m/>
    <m/>
    <m/>
    <m/>
    <m/>
    <m/>
    <m/>
    <n v="0"/>
    <n v="0"/>
    <n v="0"/>
    <n v="0"/>
    <n v="0"/>
    <n v="0"/>
    <n v="0"/>
    <n v="0"/>
    <n v="0"/>
    <n v="0"/>
    <n v="0"/>
    <n v="0"/>
    <n v="0"/>
    <n v="0"/>
    <x v="0"/>
    <n v="0"/>
    <s v="MMR001CMP059"/>
    <x v="0"/>
    <x v="0"/>
    <x v="1"/>
    <s v=""/>
    <s v="No"/>
    <m/>
  </r>
  <r>
    <n v="41.06666666666667"/>
    <d v="2013-01-25T00:00:00"/>
    <x v="5"/>
    <s v="Solidarities"/>
    <s v="Kachin"/>
    <s v="Momauk"/>
    <s v="Ni Thaw Ka Monestry"/>
    <n v="75"/>
    <m/>
    <n v="120"/>
    <m/>
    <m/>
    <m/>
    <m/>
    <m/>
    <n v="0"/>
    <n v="0"/>
    <m/>
    <m/>
    <m/>
    <m/>
    <m/>
    <m/>
    <m/>
    <n v="0"/>
    <n v="0"/>
    <n v="0"/>
    <n v="0"/>
    <n v="0"/>
    <n v="0"/>
    <n v="0"/>
    <n v="0"/>
    <n v="0"/>
    <n v="0"/>
    <n v="0"/>
    <n v="0"/>
    <n v="0"/>
    <n v="0"/>
    <x v="0"/>
    <n v="0"/>
    <s v="MMR001CMP059"/>
    <x v="0"/>
    <x v="0"/>
    <x v="1"/>
    <s v=""/>
    <s v="No"/>
    <m/>
  </r>
  <r>
    <n v="25.3"/>
    <d v="2014-05-13T00:00:00"/>
    <x v="6"/>
    <s v="MRCS"/>
    <s v="Kachin"/>
    <s v="Myitkyina"/>
    <s v="Njang Dung Baptist Church "/>
    <m/>
    <m/>
    <m/>
    <m/>
    <m/>
    <m/>
    <m/>
    <m/>
    <m/>
    <m/>
    <m/>
    <m/>
    <m/>
    <n v="112"/>
    <m/>
    <m/>
    <m/>
    <n v="0"/>
    <n v="0"/>
    <n v="0"/>
    <n v="0"/>
    <n v="0"/>
    <n v="0"/>
    <n v="0"/>
    <n v="0"/>
    <n v="0"/>
    <n v="0"/>
    <n v="0"/>
    <n v="0"/>
    <n v="0"/>
    <n v="0"/>
    <x v="1"/>
    <n v="0"/>
    <s v="MMR001CMP002"/>
    <x v="0"/>
    <x v="1"/>
    <x v="1"/>
    <n v="0"/>
    <m/>
    <m/>
  </r>
  <r>
    <n v="47.5"/>
    <d v="2012-07-16T00:00:00"/>
    <x v="0"/>
    <s v="UNHCR"/>
    <s v="Kachin"/>
    <s v="Myitkyina"/>
    <s v="Njang Dung Baptist Church "/>
    <m/>
    <m/>
    <m/>
    <n v="25"/>
    <n v="25"/>
    <n v="25"/>
    <n v="25"/>
    <n v="25"/>
    <n v="25"/>
    <n v="25"/>
    <m/>
    <m/>
    <m/>
    <m/>
    <m/>
    <m/>
    <m/>
    <n v="0"/>
    <n v="0"/>
    <n v="0"/>
    <n v="0"/>
    <n v="0"/>
    <n v="0"/>
    <n v="0"/>
    <n v="0"/>
    <n v="0"/>
    <n v="0"/>
    <n v="0"/>
    <n v="0"/>
    <n v="0"/>
    <n v="0"/>
    <x v="0"/>
    <n v="0"/>
    <s v="MMR001CMP002"/>
    <x v="0"/>
    <x v="1"/>
    <x v="1"/>
    <n v="0.43103448275862066"/>
    <s v="No"/>
    <m/>
  </r>
  <r>
    <n v="55.6"/>
    <d v="2011-11-16T00:00:00"/>
    <x v="0"/>
    <s v="KBC"/>
    <s v="Kachin"/>
    <s v="Myitkyina"/>
    <s v="Njang Dung Baptist Church "/>
    <m/>
    <m/>
    <m/>
    <n v="92"/>
    <n v="53"/>
    <n v="92"/>
    <n v="53"/>
    <n v="53"/>
    <n v="53"/>
    <n v="53"/>
    <m/>
    <m/>
    <m/>
    <m/>
    <m/>
    <m/>
    <m/>
    <n v="0"/>
    <n v="0"/>
    <n v="0"/>
    <n v="0"/>
    <n v="0"/>
    <n v="0"/>
    <n v="0"/>
    <n v="0"/>
    <n v="0"/>
    <n v="0"/>
    <n v="0"/>
    <n v="0"/>
    <n v="0"/>
    <n v="0"/>
    <x v="0"/>
    <n v="0"/>
    <s v="MMR001CMP002"/>
    <x v="0"/>
    <x v="1"/>
    <x v="1"/>
    <n v="0.91379310344827591"/>
    <s v="No"/>
    <m/>
  </r>
  <r>
    <n v="17.133333333333333"/>
    <d v="2015-01-13T00:00:00"/>
    <x v="1"/>
    <s v="MRCS"/>
    <s v="Kachin"/>
    <s v="Momauk"/>
    <s v="Nyaung Na Pin "/>
    <m/>
    <m/>
    <m/>
    <m/>
    <m/>
    <m/>
    <m/>
    <m/>
    <m/>
    <m/>
    <n v="195"/>
    <n v="91"/>
    <m/>
    <n v="92"/>
    <m/>
    <m/>
    <m/>
    <n v="0"/>
    <n v="0"/>
    <n v="0"/>
    <n v="0"/>
    <n v="0"/>
    <n v="0"/>
    <n v="0"/>
    <n v="0"/>
    <n v="0"/>
    <n v="0"/>
    <n v="0"/>
    <n v="0"/>
    <n v="0"/>
    <n v="0"/>
    <x v="1"/>
    <n v="0"/>
    <s v="MMR001CMP072"/>
    <x v="0"/>
    <x v="1"/>
    <x v="4"/>
    <n v="0"/>
    <m/>
    <m/>
  </r>
  <r>
    <n v="20.3"/>
    <d v="2014-10-10T00:00:00"/>
    <x v="0"/>
    <m/>
    <s v="Kachin"/>
    <s v="Momauk"/>
    <s v="Nyaung Na Pin "/>
    <m/>
    <m/>
    <m/>
    <m/>
    <n v="60"/>
    <m/>
    <m/>
    <m/>
    <m/>
    <m/>
    <m/>
    <m/>
    <m/>
    <m/>
    <m/>
    <m/>
    <m/>
    <n v="0"/>
    <n v="0"/>
    <n v="0"/>
    <n v="0"/>
    <n v="0"/>
    <n v="0"/>
    <n v="0"/>
    <n v="0"/>
    <n v="0"/>
    <n v="0"/>
    <n v="0"/>
    <n v="0"/>
    <n v="0"/>
    <n v="0"/>
    <x v="0"/>
    <n v="0"/>
    <s v="MMR001CMP072"/>
    <x v="0"/>
    <x v="1"/>
    <x v="4"/>
    <n v="0"/>
    <m/>
    <m/>
  </r>
  <r>
    <n v="30.766666666666666"/>
    <d v="2013-11-30T00:00:00"/>
    <x v="5"/>
    <m/>
    <s v="Kachin"/>
    <s v="Momauk"/>
    <s v="Nyaung Na Pin "/>
    <m/>
    <m/>
    <m/>
    <m/>
    <m/>
    <m/>
    <m/>
    <m/>
    <m/>
    <n v="135"/>
    <m/>
    <m/>
    <m/>
    <m/>
    <m/>
    <m/>
    <m/>
    <n v="0"/>
    <n v="0"/>
    <n v="0"/>
    <n v="0"/>
    <n v="0"/>
    <n v="0"/>
    <n v="0"/>
    <n v="0"/>
    <n v="0"/>
    <n v="0"/>
    <n v="0"/>
    <n v="0"/>
    <n v="0"/>
    <n v="0"/>
    <x v="0"/>
    <n v="0"/>
    <s v="MMR001CMP072"/>
    <x v="0"/>
    <x v="1"/>
    <x v="4"/>
    <n v="0"/>
    <s v="No"/>
    <m/>
  </r>
  <r>
    <n v="31.2"/>
    <d v="2013-11-17T00:00:00"/>
    <x v="3"/>
    <m/>
    <s v="Kachin"/>
    <s v="Momauk"/>
    <s v="Nyaung Na Pin "/>
    <m/>
    <m/>
    <m/>
    <m/>
    <m/>
    <n v="145"/>
    <m/>
    <m/>
    <m/>
    <m/>
    <m/>
    <m/>
    <m/>
    <m/>
    <m/>
    <m/>
    <m/>
    <n v="0"/>
    <n v="0"/>
    <n v="0"/>
    <n v="0"/>
    <n v="0"/>
    <n v="0"/>
    <n v="0"/>
    <n v="0"/>
    <n v="0"/>
    <n v="0"/>
    <n v="0"/>
    <n v="0"/>
    <n v="0"/>
    <n v="0"/>
    <x v="0"/>
    <n v="0"/>
    <s v="MMR001CMP072"/>
    <x v="0"/>
    <x v="1"/>
    <x v="4"/>
    <n v="0"/>
    <s v="No"/>
    <m/>
  </r>
  <r>
    <n v="46.033333333333331"/>
    <d v="2012-08-29T00:00:00"/>
    <x v="0"/>
    <s v="UNHCR"/>
    <s v="Kachin"/>
    <s v="Momauk"/>
    <s v="Nyaung Na Pin "/>
    <m/>
    <m/>
    <m/>
    <n v="112"/>
    <n v="41"/>
    <n v="112"/>
    <n v="41"/>
    <n v="41"/>
    <n v="41"/>
    <n v="41"/>
    <m/>
    <m/>
    <m/>
    <m/>
    <m/>
    <m/>
    <m/>
    <n v="0"/>
    <n v="0"/>
    <n v="0"/>
    <n v="0"/>
    <n v="0"/>
    <n v="0"/>
    <n v="0"/>
    <n v="0"/>
    <n v="0"/>
    <n v="0"/>
    <n v="0"/>
    <n v="0"/>
    <n v="0"/>
    <n v="0"/>
    <x v="0"/>
    <n v="0"/>
    <s v="MMR001CMP072"/>
    <x v="0"/>
    <x v="1"/>
    <x v="4"/>
    <n v="0.82"/>
    <s v="No"/>
    <m/>
  </r>
  <r>
    <n v="6.6333333333333337"/>
    <d v="2015-11-24T00:00:00"/>
    <x v="0"/>
    <s v="KMSS"/>
    <s v="Kachin"/>
    <s v="Myitkyina"/>
    <s v="Pa Dauk Myaing(Pa La Na)"/>
    <m/>
    <m/>
    <m/>
    <m/>
    <m/>
    <m/>
    <m/>
    <m/>
    <m/>
    <m/>
    <m/>
    <m/>
    <m/>
    <n v="50"/>
    <m/>
    <m/>
    <m/>
    <n v="0"/>
    <n v="0"/>
    <n v="0"/>
    <n v="0"/>
    <n v="0"/>
    <n v="0"/>
    <n v="0"/>
    <n v="0"/>
    <n v="0"/>
    <n v="0"/>
    <n v="0"/>
    <n v="0"/>
    <n v="0"/>
    <n v="50"/>
    <x v="1"/>
    <n v="0"/>
    <s v="MMR001CMP162"/>
    <x v="0"/>
    <x v="1"/>
    <x v="1"/>
    <n v="0"/>
    <s v="No"/>
    <m/>
  </r>
  <r>
    <n v="8.8666666666666671"/>
    <d v="2015-09-18T00:00:00"/>
    <x v="0"/>
    <s v="KMSS"/>
    <s v="Kachin"/>
    <s v="Myitkyina"/>
    <s v="Pa Dauk Myaing(Pa La Na)"/>
    <m/>
    <n v="11"/>
    <n v="11"/>
    <n v="21"/>
    <n v="16"/>
    <n v="21"/>
    <n v="11"/>
    <m/>
    <n v="11"/>
    <n v="42"/>
    <m/>
    <m/>
    <m/>
    <m/>
    <n v="11"/>
    <m/>
    <n v="6"/>
    <n v="0"/>
    <n v="11"/>
    <n v="11"/>
    <n v="21"/>
    <n v="16"/>
    <n v="21"/>
    <n v="11"/>
    <n v="0"/>
    <n v="11"/>
    <n v="105"/>
    <n v="0"/>
    <n v="0"/>
    <n v="0"/>
    <n v="0"/>
    <x v="0"/>
    <n v="11"/>
    <s v="MMR001CMP162"/>
    <x v="0"/>
    <x v="1"/>
    <x v="1"/>
    <n v="0.2558139534883721"/>
    <s v="No"/>
    <m/>
  </r>
  <r>
    <n v="16.100000000000001"/>
    <d v="2015-02-13T00:00:00"/>
    <x v="0"/>
    <s v="KMSS"/>
    <s v="Kachin"/>
    <s v="Myitkyina"/>
    <s v="Pa Dauk Myaing(Pa La Na)"/>
    <m/>
    <m/>
    <m/>
    <m/>
    <m/>
    <n v="18"/>
    <n v="9"/>
    <m/>
    <n v="29"/>
    <n v="145"/>
    <m/>
    <m/>
    <m/>
    <m/>
    <m/>
    <m/>
    <m/>
    <n v="0"/>
    <n v="0"/>
    <n v="0"/>
    <n v="0"/>
    <n v="0"/>
    <n v="0"/>
    <n v="0"/>
    <n v="0"/>
    <n v="0"/>
    <n v="0"/>
    <n v="0"/>
    <n v="0"/>
    <n v="0"/>
    <n v="0"/>
    <x v="0"/>
    <n v="0"/>
    <s v="MMR001CMP162"/>
    <x v="0"/>
    <x v="1"/>
    <x v="1"/>
    <n v="0.20930232558139536"/>
    <s v="No"/>
    <m/>
  </r>
  <r>
    <n v="17.133333333333333"/>
    <d v="2015-01-13T00:00:00"/>
    <x v="1"/>
    <s v="MRCS"/>
    <s v="Kachin"/>
    <s v="Myitkyina"/>
    <s v="Pa Dauk Myaing(Pa La Na)"/>
    <m/>
    <m/>
    <m/>
    <m/>
    <m/>
    <m/>
    <m/>
    <m/>
    <m/>
    <m/>
    <n v="323"/>
    <n v="178"/>
    <m/>
    <m/>
    <m/>
    <m/>
    <m/>
    <n v="0"/>
    <n v="0"/>
    <n v="0"/>
    <n v="0"/>
    <n v="0"/>
    <n v="0"/>
    <n v="0"/>
    <n v="0"/>
    <n v="0"/>
    <n v="0"/>
    <n v="0"/>
    <n v="0"/>
    <n v="0"/>
    <n v="0"/>
    <x v="1"/>
    <n v="0"/>
    <s v="MMR001CMP162"/>
    <x v="0"/>
    <x v="1"/>
    <x v="1"/>
    <n v="0"/>
    <m/>
    <m/>
  </r>
  <r>
    <n v="20.6"/>
    <d v="2014-10-01T00:00:00"/>
    <x v="0"/>
    <s v="KMSS"/>
    <s v="Kachin"/>
    <s v="Myitkyina"/>
    <s v="Pa Dauk Myaing(Pa La Na)"/>
    <m/>
    <m/>
    <m/>
    <n v="62"/>
    <m/>
    <m/>
    <m/>
    <m/>
    <m/>
    <m/>
    <m/>
    <m/>
    <m/>
    <m/>
    <m/>
    <m/>
    <m/>
    <n v="0"/>
    <n v="0"/>
    <n v="0"/>
    <n v="0"/>
    <n v="0"/>
    <n v="0"/>
    <n v="0"/>
    <n v="0"/>
    <n v="0"/>
    <n v="0"/>
    <n v="0"/>
    <n v="0"/>
    <n v="0"/>
    <n v="0"/>
    <x v="0"/>
    <n v="0"/>
    <s v="MMR001CMP162"/>
    <x v="0"/>
    <x v="1"/>
    <x v="1"/>
    <n v="0"/>
    <m/>
    <m/>
  </r>
  <r>
    <n v="25.433333333333334"/>
    <d v="2014-05-09T00:00:00"/>
    <x v="6"/>
    <s v="MRCS"/>
    <s v="Kachin"/>
    <s v="Myitkyina"/>
    <s v="Pa Dauk Myaing(Pa La Na)"/>
    <m/>
    <m/>
    <m/>
    <m/>
    <m/>
    <m/>
    <m/>
    <m/>
    <m/>
    <m/>
    <m/>
    <m/>
    <m/>
    <n v="58"/>
    <m/>
    <m/>
    <m/>
    <n v="0"/>
    <n v="0"/>
    <n v="0"/>
    <n v="0"/>
    <n v="0"/>
    <n v="0"/>
    <n v="0"/>
    <n v="0"/>
    <n v="0"/>
    <n v="0"/>
    <n v="0"/>
    <n v="0"/>
    <n v="0"/>
    <n v="0"/>
    <x v="1"/>
    <n v="0"/>
    <s v="MMR001CMP162"/>
    <x v="0"/>
    <x v="1"/>
    <x v="1"/>
    <n v="0"/>
    <m/>
    <m/>
  </r>
  <r>
    <n v="35.06666666666667"/>
    <d v="2013-07-24T00:00:00"/>
    <x v="0"/>
    <s v="KMSS"/>
    <s v="Kachin"/>
    <s v="Myitkyina"/>
    <s v="Pa Dauk Myaing(Pa La Na)"/>
    <m/>
    <m/>
    <n v="31"/>
    <n v="41"/>
    <n v="17"/>
    <n v="41"/>
    <n v="17"/>
    <n v="17"/>
    <n v="17"/>
    <n v="17"/>
    <m/>
    <m/>
    <m/>
    <m/>
    <m/>
    <m/>
    <m/>
    <n v="0"/>
    <n v="0"/>
    <n v="0"/>
    <n v="0"/>
    <n v="0"/>
    <n v="0"/>
    <n v="0"/>
    <n v="0"/>
    <n v="0"/>
    <n v="0"/>
    <n v="0"/>
    <n v="0"/>
    <n v="0"/>
    <n v="0"/>
    <x v="0"/>
    <n v="0"/>
    <s v="MMR001CMP162"/>
    <x v="0"/>
    <x v="1"/>
    <x v="1"/>
    <n v="0.39534883720930231"/>
    <s v="No"/>
    <m/>
  </r>
  <r>
    <n v="37.666666666666664"/>
    <d v="2013-05-07T00:00:00"/>
    <x v="8"/>
    <s v="KMSS"/>
    <s v="Kachin"/>
    <s v="Myitkyina"/>
    <s v="Pa Dauk Myaing(Pa La Na)"/>
    <n v="149"/>
    <m/>
    <m/>
    <m/>
    <m/>
    <m/>
    <m/>
    <m/>
    <m/>
    <m/>
    <m/>
    <m/>
    <m/>
    <m/>
    <m/>
    <m/>
    <m/>
    <n v="0"/>
    <n v="0"/>
    <n v="0"/>
    <n v="0"/>
    <n v="0"/>
    <n v="0"/>
    <n v="0"/>
    <n v="0"/>
    <n v="0"/>
    <n v="0"/>
    <n v="0"/>
    <n v="0"/>
    <n v="0"/>
    <n v="0"/>
    <x v="0"/>
    <n v="0"/>
    <s v="MMR001CMP162"/>
    <x v="0"/>
    <x v="1"/>
    <x v="1"/>
    <n v="0"/>
    <s v="No"/>
    <m/>
  </r>
  <r>
    <n v="40.733333333333334"/>
    <d v="2013-02-04T00:00:00"/>
    <x v="0"/>
    <s v="UNHCR"/>
    <s v="Kachin"/>
    <s v="Myitkyina"/>
    <s v="Pa Dauk Myaing(Pa La Na)"/>
    <m/>
    <m/>
    <n v="5"/>
    <n v="8"/>
    <n v="5"/>
    <n v="8"/>
    <n v="5"/>
    <n v="5"/>
    <n v="5"/>
    <n v="5"/>
    <m/>
    <m/>
    <m/>
    <m/>
    <m/>
    <m/>
    <m/>
    <n v="0"/>
    <n v="0"/>
    <n v="0"/>
    <n v="0"/>
    <n v="0"/>
    <n v="0"/>
    <n v="0"/>
    <n v="0"/>
    <n v="0"/>
    <n v="0"/>
    <n v="0"/>
    <n v="0"/>
    <n v="0"/>
    <n v="0"/>
    <x v="0"/>
    <n v="0"/>
    <s v="MMR001CMP162"/>
    <x v="0"/>
    <x v="1"/>
    <x v="1"/>
    <n v="0.11627906976744186"/>
    <s v="No"/>
    <m/>
  </r>
  <r>
    <n v="42.3"/>
    <d v="2012-12-19T00:00:00"/>
    <x v="0"/>
    <s v="UNHCR"/>
    <s v="Kachin"/>
    <s v="Myitkyina"/>
    <s v="Pa Dauk Myaing(Pa La Na)"/>
    <m/>
    <m/>
    <m/>
    <n v="37"/>
    <n v="10"/>
    <n v="37"/>
    <n v="10"/>
    <n v="10"/>
    <n v="10"/>
    <n v="10"/>
    <m/>
    <m/>
    <m/>
    <m/>
    <m/>
    <m/>
    <m/>
    <n v="0"/>
    <n v="0"/>
    <n v="0"/>
    <n v="0"/>
    <n v="0"/>
    <n v="0"/>
    <n v="0"/>
    <n v="0"/>
    <n v="0"/>
    <n v="0"/>
    <n v="0"/>
    <n v="0"/>
    <n v="0"/>
    <n v="0"/>
    <x v="0"/>
    <n v="0"/>
    <s v="MMR001CMP162"/>
    <x v="0"/>
    <x v="1"/>
    <x v="1"/>
    <n v="0.23255813953488372"/>
    <s v="No"/>
    <m/>
  </r>
  <r>
    <n v="20.966666666666665"/>
    <d v="2014-09-20T00:00:00"/>
    <x v="0"/>
    <m/>
    <s v="Kachin"/>
    <s v="Momauk"/>
    <s v="Pa Kahtawng "/>
    <m/>
    <m/>
    <m/>
    <n v="1238"/>
    <m/>
    <m/>
    <m/>
    <m/>
    <m/>
    <m/>
    <m/>
    <m/>
    <m/>
    <n v="1761"/>
    <m/>
    <m/>
    <m/>
    <n v="0"/>
    <n v="0"/>
    <n v="0"/>
    <n v="0"/>
    <n v="0"/>
    <n v="0"/>
    <n v="0"/>
    <n v="0"/>
    <n v="0"/>
    <n v="0"/>
    <n v="0"/>
    <n v="0"/>
    <n v="0"/>
    <n v="0"/>
    <x v="1"/>
    <n v="0"/>
    <s v="MMR001CMP126"/>
    <x v="0"/>
    <x v="1"/>
    <x v="3"/>
    <n v="0"/>
    <m/>
    <m/>
  </r>
  <r>
    <n v="22.333333333333332"/>
    <d v="2014-08-10T00:00:00"/>
    <x v="0"/>
    <m/>
    <s v="Kachin"/>
    <s v="Momauk"/>
    <s v="Pa Kahtawng "/>
    <m/>
    <m/>
    <m/>
    <n v="100"/>
    <n v="52"/>
    <n v="156"/>
    <n v="40"/>
    <m/>
    <n v="52"/>
    <n v="210"/>
    <m/>
    <m/>
    <m/>
    <m/>
    <m/>
    <m/>
    <m/>
    <n v="0"/>
    <n v="0"/>
    <n v="0"/>
    <n v="0"/>
    <n v="0"/>
    <n v="0"/>
    <n v="0"/>
    <n v="0"/>
    <n v="0"/>
    <n v="0"/>
    <n v="0"/>
    <n v="0"/>
    <n v="0"/>
    <n v="0"/>
    <x v="0"/>
    <n v="0"/>
    <s v="MMR001CMP126"/>
    <x v="0"/>
    <x v="1"/>
    <x v="3"/>
    <n v="5.9084194977843424E-2"/>
    <m/>
    <m/>
  </r>
  <r>
    <n v="28.933333333333334"/>
    <d v="2014-01-24T00:00:00"/>
    <x v="0"/>
    <s v="UNHCR"/>
    <s v="Kachin"/>
    <s v="Momauk"/>
    <s v="Pa Kahtawng "/>
    <m/>
    <m/>
    <m/>
    <n v="60"/>
    <n v="30"/>
    <n v="60"/>
    <n v="30"/>
    <m/>
    <n v="30"/>
    <n v="150"/>
    <m/>
    <m/>
    <m/>
    <m/>
    <m/>
    <m/>
    <m/>
    <n v="0"/>
    <n v="0"/>
    <n v="0"/>
    <n v="0"/>
    <n v="0"/>
    <n v="0"/>
    <n v="0"/>
    <n v="0"/>
    <n v="0"/>
    <n v="0"/>
    <n v="0"/>
    <n v="0"/>
    <n v="0"/>
    <n v="0"/>
    <x v="0"/>
    <n v="0"/>
    <s v="MMR001CMP126"/>
    <x v="0"/>
    <x v="1"/>
    <x v="3"/>
    <n v="4.4313146233382568E-2"/>
    <s v="No"/>
    <m/>
  </r>
  <r>
    <n v="30.4"/>
    <d v="2013-12-11T00:00:00"/>
    <x v="9"/>
    <s v="WPN"/>
    <s v="Kachin"/>
    <s v="Momauk"/>
    <s v="Pa Kahtawng "/>
    <m/>
    <m/>
    <m/>
    <m/>
    <m/>
    <n v="417"/>
    <m/>
    <m/>
    <m/>
    <m/>
    <m/>
    <m/>
    <m/>
    <m/>
    <m/>
    <m/>
    <m/>
    <n v="0"/>
    <n v="0"/>
    <n v="0"/>
    <n v="0"/>
    <n v="0"/>
    <n v="0"/>
    <n v="0"/>
    <n v="0"/>
    <n v="0"/>
    <n v="0"/>
    <n v="0"/>
    <n v="0"/>
    <n v="0"/>
    <n v="0"/>
    <x v="0"/>
    <n v="0"/>
    <s v="MMR001CMP126"/>
    <x v="0"/>
    <x v="1"/>
    <x v="3"/>
    <n v="0"/>
    <s v="No"/>
    <m/>
  </r>
  <r>
    <n v="30.766666666666666"/>
    <d v="2013-11-30T00:00:00"/>
    <x v="5"/>
    <s v="LDO"/>
    <s v="Kachin"/>
    <s v="Momauk"/>
    <s v="Pa Kahtawng "/>
    <m/>
    <m/>
    <m/>
    <m/>
    <m/>
    <m/>
    <m/>
    <m/>
    <m/>
    <m/>
    <m/>
    <m/>
    <m/>
    <m/>
    <m/>
    <m/>
    <m/>
    <n v="0"/>
    <n v="0"/>
    <n v="0"/>
    <n v="0"/>
    <n v="0"/>
    <n v="0"/>
    <n v="0"/>
    <n v="0"/>
    <n v="0"/>
    <n v="0"/>
    <n v="0"/>
    <n v="0"/>
    <n v="0"/>
    <n v="0"/>
    <x v="0"/>
    <n v="0"/>
    <s v="MMR001CMP126"/>
    <x v="0"/>
    <x v="1"/>
    <x v="3"/>
    <n v="0"/>
    <s v="No"/>
    <m/>
  </r>
  <r>
    <n v="30.766666666666666"/>
    <d v="2013-11-30T00:00:00"/>
    <x v="0"/>
    <s v="UNHCR"/>
    <s v="Kachin"/>
    <s v="Momauk"/>
    <s v="Pa Kahtawng "/>
    <m/>
    <m/>
    <m/>
    <m/>
    <m/>
    <m/>
    <m/>
    <m/>
    <m/>
    <m/>
    <m/>
    <m/>
    <m/>
    <m/>
    <m/>
    <m/>
    <m/>
    <n v="0"/>
    <n v="0"/>
    <n v="0"/>
    <n v="0"/>
    <n v="0"/>
    <n v="0"/>
    <n v="0"/>
    <n v="0"/>
    <n v="0"/>
    <n v="0"/>
    <n v="0"/>
    <n v="0"/>
    <n v="0"/>
    <n v="0"/>
    <x v="0"/>
    <n v="0"/>
    <s v="MMR001CMP126"/>
    <x v="0"/>
    <x v="1"/>
    <x v="3"/>
    <n v="0"/>
    <s v="No"/>
    <m/>
  </r>
  <r>
    <n v="31.333333333333332"/>
    <d v="2013-11-13T00:00:00"/>
    <x v="5"/>
    <s v="LDO"/>
    <s v="Kachin"/>
    <s v="Momauk"/>
    <s v="Pa Kahtawng "/>
    <m/>
    <m/>
    <m/>
    <m/>
    <m/>
    <m/>
    <m/>
    <m/>
    <m/>
    <m/>
    <n v="514"/>
    <n v="1016"/>
    <n v="3060"/>
    <n v="1530"/>
    <m/>
    <m/>
    <m/>
    <n v="0"/>
    <n v="0"/>
    <n v="0"/>
    <n v="0"/>
    <n v="0"/>
    <n v="0"/>
    <n v="0"/>
    <n v="0"/>
    <n v="0"/>
    <n v="0"/>
    <n v="0"/>
    <n v="0"/>
    <n v="0"/>
    <n v="0"/>
    <x v="1"/>
    <n v="0"/>
    <s v="MMR001CMP126"/>
    <x v="0"/>
    <x v="1"/>
    <x v="3"/>
    <n v="0"/>
    <m/>
    <m/>
  </r>
  <r>
    <n v="36.4"/>
    <d v="2013-06-14T00:00:00"/>
    <x v="0"/>
    <s v="UNHCR"/>
    <s v="Kachin"/>
    <s v="Momauk"/>
    <s v="Pa Kahtawng "/>
    <m/>
    <m/>
    <n v="42"/>
    <n v="42"/>
    <n v="21"/>
    <n v="42"/>
    <n v="21"/>
    <n v="21"/>
    <n v="21"/>
    <n v="21"/>
    <m/>
    <m/>
    <m/>
    <m/>
    <m/>
    <m/>
    <m/>
    <n v="0"/>
    <n v="0"/>
    <n v="0"/>
    <n v="0"/>
    <n v="0"/>
    <n v="0"/>
    <n v="0"/>
    <n v="0"/>
    <n v="0"/>
    <n v="0"/>
    <n v="0"/>
    <n v="0"/>
    <n v="0"/>
    <n v="0"/>
    <x v="0"/>
    <n v="0"/>
    <s v="MMR001CMP126"/>
    <x v="0"/>
    <x v="1"/>
    <x v="3"/>
    <n v="3.10192023633678E-2"/>
    <s v="No"/>
    <m/>
  </r>
  <r>
    <n v="47.466666666666669"/>
    <d v="2012-07-17T00:00:00"/>
    <x v="0"/>
    <s v="UNHCR"/>
    <s v="Kachin"/>
    <s v="Momauk"/>
    <s v="Pa Kahtawng "/>
    <m/>
    <m/>
    <m/>
    <n v="0"/>
    <n v="0"/>
    <n v="0"/>
    <n v="0"/>
    <n v="0"/>
    <m/>
    <m/>
    <m/>
    <m/>
    <m/>
    <m/>
    <m/>
    <m/>
    <m/>
    <n v="0"/>
    <n v="0"/>
    <n v="0"/>
    <n v="0"/>
    <n v="0"/>
    <n v="0"/>
    <n v="0"/>
    <n v="0"/>
    <n v="0"/>
    <n v="0"/>
    <n v="0"/>
    <n v="0"/>
    <n v="0"/>
    <n v="0"/>
    <x v="0"/>
    <n v="0"/>
    <s v="MMR001CMP126"/>
    <x v="0"/>
    <x v="1"/>
    <x v="3"/>
    <n v="0"/>
    <s v="No"/>
    <m/>
  </r>
  <r>
    <n v="47.466666666666669"/>
    <d v="2012-07-17T00:00:00"/>
    <x v="0"/>
    <s v="UNHCR"/>
    <s v="Kachin"/>
    <s v="Momauk"/>
    <s v="Pa Kahtawng "/>
    <m/>
    <m/>
    <m/>
    <n v="0"/>
    <n v="0"/>
    <n v="0"/>
    <n v="0"/>
    <n v="0"/>
    <m/>
    <m/>
    <m/>
    <m/>
    <m/>
    <m/>
    <m/>
    <m/>
    <m/>
    <n v="0"/>
    <n v="0"/>
    <n v="0"/>
    <n v="0"/>
    <n v="0"/>
    <n v="0"/>
    <n v="0"/>
    <n v="0"/>
    <n v="0"/>
    <n v="0"/>
    <n v="0"/>
    <n v="0"/>
    <n v="0"/>
    <n v="0"/>
    <x v="0"/>
    <n v="0"/>
    <s v="MMR001CMP126"/>
    <x v="0"/>
    <x v="1"/>
    <x v="3"/>
    <n v="0"/>
    <s v="No"/>
    <m/>
  </r>
  <r>
    <n v="48.833333333333336"/>
    <d v="2012-06-06T00:00:00"/>
    <x v="0"/>
    <s v="UNHCR"/>
    <s v="Kachin"/>
    <s v="Momauk"/>
    <s v="Pa Kahtawng "/>
    <m/>
    <m/>
    <m/>
    <n v="144"/>
    <n v="76"/>
    <n v="143"/>
    <n v="76"/>
    <n v="78"/>
    <n v="78"/>
    <n v="78"/>
    <m/>
    <m/>
    <m/>
    <m/>
    <m/>
    <m/>
    <m/>
    <n v="0"/>
    <n v="0"/>
    <n v="0"/>
    <n v="0"/>
    <n v="0"/>
    <n v="0"/>
    <n v="0"/>
    <n v="0"/>
    <n v="0"/>
    <n v="0"/>
    <n v="0"/>
    <n v="0"/>
    <n v="0"/>
    <n v="0"/>
    <x v="0"/>
    <n v="0"/>
    <s v="MMR001CMP126"/>
    <x v="0"/>
    <x v="1"/>
    <x v="3"/>
    <n v="0.11225997045790251"/>
    <s v="No"/>
    <m/>
  </r>
  <r>
    <n v="51.133333333333333"/>
    <d v="2012-03-29T00:00:00"/>
    <x v="0"/>
    <s v="UNHCR"/>
    <s v="Kachin"/>
    <s v="Momauk"/>
    <s v="Pa Kahtawng "/>
    <m/>
    <m/>
    <m/>
    <n v="0"/>
    <n v="50"/>
    <n v="0"/>
    <n v="0"/>
    <n v="0"/>
    <m/>
    <m/>
    <m/>
    <m/>
    <m/>
    <m/>
    <m/>
    <m/>
    <m/>
    <n v="0"/>
    <n v="0"/>
    <n v="0"/>
    <n v="0"/>
    <n v="0"/>
    <n v="0"/>
    <n v="0"/>
    <n v="0"/>
    <n v="0"/>
    <n v="0"/>
    <n v="0"/>
    <n v="0"/>
    <n v="0"/>
    <n v="0"/>
    <x v="0"/>
    <n v="0"/>
    <s v="MMR001CMP126"/>
    <x v="0"/>
    <x v="1"/>
    <x v="3"/>
    <n v="0"/>
    <s v="No"/>
    <m/>
  </r>
  <r>
    <n v="3.4666666666666668"/>
    <d v="2016-02-27T00:00:00"/>
    <x v="0"/>
    <s v="KBC"/>
    <s v="Kachin"/>
    <s v="Waingmaw"/>
    <s v="Pajau - Jan Mai"/>
    <m/>
    <m/>
    <m/>
    <m/>
    <m/>
    <m/>
    <m/>
    <m/>
    <m/>
    <m/>
    <n v="330"/>
    <n v="330"/>
    <m/>
    <n v="346"/>
    <m/>
    <m/>
    <m/>
    <n v="0"/>
    <n v="0"/>
    <n v="0"/>
    <n v="0"/>
    <n v="0"/>
    <n v="0"/>
    <n v="0"/>
    <n v="0"/>
    <n v="0"/>
    <n v="0"/>
    <n v="330"/>
    <n v="330"/>
    <n v="0"/>
    <n v="346"/>
    <x v="1"/>
    <n v="0"/>
    <s v="MMR001CMP120"/>
    <x v="0"/>
    <x v="1"/>
    <x v="2"/>
    <n v="0"/>
    <m/>
    <s v="Pajau camp received both winter itmes and blankets"/>
  </r>
  <r>
    <n v="17.966666666666665"/>
    <d v="2014-12-19T00:00:00"/>
    <x v="0"/>
    <m/>
    <s v="Kachin"/>
    <s v="Waingmaw"/>
    <s v="Pajau - Jan Mai"/>
    <m/>
    <m/>
    <m/>
    <m/>
    <m/>
    <m/>
    <m/>
    <m/>
    <m/>
    <m/>
    <n v="384"/>
    <n v="573"/>
    <m/>
    <n v="382"/>
    <m/>
    <m/>
    <m/>
    <n v="0"/>
    <n v="0"/>
    <n v="0"/>
    <n v="0"/>
    <n v="0"/>
    <n v="0"/>
    <n v="0"/>
    <n v="0"/>
    <n v="0"/>
    <n v="0"/>
    <n v="0"/>
    <n v="0"/>
    <n v="0"/>
    <n v="0"/>
    <x v="1"/>
    <n v="0"/>
    <s v="MMR001CMP120"/>
    <x v="0"/>
    <x v="1"/>
    <x v="2"/>
    <n v="0"/>
    <m/>
    <m/>
  </r>
  <r>
    <n v="21.6"/>
    <d v="2014-09-01T00:00:00"/>
    <x v="10"/>
    <m/>
    <s v="Kachin"/>
    <s v="Waingmaw"/>
    <s v="Pajau - Jan Mai"/>
    <m/>
    <m/>
    <m/>
    <m/>
    <m/>
    <m/>
    <m/>
    <m/>
    <m/>
    <m/>
    <m/>
    <n v="291"/>
    <m/>
    <m/>
    <m/>
    <m/>
    <m/>
    <n v="0"/>
    <n v="0"/>
    <n v="0"/>
    <n v="0"/>
    <n v="0"/>
    <n v="0"/>
    <n v="0"/>
    <n v="0"/>
    <n v="0"/>
    <n v="0"/>
    <n v="0"/>
    <n v="0"/>
    <n v="0"/>
    <n v="0"/>
    <x v="1"/>
    <n v="0"/>
    <s v="MMR001CMP120"/>
    <x v="0"/>
    <x v="1"/>
    <x v="2"/>
    <n v="0"/>
    <m/>
    <m/>
  </r>
  <r>
    <n v="28.9"/>
    <d v="2014-01-25T00:00:00"/>
    <x v="10"/>
    <s v="KBC"/>
    <s v="Kachin"/>
    <s v="Waingmaw"/>
    <s v="Pajau - Jan Mai"/>
    <m/>
    <m/>
    <m/>
    <m/>
    <m/>
    <n v="191"/>
    <n v="191"/>
    <n v="191"/>
    <m/>
    <n v="191"/>
    <m/>
    <m/>
    <m/>
    <m/>
    <m/>
    <m/>
    <m/>
    <n v="0"/>
    <n v="0"/>
    <n v="0"/>
    <n v="0"/>
    <n v="0"/>
    <n v="0"/>
    <n v="0"/>
    <n v="0"/>
    <n v="0"/>
    <n v="0"/>
    <n v="0"/>
    <n v="0"/>
    <n v="0"/>
    <n v="0"/>
    <x v="0"/>
    <n v="0"/>
    <s v="MMR001CMP120"/>
    <x v="0"/>
    <x v="1"/>
    <x v="2"/>
    <n v="1.0730337078651686"/>
    <s v="No"/>
    <m/>
  </r>
  <r>
    <n v="30.766666666666666"/>
    <d v="2013-11-30T00:00:00"/>
    <x v="5"/>
    <s v="KBC"/>
    <s v="Kachin"/>
    <s v="Waingmaw"/>
    <s v="Pajau - Jan Mai"/>
    <m/>
    <m/>
    <m/>
    <m/>
    <m/>
    <m/>
    <m/>
    <m/>
    <m/>
    <m/>
    <m/>
    <m/>
    <m/>
    <m/>
    <m/>
    <m/>
    <m/>
    <n v="0"/>
    <n v="0"/>
    <n v="0"/>
    <n v="0"/>
    <n v="0"/>
    <n v="0"/>
    <n v="0"/>
    <n v="0"/>
    <n v="0"/>
    <n v="0"/>
    <n v="0"/>
    <n v="0"/>
    <n v="0"/>
    <n v="0"/>
    <x v="0"/>
    <n v="0"/>
    <s v="MMR001CMP120"/>
    <x v="0"/>
    <x v="1"/>
    <x v="2"/>
    <n v="0"/>
    <s v="No"/>
    <m/>
  </r>
  <r>
    <n v="30.9"/>
    <d v="2013-11-26T00:00:00"/>
    <x v="5"/>
    <s v="KBC"/>
    <s v="Kachin"/>
    <s v="Waingmaw"/>
    <s v="Pajau - Jan Mai"/>
    <m/>
    <m/>
    <m/>
    <m/>
    <m/>
    <m/>
    <m/>
    <m/>
    <m/>
    <m/>
    <n v="98"/>
    <n v="196"/>
    <n v="588"/>
    <n v="294"/>
    <m/>
    <m/>
    <m/>
    <n v="0"/>
    <n v="0"/>
    <n v="0"/>
    <n v="0"/>
    <n v="0"/>
    <n v="0"/>
    <n v="0"/>
    <n v="0"/>
    <n v="0"/>
    <n v="0"/>
    <n v="0"/>
    <n v="0"/>
    <n v="0"/>
    <n v="0"/>
    <x v="1"/>
    <n v="0"/>
    <s v="MMR001CMP120"/>
    <x v="0"/>
    <x v="1"/>
    <x v="2"/>
    <n v="0"/>
    <m/>
    <m/>
  </r>
  <r>
    <n v="52.2"/>
    <d v="2012-02-26T00:00:00"/>
    <x v="0"/>
    <s v="UNHCR"/>
    <s v="Kachin"/>
    <s v="Myitkyina"/>
    <s v="Pamati Kayan"/>
    <m/>
    <m/>
    <m/>
    <n v="25"/>
    <n v="18"/>
    <n v="25"/>
    <n v="18"/>
    <n v="18"/>
    <n v="18"/>
    <n v="18"/>
    <m/>
    <m/>
    <m/>
    <m/>
    <m/>
    <m/>
    <m/>
    <n v="0"/>
    <n v="0"/>
    <n v="0"/>
    <n v="0"/>
    <n v="0"/>
    <n v="0"/>
    <n v="0"/>
    <n v="0"/>
    <n v="0"/>
    <n v="0"/>
    <n v="0"/>
    <n v="0"/>
    <n v="0"/>
    <n v="0"/>
    <x v="0"/>
    <n v="0"/>
    <s v=""/>
    <x v="1"/>
    <x v="2"/>
    <x v="0"/>
    <s v=""/>
    <s v="No"/>
    <s v="Lone Zut"/>
  </r>
  <r>
    <n v="52.2"/>
    <d v="2012-02-26T00:00:00"/>
    <x v="0"/>
    <s v="SC&amp;L Group"/>
    <s v="Kachin"/>
    <s v="Myitkyina"/>
    <s v="Pan Ma Tee"/>
    <m/>
    <m/>
    <m/>
    <n v="25"/>
    <n v="0"/>
    <n v="25"/>
    <n v="0"/>
    <n v="10"/>
    <n v="10"/>
    <n v="10"/>
    <m/>
    <m/>
    <m/>
    <m/>
    <m/>
    <m/>
    <m/>
    <n v="0"/>
    <n v="0"/>
    <n v="0"/>
    <n v="0"/>
    <n v="0"/>
    <n v="0"/>
    <n v="0"/>
    <n v="0"/>
    <n v="0"/>
    <n v="0"/>
    <n v="0"/>
    <n v="0"/>
    <n v="0"/>
    <n v="0"/>
    <x v="0"/>
    <n v="0"/>
    <s v=""/>
    <x v="1"/>
    <x v="2"/>
    <x v="0"/>
    <s v=""/>
    <s v="No"/>
    <m/>
  </r>
  <r>
    <n v="17.133333333333333"/>
    <d v="2015-01-13T00:00:00"/>
    <x v="1"/>
    <s v="MRCS"/>
    <s v="Kachin"/>
    <s v="Chipwi"/>
    <s v="Pan Wa"/>
    <m/>
    <m/>
    <m/>
    <m/>
    <m/>
    <m/>
    <m/>
    <m/>
    <m/>
    <m/>
    <n v="187"/>
    <n v="137"/>
    <m/>
    <n v="118"/>
    <m/>
    <m/>
    <m/>
    <n v="0"/>
    <n v="0"/>
    <n v="0"/>
    <n v="0"/>
    <n v="0"/>
    <n v="0"/>
    <n v="0"/>
    <n v="0"/>
    <n v="0"/>
    <n v="0"/>
    <n v="0"/>
    <n v="0"/>
    <n v="0"/>
    <n v="0"/>
    <x v="1"/>
    <n v="0"/>
    <s v="MMR001CMP210"/>
    <x v="0"/>
    <x v="1"/>
    <x v="2"/>
    <n v="0"/>
    <m/>
    <m/>
  </r>
  <r>
    <n v="20.6"/>
    <d v="2014-10-01T00:00:00"/>
    <x v="0"/>
    <s v="KMSS"/>
    <s v="Kachin"/>
    <s v="Chipwi"/>
    <s v="Pan Wa"/>
    <m/>
    <m/>
    <m/>
    <n v="130"/>
    <m/>
    <m/>
    <m/>
    <m/>
    <m/>
    <m/>
    <m/>
    <m/>
    <m/>
    <n v="130"/>
    <m/>
    <m/>
    <m/>
    <n v="0"/>
    <n v="0"/>
    <n v="0"/>
    <n v="0"/>
    <n v="0"/>
    <n v="0"/>
    <n v="0"/>
    <n v="0"/>
    <n v="0"/>
    <n v="0"/>
    <n v="0"/>
    <n v="0"/>
    <n v="0"/>
    <n v="0"/>
    <x v="1"/>
    <n v="0"/>
    <s v="MMR001CMP210"/>
    <x v="0"/>
    <x v="1"/>
    <x v="2"/>
    <n v="0"/>
    <m/>
    <m/>
  </r>
  <r>
    <n v="27.966666666666665"/>
    <d v="2014-02-22T00:00:00"/>
    <x v="6"/>
    <s v="MRCS"/>
    <s v="Kachin"/>
    <s v="Chipwi"/>
    <s v="Pan Wa"/>
    <m/>
    <m/>
    <m/>
    <m/>
    <m/>
    <m/>
    <m/>
    <m/>
    <m/>
    <m/>
    <m/>
    <m/>
    <m/>
    <n v="126"/>
    <m/>
    <m/>
    <m/>
    <n v="0"/>
    <n v="0"/>
    <n v="0"/>
    <n v="0"/>
    <n v="0"/>
    <n v="0"/>
    <n v="0"/>
    <n v="0"/>
    <n v="0"/>
    <n v="0"/>
    <n v="0"/>
    <n v="0"/>
    <n v="0"/>
    <n v="0"/>
    <x v="1"/>
    <n v="0"/>
    <s v="MMR001CMP210"/>
    <x v="0"/>
    <x v="1"/>
    <x v="2"/>
    <n v="0"/>
    <m/>
    <m/>
  </r>
  <r>
    <n v="29.7"/>
    <d v="2014-01-01T00:00:00"/>
    <x v="11"/>
    <s v="MRCS"/>
    <s v="Kachin"/>
    <s v="Chipwi"/>
    <s v="Pan Wa"/>
    <m/>
    <m/>
    <m/>
    <m/>
    <m/>
    <m/>
    <n v="92"/>
    <m/>
    <m/>
    <m/>
    <m/>
    <m/>
    <m/>
    <m/>
    <m/>
    <m/>
    <m/>
    <n v="0"/>
    <n v="0"/>
    <n v="0"/>
    <n v="0"/>
    <n v="0"/>
    <n v="0"/>
    <n v="0"/>
    <n v="0"/>
    <n v="0"/>
    <n v="0"/>
    <n v="0"/>
    <n v="0"/>
    <n v="0"/>
    <n v="0"/>
    <x v="0"/>
    <n v="0"/>
    <s v="MMR001CMP210"/>
    <x v="0"/>
    <x v="1"/>
    <x v="2"/>
    <n v="1.5333333333333334"/>
    <s v="No"/>
    <m/>
  </r>
  <r>
    <n v="26.466666666666665"/>
    <d v="2014-04-08T00:00:00"/>
    <x v="6"/>
    <s v="MRCS"/>
    <s v="Kachin"/>
    <s v="Bhamo"/>
    <s v="Phan Khar Kone"/>
    <m/>
    <m/>
    <m/>
    <m/>
    <m/>
    <m/>
    <m/>
    <m/>
    <m/>
    <m/>
    <m/>
    <m/>
    <m/>
    <n v="372"/>
    <m/>
    <m/>
    <m/>
    <n v="0"/>
    <n v="0"/>
    <n v="0"/>
    <n v="0"/>
    <n v="0"/>
    <n v="0"/>
    <n v="0"/>
    <n v="0"/>
    <n v="0"/>
    <n v="0"/>
    <n v="0"/>
    <n v="0"/>
    <n v="0"/>
    <n v="0"/>
    <x v="1"/>
    <n v="0"/>
    <s v="MMR001CMP193"/>
    <x v="0"/>
    <x v="1"/>
    <x v="1"/>
    <n v="0"/>
    <m/>
    <m/>
  </r>
  <r>
    <n v="29.366666666666667"/>
    <d v="2014-01-11T00:00:00"/>
    <x v="0"/>
    <m/>
    <s v="Kachin"/>
    <s v="Bhamo"/>
    <s v="Phan Khar Kone"/>
    <m/>
    <m/>
    <m/>
    <m/>
    <n v="10"/>
    <m/>
    <m/>
    <m/>
    <m/>
    <m/>
    <m/>
    <m/>
    <m/>
    <m/>
    <m/>
    <m/>
    <m/>
    <n v="0"/>
    <n v="0"/>
    <n v="0"/>
    <n v="0"/>
    <n v="0"/>
    <n v="0"/>
    <n v="0"/>
    <n v="0"/>
    <n v="0"/>
    <n v="0"/>
    <n v="0"/>
    <n v="0"/>
    <n v="0"/>
    <n v="0"/>
    <x v="0"/>
    <n v="0"/>
    <s v="MMR001CMP193"/>
    <x v="0"/>
    <x v="1"/>
    <x v="1"/>
    <n v="0"/>
    <m/>
    <m/>
  </r>
  <r>
    <n v="30.766666666666666"/>
    <d v="2013-11-30T00:00:00"/>
    <x v="4"/>
    <s v="MDCG"/>
    <s v="Kachin"/>
    <s v="Bhamo"/>
    <s v="Phan Khar Kone"/>
    <m/>
    <m/>
    <m/>
    <m/>
    <m/>
    <n v="320"/>
    <m/>
    <m/>
    <m/>
    <m/>
    <n v="234"/>
    <n v="336"/>
    <n v="0"/>
    <m/>
    <m/>
    <m/>
    <m/>
    <n v="0"/>
    <n v="0"/>
    <n v="0"/>
    <n v="0"/>
    <n v="0"/>
    <n v="0"/>
    <n v="0"/>
    <n v="0"/>
    <n v="0"/>
    <n v="0"/>
    <n v="0"/>
    <n v="0"/>
    <n v="0"/>
    <n v="0"/>
    <x v="1"/>
    <n v="0"/>
    <s v="MMR001CMP193"/>
    <x v="0"/>
    <x v="1"/>
    <x v="1"/>
    <n v="0"/>
    <s v="No"/>
    <m/>
  </r>
  <r>
    <n v="30.766666666666666"/>
    <d v="2013-11-30T00:00:00"/>
    <x v="5"/>
    <m/>
    <s v="Kachin"/>
    <s v="Bhamo"/>
    <s v="Phan Khar Kone"/>
    <m/>
    <m/>
    <m/>
    <m/>
    <m/>
    <m/>
    <m/>
    <m/>
    <m/>
    <m/>
    <m/>
    <m/>
    <m/>
    <m/>
    <m/>
    <m/>
    <m/>
    <n v="0"/>
    <n v="0"/>
    <n v="0"/>
    <n v="0"/>
    <n v="0"/>
    <n v="0"/>
    <n v="0"/>
    <n v="0"/>
    <n v="0"/>
    <n v="0"/>
    <n v="0"/>
    <n v="0"/>
    <n v="0"/>
    <n v="0"/>
    <x v="0"/>
    <n v="0"/>
    <s v="MMR001CMP193"/>
    <x v="0"/>
    <x v="1"/>
    <x v="1"/>
    <n v="0"/>
    <s v="No"/>
    <m/>
  </r>
  <r>
    <n v="31.066666666666666"/>
    <d v="2013-11-21T00:00:00"/>
    <x v="0"/>
    <s v="UNHCR"/>
    <s v="Kachin"/>
    <s v="Bhamo"/>
    <s v="Phan Khar Kone"/>
    <m/>
    <m/>
    <m/>
    <n v="15"/>
    <n v="9"/>
    <n v="15"/>
    <n v="9"/>
    <n v="9"/>
    <m/>
    <m/>
    <m/>
    <m/>
    <m/>
    <m/>
    <m/>
    <m/>
    <m/>
    <n v="0"/>
    <n v="0"/>
    <n v="0"/>
    <n v="0"/>
    <n v="0"/>
    <n v="0"/>
    <n v="0"/>
    <n v="0"/>
    <n v="0"/>
    <n v="0"/>
    <n v="0"/>
    <n v="0"/>
    <n v="0"/>
    <n v="0"/>
    <x v="0"/>
    <n v="0"/>
    <s v="MMR001CMP193"/>
    <x v="0"/>
    <x v="1"/>
    <x v="1"/>
    <n v="0.06"/>
    <s v="No"/>
    <m/>
  </r>
  <r>
    <n v="31.233333333333334"/>
    <d v="2013-11-16T00:00:00"/>
    <x v="0"/>
    <s v="UNHCR "/>
    <s v="Kachin"/>
    <s v="Bhamo"/>
    <s v="Phan Khar Kone"/>
    <m/>
    <m/>
    <m/>
    <m/>
    <n v="11"/>
    <m/>
    <m/>
    <m/>
    <m/>
    <m/>
    <m/>
    <m/>
    <m/>
    <m/>
    <m/>
    <m/>
    <m/>
    <n v="0"/>
    <n v="0"/>
    <n v="0"/>
    <n v="0"/>
    <n v="0"/>
    <n v="0"/>
    <n v="0"/>
    <n v="0"/>
    <n v="0"/>
    <n v="0"/>
    <n v="0"/>
    <n v="0"/>
    <n v="0"/>
    <n v="0"/>
    <x v="0"/>
    <n v="0"/>
    <s v="MMR001CMP193"/>
    <x v="0"/>
    <x v="1"/>
    <x v="1"/>
    <n v="0"/>
    <s v="No"/>
    <m/>
  </r>
  <r>
    <n v="31.533333333333335"/>
    <d v="2013-11-07T00:00:00"/>
    <x v="5"/>
    <s v="Solidarities"/>
    <s v="Kachin"/>
    <s v="Bhamo"/>
    <s v="Phan Khar Kone"/>
    <m/>
    <m/>
    <m/>
    <m/>
    <m/>
    <m/>
    <m/>
    <m/>
    <m/>
    <m/>
    <n v="23"/>
    <n v="41"/>
    <n v="128"/>
    <n v="64"/>
    <m/>
    <m/>
    <m/>
    <n v="0"/>
    <n v="0"/>
    <n v="0"/>
    <n v="0"/>
    <n v="0"/>
    <n v="0"/>
    <n v="0"/>
    <n v="0"/>
    <n v="0"/>
    <n v="0"/>
    <n v="0"/>
    <n v="0"/>
    <n v="0"/>
    <n v="0"/>
    <x v="1"/>
    <n v="0"/>
    <s v="MMR001CMP193"/>
    <x v="0"/>
    <x v="1"/>
    <x v="1"/>
    <n v="0"/>
    <m/>
    <m/>
  </r>
  <r>
    <n v="31.533333333333335"/>
    <d v="2013-11-07T00:00:00"/>
    <x v="0"/>
    <s v="UNHCR"/>
    <s v="Kachin"/>
    <s v="Bhamo"/>
    <s v="Phan Khar Kone"/>
    <m/>
    <m/>
    <n v="58"/>
    <n v="46"/>
    <n v="29"/>
    <n v="46"/>
    <n v="29"/>
    <n v="29"/>
    <m/>
    <m/>
    <m/>
    <m/>
    <m/>
    <m/>
    <m/>
    <m/>
    <m/>
    <n v="0"/>
    <n v="0"/>
    <n v="0"/>
    <n v="0"/>
    <n v="0"/>
    <n v="0"/>
    <n v="0"/>
    <n v="0"/>
    <n v="0"/>
    <n v="0"/>
    <n v="0"/>
    <n v="0"/>
    <n v="0"/>
    <n v="0"/>
    <x v="0"/>
    <n v="0"/>
    <s v="MMR001CMP193"/>
    <x v="0"/>
    <x v="1"/>
    <x v="1"/>
    <n v="0.19333333333333333"/>
    <s v="No"/>
    <m/>
  </r>
  <r>
    <n v="31.666666666666668"/>
    <d v="2013-11-03T00:00:00"/>
    <x v="2"/>
    <s v="MRCS"/>
    <s v="Kachin"/>
    <s v="Bhamo"/>
    <s v="Phan Khar Kone"/>
    <m/>
    <m/>
    <n v="49"/>
    <m/>
    <m/>
    <m/>
    <n v="49"/>
    <m/>
    <m/>
    <m/>
    <m/>
    <m/>
    <m/>
    <m/>
    <m/>
    <m/>
    <m/>
    <n v="0"/>
    <n v="0"/>
    <n v="0"/>
    <n v="0"/>
    <n v="0"/>
    <n v="0"/>
    <n v="0"/>
    <n v="0"/>
    <n v="0"/>
    <n v="0"/>
    <n v="0"/>
    <n v="0"/>
    <n v="0"/>
    <n v="0"/>
    <x v="0"/>
    <n v="0"/>
    <s v="MMR001CMP193"/>
    <x v="0"/>
    <x v="1"/>
    <x v="1"/>
    <n v="0.32666666666666666"/>
    <s v="No"/>
    <m/>
  </r>
  <r>
    <n v="31.8"/>
    <d v="2013-10-30T00:00:00"/>
    <x v="0"/>
    <s v="UNHCR"/>
    <s v="Kachin"/>
    <s v="Bhamo"/>
    <s v="Phan Khar Kone"/>
    <m/>
    <m/>
    <n v="81"/>
    <n v="94"/>
    <n v="50"/>
    <n v="94"/>
    <n v="50"/>
    <n v="50"/>
    <n v="50"/>
    <n v="50"/>
    <m/>
    <m/>
    <m/>
    <m/>
    <m/>
    <m/>
    <m/>
    <n v="0"/>
    <n v="0"/>
    <n v="0"/>
    <n v="0"/>
    <n v="0"/>
    <n v="0"/>
    <n v="0"/>
    <n v="0"/>
    <n v="0"/>
    <n v="0"/>
    <n v="0"/>
    <n v="0"/>
    <n v="0"/>
    <n v="0"/>
    <x v="0"/>
    <n v="0"/>
    <s v="MMR001CMP193"/>
    <x v="0"/>
    <x v="1"/>
    <x v="1"/>
    <n v="0.33333333333333331"/>
    <s v="No"/>
    <m/>
  </r>
  <r>
    <n v="18.433333333333334"/>
    <d v="2014-12-05T00:00:00"/>
    <x v="0"/>
    <s v="KMSS"/>
    <s v="Kachin"/>
    <s v="Waingmaw"/>
    <s v="Post 6 Camp"/>
    <m/>
    <m/>
    <m/>
    <n v="124"/>
    <m/>
    <m/>
    <m/>
    <m/>
    <m/>
    <m/>
    <n v="262"/>
    <n v="400"/>
    <m/>
    <n v="257"/>
    <m/>
    <m/>
    <m/>
    <n v="0"/>
    <n v="0"/>
    <n v="0"/>
    <n v="0"/>
    <n v="0"/>
    <n v="0"/>
    <n v="0"/>
    <n v="0"/>
    <n v="0"/>
    <n v="0"/>
    <n v="0"/>
    <n v="0"/>
    <n v="0"/>
    <n v="0"/>
    <x v="1"/>
    <n v="0"/>
    <s v="MMR001CMP160"/>
    <x v="0"/>
    <x v="1"/>
    <x v="2"/>
    <n v="0"/>
    <m/>
    <m/>
  </r>
  <r>
    <n v="29.066666666666666"/>
    <d v="2014-01-20T00:00:00"/>
    <x v="3"/>
    <s v="KMSS"/>
    <s v="Kachin"/>
    <s v="Waingmaw"/>
    <s v="Post 6 Camp"/>
    <m/>
    <m/>
    <m/>
    <m/>
    <m/>
    <m/>
    <m/>
    <n v="127"/>
    <m/>
    <m/>
    <m/>
    <m/>
    <m/>
    <m/>
    <m/>
    <m/>
    <m/>
    <n v="0"/>
    <n v="0"/>
    <n v="0"/>
    <n v="0"/>
    <n v="0"/>
    <n v="0"/>
    <n v="0"/>
    <n v="0"/>
    <n v="0"/>
    <n v="0"/>
    <n v="0"/>
    <n v="0"/>
    <n v="0"/>
    <n v="0"/>
    <x v="0"/>
    <n v="0"/>
    <s v="MMR001CMP160"/>
    <x v="0"/>
    <x v="1"/>
    <x v="2"/>
    <n v="0"/>
    <s v="No"/>
    <m/>
  </r>
  <r>
    <n v="29.066666666666666"/>
    <d v="2014-01-20T00:00:00"/>
    <x v="3"/>
    <s v="KMSS"/>
    <s v="Kachin"/>
    <s v="Waingmaw"/>
    <s v="Post 6 Camp"/>
    <m/>
    <m/>
    <m/>
    <m/>
    <m/>
    <m/>
    <m/>
    <m/>
    <m/>
    <m/>
    <n v="443"/>
    <n v="218"/>
    <m/>
    <m/>
    <m/>
    <m/>
    <m/>
    <n v="0"/>
    <n v="0"/>
    <n v="0"/>
    <n v="0"/>
    <n v="0"/>
    <n v="0"/>
    <n v="0"/>
    <n v="0"/>
    <n v="0"/>
    <n v="0"/>
    <n v="0"/>
    <n v="0"/>
    <n v="0"/>
    <n v="0"/>
    <x v="1"/>
    <n v="0"/>
    <s v="MMR001CMP160"/>
    <x v="0"/>
    <x v="1"/>
    <x v="2"/>
    <n v="0"/>
    <s v="No"/>
    <m/>
  </r>
  <r>
    <n v="30.7"/>
    <d v="2013-12-02T00:00:00"/>
    <x v="5"/>
    <s v="KBC"/>
    <s v="Kachin"/>
    <s v="Waingmaw"/>
    <s v="Post 6 Camp"/>
    <m/>
    <m/>
    <m/>
    <m/>
    <m/>
    <m/>
    <m/>
    <m/>
    <m/>
    <m/>
    <n v="124"/>
    <n v="248"/>
    <n v="744"/>
    <n v="372"/>
    <m/>
    <m/>
    <m/>
    <n v="0"/>
    <n v="0"/>
    <n v="0"/>
    <n v="0"/>
    <n v="0"/>
    <n v="0"/>
    <n v="0"/>
    <n v="0"/>
    <n v="0"/>
    <n v="0"/>
    <n v="0"/>
    <n v="0"/>
    <n v="0"/>
    <n v="0"/>
    <x v="1"/>
    <n v="0"/>
    <s v="MMR001CMP160"/>
    <x v="0"/>
    <x v="1"/>
    <x v="2"/>
    <n v="0"/>
    <m/>
    <m/>
  </r>
  <r>
    <n v="30.766666666666666"/>
    <d v="2013-11-30T00:00:00"/>
    <x v="5"/>
    <s v="KBC"/>
    <s v="Kachin"/>
    <s v="Waingmaw"/>
    <s v="Post 6 Camp"/>
    <m/>
    <m/>
    <m/>
    <m/>
    <m/>
    <m/>
    <m/>
    <m/>
    <m/>
    <m/>
    <m/>
    <m/>
    <m/>
    <m/>
    <m/>
    <m/>
    <m/>
    <n v="0"/>
    <n v="0"/>
    <n v="0"/>
    <n v="0"/>
    <n v="0"/>
    <n v="0"/>
    <n v="0"/>
    <n v="0"/>
    <n v="0"/>
    <n v="0"/>
    <n v="0"/>
    <n v="0"/>
    <n v="0"/>
    <n v="0"/>
    <x v="0"/>
    <n v="0"/>
    <s v="MMR001CMP160"/>
    <x v="0"/>
    <x v="1"/>
    <x v="2"/>
    <n v="0"/>
    <s v="No"/>
    <m/>
  </r>
  <r>
    <n v="37.533333333333331"/>
    <d v="2013-05-11T00:00:00"/>
    <x v="8"/>
    <s v="KMSS"/>
    <s v="Kachin"/>
    <s v="Waingmaw"/>
    <s v="Post 6 Camp"/>
    <n v="490"/>
    <m/>
    <m/>
    <m/>
    <m/>
    <m/>
    <m/>
    <m/>
    <m/>
    <m/>
    <m/>
    <m/>
    <m/>
    <m/>
    <m/>
    <m/>
    <m/>
    <n v="0"/>
    <n v="0"/>
    <n v="0"/>
    <n v="0"/>
    <n v="0"/>
    <n v="0"/>
    <n v="0"/>
    <n v="0"/>
    <n v="0"/>
    <n v="0"/>
    <n v="0"/>
    <n v="0"/>
    <n v="0"/>
    <n v="0"/>
    <x v="0"/>
    <n v="0"/>
    <s v="MMR001CMP160"/>
    <x v="0"/>
    <x v="1"/>
    <x v="2"/>
    <n v="0"/>
    <s v="No"/>
    <m/>
  </r>
  <r>
    <n v="50.666666666666664"/>
    <d v="2012-04-12T00:00:00"/>
    <x v="0"/>
    <s v="UNHCR"/>
    <s v="Kachin"/>
    <s v="Waingmaw"/>
    <s v="Post 6 Camp"/>
    <m/>
    <m/>
    <m/>
    <n v="123"/>
    <n v="95"/>
    <n v="123"/>
    <n v="95"/>
    <n v="95"/>
    <n v="95"/>
    <n v="95"/>
    <m/>
    <m/>
    <m/>
    <m/>
    <m/>
    <m/>
    <m/>
    <n v="0"/>
    <n v="0"/>
    <n v="0"/>
    <n v="0"/>
    <n v="0"/>
    <n v="0"/>
    <n v="0"/>
    <n v="0"/>
    <n v="0"/>
    <n v="0"/>
    <n v="0"/>
    <n v="0"/>
    <n v="0"/>
    <n v="0"/>
    <x v="0"/>
    <n v="0"/>
    <s v="MMR001CMP160"/>
    <x v="0"/>
    <x v="1"/>
    <x v="2"/>
    <n v="0.96938775510204078"/>
    <s v="No"/>
    <m/>
  </r>
  <r>
    <n v="51.2"/>
    <d v="2012-03-27T00:00:00"/>
    <x v="0"/>
    <s v="UNHCR"/>
    <s v="Kachin"/>
    <s v="Waingmaw"/>
    <s v="Post 6 Camp"/>
    <m/>
    <m/>
    <m/>
    <n v="0"/>
    <n v="40"/>
    <n v="0"/>
    <n v="0"/>
    <n v="0"/>
    <m/>
    <m/>
    <m/>
    <m/>
    <m/>
    <m/>
    <m/>
    <m/>
    <m/>
    <n v="0"/>
    <n v="0"/>
    <n v="0"/>
    <n v="0"/>
    <n v="0"/>
    <n v="0"/>
    <n v="0"/>
    <n v="0"/>
    <n v="0"/>
    <n v="0"/>
    <n v="0"/>
    <n v="0"/>
    <n v="0"/>
    <n v="0"/>
    <x v="0"/>
    <n v="0"/>
    <s v="MMR001CMP160"/>
    <x v="0"/>
    <x v="1"/>
    <x v="2"/>
    <n v="0"/>
    <s v="No"/>
    <m/>
  </r>
  <r>
    <n v="16.100000000000001"/>
    <d v="2015-02-13T00:00:00"/>
    <x v="0"/>
    <s v="KMSS-LSO"/>
    <s v="Shan_North"/>
    <s v="Kutkai"/>
    <s v="Pyi Lung Chan Tar"/>
    <m/>
    <n v="68"/>
    <n v="54"/>
    <n v="134"/>
    <n v="68"/>
    <n v="134"/>
    <n v="68"/>
    <m/>
    <n v="68"/>
    <n v="134"/>
    <m/>
    <m/>
    <m/>
    <m/>
    <n v="68"/>
    <m/>
    <m/>
    <n v="0"/>
    <n v="0"/>
    <n v="0"/>
    <n v="0"/>
    <n v="0"/>
    <n v="0"/>
    <n v="0"/>
    <n v="0"/>
    <n v="0"/>
    <n v="0"/>
    <n v="0"/>
    <n v="0"/>
    <n v="0"/>
    <n v="0"/>
    <x v="0"/>
    <n v="0"/>
    <s v=""/>
    <x v="1"/>
    <x v="2"/>
    <x v="0"/>
    <s v=""/>
    <s v="No"/>
    <m/>
  </r>
  <r>
    <n v="20.6"/>
    <d v="2014-10-01T00:00:00"/>
    <x v="0"/>
    <s v="Shalom"/>
    <s v="Kachin"/>
    <s v="Waingmaw"/>
    <s v="Qtr. 2 Lhaovo Baptist Church"/>
    <m/>
    <m/>
    <m/>
    <n v="240"/>
    <m/>
    <m/>
    <m/>
    <m/>
    <m/>
    <m/>
    <m/>
    <m/>
    <m/>
    <m/>
    <m/>
    <m/>
    <m/>
    <n v="0"/>
    <n v="0"/>
    <n v="0"/>
    <n v="0"/>
    <n v="0"/>
    <n v="0"/>
    <n v="0"/>
    <n v="0"/>
    <n v="0"/>
    <n v="0"/>
    <n v="0"/>
    <n v="0"/>
    <n v="0"/>
    <n v="0"/>
    <x v="0"/>
    <n v="0"/>
    <s v="MMR001CMP032"/>
    <x v="0"/>
    <x v="1"/>
    <x v="1"/>
    <n v="0"/>
    <m/>
    <m/>
  </r>
  <r>
    <n v="22.433333333333334"/>
    <d v="2014-08-07T00:00:00"/>
    <x v="0"/>
    <s v="Shalom"/>
    <s v="Kachin"/>
    <s v="Waingmaw"/>
    <s v="Qtr. 2 Lhaovo Baptist Church"/>
    <m/>
    <m/>
    <n v="24"/>
    <n v="12"/>
    <n v="24"/>
    <n v="12"/>
    <m/>
    <n v="12"/>
    <n v="60"/>
    <m/>
    <m/>
    <m/>
    <m/>
    <m/>
    <m/>
    <m/>
    <m/>
    <n v="0"/>
    <n v="0"/>
    <n v="0"/>
    <n v="0"/>
    <n v="0"/>
    <n v="0"/>
    <n v="0"/>
    <n v="0"/>
    <n v="0"/>
    <n v="0"/>
    <n v="0"/>
    <n v="0"/>
    <n v="0"/>
    <n v="0"/>
    <x v="0"/>
    <n v="0"/>
    <s v="MMR001CMP032"/>
    <x v="0"/>
    <x v="1"/>
    <x v="1"/>
    <n v="0"/>
    <m/>
    <m/>
  </r>
  <r>
    <n v="25"/>
    <d v="2014-05-22T00:00:00"/>
    <x v="6"/>
    <s v="MRCS"/>
    <s v="Kachin"/>
    <s v="Waingmaw"/>
    <s v="Qtr. 2 Lhaovo Baptist Church"/>
    <m/>
    <m/>
    <m/>
    <m/>
    <m/>
    <m/>
    <m/>
    <m/>
    <m/>
    <m/>
    <m/>
    <m/>
    <m/>
    <n v="88"/>
    <m/>
    <m/>
    <m/>
    <n v="0"/>
    <n v="0"/>
    <n v="0"/>
    <n v="0"/>
    <n v="0"/>
    <n v="0"/>
    <n v="0"/>
    <n v="0"/>
    <n v="0"/>
    <n v="0"/>
    <n v="0"/>
    <n v="0"/>
    <n v="0"/>
    <n v="0"/>
    <x v="1"/>
    <n v="0"/>
    <s v="MMR001CMP032"/>
    <x v="0"/>
    <x v="1"/>
    <x v="1"/>
    <n v="0"/>
    <m/>
    <m/>
  </r>
  <r>
    <n v="30"/>
    <d v="2013-12-23T00:00:00"/>
    <x v="5"/>
    <s v="KBC"/>
    <s v="Kachin"/>
    <s v="Waingmaw"/>
    <s v="Qtr. 2 Lhaovo Baptist Church"/>
    <m/>
    <m/>
    <m/>
    <m/>
    <m/>
    <m/>
    <m/>
    <m/>
    <m/>
    <m/>
    <n v="59"/>
    <n v="196"/>
    <n v="510"/>
    <n v="255"/>
    <m/>
    <m/>
    <m/>
    <n v="0"/>
    <n v="0"/>
    <n v="0"/>
    <n v="0"/>
    <n v="0"/>
    <n v="0"/>
    <n v="0"/>
    <n v="0"/>
    <n v="0"/>
    <n v="0"/>
    <n v="0"/>
    <n v="0"/>
    <n v="0"/>
    <n v="0"/>
    <x v="1"/>
    <n v="0"/>
    <s v="MMR001CMP032"/>
    <x v="0"/>
    <x v="1"/>
    <x v="1"/>
    <n v="0"/>
    <m/>
    <m/>
  </r>
  <r>
    <n v="37.166666666666664"/>
    <d v="2013-05-22T00:00:00"/>
    <x v="0"/>
    <s v="UNHCR"/>
    <s v="Kachin"/>
    <s v="Waingmaw"/>
    <s v="Qtr. 2 Lhaovo Baptist Church"/>
    <m/>
    <m/>
    <n v="18"/>
    <n v="20"/>
    <n v="14"/>
    <n v="20"/>
    <n v="10"/>
    <n v="10"/>
    <n v="10"/>
    <n v="10"/>
    <m/>
    <m/>
    <m/>
    <m/>
    <m/>
    <m/>
    <m/>
    <n v="0"/>
    <n v="0"/>
    <n v="0"/>
    <n v="0"/>
    <n v="0"/>
    <n v="0"/>
    <n v="0"/>
    <n v="0"/>
    <n v="0"/>
    <n v="0"/>
    <n v="0"/>
    <n v="0"/>
    <n v="0"/>
    <n v="0"/>
    <x v="0"/>
    <n v="0"/>
    <s v="MMR001CMP032"/>
    <x v="0"/>
    <x v="1"/>
    <x v="1"/>
    <n v="0.10989010989010989"/>
    <s v="No"/>
    <m/>
  </r>
  <r>
    <n v="39.733333333333334"/>
    <d v="2013-03-06T00:00:00"/>
    <x v="0"/>
    <s v="UNHCR"/>
    <s v="Kachin"/>
    <s v="Waingmaw"/>
    <s v="Qtr. 2 Lhaovo Baptist Church"/>
    <m/>
    <m/>
    <n v="6"/>
    <n v="11"/>
    <n v="5"/>
    <n v="11"/>
    <n v="5"/>
    <n v="5"/>
    <n v="5"/>
    <n v="5"/>
    <m/>
    <m/>
    <m/>
    <m/>
    <m/>
    <m/>
    <m/>
    <n v="0"/>
    <n v="0"/>
    <n v="0"/>
    <n v="0"/>
    <n v="0"/>
    <n v="0"/>
    <n v="0"/>
    <n v="0"/>
    <n v="0"/>
    <n v="0"/>
    <n v="0"/>
    <n v="0"/>
    <n v="0"/>
    <n v="0"/>
    <x v="0"/>
    <n v="0"/>
    <s v="MMR001CMP032"/>
    <x v="0"/>
    <x v="1"/>
    <x v="1"/>
    <n v="5.4945054945054944E-2"/>
    <s v="No"/>
    <m/>
  </r>
  <r>
    <n v="40.666666666666664"/>
    <d v="2013-02-06T00:00:00"/>
    <x v="0"/>
    <s v="UNHCR"/>
    <s v="Kachin"/>
    <s v="Waingmaw"/>
    <s v="Qtr. 2 Lhaovo Baptist Church"/>
    <m/>
    <m/>
    <n v="17"/>
    <n v="20"/>
    <n v="15"/>
    <n v="20"/>
    <n v="14"/>
    <n v="11"/>
    <n v="11"/>
    <n v="11"/>
    <m/>
    <m/>
    <m/>
    <m/>
    <m/>
    <m/>
    <m/>
    <n v="0"/>
    <n v="0"/>
    <n v="0"/>
    <n v="0"/>
    <n v="0"/>
    <n v="0"/>
    <n v="0"/>
    <n v="0"/>
    <n v="0"/>
    <n v="0"/>
    <n v="0"/>
    <n v="0"/>
    <n v="0"/>
    <n v="0"/>
    <x v="0"/>
    <n v="0"/>
    <s v="MMR001CMP032"/>
    <x v="0"/>
    <x v="1"/>
    <x v="1"/>
    <n v="0.15384615384615385"/>
    <s v="No"/>
    <m/>
  </r>
  <r>
    <n v="40.866666666666667"/>
    <d v="2013-01-31T00:00:00"/>
    <x v="7"/>
    <s v="World Vision"/>
    <s v="Kachin"/>
    <s v="Waingmaw"/>
    <s v="Qtr. 2 Lhaovo Baptist Church"/>
    <m/>
    <m/>
    <m/>
    <m/>
    <m/>
    <n v="184"/>
    <m/>
    <m/>
    <n v="0"/>
    <n v="0"/>
    <m/>
    <m/>
    <m/>
    <m/>
    <m/>
    <m/>
    <m/>
    <n v="0"/>
    <n v="0"/>
    <n v="0"/>
    <n v="0"/>
    <n v="0"/>
    <n v="0"/>
    <n v="0"/>
    <n v="0"/>
    <n v="0"/>
    <n v="0"/>
    <n v="0"/>
    <n v="0"/>
    <n v="0"/>
    <n v="0"/>
    <x v="0"/>
    <n v="0"/>
    <s v="MMR001CMP032"/>
    <x v="0"/>
    <x v="1"/>
    <x v="1"/>
    <n v="0"/>
    <s v="No"/>
    <m/>
  </r>
  <r>
    <n v="41.9"/>
    <d v="2012-12-31T00:00:00"/>
    <x v="3"/>
    <s v="DRC"/>
    <s v="Kachin"/>
    <s v="Waingmaw"/>
    <s v="Qtr. 2 Lhaovo Baptist Church"/>
    <n v="92"/>
    <m/>
    <m/>
    <m/>
    <m/>
    <m/>
    <m/>
    <m/>
    <n v="0"/>
    <n v="0"/>
    <m/>
    <m/>
    <m/>
    <m/>
    <m/>
    <m/>
    <m/>
    <n v="0"/>
    <n v="0"/>
    <n v="0"/>
    <n v="0"/>
    <n v="0"/>
    <n v="0"/>
    <n v="0"/>
    <n v="0"/>
    <n v="0"/>
    <n v="0"/>
    <n v="0"/>
    <n v="0"/>
    <n v="0"/>
    <n v="0"/>
    <x v="0"/>
    <n v="0"/>
    <s v="MMR001CMP032"/>
    <x v="0"/>
    <x v="1"/>
    <x v="1"/>
    <n v="0"/>
    <s v="No"/>
    <m/>
  </r>
  <r>
    <n v="43.533333333333331"/>
    <d v="2012-11-12T00:00:00"/>
    <x v="0"/>
    <s v="UNHCR"/>
    <s v="Kachin"/>
    <s v="Waingmaw"/>
    <s v="Qtr. 2 Lhaovo Baptist Church"/>
    <m/>
    <m/>
    <m/>
    <n v="12"/>
    <n v="12"/>
    <n v="12"/>
    <n v="5"/>
    <n v="5"/>
    <n v="5"/>
    <n v="5"/>
    <m/>
    <m/>
    <m/>
    <m/>
    <m/>
    <m/>
    <m/>
    <n v="0"/>
    <n v="0"/>
    <n v="0"/>
    <n v="0"/>
    <n v="0"/>
    <n v="0"/>
    <n v="0"/>
    <n v="0"/>
    <n v="0"/>
    <n v="0"/>
    <n v="0"/>
    <n v="0"/>
    <n v="0"/>
    <n v="0"/>
    <x v="0"/>
    <n v="0"/>
    <s v="MMR001CMP032"/>
    <x v="0"/>
    <x v="1"/>
    <x v="1"/>
    <n v="5.4945054945054944E-2"/>
    <s v="No"/>
    <m/>
  </r>
  <r>
    <n v="47.6"/>
    <d v="2012-07-13T00:00:00"/>
    <x v="0"/>
    <s v="UNHCR"/>
    <s v="Kachin"/>
    <s v="Waingmaw"/>
    <s v="Qtr. 2 Lhaovo Baptist Church"/>
    <m/>
    <m/>
    <m/>
    <n v="13"/>
    <n v="13"/>
    <n v="13"/>
    <n v="13"/>
    <n v="13"/>
    <n v="13"/>
    <n v="13"/>
    <m/>
    <m/>
    <m/>
    <m/>
    <m/>
    <m/>
    <m/>
    <n v="0"/>
    <n v="0"/>
    <n v="0"/>
    <n v="0"/>
    <n v="0"/>
    <n v="0"/>
    <n v="0"/>
    <n v="0"/>
    <n v="0"/>
    <n v="0"/>
    <n v="0"/>
    <n v="0"/>
    <n v="0"/>
    <n v="0"/>
    <x v="0"/>
    <n v="0"/>
    <s v="MMR001CMP032"/>
    <x v="0"/>
    <x v="1"/>
    <x v="1"/>
    <n v="0.14285714285714285"/>
    <s v="No"/>
    <m/>
  </r>
  <r>
    <n v="47.733333333333334"/>
    <d v="2012-07-09T00:00:00"/>
    <x v="0"/>
    <s v="UNHCR"/>
    <s v="Kachin"/>
    <s v="Waingmaw"/>
    <s v="Qtr. 2 Lhaovo Baptist Church"/>
    <m/>
    <m/>
    <m/>
    <n v="77"/>
    <n v="34"/>
    <n v="77"/>
    <n v="35"/>
    <n v="52"/>
    <n v="52"/>
    <n v="52"/>
    <m/>
    <m/>
    <m/>
    <m/>
    <m/>
    <m/>
    <m/>
    <n v="0"/>
    <n v="0"/>
    <n v="0"/>
    <n v="0"/>
    <n v="0"/>
    <n v="0"/>
    <n v="0"/>
    <n v="0"/>
    <n v="0"/>
    <n v="0"/>
    <n v="0"/>
    <n v="0"/>
    <n v="0"/>
    <n v="0"/>
    <x v="0"/>
    <n v="0"/>
    <s v="MMR001CMP032"/>
    <x v="0"/>
    <x v="1"/>
    <x v="1"/>
    <n v="0.38461538461538464"/>
    <s v="No"/>
    <m/>
  </r>
  <r>
    <n v="51.866666666666667"/>
    <d v="2012-03-07T00:00:00"/>
    <x v="0"/>
    <s v="UNHCR"/>
    <s v="Kachin"/>
    <s v="Waingmaw"/>
    <s v="Qtr. 2 Lhaovo Baptist Church"/>
    <m/>
    <m/>
    <m/>
    <n v="12"/>
    <n v="8"/>
    <n v="12"/>
    <n v="8"/>
    <n v="8"/>
    <n v="8"/>
    <n v="8"/>
    <m/>
    <m/>
    <m/>
    <m/>
    <m/>
    <m/>
    <m/>
    <n v="0"/>
    <n v="0"/>
    <n v="0"/>
    <n v="0"/>
    <n v="0"/>
    <n v="0"/>
    <n v="0"/>
    <n v="0"/>
    <n v="0"/>
    <n v="0"/>
    <n v="0"/>
    <n v="0"/>
    <n v="0"/>
    <n v="0"/>
    <x v="0"/>
    <n v="0"/>
    <s v="MMR001CMP032"/>
    <x v="0"/>
    <x v="1"/>
    <x v="1"/>
    <n v="8.7912087912087919E-2"/>
    <s v="No"/>
    <m/>
  </r>
  <r>
    <n v="54.4"/>
    <d v="2011-12-22T00:00:00"/>
    <x v="0"/>
    <s v="UNHCR"/>
    <s v="Kachin"/>
    <s v="Waingmaw"/>
    <s v="Qtr. 2 Lhaovo Baptist Church"/>
    <m/>
    <m/>
    <m/>
    <n v="0"/>
    <n v="0"/>
    <n v="0"/>
    <n v="0"/>
    <n v="4"/>
    <n v="4"/>
    <n v="4"/>
    <m/>
    <m/>
    <m/>
    <m/>
    <m/>
    <m/>
    <m/>
    <n v="0"/>
    <n v="0"/>
    <n v="0"/>
    <n v="0"/>
    <n v="0"/>
    <n v="0"/>
    <n v="0"/>
    <n v="0"/>
    <n v="0"/>
    <n v="0"/>
    <n v="0"/>
    <n v="0"/>
    <n v="0"/>
    <n v="0"/>
    <x v="0"/>
    <n v="0"/>
    <s v="MMR001CMP032"/>
    <x v="0"/>
    <x v="1"/>
    <x v="1"/>
    <n v="0"/>
    <s v="No"/>
    <m/>
  </r>
  <r>
    <n v="25"/>
    <d v="2014-05-22T00:00:00"/>
    <x v="6"/>
    <s v="MRCS"/>
    <s v="Kachin"/>
    <s v="Waingmaw"/>
    <s v="Qtr. 2 Myoma Baptist Church"/>
    <m/>
    <m/>
    <m/>
    <m/>
    <m/>
    <m/>
    <m/>
    <m/>
    <m/>
    <m/>
    <m/>
    <m/>
    <m/>
    <n v="140"/>
    <m/>
    <m/>
    <m/>
    <n v="0"/>
    <n v="0"/>
    <n v="0"/>
    <n v="0"/>
    <n v="0"/>
    <n v="0"/>
    <n v="0"/>
    <n v="0"/>
    <n v="0"/>
    <n v="0"/>
    <n v="0"/>
    <n v="0"/>
    <n v="0"/>
    <n v="0"/>
    <x v="1"/>
    <n v="0"/>
    <s v="MMR001CMP025"/>
    <x v="0"/>
    <x v="1"/>
    <x v="1"/>
    <n v="0"/>
    <m/>
    <m/>
  </r>
  <r>
    <n v="30.2"/>
    <d v="2013-12-17T00:00:00"/>
    <x v="5"/>
    <s v="KBC"/>
    <s v="Kachin"/>
    <s v="Waingmaw"/>
    <s v="Qtr. 2 Myoma Baptist Church"/>
    <m/>
    <m/>
    <m/>
    <m/>
    <m/>
    <m/>
    <m/>
    <m/>
    <m/>
    <m/>
    <n v="73"/>
    <n v="146"/>
    <n v="438"/>
    <n v="219"/>
    <m/>
    <m/>
    <m/>
    <n v="0"/>
    <n v="0"/>
    <n v="0"/>
    <n v="0"/>
    <n v="0"/>
    <n v="0"/>
    <n v="0"/>
    <n v="0"/>
    <n v="0"/>
    <n v="0"/>
    <n v="0"/>
    <n v="0"/>
    <n v="0"/>
    <n v="0"/>
    <x v="1"/>
    <n v="0"/>
    <s v="MMR001CMP025"/>
    <x v="0"/>
    <x v="1"/>
    <x v="1"/>
    <n v="0"/>
    <m/>
    <m/>
  </r>
  <r>
    <n v="30.766666666666666"/>
    <d v="2013-11-30T00:00:00"/>
    <x v="5"/>
    <s v="KBC"/>
    <s v="Kachin"/>
    <s v="Waingmaw"/>
    <s v="Qtr. 2 Myoma Baptist Church"/>
    <m/>
    <m/>
    <m/>
    <m/>
    <m/>
    <m/>
    <m/>
    <m/>
    <m/>
    <m/>
    <m/>
    <m/>
    <m/>
    <m/>
    <m/>
    <m/>
    <m/>
    <n v="0"/>
    <n v="0"/>
    <n v="0"/>
    <n v="0"/>
    <n v="0"/>
    <n v="0"/>
    <n v="0"/>
    <n v="0"/>
    <n v="0"/>
    <n v="0"/>
    <n v="0"/>
    <n v="0"/>
    <n v="0"/>
    <n v="0"/>
    <x v="0"/>
    <n v="0"/>
    <s v="MMR001CMP025"/>
    <x v="0"/>
    <x v="1"/>
    <x v="1"/>
    <n v="0"/>
    <s v="No"/>
    <m/>
  </r>
  <r>
    <n v="35.06666666666667"/>
    <d v="2013-07-24T00:00:00"/>
    <x v="0"/>
    <s v="KBC"/>
    <s v="Kachin"/>
    <s v="Waingmaw"/>
    <s v="Qtr. 2 Myoma Baptist Church"/>
    <m/>
    <m/>
    <n v="31"/>
    <n v="44"/>
    <n v="18"/>
    <n v="44"/>
    <n v="18"/>
    <n v="18"/>
    <n v="18"/>
    <n v="18"/>
    <m/>
    <m/>
    <m/>
    <m/>
    <m/>
    <m/>
    <m/>
    <n v="0"/>
    <n v="0"/>
    <n v="0"/>
    <n v="0"/>
    <n v="0"/>
    <n v="0"/>
    <n v="0"/>
    <n v="0"/>
    <n v="0"/>
    <n v="0"/>
    <n v="0"/>
    <n v="0"/>
    <n v="0"/>
    <n v="0"/>
    <x v="0"/>
    <n v="0"/>
    <s v="MMR001CMP025"/>
    <x v="0"/>
    <x v="1"/>
    <x v="1"/>
    <n v="0.27692307692307694"/>
    <s v="No"/>
    <m/>
  </r>
  <r>
    <n v="40.866666666666667"/>
    <d v="2013-01-31T00:00:00"/>
    <x v="7"/>
    <s v="World Vision"/>
    <s v="Kachin"/>
    <s v="Waingmaw"/>
    <s v="Qtr. 2 Myoma Baptist Church"/>
    <m/>
    <m/>
    <m/>
    <m/>
    <m/>
    <n v="242"/>
    <m/>
    <m/>
    <n v="0"/>
    <n v="0"/>
    <m/>
    <m/>
    <m/>
    <m/>
    <m/>
    <m/>
    <m/>
    <n v="0"/>
    <n v="0"/>
    <n v="0"/>
    <n v="0"/>
    <n v="0"/>
    <n v="0"/>
    <n v="0"/>
    <n v="0"/>
    <n v="0"/>
    <n v="0"/>
    <n v="0"/>
    <n v="0"/>
    <n v="0"/>
    <n v="0"/>
    <x v="0"/>
    <n v="0"/>
    <s v="MMR001CMP025"/>
    <x v="0"/>
    <x v="1"/>
    <x v="1"/>
    <n v="0"/>
    <s v="No"/>
    <m/>
  </r>
  <r>
    <n v="54.266666666666666"/>
    <d v="2011-12-26T00:00:00"/>
    <x v="0"/>
    <s v="KBC"/>
    <s v="Kachin"/>
    <s v="Waingmaw"/>
    <s v="Qtr. 2 Myoma Baptist Church"/>
    <m/>
    <m/>
    <m/>
    <n v="54"/>
    <n v="33"/>
    <n v="54"/>
    <n v="33"/>
    <n v="33"/>
    <n v="33"/>
    <n v="33"/>
    <m/>
    <m/>
    <m/>
    <m/>
    <m/>
    <m/>
    <m/>
    <n v="0"/>
    <n v="0"/>
    <n v="0"/>
    <n v="0"/>
    <n v="0"/>
    <n v="0"/>
    <n v="0"/>
    <n v="0"/>
    <n v="0"/>
    <n v="0"/>
    <n v="0"/>
    <n v="0"/>
    <n v="0"/>
    <n v="0"/>
    <x v="0"/>
    <n v="0"/>
    <s v="MMR001CMP025"/>
    <x v="0"/>
    <x v="1"/>
    <x v="1"/>
    <n v="0.50769230769230766"/>
    <s v="No"/>
    <m/>
  </r>
  <r>
    <n v="20.6"/>
    <d v="2014-10-01T00:00:00"/>
    <x v="0"/>
    <s v="Shalom"/>
    <s v="Kachin"/>
    <s v="Waingmaw"/>
    <s v="Qtr. 3 Mu-yin  Baptist Church"/>
    <m/>
    <m/>
    <m/>
    <n v="46"/>
    <m/>
    <m/>
    <m/>
    <m/>
    <m/>
    <m/>
    <m/>
    <m/>
    <m/>
    <m/>
    <m/>
    <m/>
    <m/>
    <n v="0"/>
    <n v="0"/>
    <n v="0"/>
    <n v="0"/>
    <n v="0"/>
    <n v="0"/>
    <n v="0"/>
    <n v="0"/>
    <n v="0"/>
    <n v="0"/>
    <n v="0"/>
    <n v="0"/>
    <n v="0"/>
    <n v="0"/>
    <x v="0"/>
    <n v="0"/>
    <s v="MMR001CMP030"/>
    <x v="0"/>
    <x v="1"/>
    <x v="1"/>
    <n v="0"/>
    <m/>
    <m/>
  </r>
  <r>
    <n v="25.1"/>
    <d v="2014-05-19T00:00:00"/>
    <x v="6"/>
    <s v="MRCS"/>
    <s v="Kachin"/>
    <s v="Waingmaw"/>
    <s v="Qtr. 3 Mu-yin  Baptist Church"/>
    <m/>
    <m/>
    <m/>
    <m/>
    <m/>
    <m/>
    <m/>
    <m/>
    <m/>
    <m/>
    <m/>
    <m/>
    <m/>
    <n v="60"/>
    <m/>
    <m/>
    <m/>
    <n v="0"/>
    <n v="0"/>
    <n v="0"/>
    <n v="0"/>
    <n v="0"/>
    <n v="0"/>
    <n v="0"/>
    <n v="0"/>
    <n v="0"/>
    <n v="0"/>
    <n v="0"/>
    <n v="0"/>
    <n v="0"/>
    <n v="0"/>
    <x v="1"/>
    <n v="0"/>
    <s v="MMR001CMP030"/>
    <x v="0"/>
    <x v="1"/>
    <x v="1"/>
    <n v="0"/>
    <m/>
    <m/>
  </r>
  <r>
    <n v="30.166666666666668"/>
    <d v="2013-12-18T00:00:00"/>
    <x v="5"/>
    <s v="KBC"/>
    <s v="Kachin"/>
    <s v="Waingmaw"/>
    <s v="Qtr. 3 Mu-yin  Baptist Church"/>
    <m/>
    <m/>
    <m/>
    <m/>
    <m/>
    <m/>
    <m/>
    <m/>
    <m/>
    <m/>
    <n v="30"/>
    <n v="57"/>
    <n v="174"/>
    <n v="87"/>
    <m/>
    <m/>
    <m/>
    <n v="0"/>
    <n v="0"/>
    <n v="0"/>
    <n v="0"/>
    <n v="0"/>
    <n v="0"/>
    <n v="0"/>
    <n v="0"/>
    <n v="0"/>
    <n v="0"/>
    <n v="0"/>
    <n v="0"/>
    <n v="0"/>
    <n v="0"/>
    <x v="1"/>
    <n v="0"/>
    <s v="MMR001CMP030"/>
    <x v="0"/>
    <x v="1"/>
    <x v="1"/>
    <n v="0"/>
    <m/>
    <m/>
  </r>
  <r>
    <n v="30.766666666666666"/>
    <d v="2013-11-30T00:00:00"/>
    <x v="5"/>
    <s v="KBC"/>
    <s v="Kachin"/>
    <s v="Waingmaw"/>
    <s v="Qtr. 3 Mu-yin  Baptist Church"/>
    <m/>
    <m/>
    <m/>
    <m/>
    <m/>
    <m/>
    <m/>
    <m/>
    <m/>
    <m/>
    <m/>
    <m/>
    <m/>
    <m/>
    <m/>
    <m/>
    <m/>
    <n v="0"/>
    <n v="0"/>
    <n v="0"/>
    <n v="0"/>
    <n v="0"/>
    <n v="0"/>
    <n v="0"/>
    <n v="0"/>
    <n v="0"/>
    <n v="0"/>
    <n v="0"/>
    <n v="0"/>
    <n v="0"/>
    <n v="0"/>
    <x v="0"/>
    <n v="0"/>
    <s v="MMR001CMP030"/>
    <x v="0"/>
    <x v="1"/>
    <x v="1"/>
    <n v="0"/>
    <s v="No"/>
    <m/>
  </r>
  <r>
    <n v="40.866666666666667"/>
    <d v="2013-01-31T00:00:00"/>
    <x v="7"/>
    <s v="World Vision"/>
    <s v="Kachin"/>
    <s v="Waingmaw"/>
    <s v="Qtr. 3 Mu-yin  Baptist Church"/>
    <m/>
    <m/>
    <m/>
    <m/>
    <m/>
    <n v="54"/>
    <m/>
    <m/>
    <n v="0"/>
    <n v="0"/>
    <m/>
    <m/>
    <m/>
    <m/>
    <m/>
    <m/>
    <m/>
    <n v="0"/>
    <n v="0"/>
    <n v="0"/>
    <n v="0"/>
    <n v="0"/>
    <n v="0"/>
    <n v="0"/>
    <n v="0"/>
    <n v="0"/>
    <n v="0"/>
    <n v="0"/>
    <n v="0"/>
    <n v="0"/>
    <n v="0"/>
    <x v="0"/>
    <n v="0"/>
    <s v="MMR001CMP030"/>
    <x v="0"/>
    <x v="1"/>
    <x v="1"/>
    <n v="0"/>
    <s v="No"/>
    <m/>
  </r>
  <r>
    <n v="41.9"/>
    <d v="2012-12-31T00:00:00"/>
    <x v="3"/>
    <s v="DRC"/>
    <s v="Kachin"/>
    <s v="Waingmaw"/>
    <s v="Qtr. 3 Mu-yin  Baptist Church"/>
    <n v="27"/>
    <m/>
    <m/>
    <m/>
    <m/>
    <m/>
    <m/>
    <m/>
    <n v="0"/>
    <n v="0"/>
    <m/>
    <m/>
    <m/>
    <m/>
    <m/>
    <m/>
    <m/>
    <n v="0"/>
    <n v="0"/>
    <n v="0"/>
    <n v="0"/>
    <n v="0"/>
    <n v="0"/>
    <n v="0"/>
    <n v="0"/>
    <n v="0"/>
    <n v="0"/>
    <n v="0"/>
    <n v="0"/>
    <n v="0"/>
    <n v="0"/>
    <x v="0"/>
    <n v="0"/>
    <s v="MMR001CMP030"/>
    <x v="0"/>
    <x v="1"/>
    <x v="1"/>
    <n v="0"/>
    <s v="No"/>
    <m/>
  </r>
  <r>
    <n v="49.133333333333333"/>
    <d v="2012-05-28T00:00:00"/>
    <x v="0"/>
    <s v="UNHCR"/>
    <s v="Kachin"/>
    <s v="Waingmaw"/>
    <s v="Qtr. 3 Mu-yin  Baptist Church"/>
    <m/>
    <m/>
    <m/>
    <n v="0"/>
    <n v="11"/>
    <n v="0"/>
    <n v="0"/>
    <n v="0"/>
    <m/>
    <m/>
    <m/>
    <m/>
    <m/>
    <m/>
    <m/>
    <m/>
    <m/>
    <n v="0"/>
    <n v="0"/>
    <n v="0"/>
    <n v="0"/>
    <n v="0"/>
    <n v="0"/>
    <n v="0"/>
    <n v="0"/>
    <n v="0"/>
    <n v="0"/>
    <n v="0"/>
    <n v="0"/>
    <n v="0"/>
    <n v="0"/>
    <x v="0"/>
    <n v="0"/>
    <s v="MMR001CMP030"/>
    <x v="0"/>
    <x v="1"/>
    <x v="1"/>
    <n v="0"/>
    <s v="No"/>
    <m/>
  </r>
  <r>
    <n v="49.966666666666669"/>
    <d v="2012-05-03T00:00:00"/>
    <x v="0"/>
    <s v="UNHCR"/>
    <s v="Kachin"/>
    <s v="Waingmaw"/>
    <s v="Qtr. 3 Mu-yin  Baptist Church"/>
    <m/>
    <m/>
    <m/>
    <n v="12"/>
    <n v="0"/>
    <n v="12"/>
    <n v="6"/>
    <n v="6"/>
    <n v="6"/>
    <n v="6"/>
    <m/>
    <m/>
    <m/>
    <m/>
    <m/>
    <m/>
    <m/>
    <n v="0"/>
    <n v="0"/>
    <n v="0"/>
    <n v="0"/>
    <n v="0"/>
    <n v="0"/>
    <n v="0"/>
    <n v="0"/>
    <n v="0"/>
    <n v="0"/>
    <n v="0"/>
    <n v="0"/>
    <n v="0"/>
    <n v="0"/>
    <x v="0"/>
    <n v="0"/>
    <s v="MMR001CMP030"/>
    <x v="0"/>
    <x v="1"/>
    <x v="1"/>
    <n v="0.19354838709677419"/>
    <s v="No"/>
    <m/>
  </r>
  <r>
    <n v="20.6"/>
    <d v="2014-10-01T00:00:00"/>
    <x v="0"/>
    <s v="Shalom"/>
    <s v="Kachin"/>
    <s v="Waingmaw"/>
    <s v="Qtr. 4 Monestry (Thargaya Thayett Taw)"/>
    <m/>
    <m/>
    <m/>
    <n v="204"/>
    <m/>
    <m/>
    <m/>
    <m/>
    <m/>
    <m/>
    <m/>
    <m/>
    <m/>
    <m/>
    <m/>
    <m/>
    <m/>
    <n v="0"/>
    <n v="0"/>
    <n v="0"/>
    <n v="0"/>
    <n v="0"/>
    <n v="0"/>
    <n v="0"/>
    <n v="0"/>
    <n v="0"/>
    <n v="0"/>
    <n v="0"/>
    <n v="0"/>
    <n v="0"/>
    <n v="0"/>
    <x v="0"/>
    <n v="0"/>
    <s v="MMR001CMP026"/>
    <x v="0"/>
    <x v="1"/>
    <x v="1"/>
    <n v="0"/>
    <m/>
    <m/>
  </r>
  <r>
    <n v="24.833333333333332"/>
    <d v="2014-05-27T00:00:00"/>
    <x v="0"/>
    <s v="Shalom"/>
    <s v="Kachin"/>
    <s v="Waingmaw"/>
    <s v="Qtr. 4 Monestry (Thargaya Thayett Taw)"/>
    <m/>
    <m/>
    <n v="3"/>
    <n v="3"/>
    <n v="6"/>
    <n v="3"/>
    <m/>
    <n v="3"/>
    <n v="15"/>
    <m/>
    <m/>
    <m/>
    <m/>
    <m/>
    <m/>
    <m/>
    <m/>
    <n v="0"/>
    <n v="0"/>
    <n v="0"/>
    <n v="0"/>
    <n v="0"/>
    <n v="0"/>
    <n v="0"/>
    <n v="0"/>
    <n v="0"/>
    <n v="0"/>
    <n v="0"/>
    <n v="0"/>
    <n v="0"/>
    <n v="0"/>
    <x v="0"/>
    <n v="0"/>
    <s v="MMR001CMP026"/>
    <x v="0"/>
    <x v="1"/>
    <x v="1"/>
    <n v="0"/>
    <m/>
    <m/>
  </r>
  <r>
    <n v="24.9"/>
    <d v="2014-05-25T00:00:00"/>
    <x v="6"/>
    <s v="MRCS"/>
    <s v="Kachin"/>
    <s v="Waingmaw"/>
    <s v="Qtr. 4 Monestry (Thargaya Thayett Taw)"/>
    <m/>
    <m/>
    <m/>
    <m/>
    <m/>
    <m/>
    <m/>
    <m/>
    <m/>
    <m/>
    <m/>
    <m/>
    <m/>
    <n v="182"/>
    <m/>
    <m/>
    <m/>
    <n v="0"/>
    <n v="0"/>
    <n v="0"/>
    <n v="0"/>
    <n v="0"/>
    <n v="0"/>
    <n v="0"/>
    <n v="0"/>
    <n v="0"/>
    <n v="0"/>
    <n v="0"/>
    <n v="0"/>
    <n v="0"/>
    <n v="0"/>
    <x v="1"/>
    <n v="0"/>
    <s v="MMR001CMP026"/>
    <x v="0"/>
    <x v="1"/>
    <x v="1"/>
    <n v="0"/>
    <m/>
    <m/>
  </r>
  <r>
    <n v="30.1"/>
    <d v="2013-12-20T00:00:00"/>
    <x v="5"/>
    <s v="KBC"/>
    <s v="Kachin"/>
    <s v="Waingmaw"/>
    <s v="Qtr. 4 Monestry (Thargaya Thayett Taw)"/>
    <m/>
    <m/>
    <m/>
    <m/>
    <m/>
    <m/>
    <m/>
    <m/>
    <m/>
    <m/>
    <n v="102"/>
    <n v="188"/>
    <n v="580"/>
    <n v="290"/>
    <m/>
    <m/>
    <m/>
    <n v="0"/>
    <n v="0"/>
    <n v="0"/>
    <n v="0"/>
    <n v="0"/>
    <n v="0"/>
    <n v="0"/>
    <n v="0"/>
    <n v="0"/>
    <n v="0"/>
    <n v="0"/>
    <n v="0"/>
    <n v="0"/>
    <n v="0"/>
    <x v="1"/>
    <n v="0"/>
    <s v="MMR001CMP026"/>
    <x v="0"/>
    <x v="1"/>
    <x v="1"/>
    <n v="0"/>
    <m/>
    <m/>
  </r>
  <r>
    <n v="30.766666666666666"/>
    <d v="2013-11-30T00:00:00"/>
    <x v="5"/>
    <s v="KBC"/>
    <s v="Kachin"/>
    <s v="Waingmaw"/>
    <s v="Qtr. 4 Monestry (Thargaya Thayett Taw)"/>
    <m/>
    <m/>
    <m/>
    <m/>
    <m/>
    <m/>
    <m/>
    <m/>
    <m/>
    <m/>
    <m/>
    <m/>
    <m/>
    <m/>
    <m/>
    <m/>
    <m/>
    <n v="0"/>
    <n v="0"/>
    <n v="0"/>
    <n v="0"/>
    <n v="0"/>
    <n v="0"/>
    <n v="0"/>
    <n v="0"/>
    <n v="0"/>
    <n v="0"/>
    <n v="0"/>
    <n v="0"/>
    <n v="0"/>
    <n v="0"/>
    <x v="0"/>
    <n v="0"/>
    <s v="MMR001CMP026"/>
    <x v="0"/>
    <x v="1"/>
    <x v="1"/>
    <n v="0"/>
    <s v="No"/>
    <m/>
  </r>
  <r>
    <n v="35.06666666666667"/>
    <d v="2013-07-24T00:00:00"/>
    <x v="0"/>
    <s v="Shalom"/>
    <s v="Kachin"/>
    <s v="Waingmaw"/>
    <s v="Qtr. 4 Monestry (Thargaya Thayett Taw)"/>
    <m/>
    <m/>
    <n v="41"/>
    <n v="73"/>
    <n v="31"/>
    <n v="73"/>
    <n v="31"/>
    <n v="31"/>
    <n v="31"/>
    <n v="31"/>
    <m/>
    <m/>
    <m/>
    <m/>
    <m/>
    <m/>
    <m/>
    <n v="0"/>
    <n v="0"/>
    <n v="0"/>
    <n v="0"/>
    <n v="0"/>
    <n v="0"/>
    <n v="0"/>
    <n v="0"/>
    <n v="0"/>
    <n v="0"/>
    <n v="0"/>
    <n v="0"/>
    <n v="0"/>
    <n v="0"/>
    <x v="0"/>
    <n v="0"/>
    <s v="MMR001CMP026"/>
    <x v="0"/>
    <x v="1"/>
    <x v="1"/>
    <n v="0.35227272727272729"/>
    <s v="No"/>
    <m/>
  </r>
  <r>
    <n v="40.700000000000003"/>
    <d v="2013-02-05T00:00:00"/>
    <x v="2"/>
    <s v="MRCS"/>
    <s v="Kachin"/>
    <s v="Waingmaw"/>
    <s v="Qtr. 4 Monestry (Thargaya Thayett Taw)"/>
    <n v="20"/>
    <m/>
    <m/>
    <m/>
    <m/>
    <m/>
    <m/>
    <m/>
    <n v="0"/>
    <n v="0"/>
    <m/>
    <m/>
    <m/>
    <m/>
    <m/>
    <m/>
    <m/>
    <n v="0"/>
    <n v="0"/>
    <n v="0"/>
    <n v="0"/>
    <n v="0"/>
    <n v="0"/>
    <n v="0"/>
    <n v="0"/>
    <n v="0"/>
    <n v="0"/>
    <n v="0"/>
    <n v="0"/>
    <n v="0"/>
    <n v="0"/>
    <x v="0"/>
    <n v="0"/>
    <s v="MMR001CMP026"/>
    <x v="0"/>
    <x v="1"/>
    <x v="1"/>
    <n v="0"/>
    <s v="No"/>
    <m/>
  </r>
  <r>
    <n v="40.866666666666667"/>
    <d v="2013-01-31T00:00:00"/>
    <x v="7"/>
    <s v="World Vision"/>
    <s v="Kachin"/>
    <s v="Waingmaw"/>
    <s v="Qtr. 4 Monestry (Thargaya Thayett Taw)"/>
    <m/>
    <m/>
    <m/>
    <m/>
    <m/>
    <n v="188"/>
    <m/>
    <m/>
    <n v="0"/>
    <n v="0"/>
    <m/>
    <m/>
    <m/>
    <m/>
    <m/>
    <m/>
    <m/>
    <n v="0"/>
    <n v="0"/>
    <n v="0"/>
    <n v="0"/>
    <n v="0"/>
    <n v="0"/>
    <n v="0"/>
    <n v="0"/>
    <n v="0"/>
    <n v="0"/>
    <n v="0"/>
    <n v="0"/>
    <n v="0"/>
    <n v="0"/>
    <x v="0"/>
    <n v="0"/>
    <s v="MMR001CMP026"/>
    <x v="0"/>
    <x v="1"/>
    <x v="1"/>
    <n v="0"/>
    <s v="No"/>
    <m/>
  </r>
  <r>
    <n v="41.9"/>
    <d v="2012-12-31T00:00:00"/>
    <x v="3"/>
    <s v="DRC"/>
    <s v="Kachin"/>
    <s v="Waingmaw"/>
    <s v="Qtr. 4 Monestry (Thargaya Thayett Taw)"/>
    <n v="96"/>
    <m/>
    <m/>
    <m/>
    <m/>
    <m/>
    <m/>
    <m/>
    <n v="0"/>
    <n v="0"/>
    <m/>
    <m/>
    <m/>
    <m/>
    <m/>
    <m/>
    <m/>
    <n v="0"/>
    <n v="0"/>
    <n v="0"/>
    <n v="0"/>
    <n v="0"/>
    <n v="0"/>
    <n v="0"/>
    <n v="0"/>
    <n v="0"/>
    <n v="0"/>
    <n v="0"/>
    <n v="0"/>
    <n v="0"/>
    <n v="0"/>
    <x v="0"/>
    <n v="0"/>
    <s v="MMR001CMP026"/>
    <x v="0"/>
    <x v="1"/>
    <x v="1"/>
    <n v="0"/>
    <s v="No"/>
    <m/>
  </r>
  <r>
    <n v="47.6"/>
    <d v="2012-07-13T00:00:00"/>
    <x v="0"/>
    <s v="UNHCR"/>
    <s v="Kachin"/>
    <s v="Waingmaw"/>
    <s v="Qtr. 4 Monestry (Thargaya Thayett Taw)"/>
    <m/>
    <m/>
    <m/>
    <n v="3"/>
    <n v="3"/>
    <n v="3"/>
    <n v="3"/>
    <n v="3"/>
    <n v="3"/>
    <n v="3"/>
    <m/>
    <m/>
    <m/>
    <m/>
    <m/>
    <m/>
    <m/>
    <n v="0"/>
    <n v="0"/>
    <n v="0"/>
    <n v="0"/>
    <n v="0"/>
    <n v="0"/>
    <n v="0"/>
    <n v="0"/>
    <n v="0"/>
    <n v="0"/>
    <n v="0"/>
    <n v="0"/>
    <n v="0"/>
    <n v="0"/>
    <x v="0"/>
    <n v="0"/>
    <s v="MMR001CMP026"/>
    <x v="0"/>
    <x v="1"/>
    <x v="1"/>
    <n v="3.4090909090909088E-2"/>
    <s v="No"/>
    <m/>
  </r>
  <r>
    <n v="49.966666666666669"/>
    <d v="2012-05-03T00:00:00"/>
    <x v="0"/>
    <s v="UNHCR"/>
    <s v="Kachin"/>
    <s v="Waingmaw"/>
    <s v="Qtr. 4 Monestry (Thargaya Thayett Taw)"/>
    <m/>
    <m/>
    <m/>
    <n v="34"/>
    <n v="0"/>
    <n v="34"/>
    <n v="0"/>
    <n v="18"/>
    <n v="18"/>
    <n v="18"/>
    <m/>
    <m/>
    <m/>
    <m/>
    <m/>
    <m/>
    <m/>
    <n v="0"/>
    <n v="0"/>
    <n v="0"/>
    <n v="0"/>
    <n v="0"/>
    <n v="0"/>
    <n v="0"/>
    <n v="0"/>
    <n v="0"/>
    <n v="0"/>
    <n v="0"/>
    <n v="0"/>
    <n v="0"/>
    <n v="0"/>
    <x v="0"/>
    <n v="0"/>
    <s v="MMR001CMP026"/>
    <x v="0"/>
    <x v="1"/>
    <x v="1"/>
    <n v="0"/>
    <s v="No"/>
    <m/>
  </r>
  <r>
    <n v="50.033333333333331"/>
    <d v="2012-05-01T00:00:00"/>
    <x v="0"/>
    <s v="UNHCR"/>
    <s v="Kachin"/>
    <s v="Waingmaw"/>
    <s v="Qtr. 4 Monestry (Thargaya Thayett Taw)"/>
    <m/>
    <m/>
    <m/>
    <n v="52"/>
    <n v="0"/>
    <n v="52"/>
    <n v="0"/>
    <n v="24"/>
    <n v="24"/>
    <n v="24"/>
    <m/>
    <m/>
    <m/>
    <m/>
    <m/>
    <m/>
    <m/>
    <n v="0"/>
    <n v="0"/>
    <n v="0"/>
    <n v="0"/>
    <n v="0"/>
    <n v="0"/>
    <n v="0"/>
    <n v="0"/>
    <n v="0"/>
    <n v="0"/>
    <n v="0"/>
    <n v="0"/>
    <n v="0"/>
    <n v="0"/>
    <x v="0"/>
    <n v="0"/>
    <s v="MMR001CMP026"/>
    <x v="0"/>
    <x v="1"/>
    <x v="1"/>
    <n v="0"/>
    <s v="No"/>
    <m/>
  </r>
  <r>
    <n v="52.866666666666667"/>
    <d v="2012-02-06T00:00:00"/>
    <x v="0"/>
    <s v="UNHCR"/>
    <s v="Kachin"/>
    <s v="Waingmaw"/>
    <s v="Qtr. 4 Monestry (Thargaya Thayett Taw)"/>
    <m/>
    <m/>
    <m/>
    <n v="0"/>
    <n v="0"/>
    <n v="0"/>
    <n v="0"/>
    <n v="13"/>
    <n v="13"/>
    <n v="13"/>
    <m/>
    <m/>
    <m/>
    <m/>
    <m/>
    <m/>
    <m/>
    <n v="0"/>
    <n v="0"/>
    <n v="0"/>
    <n v="0"/>
    <n v="0"/>
    <n v="0"/>
    <n v="0"/>
    <n v="0"/>
    <n v="0"/>
    <n v="0"/>
    <n v="0"/>
    <n v="0"/>
    <n v="0"/>
    <n v="0"/>
    <x v="0"/>
    <n v="0"/>
    <s v="MMR001CMP026"/>
    <x v="0"/>
    <x v="1"/>
    <x v="1"/>
    <n v="0"/>
    <s v="No"/>
    <m/>
  </r>
  <r>
    <n v="53.06666666666667"/>
    <d v="2012-01-31T00:00:00"/>
    <x v="0"/>
    <s v="UNHCR"/>
    <s v="Kachin"/>
    <s v="Waingmaw"/>
    <s v="Qtr. 4 Monestry (Thargaya Thayett Taw)"/>
    <m/>
    <m/>
    <m/>
    <n v="0"/>
    <n v="0"/>
    <n v="0"/>
    <n v="0"/>
    <n v="61"/>
    <n v="61"/>
    <n v="61"/>
    <m/>
    <m/>
    <m/>
    <m/>
    <m/>
    <m/>
    <m/>
    <n v="0"/>
    <n v="0"/>
    <n v="0"/>
    <n v="0"/>
    <n v="0"/>
    <n v="0"/>
    <n v="0"/>
    <n v="0"/>
    <n v="0"/>
    <n v="0"/>
    <n v="0"/>
    <n v="0"/>
    <n v="0"/>
    <n v="0"/>
    <x v="0"/>
    <n v="0"/>
    <s v="MMR001CMP026"/>
    <x v="0"/>
    <x v="1"/>
    <x v="1"/>
    <n v="0"/>
    <s v="No"/>
    <m/>
  </r>
  <r>
    <n v="17.133333333333333"/>
    <d v="2015-01-13T00:00:00"/>
    <x v="1"/>
    <s v="MRCS"/>
    <s v="Kachin"/>
    <s v="Hpakant"/>
    <s v="Rawan Baptist Church, Maw Shan Vil., Seik Mu"/>
    <m/>
    <m/>
    <m/>
    <m/>
    <m/>
    <m/>
    <m/>
    <m/>
    <m/>
    <m/>
    <n v="26"/>
    <n v="14"/>
    <m/>
    <m/>
    <m/>
    <m/>
    <m/>
    <n v="0"/>
    <n v="0"/>
    <n v="0"/>
    <n v="0"/>
    <n v="0"/>
    <n v="0"/>
    <n v="0"/>
    <n v="0"/>
    <n v="0"/>
    <n v="0"/>
    <n v="0"/>
    <n v="0"/>
    <n v="0"/>
    <n v="0"/>
    <x v="1"/>
    <n v="0"/>
    <s v="MMR001CMP182"/>
    <x v="0"/>
    <x v="1"/>
    <x v="1"/>
    <n v="0"/>
    <m/>
    <m/>
  </r>
  <r>
    <n v="19.600000000000001"/>
    <d v="2014-10-31T00:00:00"/>
    <x v="0"/>
    <m/>
    <s v="Kachin"/>
    <s v="Hpakant"/>
    <s v="Rawan Baptist Church, Maw Shan Vil., Seik Mu"/>
    <m/>
    <m/>
    <n v="12"/>
    <n v="24"/>
    <n v="12"/>
    <n v="24"/>
    <n v="12"/>
    <m/>
    <n v="12"/>
    <n v="60"/>
    <m/>
    <m/>
    <m/>
    <m/>
    <m/>
    <m/>
    <m/>
    <n v="0"/>
    <n v="0"/>
    <n v="0"/>
    <n v="0"/>
    <n v="0"/>
    <n v="0"/>
    <n v="0"/>
    <n v="0"/>
    <n v="0"/>
    <n v="0"/>
    <n v="0"/>
    <n v="0"/>
    <n v="0"/>
    <n v="0"/>
    <x v="0"/>
    <n v="0"/>
    <s v="MMR001CMP182"/>
    <x v="0"/>
    <x v="1"/>
    <x v="1"/>
    <n v="1.2"/>
    <m/>
    <m/>
  </r>
  <r>
    <n v="20.6"/>
    <d v="2014-10-01T00:00:00"/>
    <x v="0"/>
    <s v="Shalom"/>
    <s v="Kachin"/>
    <s v="Hpakant"/>
    <s v="Rawan Baptist Church, Maw Shan Vil., Seik Mu"/>
    <m/>
    <m/>
    <m/>
    <n v="24"/>
    <m/>
    <m/>
    <m/>
    <m/>
    <m/>
    <m/>
    <m/>
    <m/>
    <m/>
    <m/>
    <m/>
    <m/>
    <m/>
    <n v="0"/>
    <n v="0"/>
    <n v="0"/>
    <n v="0"/>
    <n v="0"/>
    <n v="0"/>
    <n v="0"/>
    <n v="0"/>
    <n v="0"/>
    <n v="0"/>
    <n v="0"/>
    <n v="0"/>
    <n v="0"/>
    <n v="0"/>
    <x v="0"/>
    <n v="0"/>
    <s v="MMR001CMP182"/>
    <x v="0"/>
    <x v="1"/>
    <x v="1"/>
    <n v="0"/>
    <m/>
    <m/>
  </r>
  <r>
    <n v="39.233333333333334"/>
    <d v="2013-03-21T00:00:00"/>
    <x v="0"/>
    <s v="UNHCR"/>
    <s v="Kachin"/>
    <s v="Hpakant"/>
    <s v="Rawan Baptist Church, Maw Shan Vil., Seik Mu"/>
    <m/>
    <m/>
    <n v="15"/>
    <n v="8"/>
    <n v="8"/>
    <n v="17"/>
    <n v="8"/>
    <n v="17"/>
    <n v="17"/>
    <n v="17"/>
    <m/>
    <m/>
    <m/>
    <m/>
    <m/>
    <m/>
    <m/>
    <n v="0"/>
    <n v="0"/>
    <n v="0"/>
    <n v="0"/>
    <n v="0"/>
    <n v="0"/>
    <n v="0"/>
    <n v="0"/>
    <n v="0"/>
    <n v="0"/>
    <n v="0"/>
    <n v="0"/>
    <n v="0"/>
    <n v="0"/>
    <x v="0"/>
    <n v="0"/>
    <s v="MMR001CMP182"/>
    <x v="0"/>
    <x v="1"/>
    <x v="1"/>
    <n v="0.8"/>
    <s v="No"/>
    <m/>
  </r>
  <r>
    <n v="16.2"/>
    <d v="2015-02-10T00:00:00"/>
    <x v="0"/>
    <s v="KBC"/>
    <s v="Kachin"/>
    <s v="Puta-O"/>
    <s v="Resettlement place"/>
    <m/>
    <m/>
    <n v="46"/>
    <n v="92"/>
    <n v="46"/>
    <n v="92"/>
    <n v="46"/>
    <m/>
    <n v="46"/>
    <n v="230"/>
    <m/>
    <m/>
    <m/>
    <m/>
    <n v="46"/>
    <m/>
    <n v="55"/>
    <n v="0"/>
    <n v="0"/>
    <n v="0"/>
    <n v="0"/>
    <n v="0"/>
    <n v="0"/>
    <n v="0"/>
    <n v="0"/>
    <n v="0"/>
    <n v="0"/>
    <n v="0"/>
    <n v="0"/>
    <n v="0"/>
    <n v="0"/>
    <x v="0"/>
    <n v="0"/>
    <s v=""/>
    <x v="1"/>
    <x v="2"/>
    <x v="0"/>
    <s v=""/>
    <s v="No"/>
    <m/>
  </r>
  <r>
    <n v="29.5"/>
    <d v="2014-01-07T00:00:00"/>
    <x v="0"/>
    <s v="UNHCR"/>
    <s v="Kachin"/>
    <s v="Bhamo"/>
    <s v="Robert Church"/>
    <m/>
    <m/>
    <m/>
    <n v="44"/>
    <n v="30"/>
    <n v="44"/>
    <n v="20"/>
    <n v="20"/>
    <m/>
    <m/>
    <m/>
    <m/>
    <m/>
    <m/>
    <m/>
    <m/>
    <m/>
    <n v="0"/>
    <n v="0"/>
    <n v="0"/>
    <n v="0"/>
    <n v="0"/>
    <n v="0"/>
    <n v="0"/>
    <n v="0"/>
    <n v="0"/>
    <n v="0"/>
    <n v="0"/>
    <n v="0"/>
    <n v="0"/>
    <n v="0"/>
    <x v="0"/>
    <n v="0"/>
    <s v="MMR001CMP047"/>
    <x v="0"/>
    <x v="1"/>
    <x v="1"/>
    <n v="3.1796502384737677E-2"/>
    <s v="No"/>
    <m/>
  </r>
  <r>
    <n v="30.633333333333333"/>
    <d v="2013-12-04T00:00:00"/>
    <x v="0"/>
    <s v="UNHCR"/>
    <s v="Kachin"/>
    <s v="Bhamo"/>
    <s v="Robert Church"/>
    <m/>
    <m/>
    <m/>
    <m/>
    <m/>
    <n v="120"/>
    <m/>
    <m/>
    <m/>
    <m/>
    <m/>
    <m/>
    <m/>
    <m/>
    <m/>
    <m/>
    <m/>
    <n v="0"/>
    <n v="0"/>
    <n v="0"/>
    <n v="0"/>
    <n v="0"/>
    <n v="0"/>
    <n v="0"/>
    <n v="0"/>
    <n v="0"/>
    <n v="0"/>
    <n v="0"/>
    <n v="0"/>
    <n v="0"/>
    <n v="0"/>
    <x v="0"/>
    <n v="0"/>
    <s v="MMR001CMP047"/>
    <x v="0"/>
    <x v="1"/>
    <x v="1"/>
    <n v="0"/>
    <s v="No"/>
    <m/>
  </r>
  <r>
    <n v="30.633333333333333"/>
    <d v="2013-12-04T00:00:00"/>
    <x v="0"/>
    <s v="UNHCR"/>
    <s v="Kachin"/>
    <s v="Bhamo"/>
    <s v="Robert Church"/>
    <m/>
    <m/>
    <m/>
    <m/>
    <n v="5"/>
    <m/>
    <m/>
    <m/>
    <m/>
    <m/>
    <m/>
    <m/>
    <m/>
    <m/>
    <m/>
    <m/>
    <m/>
    <n v="0"/>
    <n v="0"/>
    <n v="0"/>
    <n v="0"/>
    <n v="0"/>
    <n v="0"/>
    <n v="0"/>
    <n v="0"/>
    <n v="0"/>
    <n v="0"/>
    <n v="0"/>
    <n v="0"/>
    <n v="0"/>
    <n v="0"/>
    <x v="0"/>
    <n v="0"/>
    <s v="MMR001CMP047"/>
    <x v="0"/>
    <x v="1"/>
    <x v="1"/>
    <n v="0"/>
    <s v="No"/>
    <m/>
  </r>
  <r>
    <n v="30.733333333333334"/>
    <d v="2013-12-01T00:00:00"/>
    <x v="0"/>
    <s v="UNHCR"/>
    <s v="Kachin"/>
    <s v="Bhamo"/>
    <s v="Robert Church"/>
    <m/>
    <m/>
    <m/>
    <m/>
    <m/>
    <n v="30"/>
    <m/>
    <m/>
    <m/>
    <m/>
    <m/>
    <m/>
    <m/>
    <m/>
    <m/>
    <m/>
    <m/>
    <n v="0"/>
    <n v="0"/>
    <n v="0"/>
    <n v="0"/>
    <n v="0"/>
    <n v="0"/>
    <n v="0"/>
    <n v="0"/>
    <n v="0"/>
    <n v="0"/>
    <n v="0"/>
    <n v="0"/>
    <n v="0"/>
    <n v="0"/>
    <x v="0"/>
    <n v="0"/>
    <s v="MMR001CMP047"/>
    <x v="0"/>
    <x v="1"/>
    <x v="1"/>
    <n v="0"/>
    <s v="No"/>
    <m/>
  </r>
  <r>
    <n v="30.766666666666666"/>
    <d v="2013-11-30T00:00:00"/>
    <x v="5"/>
    <m/>
    <s v="Kachin"/>
    <s v="Bhamo"/>
    <s v="Robert Church"/>
    <m/>
    <m/>
    <m/>
    <m/>
    <m/>
    <m/>
    <m/>
    <m/>
    <m/>
    <n v="1164"/>
    <m/>
    <m/>
    <m/>
    <m/>
    <m/>
    <m/>
    <m/>
    <n v="0"/>
    <n v="0"/>
    <n v="0"/>
    <n v="0"/>
    <n v="0"/>
    <n v="0"/>
    <n v="0"/>
    <n v="0"/>
    <n v="0"/>
    <n v="0"/>
    <n v="0"/>
    <n v="0"/>
    <n v="0"/>
    <n v="0"/>
    <x v="0"/>
    <n v="0"/>
    <s v="MMR001CMP047"/>
    <x v="0"/>
    <x v="1"/>
    <x v="1"/>
    <n v="0"/>
    <s v="No"/>
    <m/>
  </r>
  <r>
    <n v="30.766666666666666"/>
    <d v="2013-11-30T00:00:00"/>
    <x v="0"/>
    <s v="UNHCR"/>
    <s v="Kachin"/>
    <s v="Bhamo"/>
    <s v="Robert Church"/>
    <m/>
    <m/>
    <m/>
    <n v="75"/>
    <n v="36"/>
    <n v="75"/>
    <n v="36"/>
    <n v="36"/>
    <m/>
    <m/>
    <m/>
    <m/>
    <m/>
    <m/>
    <m/>
    <m/>
    <m/>
    <n v="0"/>
    <n v="0"/>
    <n v="0"/>
    <n v="0"/>
    <n v="0"/>
    <n v="0"/>
    <n v="0"/>
    <n v="0"/>
    <n v="0"/>
    <n v="0"/>
    <n v="0"/>
    <n v="0"/>
    <n v="0"/>
    <n v="0"/>
    <x v="0"/>
    <n v="0"/>
    <s v="MMR001CMP047"/>
    <x v="0"/>
    <x v="1"/>
    <x v="1"/>
    <n v="5.7233704292527825E-2"/>
    <s v="No"/>
    <m/>
  </r>
  <r>
    <n v="31.1"/>
    <d v="2013-11-20T00:00:00"/>
    <x v="5"/>
    <s v="Solidarities"/>
    <s v="Kachin"/>
    <s v="Bhamo"/>
    <s v="Robert Church"/>
    <m/>
    <m/>
    <m/>
    <m/>
    <m/>
    <m/>
    <m/>
    <m/>
    <m/>
    <m/>
    <m/>
    <n v="19"/>
    <n v="38"/>
    <n v="19"/>
    <m/>
    <m/>
    <m/>
    <n v="0"/>
    <n v="0"/>
    <n v="0"/>
    <n v="0"/>
    <n v="0"/>
    <n v="0"/>
    <n v="0"/>
    <n v="0"/>
    <n v="0"/>
    <n v="0"/>
    <n v="0"/>
    <n v="0"/>
    <n v="0"/>
    <n v="0"/>
    <x v="1"/>
    <n v="0"/>
    <s v="MMR001CMP047"/>
    <x v="0"/>
    <x v="1"/>
    <x v="1"/>
    <n v="0"/>
    <m/>
    <m/>
  </r>
  <r>
    <n v="31.133333333333333"/>
    <d v="2013-11-19T00:00:00"/>
    <x v="0"/>
    <s v="UNHCR"/>
    <s v="Kachin"/>
    <s v="Bhamo"/>
    <s v="Robert Church"/>
    <m/>
    <m/>
    <n v="40"/>
    <n v="38"/>
    <n v="20"/>
    <n v="38"/>
    <n v="20"/>
    <n v="20"/>
    <m/>
    <m/>
    <m/>
    <m/>
    <m/>
    <m/>
    <m/>
    <m/>
    <m/>
    <n v="0"/>
    <n v="0"/>
    <n v="0"/>
    <n v="0"/>
    <n v="0"/>
    <n v="0"/>
    <n v="0"/>
    <n v="0"/>
    <n v="0"/>
    <n v="0"/>
    <n v="0"/>
    <n v="0"/>
    <n v="0"/>
    <n v="0"/>
    <x v="0"/>
    <n v="0"/>
    <s v="MMR001CMP047"/>
    <x v="0"/>
    <x v="1"/>
    <x v="1"/>
    <n v="3.1796502384737677E-2"/>
    <s v="No"/>
    <m/>
  </r>
  <r>
    <n v="31.233333333333334"/>
    <d v="2013-11-16T00:00:00"/>
    <x v="0"/>
    <s v="UNHCR"/>
    <s v="Kachin"/>
    <s v="Bhamo"/>
    <s v="Robert Church"/>
    <m/>
    <m/>
    <m/>
    <m/>
    <n v="10"/>
    <m/>
    <m/>
    <m/>
    <m/>
    <m/>
    <m/>
    <m/>
    <m/>
    <m/>
    <m/>
    <m/>
    <m/>
    <n v="0"/>
    <n v="0"/>
    <n v="0"/>
    <n v="0"/>
    <n v="0"/>
    <n v="0"/>
    <n v="0"/>
    <n v="0"/>
    <n v="0"/>
    <n v="0"/>
    <n v="0"/>
    <n v="0"/>
    <n v="0"/>
    <n v="0"/>
    <x v="0"/>
    <n v="0"/>
    <s v="MMR001CMP047"/>
    <x v="0"/>
    <x v="1"/>
    <x v="1"/>
    <n v="0"/>
    <s v="No"/>
    <m/>
  </r>
  <r>
    <n v="31.733333333333334"/>
    <d v="2013-11-01T00:00:00"/>
    <x v="0"/>
    <s v="UNHCR"/>
    <s v="Kachin"/>
    <s v="Bhamo"/>
    <s v="Robert Church"/>
    <m/>
    <m/>
    <n v="40"/>
    <n v="48"/>
    <n v="20"/>
    <n v="48"/>
    <n v="20"/>
    <n v="20"/>
    <n v="500"/>
    <n v="500"/>
    <m/>
    <m/>
    <m/>
    <m/>
    <m/>
    <m/>
    <m/>
    <n v="0"/>
    <n v="0"/>
    <n v="0"/>
    <n v="0"/>
    <n v="0"/>
    <n v="0"/>
    <n v="0"/>
    <n v="0"/>
    <n v="0"/>
    <n v="0"/>
    <n v="0"/>
    <n v="0"/>
    <n v="0"/>
    <n v="0"/>
    <x v="0"/>
    <n v="0"/>
    <s v="MMR001CMP047"/>
    <x v="0"/>
    <x v="1"/>
    <x v="1"/>
    <n v="3.1796502384737677E-2"/>
    <s v="No"/>
    <m/>
  </r>
  <r>
    <n v="41.166666666666664"/>
    <d v="2013-01-22T00:00:00"/>
    <x v="5"/>
    <s v="Solidarities"/>
    <s v="Kachin"/>
    <s v="Bhamo"/>
    <s v="Robert Church"/>
    <n v="1824"/>
    <m/>
    <n v="2090"/>
    <m/>
    <m/>
    <m/>
    <m/>
    <m/>
    <n v="0"/>
    <n v="0"/>
    <m/>
    <m/>
    <m/>
    <m/>
    <m/>
    <m/>
    <m/>
    <n v="0"/>
    <n v="0"/>
    <n v="0"/>
    <n v="0"/>
    <n v="0"/>
    <n v="0"/>
    <n v="0"/>
    <n v="0"/>
    <n v="0"/>
    <n v="0"/>
    <n v="0"/>
    <n v="0"/>
    <n v="0"/>
    <n v="0"/>
    <x v="0"/>
    <n v="0"/>
    <s v="MMR001CMP047"/>
    <x v="0"/>
    <x v="1"/>
    <x v="1"/>
    <n v="0"/>
    <s v="No"/>
    <m/>
  </r>
  <r>
    <n v="42.233333333333334"/>
    <d v="2012-12-21T00:00:00"/>
    <x v="0"/>
    <s v="UNHCR"/>
    <s v="Kachin"/>
    <s v="Bhamo"/>
    <s v="Robert Church"/>
    <m/>
    <m/>
    <m/>
    <n v="0"/>
    <n v="0"/>
    <n v="73"/>
    <n v="0"/>
    <n v="0"/>
    <m/>
    <m/>
    <m/>
    <m/>
    <m/>
    <m/>
    <m/>
    <m/>
    <m/>
    <n v="0"/>
    <n v="0"/>
    <n v="0"/>
    <n v="0"/>
    <n v="0"/>
    <n v="0"/>
    <n v="0"/>
    <n v="0"/>
    <n v="0"/>
    <n v="0"/>
    <n v="0"/>
    <n v="0"/>
    <n v="0"/>
    <n v="0"/>
    <x v="0"/>
    <n v="0"/>
    <s v="MMR001CMP047"/>
    <x v="0"/>
    <x v="1"/>
    <x v="1"/>
    <n v="0"/>
    <s v="No"/>
    <m/>
  </r>
  <r>
    <n v="42.233333333333334"/>
    <d v="2012-12-21T00:00:00"/>
    <x v="0"/>
    <s v="UNHCR"/>
    <s v="Kachin"/>
    <s v="Bhamo"/>
    <s v="Robert Church"/>
    <m/>
    <m/>
    <m/>
    <n v="24"/>
    <n v="12"/>
    <n v="24"/>
    <n v="12"/>
    <n v="12"/>
    <n v="12"/>
    <n v="12"/>
    <m/>
    <m/>
    <m/>
    <m/>
    <m/>
    <m/>
    <m/>
    <n v="0"/>
    <n v="0"/>
    <n v="0"/>
    <n v="0"/>
    <n v="0"/>
    <n v="0"/>
    <n v="0"/>
    <n v="0"/>
    <n v="0"/>
    <n v="0"/>
    <n v="0"/>
    <n v="0"/>
    <n v="0"/>
    <n v="0"/>
    <x v="0"/>
    <n v="0"/>
    <s v="MMR001CMP047"/>
    <x v="0"/>
    <x v="1"/>
    <x v="1"/>
    <n v="1.9077901430842606E-2"/>
    <s v="No"/>
    <m/>
  </r>
  <r>
    <n v="46.56666666666667"/>
    <d v="2012-08-13T00:00:00"/>
    <x v="0"/>
    <s v="UNHCR "/>
    <s v="Kachin"/>
    <s v="Bhamo"/>
    <s v="Robert Church"/>
    <m/>
    <m/>
    <m/>
    <n v="310"/>
    <n v="151"/>
    <n v="310"/>
    <n v="151"/>
    <n v="151"/>
    <n v="151"/>
    <n v="151"/>
    <m/>
    <m/>
    <m/>
    <m/>
    <m/>
    <m/>
    <m/>
    <n v="0"/>
    <n v="0"/>
    <n v="0"/>
    <n v="0"/>
    <n v="0"/>
    <n v="0"/>
    <n v="0"/>
    <n v="0"/>
    <n v="0"/>
    <n v="0"/>
    <n v="0"/>
    <n v="0"/>
    <n v="0"/>
    <n v="0"/>
    <x v="0"/>
    <n v="0"/>
    <s v="MMR001CMP047"/>
    <x v="0"/>
    <x v="1"/>
    <x v="1"/>
    <n v="0.24006359300476948"/>
    <s v="No"/>
    <m/>
  </r>
  <r>
    <n v="49.033333333333331"/>
    <d v="2012-05-31T00:00:00"/>
    <x v="0"/>
    <s v="KBC"/>
    <s v="Kachin"/>
    <s v="Bhamo"/>
    <s v="Robert Church"/>
    <m/>
    <m/>
    <m/>
    <n v="0"/>
    <n v="20"/>
    <n v="0"/>
    <n v="0"/>
    <n v="0"/>
    <m/>
    <m/>
    <m/>
    <m/>
    <m/>
    <m/>
    <m/>
    <m/>
    <m/>
    <n v="0"/>
    <n v="0"/>
    <n v="0"/>
    <n v="0"/>
    <n v="0"/>
    <n v="0"/>
    <n v="0"/>
    <n v="0"/>
    <n v="0"/>
    <n v="0"/>
    <n v="0"/>
    <n v="0"/>
    <n v="0"/>
    <n v="0"/>
    <x v="0"/>
    <n v="0"/>
    <s v="MMR001CMP047"/>
    <x v="0"/>
    <x v="1"/>
    <x v="1"/>
    <n v="0"/>
    <s v="No"/>
    <m/>
  </r>
  <r>
    <n v="51.2"/>
    <d v="2012-03-27T00:00:00"/>
    <x v="0"/>
    <s v="UNHCR"/>
    <s v="Kachin"/>
    <s v="Bhamo"/>
    <s v="Robert Church"/>
    <m/>
    <m/>
    <m/>
    <n v="1000"/>
    <n v="500"/>
    <n v="1000"/>
    <n v="500"/>
    <n v="500"/>
    <n v="500"/>
    <n v="500"/>
    <m/>
    <m/>
    <m/>
    <m/>
    <m/>
    <m/>
    <m/>
    <n v="0"/>
    <n v="0"/>
    <n v="0"/>
    <n v="0"/>
    <n v="0"/>
    <n v="0"/>
    <n v="0"/>
    <n v="0"/>
    <n v="0"/>
    <n v="0"/>
    <n v="0"/>
    <n v="0"/>
    <n v="0"/>
    <n v="0"/>
    <x v="0"/>
    <n v="0"/>
    <s v="MMR001CMP047"/>
    <x v="0"/>
    <x v="1"/>
    <x v="1"/>
    <n v="0.79491255961844198"/>
    <s v="No"/>
    <m/>
  </r>
  <r>
    <n v="17.133333333333333"/>
    <d v="2015-01-13T00:00:00"/>
    <x v="1"/>
    <s v="MRCS"/>
    <s v="Kachin"/>
    <s v="Hpakant"/>
    <s v="Sai Nai Baptish Church, Maw Shan Vil., Seki Mu"/>
    <m/>
    <m/>
    <m/>
    <m/>
    <m/>
    <m/>
    <m/>
    <m/>
    <m/>
    <m/>
    <n v="34"/>
    <n v="9"/>
    <m/>
    <m/>
    <m/>
    <m/>
    <m/>
    <n v="0"/>
    <n v="0"/>
    <n v="0"/>
    <n v="0"/>
    <n v="0"/>
    <n v="0"/>
    <n v="0"/>
    <n v="0"/>
    <n v="0"/>
    <n v="0"/>
    <n v="0"/>
    <n v="0"/>
    <n v="0"/>
    <n v="0"/>
    <x v="1"/>
    <n v="0"/>
    <s v="MMR001CMP183"/>
    <x v="0"/>
    <x v="1"/>
    <x v="1"/>
    <n v="0"/>
    <m/>
    <m/>
  </r>
  <r>
    <n v="19.600000000000001"/>
    <d v="2014-10-31T00:00:00"/>
    <x v="0"/>
    <m/>
    <s v="Kachin"/>
    <s v="Hpakant"/>
    <s v="Sai Nai Baptish Church, Maw Shan Vil., Seki Mu"/>
    <m/>
    <m/>
    <n v="9"/>
    <n v="18"/>
    <n v="9"/>
    <n v="18"/>
    <n v="9"/>
    <m/>
    <n v="9"/>
    <n v="45"/>
    <m/>
    <m/>
    <m/>
    <m/>
    <m/>
    <m/>
    <m/>
    <n v="0"/>
    <n v="0"/>
    <n v="0"/>
    <n v="0"/>
    <n v="0"/>
    <n v="0"/>
    <n v="0"/>
    <n v="0"/>
    <n v="0"/>
    <n v="0"/>
    <n v="0"/>
    <n v="0"/>
    <n v="0"/>
    <n v="0"/>
    <x v="0"/>
    <n v="0"/>
    <s v="MMR001CMP183"/>
    <x v="0"/>
    <x v="1"/>
    <x v="1"/>
    <n v="1.125"/>
    <m/>
    <m/>
  </r>
  <r>
    <n v="17.133333333333333"/>
    <d v="2015-01-13T00:00:00"/>
    <x v="1"/>
    <s v="MRCS"/>
    <s v="Kachin"/>
    <s v="Chipwi"/>
    <s v="Saw Zam"/>
    <m/>
    <m/>
    <m/>
    <m/>
    <m/>
    <m/>
    <m/>
    <m/>
    <m/>
    <m/>
    <n v="111"/>
    <n v="56"/>
    <m/>
    <n v="58"/>
    <m/>
    <m/>
    <m/>
    <n v="0"/>
    <n v="0"/>
    <n v="0"/>
    <n v="0"/>
    <n v="0"/>
    <n v="0"/>
    <n v="0"/>
    <n v="0"/>
    <n v="0"/>
    <n v="0"/>
    <n v="0"/>
    <n v="0"/>
    <n v="0"/>
    <n v="0"/>
    <x v="1"/>
    <n v="0"/>
    <s v="MMR001CMP225"/>
    <x v="0"/>
    <x v="1"/>
    <x v="2"/>
    <n v="0"/>
    <m/>
    <m/>
  </r>
  <r>
    <n v="20.6"/>
    <d v="2014-10-01T00:00:00"/>
    <x v="0"/>
    <s v="KMSS"/>
    <s v="Kachin"/>
    <s v="Chipwi"/>
    <s v="Saw Zam"/>
    <m/>
    <m/>
    <m/>
    <n v="56"/>
    <m/>
    <m/>
    <m/>
    <m/>
    <m/>
    <m/>
    <m/>
    <m/>
    <m/>
    <n v="56"/>
    <m/>
    <m/>
    <m/>
    <n v="0"/>
    <n v="0"/>
    <n v="0"/>
    <n v="0"/>
    <n v="0"/>
    <n v="0"/>
    <n v="0"/>
    <n v="0"/>
    <n v="0"/>
    <n v="0"/>
    <n v="0"/>
    <n v="0"/>
    <n v="0"/>
    <n v="0"/>
    <x v="1"/>
    <n v="0"/>
    <s v="MMR001CMP225"/>
    <x v="0"/>
    <x v="1"/>
    <x v="2"/>
    <n v="0"/>
    <m/>
    <m/>
  </r>
  <r>
    <n v="27.966666666666665"/>
    <d v="2014-02-22T00:00:00"/>
    <x v="6"/>
    <s v="MRCS"/>
    <s v="Kachin"/>
    <s v="Chipwi"/>
    <s v="Saw Zam"/>
    <m/>
    <m/>
    <m/>
    <m/>
    <m/>
    <m/>
    <m/>
    <m/>
    <m/>
    <m/>
    <m/>
    <m/>
    <m/>
    <n v="58"/>
    <m/>
    <m/>
    <m/>
    <n v="0"/>
    <n v="0"/>
    <n v="0"/>
    <n v="0"/>
    <n v="0"/>
    <n v="0"/>
    <n v="0"/>
    <n v="0"/>
    <n v="0"/>
    <n v="0"/>
    <n v="0"/>
    <n v="0"/>
    <n v="0"/>
    <n v="0"/>
    <x v="1"/>
    <n v="0"/>
    <s v="MMR001CMP225"/>
    <x v="0"/>
    <x v="1"/>
    <x v="2"/>
    <n v="0"/>
    <m/>
    <m/>
  </r>
  <r>
    <n v="17.133333333333333"/>
    <d v="2015-01-13T00:00:00"/>
    <x v="1"/>
    <s v="MRCS"/>
    <s v="Kachin"/>
    <s v="Momauk"/>
    <s v="Seng Ja "/>
    <m/>
    <m/>
    <m/>
    <m/>
    <m/>
    <m/>
    <m/>
    <m/>
    <m/>
    <m/>
    <n v="155"/>
    <n v="73"/>
    <m/>
    <n v="96"/>
    <m/>
    <m/>
    <m/>
    <n v="0"/>
    <n v="0"/>
    <n v="0"/>
    <n v="0"/>
    <n v="0"/>
    <n v="0"/>
    <n v="0"/>
    <n v="0"/>
    <n v="0"/>
    <n v="0"/>
    <n v="0"/>
    <n v="0"/>
    <n v="0"/>
    <n v="0"/>
    <x v="1"/>
    <n v="0"/>
    <s v="MMR001CMP073"/>
    <x v="0"/>
    <x v="1"/>
    <x v="4"/>
    <n v="0"/>
    <m/>
    <m/>
  </r>
  <r>
    <n v="27.933333333333334"/>
    <d v="2014-02-23T00:00:00"/>
    <x v="6"/>
    <s v="MRCS"/>
    <s v="Kachin"/>
    <s v="Momauk"/>
    <s v="Seng Ja "/>
    <m/>
    <m/>
    <m/>
    <m/>
    <m/>
    <m/>
    <m/>
    <m/>
    <m/>
    <m/>
    <m/>
    <m/>
    <m/>
    <n v="376"/>
    <m/>
    <m/>
    <m/>
    <n v="0"/>
    <n v="0"/>
    <n v="0"/>
    <n v="0"/>
    <n v="0"/>
    <n v="0"/>
    <n v="0"/>
    <n v="0"/>
    <n v="0"/>
    <n v="0"/>
    <n v="0"/>
    <n v="0"/>
    <n v="0"/>
    <n v="0"/>
    <x v="1"/>
    <n v="0"/>
    <s v="MMR001CMP073"/>
    <x v="0"/>
    <x v="1"/>
    <x v="4"/>
    <n v="0"/>
    <m/>
    <m/>
  </r>
  <r>
    <n v="30.766666666666666"/>
    <d v="2013-11-30T00:00:00"/>
    <x v="5"/>
    <m/>
    <s v="Kachin"/>
    <s v="Momauk"/>
    <s v="Seng Ja "/>
    <m/>
    <m/>
    <m/>
    <m/>
    <m/>
    <m/>
    <m/>
    <m/>
    <m/>
    <n v="99"/>
    <m/>
    <m/>
    <m/>
    <m/>
    <m/>
    <m/>
    <m/>
    <n v="0"/>
    <n v="0"/>
    <n v="0"/>
    <n v="0"/>
    <n v="0"/>
    <n v="0"/>
    <n v="0"/>
    <n v="0"/>
    <n v="0"/>
    <n v="0"/>
    <n v="0"/>
    <n v="0"/>
    <n v="0"/>
    <n v="0"/>
    <x v="0"/>
    <n v="0"/>
    <s v="MMR001CMP073"/>
    <x v="0"/>
    <x v="1"/>
    <x v="4"/>
    <n v="0"/>
    <s v="No"/>
    <m/>
  </r>
  <r>
    <n v="31.3"/>
    <d v="2013-11-14T00:00:00"/>
    <x v="3"/>
    <m/>
    <s v="Kachin"/>
    <s v="Momauk"/>
    <s v="Seng Ja "/>
    <m/>
    <m/>
    <m/>
    <m/>
    <m/>
    <n v="110"/>
    <m/>
    <m/>
    <m/>
    <m/>
    <m/>
    <m/>
    <m/>
    <m/>
    <m/>
    <m/>
    <m/>
    <n v="0"/>
    <n v="0"/>
    <n v="0"/>
    <n v="0"/>
    <n v="0"/>
    <n v="0"/>
    <n v="0"/>
    <n v="0"/>
    <n v="0"/>
    <n v="0"/>
    <n v="0"/>
    <n v="0"/>
    <n v="0"/>
    <n v="0"/>
    <x v="0"/>
    <n v="0"/>
    <s v="MMR001CMP073"/>
    <x v="0"/>
    <x v="1"/>
    <x v="4"/>
    <n v="0"/>
    <s v="No"/>
    <m/>
  </r>
  <r>
    <n v="39.833333333333336"/>
    <d v="2013-03-03T00:00:00"/>
    <x v="5"/>
    <s v="Solidarities"/>
    <s v="Kachin"/>
    <s v="Momauk"/>
    <s v="Seng Ja "/>
    <n v="33"/>
    <m/>
    <m/>
    <m/>
    <m/>
    <m/>
    <m/>
    <m/>
    <n v="0"/>
    <n v="0"/>
    <m/>
    <m/>
    <m/>
    <m/>
    <m/>
    <m/>
    <m/>
    <n v="0"/>
    <n v="0"/>
    <n v="0"/>
    <n v="0"/>
    <n v="0"/>
    <n v="0"/>
    <n v="0"/>
    <n v="0"/>
    <n v="0"/>
    <n v="0"/>
    <n v="0"/>
    <n v="0"/>
    <n v="0"/>
    <n v="0"/>
    <x v="0"/>
    <n v="0"/>
    <s v="MMR001CMP073"/>
    <x v="0"/>
    <x v="1"/>
    <x v="4"/>
    <n v="0"/>
    <s v="No"/>
    <m/>
  </r>
  <r>
    <n v="44.6"/>
    <d v="2012-10-11T00:00:00"/>
    <x v="0"/>
    <s v="UNHCR"/>
    <s v="Kachin"/>
    <s v="Momauk"/>
    <s v="Seng Ja "/>
    <m/>
    <m/>
    <m/>
    <n v="28"/>
    <n v="17"/>
    <n v="28"/>
    <n v="17"/>
    <n v="17"/>
    <n v="17"/>
    <n v="17"/>
    <m/>
    <m/>
    <m/>
    <m/>
    <m/>
    <m/>
    <m/>
    <n v="0"/>
    <n v="0"/>
    <n v="0"/>
    <n v="0"/>
    <n v="0"/>
    <n v="0"/>
    <n v="0"/>
    <n v="0"/>
    <n v="0"/>
    <n v="0"/>
    <n v="0"/>
    <n v="0"/>
    <n v="0"/>
    <n v="0"/>
    <x v="0"/>
    <n v="0"/>
    <s v="MMR001CMP073"/>
    <x v="0"/>
    <x v="1"/>
    <x v="4"/>
    <n v="0.4358974358974359"/>
    <s v="No"/>
    <m/>
  </r>
  <r>
    <n v="45.8"/>
    <d v="2012-09-05T00:00:00"/>
    <x v="0"/>
    <s v="UNHCR"/>
    <s v="Kachin"/>
    <s v="Momauk"/>
    <s v="Seng Ja "/>
    <m/>
    <m/>
    <m/>
    <n v="26"/>
    <n v="11"/>
    <n v="26"/>
    <n v="11"/>
    <n v="11"/>
    <n v="11"/>
    <n v="11"/>
    <m/>
    <m/>
    <m/>
    <m/>
    <m/>
    <m/>
    <m/>
    <n v="0"/>
    <n v="0"/>
    <n v="0"/>
    <n v="0"/>
    <n v="0"/>
    <n v="0"/>
    <n v="0"/>
    <n v="0"/>
    <n v="0"/>
    <n v="0"/>
    <n v="0"/>
    <n v="0"/>
    <n v="0"/>
    <n v="0"/>
    <x v="0"/>
    <n v="0"/>
    <s v="MMR001CMP073"/>
    <x v="0"/>
    <x v="1"/>
    <x v="4"/>
    <n v="0.28205128205128205"/>
    <s v="No"/>
    <m/>
  </r>
  <r>
    <n v="51.133333333333333"/>
    <d v="2012-03-29T00:00:00"/>
    <x v="0"/>
    <s v="UNHCR"/>
    <s v="Kachin"/>
    <s v="Momauk"/>
    <s v="Seng Ja "/>
    <m/>
    <m/>
    <m/>
    <n v="66"/>
    <n v="66"/>
    <n v="0"/>
    <n v="0"/>
    <n v="0"/>
    <m/>
    <m/>
    <m/>
    <m/>
    <m/>
    <m/>
    <m/>
    <m/>
    <m/>
    <n v="0"/>
    <n v="0"/>
    <n v="0"/>
    <n v="0"/>
    <n v="0"/>
    <n v="0"/>
    <n v="0"/>
    <n v="0"/>
    <n v="0"/>
    <n v="0"/>
    <n v="0"/>
    <n v="0"/>
    <n v="0"/>
    <n v="0"/>
    <x v="0"/>
    <n v="0"/>
    <s v="MMR001CMP073"/>
    <x v="0"/>
    <x v="1"/>
    <x v="4"/>
    <n v="0"/>
    <s v="No"/>
    <m/>
  </r>
  <r>
    <n v="54.766666666666666"/>
    <d v="2011-12-11T00:00:00"/>
    <x v="0"/>
    <s v="Shan Community"/>
    <s v="Kachin"/>
    <s v="Myitkyina"/>
    <s v="Shan Ywar Monestary Camp"/>
    <m/>
    <m/>
    <m/>
    <n v="88"/>
    <n v="49"/>
    <n v="88"/>
    <n v="49"/>
    <n v="49"/>
    <n v="49"/>
    <n v="49"/>
    <m/>
    <m/>
    <m/>
    <m/>
    <m/>
    <m/>
    <m/>
    <n v="0"/>
    <n v="0"/>
    <n v="0"/>
    <n v="0"/>
    <n v="0"/>
    <n v="0"/>
    <n v="0"/>
    <n v="0"/>
    <n v="0"/>
    <n v="0"/>
    <n v="0"/>
    <n v="0"/>
    <n v="0"/>
    <n v="0"/>
    <x v="0"/>
    <n v="0"/>
    <s v=""/>
    <x v="1"/>
    <x v="2"/>
    <x v="0"/>
    <s v=""/>
    <s v="No"/>
    <m/>
  </r>
  <r>
    <n v="25.433333333333334"/>
    <d v="2014-05-09T00:00:00"/>
    <x v="6"/>
    <s v="MRCS"/>
    <s v="Kachin"/>
    <s v="Myitkyina"/>
    <s v="Shatapru Sut Ngai Tawng"/>
    <m/>
    <m/>
    <m/>
    <m/>
    <m/>
    <m/>
    <m/>
    <m/>
    <m/>
    <m/>
    <m/>
    <m/>
    <m/>
    <n v="208"/>
    <m/>
    <m/>
    <m/>
    <n v="0"/>
    <n v="0"/>
    <n v="0"/>
    <n v="0"/>
    <n v="0"/>
    <n v="0"/>
    <n v="0"/>
    <n v="0"/>
    <n v="0"/>
    <n v="0"/>
    <n v="0"/>
    <n v="0"/>
    <n v="0"/>
    <n v="0"/>
    <x v="1"/>
    <n v="0"/>
    <s v="MMR001CMP006"/>
    <x v="0"/>
    <x v="1"/>
    <x v="1"/>
    <n v="0"/>
    <m/>
    <m/>
  </r>
  <r>
    <n v="35.06666666666667"/>
    <d v="2013-07-24T00:00:00"/>
    <x v="0"/>
    <s v="KBC"/>
    <s v="Kachin"/>
    <s v="Myitkyina"/>
    <s v="Shatapru Sut Ngai Tawng"/>
    <m/>
    <m/>
    <n v="21"/>
    <n v="36"/>
    <n v="16"/>
    <n v="36"/>
    <n v="16"/>
    <n v="16"/>
    <n v="16"/>
    <n v="16"/>
    <m/>
    <m/>
    <m/>
    <m/>
    <m/>
    <m/>
    <m/>
    <n v="0"/>
    <n v="0"/>
    <n v="0"/>
    <n v="0"/>
    <n v="0"/>
    <n v="0"/>
    <n v="0"/>
    <n v="0"/>
    <n v="0"/>
    <n v="0"/>
    <n v="0"/>
    <n v="0"/>
    <n v="0"/>
    <n v="0"/>
    <x v="0"/>
    <n v="0"/>
    <s v="MMR001CMP006"/>
    <x v="0"/>
    <x v="1"/>
    <x v="1"/>
    <n v="0.17777777777777778"/>
    <s v="No"/>
    <m/>
  </r>
  <r>
    <n v="40.56666666666667"/>
    <d v="2013-02-09T00:00:00"/>
    <x v="2"/>
    <s v="MRCS"/>
    <s v="Kachin"/>
    <s v="Myitkyina"/>
    <s v="Shatapru Sut Ngai Tawng"/>
    <m/>
    <m/>
    <m/>
    <m/>
    <n v="109"/>
    <n v="10"/>
    <n v="10"/>
    <m/>
    <n v="0"/>
    <n v="0"/>
    <m/>
    <m/>
    <m/>
    <m/>
    <m/>
    <m/>
    <m/>
    <n v="0"/>
    <n v="0"/>
    <n v="0"/>
    <n v="0"/>
    <n v="0"/>
    <n v="0"/>
    <n v="0"/>
    <n v="0"/>
    <n v="0"/>
    <n v="0"/>
    <n v="0"/>
    <n v="0"/>
    <n v="0"/>
    <n v="0"/>
    <x v="0"/>
    <n v="0"/>
    <s v="MMR001CMP006"/>
    <x v="0"/>
    <x v="1"/>
    <x v="1"/>
    <n v="0.1111111111111111"/>
    <s v="No"/>
    <m/>
  </r>
  <r>
    <n v="40.700000000000003"/>
    <d v="2013-02-05T00:00:00"/>
    <x v="2"/>
    <s v="MRCS"/>
    <s v="Kachin"/>
    <s v="Myitkyina"/>
    <s v="Shatapru Sut Ngai Tawng"/>
    <n v="36"/>
    <m/>
    <m/>
    <m/>
    <m/>
    <m/>
    <m/>
    <m/>
    <n v="0"/>
    <n v="0"/>
    <m/>
    <m/>
    <m/>
    <m/>
    <m/>
    <m/>
    <m/>
    <n v="0"/>
    <n v="0"/>
    <n v="0"/>
    <n v="0"/>
    <n v="0"/>
    <n v="0"/>
    <n v="0"/>
    <n v="0"/>
    <n v="0"/>
    <n v="0"/>
    <n v="0"/>
    <n v="0"/>
    <n v="0"/>
    <n v="0"/>
    <x v="0"/>
    <n v="0"/>
    <s v="MMR001CMP006"/>
    <x v="0"/>
    <x v="1"/>
    <x v="1"/>
    <n v="0"/>
    <s v="No"/>
    <m/>
  </r>
  <r>
    <n v="54.766666666666666"/>
    <d v="2011-12-11T00:00:00"/>
    <x v="0"/>
    <s v="KBC"/>
    <s v="Kachin"/>
    <s v="Myitkyina"/>
    <s v="Shatapru Sut Ngai Tawng"/>
    <m/>
    <m/>
    <m/>
    <n v="2"/>
    <n v="2"/>
    <n v="2"/>
    <n v="2"/>
    <n v="2"/>
    <n v="2"/>
    <n v="2"/>
    <m/>
    <m/>
    <m/>
    <m/>
    <m/>
    <m/>
    <m/>
    <n v="0"/>
    <n v="0"/>
    <n v="0"/>
    <n v="0"/>
    <n v="0"/>
    <n v="0"/>
    <n v="0"/>
    <n v="0"/>
    <n v="0"/>
    <n v="0"/>
    <n v="0"/>
    <n v="0"/>
    <n v="0"/>
    <n v="0"/>
    <x v="0"/>
    <n v="0"/>
    <s v="MMR001CMP006"/>
    <x v="0"/>
    <x v="1"/>
    <x v="1"/>
    <n v="2.2222222222222223E-2"/>
    <s v="No"/>
    <m/>
  </r>
  <r>
    <n v="56.06666666666667"/>
    <d v="2011-11-02T00:00:00"/>
    <x v="0"/>
    <s v="KBC"/>
    <s v="Kachin"/>
    <s v="Myitkyina"/>
    <s v="Shatapru Sut Ngai Tawng"/>
    <m/>
    <m/>
    <m/>
    <n v="219"/>
    <n v="117"/>
    <n v="219"/>
    <n v="117"/>
    <n v="117"/>
    <n v="117"/>
    <n v="117"/>
    <m/>
    <m/>
    <m/>
    <m/>
    <m/>
    <m/>
    <m/>
    <n v="0"/>
    <n v="0"/>
    <n v="0"/>
    <n v="0"/>
    <n v="0"/>
    <n v="0"/>
    <n v="0"/>
    <n v="0"/>
    <n v="0"/>
    <n v="0"/>
    <n v="0"/>
    <n v="0"/>
    <n v="0"/>
    <n v="0"/>
    <x v="0"/>
    <n v="0"/>
    <s v="MMR001CMP006"/>
    <x v="0"/>
    <x v="1"/>
    <x v="1"/>
    <n v="1.3"/>
    <s v="No"/>
    <m/>
  </r>
  <r>
    <n v="20.6"/>
    <d v="2014-10-01T00:00:00"/>
    <x v="0"/>
    <s v="Shalom"/>
    <s v="Kachin"/>
    <s v="Myitkyina"/>
    <s v="Shatapru Thida Aye Baptist Church"/>
    <m/>
    <m/>
    <m/>
    <n v="30"/>
    <m/>
    <m/>
    <m/>
    <m/>
    <m/>
    <m/>
    <m/>
    <m/>
    <m/>
    <m/>
    <m/>
    <m/>
    <m/>
    <n v="0"/>
    <n v="0"/>
    <n v="0"/>
    <n v="0"/>
    <n v="0"/>
    <n v="0"/>
    <n v="0"/>
    <n v="0"/>
    <n v="0"/>
    <n v="0"/>
    <n v="0"/>
    <n v="0"/>
    <n v="0"/>
    <n v="0"/>
    <x v="0"/>
    <n v="0"/>
    <s v="MMR001CMP007"/>
    <x v="0"/>
    <x v="1"/>
    <x v="1"/>
    <n v="0"/>
    <m/>
    <m/>
  </r>
  <r>
    <n v="25.033333333333335"/>
    <d v="2014-05-21T00:00:00"/>
    <x v="6"/>
    <s v="MRCS"/>
    <s v="Kachin"/>
    <s v="Myitkyina"/>
    <s v="Shatapru Thida Aye Baptist Church"/>
    <m/>
    <m/>
    <m/>
    <m/>
    <m/>
    <m/>
    <m/>
    <m/>
    <m/>
    <m/>
    <m/>
    <m/>
    <m/>
    <n v="30"/>
    <m/>
    <m/>
    <m/>
    <n v="0"/>
    <n v="0"/>
    <n v="0"/>
    <n v="0"/>
    <n v="0"/>
    <n v="0"/>
    <n v="0"/>
    <n v="0"/>
    <n v="0"/>
    <n v="0"/>
    <n v="0"/>
    <n v="0"/>
    <n v="0"/>
    <n v="0"/>
    <x v="1"/>
    <n v="0"/>
    <s v="MMR001CMP007"/>
    <x v="0"/>
    <x v="1"/>
    <x v="1"/>
    <n v="0"/>
    <m/>
    <m/>
  </r>
  <r>
    <n v="41.9"/>
    <d v="2012-12-31T00:00:00"/>
    <x v="3"/>
    <s v="DRC"/>
    <s v="Kachin"/>
    <s v="Myitkyina"/>
    <s v="Shatapru Thida Aye Baptist Church"/>
    <n v="17"/>
    <m/>
    <m/>
    <m/>
    <m/>
    <m/>
    <m/>
    <m/>
    <n v="0"/>
    <n v="0"/>
    <m/>
    <m/>
    <m/>
    <m/>
    <m/>
    <m/>
    <m/>
    <n v="0"/>
    <n v="0"/>
    <n v="0"/>
    <n v="0"/>
    <n v="0"/>
    <n v="0"/>
    <n v="0"/>
    <n v="0"/>
    <n v="0"/>
    <n v="0"/>
    <n v="0"/>
    <n v="0"/>
    <n v="0"/>
    <n v="0"/>
    <x v="0"/>
    <n v="0"/>
    <s v="MMR001CMP007"/>
    <x v="0"/>
    <x v="1"/>
    <x v="1"/>
    <n v="0"/>
    <s v="No"/>
    <m/>
  </r>
  <r>
    <n v="47.266666666666666"/>
    <d v="2012-07-23T00:00:00"/>
    <x v="0"/>
    <s v="UNHCR"/>
    <s v="Kachin"/>
    <s v="Myitkyina"/>
    <s v="Shatapru Thida Aye Baptist Church"/>
    <m/>
    <m/>
    <m/>
    <n v="30"/>
    <n v="12"/>
    <n v="30"/>
    <n v="12"/>
    <n v="14"/>
    <n v="14"/>
    <n v="14"/>
    <m/>
    <m/>
    <m/>
    <m/>
    <m/>
    <m/>
    <m/>
    <n v="0"/>
    <n v="0"/>
    <n v="0"/>
    <n v="0"/>
    <n v="0"/>
    <n v="0"/>
    <n v="0"/>
    <n v="0"/>
    <n v="0"/>
    <n v="0"/>
    <n v="0"/>
    <n v="0"/>
    <n v="0"/>
    <n v="0"/>
    <x v="0"/>
    <n v="0"/>
    <s v="MMR001CMP007"/>
    <x v="0"/>
    <x v="1"/>
    <x v="1"/>
    <n v="0.54545454545454541"/>
    <s v="No"/>
    <m/>
  </r>
  <r>
    <n v="47.466666666666669"/>
    <d v="2012-07-17T00:00:00"/>
    <x v="0"/>
    <s v="UNHCR"/>
    <s v="Kachin"/>
    <s v="Myitkyina"/>
    <s v="Shatapru Thida Aye Baptist Church"/>
    <m/>
    <m/>
    <m/>
    <n v="3"/>
    <n v="3"/>
    <n v="3"/>
    <n v="3"/>
    <n v="3"/>
    <n v="3"/>
    <n v="3"/>
    <m/>
    <m/>
    <m/>
    <m/>
    <m/>
    <m/>
    <m/>
    <n v="0"/>
    <n v="0"/>
    <n v="0"/>
    <n v="0"/>
    <n v="0"/>
    <n v="0"/>
    <n v="0"/>
    <n v="0"/>
    <n v="0"/>
    <n v="0"/>
    <n v="0"/>
    <n v="0"/>
    <n v="0"/>
    <n v="0"/>
    <x v="0"/>
    <n v="0"/>
    <s v="MMR001CMP007"/>
    <x v="0"/>
    <x v="1"/>
    <x v="1"/>
    <n v="0.13636363636363635"/>
    <s v="No"/>
    <m/>
  </r>
  <r>
    <n v="56.06666666666667"/>
    <d v="2011-11-02T00:00:00"/>
    <x v="0"/>
    <s v="KBC"/>
    <s v="Kachin"/>
    <s v="Myitkyina"/>
    <s v="Shatapru Thida Aye Baptist Church"/>
    <m/>
    <m/>
    <m/>
    <n v="2"/>
    <n v="1"/>
    <n v="2"/>
    <n v="1"/>
    <n v="1"/>
    <n v="1"/>
    <n v="1"/>
    <m/>
    <m/>
    <m/>
    <m/>
    <m/>
    <m/>
    <m/>
    <n v="0"/>
    <n v="0"/>
    <n v="0"/>
    <n v="0"/>
    <n v="0"/>
    <n v="0"/>
    <n v="0"/>
    <n v="0"/>
    <n v="0"/>
    <n v="0"/>
    <n v="0"/>
    <n v="0"/>
    <n v="0"/>
    <n v="0"/>
    <x v="0"/>
    <n v="0"/>
    <s v="MMR001CMP007"/>
    <x v="0"/>
    <x v="1"/>
    <x v="1"/>
    <n v="4.5454545454545456E-2"/>
    <s v="No"/>
    <m/>
  </r>
  <r>
    <n v="17.533333333333335"/>
    <d v="2015-01-01T00:00:00"/>
    <x v="0"/>
    <s v="KBC"/>
    <s v="Kachin"/>
    <s v="Waingmaw"/>
    <s v="Shing Jai"/>
    <m/>
    <m/>
    <m/>
    <m/>
    <m/>
    <m/>
    <n v="50"/>
    <m/>
    <m/>
    <m/>
    <m/>
    <m/>
    <m/>
    <m/>
    <m/>
    <m/>
    <n v="90"/>
    <n v="0"/>
    <n v="0"/>
    <n v="0"/>
    <n v="0"/>
    <n v="0"/>
    <n v="0"/>
    <n v="0"/>
    <n v="0"/>
    <n v="0"/>
    <n v="0"/>
    <n v="0"/>
    <n v="0"/>
    <n v="0"/>
    <n v="0"/>
    <x v="0"/>
    <n v="0"/>
    <s v="MMR001CMP041"/>
    <x v="0"/>
    <x v="1"/>
    <x v="2"/>
    <n v="0.27932960893854747"/>
    <s v="No"/>
    <m/>
  </r>
  <r>
    <n v="17.600000000000001"/>
    <d v="2014-12-30T00:00:00"/>
    <x v="0"/>
    <s v="KBC"/>
    <s v="Kachin"/>
    <s v="Waingmaw"/>
    <s v="Shing Jai"/>
    <m/>
    <m/>
    <n v="120"/>
    <n v="240"/>
    <n v="135"/>
    <n v="240"/>
    <n v="170"/>
    <n v="120"/>
    <n v="120"/>
    <n v="600"/>
    <m/>
    <m/>
    <m/>
    <m/>
    <m/>
    <m/>
    <m/>
    <n v="0"/>
    <n v="0"/>
    <n v="0"/>
    <n v="0"/>
    <n v="0"/>
    <n v="0"/>
    <n v="0"/>
    <n v="0"/>
    <n v="0"/>
    <n v="0"/>
    <n v="0"/>
    <n v="0"/>
    <n v="0"/>
    <n v="0"/>
    <x v="0"/>
    <n v="0"/>
    <s v="MMR001CMP041"/>
    <x v="0"/>
    <x v="1"/>
    <x v="2"/>
    <n v="0.94972067039106145"/>
    <m/>
    <m/>
  </r>
  <r>
    <n v="21.6"/>
    <d v="2014-09-01T00:00:00"/>
    <x v="10"/>
    <m/>
    <s v="Kachin"/>
    <s v="Waingmaw"/>
    <s v="Shing Jai"/>
    <m/>
    <m/>
    <m/>
    <m/>
    <m/>
    <m/>
    <m/>
    <m/>
    <m/>
    <m/>
    <m/>
    <n v="288"/>
    <m/>
    <m/>
    <m/>
    <m/>
    <m/>
    <n v="0"/>
    <n v="0"/>
    <n v="0"/>
    <n v="0"/>
    <n v="0"/>
    <n v="0"/>
    <n v="0"/>
    <n v="0"/>
    <n v="0"/>
    <n v="0"/>
    <n v="0"/>
    <n v="0"/>
    <n v="0"/>
    <n v="0"/>
    <x v="1"/>
    <n v="0"/>
    <s v="MMR001CMP041"/>
    <x v="0"/>
    <x v="1"/>
    <x v="2"/>
    <n v="0"/>
    <m/>
    <m/>
  </r>
  <r>
    <n v="28.9"/>
    <d v="2014-01-25T00:00:00"/>
    <x v="10"/>
    <s v="KBC"/>
    <s v="Kachin"/>
    <s v="Waingmaw"/>
    <s v="Shing Jai"/>
    <m/>
    <m/>
    <m/>
    <m/>
    <m/>
    <n v="198"/>
    <n v="198"/>
    <n v="198"/>
    <m/>
    <n v="198"/>
    <m/>
    <m/>
    <m/>
    <m/>
    <m/>
    <m/>
    <m/>
    <n v="0"/>
    <n v="0"/>
    <n v="0"/>
    <n v="0"/>
    <n v="0"/>
    <n v="0"/>
    <n v="0"/>
    <n v="0"/>
    <n v="0"/>
    <n v="0"/>
    <n v="0"/>
    <n v="0"/>
    <n v="0"/>
    <n v="0"/>
    <x v="0"/>
    <n v="0"/>
    <s v="MMR001CMP041"/>
    <x v="0"/>
    <x v="1"/>
    <x v="2"/>
    <n v="1.1061452513966481"/>
    <s v="No"/>
    <m/>
  </r>
  <r>
    <n v="30.2"/>
    <d v="2013-12-17T00:00:00"/>
    <x v="5"/>
    <s v="KBC"/>
    <s v="Kachin"/>
    <s v="Waingmaw"/>
    <s v="Shing Jai"/>
    <m/>
    <m/>
    <m/>
    <m/>
    <m/>
    <m/>
    <m/>
    <m/>
    <m/>
    <m/>
    <n v="188"/>
    <n v="343"/>
    <n v="1062"/>
    <n v="531"/>
    <m/>
    <m/>
    <m/>
    <n v="0"/>
    <n v="0"/>
    <n v="0"/>
    <n v="0"/>
    <n v="0"/>
    <n v="0"/>
    <n v="0"/>
    <n v="0"/>
    <n v="0"/>
    <n v="0"/>
    <n v="0"/>
    <n v="0"/>
    <n v="0"/>
    <n v="0"/>
    <x v="1"/>
    <n v="0"/>
    <s v="MMR001CMP041"/>
    <x v="0"/>
    <x v="1"/>
    <x v="2"/>
    <n v="0"/>
    <m/>
    <m/>
  </r>
  <r>
    <n v="30.766666666666666"/>
    <d v="2013-11-30T00:00:00"/>
    <x v="5"/>
    <s v="KBC"/>
    <s v="Kachin"/>
    <s v="Waingmaw"/>
    <s v="Shing Jai"/>
    <m/>
    <m/>
    <m/>
    <m/>
    <m/>
    <m/>
    <m/>
    <m/>
    <m/>
    <m/>
    <m/>
    <m/>
    <m/>
    <m/>
    <m/>
    <m/>
    <m/>
    <n v="0"/>
    <n v="0"/>
    <n v="0"/>
    <n v="0"/>
    <n v="0"/>
    <n v="0"/>
    <n v="0"/>
    <n v="0"/>
    <n v="0"/>
    <n v="0"/>
    <n v="0"/>
    <n v="0"/>
    <n v="0"/>
    <n v="0"/>
    <x v="0"/>
    <n v="0"/>
    <s v="MMR001CMP041"/>
    <x v="0"/>
    <x v="1"/>
    <x v="2"/>
    <n v="0"/>
    <s v="No"/>
    <m/>
  </r>
  <r>
    <n v="40.866666666666667"/>
    <d v="2013-01-31T00:00:00"/>
    <x v="7"/>
    <s v="World Vision"/>
    <s v="Kachin"/>
    <s v="Waingmaw"/>
    <s v="Shing Jai"/>
    <m/>
    <m/>
    <m/>
    <m/>
    <m/>
    <n v="358"/>
    <m/>
    <m/>
    <n v="0"/>
    <n v="0"/>
    <m/>
    <m/>
    <m/>
    <m/>
    <m/>
    <m/>
    <m/>
    <n v="0"/>
    <n v="0"/>
    <n v="0"/>
    <n v="0"/>
    <n v="0"/>
    <n v="0"/>
    <n v="0"/>
    <n v="0"/>
    <n v="0"/>
    <n v="0"/>
    <n v="0"/>
    <n v="0"/>
    <n v="0"/>
    <n v="0"/>
    <x v="0"/>
    <n v="0"/>
    <s v="MMR001CMP041"/>
    <x v="0"/>
    <x v="1"/>
    <x v="2"/>
    <n v="0"/>
    <s v="No"/>
    <m/>
  </r>
  <r>
    <n v="53.733333333333334"/>
    <d v="2012-01-11T00:00:00"/>
    <x v="0"/>
    <s v="KBC"/>
    <s v="Kachin"/>
    <s v="Waingmaw"/>
    <s v="Shing Jai"/>
    <m/>
    <m/>
    <m/>
    <n v="536"/>
    <n v="268"/>
    <n v="536"/>
    <n v="268"/>
    <n v="268"/>
    <n v="268"/>
    <n v="268"/>
    <m/>
    <m/>
    <m/>
    <m/>
    <m/>
    <m/>
    <m/>
    <n v="0"/>
    <n v="0"/>
    <n v="0"/>
    <n v="0"/>
    <n v="0"/>
    <n v="0"/>
    <n v="0"/>
    <n v="0"/>
    <n v="0"/>
    <n v="0"/>
    <n v="0"/>
    <n v="0"/>
    <n v="0"/>
    <n v="0"/>
    <x v="0"/>
    <n v="0"/>
    <s v="MMR001CMP041"/>
    <x v="0"/>
    <x v="1"/>
    <x v="2"/>
    <n v="1.4972067039106145"/>
    <s v="No"/>
    <m/>
  </r>
  <r>
    <n v="6.5333333333333332"/>
    <d v="2015-11-27T00:00:00"/>
    <x v="0"/>
    <s v="KBC"/>
    <s v="Kachin"/>
    <s v="Shwegu"/>
    <s v="Shwe Gu (MyoHla)"/>
    <m/>
    <m/>
    <m/>
    <m/>
    <n v="9"/>
    <n v="23"/>
    <n v="10"/>
    <m/>
    <n v="8"/>
    <n v="24"/>
    <m/>
    <m/>
    <m/>
    <m/>
    <n v="6"/>
    <m/>
    <m/>
    <n v="0"/>
    <n v="0"/>
    <n v="0"/>
    <n v="0"/>
    <n v="9"/>
    <n v="23"/>
    <n v="10"/>
    <n v="0"/>
    <n v="8"/>
    <n v="60"/>
    <n v="0"/>
    <n v="0"/>
    <n v="0"/>
    <n v="0"/>
    <x v="0"/>
    <n v="6"/>
    <s v=""/>
    <x v="1"/>
    <x v="2"/>
    <x v="0"/>
    <s v=""/>
    <s v="No"/>
    <m/>
  </r>
  <r>
    <n v="6.6"/>
    <d v="2015-11-25T00:00:00"/>
    <x v="0"/>
    <s v="KBC"/>
    <s v="Kachin"/>
    <s v="Shwegu"/>
    <s v="Shwe Gu Baptist Church"/>
    <m/>
    <m/>
    <m/>
    <m/>
    <n v="4"/>
    <n v="16"/>
    <n v="4"/>
    <m/>
    <n v="4"/>
    <n v="23"/>
    <m/>
    <m/>
    <m/>
    <m/>
    <n v="7"/>
    <m/>
    <m/>
    <n v="0"/>
    <n v="0"/>
    <n v="0"/>
    <n v="0"/>
    <n v="4"/>
    <n v="16"/>
    <n v="4"/>
    <n v="0"/>
    <n v="4"/>
    <n v="57.5"/>
    <n v="0"/>
    <n v="0"/>
    <n v="0"/>
    <n v="0"/>
    <x v="0"/>
    <n v="7"/>
    <s v="MMR001CMP067"/>
    <x v="0"/>
    <x v="1"/>
    <x v="1"/>
    <n v="4.6511627906976744E-2"/>
    <s v="No"/>
    <m/>
  </r>
  <r>
    <n v="24.2"/>
    <d v="2014-06-15T00:00:00"/>
    <x v="6"/>
    <s v="MRCS"/>
    <s v="Kachin"/>
    <s v="Shwegu"/>
    <s v="Shwe Gu Baptist Church"/>
    <m/>
    <m/>
    <m/>
    <m/>
    <m/>
    <m/>
    <m/>
    <m/>
    <m/>
    <m/>
    <m/>
    <m/>
    <m/>
    <n v="158"/>
    <m/>
    <m/>
    <m/>
    <n v="0"/>
    <n v="0"/>
    <n v="0"/>
    <n v="0"/>
    <n v="0"/>
    <n v="0"/>
    <n v="0"/>
    <n v="0"/>
    <n v="0"/>
    <n v="0"/>
    <n v="0"/>
    <n v="0"/>
    <n v="0"/>
    <n v="0"/>
    <x v="1"/>
    <n v="0"/>
    <s v="MMR001CMP067"/>
    <x v="0"/>
    <x v="1"/>
    <x v="1"/>
    <n v="0"/>
    <m/>
    <m/>
  </r>
  <r>
    <n v="30.766666666666666"/>
    <d v="2013-11-30T00:00:00"/>
    <x v="4"/>
    <s v="MDCG"/>
    <s v="Kachin"/>
    <s v="Shwegu"/>
    <s v="Shwe Gu Baptist Church"/>
    <m/>
    <m/>
    <m/>
    <m/>
    <m/>
    <n v="197"/>
    <m/>
    <m/>
    <m/>
    <m/>
    <n v="226"/>
    <n v="68"/>
    <n v="0"/>
    <m/>
    <m/>
    <m/>
    <m/>
    <n v="0"/>
    <n v="0"/>
    <n v="0"/>
    <n v="0"/>
    <n v="0"/>
    <n v="0"/>
    <n v="0"/>
    <n v="0"/>
    <n v="0"/>
    <n v="0"/>
    <n v="0"/>
    <n v="0"/>
    <n v="0"/>
    <n v="0"/>
    <x v="1"/>
    <n v="0"/>
    <s v="MMR001CMP067"/>
    <x v="0"/>
    <x v="1"/>
    <x v="1"/>
    <n v="0"/>
    <s v="No"/>
    <m/>
  </r>
  <r>
    <n v="30.766666666666666"/>
    <d v="2013-11-30T00:00:00"/>
    <x v="5"/>
    <m/>
    <s v="Kachin"/>
    <s v="Shwegu"/>
    <s v="Shwe Gu Baptist Church"/>
    <m/>
    <m/>
    <m/>
    <m/>
    <m/>
    <m/>
    <m/>
    <m/>
    <m/>
    <n v="204"/>
    <m/>
    <m/>
    <m/>
    <m/>
    <m/>
    <m/>
    <m/>
    <n v="0"/>
    <n v="0"/>
    <n v="0"/>
    <n v="0"/>
    <n v="0"/>
    <n v="0"/>
    <n v="0"/>
    <n v="0"/>
    <n v="0"/>
    <n v="0"/>
    <n v="0"/>
    <n v="0"/>
    <n v="0"/>
    <n v="0"/>
    <x v="0"/>
    <n v="0"/>
    <s v="MMR001CMP067"/>
    <x v="0"/>
    <x v="1"/>
    <x v="1"/>
    <n v="0"/>
    <s v="No"/>
    <m/>
  </r>
  <r>
    <n v="40.9"/>
    <d v="2013-01-30T00:00:00"/>
    <x v="5"/>
    <s v="Solidarities"/>
    <s v="Kachin"/>
    <s v="Shwegu"/>
    <s v="Shwe Gu Baptist Church"/>
    <n v="272"/>
    <m/>
    <n v="280"/>
    <m/>
    <m/>
    <m/>
    <m/>
    <m/>
    <n v="0"/>
    <n v="0"/>
    <m/>
    <m/>
    <m/>
    <m/>
    <m/>
    <m/>
    <m/>
    <n v="0"/>
    <n v="0"/>
    <n v="0"/>
    <n v="0"/>
    <n v="0"/>
    <n v="0"/>
    <n v="0"/>
    <n v="0"/>
    <n v="0"/>
    <n v="0"/>
    <n v="0"/>
    <n v="0"/>
    <n v="0"/>
    <n v="0"/>
    <x v="0"/>
    <n v="0"/>
    <s v="MMR001CMP067"/>
    <x v="0"/>
    <x v="1"/>
    <x v="1"/>
    <n v="0"/>
    <s v="No"/>
    <m/>
  </r>
  <r>
    <n v="42.233333333333334"/>
    <d v="2012-12-21T00:00:00"/>
    <x v="0"/>
    <s v="UNHCR"/>
    <s v="Kachin"/>
    <s v="Shwegu"/>
    <s v="Shwe Gu Baptist Church"/>
    <m/>
    <m/>
    <m/>
    <n v="0"/>
    <n v="0"/>
    <n v="83"/>
    <n v="0"/>
    <n v="0"/>
    <m/>
    <m/>
    <m/>
    <m/>
    <m/>
    <m/>
    <m/>
    <m/>
    <m/>
    <n v="0"/>
    <n v="0"/>
    <n v="0"/>
    <n v="0"/>
    <n v="0"/>
    <n v="0"/>
    <n v="0"/>
    <n v="0"/>
    <n v="0"/>
    <n v="0"/>
    <n v="0"/>
    <n v="0"/>
    <n v="0"/>
    <n v="0"/>
    <x v="0"/>
    <n v="0"/>
    <s v="MMR001CMP067"/>
    <x v="0"/>
    <x v="1"/>
    <x v="1"/>
    <n v="0"/>
    <s v="No"/>
    <m/>
  </r>
  <r>
    <n v="49.7"/>
    <d v="2012-05-11T00:00:00"/>
    <x v="0"/>
    <s v="KBSS"/>
    <s v="Kachin"/>
    <s v="Shwegu"/>
    <s v="Shwe Gu Baptist Church"/>
    <m/>
    <m/>
    <m/>
    <n v="38"/>
    <n v="23"/>
    <n v="38"/>
    <n v="23"/>
    <n v="23"/>
    <n v="23"/>
    <n v="23"/>
    <m/>
    <m/>
    <m/>
    <m/>
    <m/>
    <m/>
    <m/>
    <n v="0"/>
    <n v="0"/>
    <n v="0"/>
    <n v="0"/>
    <n v="0"/>
    <n v="0"/>
    <n v="0"/>
    <n v="0"/>
    <n v="0"/>
    <n v="0"/>
    <n v="0"/>
    <n v="0"/>
    <n v="0"/>
    <n v="0"/>
    <x v="0"/>
    <n v="0"/>
    <s v="MMR001CMP067"/>
    <x v="0"/>
    <x v="1"/>
    <x v="1"/>
    <n v="0.26744186046511625"/>
    <s v="No"/>
    <m/>
  </r>
  <r>
    <n v="50.733333333333334"/>
    <d v="2012-04-10T00:00:00"/>
    <x v="0"/>
    <s v="KBSS"/>
    <s v="Kachin"/>
    <s v="Shwegu"/>
    <s v="Shwe Gu Baptist Church"/>
    <m/>
    <m/>
    <m/>
    <n v="46"/>
    <n v="27"/>
    <n v="46"/>
    <n v="27"/>
    <n v="27"/>
    <n v="27"/>
    <n v="27"/>
    <m/>
    <m/>
    <m/>
    <m/>
    <m/>
    <m/>
    <m/>
    <n v="0"/>
    <n v="0"/>
    <n v="0"/>
    <n v="0"/>
    <n v="0"/>
    <n v="0"/>
    <n v="0"/>
    <n v="0"/>
    <n v="0"/>
    <n v="0"/>
    <n v="0"/>
    <n v="0"/>
    <n v="0"/>
    <n v="0"/>
    <x v="0"/>
    <n v="0"/>
    <s v="MMR001CMP067"/>
    <x v="0"/>
    <x v="1"/>
    <x v="1"/>
    <n v="0.31395348837209303"/>
    <s v="No"/>
    <m/>
  </r>
  <r>
    <n v="6.6"/>
    <d v="2015-11-25T00:00:00"/>
    <x v="0"/>
    <s v="KBC"/>
    <s v="Kachin"/>
    <s v="Shwegu"/>
    <s v="Shwe Gu Catholic Church"/>
    <m/>
    <m/>
    <m/>
    <m/>
    <n v="4"/>
    <n v="12"/>
    <n v="3"/>
    <m/>
    <n v="4"/>
    <n v="14"/>
    <m/>
    <m/>
    <m/>
    <m/>
    <n v="4"/>
    <m/>
    <m/>
    <n v="0"/>
    <n v="0"/>
    <n v="0"/>
    <n v="0"/>
    <n v="4"/>
    <n v="12"/>
    <n v="3"/>
    <n v="0"/>
    <n v="4"/>
    <n v="35"/>
    <n v="0"/>
    <n v="0"/>
    <n v="0"/>
    <n v="0"/>
    <x v="0"/>
    <n v="4"/>
    <s v="MMR001CMP068"/>
    <x v="0"/>
    <x v="1"/>
    <x v="1"/>
    <n v="7.3170731707317069E-2"/>
    <s v="No"/>
    <m/>
  </r>
  <r>
    <n v="24.2"/>
    <d v="2014-06-15T00:00:00"/>
    <x v="6"/>
    <s v="MRCS"/>
    <s v="Kachin"/>
    <s v="Shwegu"/>
    <s v="Shwe Gu Catholic Church"/>
    <m/>
    <m/>
    <m/>
    <m/>
    <m/>
    <m/>
    <m/>
    <m/>
    <m/>
    <m/>
    <m/>
    <m/>
    <m/>
    <n v="112"/>
    <m/>
    <m/>
    <m/>
    <n v="0"/>
    <n v="0"/>
    <n v="0"/>
    <n v="0"/>
    <n v="0"/>
    <n v="0"/>
    <n v="0"/>
    <n v="0"/>
    <n v="0"/>
    <n v="0"/>
    <n v="0"/>
    <n v="0"/>
    <n v="0"/>
    <n v="0"/>
    <x v="1"/>
    <n v="0"/>
    <s v="MMR001CMP068"/>
    <x v="0"/>
    <x v="1"/>
    <x v="1"/>
    <n v="0"/>
    <m/>
    <m/>
  </r>
  <r>
    <n v="30.766666666666666"/>
    <d v="2013-11-30T00:00:00"/>
    <x v="4"/>
    <s v="MDCG"/>
    <s v="Kachin"/>
    <s v="Shwegu"/>
    <s v="Shwe Gu Catholic Church"/>
    <m/>
    <m/>
    <m/>
    <m/>
    <m/>
    <n v="142"/>
    <m/>
    <m/>
    <m/>
    <m/>
    <n v="182"/>
    <n v="60"/>
    <n v="0"/>
    <m/>
    <m/>
    <m/>
    <m/>
    <n v="0"/>
    <n v="0"/>
    <n v="0"/>
    <n v="0"/>
    <n v="0"/>
    <n v="0"/>
    <n v="0"/>
    <n v="0"/>
    <n v="0"/>
    <n v="0"/>
    <n v="0"/>
    <n v="0"/>
    <n v="0"/>
    <n v="0"/>
    <x v="1"/>
    <n v="0"/>
    <s v="MMR001CMP068"/>
    <x v="0"/>
    <x v="1"/>
    <x v="1"/>
    <n v="0"/>
    <s v="No"/>
    <m/>
  </r>
  <r>
    <n v="30.766666666666666"/>
    <d v="2013-11-30T00:00:00"/>
    <x v="5"/>
    <m/>
    <s v="Kachin"/>
    <s v="Shwegu"/>
    <s v="Shwe Gu Catholic Church"/>
    <m/>
    <m/>
    <m/>
    <m/>
    <m/>
    <m/>
    <m/>
    <m/>
    <m/>
    <n v="126"/>
    <m/>
    <m/>
    <m/>
    <m/>
    <m/>
    <m/>
    <m/>
    <n v="0"/>
    <n v="0"/>
    <n v="0"/>
    <n v="0"/>
    <n v="0"/>
    <n v="0"/>
    <n v="0"/>
    <n v="0"/>
    <n v="0"/>
    <n v="0"/>
    <n v="0"/>
    <n v="0"/>
    <n v="0"/>
    <n v="0"/>
    <x v="0"/>
    <n v="0"/>
    <s v="MMR001CMP068"/>
    <x v="0"/>
    <x v="1"/>
    <x v="1"/>
    <n v="0"/>
    <s v="No"/>
    <m/>
  </r>
  <r>
    <n v="40.93333333333333"/>
    <d v="2013-01-29T00:00:00"/>
    <x v="5"/>
    <s v="Solidarities"/>
    <s v="Kachin"/>
    <s v="Shwegu"/>
    <s v="Shwe Gu Catholic Church"/>
    <n v="177"/>
    <m/>
    <n v="240"/>
    <m/>
    <m/>
    <m/>
    <m/>
    <m/>
    <n v="0"/>
    <n v="0"/>
    <m/>
    <m/>
    <m/>
    <m/>
    <m/>
    <m/>
    <m/>
    <n v="0"/>
    <n v="0"/>
    <n v="0"/>
    <n v="0"/>
    <n v="0"/>
    <n v="0"/>
    <n v="0"/>
    <n v="0"/>
    <n v="0"/>
    <n v="0"/>
    <n v="0"/>
    <n v="0"/>
    <n v="0"/>
    <n v="0"/>
    <x v="0"/>
    <n v="0"/>
    <s v="MMR001CMP068"/>
    <x v="0"/>
    <x v="1"/>
    <x v="1"/>
    <n v="0"/>
    <s v="No"/>
    <m/>
  </r>
  <r>
    <n v="49.7"/>
    <d v="2012-05-11T00:00:00"/>
    <x v="0"/>
    <s v="KBSS"/>
    <s v="Kachin"/>
    <s v="Shwegu"/>
    <s v="Shwe Gu Catholic Church"/>
    <m/>
    <m/>
    <m/>
    <n v="37"/>
    <n v="22"/>
    <n v="37"/>
    <n v="22"/>
    <n v="22"/>
    <n v="22"/>
    <n v="22"/>
    <m/>
    <m/>
    <m/>
    <m/>
    <m/>
    <m/>
    <m/>
    <n v="0"/>
    <n v="0"/>
    <n v="0"/>
    <n v="0"/>
    <n v="0"/>
    <n v="0"/>
    <n v="0"/>
    <n v="0"/>
    <n v="0"/>
    <n v="0"/>
    <n v="0"/>
    <n v="0"/>
    <n v="0"/>
    <n v="0"/>
    <x v="0"/>
    <n v="0"/>
    <s v="MMR001CMP068"/>
    <x v="0"/>
    <x v="1"/>
    <x v="1"/>
    <n v="0.53658536585365857"/>
    <s v="No"/>
    <m/>
  </r>
  <r>
    <n v="50.733333333333334"/>
    <d v="2012-04-10T00:00:00"/>
    <x v="0"/>
    <s v="KBSS"/>
    <s v="Kachin"/>
    <s v="Shwegu"/>
    <s v="Shwe Gu Catholic Church"/>
    <m/>
    <m/>
    <m/>
    <n v="43"/>
    <n v="25"/>
    <n v="43"/>
    <n v="25"/>
    <n v="25"/>
    <n v="25"/>
    <n v="25"/>
    <m/>
    <m/>
    <m/>
    <m/>
    <m/>
    <m/>
    <m/>
    <n v="0"/>
    <n v="0"/>
    <n v="0"/>
    <n v="0"/>
    <n v="0"/>
    <n v="0"/>
    <n v="0"/>
    <n v="0"/>
    <n v="0"/>
    <n v="0"/>
    <n v="0"/>
    <n v="0"/>
    <n v="0"/>
    <n v="0"/>
    <x v="0"/>
    <n v="0"/>
    <s v="MMR001CMP068"/>
    <x v="0"/>
    <x v="1"/>
    <x v="1"/>
    <n v="0.6097560975609756"/>
    <s v="No"/>
    <m/>
  </r>
  <r>
    <n v="25.333333333333332"/>
    <d v="2014-05-12T00:00:00"/>
    <x v="6"/>
    <s v="MRCS"/>
    <s v="Kachin"/>
    <s v="Myitkyina"/>
    <s v="Shwe Zet Baptist Church"/>
    <m/>
    <m/>
    <m/>
    <m/>
    <m/>
    <m/>
    <m/>
    <m/>
    <m/>
    <m/>
    <m/>
    <m/>
    <m/>
    <n v="168"/>
    <m/>
    <m/>
    <m/>
    <n v="0"/>
    <n v="0"/>
    <n v="0"/>
    <n v="0"/>
    <n v="0"/>
    <n v="0"/>
    <n v="0"/>
    <n v="0"/>
    <n v="0"/>
    <n v="0"/>
    <n v="0"/>
    <n v="0"/>
    <n v="0"/>
    <n v="0"/>
    <x v="1"/>
    <n v="0"/>
    <s v="MMR001CMP009"/>
    <x v="0"/>
    <x v="1"/>
    <x v="1"/>
    <n v="0"/>
    <m/>
    <m/>
  </r>
  <r>
    <n v="42.333333333333336"/>
    <d v="2012-12-18T00:00:00"/>
    <x v="0"/>
    <s v="UNHCR"/>
    <s v="Kachin"/>
    <s v="Myitkyina"/>
    <s v="Shwe Zet Baptist Church"/>
    <m/>
    <m/>
    <m/>
    <n v="30"/>
    <n v="20"/>
    <n v="30"/>
    <n v="20"/>
    <n v="20"/>
    <n v="20"/>
    <n v="20"/>
    <m/>
    <m/>
    <m/>
    <m/>
    <m/>
    <m/>
    <m/>
    <n v="0"/>
    <n v="0"/>
    <n v="0"/>
    <n v="0"/>
    <n v="0"/>
    <n v="0"/>
    <n v="0"/>
    <n v="0"/>
    <n v="0"/>
    <n v="0"/>
    <n v="0"/>
    <n v="0"/>
    <n v="0"/>
    <n v="0"/>
    <x v="0"/>
    <n v="0"/>
    <s v="MMR001CMP009"/>
    <x v="0"/>
    <x v="1"/>
    <x v="1"/>
    <n v="0.21978021978021978"/>
    <s v="No"/>
    <m/>
  </r>
  <r>
    <n v="49.233333333333334"/>
    <d v="2012-05-25T00:00:00"/>
    <x v="0"/>
    <s v="UNHCR"/>
    <s v="Kachin"/>
    <s v="Myitkyina"/>
    <s v="Shwe Zet Baptist Church"/>
    <m/>
    <m/>
    <m/>
    <n v="0"/>
    <n v="25"/>
    <n v="0"/>
    <n v="0"/>
    <n v="0"/>
    <m/>
    <m/>
    <m/>
    <m/>
    <m/>
    <m/>
    <m/>
    <m/>
    <m/>
    <n v="0"/>
    <n v="0"/>
    <n v="0"/>
    <n v="0"/>
    <n v="0"/>
    <n v="0"/>
    <n v="0"/>
    <n v="0"/>
    <n v="0"/>
    <n v="0"/>
    <n v="0"/>
    <n v="0"/>
    <n v="0"/>
    <n v="0"/>
    <x v="0"/>
    <n v="0"/>
    <s v="MMR001CMP009"/>
    <x v="0"/>
    <x v="1"/>
    <x v="1"/>
    <n v="0"/>
    <s v="No"/>
    <m/>
  </r>
  <r>
    <n v="55"/>
    <d v="2011-12-04T00:00:00"/>
    <x v="0"/>
    <s v="KBC"/>
    <s v="Kachin"/>
    <s v="Myitkyina"/>
    <s v="Shwe Zet Baptist Church"/>
    <m/>
    <m/>
    <m/>
    <n v="52"/>
    <n v="27"/>
    <n v="52"/>
    <n v="27"/>
    <n v="27"/>
    <n v="27"/>
    <n v="27"/>
    <m/>
    <m/>
    <m/>
    <m/>
    <m/>
    <m/>
    <m/>
    <n v="0"/>
    <n v="0"/>
    <n v="0"/>
    <n v="0"/>
    <n v="0"/>
    <n v="0"/>
    <n v="0"/>
    <n v="0"/>
    <n v="0"/>
    <n v="0"/>
    <n v="0"/>
    <n v="0"/>
    <n v="0"/>
    <n v="0"/>
    <x v="0"/>
    <n v="0"/>
    <s v="MMR001CMP009"/>
    <x v="0"/>
    <x v="1"/>
    <x v="1"/>
    <n v="0.2967032967032967"/>
    <s v="No"/>
    <m/>
  </r>
  <r>
    <n v="55.6"/>
    <d v="2011-11-16T00:00:00"/>
    <x v="0"/>
    <s v="KBC"/>
    <s v="Kachin"/>
    <s v="Myitkyina"/>
    <s v="Shwe Zet Baptist Church"/>
    <m/>
    <m/>
    <m/>
    <n v="63"/>
    <n v="30"/>
    <n v="63"/>
    <n v="30"/>
    <n v="30"/>
    <n v="30"/>
    <n v="30"/>
    <m/>
    <m/>
    <m/>
    <m/>
    <m/>
    <m/>
    <m/>
    <n v="0"/>
    <n v="0"/>
    <n v="0"/>
    <n v="0"/>
    <n v="0"/>
    <n v="0"/>
    <n v="0"/>
    <n v="0"/>
    <n v="0"/>
    <n v="0"/>
    <n v="0"/>
    <n v="0"/>
    <n v="0"/>
    <n v="0"/>
    <x v="0"/>
    <n v="0"/>
    <s v="MMR001CMP009"/>
    <x v="0"/>
    <x v="1"/>
    <x v="1"/>
    <n v="0.32967032967032966"/>
    <s v="No"/>
    <m/>
  </r>
  <r>
    <n v="56.033333333333331"/>
    <d v="2011-11-03T00:00:00"/>
    <x v="0"/>
    <s v="KMSS"/>
    <s v="Kachin"/>
    <s v="Myitkyina"/>
    <s v="Shwe Zet Baptist Church"/>
    <m/>
    <m/>
    <m/>
    <n v="18"/>
    <n v="8"/>
    <n v="18"/>
    <n v="8"/>
    <n v="8"/>
    <n v="8"/>
    <n v="8"/>
    <m/>
    <m/>
    <m/>
    <m/>
    <m/>
    <m/>
    <m/>
    <n v="0"/>
    <n v="0"/>
    <n v="0"/>
    <n v="0"/>
    <n v="0"/>
    <n v="0"/>
    <n v="0"/>
    <n v="0"/>
    <n v="0"/>
    <n v="0"/>
    <n v="0"/>
    <n v="0"/>
    <n v="0"/>
    <n v="0"/>
    <x v="0"/>
    <n v="0"/>
    <s v="MMR001CMP009"/>
    <x v="0"/>
    <x v="1"/>
    <x v="1"/>
    <n v="8.7912087912087919E-2"/>
    <s v="No"/>
    <m/>
  </r>
  <r>
    <n v="20.6"/>
    <d v="2014-10-01T00:00:00"/>
    <x v="0"/>
    <s v="KMSS"/>
    <s v="Kachin"/>
    <s v="Mohnyin"/>
    <s v="St. Patrick Catholic Church "/>
    <m/>
    <m/>
    <m/>
    <n v="24"/>
    <m/>
    <m/>
    <m/>
    <m/>
    <m/>
    <m/>
    <m/>
    <m/>
    <m/>
    <m/>
    <m/>
    <m/>
    <m/>
    <n v="0"/>
    <n v="0"/>
    <n v="0"/>
    <n v="0"/>
    <n v="0"/>
    <n v="0"/>
    <n v="0"/>
    <n v="0"/>
    <n v="0"/>
    <n v="0"/>
    <n v="0"/>
    <n v="0"/>
    <n v="0"/>
    <n v="0"/>
    <x v="0"/>
    <n v="0"/>
    <s v="MMR001CMP080"/>
    <x v="0"/>
    <x v="1"/>
    <x v="1"/>
    <n v="0"/>
    <m/>
    <m/>
  </r>
  <r>
    <n v="24.5"/>
    <d v="2014-06-06T00:00:00"/>
    <x v="6"/>
    <s v="MRCS"/>
    <s v="Kachin"/>
    <s v="Mohnyin"/>
    <s v="St. Patrick Catholic Church "/>
    <m/>
    <m/>
    <m/>
    <m/>
    <m/>
    <m/>
    <m/>
    <m/>
    <m/>
    <m/>
    <m/>
    <m/>
    <m/>
    <n v="24"/>
    <m/>
    <m/>
    <m/>
    <n v="0"/>
    <n v="0"/>
    <n v="0"/>
    <n v="0"/>
    <n v="0"/>
    <n v="0"/>
    <n v="0"/>
    <n v="0"/>
    <n v="0"/>
    <n v="0"/>
    <n v="0"/>
    <n v="0"/>
    <n v="0"/>
    <n v="0"/>
    <x v="1"/>
    <n v="0"/>
    <s v="MMR001CMP080"/>
    <x v="0"/>
    <x v="1"/>
    <x v="1"/>
    <n v="0"/>
    <m/>
    <m/>
  </r>
  <r>
    <n v="40.533333333333331"/>
    <d v="2013-02-10T00:00:00"/>
    <x v="2"/>
    <s v="MRCS"/>
    <s v="Kachin"/>
    <s v="Mohnyin"/>
    <s v="St. Patrick Catholic Church "/>
    <m/>
    <m/>
    <m/>
    <m/>
    <n v="20"/>
    <m/>
    <n v="12"/>
    <m/>
    <n v="0"/>
    <n v="0"/>
    <m/>
    <m/>
    <m/>
    <m/>
    <m/>
    <m/>
    <m/>
    <n v="0"/>
    <n v="0"/>
    <n v="0"/>
    <n v="0"/>
    <n v="0"/>
    <n v="0"/>
    <n v="0"/>
    <n v="0"/>
    <n v="0"/>
    <n v="0"/>
    <n v="0"/>
    <n v="0"/>
    <n v="0"/>
    <n v="0"/>
    <x v="0"/>
    <n v="0"/>
    <s v="MMR001CMP080"/>
    <x v="0"/>
    <x v="1"/>
    <x v="1"/>
    <n v="1"/>
    <s v="No"/>
    <m/>
  </r>
  <r>
    <n v="47.133333333333333"/>
    <d v="2012-07-27T00:00:00"/>
    <x v="0"/>
    <s v="UNHCR"/>
    <s v="Kachin"/>
    <s v="Mohnyin"/>
    <s v="St. Patrick Catholic Church "/>
    <m/>
    <m/>
    <m/>
    <n v="0"/>
    <n v="8"/>
    <n v="0"/>
    <n v="8"/>
    <n v="8"/>
    <n v="8"/>
    <n v="8"/>
    <m/>
    <m/>
    <m/>
    <m/>
    <m/>
    <m/>
    <m/>
    <n v="0"/>
    <n v="0"/>
    <n v="0"/>
    <n v="0"/>
    <n v="0"/>
    <n v="0"/>
    <n v="0"/>
    <n v="0"/>
    <n v="0"/>
    <n v="0"/>
    <n v="0"/>
    <n v="0"/>
    <n v="0"/>
    <n v="0"/>
    <x v="0"/>
    <n v="0"/>
    <s v="MMR001CMP080"/>
    <x v="0"/>
    <x v="1"/>
    <x v="1"/>
    <n v="0.66666666666666663"/>
    <s v="No"/>
    <m/>
  </r>
  <r>
    <n v="10.833333333333334"/>
    <d v="2015-07-21T00:00:00"/>
    <x v="0"/>
    <s v="KBC"/>
    <s v="Kachin"/>
    <s v="Sumprabum"/>
    <s v="Sumprabum"/>
    <m/>
    <m/>
    <m/>
    <m/>
    <n v="250"/>
    <m/>
    <m/>
    <m/>
    <m/>
    <m/>
    <m/>
    <m/>
    <m/>
    <m/>
    <m/>
    <m/>
    <m/>
    <n v="0"/>
    <n v="0"/>
    <n v="0"/>
    <n v="0"/>
    <n v="250"/>
    <n v="0"/>
    <n v="0"/>
    <n v="0"/>
    <n v="0"/>
    <n v="0"/>
    <n v="0"/>
    <n v="0"/>
    <n v="0"/>
    <n v="0"/>
    <x v="0"/>
    <n v="0"/>
    <s v="MMR001CMP206"/>
    <x v="0"/>
    <x v="1"/>
    <x v="1"/>
    <n v="0"/>
    <s v="No"/>
    <s v="Updated on 2/Dec/2015. Data source: mail by Win Aung Htun_x000a_Updated on 11/Nov/2015. Added jerry can data. Data source: mail by Win Aung Htun_x000a_Updated on 29/Sep/2015. _x000a_Data Source: Lu Lu Awng and Win Aung Tun"/>
  </r>
  <r>
    <n v="17.133333333333333"/>
    <d v="2015-01-13T00:00:00"/>
    <x v="1"/>
    <s v="MRCS"/>
    <s v="Kachin"/>
    <s v="Sumprabum"/>
    <s v="Sumprabum"/>
    <m/>
    <m/>
    <m/>
    <m/>
    <m/>
    <m/>
    <m/>
    <m/>
    <m/>
    <m/>
    <n v="91"/>
    <n v="32"/>
    <m/>
    <n v="36"/>
    <m/>
    <m/>
    <m/>
    <n v="0"/>
    <n v="0"/>
    <n v="0"/>
    <n v="0"/>
    <n v="0"/>
    <n v="0"/>
    <n v="0"/>
    <n v="0"/>
    <n v="0"/>
    <n v="0"/>
    <n v="0"/>
    <n v="0"/>
    <n v="0"/>
    <n v="0"/>
    <x v="1"/>
    <n v="0"/>
    <s v="MMR001CMP206"/>
    <x v="0"/>
    <x v="1"/>
    <x v="1"/>
    <n v="0"/>
    <m/>
    <m/>
  </r>
  <r>
    <n v="27.966666666666665"/>
    <d v="2014-02-22T00:00:00"/>
    <x v="6"/>
    <s v="MRCS"/>
    <s v="Kachin"/>
    <s v="Sumprabum"/>
    <s v="Sumprabum"/>
    <m/>
    <m/>
    <m/>
    <m/>
    <m/>
    <m/>
    <m/>
    <m/>
    <m/>
    <m/>
    <m/>
    <m/>
    <m/>
    <n v="16"/>
    <m/>
    <m/>
    <m/>
    <n v="0"/>
    <n v="0"/>
    <n v="0"/>
    <n v="0"/>
    <n v="0"/>
    <n v="0"/>
    <n v="0"/>
    <n v="0"/>
    <n v="0"/>
    <n v="0"/>
    <n v="0"/>
    <n v="0"/>
    <n v="0"/>
    <n v="0"/>
    <x v="1"/>
    <n v="0"/>
    <s v="MMR001CMP206"/>
    <x v="0"/>
    <x v="1"/>
    <x v="1"/>
    <n v="0"/>
    <m/>
    <m/>
  </r>
  <r>
    <n v="38.966666666666669"/>
    <d v="2013-03-29T00:00:00"/>
    <x v="2"/>
    <s v="MRCS"/>
    <s v="Kachin"/>
    <s v="Sumprabum"/>
    <s v="Sumprabum"/>
    <m/>
    <m/>
    <n v="6"/>
    <m/>
    <m/>
    <m/>
    <n v="6"/>
    <m/>
    <n v="0"/>
    <n v="0"/>
    <m/>
    <m/>
    <m/>
    <m/>
    <m/>
    <m/>
    <m/>
    <n v="0"/>
    <n v="0"/>
    <n v="0"/>
    <n v="0"/>
    <n v="0"/>
    <n v="0"/>
    <n v="0"/>
    <n v="0"/>
    <n v="0"/>
    <n v="0"/>
    <n v="0"/>
    <n v="0"/>
    <n v="0"/>
    <n v="0"/>
    <x v="0"/>
    <n v="0"/>
    <s v="MMR001CMP206"/>
    <x v="0"/>
    <x v="1"/>
    <x v="1"/>
    <n v="1.2"/>
    <s v="No"/>
    <m/>
  </r>
  <r>
    <n v="25.2"/>
    <d v="2014-05-16T00:00:00"/>
    <x v="0"/>
    <s v="UNHCR"/>
    <s v="Kachin"/>
    <s v="Bhamo"/>
    <s v="Ta Gun Taing Monastery (Shwe Kyi Na)"/>
    <m/>
    <m/>
    <m/>
    <n v="24"/>
    <n v="13"/>
    <n v="24"/>
    <n v="13"/>
    <n v="13"/>
    <n v="13"/>
    <n v="33"/>
    <m/>
    <m/>
    <m/>
    <m/>
    <m/>
    <m/>
    <m/>
    <n v="0"/>
    <n v="0"/>
    <n v="0"/>
    <n v="0"/>
    <n v="0"/>
    <n v="0"/>
    <n v="0"/>
    <n v="0"/>
    <n v="0"/>
    <n v="0"/>
    <n v="0"/>
    <n v="0"/>
    <n v="0"/>
    <n v="0"/>
    <x v="0"/>
    <n v="0"/>
    <s v="MMR001CMP055"/>
    <x v="0"/>
    <x v="1"/>
    <x v="1"/>
    <n v="0.61904761904761907"/>
    <s v="No"/>
    <m/>
  </r>
  <r>
    <n v="25.266666666666666"/>
    <d v="2014-05-14T00:00:00"/>
    <x v="0"/>
    <s v="UNHCR"/>
    <s v="Kachin"/>
    <s v="Bhamo"/>
    <s v="Ta Gun Taing Monastery (Shwe Kyi Na)"/>
    <m/>
    <m/>
    <n v="17"/>
    <n v="108"/>
    <n v="36"/>
    <n v="108"/>
    <n v="36"/>
    <n v="36"/>
    <n v="36"/>
    <n v="142"/>
    <m/>
    <m/>
    <m/>
    <m/>
    <m/>
    <m/>
    <m/>
    <n v="0"/>
    <n v="0"/>
    <n v="0"/>
    <n v="0"/>
    <n v="0"/>
    <n v="0"/>
    <n v="0"/>
    <n v="0"/>
    <n v="0"/>
    <n v="0"/>
    <n v="0"/>
    <n v="0"/>
    <n v="0"/>
    <n v="0"/>
    <x v="0"/>
    <n v="0"/>
    <s v="MMR001CMP055"/>
    <x v="0"/>
    <x v="1"/>
    <x v="1"/>
    <n v="1.7142857142857142"/>
    <s v="No"/>
    <m/>
  </r>
  <r>
    <n v="26.433333333333334"/>
    <d v="2014-04-09T00:00:00"/>
    <x v="6"/>
    <s v="MRCS"/>
    <s v="Kachin"/>
    <s v="Bhamo"/>
    <s v="Ta Gun Taing Monastery (Shwe Kyi Na)"/>
    <m/>
    <m/>
    <m/>
    <m/>
    <m/>
    <m/>
    <m/>
    <m/>
    <m/>
    <m/>
    <m/>
    <m/>
    <m/>
    <n v="122"/>
    <m/>
    <m/>
    <m/>
    <n v="0"/>
    <n v="0"/>
    <n v="0"/>
    <n v="0"/>
    <n v="0"/>
    <n v="0"/>
    <n v="0"/>
    <n v="0"/>
    <n v="0"/>
    <n v="0"/>
    <n v="0"/>
    <n v="0"/>
    <n v="0"/>
    <n v="0"/>
    <x v="1"/>
    <n v="0"/>
    <s v="MMR001CMP055"/>
    <x v="0"/>
    <x v="1"/>
    <x v="1"/>
    <n v="0"/>
    <m/>
    <m/>
  </r>
  <r>
    <n v="30.766666666666666"/>
    <d v="2013-11-30T00:00:00"/>
    <x v="4"/>
    <s v="MDCG"/>
    <s v="Kachin"/>
    <s v="Bhamo"/>
    <s v="Ta Gun Taing Monastery (Shwe Kyi Na)"/>
    <m/>
    <m/>
    <m/>
    <m/>
    <m/>
    <n v="135"/>
    <m/>
    <m/>
    <m/>
    <m/>
    <n v="68"/>
    <n v="61"/>
    <n v="0"/>
    <m/>
    <m/>
    <m/>
    <m/>
    <n v="0"/>
    <n v="0"/>
    <n v="0"/>
    <n v="0"/>
    <n v="0"/>
    <n v="0"/>
    <n v="0"/>
    <n v="0"/>
    <n v="0"/>
    <n v="0"/>
    <n v="0"/>
    <n v="0"/>
    <n v="0"/>
    <n v="0"/>
    <x v="1"/>
    <n v="0"/>
    <s v="MMR001CMP055"/>
    <x v="0"/>
    <x v="1"/>
    <x v="1"/>
    <n v="0"/>
    <s v="No"/>
    <m/>
  </r>
  <r>
    <n v="30.766666666666666"/>
    <d v="2013-11-30T00:00:00"/>
    <x v="5"/>
    <m/>
    <s v="Kachin"/>
    <s v="Bhamo"/>
    <s v="Ta Gun Taing Monastery (Shwe Kyi Na)"/>
    <m/>
    <m/>
    <m/>
    <m/>
    <m/>
    <m/>
    <m/>
    <m/>
    <m/>
    <m/>
    <m/>
    <m/>
    <m/>
    <m/>
    <m/>
    <m/>
    <m/>
    <n v="0"/>
    <n v="0"/>
    <n v="0"/>
    <n v="0"/>
    <n v="0"/>
    <n v="0"/>
    <n v="0"/>
    <n v="0"/>
    <n v="0"/>
    <n v="0"/>
    <n v="0"/>
    <n v="0"/>
    <n v="0"/>
    <n v="0"/>
    <x v="0"/>
    <n v="0"/>
    <s v="MMR001CMP055"/>
    <x v="0"/>
    <x v="1"/>
    <x v="1"/>
    <n v="0"/>
    <s v="No"/>
    <m/>
  </r>
  <r>
    <n v="31.533333333333335"/>
    <d v="2013-11-07T00:00:00"/>
    <x v="5"/>
    <s v="Solidarities"/>
    <s v="Kachin"/>
    <s v="Bhamo"/>
    <s v="Ta Gun Taing Monastery (Shwe Kyi Na)"/>
    <m/>
    <m/>
    <m/>
    <m/>
    <m/>
    <m/>
    <m/>
    <m/>
    <m/>
    <m/>
    <n v="64"/>
    <n v="118"/>
    <n v="364"/>
    <n v="182"/>
    <m/>
    <m/>
    <m/>
    <n v="0"/>
    <n v="0"/>
    <n v="0"/>
    <n v="0"/>
    <n v="0"/>
    <n v="0"/>
    <n v="0"/>
    <n v="0"/>
    <n v="0"/>
    <n v="0"/>
    <n v="0"/>
    <n v="0"/>
    <n v="0"/>
    <n v="0"/>
    <x v="1"/>
    <n v="0"/>
    <s v="MMR001CMP055"/>
    <x v="0"/>
    <x v="1"/>
    <x v="1"/>
    <n v="0"/>
    <m/>
    <m/>
  </r>
  <r>
    <n v="47.866666666666667"/>
    <d v="2012-07-05T00:00:00"/>
    <x v="0"/>
    <s v="UNHCR"/>
    <s v="Kachin"/>
    <s v="Bhamo"/>
    <s v="Ta Gun Taing Monastery (Shwe Kyi Na)"/>
    <m/>
    <m/>
    <m/>
    <n v="36"/>
    <n v="14"/>
    <n v="36"/>
    <n v="14"/>
    <n v="14"/>
    <n v="14"/>
    <n v="14"/>
    <m/>
    <m/>
    <m/>
    <m/>
    <m/>
    <m/>
    <m/>
    <n v="0"/>
    <n v="0"/>
    <n v="0"/>
    <n v="0"/>
    <n v="0"/>
    <n v="0"/>
    <n v="0"/>
    <n v="0"/>
    <n v="0"/>
    <n v="0"/>
    <n v="0"/>
    <n v="0"/>
    <n v="0"/>
    <n v="0"/>
    <x v="0"/>
    <n v="0"/>
    <s v="MMR001CMP055"/>
    <x v="0"/>
    <x v="1"/>
    <x v="1"/>
    <n v="0.66666666666666663"/>
    <s v="No"/>
    <m/>
  </r>
  <r>
    <n v="24.8"/>
    <d v="2014-05-28T00:00:00"/>
    <x v="6"/>
    <s v="MRCS"/>
    <s v="Kachin"/>
    <s v="Myitkyina"/>
    <s v="Tat Kone Baptist Church"/>
    <m/>
    <m/>
    <m/>
    <m/>
    <m/>
    <m/>
    <m/>
    <m/>
    <m/>
    <m/>
    <m/>
    <m/>
    <m/>
    <n v="120"/>
    <m/>
    <m/>
    <m/>
    <n v="0"/>
    <n v="0"/>
    <n v="0"/>
    <n v="0"/>
    <n v="0"/>
    <n v="0"/>
    <n v="0"/>
    <n v="0"/>
    <n v="0"/>
    <n v="0"/>
    <n v="0"/>
    <n v="0"/>
    <n v="0"/>
    <n v="0"/>
    <x v="1"/>
    <n v="0"/>
    <s v="MMR001CMP001"/>
    <x v="0"/>
    <x v="1"/>
    <x v="1"/>
    <n v="0"/>
    <m/>
    <m/>
  </r>
  <r>
    <n v="49.3"/>
    <d v="2012-05-23T00:00:00"/>
    <x v="0"/>
    <s v="UNHCR"/>
    <s v="Kachin"/>
    <s v="Myitkyina"/>
    <s v="Tat Kone Baptist Church"/>
    <m/>
    <m/>
    <m/>
    <n v="54"/>
    <n v="29"/>
    <n v="54"/>
    <n v="29"/>
    <n v="29"/>
    <n v="29"/>
    <n v="29"/>
    <m/>
    <m/>
    <m/>
    <m/>
    <m/>
    <m/>
    <m/>
    <n v="0"/>
    <n v="0"/>
    <n v="0"/>
    <n v="0"/>
    <n v="0"/>
    <n v="0"/>
    <n v="0"/>
    <n v="0"/>
    <n v="0"/>
    <n v="0"/>
    <n v="0"/>
    <n v="0"/>
    <n v="0"/>
    <n v="0"/>
    <x v="0"/>
    <n v="0"/>
    <s v="MMR001CMP001"/>
    <x v="0"/>
    <x v="1"/>
    <x v="1"/>
    <n v="0.43283582089552236"/>
    <s v="No"/>
    <m/>
  </r>
  <r>
    <n v="56.033333333333331"/>
    <d v="2011-11-03T00:00:00"/>
    <x v="0"/>
    <s v="KBC"/>
    <s v="Kachin"/>
    <s v="Myitkyina"/>
    <s v="Tat Kone Baptist Church"/>
    <m/>
    <m/>
    <m/>
    <n v="73"/>
    <n v="34"/>
    <n v="73"/>
    <n v="34"/>
    <n v="34"/>
    <n v="34"/>
    <n v="34"/>
    <m/>
    <m/>
    <m/>
    <m/>
    <m/>
    <m/>
    <m/>
    <n v="0"/>
    <n v="0"/>
    <n v="0"/>
    <n v="0"/>
    <n v="0"/>
    <n v="0"/>
    <n v="0"/>
    <n v="0"/>
    <n v="0"/>
    <n v="0"/>
    <n v="0"/>
    <n v="0"/>
    <n v="0"/>
    <n v="0"/>
    <x v="0"/>
    <n v="0"/>
    <s v="MMR001CMP001"/>
    <x v="0"/>
    <x v="1"/>
    <x v="1"/>
    <n v="0.5074626865671642"/>
    <s v="No"/>
    <m/>
  </r>
  <r>
    <n v="17.133333333333333"/>
    <d v="2015-01-13T00:00:00"/>
    <x v="0"/>
    <s v="Shalom"/>
    <s v="Kachin"/>
    <s v="Myitkyina"/>
    <s v="Tat Kone COC Baptist - Tat Kone Htoi San"/>
    <m/>
    <m/>
    <m/>
    <m/>
    <n v="2"/>
    <m/>
    <m/>
    <m/>
    <m/>
    <m/>
    <m/>
    <m/>
    <m/>
    <m/>
    <m/>
    <m/>
    <m/>
    <n v="0"/>
    <n v="0"/>
    <n v="0"/>
    <n v="0"/>
    <n v="0"/>
    <n v="0"/>
    <n v="0"/>
    <n v="0"/>
    <n v="0"/>
    <n v="0"/>
    <n v="0"/>
    <n v="0"/>
    <n v="0"/>
    <n v="0"/>
    <x v="0"/>
    <n v="0"/>
    <s v="MMR001CMP023"/>
    <x v="0"/>
    <x v="1"/>
    <x v="1"/>
    <n v="0"/>
    <s v="No"/>
    <m/>
  </r>
  <r>
    <n v="24.8"/>
    <d v="2014-05-28T00:00:00"/>
    <x v="6"/>
    <s v="MRCS"/>
    <s v="Kachin"/>
    <s v="Myitkyina"/>
    <s v="Tat Kone COC Baptist - Tat Kone Htoi San"/>
    <m/>
    <m/>
    <m/>
    <m/>
    <m/>
    <m/>
    <m/>
    <m/>
    <m/>
    <m/>
    <m/>
    <m/>
    <m/>
    <n v="138"/>
    <m/>
    <m/>
    <m/>
    <n v="0"/>
    <n v="0"/>
    <n v="0"/>
    <n v="0"/>
    <n v="0"/>
    <n v="0"/>
    <n v="0"/>
    <n v="0"/>
    <n v="0"/>
    <n v="0"/>
    <n v="0"/>
    <n v="0"/>
    <n v="0"/>
    <n v="0"/>
    <x v="1"/>
    <n v="0"/>
    <s v="MMR001CMP023"/>
    <x v="0"/>
    <x v="1"/>
    <x v="1"/>
    <n v="0"/>
    <m/>
    <m/>
  </r>
  <r>
    <n v="35.06666666666667"/>
    <d v="2013-07-24T00:00:00"/>
    <x v="0"/>
    <s v="KBC"/>
    <s v="Kachin"/>
    <s v="Myitkyina"/>
    <s v="Tat Kone COC Baptist - Tat Kone Htoi San"/>
    <m/>
    <m/>
    <n v="34"/>
    <n v="46"/>
    <n v="22"/>
    <n v="46"/>
    <n v="22"/>
    <n v="22"/>
    <n v="22"/>
    <n v="22"/>
    <m/>
    <m/>
    <m/>
    <m/>
    <m/>
    <m/>
    <m/>
    <n v="0"/>
    <n v="0"/>
    <n v="0"/>
    <n v="0"/>
    <n v="0"/>
    <n v="0"/>
    <n v="0"/>
    <n v="0"/>
    <n v="0"/>
    <n v="0"/>
    <n v="0"/>
    <n v="0"/>
    <n v="0"/>
    <n v="0"/>
    <x v="0"/>
    <n v="0"/>
    <s v="MMR001CMP023"/>
    <x v="0"/>
    <x v="1"/>
    <x v="1"/>
    <n v="0.40740740740740738"/>
    <s v="No"/>
    <m/>
  </r>
  <r>
    <n v="35.333333333333336"/>
    <d v="2013-07-16T00:00:00"/>
    <x v="0"/>
    <s v="Shalom"/>
    <s v="Kachin"/>
    <s v="Myitkyina"/>
    <s v="Tat Kone COC Baptist - Tat Kone Htoi San"/>
    <m/>
    <m/>
    <n v="55"/>
    <n v="74"/>
    <n v="31"/>
    <n v="74"/>
    <n v="31"/>
    <n v="31"/>
    <n v="31"/>
    <n v="31"/>
    <m/>
    <m/>
    <m/>
    <m/>
    <m/>
    <m/>
    <m/>
    <n v="0"/>
    <n v="0"/>
    <n v="0"/>
    <n v="0"/>
    <n v="0"/>
    <n v="0"/>
    <n v="0"/>
    <n v="0"/>
    <n v="0"/>
    <n v="0"/>
    <n v="0"/>
    <n v="0"/>
    <n v="0"/>
    <n v="0"/>
    <x v="0"/>
    <n v="0"/>
    <s v="MMR001CMP023"/>
    <x v="0"/>
    <x v="1"/>
    <x v="1"/>
    <n v="0.57407407407407407"/>
    <s v="No"/>
    <m/>
  </r>
  <r>
    <n v="41.9"/>
    <d v="2012-12-31T00:00:00"/>
    <x v="3"/>
    <s v="DRC"/>
    <s v="Kachin"/>
    <s v="Myitkyina"/>
    <s v="Tat Kone COC Baptist - Tat Kone Htoi San"/>
    <n v="34"/>
    <m/>
    <m/>
    <m/>
    <m/>
    <m/>
    <m/>
    <m/>
    <n v="0"/>
    <n v="0"/>
    <m/>
    <m/>
    <m/>
    <m/>
    <m/>
    <m/>
    <m/>
    <n v="0"/>
    <n v="0"/>
    <n v="0"/>
    <n v="0"/>
    <n v="0"/>
    <n v="0"/>
    <n v="0"/>
    <n v="0"/>
    <n v="0"/>
    <n v="0"/>
    <n v="0"/>
    <n v="0"/>
    <n v="0"/>
    <n v="0"/>
    <x v="0"/>
    <n v="0"/>
    <s v="MMR001CMP023"/>
    <x v="0"/>
    <x v="1"/>
    <x v="1"/>
    <n v="0"/>
    <s v="No"/>
    <m/>
  </r>
  <r>
    <n v="47.4"/>
    <d v="2012-07-19T00:00:00"/>
    <x v="0"/>
    <s v="UNHCR"/>
    <s v="Kachin"/>
    <s v="Myitkyina"/>
    <s v="Tat Kone COC Baptist - Tat Kone Htoi San"/>
    <m/>
    <m/>
    <m/>
    <n v="3"/>
    <n v="2"/>
    <n v="3"/>
    <n v="2"/>
    <n v="2"/>
    <n v="2"/>
    <n v="2"/>
    <m/>
    <m/>
    <m/>
    <m/>
    <m/>
    <m/>
    <m/>
    <n v="0"/>
    <n v="0"/>
    <n v="0"/>
    <n v="0"/>
    <n v="0"/>
    <n v="0"/>
    <n v="0"/>
    <n v="0"/>
    <n v="0"/>
    <n v="0"/>
    <n v="0"/>
    <n v="0"/>
    <n v="0"/>
    <n v="0"/>
    <x v="0"/>
    <n v="0"/>
    <s v="MMR001CMP023"/>
    <x v="0"/>
    <x v="1"/>
    <x v="1"/>
    <n v="3.7037037037037035E-2"/>
    <s v="No"/>
    <m/>
  </r>
  <r>
    <n v="6.0666666666666664"/>
    <d v="2015-12-11T00:00:00"/>
    <x v="0"/>
    <s v="Shalom"/>
    <s v="Kachin"/>
    <s v="Myitkyina"/>
    <s v="Tat Kone Emanuel Church"/>
    <m/>
    <m/>
    <m/>
    <m/>
    <m/>
    <m/>
    <m/>
    <m/>
    <m/>
    <m/>
    <m/>
    <m/>
    <m/>
    <n v="11"/>
    <m/>
    <m/>
    <m/>
    <n v="0"/>
    <n v="0"/>
    <n v="0"/>
    <n v="0"/>
    <n v="0"/>
    <n v="0"/>
    <n v="0"/>
    <n v="0"/>
    <n v="0"/>
    <n v="0"/>
    <n v="0"/>
    <n v="0"/>
    <n v="0"/>
    <n v="11"/>
    <x v="1"/>
    <n v="0"/>
    <s v="MMR001CMP004"/>
    <x v="0"/>
    <x v="1"/>
    <x v="1"/>
    <n v="0"/>
    <s v="No"/>
    <m/>
  </r>
  <r>
    <n v="10.133333333333333"/>
    <d v="2015-08-11T00:00:00"/>
    <x v="0"/>
    <s v="Shalom"/>
    <s v="Kachin"/>
    <s v="Myitkyina"/>
    <s v="Tat Kone Emanuel Church"/>
    <m/>
    <m/>
    <m/>
    <n v="6"/>
    <n v="4"/>
    <n v="6"/>
    <n v="4"/>
    <m/>
    <n v="4"/>
    <n v="10"/>
    <m/>
    <m/>
    <m/>
    <m/>
    <n v="4"/>
    <m/>
    <m/>
    <n v="0"/>
    <n v="0"/>
    <n v="0"/>
    <n v="6"/>
    <n v="4"/>
    <n v="6"/>
    <n v="4"/>
    <n v="0"/>
    <n v="4"/>
    <n v="25"/>
    <n v="0"/>
    <n v="0"/>
    <n v="0"/>
    <n v="0"/>
    <x v="0"/>
    <n v="4"/>
    <s v="MMR001CMP004"/>
    <x v="0"/>
    <x v="1"/>
    <x v="1"/>
    <n v="0.66666666666666663"/>
    <s v="No"/>
    <m/>
  </r>
  <r>
    <n v="20.6"/>
    <d v="2014-10-01T00:00:00"/>
    <x v="0"/>
    <s v="Shalom"/>
    <s v="Kachin"/>
    <s v="Myitkyina"/>
    <s v="Tat Kone Emanuel Church"/>
    <m/>
    <m/>
    <m/>
    <n v="26"/>
    <m/>
    <m/>
    <m/>
    <m/>
    <m/>
    <m/>
    <m/>
    <m/>
    <m/>
    <m/>
    <m/>
    <m/>
    <m/>
    <n v="0"/>
    <n v="0"/>
    <n v="0"/>
    <n v="0"/>
    <n v="0"/>
    <n v="0"/>
    <n v="0"/>
    <n v="0"/>
    <n v="0"/>
    <n v="0"/>
    <n v="0"/>
    <n v="0"/>
    <n v="0"/>
    <n v="0"/>
    <x v="0"/>
    <n v="0"/>
    <s v="MMR001CMP004"/>
    <x v="0"/>
    <x v="1"/>
    <x v="1"/>
    <n v="0"/>
    <m/>
    <m/>
  </r>
  <r>
    <n v="24.033333333333335"/>
    <d v="2014-06-20T00:00:00"/>
    <x v="6"/>
    <s v="MRCS"/>
    <s v="Kachin"/>
    <s v="Myitkyina"/>
    <s v="Tat Kone Emanuel Church"/>
    <m/>
    <m/>
    <m/>
    <m/>
    <m/>
    <m/>
    <m/>
    <m/>
    <m/>
    <m/>
    <m/>
    <m/>
    <m/>
    <n v="16"/>
    <m/>
    <m/>
    <m/>
    <n v="0"/>
    <n v="0"/>
    <n v="0"/>
    <n v="0"/>
    <n v="0"/>
    <n v="0"/>
    <n v="0"/>
    <n v="0"/>
    <n v="0"/>
    <n v="0"/>
    <n v="0"/>
    <n v="0"/>
    <n v="0"/>
    <n v="0"/>
    <x v="1"/>
    <n v="0"/>
    <s v="MMR001CMP004"/>
    <x v="0"/>
    <x v="1"/>
    <x v="1"/>
    <n v="0"/>
    <m/>
    <m/>
  </r>
  <r>
    <n v="41.9"/>
    <d v="2012-12-31T00:00:00"/>
    <x v="3"/>
    <s v="DRC"/>
    <s v="Kachin"/>
    <s v="Myitkyina"/>
    <s v="Tat Kone Emanuel Church"/>
    <n v="14"/>
    <m/>
    <m/>
    <m/>
    <m/>
    <m/>
    <m/>
    <m/>
    <n v="0"/>
    <n v="0"/>
    <m/>
    <m/>
    <m/>
    <m/>
    <m/>
    <m/>
    <m/>
    <n v="0"/>
    <n v="0"/>
    <n v="0"/>
    <n v="0"/>
    <n v="0"/>
    <n v="0"/>
    <n v="0"/>
    <n v="0"/>
    <n v="0"/>
    <n v="0"/>
    <n v="0"/>
    <n v="0"/>
    <n v="0"/>
    <n v="0"/>
    <x v="0"/>
    <n v="0"/>
    <s v="MMR001CMP004"/>
    <x v="0"/>
    <x v="1"/>
    <x v="1"/>
    <n v="0"/>
    <s v="No"/>
    <m/>
  </r>
  <r>
    <n v="54"/>
    <d v="2012-01-03T00:00:00"/>
    <x v="0"/>
    <s v="KMSS"/>
    <s v="Kachin"/>
    <s v="Myitkyina"/>
    <s v="Tat Kone Emanuel Church"/>
    <m/>
    <m/>
    <m/>
    <n v="0"/>
    <n v="0"/>
    <n v="0"/>
    <n v="0"/>
    <n v="8"/>
    <n v="8"/>
    <n v="8"/>
    <m/>
    <m/>
    <m/>
    <m/>
    <m/>
    <m/>
    <m/>
    <n v="0"/>
    <n v="0"/>
    <n v="0"/>
    <n v="0"/>
    <n v="0"/>
    <n v="0"/>
    <n v="0"/>
    <n v="0"/>
    <n v="0"/>
    <n v="0"/>
    <n v="0"/>
    <n v="0"/>
    <n v="0"/>
    <n v="0"/>
    <x v="0"/>
    <n v="0"/>
    <s v="MMR001CMP004"/>
    <x v="0"/>
    <x v="1"/>
    <x v="1"/>
    <n v="0"/>
    <s v="No"/>
    <m/>
  </r>
  <r>
    <n v="56.033333333333331"/>
    <d v="2011-11-03T00:00:00"/>
    <x v="0"/>
    <s v="KMSS"/>
    <s v="Kachin"/>
    <s v="Myitkyina"/>
    <s v="Tat Kone Emanuel Church"/>
    <m/>
    <m/>
    <m/>
    <n v="18"/>
    <n v="8"/>
    <n v="18"/>
    <n v="8"/>
    <n v="8"/>
    <n v="8"/>
    <n v="8"/>
    <m/>
    <m/>
    <m/>
    <m/>
    <m/>
    <m/>
    <m/>
    <n v="0"/>
    <n v="0"/>
    <n v="0"/>
    <n v="0"/>
    <n v="0"/>
    <n v="0"/>
    <n v="0"/>
    <n v="0"/>
    <n v="0"/>
    <n v="0"/>
    <n v="0"/>
    <n v="0"/>
    <n v="0"/>
    <n v="0"/>
    <x v="0"/>
    <n v="0"/>
    <s v="MMR001CMP004"/>
    <x v="0"/>
    <x v="1"/>
    <x v="1"/>
    <n v="1.3333333333333333"/>
    <s v="No"/>
    <m/>
  </r>
  <r>
    <n v="24.8"/>
    <d v="2014-05-28T00:00:00"/>
    <x v="6"/>
    <s v="MRCS"/>
    <s v="Kachin"/>
    <s v="Myitkyina"/>
    <s v="Tat Kone Galile Baptist Church"/>
    <m/>
    <m/>
    <m/>
    <m/>
    <m/>
    <m/>
    <m/>
    <m/>
    <m/>
    <m/>
    <m/>
    <m/>
    <m/>
    <n v="58"/>
    <m/>
    <m/>
    <m/>
    <n v="0"/>
    <n v="0"/>
    <n v="0"/>
    <n v="0"/>
    <n v="0"/>
    <n v="0"/>
    <n v="0"/>
    <n v="0"/>
    <n v="0"/>
    <n v="0"/>
    <n v="0"/>
    <n v="0"/>
    <n v="0"/>
    <n v="0"/>
    <x v="1"/>
    <n v="0"/>
    <s v="MMR001CMP003"/>
    <x v="0"/>
    <x v="1"/>
    <x v="1"/>
    <n v="0"/>
    <m/>
    <m/>
  </r>
  <r>
    <n v="47.466666666666669"/>
    <d v="2012-07-17T00:00:00"/>
    <x v="0"/>
    <s v="UNHCR"/>
    <s v="Kachin"/>
    <s v="Myitkyina"/>
    <s v="Tat Kone Galile Baptist Church"/>
    <m/>
    <m/>
    <m/>
    <n v="7"/>
    <n v="7"/>
    <n v="7"/>
    <n v="7"/>
    <n v="7"/>
    <n v="7"/>
    <n v="7"/>
    <m/>
    <m/>
    <m/>
    <m/>
    <m/>
    <m/>
    <m/>
    <n v="0"/>
    <n v="0"/>
    <n v="0"/>
    <n v="0"/>
    <n v="0"/>
    <n v="0"/>
    <n v="0"/>
    <n v="0"/>
    <n v="0"/>
    <n v="0"/>
    <n v="0"/>
    <n v="0"/>
    <n v="0"/>
    <n v="0"/>
    <x v="0"/>
    <n v="0"/>
    <s v="MMR001CMP003"/>
    <x v="0"/>
    <x v="1"/>
    <x v="1"/>
    <n v="0.21875"/>
    <s v="No"/>
    <m/>
  </r>
  <r>
    <n v="55.6"/>
    <d v="2011-11-16T00:00:00"/>
    <x v="0"/>
    <s v="KBC"/>
    <s v="Kachin"/>
    <s v="Myitkyina"/>
    <s v="Tat Kone Galile Baptist Church"/>
    <m/>
    <m/>
    <m/>
    <n v="53"/>
    <n v="31"/>
    <n v="53"/>
    <n v="31"/>
    <n v="31"/>
    <n v="31"/>
    <n v="31"/>
    <m/>
    <m/>
    <m/>
    <m/>
    <m/>
    <m/>
    <m/>
    <n v="0"/>
    <n v="0"/>
    <n v="0"/>
    <n v="0"/>
    <n v="0"/>
    <n v="0"/>
    <n v="0"/>
    <n v="0"/>
    <n v="0"/>
    <n v="0"/>
    <n v="0"/>
    <n v="0"/>
    <n v="0"/>
    <n v="0"/>
    <x v="0"/>
    <n v="0"/>
    <s v="MMR001CMP003"/>
    <x v="0"/>
    <x v="1"/>
    <x v="1"/>
    <n v="0.96875"/>
    <s v="No"/>
    <m/>
  </r>
  <r>
    <n v="23.933333333333334"/>
    <d v="2014-06-23T00:00:00"/>
    <x v="6"/>
    <s v="MRCS"/>
    <s v="Kachin"/>
    <s v="Myitkyina"/>
    <s v="Tat Kone San Pya Baptist Church"/>
    <m/>
    <m/>
    <m/>
    <m/>
    <m/>
    <m/>
    <m/>
    <m/>
    <m/>
    <m/>
    <m/>
    <m/>
    <m/>
    <n v="88"/>
    <m/>
    <m/>
    <m/>
    <n v="0"/>
    <n v="0"/>
    <n v="0"/>
    <n v="0"/>
    <n v="0"/>
    <n v="0"/>
    <n v="0"/>
    <n v="0"/>
    <n v="0"/>
    <n v="0"/>
    <n v="0"/>
    <n v="0"/>
    <n v="0"/>
    <n v="0"/>
    <x v="1"/>
    <n v="0"/>
    <s v="MMR001CMP005"/>
    <x v="0"/>
    <x v="1"/>
    <x v="1"/>
    <n v="0"/>
    <m/>
    <m/>
  </r>
  <r>
    <n v="47.266666666666666"/>
    <d v="2012-07-23T00:00:00"/>
    <x v="0"/>
    <s v="UNHCR"/>
    <s v="Kachin"/>
    <s v="Myitkyina"/>
    <s v="Tat Kone San Pya Baptist Church"/>
    <m/>
    <m/>
    <m/>
    <n v="24"/>
    <n v="8"/>
    <n v="24"/>
    <n v="8"/>
    <n v="13"/>
    <n v="13"/>
    <n v="13"/>
    <m/>
    <m/>
    <m/>
    <m/>
    <m/>
    <m/>
    <m/>
    <n v="0"/>
    <n v="0"/>
    <n v="0"/>
    <n v="0"/>
    <n v="0"/>
    <n v="0"/>
    <n v="0"/>
    <n v="0"/>
    <n v="0"/>
    <n v="0"/>
    <n v="0"/>
    <n v="0"/>
    <n v="0"/>
    <n v="0"/>
    <x v="0"/>
    <n v="0"/>
    <s v="MMR001CMP005"/>
    <x v="0"/>
    <x v="1"/>
    <x v="1"/>
    <n v="0.18604651162790697"/>
    <s v="No"/>
    <m/>
  </r>
  <r>
    <n v="54.766666666666666"/>
    <d v="2011-12-11T00:00:00"/>
    <x v="0"/>
    <s v="KBC"/>
    <s v="Kachin"/>
    <s v="Myitkyina"/>
    <s v="Tat Kone San Pya Baptist Church"/>
    <m/>
    <m/>
    <m/>
    <n v="3"/>
    <n v="2"/>
    <n v="3"/>
    <n v="2"/>
    <n v="2"/>
    <n v="2"/>
    <n v="2"/>
    <m/>
    <m/>
    <m/>
    <m/>
    <m/>
    <m/>
    <m/>
    <n v="0"/>
    <n v="0"/>
    <n v="0"/>
    <n v="0"/>
    <n v="0"/>
    <n v="0"/>
    <n v="0"/>
    <n v="0"/>
    <n v="0"/>
    <n v="0"/>
    <n v="0"/>
    <n v="0"/>
    <n v="0"/>
    <n v="0"/>
    <x v="0"/>
    <n v="0"/>
    <s v="MMR001CMP005"/>
    <x v="0"/>
    <x v="1"/>
    <x v="1"/>
    <n v="4.6511627906976744E-2"/>
    <s v="No"/>
    <m/>
  </r>
  <r>
    <n v="55.633333333333333"/>
    <d v="2011-11-15T00:00:00"/>
    <x v="0"/>
    <s v="KBC"/>
    <s v="Kachin"/>
    <s v="Myitkyina"/>
    <s v="Tat Kone San Pya Baptist Church"/>
    <m/>
    <m/>
    <m/>
    <n v="30"/>
    <n v="17"/>
    <n v="30"/>
    <n v="17"/>
    <n v="17"/>
    <n v="17"/>
    <n v="17"/>
    <m/>
    <m/>
    <m/>
    <m/>
    <m/>
    <m/>
    <m/>
    <n v="0"/>
    <n v="0"/>
    <n v="0"/>
    <n v="0"/>
    <n v="0"/>
    <n v="0"/>
    <n v="0"/>
    <n v="0"/>
    <n v="0"/>
    <n v="0"/>
    <n v="0"/>
    <n v="0"/>
    <n v="0"/>
    <n v="0"/>
    <x v="0"/>
    <n v="0"/>
    <s v="MMR001CMP005"/>
    <x v="0"/>
    <x v="1"/>
    <x v="1"/>
    <n v="0.39534883720930231"/>
    <s v="No"/>
    <m/>
  </r>
  <r>
    <n v="20.6"/>
    <d v="2014-10-01T00:00:00"/>
    <x v="0"/>
    <s v="Shalom"/>
    <s v="Kachin"/>
    <s v="Waingmaw"/>
    <s v="Thargaya Lisu Baptist Church"/>
    <m/>
    <m/>
    <m/>
    <n v="144"/>
    <m/>
    <m/>
    <m/>
    <m/>
    <m/>
    <m/>
    <m/>
    <m/>
    <m/>
    <m/>
    <m/>
    <m/>
    <m/>
    <n v="0"/>
    <n v="0"/>
    <n v="0"/>
    <n v="0"/>
    <n v="0"/>
    <n v="0"/>
    <n v="0"/>
    <n v="0"/>
    <n v="0"/>
    <n v="0"/>
    <n v="0"/>
    <n v="0"/>
    <n v="0"/>
    <n v="0"/>
    <x v="0"/>
    <n v="0"/>
    <s v="MMR001CMP037"/>
    <x v="0"/>
    <x v="1"/>
    <x v="1"/>
    <n v="0"/>
    <m/>
    <m/>
  </r>
  <r>
    <n v="24.833333333333332"/>
    <d v="2014-05-27T00:00:00"/>
    <x v="0"/>
    <s v="Shalom"/>
    <s v="Kachin"/>
    <s v="Waingmaw"/>
    <s v="Thargaya Lisu Baptist Church"/>
    <m/>
    <m/>
    <n v="18"/>
    <n v="9"/>
    <n v="18"/>
    <n v="9"/>
    <m/>
    <n v="9"/>
    <n v="45"/>
    <m/>
    <m/>
    <m/>
    <m/>
    <m/>
    <m/>
    <m/>
    <m/>
    <n v="0"/>
    <n v="0"/>
    <n v="0"/>
    <n v="0"/>
    <n v="0"/>
    <n v="0"/>
    <n v="0"/>
    <n v="0"/>
    <n v="0"/>
    <n v="0"/>
    <n v="0"/>
    <n v="0"/>
    <n v="0"/>
    <n v="0"/>
    <x v="0"/>
    <n v="0"/>
    <s v="MMR001CMP037"/>
    <x v="0"/>
    <x v="1"/>
    <x v="1"/>
    <n v="0"/>
    <m/>
    <m/>
  </r>
  <r>
    <n v="25.033333333333335"/>
    <d v="2014-05-21T00:00:00"/>
    <x v="6"/>
    <s v="MRCS"/>
    <s v="Kachin"/>
    <s v="Waingmaw"/>
    <s v="Thargaya Lisu Baptist Church"/>
    <m/>
    <m/>
    <m/>
    <m/>
    <m/>
    <m/>
    <m/>
    <m/>
    <m/>
    <m/>
    <m/>
    <m/>
    <m/>
    <n v="136"/>
    <m/>
    <m/>
    <m/>
    <n v="0"/>
    <n v="0"/>
    <n v="0"/>
    <n v="0"/>
    <n v="0"/>
    <n v="0"/>
    <n v="0"/>
    <n v="0"/>
    <n v="0"/>
    <n v="0"/>
    <n v="0"/>
    <n v="0"/>
    <n v="0"/>
    <n v="0"/>
    <x v="1"/>
    <n v="0"/>
    <s v="MMR001CMP037"/>
    <x v="0"/>
    <x v="1"/>
    <x v="1"/>
    <n v="0"/>
    <m/>
    <m/>
  </r>
  <r>
    <n v="30.066666666666666"/>
    <d v="2013-12-21T00:00:00"/>
    <x v="5"/>
    <s v="KBC"/>
    <s v="Kachin"/>
    <s v="Waingmaw"/>
    <s v="Thargaya Lisu Baptist Church"/>
    <m/>
    <m/>
    <m/>
    <m/>
    <m/>
    <m/>
    <m/>
    <m/>
    <m/>
    <m/>
    <n v="75"/>
    <n v="139"/>
    <n v="428"/>
    <n v="214"/>
    <m/>
    <m/>
    <m/>
    <n v="0"/>
    <n v="0"/>
    <n v="0"/>
    <n v="0"/>
    <n v="0"/>
    <n v="0"/>
    <n v="0"/>
    <n v="0"/>
    <n v="0"/>
    <n v="0"/>
    <n v="0"/>
    <n v="0"/>
    <n v="0"/>
    <n v="0"/>
    <x v="1"/>
    <n v="0"/>
    <s v="MMR001CMP037"/>
    <x v="0"/>
    <x v="1"/>
    <x v="1"/>
    <n v="0"/>
    <m/>
    <m/>
  </r>
  <r>
    <n v="30.766666666666666"/>
    <d v="2013-11-30T00:00:00"/>
    <x v="5"/>
    <s v="KBC"/>
    <s v="Kachin"/>
    <s v="Waingmaw"/>
    <s v="Thargaya Lisu Baptist Church"/>
    <m/>
    <m/>
    <m/>
    <m/>
    <m/>
    <m/>
    <m/>
    <m/>
    <m/>
    <m/>
    <m/>
    <m/>
    <m/>
    <m/>
    <m/>
    <m/>
    <m/>
    <n v="0"/>
    <n v="0"/>
    <n v="0"/>
    <n v="0"/>
    <n v="0"/>
    <n v="0"/>
    <n v="0"/>
    <n v="0"/>
    <n v="0"/>
    <n v="0"/>
    <n v="0"/>
    <n v="0"/>
    <n v="0"/>
    <n v="0"/>
    <x v="0"/>
    <n v="0"/>
    <s v="MMR001CMP037"/>
    <x v="0"/>
    <x v="1"/>
    <x v="1"/>
    <n v="0"/>
    <s v="No"/>
    <m/>
  </r>
  <r>
    <n v="40.866666666666667"/>
    <d v="2013-01-31T00:00:00"/>
    <x v="7"/>
    <s v="World Vision"/>
    <s v="Kachin"/>
    <s v="Waingmaw"/>
    <s v="Thargaya Lisu Baptist Church"/>
    <m/>
    <m/>
    <m/>
    <m/>
    <m/>
    <n v="122"/>
    <m/>
    <m/>
    <n v="0"/>
    <n v="0"/>
    <m/>
    <m/>
    <m/>
    <m/>
    <m/>
    <m/>
    <m/>
    <n v="0"/>
    <n v="0"/>
    <n v="0"/>
    <n v="0"/>
    <n v="0"/>
    <n v="0"/>
    <n v="0"/>
    <n v="0"/>
    <n v="0"/>
    <n v="0"/>
    <n v="0"/>
    <n v="0"/>
    <n v="0"/>
    <n v="0"/>
    <x v="0"/>
    <n v="0"/>
    <s v="MMR001CMP037"/>
    <x v="0"/>
    <x v="1"/>
    <x v="1"/>
    <n v="0"/>
    <s v="No"/>
    <m/>
  </r>
  <r>
    <n v="41.9"/>
    <d v="2012-12-31T00:00:00"/>
    <x v="3"/>
    <s v="DRC"/>
    <s v="Kachin"/>
    <s v="Waingmaw"/>
    <s v="Thargaya Lisu Baptist Church"/>
    <n v="68"/>
    <m/>
    <m/>
    <m/>
    <m/>
    <m/>
    <m/>
    <m/>
    <n v="0"/>
    <n v="0"/>
    <m/>
    <m/>
    <m/>
    <m/>
    <m/>
    <m/>
    <m/>
    <n v="0"/>
    <n v="0"/>
    <n v="0"/>
    <n v="0"/>
    <n v="0"/>
    <n v="0"/>
    <n v="0"/>
    <n v="0"/>
    <n v="0"/>
    <n v="0"/>
    <n v="0"/>
    <n v="0"/>
    <n v="0"/>
    <n v="0"/>
    <x v="0"/>
    <n v="0"/>
    <s v="MMR001CMP037"/>
    <x v="0"/>
    <x v="1"/>
    <x v="1"/>
    <n v="0"/>
    <s v="No"/>
    <m/>
  </r>
  <r>
    <n v="47.6"/>
    <d v="2012-07-13T00:00:00"/>
    <x v="0"/>
    <s v="UNHCR"/>
    <s v="Kachin"/>
    <s v="Waingmaw"/>
    <s v="Thargaya Lisu Baptist Church"/>
    <m/>
    <m/>
    <m/>
    <n v="8"/>
    <n v="8"/>
    <n v="8"/>
    <n v="8"/>
    <n v="8"/>
    <n v="8"/>
    <n v="8"/>
    <m/>
    <m/>
    <m/>
    <m/>
    <m/>
    <m/>
    <m/>
    <n v="0"/>
    <n v="0"/>
    <n v="0"/>
    <n v="0"/>
    <n v="0"/>
    <n v="0"/>
    <n v="0"/>
    <n v="0"/>
    <n v="0"/>
    <n v="0"/>
    <n v="0"/>
    <n v="0"/>
    <n v="0"/>
    <n v="0"/>
    <x v="0"/>
    <n v="0"/>
    <s v="MMR001CMP037"/>
    <x v="0"/>
    <x v="1"/>
    <x v="1"/>
    <n v="0.18181818181818182"/>
    <s v="No"/>
    <m/>
  </r>
  <r>
    <n v="48.4"/>
    <d v="2012-06-19T00:00:00"/>
    <x v="0"/>
    <s v="UNHCR"/>
    <s v="Kachin"/>
    <s v="Waingmaw"/>
    <s v="Thargaya Lisu Baptist Church"/>
    <m/>
    <m/>
    <m/>
    <n v="31"/>
    <n v="15"/>
    <n v="31"/>
    <n v="15"/>
    <n v="15"/>
    <n v="15"/>
    <n v="15"/>
    <m/>
    <m/>
    <m/>
    <m/>
    <m/>
    <m/>
    <m/>
    <n v="0"/>
    <n v="0"/>
    <n v="0"/>
    <n v="0"/>
    <n v="0"/>
    <n v="0"/>
    <n v="0"/>
    <n v="0"/>
    <n v="0"/>
    <n v="0"/>
    <n v="0"/>
    <n v="0"/>
    <n v="0"/>
    <n v="0"/>
    <x v="0"/>
    <n v="0"/>
    <s v="MMR001CMP037"/>
    <x v="0"/>
    <x v="1"/>
    <x v="1"/>
    <n v="0.34090909090909088"/>
    <s v="No"/>
    <m/>
  </r>
  <r>
    <n v="51.866666666666667"/>
    <d v="2012-03-07T00:00:00"/>
    <x v="0"/>
    <s v="UNHCR"/>
    <s v="Kachin"/>
    <s v="Waingmaw"/>
    <s v="Thargaya Lisu Baptist Church"/>
    <m/>
    <m/>
    <m/>
    <n v="38"/>
    <n v="18"/>
    <n v="38"/>
    <n v="17"/>
    <n v="18"/>
    <n v="18"/>
    <n v="18"/>
    <m/>
    <m/>
    <m/>
    <m/>
    <m/>
    <m/>
    <m/>
    <n v="0"/>
    <n v="0"/>
    <n v="0"/>
    <n v="0"/>
    <n v="0"/>
    <n v="0"/>
    <n v="0"/>
    <n v="0"/>
    <n v="0"/>
    <n v="0"/>
    <n v="0"/>
    <n v="0"/>
    <n v="0"/>
    <n v="0"/>
    <x v="0"/>
    <n v="0"/>
    <s v="MMR001CMP037"/>
    <x v="0"/>
    <x v="1"/>
    <x v="1"/>
    <n v="0.38636363636363635"/>
    <s v="No"/>
    <m/>
  </r>
  <r>
    <n v="53.9"/>
    <d v="2012-01-06T00:00:00"/>
    <x v="0"/>
    <s v="UNHCR"/>
    <s v="Kachin"/>
    <s v="Waingmaw"/>
    <s v="Thargaya Lisu Baptist Church"/>
    <m/>
    <m/>
    <m/>
    <n v="29"/>
    <n v="0"/>
    <n v="29"/>
    <n v="15"/>
    <n v="15"/>
    <n v="15"/>
    <n v="15"/>
    <m/>
    <m/>
    <m/>
    <m/>
    <m/>
    <m/>
    <m/>
    <n v="0"/>
    <n v="0"/>
    <n v="0"/>
    <n v="0"/>
    <n v="0"/>
    <n v="0"/>
    <n v="0"/>
    <n v="0"/>
    <n v="0"/>
    <n v="0"/>
    <n v="0"/>
    <n v="0"/>
    <n v="0"/>
    <n v="0"/>
    <x v="0"/>
    <n v="0"/>
    <s v="MMR001CMP037"/>
    <x v="0"/>
    <x v="1"/>
    <x v="1"/>
    <n v="0.34090909090909088"/>
    <s v="No"/>
    <m/>
  </r>
  <r>
    <n v="53.9"/>
    <d v="2012-01-06T00:00:00"/>
    <x v="0"/>
    <s v="UNHCR"/>
    <s v="Kachin"/>
    <s v="Waingmaw"/>
    <s v="Thargaya Lisu Baptist Church"/>
    <m/>
    <m/>
    <m/>
    <n v="59"/>
    <n v="30"/>
    <n v="59"/>
    <n v="30"/>
    <n v="30"/>
    <n v="30"/>
    <n v="30"/>
    <m/>
    <m/>
    <m/>
    <m/>
    <m/>
    <m/>
    <m/>
    <n v="0"/>
    <n v="0"/>
    <n v="0"/>
    <n v="0"/>
    <n v="0"/>
    <n v="0"/>
    <n v="0"/>
    <n v="0"/>
    <n v="0"/>
    <n v="0"/>
    <n v="0"/>
    <n v="0"/>
    <n v="0"/>
    <n v="0"/>
    <x v="0"/>
    <n v="0"/>
    <s v="MMR001CMP037"/>
    <x v="0"/>
    <x v="1"/>
    <x v="1"/>
    <n v="0.68181818181818177"/>
    <s v="No"/>
    <m/>
  </r>
  <r>
    <n v="31.133333333333333"/>
    <d v="2013-11-19T00:00:00"/>
    <x v="0"/>
    <s v="UNHCR"/>
    <s v="Kachin"/>
    <s v="Bhamo"/>
    <s v="Thu Kha Waddy"/>
    <m/>
    <m/>
    <m/>
    <n v="13"/>
    <n v="9"/>
    <n v="13"/>
    <n v="9"/>
    <n v="9"/>
    <m/>
    <m/>
    <m/>
    <m/>
    <m/>
    <m/>
    <m/>
    <m/>
    <m/>
    <n v="0"/>
    <n v="0"/>
    <n v="0"/>
    <n v="0"/>
    <n v="0"/>
    <n v="0"/>
    <n v="0"/>
    <n v="0"/>
    <n v="0"/>
    <n v="0"/>
    <n v="0"/>
    <n v="0"/>
    <n v="0"/>
    <n v="0"/>
    <x v="0"/>
    <n v="0"/>
    <s v="MMR001CMP211"/>
    <x v="0"/>
    <x v="0"/>
    <x v="0"/>
    <s v=""/>
    <s v="No"/>
    <m/>
  </r>
  <r>
    <n v="19.266666666666666"/>
    <d v="2014-11-10T00:00:00"/>
    <x v="1"/>
    <s v="MRCS"/>
    <s v="Kachin"/>
    <s v="Puta-O"/>
    <s v="Tote Tan Ward"/>
    <m/>
    <m/>
    <m/>
    <m/>
    <m/>
    <m/>
    <m/>
    <m/>
    <m/>
    <m/>
    <n v="72"/>
    <n v="11"/>
    <m/>
    <m/>
    <m/>
    <m/>
    <m/>
    <n v="0"/>
    <n v="0"/>
    <n v="0"/>
    <n v="0"/>
    <n v="0"/>
    <n v="0"/>
    <n v="0"/>
    <n v="0"/>
    <n v="0"/>
    <n v="0"/>
    <n v="0"/>
    <n v="0"/>
    <n v="0"/>
    <n v="0"/>
    <x v="1"/>
    <n v="0"/>
    <s v="MMR001CMP075"/>
    <x v="0"/>
    <x v="1"/>
    <x v="4"/>
    <n v="0"/>
    <m/>
    <m/>
  </r>
  <r>
    <n v="29.066666666666666"/>
    <d v="2014-01-20T00:00:00"/>
    <x v="1"/>
    <s v="MRCS"/>
    <s v="Kachin"/>
    <s v="Puta-O"/>
    <s v="Tote Tan Ward"/>
    <m/>
    <m/>
    <m/>
    <n v="18"/>
    <n v="36"/>
    <n v="36"/>
    <n v="18"/>
    <m/>
    <m/>
    <m/>
    <n v="53"/>
    <n v="42"/>
    <m/>
    <m/>
    <m/>
    <m/>
    <m/>
    <n v="0"/>
    <n v="0"/>
    <n v="0"/>
    <n v="0"/>
    <n v="0"/>
    <n v="0"/>
    <n v="0"/>
    <n v="0"/>
    <n v="0"/>
    <n v="0"/>
    <n v="0"/>
    <n v="0"/>
    <n v="0"/>
    <n v="0"/>
    <x v="1"/>
    <n v="0"/>
    <s v="MMR001CMP075"/>
    <x v="0"/>
    <x v="1"/>
    <x v="4"/>
    <n v="1.2857142857142858"/>
    <m/>
    <m/>
  </r>
  <r>
    <n v="20.6"/>
    <d v="2014-10-01T00:00:00"/>
    <x v="0"/>
    <s v="Shalom"/>
    <s v="Kachin"/>
    <s v="Waingmaw"/>
    <s v="Waingmaw AG Church"/>
    <m/>
    <m/>
    <m/>
    <n v="150"/>
    <m/>
    <m/>
    <m/>
    <m/>
    <m/>
    <m/>
    <m/>
    <m/>
    <m/>
    <m/>
    <m/>
    <m/>
    <m/>
    <n v="0"/>
    <n v="0"/>
    <n v="0"/>
    <n v="0"/>
    <n v="0"/>
    <n v="0"/>
    <n v="0"/>
    <n v="0"/>
    <n v="0"/>
    <n v="0"/>
    <n v="0"/>
    <n v="0"/>
    <n v="0"/>
    <n v="0"/>
    <x v="0"/>
    <n v="0"/>
    <s v="MMR001CMP038"/>
    <x v="0"/>
    <x v="1"/>
    <x v="1"/>
    <n v="0"/>
    <m/>
    <m/>
  </r>
  <r>
    <n v="23.533333333333335"/>
    <d v="2014-07-05T00:00:00"/>
    <x v="6"/>
    <s v="MRCS"/>
    <s v="Kachin"/>
    <s v="Waingmaw"/>
    <s v="Waingmaw AG Church"/>
    <m/>
    <m/>
    <m/>
    <m/>
    <m/>
    <m/>
    <m/>
    <m/>
    <m/>
    <m/>
    <m/>
    <m/>
    <m/>
    <n v="124"/>
    <m/>
    <m/>
    <m/>
    <n v="0"/>
    <n v="0"/>
    <n v="0"/>
    <n v="0"/>
    <n v="0"/>
    <n v="0"/>
    <n v="0"/>
    <n v="0"/>
    <n v="0"/>
    <n v="0"/>
    <n v="0"/>
    <n v="0"/>
    <n v="0"/>
    <n v="0"/>
    <x v="1"/>
    <n v="0"/>
    <s v="MMR001CMP038"/>
    <x v="0"/>
    <x v="1"/>
    <x v="1"/>
    <n v="0"/>
    <m/>
    <m/>
  </r>
  <r>
    <n v="30.233333333333334"/>
    <d v="2013-12-16T00:00:00"/>
    <x v="5"/>
    <s v="KBC"/>
    <s v="Kachin"/>
    <s v="Waingmaw"/>
    <s v="Waingmaw AG Church"/>
    <m/>
    <m/>
    <m/>
    <m/>
    <m/>
    <m/>
    <m/>
    <m/>
    <m/>
    <m/>
    <n v="77"/>
    <n v="153"/>
    <n v="460"/>
    <n v="230"/>
    <m/>
    <m/>
    <m/>
    <n v="0"/>
    <n v="0"/>
    <n v="0"/>
    <n v="0"/>
    <n v="0"/>
    <n v="0"/>
    <n v="0"/>
    <n v="0"/>
    <n v="0"/>
    <n v="0"/>
    <n v="0"/>
    <n v="0"/>
    <n v="0"/>
    <n v="0"/>
    <x v="1"/>
    <n v="0"/>
    <s v="MMR001CMP038"/>
    <x v="0"/>
    <x v="1"/>
    <x v="1"/>
    <n v="0"/>
    <m/>
    <m/>
  </r>
  <r>
    <n v="30.766666666666666"/>
    <d v="2013-11-30T00:00:00"/>
    <x v="5"/>
    <s v="KBC"/>
    <s v="Kachin"/>
    <s v="Waingmaw"/>
    <s v="Waingmaw AG Church"/>
    <m/>
    <m/>
    <m/>
    <m/>
    <m/>
    <m/>
    <m/>
    <m/>
    <m/>
    <m/>
    <m/>
    <m/>
    <m/>
    <m/>
    <m/>
    <m/>
    <m/>
    <n v="0"/>
    <n v="0"/>
    <n v="0"/>
    <n v="0"/>
    <n v="0"/>
    <n v="0"/>
    <n v="0"/>
    <n v="0"/>
    <n v="0"/>
    <n v="0"/>
    <n v="0"/>
    <n v="0"/>
    <n v="0"/>
    <n v="0"/>
    <x v="0"/>
    <n v="0"/>
    <s v="MMR001CMP038"/>
    <x v="0"/>
    <x v="1"/>
    <x v="1"/>
    <n v="0"/>
    <s v="No"/>
    <m/>
  </r>
  <r>
    <n v="35.06666666666667"/>
    <d v="2013-07-24T00:00:00"/>
    <x v="0"/>
    <s v="Shalom"/>
    <s v="Kachin"/>
    <s v="Waingmaw"/>
    <s v="Waingmaw AG Church"/>
    <m/>
    <m/>
    <n v="22"/>
    <n v="32"/>
    <n v="15"/>
    <n v="32"/>
    <n v="15"/>
    <n v="15"/>
    <n v="15"/>
    <n v="15"/>
    <m/>
    <m/>
    <m/>
    <m/>
    <m/>
    <m/>
    <m/>
    <n v="0"/>
    <n v="0"/>
    <n v="0"/>
    <n v="0"/>
    <n v="0"/>
    <n v="0"/>
    <n v="0"/>
    <n v="0"/>
    <n v="0"/>
    <n v="0"/>
    <n v="0"/>
    <n v="0"/>
    <n v="0"/>
    <n v="0"/>
    <x v="0"/>
    <n v="0"/>
    <s v="MMR001CMP038"/>
    <x v="0"/>
    <x v="1"/>
    <x v="1"/>
    <n v="0.21428571428571427"/>
    <s v="No"/>
    <m/>
  </r>
  <r>
    <n v="38.799999999999997"/>
    <d v="2013-04-03T00:00:00"/>
    <x v="0"/>
    <s v="UNHCR"/>
    <s v="Kachin"/>
    <s v="Waingmaw"/>
    <s v="Waingmaw AG Church"/>
    <m/>
    <m/>
    <n v="4"/>
    <n v="7"/>
    <n v="3"/>
    <n v="7"/>
    <n v="3"/>
    <n v="3"/>
    <n v="3"/>
    <n v="3"/>
    <m/>
    <m/>
    <m/>
    <m/>
    <m/>
    <m/>
    <m/>
    <n v="0"/>
    <n v="0"/>
    <n v="0"/>
    <n v="0"/>
    <n v="0"/>
    <n v="0"/>
    <n v="0"/>
    <n v="0"/>
    <n v="0"/>
    <n v="0"/>
    <n v="0"/>
    <n v="0"/>
    <n v="0"/>
    <n v="0"/>
    <x v="0"/>
    <n v="0"/>
    <s v="MMR001CMP038"/>
    <x v="0"/>
    <x v="1"/>
    <x v="1"/>
    <n v="4.2857142857142858E-2"/>
    <s v="No"/>
    <m/>
  </r>
  <r>
    <n v="40.866666666666667"/>
    <d v="2013-01-31T00:00:00"/>
    <x v="7"/>
    <s v="World Vision"/>
    <s v="Kachin"/>
    <s v="Waingmaw"/>
    <s v="Waingmaw AG Church"/>
    <m/>
    <m/>
    <m/>
    <m/>
    <m/>
    <n v="104"/>
    <m/>
    <m/>
    <n v="0"/>
    <n v="0"/>
    <m/>
    <m/>
    <m/>
    <m/>
    <m/>
    <m/>
    <m/>
    <n v="0"/>
    <n v="0"/>
    <n v="0"/>
    <n v="0"/>
    <n v="0"/>
    <n v="0"/>
    <n v="0"/>
    <n v="0"/>
    <n v="0"/>
    <n v="0"/>
    <n v="0"/>
    <n v="0"/>
    <n v="0"/>
    <n v="0"/>
    <x v="0"/>
    <n v="0"/>
    <s v="MMR001CMP038"/>
    <x v="0"/>
    <x v="1"/>
    <x v="1"/>
    <n v="0"/>
    <s v="No"/>
    <m/>
  </r>
  <r>
    <n v="41.9"/>
    <d v="2012-12-31T00:00:00"/>
    <x v="3"/>
    <s v="DRC"/>
    <s v="Kachin"/>
    <s v="Waingmaw"/>
    <s v="Waingmaw AG Church"/>
    <n v="56"/>
    <m/>
    <m/>
    <m/>
    <m/>
    <m/>
    <m/>
    <m/>
    <n v="0"/>
    <n v="0"/>
    <m/>
    <m/>
    <m/>
    <m/>
    <m/>
    <m/>
    <m/>
    <n v="0"/>
    <n v="0"/>
    <n v="0"/>
    <n v="0"/>
    <n v="0"/>
    <n v="0"/>
    <n v="0"/>
    <n v="0"/>
    <n v="0"/>
    <n v="0"/>
    <n v="0"/>
    <n v="0"/>
    <n v="0"/>
    <n v="0"/>
    <x v="0"/>
    <n v="0"/>
    <s v="MMR001CMP038"/>
    <x v="0"/>
    <x v="1"/>
    <x v="1"/>
    <n v="0"/>
    <s v="No"/>
    <m/>
  </r>
  <r>
    <n v="45.5"/>
    <d v="2012-09-14T00:00:00"/>
    <x v="0"/>
    <s v="UNHCR"/>
    <s v="Kachin"/>
    <s v="Waingmaw"/>
    <s v="Waingmaw AG Church"/>
    <m/>
    <m/>
    <m/>
    <n v="14"/>
    <n v="8"/>
    <n v="14"/>
    <n v="8"/>
    <n v="8"/>
    <n v="8"/>
    <n v="8"/>
    <m/>
    <m/>
    <m/>
    <m/>
    <m/>
    <m/>
    <m/>
    <n v="0"/>
    <n v="0"/>
    <n v="0"/>
    <n v="0"/>
    <n v="0"/>
    <n v="0"/>
    <n v="0"/>
    <n v="0"/>
    <n v="0"/>
    <n v="0"/>
    <n v="0"/>
    <n v="0"/>
    <n v="0"/>
    <n v="0"/>
    <x v="0"/>
    <n v="0"/>
    <s v="MMR001CMP038"/>
    <x v="0"/>
    <x v="1"/>
    <x v="1"/>
    <n v="0.11428571428571428"/>
    <s v="No"/>
    <m/>
  </r>
  <r>
    <n v="47.833333333333336"/>
    <d v="2012-07-06T00:00:00"/>
    <x v="0"/>
    <s v="UNHCR"/>
    <s v="Kachin"/>
    <s v="Waingmaw"/>
    <s v="Waingmaw AG Church"/>
    <m/>
    <m/>
    <m/>
    <n v="17"/>
    <n v="17"/>
    <n v="17"/>
    <n v="17"/>
    <n v="17"/>
    <n v="17"/>
    <n v="17"/>
    <m/>
    <m/>
    <m/>
    <m/>
    <m/>
    <m/>
    <m/>
    <n v="0"/>
    <n v="0"/>
    <n v="0"/>
    <n v="0"/>
    <n v="0"/>
    <n v="0"/>
    <n v="0"/>
    <n v="0"/>
    <n v="0"/>
    <n v="0"/>
    <n v="0"/>
    <n v="0"/>
    <n v="0"/>
    <n v="0"/>
    <x v="0"/>
    <n v="0"/>
    <s v="MMR001CMP038"/>
    <x v="0"/>
    <x v="1"/>
    <x v="1"/>
    <n v="0.24285714285714285"/>
    <s v="No"/>
    <m/>
  </r>
  <r>
    <n v="48.4"/>
    <d v="2012-06-19T00:00:00"/>
    <x v="0"/>
    <s v="UNHCR"/>
    <s v="Kachin"/>
    <s v="Waingmaw"/>
    <s v="Waingmaw AG Church"/>
    <m/>
    <m/>
    <m/>
    <n v="28"/>
    <n v="15"/>
    <n v="28"/>
    <n v="15"/>
    <n v="15"/>
    <n v="15"/>
    <n v="15"/>
    <m/>
    <m/>
    <m/>
    <m/>
    <m/>
    <m/>
    <m/>
    <n v="0"/>
    <n v="0"/>
    <n v="0"/>
    <n v="0"/>
    <n v="0"/>
    <n v="0"/>
    <n v="0"/>
    <n v="0"/>
    <n v="0"/>
    <n v="0"/>
    <n v="0"/>
    <n v="0"/>
    <n v="0"/>
    <n v="0"/>
    <x v="0"/>
    <n v="0"/>
    <s v="MMR001CMP038"/>
    <x v="0"/>
    <x v="1"/>
    <x v="1"/>
    <n v="0.21428571428571427"/>
    <s v="No"/>
    <m/>
  </r>
  <r>
    <n v="53.9"/>
    <d v="2012-01-06T00:00:00"/>
    <x v="0"/>
    <s v="UNHCR"/>
    <s v="Kachin"/>
    <s v="Waingmaw"/>
    <s v="Waingmaw AG Church"/>
    <m/>
    <m/>
    <m/>
    <n v="29"/>
    <n v="14"/>
    <n v="29"/>
    <n v="14"/>
    <n v="14"/>
    <n v="14"/>
    <n v="14"/>
    <m/>
    <m/>
    <m/>
    <m/>
    <m/>
    <m/>
    <m/>
    <n v="0"/>
    <n v="0"/>
    <n v="0"/>
    <n v="0"/>
    <n v="0"/>
    <n v="0"/>
    <n v="0"/>
    <n v="0"/>
    <n v="0"/>
    <n v="0"/>
    <n v="0"/>
    <n v="0"/>
    <n v="0"/>
    <n v="0"/>
    <x v="0"/>
    <n v="0"/>
    <s v="MMR001CMP038"/>
    <x v="0"/>
    <x v="1"/>
    <x v="1"/>
    <n v="0.2"/>
    <s v="No"/>
    <m/>
  </r>
  <r>
    <n v="40.866666666666667"/>
    <d v="2013-01-31T00:00:00"/>
    <x v="7"/>
    <s v="World Vision"/>
    <s v="Kachin"/>
    <s v="Waingmaw"/>
    <s v="Waingmaw Baptist Zonal Office"/>
    <m/>
    <m/>
    <m/>
    <m/>
    <m/>
    <n v="224"/>
    <m/>
    <m/>
    <n v="0"/>
    <n v="0"/>
    <m/>
    <m/>
    <m/>
    <m/>
    <m/>
    <m/>
    <m/>
    <n v="0"/>
    <n v="0"/>
    <n v="0"/>
    <n v="0"/>
    <n v="0"/>
    <n v="0"/>
    <n v="0"/>
    <n v="0"/>
    <n v="0"/>
    <n v="0"/>
    <n v="0"/>
    <n v="0"/>
    <n v="0"/>
    <n v="0"/>
    <x v="0"/>
    <n v="0"/>
    <s v="MMR001CMP036"/>
    <x v="0"/>
    <x v="0"/>
    <x v="1"/>
    <s v=""/>
    <s v="No"/>
    <m/>
  </r>
  <r>
    <n v="47.6"/>
    <d v="2012-07-13T00:00:00"/>
    <x v="0"/>
    <s v="UNHCR"/>
    <s v="Kachin"/>
    <s v="Waingmaw"/>
    <s v="Waingmaw Baptist Zonal Office"/>
    <m/>
    <m/>
    <m/>
    <n v="2"/>
    <n v="2"/>
    <n v="2"/>
    <n v="2"/>
    <n v="2"/>
    <n v="2"/>
    <n v="2"/>
    <m/>
    <m/>
    <m/>
    <m/>
    <m/>
    <m/>
    <m/>
    <n v="0"/>
    <n v="0"/>
    <n v="0"/>
    <n v="0"/>
    <n v="0"/>
    <n v="0"/>
    <n v="0"/>
    <n v="0"/>
    <n v="0"/>
    <n v="0"/>
    <n v="0"/>
    <n v="0"/>
    <n v="0"/>
    <n v="0"/>
    <x v="0"/>
    <n v="0"/>
    <s v="MMR001CMP036"/>
    <x v="0"/>
    <x v="0"/>
    <x v="1"/>
    <s v=""/>
    <s v="No"/>
    <m/>
  </r>
  <r>
    <n v="48.366666666666667"/>
    <d v="2012-06-20T00:00:00"/>
    <x v="0"/>
    <s v="UNHCR"/>
    <s v="Kachin"/>
    <s v="Waingmaw"/>
    <s v="Waingmaw Baptist Zonal Office"/>
    <m/>
    <m/>
    <m/>
    <n v="141"/>
    <n v="81"/>
    <n v="148"/>
    <n v="84"/>
    <n v="78"/>
    <n v="78"/>
    <n v="78"/>
    <m/>
    <m/>
    <m/>
    <m/>
    <m/>
    <m/>
    <m/>
    <n v="0"/>
    <n v="0"/>
    <n v="0"/>
    <n v="0"/>
    <n v="0"/>
    <n v="0"/>
    <n v="0"/>
    <n v="0"/>
    <n v="0"/>
    <n v="0"/>
    <n v="0"/>
    <n v="0"/>
    <n v="0"/>
    <n v="0"/>
    <x v="0"/>
    <n v="0"/>
    <s v="MMR001CMP036"/>
    <x v="0"/>
    <x v="0"/>
    <x v="1"/>
    <s v=""/>
    <s v="No"/>
    <m/>
  </r>
  <r>
    <n v="49.766666666666666"/>
    <d v="2012-05-09T00:00:00"/>
    <x v="0"/>
    <s v="UNHCR"/>
    <s v="Kachin"/>
    <s v="Waingmaw"/>
    <s v="Waingmaw Baptist Zonal Office"/>
    <m/>
    <m/>
    <m/>
    <n v="161"/>
    <n v="83"/>
    <n v="161"/>
    <n v="83"/>
    <n v="83"/>
    <n v="83"/>
    <n v="83"/>
    <m/>
    <m/>
    <m/>
    <m/>
    <m/>
    <m/>
    <m/>
    <n v="0"/>
    <n v="0"/>
    <n v="0"/>
    <n v="0"/>
    <n v="0"/>
    <n v="0"/>
    <n v="0"/>
    <n v="0"/>
    <n v="0"/>
    <n v="0"/>
    <n v="0"/>
    <n v="0"/>
    <n v="0"/>
    <n v="0"/>
    <x v="0"/>
    <n v="0"/>
    <s v="MMR001CMP036"/>
    <x v="0"/>
    <x v="0"/>
    <x v="1"/>
    <s v=""/>
    <s v="No"/>
    <m/>
  </r>
  <r>
    <n v="37.366666666666667"/>
    <d v="2013-05-16T00:00:00"/>
    <x v="8"/>
    <s v="KMSS"/>
    <s v="Kachin"/>
    <s v="Hpakant"/>
    <s v="Ward 2 Cahotlic Church, Seik Mu"/>
    <n v="103"/>
    <m/>
    <m/>
    <m/>
    <m/>
    <m/>
    <m/>
    <m/>
    <m/>
    <m/>
    <m/>
    <m/>
    <m/>
    <m/>
    <m/>
    <m/>
    <m/>
    <n v="0"/>
    <n v="0"/>
    <n v="0"/>
    <n v="0"/>
    <n v="0"/>
    <n v="0"/>
    <n v="0"/>
    <n v="0"/>
    <n v="0"/>
    <n v="0"/>
    <n v="0"/>
    <n v="0"/>
    <n v="0"/>
    <n v="0"/>
    <x v="0"/>
    <n v="0"/>
    <s v="MMR001CMP185"/>
    <x v="0"/>
    <x v="0"/>
    <x v="0"/>
    <s v=""/>
    <s v="No"/>
    <m/>
  </r>
  <r>
    <n v="17.133333333333333"/>
    <d v="2015-01-13T00:00:00"/>
    <x v="1"/>
    <s v="MRCS"/>
    <s v="Kachin"/>
    <s v="Hpakant"/>
    <s v="Ward 2 Sai Taung Baptist Church, Seik Mu "/>
    <m/>
    <m/>
    <m/>
    <m/>
    <m/>
    <m/>
    <m/>
    <m/>
    <m/>
    <m/>
    <n v="94"/>
    <n v="58"/>
    <m/>
    <m/>
    <m/>
    <m/>
    <m/>
    <n v="0"/>
    <n v="0"/>
    <n v="0"/>
    <n v="0"/>
    <n v="0"/>
    <n v="0"/>
    <n v="0"/>
    <n v="0"/>
    <n v="0"/>
    <n v="0"/>
    <n v="0"/>
    <n v="0"/>
    <n v="0"/>
    <n v="0"/>
    <x v="1"/>
    <n v="0"/>
    <s v="MMR001CMP184"/>
    <x v="0"/>
    <x v="1"/>
    <x v="1"/>
    <n v="0"/>
    <m/>
    <m/>
  </r>
  <r>
    <n v="19.600000000000001"/>
    <d v="2014-10-31T00:00:00"/>
    <x v="0"/>
    <m/>
    <s v="Kachin"/>
    <s v="Hpakant"/>
    <s v="Ward 2 Sai Taung Baptist Church, Seik Mu "/>
    <m/>
    <m/>
    <n v="38"/>
    <n v="76"/>
    <n v="38"/>
    <n v="76"/>
    <n v="38"/>
    <m/>
    <n v="38"/>
    <n v="190"/>
    <m/>
    <m/>
    <m/>
    <m/>
    <m/>
    <m/>
    <m/>
    <n v="0"/>
    <n v="0"/>
    <n v="0"/>
    <n v="0"/>
    <n v="0"/>
    <n v="0"/>
    <n v="0"/>
    <n v="0"/>
    <n v="0"/>
    <n v="0"/>
    <n v="0"/>
    <n v="0"/>
    <n v="0"/>
    <n v="0"/>
    <x v="0"/>
    <n v="0"/>
    <s v="MMR001CMP184"/>
    <x v="0"/>
    <x v="1"/>
    <x v="1"/>
    <n v="1.0857142857142856"/>
    <m/>
    <m/>
  </r>
  <r>
    <n v="39.266666666666666"/>
    <d v="2013-03-20T00:00:00"/>
    <x v="0"/>
    <s v="UNHCR"/>
    <s v="Kachin"/>
    <s v="Hpakant"/>
    <s v="Ward 2 Sai Taung Baptist Church, Seik Mu "/>
    <m/>
    <m/>
    <n v="124"/>
    <n v="117"/>
    <n v="121"/>
    <n v="227"/>
    <n v="122"/>
    <n v="263"/>
    <n v="263"/>
    <n v="263"/>
    <m/>
    <m/>
    <m/>
    <m/>
    <m/>
    <m/>
    <m/>
    <n v="0"/>
    <n v="0"/>
    <n v="0"/>
    <n v="0"/>
    <n v="0"/>
    <n v="0"/>
    <n v="0"/>
    <n v="0"/>
    <n v="0"/>
    <n v="0"/>
    <n v="0"/>
    <n v="0"/>
    <n v="0"/>
    <n v="0"/>
    <x v="0"/>
    <n v="0"/>
    <s v="MMR001CMP184"/>
    <x v="0"/>
    <x v="1"/>
    <x v="1"/>
    <n v="3.4857142857142858"/>
    <s v="No"/>
    <m/>
  </r>
  <r>
    <n v="16"/>
    <d v="2015-02-16T00:00:00"/>
    <x v="0"/>
    <s v="KMSS"/>
    <s v="Kachin"/>
    <s v="Waingmaw"/>
    <s v="Woi Chyai "/>
    <m/>
    <m/>
    <m/>
    <m/>
    <m/>
    <m/>
    <m/>
    <m/>
    <m/>
    <m/>
    <n v="1620"/>
    <n v="2207"/>
    <m/>
    <n v="1760"/>
    <m/>
    <m/>
    <m/>
    <n v="0"/>
    <n v="0"/>
    <n v="0"/>
    <n v="0"/>
    <n v="0"/>
    <n v="0"/>
    <n v="0"/>
    <n v="0"/>
    <n v="0"/>
    <n v="0"/>
    <n v="0"/>
    <n v="0"/>
    <n v="0"/>
    <n v="0"/>
    <x v="1"/>
    <n v="0"/>
    <s v="MMR001CMP116"/>
    <x v="0"/>
    <x v="1"/>
    <x v="1"/>
    <n v="0"/>
    <s v="No"/>
    <m/>
  </r>
  <r>
    <n v="22.733333333333334"/>
    <d v="2014-07-29T00:00:00"/>
    <x v="0"/>
    <m/>
    <s v="Kachin"/>
    <s v="Waingmaw"/>
    <s v="Woi Chyai "/>
    <m/>
    <m/>
    <m/>
    <n v="46"/>
    <n v="46"/>
    <n v="46"/>
    <n v="16"/>
    <m/>
    <n v="16"/>
    <n v="142"/>
    <m/>
    <m/>
    <m/>
    <m/>
    <m/>
    <m/>
    <m/>
    <n v="0"/>
    <n v="0"/>
    <n v="0"/>
    <n v="0"/>
    <n v="0"/>
    <n v="0"/>
    <n v="0"/>
    <n v="0"/>
    <n v="0"/>
    <n v="0"/>
    <n v="0"/>
    <n v="0"/>
    <n v="0"/>
    <n v="0"/>
    <x v="0"/>
    <n v="0"/>
    <s v="MMR001CMP116"/>
    <x v="0"/>
    <x v="1"/>
    <x v="1"/>
    <n v="1.1816838995568686E-2"/>
    <m/>
    <m/>
  </r>
  <r>
    <n v="30.766666666666666"/>
    <d v="2013-11-30T00:00:00"/>
    <x v="5"/>
    <s v="KBC"/>
    <s v="Kachin"/>
    <s v="Waingmaw"/>
    <s v="Woi Chyai "/>
    <m/>
    <m/>
    <m/>
    <m/>
    <m/>
    <m/>
    <m/>
    <m/>
    <m/>
    <n v="1851"/>
    <m/>
    <m/>
    <m/>
    <m/>
    <m/>
    <m/>
    <m/>
    <n v="0"/>
    <n v="0"/>
    <n v="0"/>
    <n v="0"/>
    <n v="0"/>
    <n v="0"/>
    <n v="0"/>
    <n v="0"/>
    <n v="0"/>
    <n v="0"/>
    <n v="0"/>
    <n v="0"/>
    <n v="0"/>
    <n v="0"/>
    <x v="0"/>
    <n v="0"/>
    <s v="MMR001CMP116"/>
    <x v="0"/>
    <x v="1"/>
    <x v="1"/>
    <n v="0"/>
    <s v="No"/>
    <m/>
  </r>
  <r>
    <n v="33.200000000000003"/>
    <d v="2013-09-18T00:00:00"/>
    <x v="0"/>
    <s v="UNHCR"/>
    <s v="Kachin"/>
    <s v="Waingmaw"/>
    <s v="Woi Chyai "/>
    <m/>
    <m/>
    <n v="1520"/>
    <n v="1520"/>
    <n v="760"/>
    <n v="1520"/>
    <n v="760"/>
    <n v="760"/>
    <m/>
    <m/>
    <m/>
    <m/>
    <m/>
    <m/>
    <m/>
    <m/>
    <m/>
    <n v="0"/>
    <n v="0"/>
    <n v="0"/>
    <n v="0"/>
    <n v="0"/>
    <n v="0"/>
    <n v="0"/>
    <n v="0"/>
    <n v="0"/>
    <n v="0"/>
    <n v="0"/>
    <n v="0"/>
    <n v="0"/>
    <n v="0"/>
    <x v="0"/>
    <n v="0"/>
    <s v="MMR001CMP116"/>
    <x v="0"/>
    <x v="1"/>
    <x v="1"/>
    <n v="0.56129985228951251"/>
    <s v="No"/>
    <m/>
  </r>
  <r>
    <n v="42.6"/>
    <d v="2012-12-10T00:00:00"/>
    <x v="5"/>
    <s v="Solidarities"/>
    <s v="Kachin"/>
    <s v="Waingmaw"/>
    <s v="Woi Chyai "/>
    <n v="4285"/>
    <m/>
    <n v="4055"/>
    <m/>
    <m/>
    <m/>
    <m/>
    <m/>
    <n v="0"/>
    <n v="0"/>
    <m/>
    <m/>
    <m/>
    <m/>
    <m/>
    <m/>
    <m/>
    <n v="0"/>
    <n v="0"/>
    <n v="0"/>
    <n v="0"/>
    <n v="0"/>
    <n v="0"/>
    <n v="0"/>
    <n v="0"/>
    <n v="0"/>
    <n v="0"/>
    <n v="0"/>
    <n v="0"/>
    <n v="0"/>
    <n v="0"/>
    <x v="0"/>
    <n v="0"/>
    <s v="MMR001CMP116"/>
    <x v="0"/>
    <x v="1"/>
    <x v="1"/>
    <n v="0"/>
    <s v="No"/>
    <m/>
  </r>
  <r>
    <n v="40.033333333333331"/>
    <d v="2013-02-25T00:00:00"/>
    <x v="0"/>
    <s v="Chipwe CM"/>
    <s v="Kachin"/>
    <s v="Chipwi"/>
    <s v="Women's Affairs Association Building"/>
    <m/>
    <m/>
    <n v="12"/>
    <n v="18"/>
    <n v="8"/>
    <n v="18"/>
    <n v="8"/>
    <n v="8"/>
    <n v="8"/>
    <n v="8"/>
    <m/>
    <m/>
    <m/>
    <m/>
    <m/>
    <m/>
    <m/>
    <n v="0"/>
    <n v="0"/>
    <n v="0"/>
    <n v="0"/>
    <n v="0"/>
    <n v="0"/>
    <n v="0"/>
    <n v="0"/>
    <n v="0"/>
    <n v="0"/>
    <n v="0"/>
    <n v="0"/>
    <n v="0"/>
    <n v="0"/>
    <x v="0"/>
    <n v="0"/>
    <s v="MMR001CMP044"/>
    <x v="0"/>
    <x v="0"/>
    <x v="0"/>
    <s v=""/>
    <s v="No"/>
    <m/>
  </r>
  <r>
    <n v="44.966666666666669"/>
    <d v="2012-09-30T00:00:00"/>
    <x v="0"/>
    <s v="Chipwe CM"/>
    <s v="Kachin"/>
    <s v="Chipwi"/>
    <s v="Women's Affairs Association Building"/>
    <m/>
    <m/>
    <m/>
    <n v="34"/>
    <n v="12"/>
    <n v="34"/>
    <n v="12"/>
    <n v="12"/>
    <n v="12"/>
    <n v="12"/>
    <m/>
    <m/>
    <m/>
    <m/>
    <m/>
    <m/>
    <m/>
    <n v="0"/>
    <n v="0"/>
    <n v="0"/>
    <n v="0"/>
    <n v="0"/>
    <n v="0"/>
    <n v="0"/>
    <n v="0"/>
    <n v="0"/>
    <n v="0"/>
    <n v="0"/>
    <n v="0"/>
    <n v="0"/>
    <n v="0"/>
    <x v="0"/>
    <n v="0"/>
    <s v="MMR001CMP044"/>
    <x v="0"/>
    <x v="0"/>
    <x v="0"/>
    <s v=""/>
    <s v="No"/>
    <m/>
  </r>
  <r>
    <n v="39.266666666666666"/>
    <d v="2013-03-20T00:00:00"/>
    <x v="0"/>
    <s v="UNHCR"/>
    <s v="Kachin"/>
    <s v="Hpakant"/>
    <s v="Wrad(5) Christian Association"/>
    <m/>
    <m/>
    <n v="34"/>
    <n v="26"/>
    <n v="26"/>
    <n v="60"/>
    <n v="26"/>
    <n v="60"/>
    <n v="60"/>
    <n v="60"/>
    <m/>
    <m/>
    <m/>
    <m/>
    <m/>
    <m/>
    <m/>
    <n v="0"/>
    <n v="0"/>
    <n v="0"/>
    <n v="0"/>
    <n v="0"/>
    <n v="0"/>
    <n v="0"/>
    <n v="0"/>
    <n v="0"/>
    <n v="0"/>
    <n v="0"/>
    <n v="0"/>
    <n v="0"/>
    <n v="0"/>
    <x v="0"/>
    <n v="0"/>
    <s v="MMR001CMP175"/>
    <x v="0"/>
    <x v="0"/>
    <x v="0"/>
    <s v=""/>
    <s v="No"/>
    <m/>
  </r>
  <r>
    <n v="40.233333333333334"/>
    <d v="2013-02-19T00:00:00"/>
    <x v="0"/>
    <s v="UNHCR"/>
    <s v="Kachin"/>
    <s v="Hpakant"/>
    <s v="Wrad(5) Christian Association"/>
    <m/>
    <m/>
    <n v="2"/>
    <n v="3"/>
    <n v="2"/>
    <n v="7"/>
    <n v="2"/>
    <n v="2"/>
    <n v="2"/>
    <n v="2"/>
    <m/>
    <m/>
    <m/>
    <m/>
    <m/>
    <m/>
    <m/>
    <n v="0"/>
    <n v="0"/>
    <n v="0"/>
    <n v="0"/>
    <n v="0"/>
    <n v="0"/>
    <n v="0"/>
    <n v="0"/>
    <n v="0"/>
    <n v="0"/>
    <n v="0"/>
    <n v="0"/>
    <n v="0"/>
    <n v="0"/>
    <x v="0"/>
    <n v="0"/>
    <s v="MMR001CMP175"/>
    <x v="0"/>
    <x v="0"/>
    <x v="0"/>
    <s v=""/>
    <s v="No"/>
    <m/>
  </r>
  <r>
    <n v="41.9"/>
    <d v="2012-12-31T00:00:00"/>
    <x v="3"/>
    <s v="DRC"/>
    <s v="Kachin"/>
    <s v="Hpakant"/>
    <s v="Wrad(5) Christian Association"/>
    <n v="3"/>
    <m/>
    <m/>
    <m/>
    <m/>
    <m/>
    <m/>
    <m/>
    <n v="0"/>
    <n v="0"/>
    <m/>
    <m/>
    <m/>
    <m/>
    <m/>
    <m/>
    <m/>
    <n v="0"/>
    <n v="0"/>
    <n v="0"/>
    <n v="0"/>
    <n v="0"/>
    <n v="0"/>
    <n v="0"/>
    <n v="0"/>
    <n v="0"/>
    <n v="0"/>
    <n v="0"/>
    <n v="0"/>
    <n v="0"/>
    <n v="0"/>
    <x v="0"/>
    <n v="0"/>
    <s v="MMR001CMP175"/>
    <x v="0"/>
    <x v="0"/>
    <x v="0"/>
    <s v=""/>
    <s v="No"/>
    <m/>
  </r>
  <r>
    <n v="20.6"/>
    <d v="2014-10-01T00:00:00"/>
    <x v="0"/>
    <s v="Shalom"/>
    <s v="Kachin"/>
    <s v="Myitkyina"/>
    <s v="Wun Tho Buddhist Monastery"/>
    <m/>
    <m/>
    <m/>
    <n v="12"/>
    <m/>
    <m/>
    <m/>
    <m/>
    <m/>
    <m/>
    <m/>
    <m/>
    <m/>
    <m/>
    <m/>
    <m/>
    <m/>
    <n v="0"/>
    <n v="0"/>
    <n v="0"/>
    <n v="0"/>
    <n v="0"/>
    <n v="0"/>
    <n v="0"/>
    <n v="0"/>
    <n v="0"/>
    <n v="0"/>
    <n v="0"/>
    <n v="0"/>
    <n v="0"/>
    <n v="0"/>
    <x v="0"/>
    <n v="0"/>
    <s v="MMR001CMP022"/>
    <x v="0"/>
    <x v="1"/>
    <x v="1"/>
    <n v="0"/>
    <m/>
    <m/>
  </r>
  <r>
    <n v="24.733333333333334"/>
    <d v="2014-05-30T00:00:00"/>
    <x v="6"/>
    <s v="MRCS"/>
    <s v="Kachin"/>
    <s v="Myitkyina"/>
    <s v="Wun Tho Buddhist Monastery"/>
    <m/>
    <m/>
    <m/>
    <m/>
    <m/>
    <m/>
    <m/>
    <m/>
    <m/>
    <m/>
    <m/>
    <m/>
    <m/>
    <n v="12"/>
    <m/>
    <m/>
    <m/>
    <n v="0"/>
    <n v="0"/>
    <n v="0"/>
    <n v="0"/>
    <n v="0"/>
    <n v="0"/>
    <n v="0"/>
    <n v="0"/>
    <n v="0"/>
    <n v="0"/>
    <n v="0"/>
    <n v="0"/>
    <n v="0"/>
    <n v="0"/>
    <x v="1"/>
    <n v="0"/>
    <s v="MMR001CMP022"/>
    <x v="0"/>
    <x v="1"/>
    <x v="1"/>
    <n v="0"/>
    <m/>
    <m/>
  </r>
  <r>
    <n v="41.9"/>
    <d v="2012-12-31T00:00:00"/>
    <x v="3"/>
    <s v="DRC"/>
    <s v="Kachin"/>
    <s v="Myitkyina"/>
    <s v="Wun Tho Buddhist Monastery"/>
    <n v="24"/>
    <m/>
    <m/>
    <m/>
    <m/>
    <m/>
    <m/>
    <m/>
    <n v="0"/>
    <n v="0"/>
    <m/>
    <m/>
    <m/>
    <m/>
    <m/>
    <m/>
    <m/>
    <n v="0"/>
    <n v="0"/>
    <n v="0"/>
    <n v="0"/>
    <n v="0"/>
    <n v="0"/>
    <n v="0"/>
    <n v="0"/>
    <n v="0"/>
    <n v="0"/>
    <n v="0"/>
    <n v="0"/>
    <n v="0"/>
    <n v="0"/>
    <x v="0"/>
    <n v="0"/>
    <s v="MMR001CMP022"/>
    <x v="0"/>
    <x v="1"/>
    <x v="1"/>
    <n v="0"/>
    <s v="No"/>
    <m/>
  </r>
  <r>
    <n v="46.1"/>
    <d v="2012-08-27T00:00:00"/>
    <x v="0"/>
    <s v="UNHCR"/>
    <s v="Kachin"/>
    <s v="Myitkyina"/>
    <s v="Wun Tho Buddhist Monastery"/>
    <m/>
    <m/>
    <m/>
    <n v="10"/>
    <n v="5"/>
    <n v="10"/>
    <n v="5"/>
    <n v="5"/>
    <n v="5"/>
    <n v="5"/>
    <m/>
    <m/>
    <m/>
    <m/>
    <m/>
    <m/>
    <m/>
    <n v="0"/>
    <n v="0"/>
    <n v="0"/>
    <n v="0"/>
    <n v="0"/>
    <n v="0"/>
    <n v="0"/>
    <n v="0"/>
    <n v="0"/>
    <n v="0"/>
    <n v="0"/>
    <n v="0"/>
    <n v="0"/>
    <n v="0"/>
    <x v="0"/>
    <n v="0"/>
    <s v="MMR001CMP022"/>
    <x v="0"/>
    <x v="1"/>
    <x v="1"/>
    <n v="0.7142857142857143"/>
    <s v="No"/>
    <m/>
  </r>
  <r>
    <n v="46.7"/>
    <d v="2012-08-09T00:00:00"/>
    <x v="0"/>
    <s v="UNHCR"/>
    <s v="Kachin"/>
    <s v="Myitkyina"/>
    <s v="Wun Tho Buddhist Monastery"/>
    <m/>
    <m/>
    <m/>
    <n v="10"/>
    <n v="5"/>
    <n v="10"/>
    <n v="5"/>
    <n v="5"/>
    <n v="5"/>
    <n v="5"/>
    <m/>
    <m/>
    <m/>
    <m/>
    <m/>
    <m/>
    <m/>
    <n v="0"/>
    <n v="0"/>
    <n v="0"/>
    <n v="0"/>
    <n v="0"/>
    <n v="0"/>
    <n v="0"/>
    <n v="0"/>
    <n v="0"/>
    <n v="0"/>
    <n v="0"/>
    <n v="0"/>
    <n v="0"/>
    <n v="0"/>
    <x v="0"/>
    <n v="0"/>
    <s v="MMR001CMP022"/>
    <x v="0"/>
    <x v="1"/>
    <x v="1"/>
    <n v="0.7142857142857143"/>
    <s v="No"/>
    <m/>
  </r>
  <r>
    <n v="47.4"/>
    <d v="2012-07-19T00:00:00"/>
    <x v="0"/>
    <s v="UNHCR"/>
    <s v="Kachin"/>
    <s v="Myitkyina"/>
    <s v="Wun Tho Buddhist Monastery"/>
    <m/>
    <m/>
    <m/>
    <n v="9"/>
    <n v="5"/>
    <n v="9"/>
    <n v="5"/>
    <n v="5"/>
    <n v="5"/>
    <n v="5"/>
    <m/>
    <m/>
    <m/>
    <m/>
    <m/>
    <m/>
    <m/>
    <n v="0"/>
    <n v="0"/>
    <n v="0"/>
    <n v="0"/>
    <n v="0"/>
    <n v="0"/>
    <n v="0"/>
    <n v="0"/>
    <n v="0"/>
    <n v="0"/>
    <n v="0"/>
    <n v="0"/>
    <n v="0"/>
    <n v="0"/>
    <x v="0"/>
    <n v="0"/>
    <s v="MMR001CMP022"/>
    <x v="0"/>
    <x v="1"/>
    <x v="1"/>
    <n v="0.7142857142857143"/>
    <s v="No"/>
    <m/>
  </r>
  <r>
    <n v="50.233333333333334"/>
    <d v="2012-04-25T00:00:00"/>
    <x v="0"/>
    <s v="UNHCR"/>
    <s v="Kachin"/>
    <s v="Myitkyina"/>
    <s v="Wun Tho Buddhist Monastery"/>
    <m/>
    <m/>
    <m/>
    <n v="39"/>
    <n v="19"/>
    <n v="78"/>
    <n v="19"/>
    <n v="0"/>
    <m/>
    <m/>
    <m/>
    <m/>
    <m/>
    <m/>
    <m/>
    <m/>
    <m/>
    <n v="0"/>
    <n v="0"/>
    <n v="0"/>
    <n v="0"/>
    <n v="0"/>
    <n v="0"/>
    <n v="0"/>
    <n v="0"/>
    <n v="0"/>
    <n v="0"/>
    <n v="0"/>
    <n v="0"/>
    <n v="0"/>
    <n v="0"/>
    <x v="0"/>
    <n v="0"/>
    <s v="MMR001CMP022"/>
    <x v="0"/>
    <x v="1"/>
    <x v="1"/>
    <n v="2.7142857142857144"/>
    <s v="No"/>
    <m/>
  </r>
  <r>
    <n v="52.166666666666664"/>
    <d v="2012-02-27T00:00:00"/>
    <x v="0"/>
    <s v="SC&amp;L Group"/>
    <s v="Kachin"/>
    <s v="Myitkyina"/>
    <s v="Wun Tho Buddhist Monastery"/>
    <m/>
    <m/>
    <m/>
    <n v="34"/>
    <n v="0"/>
    <n v="34"/>
    <n v="0"/>
    <n v="34"/>
    <n v="34"/>
    <n v="34"/>
    <m/>
    <m/>
    <m/>
    <m/>
    <m/>
    <m/>
    <m/>
    <n v="0"/>
    <n v="0"/>
    <n v="0"/>
    <n v="0"/>
    <n v="0"/>
    <n v="0"/>
    <n v="0"/>
    <n v="0"/>
    <n v="0"/>
    <n v="0"/>
    <n v="0"/>
    <n v="0"/>
    <n v="0"/>
    <n v="0"/>
    <x v="0"/>
    <n v="0"/>
    <s v="MMR001CMP022"/>
    <x v="0"/>
    <x v="1"/>
    <x v="1"/>
    <n v="0"/>
    <s v="No"/>
    <m/>
  </r>
  <r>
    <n v="55.533333333333331"/>
    <d v="2011-11-18T00:00:00"/>
    <x v="0"/>
    <s v="UNHCR"/>
    <s v="Kachin"/>
    <s v="Myitkyina"/>
    <s v="Wun Tho Buddhist Monastery"/>
    <m/>
    <m/>
    <m/>
    <n v="175"/>
    <n v="0"/>
    <n v="175"/>
    <n v="0"/>
    <n v="0"/>
    <m/>
    <m/>
    <m/>
    <m/>
    <m/>
    <m/>
    <m/>
    <m/>
    <m/>
    <n v="0"/>
    <n v="0"/>
    <n v="0"/>
    <n v="0"/>
    <n v="0"/>
    <n v="0"/>
    <n v="0"/>
    <n v="0"/>
    <n v="0"/>
    <n v="0"/>
    <n v="0"/>
    <n v="0"/>
    <n v="0"/>
    <n v="0"/>
    <x v="0"/>
    <n v="0"/>
    <s v="MMR001CMP022"/>
    <x v="0"/>
    <x v="1"/>
    <x v="1"/>
    <n v="0"/>
    <s v="No"/>
    <m/>
  </r>
  <r>
    <n v="26.433333333333334"/>
    <d v="2014-04-09T00:00:00"/>
    <x v="6"/>
    <s v="MRCS"/>
    <s v="Kachin"/>
    <s v="Bhamo"/>
    <s v="Yoe Kyi Monastery"/>
    <m/>
    <m/>
    <m/>
    <m/>
    <m/>
    <m/>
    <m/>
    <m/>
    <m/>
    <m/>
    <m/>
    <m/>
    <m/>
    <n v="42"/>
    <m/>
    <m/>
    <m/>
    <n v="0"/>
    <n v="0"/>
    <n v="0"/>
    <n v="0"/>
    <n v="0"/>
    <n v="0"/>
    <n v="0"/>
    <n v="0"/>
    <n v="0"/>
    <n v="0"/>
    <n v="0"/>
    <n v="0"/>
    <n v="0"/>
    <n v="0"/>
    <x v="1"/>
    <n v="0"/>
    <s v="MMR001CMP053"/>
    <x v="0"/>
    <x v="1"/>
    <x v="1"/>
    <n v="0"/>
    <m/>
    <m/>
  </r>
  <r>
    <n v="30.766666666666666"/>
    <d v="2013-11-30T00:00:00"/>
    <x v="4"/>
    <s v="MDCG"/>
    <s v="Kachin"/>
    <s v="Bhamo"/>
    <s v="Yoe Kyi Monastery"/>
    <m/>
    <m/>
    <m/>
    <m/>
    <m/>
    <n v="64"/>
    <m/>
    <m/>
    <m/>
    <m/>
    <n v="58"/>
    <n v="52"/>
    <n v="0"/>
    <m/>
    <m/>
    <m/>
    <m/>
    <n v="0"/>
    <n v="0"/>
    <n v="0"/>
    <n v="0"/>
    <n v="0"/>
    <n v="0"/>
    <n v="0"/>
    <n v="0"/>
    <n v="0"/>
    <n v="0"/>
    <n v="0"/>
    <n v="0"/>
    <n v="0"/>
    <n v="0"/>
    <x v="1"/>
    <n v="0"/>
    <s v="MMR001CMP053"/>
    <x v="0"/>
    <x v="1"/>
    <x v="1"/>
    <n v="0"/>
    <s v="No"/>
    <m/>
  </r>
  <r>
    <n v="30.766666666666666"/>
    <d v="2013-11-30T00:00:00"/>
    <x v="5"/>
    <m/>
    <s v="Kachin"/>
    <s v="Bhamo"/>
    <s v="Yoe Kyi Monastery"/>
    <m/>
    <m/>
    <m/>
    <m/>
    <m/>
    <m/>
    <m/>
    <m/>
    <m/>
    <n v="99"/>
    <m/>
    <m/>
    <m/>
    <m/>
    <m/>
    <m/>
    <m/>
    <n v="0"/>
    <n v="0"/>
    <n v="0"/>
    <n v="0"/>
    <n v="0"/>
    <n v="0"/>
    <n v="0"/>
    <n v="0"/>
    <n v="0"/>
    <n v="0"/>
    <n v="0"/>
    <n v="0"/>
    <n v="0"/>
    <n v="0"/>
    <x v="0"/>
    <n v="0"/>
    <s v="MMR001CMP053"/>
    <x v="0"/>
    <x v="1"/>
    <x v="1"/>
    <n v="0"/>
    <s v="No"/>
    <m/>
  </r>
  <r>
    <n v="41.633333333333333"/>
    <d v="2013-01-08T00:00:00"/>
    <x v="5"/>
    <s v="Solidarities"/>
    <s v="Kachin"/>
    <s v="Bhamo"/>
    <s v="Yoe Kyi Monastery"/>
    <n v="132"/>
    <m/>
    <n v="180"/>
    <m/>
    <m/>
    <m/>
    <m/>
    <m/>
    <n v="0"/>
    <n v="0"/>
    <m/>
    <m/>
    <m/>
    <m/>
    <m/>
    <m/>
    <m/>
    <n v="0"/>
    <n v="0"/>
    <n v="0"/>
    <n v="0"/>
    <n v="0"/>
    <n v="0"/>
    <n v="0"/>
    <n v="0"/>
    <n v="0"/>
    <n v="0"/>
    <n v="0"/>
    <n v="0"/>
    <n v="0"/>
    <n v="0"/>
    <x v="0"/>
    <n v="0"/>
    <s v="MMR001CMP053"/>
    <x v="0"/>
    <x v="1"/>
    <x v="1"/>
    <n v="0"/>
    <s v="No"/>
    <m/>
  </r>
  <r>
    <n v="42.233333333333334"/>
    <d v="2012-12-21T00:00:00"/>
    <x v="0"/>
    <s v="UNHCR"/>
    <s v="Kachin"/>
    <s v="Bhamo"/>
    <s v="Yoe Kyi Monastery"/>
    <m/>
    <m/>
    <m/>
    <n v="0"/>
    <n v="3"/>
    <n v="0"/>
    <n v="3"/>
    <n v="3"/>
    <n v="3"/>
    <n v="3"/>
    <m/>
    <m/>
    <m/>
    <m/>
    <m/>
    <m/>
    <m/>
    <n v="0"/>
    <n v="0"/>
    <n v="0"/>
    <n v="0"/>
    <n v="0"/>
    <n v="0"/>
    <n v="0"/>
    <n v="0"/>
    <n v="0"/>
    <n v="0"/>
    <n v="0"/>
    <n v="0"/>
    <n v="0"/>
    <n v="0"/>
    <x v="0"/>
    <n v="0"/>
    <s v="MMR001CMP053"/>
    <x v="0"/>
    <x v="1"/>
    <x v="1"/>
    <n v="0.2"/>
    <s v="No"/>
    <m/>
  </r>
  <r>
    <n v="17.133333333333333"/>
    <d v="2015-01-13T00:00:00"/>
    <x v="1"/>
    <s v="MRCS"/>
    <s v="Kachin"/>
    <s v="Hpakant"/>
    <s v="Yumar Baptist Church"/>
    <m/>
    <m/>
    <m/>
    <m/>
    <m/>
    <m/>
    <m/>
    <m/>
    <m/>
    <m/>
    <n v="33"/>
    <n v="8"/>
    <m/>
    <m/>
    <m/>
    <m/>
    <m/>
    <n v="0"/>
    <n v="0"/>
    <n v="0"/>
    <n v="0"/>
    <n v="0"/>
    <n v="0"/>
    <n v="0"/>
    <n v="0"/>
    <n v="0"/>
    <n v="0"/>
    <n v="0"/>
    <n v="0"/>
    <n v="0"/>
    <n v="0"/>
    <x v="1"/>
    <n v="0"/>
    <s v="MMR001CMP105"/>
    <x v="0"/>
    <x v="1"/>
    <x v="1"/>
    <n v="0"/>
    <m/>
    <m/>
  </r>
  <r>
    <n v="19.600000000000001"/>
    <d v="2014-10-31T00:00:00"/>
    <x v="0"/>
    <m/>
    <s v="Kachin"/>
    <s v="Hpakant"/>
    <s v="Yumar Baptist Church"/>
    <m/>
    <m/>
    <n v="10"/>
    <n v="20"/>
    <n v="10"/>
    <n v="20"/>
    <n v="10"/>
    <m/>
    <n v="10"/>
    <n v="50"/>
    <m/>
    <m/>
    <m/>
    <m/>
    <m/>
    <m/>
    <m/>
    <n v="0"/>
    <n v="0"/>
    <n v="0"/>
    <n v="0"/>
    <n v="0"/>
    <n v="0"/>
    <n v="0"/>
    <n v="0"/>
    <n v="0"/>
    <n v="0"/>
    <n v="0"/>
    <n v="0"/>
    <n v="0"/>
    <n v="0"/>
    <x v="0"/>
    <n v="0"/>
    <s v="MMR001CMP105"/>
    <x v="0"/>
    <x v="1"/>
    <x v="1"/>
    <n v="0.52631578947368418"/>
    <m/>
    <m/>
  </r>
  <r>
    <n v="37.166666666666664"/>
    <d v="2013-05-22T00:00:00"/>
    <x v="0"/>
    <s v="UNHCR"/>
    <s v="Kachin"/>
    <s v="Hpakant"/>
    <s v="Yumar Baptist Church"/>
    <m/>
    <m/>
    <n v="42"/>
    <n v="66"/>
    <n v="28"/>
    <n v="66"/>
    <n v="28"/>
    <n v="28"/>
    <n v="28"/>
    <n v="28"/>
    <m/>
    <m/>
    <m/>
    <m/>
    <m/>
    <m/>
    <m/>
    <n v="0"/>
    <n v="0"/>
    <n v="0"/>
    <n v="0"/>
    <n v="0"/>
    <n v="0"/>
    <n v="0"/>
    <n v="0"/>
    <n v="0"/>
    <n v="0"/>
    <n v="0"/>
    <n v="0"/>
    <n v="0"/>
    <n v="0"/>
    <x v="0"/>
    <n v="0"/>
    <s v="MMR001CMP105"/>
    <x v="0"/>
    <x v="1"/>
    <x v="1"/>
    <n v="1.4736842105263157"/>
    <s v="No"/>
    <m/>
  </r>
  <r>
    <n v="40.200000000000003"/>
    <d v="2013-02-20T00:00:00"/>
    <x v="0"/>
    <s v="UNHCR"/>
    <s v="Kachin"/>
    <s v="Hpakant"/>
    <s v="Yumar Baptist Church"/>
    <m/>
    <m/>
    <n v="46"/>
    <n v="0"/>
    <n v="0"/>
    <n v="0"/>
    <n v="0"/>
    <n v="0"/>
    <m/>
    <m/>
    <m/>
    <m/>
    <m/>
    <m/>
    <m/>
    <m/>
    <m/>
    <n v="0"/>
    <n v="0"/>
    <n v="0"/>
    <n v="0"/>
    <n v="0"/>
    <n v="0"/>
    <n v="0"/>
    <n v="0"/>
    <n v="0"/>
    <n v="0"/>
    <n v="0"/>
    <n v="0"/>
    <n v="0"/>
    <n v="0"/>
    <x v="0"/>
    <n v="0"/>
    <s v="MMR001CMP105"/>
    <x v="0"/>
    <x v="1"/>
    <x v="1"/>
    <n v="0"/>
    <s v="No"/>
    <m/>
  </r>
  <r>
    <n v="41.9"/>
    <d v="2012-12-31T00:00:00"/>
    <x v="3"/>
    <s v="DRC"/>
    <s v="Kachin"/>
    <s v="Hpakant"/>
    <s v="Yumar Baptist Church"/>
    <n v="42"/>
    <m/>
    <m/>
    <m/>
    <m/>
    <m/>
    <m/>
    <m/>
    <n v="0"/>
    <n v="0"/>
    <m/>
    <m/>
    <m/>
    <m/>
    <m/>
    <m/>
    <m/>
    <n v="0"/>
    <n v="0"/>
    <n v="0"/>
    <n v="0"/>
    <n v="0"/>
    <n v="0"/>
    <n v="0"/>
    <n v="0"/>
    <n v="0"/>
    <n v="0"/>
    <n v="0"/>
    <n v="0"/>
    <n v="0"/>
    <n v="0"/>
    <x v="0"/>
    <n v="0"/>
    <s v="MMR001CMP105"/>
    <x v="0"/>
    <x v="1"/>
    <x v="1"/>
    <n v="0"/>
    <s v="No"/>
    <m/>
  </r>
  <r>
    <n v="17.966666666666665"/>
    <d v="2014-12-19T00:00:00"/>
    <x v="0"/>
    <s v="KBC"/>
    <s v="Kachin"/>
    <s v="Waingmaw"/>
    <s v="Zai Awng - Mung Ga Zup"/>
    <m/>
    <m/>
    <m/>
    <m/>
    <m/>
    <m/>
    <m/>
    <m/>
    <m/>
    <m/>
    <n v="1292"/>
    <n v="1938"/>
    <m/>
    <n v="1292"/>
    <m/>
    <m/>
    <m/>
    <n v="0"/>
    <n v="0"/>
    <n v="0"/>
    <n v="0"/>
    <n v="0"/>
    <n v="0"/>
    <n v="0"/>
    <n v="0"/>
    <n v="0"/>
    <n v="0"/>
    <n v="0"/>
    <n v="0"/>
    <n v="0"/>
    <n v="0"/>
    <x v="1"/>
    <n v="0"/>
    <s v="MMR001CMP111"/>
    <x v="0"/>
    <x v="1"/>
    <x v="3"/>
    <n v="0"/>
    <m/>
    <m/>
  </r>
  <r>
    <n v="21.6"/>
    <d v="2014-09-01T00:00:00"/>
    <x v="10"/>
    <m/>
    <s v="Kachin"/>
    <s v="Waingmaw"/>
    <s v="Zai Awng - Mung Ga Zup"/>
    <m/>
    <m/>
    <m/>
    <m/>
    <m/>
    <m/>
    <m/>
    <m/>
    <m/>
    <m/>
    <m/>
    <n v="905"/>
    <m/>
    <m/>
    <m/>
    <m/>
    <m/>
    <n v="0"/>
    <n v="0"/>
    <n v="0"/>
    <n v="0"/>
    <n v="0"/>
    <n v="0"/>
    <n v="0"/>
    <n v="0"/>
    <n v="0"/>
    <n v="0"/>
    <n v="0"/>
    <n v="0"/>
    <n v="0"/>
    <n v="0"/>
    <x v="1"/>
    <n v="0"/>
    <s v="MMR001CMP111"/>
    <x v="0"/>
    <x v="1"/>
    <x v="3"/>
    <n v="0"/>
    <m/>
    <m/>
  </r>
  <r>
    <n v="28.9"/>
    <d v="2014-01-25T00:00:00"/>
    <x v="10"/>
    <s v="KBC"/>
    <s v="Kachin"/>
    <s v="Waingmaw"/>
    <s v="Zai Awng - Mung Ga Zup"/>
    <m/>
    <m/>
    <m/>
    <m/>
    <m/>
    <n v="646"/>
    <n v="646"/>
    <n v="646"/>
    <m/>
    <n v="646"/>
    <m/>
    <m/>
    <m/>
    <m/>
    <m/>
    <m/>
    <m/>
    <n v="0"/>
    <n v="0"/>
    <n v="0"/>
    <n v="0"/>
    <n v="0"/>
    <n v="0"/>
    <n v="0"/>
    <n v="0"/>
    <n v="0"/>
    <n v="0"/>
    <n v="0"/>
    <n v="0"/>
    <n v="0"/>
    <n v="0"/>
    <x v="0"/>
    <n v="0"/>
    <s v="MMR001CMP111"/>
    <x v="0"/>
    <x v="1"/>
    <x v="3"/>
    <n v="1.0555555555555556"/>
    <s v="No"/>
    <m/>
  </r>
  <r>
    <n v="30.766666666666666"/>
    <d v="2013-11-30T00:00:00"/>
    <x v="5"/>
    <s v="KBC"/>
    <s v="Kachin"/>
    <s v="Waingmaw"/>
    <s v="Zai Awng - Mung Ga Zup"/>
    <m/>
    <m/>
    <m/>
    <m/>
    <m/>
    <m/>
    <m/>
    <m/>
    <m/>
    <m/>
    <m/>
    <m/>
    <m/>
    <m/>
    <m/>
    <m/>
    <m/>
    <n v="0"/>
    <n v="0"/>
    <n v="0"/>
    <n v="0"/>
    <n v="0"/>
    <n v="0"/>
    <n v="0"/>
    <n v="0"/>
    <n v="0"/>
    <n v="0"/>
    <n v="0"/>
    <n v="0"/>
    <n v="0"/>
    <n v="0"/>
    <x v="0"/>
    <n v="0"/>
    <s v="MMR001CMP111"/>
    <x v="0"/>
    <x v="1"/>
    <x v="3"/>
    <n v="0"/>
    <s v="No"/>
    <m/>
  </r>
  <r>
    <n v="30.833333333333332"/>
    <d v="2013-11-28T00:00:00"/>
    <x v="5"/>
    <s v="KBC"/>
    <s v="Kachin"/>
    <s v="Waingmaw"/>
    <s v="Zai Awng - Mung Ga Zup"/>
    <m/>
    <m/>
    <m/>
    <m/>
    <m/>
    <m/>
    <m/>
    <m/>
    <m/>
    <m/>
    <n v="636"/>
    <n v="1272"/>
    <n v="3816"/>
    <n v="1908"/>
    <m/>
    <m/>
    <m/>
    <n v="0"/>
    <n v="0"/>
    <n v="0"/>
    <n v="0"/>
    <n v="0"/>
    <n v="0"/>
    <n v="0"/>
    <n v="0"/>
    <n v="0"/>
    <n v="0"/>
    <n v="0"/>
    <n v="0"/>
    <n v="0"/>
    <n v="0"/>
    <x v="1"/>
    <n v="0"/>
    <s v="MMR001CMP111"/>
    <x v="0"/>
    <x v="1"/>
    <x v="3"/>
    <n v="0"/>
    <m/>
    <m/>
  </r>
  <r>
    <n v="54.7"/>
    <d v="2011-12-13T00:00:00"/>
    <x v="0"/>
    <s v="IRRC"/>
    <s v="Kachin"/>
    <s v="Waingmaw"/>
    <s v="Zai Awng - Mung Ga Zup"/>
    <m/>
    <m/>
    <m/>
    <n v="250"/>
    <n v="125"/>
    <n v="250"/>
    <n v="125"/>
    <n v="125"/>
    <n v="125"/>
    <n v="125"/>
    <m/>
    <m/>
    <m/>
    <m/>
    <m/>
    <m/>
    <m/>
    <n v="0"/>
    <n v="0"/>
    <n v="0"/>
    <n v="0"/>
    <n v="0"/>
    <n v="0"/>
    <n v="0"/>
    <n v="0"/>
    <n v="0"/>
    <n v="0"/>
    <n v="0"/>
    <n v="0"/>
    <n v="0"/>
    <n v="0"/>
    <x v="0"/>
    <n v="0"/>
    <s v="MMR001CMP111"/>
    <x v="0"/>
    <x v="1"/>
    <x v="3"/>
    <n v="0.20424836601307189"/>
    <s v="No"/>
    <m/>
  </r>
  <r>
    <n v="39.266666666666666"/>
    <d v="2013-03-20T00:00:00"/>
    <x v="0"/>
    <s v="UNHCR"/>
    <s v="Kachin"/>
    <s v="Hpakant"/>
    <s v="Zomee Baptist Church camp, Hmaw Wan"/>
    <m/>
    <m/>
    <n v="6"/>
    <n v="0"/>
    <n v="0"/>
    <n v="11"/>
    <n v="0"/>
    <n v="0"/>
    <m/>
    <m/>
    <m/>
    <m/>
    <m/>
    <m/>
    <m/>
    <m/>
    <m/>
    <n v="0"/>
    <n v="0"/>
    <n v="0"/>
    <n v="0"/>
    <n v="0"/>
    <n v="0"/>
    <n v="0"/>
    <n v="0"/>
    <n v="0"/>
    <n v="0"/>
    <n v="0"/>
    <n v="0"/>
    <n v="0"/>
    <n v="0"/>
    <x v="0"/>
    <n v="0"/>
    <s v="MMR001CMP201"/>
    <x v="0"/>
    <x v="0"/>
    <x v="0"/>
    <s v=""/>
    <s v="No"/>
    <m/>
  </r>
  <r>
    <n v="40.200000000000003"/>
    <d v="2013-02-20T00:00:00"/>
    <x v="0"/>
    <s v="UNHCR"/>
    <s v="Kachin"/>
    <s v="Hpakant"/>
    <s v="Zomee Baptist Church camp, Hmaw Wan"/>
    <m/>
    <m/>
    <m/>
    <n v="11"/>
    <n v="6"/>
    <n v="0"/>
    <n v="6"/>
    <n v="6"/>
    <n v="6"/>
    <n v="6"/>
    <m/>
    <m/>
    <m/>
    <m/>
    <m/>
    <m/>
    <m/>
    <n v="0"/>
    <n v="0"/>
    <n v="0"/>
    <n v="0"/>
    <n v="0"/>
    <n v="0"/>
    <n v="0"/>
    <n v="0"/>
    <n v="0"/>
    <n v="0"/>
    <n v="0"/>
    <n v="0"/>
    <n v="0"/>
    <n v="0"/>
    <x v="0"/>
    <n v="0"/>
    <s v="MMR001CMP201"/>
    <x v="0"/>
    <x v="0"/>
    <x v="0"/>
    <s v=""/>
    <s v="No"/>
    <m/>
  </r>
  <r>
    <n v="15.833333333333334"/>
    <d v="2015-02-21T00:00:00"/>
    <x v="0"/>
    <s v="KMSS-LSO"/>
    <s v="Shan_North"/>
    <s v="Kutkai"/>
    <s v="Zup Aung Camp"/>
    <m/>
    <n v="54"/>
    <n v="36"/>
    <n v="108"/>
    <n v="54"/>
    <n v="108"/>
    <n v="54"/>
    <n v="54"/>
    <n v="54"/>
    <n v="108"/>
    <m/>
    <m/>
    <m/>
    <m/>
    <n v="54"/>
    <m/>
    <m/>
    <n v="0"/>
    <n v="0"/>
    <n v="0"/>
    <n v="0"/>
    <n v="0"/>
    <n v="0"/>
    <n v="0"/>
    <n v="0"/>
    <n v="0"/>
    <n v="0"/>
    <n v="0"/>
    <n v="0"/>
    <n v="0"/>
    <n v="0"/>
    <x v="0"/>
    <n v="0"/>
    <s v="MMR015CMP020"/>
    <x v="0"/>
    <x v="1"/>
    <x v="4"/>
    <n v="0.26732673267326734"/>
    <s v="No"/>
    <m/>
  </r>
  <r>
    <n v="3.1333333333333333"/>
    <d v="2016-03-08T00:00:00"/>
    <x v="0"/>
    <s v="KMSS_LSO"/>
    <s v="Shan_North"/>
    <s v="Kutkai"/>
    <m/>
    <m/>
    <m/>
    <m/>
    <n v="600"/>
    <m/>
    <m/>
    <m/>
    <m/>
    <m/>
    <m/>
    <m/>
    <m/>
    <m/>
    <m/>
    <m/>
    <m/>
    <m/>
    <n v="0"/>
    <n v="0"/>
    <n v="0"/>
    <n v="600"/>
    <n v="0"/>
    <n v="0"/>
    <n v="0"/>
    <n v="0"/>
    <n v="0"/>
    <n v="0"/>
    <n v="0"/>
    <n v="0"/>
    <n v="0"/>
    <n v="0"/>
    <x v="0"/>
    <n v="0"/>
    <s v=""/>
    <x v="1"/>
    <x v="2"/>
    <x v="0"/>
    <s v=""/>
    <m/>
    <s v="For Kyauk Mae Areas. Mosquito 650 pcs transported to Shan but 600 pcs are distributed through RRD and KMSS-Lashio to 12 camp-like setting areas and 50 pcs are returned back to UNHCR Myitkyina warehouse. "/>
  </r>
  <r>
    <n v="3.6333333333333333"/>
    <d v="2016-02-22T00:00:00"/>
    <x v="0"/>
    <s v="KBC"/>
    <s v="Shan_North"/>
    <s v="Kutkai"/>
    <m/>
    <m/>
    <m/>
    <m/>
    <m/>
    <m/>
    <m/>
    <m/>
    <m/>
    <m/>
    <m/>
    <m/>
    <m/>
    <m/>
    <m/>
    <m/>
    <m/>
    <n v="71"/>
    <n v="0"/>
    <n v="0"/>
    <n v="0"/>
    <n v="0"/>
    <n v="0"/>
    <n v="0"/>
    <n v="0"/>
    <n v="0"/>
    <n v="0"/>
    <n v="0"/>
    <n v="0"/>
    <n v="0"/>
    <n v="0"/>
    <n v="0"/>
    <x v="0"/>
    <n v="0"/>
    <s v=""/>
    <x v="1"/>
    <x v="2"/>
    <x v="0"/>
    <s v=""/>
    <m/>
    <s v="For Mang Wee villagers. 'KBC-Muse released family tents from their stock for this distribution"/>
  </r>
  <r>
    <n v="5.1333333333333337"/>
    <d v="2016-01-08T00:00:00"/>
    <x v="0"/>
    <s v="KBC"/>
    <s v="Shan_North"/>
    <s v="Namtu"/>
    <s v="Nam Tu Baptist"/>
    <m/>
    <m/>
    <m/>
    <n v="35"/>
    <m/>
    <n v="35"/>
    <n v="18"/>
    <m/>
    <n v="18"/>
    <n v="82"/>
    <m/>
    <m/>
    <m/>
    <m/>
    <n v="18"/>
    <m/>
    <m/>
    <n v="0"/>
    <n v="0"/>
    <n v="0"/>
    <n v="35"/>
    <n v="0"/>
    <n v="35"/>
    <n v="18"/>
    <n v="0"/>
    <n v="18"/>
    <n v="205"/>
    <n v="0"/>
    <n v="0"/>
    <n v="0"/>
    <n v="0"/>
    <x v="0"/>
    <n v="18"/>
    <s v="MMR015CMP014"/>
    <x v="0"/>
    <x v="1"/>
    <x v="4"/>
    <n v="2"/>
    <m/>
    <m/>
  </r>
  <r>
    <n v="3.4666666666666668"/>
    <d v="2016-02-27T00:00:00"/>
    <x v="0"/>
    <s v="KBC"/>
    <s v="Kachin"/>
    <s v="Waingmaw"/>
    <s v="Pajau - Jan Mai"/>
    <m/>
    <m/>
    <m/>
    <m/>
    <m/>
    <m/>
    <m/>
    <m/>
    <m/>
    <m/>
    <m/>
    <n v="670"/>
    <m/>
    <m/>
    <m/>
    <m/>
    <m/>
    <n v="0"/>
    <n v="0"/>
    <n v="0"/>
    <n v="0"/>
    <n v="0"/>
    <n v="0"/>
    <n v="0"/>
    <n v="0"/>
    <n v="0"/>
    <n v="0"/>
    <n v="0"/>
    <n v="670"/>
    <n v="0"/>
    <n v="0"/>
    <x v="1"/>
    <n v="0"/>
    <s v="MMR001CMP120"/>
    <x v="0"/>
    <x v="1"/>
    <x v="2"/>
    <n v="0"/>
    <m/>
    <m/>
  </r>
  <r>
    <n v="2"/>
    <d v="2016-04-11T00:00:00"/>
    <x v="0"/>
    <s v="KBC"/>
    <s v="Shan_North"/>
    <s v="Namhkan"/>
    <s v="Mine Wee (Man Jan)"/>
    <m/>
    <m/>
    <m/>
    <n v="126"/>
    <m/>
    <n v="126"/>
    <n v="64"/>
    <m/>
    <m/>
    <n v="122"/>
    <m/>
    <m/>
    <m/>
    <m/>
    <n v="64"/>
    <m/>
    <m/>
    <n v="0"/>
    <n v="0"/>
    <n v="0"/>
    <n v="126"/>
    <n v="0"/>
    <n v="126"/>
    <n v="64"/>
    <n v="0"/>
    <n v="0"/>
    <n v="305"/>
    <n v="0"/>
    <n v="0"/>
    <n v="0"/>
    <n v="0"/>
    <x v="0"/>
    <n v="64"/>
    <s v=""/>
    <x v="1"/>
    <x v="2"/>
    <x v="0"/>
    <s v=""/>
    <m/>
    <m/>
  </r>
  <r>
    <n v="3.4333333333333331"/>
    <d v="2016-02-28T00:00:00"/>
    <x v="0"/>
    <s v="KBC"/>
    <s v="Kachin"/>
    <s v="Chipwi"/>
    <s v="Hpare Hkyer - BP6"/>
    <m/>
    <m/>
    <m/>
    <m/>
    <m/>
    <n v="345"/>
    <m/>
    <m/>
    <m/>
    <m/>
    <m/>
    <n v="765"/>
    <m/>
    <m/>
    <m/>
    <m/>
    <m/>
    <n v="0"/>
    <n v="0"/>
    <n v="0"/>
    <n v="0"/>
    <n v="0"/>
    <n v="345"/>
    <n v="0"/>
    <n v="0"/>
    <n v="0"/>
    <n v="0"/>
    <n v="0"/>
    <n v="765"/>
    <n v="0"/>
    <n v="0"/>
    <x v="1"/>
    <n v="0"/>
    <s v="MMR001CMP043"/>
    <x v="0"/>
    <x v="1"/>
    <x v="2"/>
    <n v="0"/>
    <m/>
    <m/>
  </r>
  <r>
    <n v="5.333333333333333"/>
    <d v="2016-01-02T00:00:00"/>
    <x v="0"/>
    <s v="KBC"/>
    <s v="Shan_North"/>
    <s v="Namhkan"/>
    <m/>
    <m/>
    <m/>
    <m/>
    <m/>
    <m/>
    <m/>
    <m/>
    <m/>
    <m/>
    <m/>
    <m/>
    <m/>
    <m/>
    <m/>
    <m/>
    <m/>
    <n v="37"/>
    <n v="0"/>
    <n v="0"/>
    <n v="0"/>
    <n v="0"/>
    <n v="0"/>
    <n v="0"/>
    <n v="0"/>
    <n v="0"/>
    <n v="0"/>
    <n v="0"/>
    <n v="0"/>
    <n v="0"/>
    <n v="0"/>
    <n v="0"/>
    <x v="0"/>
    <n v="0"/>
    <s v=""/>
    <x v="1"/>
    <x v="2"/>
    <x v="0"/>
    <s v=""/>
    <m/>
    <s v="Man Sa village"/>
  </r>
  <r>
    <n v="8.7666666666666675"/>
    <d v="2015-09-21T00:00:00"/>
    <x v="0"/>
    <s v="KMSS-MKN"/>
    <s v="Kachin"/>
    <s v="Myitkyina"/>
    <m/>
    <m/>
    <m/>
    <m/>
    <m/>
    <m/>
    <m/>
    <m/>
    <m/>
    <m/>
    <m/>
    <m/>
    <m/>
    <m/>
    <m/>
    <m/>
    <m/>
    <m/>
    <n v="0"/>
    <n v="0"/>
    <n v="0"/>
    <n v="0"/>
    <n v="0"/>
    <n v="0"/>
    <n v="0"/>
    <n v="0"/>
    <n v="0"/>
    <n v="0"/>
    <n v="0"/>
    <n v="0"/>
    <n v="0"/>
    <n v="0"/>
    <x v="0"/>
    <n v="0"/>
    <s v=""/>
    <x v="1"/>
    <x v="2"/>
    <x v="0"/>
    <s v=""/>
    <s v="No"/>
    <m/>
  </r>
  <r>
    <n v="9.6"/>
    <d v="2015-08-27T00:00:00"/>
    <x v="0"/>
    <s v="KBC"/>
    <s v="Kachin"/>
    <s v="Myitkyina"/>
    <m/>
    <m/>
    <m/>
    <m/>
    <m/>
    <m/>
    <m/>
    <m/>
    <m/>
    <m/>
    <m/>
    <m/>
    <m/>
    <m/>
    <m/>
    <m/>
    <n v="10"/>
    <m/>
    <n v="0"/>
    <n v="0"/>
    <n v="0"/>
    <n v="0"/>
    <n v="0"/>
    <n v="0"/>
    <n v="0"/>
    <n v="0"/>
    <n v="0"/>
    <n v="0"/>
    <n v="0"/>
    <n v="0"/>
    <n v="0"/>
    <n v="0"/>
    <x v="0"/>
    <n v="0"/>
    <s v=""/>
    <x v="1"/>
    <x v="2"/>
    <x v="0"/>
    <s v=""/>
    <s v="No"/>
    <m/>
  </r>
  <r>
    <n v="9.6"/>
    <d v="2015-08-27T00:00:00"/>
    <x v="0"/>
    <s v="KMSS-MKN"/>
    <s v="Kachin"/>
    <s v="Myitkyina"/>
    <m/>
    <m/>
    <m/>
    <m/>
    <m/>
    <m/>
    <m/>
    <m/>
    <m/>
    <m/>
    <m/>
    <m/>
    <m/>
    <m/>
    <m/>
    <m/>
    <n v="7"/>
    <m/>
    <n v="0"/>
    <n v="0"/>
    <n v="0"/>
    <n v="0"/>
    <n v="0"/>
    <n v="0"/>
    <n v="0"/>
    <n v="0"/>
    <n v="0"/>
    <n v="0"/>
    <n v="0"/>
    <n v="0"/>
    <n v="0"/>
    <n v="0"/>
    <x v="0"/>
    <n v="0"/>
    <s v=""/>
    <x v="1"/>
    <x v="2"/>
    <x v="0"/>
    <s v=""/>
    <s v="No"/>
    <m/>
  </r>
  <r>
    <n v="9.6"/>
    <d v="2015-08-27T00:00:00"/>
    <x v="0"/>
    <s v="Shalom"/>
    <s v="Kachin"/>
    <s v="Myitkyina"/>
    <m/>
    <m/>
    <m/>
    <m/>
    <m/>
    <m/>
    <m/>
    <m/>
    <m/>
    <m/>
    <m/>
    <m/>
    <m/>
    <m/>
    <m/>
    <m/>
    <n v="8"/>
    <m/>
    <n v="0"/>
    <n v="0"/>
    <n v="0"/>
    <n v="0"/>
    <n v="0"/>
    <n v="0"/>
    <n v="0"/>
    <n v="0"/>
    <n v="0"/>
    <n v="0"/>
    <n v="0"/>
    <n v="0"/>
    <n v="0"/>
    <n v="0"/>
    <x v="0"/>
    <n v="0"/>
    <s v=""/>
    <x v="1"/>
    <x v="2"/>
    <x v="0"/>
    <s v=""/>
    <s v="No"/>
    <s v="Updated on 2/Dec/2015. Data source: mail by Win Aung Htun_x000a_Updated on 11/Nov/2015. Added jerry can data. Data source: mail by Win Aung Htun_x000a_Updated on 29/Sep/2015. _x000a_Data Source: Lu Lu Awng and Win Aung Tun"/>
  </r>
  <r>
    <n v="22.533333333333335"/>
    <d v="2014-08-04T00:00:00"/>
    <x v="0"/>
    <m/>
    <s v="Kachin"/>
    <s v="Bhamo"/>
    <m/>
    <m/>
    <m/>
    <m/>
    <m/>
    <n v="5"/>
    <m/>
    <m/>
    <m/>
    <m/>
    <m/>
    <m/>
    <m/>
    <m/>
    <m/>
    <m/>
    <m/>
    <m/>
    <n v="0"/>
    <n v="0"/>
    <n v="0"/>
    <n v="0"/>
    <n v="0"/>
    <n v="0"/>
    <n v="0"/>
    <n v="0"/>
    <n v="0"/>
    <n v="0"/>
    <n v="0"/>
    <n v="0"/>
    <n v="0"/>
    <n v="0"/>
    <x v="0"/>
    <n v="0"/>
    <s v=""/>
    <x v="1"/>
    <x v="2"/>
    <x v="0"/>
    <s v=""/>
    <m/>
    <m/>
  </r>
  <r>
    <n v="31.266666666666666"/>
    <d v="2013-11-15T00:00:00"/>
    <x v="0"/>
    <s v="UNHCR "/>
    <s v="Kachin"/>
    <s v="Bhamo"/>
    <m/>
    <m/>
    <m/>
    <m/>
    <m/>
    <n v="12"/>
    <m/>
    <m/>
    <m/>
    <m/>
    <m/>
    <m/>
    <m/>
    <m/>
    <m/>
    <m/>
    <m/>
    <m/>
    <n v="0"/>
    <n v="0"/>
    <n v="0"/>
    <n v="0"/>
    <n v="0"/>
    <n v="0"/>
    <n v="0"/>
    <n v="0"/>
    <n v="0"/>
    <n v="0"/>
    <n v="0"/>
    <n v="0"/>
    <n v="0"/>
    <n v="0"/>
    <x v="0"/>
    <n v="0"/>
    <s v=""/>
    <x v="1"/>
    <x v="2"/>
    <x v="0"/>
    <s v=""/>
    <s v="No"/>
    <m/>
  </r>
  <r>
    <s v=""/>
    <m/>
    <x v="12"/>
    <m/>
    <m/>
    <m/>
    <m/>
    <m/>
    <m/>
    <m/>
    <m/>
    <m/>
    <m/>
    <m/>
    <m/>
    <m/>
    <m/>
    <m/>
    <m/>
    <m/>
    <m/>
    <m/>
    <m/>
    <m/>
    <n v="0"/>
    <n v="0"/>
    <n v="0"/>
    <n v="0"/>
    <n v="0"/>
    <n v="0"/>
    <n v="0"/>
    <n v="0"/>
    <n v="0"/>
    <n v="0"/>
    <n v="0"/>
    <n v="0"/>
    <n v="0"/>
    <n v="0"/>
    <x v="0"/>
    <n v="0"/>
    <s v=""/>
    <x v="1"/>
    <x v="2"/>
    <x v="0"/>
    <s v=""/>
    <s v="No"/>
    <m/>
  </r>
  <r>
    <s v=""/>
    <m/>
    <x v="12"/>
    <m/>
    <m/>
    <m/>
    <m/>
    <m/>
    <m/>
    <m/>
    <m/>
    <m/>
    <m/>
    <m/>
    <m/>
    <m/>
    <m/>
    <m/>
    <m/>
    <m/>
    <m/>
    <m/>
    <m/>
    <m/>
    <n v="0"/>
    <n v="0"/>
    <n v="0"/>
    <n v="0"/>
    <n v="0"/>
    <n v="0"/>
    <n v="0"/>
    <n v="0"/>
    <n v="0"/>
    <n v="0"/>
    <n v="0"/>
    <n v="0"/>
    <n v="0"/>
    <n v="0"/>
    <x v="0"/>
    <n v="0"/>
    <s v=""/>
    <x v="1"/>
    <x v="2"/>
    <x v="0"/>
    <s v=""/>
    <s v="No"/>
    <m/>
  </r>
  <r>
    <s v=""/>
    <m/>
    <x v="12"/>
    <m/>
    <m/>
    <m/>
    <m/>
    <m/>
    <m/>
    <m/>
    <m/>
    <m/>
    <m/>
    <m/>
    <m/>
    <m/>
    <m/>
    <m/>
    <m/>
    <m/>
    <m/>
    <m/>
    <m/>
    <m/>
    <n v="0"/>
    <n v="0"/>
    <n v="0"/>
    <n v="0"/>
    <n v="0"/>
    <n v="0"/>
    <n v="0"/>
    <n v="0"/>
    <n v="0"/>
    <n v="0"/>
    <n v="0"/>
    <n v="0"/>
    <n v="0"/>
    <n v="0"/>
    <x v="0"/>
    <n v="0"/>
    <s v=""/>
    <x v="1"/>
    <x v="2"/>
    <x v="0"/>
    <s v=""/>
    <s v="No"/>
    <m/>
  </r>
  <r>
    <s v=""/>
    <m/>
    <x v="12"/>
    <m/>
    <m/>
    <m/>
    <m/>
    <m/>
    <m/>
    <m/>
    <m/>
    <m/>
    <m/>
    <m/>
    <m/>
    <m/>
    <m/>
    <m/>
    <m/>
    <m/>
    <m/>
    <m/>
    <m/>
    <m/>
    <n v="0"/>
    <n v="0"/>
    <n v="0"/>
    <n v="0"/>
    <n v="0"/>
    <n v="0"/>
    <n v="0"/>
    <n v="0"/>
    <n v="0"/>
    <n v="0"/>
    <n v="0"/>
    <n v="0"/>
    <n v="0"/>
    <n v="0"/>
    <x v="0"/>
    <n v="0"/>
    <s v=""/>
    <x v="1"/>
    <x v="2"/>
    <x v="0"/>
    <s v=""/>
    <s v="No"/>
    <m/>
  </r>
  <r>
    <s v=""/>
    <m/>
    <x v="12"/>
    <m/>
    <m/>
    <m/>
    <m/>
    <m/>
    <m/>
    <m/>
    <m/>
    <m/>
    <m/>
    <m/>
    <m/>
    <m/>
    <m/>
    <m/>
    <m/>
    <m/>
    <m/>
    <m/>
    <m/>
    <m/>
    <n v="0"/>
    <n v="0"/>
    <n v="0"/>
    <n v="0"/>
    <n v="0"/>
    <n v="0"/>
    <n v="0"/>
    <n v="0"/>
    <n v="0"/>
    <n v="0"/>
    <n v="0"/>
    <n v="0"/>
    <n v="0"/>
    <n v="0"/>
    <x v="0"/>
    <n v="0"/>
    <s v=""/>
    <x v="1"/>
    <x v="2"/>
    <x v="0"/>
    <s v=""/>
    <s v="No"/>
    <m/>
  </r>
  <r>
    <s v=""/>
    <m/>
    <x v="12"/>
    <m/>
    <m/>
    <m/>
    <m/>
    <m/>
    <m/>
    <m/>
    <m/>
    <m/>
    <m/>
    <m/>
    <m/>
    <m/>
    <m/>
    <m/>
    <m/>
    <m/>
    <m/>
    <m/>
    <m/>
    <m/>
    <n v="0"/>
    <n v="0"/>
    <n v="0"/>
    <n v="0"/>
    <n v="0"/>
    <n v="0"/>
    <n v="0"/>
    <n v="0"/>
    <n v="0"/>
    <n v="0"/>
    <n v="0"/>
    <n v="0"/>
    <n v="0"/>
    <n v="0"/>
    <x v="0"/>
    <n v="0"/>
    <s v=""/>
    <x v="1"/>
    <x v="2"/>
    <x v="0"/>
    <s v=""/>
    <s v="No"/>
    <m/>
  </r>
  <r>
    <s v=""/>
    <m/>
    <x v="12"/>
    <m/>
    <m/>
    <m/>
    <m/>
    <m/>
    <m/>
    <m/>
    <m/>
    <m/>
    <m/>
    <m/>
    <m/>
    <m/>
    <m/>
    <m/>
    <m/>
    <m/>
    <m/>
    <m/>
    <m/>
    <m/>
    <n v="0"/>
    <n v="0"/>
    <n v="0"/>
    <n v="0"/>
    <n v="0"/>
    <n v="0"/>
    <n v="0"/>
    <n v="0"/>
    <n v="0"/>
    <n v="0"/>
    <n v="0"/>
    <n v="0"/>
    <n v="0"/>
    <n v="0"/>
    <x v="0"/>
    <n v="0"/>
    <s v=""/>
    <x v="1"/>
    <x v="2"/>
    <x v="0"/>
    <s v=""/>
    <s v="No"/>
    <m/>
  </r>
  <r>
    <s v=""/>
    <m/>
    <x v="12"/>
    <m/>
    <m/>
    <m/>
    <m/>
    <m/>
    <m/>
    <m/>
    <m/>
    <m/>
    <m/>
    <m/>
    <m/>
    <m/>
    <m/>
    <m/>
    <m/>
    <m/>
    <m/>
    <m/>
    <m/>
    <m/>
    <n v="0"/>
    <n v="0"/>
    <n v="0"/>
    <n v="0"/>
    <n v="0"/>
    <n v="0"/>
    <n v="0"/>
    <n v="0"/>
    <n v="0"/>
    <n v="0"/>
    <n v="0"/>
    <n v="0"/>
    <n v="0"/>
    <n v="0"/>
    <x v="0"/>
    <n v="0"/>
    <s v=""/>
    <x v="1"/>
    <x v="2"/>
    <x v="0"/>
    <s v=""/>
    <s v="No"/>
    <m/>
  </r>
  <r>
    <s v=""/>
    <m/>
    <x v="12"/>
    <m/>
    <m/>
    <m/>
    <m/>
    <m/>
    <m/>
    <m/>
    <m/>
    <m/>
    <m/>
    <m/>
    <m/>
    <m/>
    <m/>
    <m/>
    <m/>
    <m/>
    <m/>
    <m/>
    <m/>
    <m/>
    <n v="0"/>
    <n v="0"/>
    <n v="0"/>
    <n v="0"/>
    <n v="0"/>
    <n v="0"/>
    <n v="0"/>
    <n v="0"/>
    <n v="0"/>
    <n v="0"/>
    <n v="0"/>
    <n v="0"/>
    <n v="0"/>
    <n v="0"/>
    <x v="0"/>
    <n v="0"/>
    <s v=""/>
    <x v="1"/>
    <x v="2"/>
    <x v="0"/>
    <s v=""/>
    <s v="No"/>
    <m/>
  </r>
  <r>
    <s v=""/>
    <m/>
    <x v="12"/>
    <m/>
    <m/>
    <m/>
    <m/>
    <m/>
    <m/>
    <m/>
    <m/>
    <m/>
    <m/>
    <m/>
    <m/>
    <m/>
    <m/>
    <m/>
    <m/>
    <m/>
    <m/>
    <m/>
    <m/>
    <m/>
    <n v="0"/>
    <n v="0"/>
    <n v="0"/>
    <n v="0"/>
    <n v="0"/>
    <n v="0"/>
    <n v="0"/>
    <n v="0"/>
    <n v="0"/>
    <n v="0"/>
    <n v="0"/>
    <n v="0"/>
    <n v="0"/>
    <n v="0"/>
    <x v="0"/>
    <n v="0"/>
    <s v=""/>
    <x v="1"/>
    <x v="2"/>
    <x v="0"/>
    <s v=""/>
    <s v="No"/>
    <m/>
  </r>
  <r>
    <s v=""/>
    <m/>
    <x v="12"/>
    <m/>
    <m/>
    <m/>
    <m/>
    <m/>
    <m/>
    <m/>
    <m/>
    <m/>
    <m/>
    <m/>
    <m/>
    <m/>
    <m/>
    <m/>
    <m/>
    <m/>
    <m/>
    <m/>
    <m/>
    <m/>
    <n v="0"/>
    <n v="0"/>
    <n v="0"/>
    <n v="0"/>
    <n v="0"/>
    <n v="0"/>
    <n v="0"/>
    <n v="0"/>
    <n v="0"/>
    <n v="0"/>
    <n v="0"/>
    <n v="0"/>
    <n v="0"/>
    <n v="0"/>
    <x v="0"/>
    <n v="0"/>
    <s v=""/>
    <x v="1"/>
    <x v="2"/>
    <x v="0"/>
    <s v=""/>
    <s v="No"/>
    <m/>
  </r>
  <r>
    <s v=""/>
    <m/>
    <x v="12"/>
    <m/>
    <m/>
    <m/>
    <m/>
    <m/>
    <m/>
    <m/>
    <m/>
    <m/>
    <m/>
    <m/>
    <m/>
    <m/>
    <m/>
    <m/>
    <m/>
    <m/>
    <m/>
    <m/>
    <m/>
    <m/>
    <n v="0"/>
    <n v="0"/>
    <n v="0"/>
    <n v="0"/>
    <n v="0"/>
    <n v="0"/>
    <n v="0"/>
    <n v="0"/>
    <n v="0"/>
    <n v="0"/>
    <n v="0"/>
    <n v="0"/>
    <n v="0"/>
    <n v="0"/>
    <x v="0"/>
    <n v="0"/>
    <s v=""/>
    <x v="1"/>
    <x v="2"/>
    <x v="0"/>
    <s v=""/>
    <s v="No"/>
    <m/>
  </r>
  <r>
    <s v=""/>
    <m/>
    <x v="12"/>
    <m/>
    <m/>
    <m/>
    <m/>
    <m/>
    <m/>
    <m/>
    <m/>
    <m/>
    <m/>
    <m/>
    <m/>
    <m/>
    <m/>
    <m/>
    <m/>
    <m/>
    <m/>
    <m/>
    <m/>
    <m/>
    <n v="0"/>
    <n v="0"/>
    <n v="0"/>
    <n v="0"/>
    <n v="0"/>
    <n v="0"/>
    <n v="0"/>
    <n v="0"/>
    <n v="0"/>
    <n v="0"/>
    <n v="0"/>
    <n v="0"/>
    <n v="0"/>
    <n v="0"/>
    <x v="0"/>
    <n v="0"/>
    <s v=""/>
    <x v="1"/>
    <x v="2"/>
    <x v="0"/>
    <s v=""/>
    <s v="No"/>
    <m/>
  </r>
  <r>
    <s v=""/>
    <m/>
    <x v="12"/>
    <m/>
    <m/>
    <m/>
    <m/>
    <m/>
    <m/>
    <m/>
    <m/>
    <m/>
    <m/>
    <m/>
    <m/>
    <m/>
    <m/>
    <m/>
    <m/>
    <m/>
    <m/>
    <m/>
    <m/>
    <m/>
    <n v="0"/>
    <n v="0"/>
    <n v="0"/>
    <n v="0"/>
    <n v="0"/>
    <n v="0"/>
    <n v="0"/>
    <n v="0"/>
    <n v="0"/>
    <n v="0"/>
    <n v="0"/>
    <n v="0"/>
    <n v="0"/>
    <n v="0"/>
    <x v="0"/>
    <n v="0"/>
    <s v=""/>
    <x v="1"/>
    <x v="2"/>
    <x v="0"/>
    <s v=""/>
    <s v="No"/>
    <m/>
  </r>
  <r>
    <s v=""/>
    <m/>
    <x v="12"/>
    <m/>
    <m/>
    <m/>
    <m/>
    <m/>
    <m/>
    <m/>
    <m/>
    <m/>
    <m/>
    <m/>
    <m/>
    <m/>
    <m/>
    <m/>
    <m/>
    <m/>
    <m/>
    <m/>
    <m/>
    <m/>
    <n v="0"/>
    <n v="0"/>
    <n v="0"/>
    <n v="0"/>
    <n v="0"/>
    <n v="0"/>
    <n v="0"/>
    <n v="0"/>
    <n v="0"/>
    <n v="0"/>
    <n v="0"/>
    <n v="0"/>
    <n v="0"/>
    <n v="0"/>
    <x v="0"/>
    <n v="0"/>
    <s v=""/>
    <x v="1"/>
    <x v="2"/>
    <x v="0"/>
    <s v=""/>
    <s v="No"/>
    <m/>
  </r>
  <r>
    <s v=""/>
    <m/>
    <x v="12"/>
    <m/>
    <m/>
    <m/>
    <m/>
    <m/>
    <m/>
    <m/>
    <m/>
    <m/>
    <m/>
    <m/>
    <m/>
    <m/>
    <m/>
    <m/>
    <m/>
    <m/>
    <m/>
    <m/>
    <m/>
    <m/>
    <n v="0"/>
    <n v="0"/>
    <n v="0"/>
    <n v="0"/>
    <n v="0"/>
    <n v="0"/>
    <n v="0"/>
    <n v="0"/>
    <n v="0"/>
    <n v="0"/>
    <n v="0"/>
    <n v="0"/>
    <n v="0"/>
    <n v="0"/>
    <x v="0"/>
    <n v="0"/>
    <s v=""/>
    <x v="1"/>
    <x v="2"/>
    <x v="0"/>
    <s v=""/>
    <s v="No"/>
    <m/>
  </r>
  <r>
    <s v=""/>
    <m/>
    <x v="12"/>
    <m/>
    <m/>
    <m/>
    <m/>
    <m/>
    <m/>
    <m/>
    <m/>
    <m/>
    <m/>
    <m/>
    <m/>
    <m/>
    <m/>
    <m/>
    <m/>
    <m/>
    <m/>
    <m/>
    <m/>
    <m/>
    <n v="0"/>
    <n v="0"/>
    <n v="0"/>
    <n v="0"/>
    <n v="0"/>
    <n v="0"/>
    <n v="0"/>
    <n v="0"/>
    <n v="0"/>
    <n v="0"/>
    <n v="0"/>
    <n v="0"/>
    <n v="0"/>
    <n v="0"/>
    <x v="0"/>
    <n v="0"/>
    <s v=""/>
    <x v="1"/>
    <x v="2"/>
    <x v="0"/>
    <s v=""/>
    <s v="No"/>
    <m/>
  </r>
  <r>
    <s v=""/>
    <m/>
    <x v="12"/>
    <m/>
    <m/>
    <m/>
    <m/>
    <m/>
    <m/>
    <m/>
    <m/>
    <m/>
    <m/>
    <m/>
    <m/>
    <m/>
    <m/>
    <m/>
    <m/>
    <m/>
    <m/>
    <m/>
    <m/>
    <m/>
    <n v="0"/>
    <n v="0"/>
    <n v="0"/>
    <n v="0"/>
    <n v="0"/>
    <n v="0"/>
    <n v="0"/>
    <n v="0"/>
    <n v="0"/>
    <n v="0"/>
    <n v="0"/>
    <n v="0"/>
    <n v="0"/>
    <n v="0"/>
    <x v="0"/>
    <n v="0"/>
    <s v=""/>
    <x v="1"/>
    <x v="2"/>
    <x v="0"/>
    <s v=""/>
    <s v="No"/>
    <m/>
  </r>
  <r>
    <s v=""/>
    <m/>
    <x v="12"/>
    <m/>
    <m/>
    <m/>
    <m/>
    <m/>
    <m/>
    <m/>
    <m/>
    <m/>
    <m/>
    <m/>
    <m/>
    <m/>
    <m/>
    <m/>
    <m/>
    <m/>
    <m/>
    <m/>
    <m/>
    <m/>
    <n v="0"/>
    <n v="0"/>
    <n v="0"/>
    <n v="0"/>
    <n v="0"/>
    <n v="0"/>
    <n v="0"/>
    <n v="0"/>
    <n v="0"/>
    <n v="0"/>
    <n v="0"/>
    <n v="0"/>
    <n v="0"/>
    <n v="0"/>
    <x v="0"/>
    <n v="0"/>
    <s v=""/>
    <x v="1"/>
    <x v="2"/>
    <x v="0"/>
    <s v=""/>
    <s v="No"/>
    <m/>
  </r>
  <r>
    <s v=""/>
    <m/>
    <x v="12"/>
    <m/>
    <m/>
    <m/>
    <m/>
    <m/>
    <m/>
    <m/>
    <m/>
    <m/>
    <m/>
    <m/>
    <m/>
    <m/>
    <m/>
    <m/>
    <m/>
    <m/>
    <m/>
    <m/>
    <m/>
    <m/>
    <n v="0"/>
    <n v="0"/>
    <n v="0"/>
    <n v="0"/>
    <n v="0"/>
    <n v="0"/>
    <n v="0"/>
    <n v="0"/>
    <n v="0"/>
    <n v="0"/>
    <n v="0"/>
    <n v="0"/>
    <n v="0"/>
    <n v="0"/>
    <x v="0"/>
    <n v="0"/>
    <s v=""/>
    <x v="1"/>
    <x v="2"/>
    <x v="0"/>
    <s v=""/>
    <s v="No"/>
    <m/>
  </r>
  <r>
    <s v=""/>
    <m/>
    <x v="12"/>
    <m/>
    <m/>
    <m/>
    <m/>
    <m/>
    <m/>
    <m/>
    <m/>
    <m/>
    <m/>
    <m/>
    <m/>
    <m/>
    <m/>
    <m/>
    <m/>
    <m/>
    <m/>
    <m/>
    <m/>
    <m/>
    <n v="0"/>
    <n v="0"/>
    <n v="0"/>
    <n v="0"/>
    <n v="0"/>
    <n v="0"/>
    <n v="0"/>
    <n v="0"/>
    <n v="0"/>
    <n v="0"/>
    <n v="0"/>
    <n v="0"/>
    <n v="0"/>
    <n v="0"/>
    <x v="0"/>
    <n v="0"/>
    <s v=""/>
    <x v="1"/>
    <x v="2"/>
    <x v="0"/>
    <s v=""/>
    <s v="No"/>
    <m/>
  </r>
  <r>
    <s v=""/>
    <m/>
    <x v="12"/>
    <m/>
    <m/>
    <m/>
    <m/>
    <m/>
    <m/>
    <m/>
    <m/>
    <m/>
    <m/>
    <m/>
    <m/>
    <m/>
    <m/>
    <m/>
    <m/>
    <m/>
    <m/>
    <m/>
    <m/>
    <m/>
    <n v="0"/>
    <n v="0"/>
    <n v="0"/>
    <n v="0"/>
    <n v="0"/>
    <n v="0"/>
    <n v="0"/>
    <n v="0"/>
    <n v="0"/>
    <n v="0"/>
    <n v="0"/>
    <n v="0"/>
    <n v="0"/>
    <n v="0"/>
    <x v="0"/>
    <n v="0"/>
    <s v=""/>
    <x v="1"/>
    <x v="2"/>
    <x v="0"/>
    <s v=""/>
    <s v="No"/>
    <m/>
  </r>
  <r>
    <s v=""/>
    <m/>
    <x v="12"/>
    <m/>
    <m/>
    <m/>
    <m/>
    <m/>
    <m/>
    <m/>
    <m/>
    <m/>
    <m/>
    <m/>
    <m/>
    <m/>
    <m/>
    <m/>
    <m/>
    <m/>
    <m/>
    <m/>
    <m/>
    <m/>
    <n v="0"/>
    <n v="0"/>
    <n v="0"/>
    <n v="0"/>
    <n v="0"/>
    <n v="0"/>
    <n v="0"/>
    <n v="0"/>
    <n v="0"/>
    <n v="0"/>
    <n v="0"/>
    <n v="0"/>
    <n v="0"/>
    <n v="0"/>
    <x v="0"/>
    <n v="0"/>
    <s v=""/>
    <x v="1"/>
    <x v="2"/>
    <x v="0"/>
    <s v=""/>
    <s v="No"/>
    <m/>
  </r>
  <r>
    <s v=""/>
    <m/>
    <x v="12"/>
    <m/>
    <m/>
    <m/>
    <m/>
    <m/>
    <m/>
    <m/>
    <m/>
    <m/>
    <m/>
    <m/>
    <m/>
    <m/>
    <m/>
    <m/>
    <m/>
    <m/>
    <m/>
    <m/>
    <m/>
    <m/>
    <n v="0"/>
    <n v="0"/>
    <n v="0"/>
    <n v="0"/>
    <n v="0"/>
    <n v="0"/>
    <n v="0"/>
    <n v="0"/>
    <n v="0"/>
    <n v="0"/>
    <n v="0"/>
    <n v="0"/>
    <n v="0"/>
    <n v="0"/>
    <x v="0"/>
    <n v="0"/>
    <s v=""/>
    <x v="1"/>
    <x v="2"/>
    <x v="0"/>
    <s v=""/>
    <s v="No"/>
    <m/>
  </r>
  <r>
    <s v=""/>
    <m/>
    <x v="12"/>
    <m/>
    <m/>
    <m/>
    <m/>
    <m/>
    <m/>
    <m/>
    <m/>
    <m/>
    <m/>
    <m/>
    <m/>
    <m/>
    <m/>
    <m/>
    <m/>
    <m/>
    <m/>
    <m/>
    <m/>
    <m/>
    <n v="0"/>
    <n v="0"/>
    <n v="0"/>
    <n v="0"/>
    <n v="0"/>
    <n v="0"/>
    <n v="0"/>
    <n v="0"/>
    <n v="0"/>
    <n v="0"/>
    <n v="0"/>
    <n v="0"/>
    <n v="0"/>
    <n v="0"/>
    <x v="0"/>
    <n v="0"/>
    <s v=""/>
    <x v="1"/>
    <x v="2"/>
    <x v="0"/>
    <s v=""/>
    <s v="No"/>
    <m/>
  </r>
  <r>
    <s v=""/>
    <m/>
    <x v="12"/>
    <m/>
    <m/>
    <m/>
    <m/>
    <m/>
    <m/>
    <m/>
    <m/>
    <m/>
    <m/>
    <m/>
    <m/>
    <m/>
    <m/>
    <m/>
    <m/>
    <m/>
    <m/>
    <m/>
    <m/>
    <m/>
    <n v="0"/>
    <n v="0"/>
    <n v="0"/>
    <n v="0"/>
    <n v="0"/>
    <n v="0"/>
    <n v="0"/>
    <n v="0"/>
    <n v="0"/>
    <n v="0"/>
    <n v="0"/>
    <n v="0"/>
    <n v="0"/>
    <n v="0"/>
    <x v="0"/>
    <n v="0"/>
    <s v=""/>
    <x v="1"/>
    <x v="2"/>
    <x v="0"/>
    <s v=""/>
    <s v="No"/>
    <m/>
  </r>
  <r>
    <s v=""/>
    <m/>
    <x v="12"/>
    <m/>
    <m/>
    <m/>
    <m/>
    <m/>
    <m/>
    <m/>
    <m/>
    <m/>
    <m/>
    <m/>
    <m/>
    <m/>
    <m/>
    <m/>
    <m/>
    <m/>
    <m/>
    <m/>
    <m/>
    <m/>
    <n v="0"/>
    <n v="0"/>
    <n v="0"/>
    <n v="0"/>
    <n v="0"/>
    <n v="0"/>
    <n v="0"/>
    <n v="0"/>
    <n v="0"/>
    <n v="0"/>
    <n v="0"/>
    <n v="0"/>
    <n v="0"/>
    <n v="0"/>
    <x v="0"/>
    <n v="0"/>
    <s v=""/>
    <x v="1"/>
    <x v="2"/>
    <x v="0"/>
    <s v=""/>
    <s v="No"/>
    <m/>
  </r>
  <r>
    <s v=""/>
    <m/>
    <x v="12"/>
    <m/>
    <m/>
    <m/>
    <m/>
    <m/>
    <m/>
    <m/>
    <m/>
    <m/>
    <m/>
    <m/>
    <m/>
    <m/>
    <m/>
    <m/>
    <m/>
    <m/>
    <m/>
    <m/>
    <m/>
    <m/>
    <n v="0"/>
    <n v="0"/>
    <n v="0"/>
    <n v="0"/>
    <n v="0"/>
    <n v="0"/>
    <n v="0"/>
    <n v="0"/>
    <n v="0"/>
    <n v="0"/>
    <n v="0"/>
    <n v="0"/>
    <n v="0"/>
    <n v="0"/>
    <x v="0"/>
    <n v="0"/>
    <s v=""/>
    <x v="1"/>
    <x v="2"/>
    <x v="0"/>
    <s v=""/>
    <s v="No"/>
    <m/>
  </r>
  <r>
    <s v=""/>
    <m/>
    <x v="12"/>
    <m/>
    <m/>
    <m/>
    <m/>
    <m/>
    <m/>
    <m/>
    <m/>
    <m/>
    <m/>
    <m/>
    <m/>
    <m/>
    <m/>
    <m/>
    <m/>
    <m/>
    <m/>
    <m/>
    <m/>
    <m/>
    <n v="0"/>
    <n v="0"/>
    <n v="0"/>
    <n v="0"/>
    <n v="0"/>
    <n v="0"/>
    <n v="0"/>
    <n v="0"/>
    <n v="0"/>
    <n v="0"/>
    <n v="0"/>
    <n v="0"/>
    <n v="0"/>
    <n v="0"/>
    <x v="0"/>
    <n v="0"/>
    <s v=""/>
    <x v="1"/>
    <x v="2"/>
    <x v="0"/>
    <s v=""/>
    <s v="No"/>
    <m/>
  </r>
  <r>
    <s v=""/>
    <m/>
    <x v="12"/>
    <m/>
    <m/>
    <m/>
    <m/>
    <m/>
    <m/>
    <m/>
    <m/>
    <m/>
    <m/>
    <m/>
    <m/>
    <m/>
    <m/>
    <m/>
    <m/>
    <m/>
    <m/>
    <m/>
    <m/>
    <m/>
    <n v="0"/>
    <n v="0"/>
    <n v="0"/>
    <n v="0"/>
    <n v="0"/>
    <n v="0"/>
    <n v="0"/>
    <n v="0"/>
    <n v="0"/>
    <n v="0"/>
    <n v="0"/>
    <n v="0"/>
    <n v="0"/>
    <n v="0"/>
    <x v="0"/>
    <n v="0"/>
    <s v=""/>
    <x v="1"/>
    <x v="2"/>
    <x v="0"/>
    <s v=""/>
    <s v="No"/>
    <m/>
  </r>
  <r>
    <s v=""/>
    <m/>
    <x v="12"/>
    <m/>
    <m/>
    <m/>
    <m/>
    <m/>
    <m/>
    <m/>
    <m/>
    <m/>
    <m/>
    <m/>
    <m/>
    <m/>
    <m/>
    <m/>
    <m/>
    <m/>
    <m/>
    <m/>
    <m/>
    <m/>
    <n v="0"/>
    <n v="0"/>
    <n v="0"/>
    <n v="0"/>
    <n v="0"/>
    <n v="0"/>
    <n v="0"/>
    <n v="0"/>
    <n v="0"/>
    <n v="0"/>
    <n v="0"/>
    <n v="0"/>
    <n v="0"/>
    <n v="0"/>
    <x v="0"/>
    <n v="0"/>
    <s v=""/>
    <x v="1"/>
    <x v="2"/>
    <x v="0"/>
    <s v=""/>
    <s v="No"/>
    <m/>
  </r>
  <r>
    <s v=""/>
    <m/>
    <x v="12"/>
    <m/>
    <m/>
    <m/>
    <m/>
    <m/>
    <m/>
    <m/>
    <m/>
    <m/>
    <m/>
    <m/>
    <m/>
    <m/>
    <m/>
    <m/>
    <m/>
    <m/>
    <m/>
    <m/>
    <m/>
    <m/>
    <n v="0"/>
    <n v="0"/>
    <n v="0"/>
    <n v="0"/>
    <n v="0"/>
    <n v="0"/>
    <n v="0"/>
    <n v="0"/>
    <n v="0"/>
    <n v="0"/>
    <n v="0"/>
    <n v="0"/>
    <n v="0"/>
    <n v="0"/>
    <x v="0"/>
    <n v="0"/>
    <s v=""/>
    <x v="1"/>
    <x v="2"/>
    <x v="0"/>
    <s v=""/>
    <s v="No"/>
    <m/>
  </r>
  <r>
    <s v=""/>
    <m/>
    <x v="12"/>
    <m/>
    <m/>
    <m/>
    <m/>
    <m/>
    <m/>
    <m/>
    <m/>
    <m/>
    <m/>
    <m/>
    <m/>
    <m/>
    <m/>
    <m/>
    <m/>
    <m/>
    <m/>
    <m/>
    <m/>
    <m/>
    <n v="0"/>
    <n v="0"/>
    <n v="0"/>
    <n v="0"/>
    <n v="0"/>
    <n v="0"/>
    <n v="0"/>
    <n v="0"/>
    <n v="0"/>
    <n v="0"/>
    <n v="0"/>
    <n v="0"/>
    <n v="0"/>
    <n v="0"/>
    <x v="0"/>
    <n v="0"/>
    <s v=""/>
    <x v="1"/>
    <x v="2"/>
    <x v="0"/>
    <s v=""/>
    <s v="No"/>
    <m/>
  </r>
  <r>
    <s v=""/>
    <m/>
    <x v="12"/>
    <m/>
    <m/>
    <m/>
    <m/>
    <m/>
    <m/>
    <m/>
    <m/>
    <m/>
    <m/>
    <m/>
    <m/>
    <m/>
    <m/>
    <m/>
    <m/>
    <m/>
    <m/>
    <m/>
    <m/>
    <m/>
    <n v="0"/>
    <n v="0"/>
    <n v="0"/>
    <n v="0"/>
    <n v="0"/>
    <n v="0"/>
    <n v="0"/>
    <n v="0"/>
    <n v="0"/>
    <n v="0"/>
    <n v="0"/>
    <n v="0"/>
    <n v="0"/>
    <n v="0"/>
    <x v="0"/>
    <n v="0"/>
    <s v=""/>
    <x v="1"/>
    <x v="2"/>
    <x v="0"/>
    <s v=""/>
    <s v="No"/>
    <m/>
  </r>
  <r>
    <s v=""/>
    <m/>
    <x v="12"/>
    <m/>
    <m/>
    <m/>
    <m/>
    <m/>
    <m/>
    <m/>
    <m/>
    <m/>
    <m/>
    <m/>
    <m/>
    <m/>
    <m/>
    <m/>
    <m/>
    <m/>
    <m/>
    <m/>
    <m/>
    <m/>
    <n v="0"/>
    <n v="0"/>
    <n v="0"/>
    <n v="0"/>
    <n v="0"/>
    <n v="0"/>
    <n v="0"/>
    <n v="0"/>
    <n v="0"/>
    <n v="0"/>
    <n v="0"/>
    <n v="0"/>
    <n v="0"/>
    <n v="0"/>
    <x v="0"/>
    <n v="0"/>
    <s v=""/>
    <x v="1"/>
    <x v="2"/>
    <x v="0"/>
    <s v=""/>
    <s v="No"/>
    <m/>
  </r>
  <r>
    <s v=""/>
    <m/>
    <x v="12"/>
    <m/>
    <m/>
    <m/>
    <m/>
    <m/>
    <m/>
    <m/>
    <m/>
    <m/>
    <m/>
    <m/>
    <m/>
    <m/>
    <m/>
    <m/>
    <m/>
    <m/>
    <m/>
    <m/>
    <m/>
    <m/>
    <n v="0"/>
    <n v="0"/>
    <n v="0"/>
    <n v="0"/>
    <n v="0"/>
    <n v="0"/>
    <n v="0"/>
    <n v="0"/>
    <n v="0"/>
    <n v="0"/>
    <n v="0"/>
    <n v="0"/>
    <n v="0"/>
    <n v="0"/>
    <x v="0"/>
    <n v="0"/>
    <s v=""/>
    <x v="1"/>
    <x v="2"/>
    <x v="0"/>
    <s v=""/>
    <s v="No"/>
    <m/>
  </r>
  <r>
    <s v=""/>
    <m/>
    <x v="12"/>
    <m/>
    <m/>
    <m/>
    <m/>
    <m/>
    <m/>
    <m/>
    <m/>
    <m/>
    <m/>
    <m/>
    <m/>
    <m/>
    <m/>
    <m/>
    <m/>
    <m/>
    <m/>
    <m/>
    <m/>
    <m/>
    <n v="0"/>
    <n v="0"/>
    <n v="0"/>
    <n v="0"/>
    <n v="0"/>
    <n v="0"/>
    <n v="0"/>
    <n v="0"/>
    <n v="0"/>
    <n v="0"/>
    <n v="0"/>
    <n v="0"/>
    <n v="0"/>
    <n v="0"/>
    <x v="0"/>
    <n v="0"/>
    <s v=""/>
    <x v="1"/>
    <x v="2"/>
    <x v="0"/>
    <s v=""/>
    <s v="No"/>
    <m/>
  </r>
  <r>
    <s v=""/>
    <m/>
    <x v="12"/>
    <m/>
    <m/>
    <m/>
    <m/>
    <m/>
    <m/>
    <m/>
    <m/>
    <m/>
    <m/>
    <m/>
    <m/>
    <m/>
    <m/>
    <m/>
    <m/>
    <m/>
    <m/>
    <m/>
    <m/>
    <m/>
    <n v="0"/>
    <n v="0"/>
    <n v="0"/>
    <n v="0"/>
    <n v="0"/>
    <n v="0"/>
    <n v="0"/>
    <n v="0"/>
    <n v="0"/>
    <n v="0"/>
    <n v="0"/>
    <n v="0"/>
    <n v="0"/>
    <n v="0"/>
    <x v="0"/>
    <n v="0"/>
    <s v=""/>
    <x v="1"/>
    <x v="2"/>
    <x v="0"/>
    <s v=""/>
    <s v="No"/>
    <m/>
  </r>
  <r>
    <s v=""/>
    <m/>
    <x v="12"/>
    <m/>
    <m/>
    <m/>
    <m/>
    <m/>
    <m/>
    <m/>
    <m/>
    <m/>
    <m/>
    <m/>
    <m/>
    <m/>
    <m/>
    <m/>
    <m/>
    <m/>
    <m/>
    <m/>
    <m/>
    <m/>
    <n v="0"/>
    <n v="0"/>
    <n v="0"/>
    <n v="0"/>
    <n v="0"/>
    <n v="0"/>
    <n v="0"/>
    <n v="0"/>
    <n v="0"/>
    <n v="0"/>
    <n v="0"/>
    <n v="0"/>
    <n v="0"/>
    <n v="0"/>
    <x v="0"/>
    <n v="0"/>
    <s v=""/>
    <x v="1"/>
    <x v="2"/>
    <x v="0"/>
    <s v=""/>
    <s v="No"/>
    <m/>
  </r>
  <r>
    <s v=""/>
    <m/>
    <x v="12"/>
    <m/>
    <m/>
    <m/>
    <m/>
    <m/>
    <m/>
    <m/>
    <m/>
    <m/>
    <m/>
    <m/>
    <m/>
    <m/>
    <m/>
    <m/>
    <m/>
    <m/>
    <m/>
    <m/>
    <m/>
    <m/>
    <n v="0"/>
    <n v="0"/>
    <n v="0"/>
    <n v="0"/>
    <n v="0"/>
    <n v="0"/>
    <n v="0"/>
    <n v="0"/>
    <n v="0"/>
    <n v="0"/>
    <n v="0"/>
    <n v="0"/>
    <n v="0"/>
    <n v="0"/>
    <x v="0"/>
    <n v="0"/>
    <s v=""/>
    <x v="1"/>
    <x v="2"/>
    <x v="0"/>
    <s v=""/>
    <s v="No"/>
    <m/>
  </r>
  <r>
    <s v=""/>
    <m/>
    <x v="12"/>
    <m/>
    <m/>
    <m/>
    <m/>
    <m/>
    <m/>
    <m/>
    <m/>
    <m/>
    <m/>
    <m/>
    <m/>
    <m/>
    <m/>
    <m/>
    <m/>
    <m/>
    <m/>
    <m/>
    <m/>
    <m/>
    <n v="0"/>
    <n v="0"/>
    <n v="0"/>
    <n v="0"/>
    <n v="0"/>
    <n v="0"/>
    <n v="0"/>
    <n v="0"/>
    <n v="0"/>
    <n v="0"/>
    <n v="0"/>
    <n v="0"/>
    <n v="0"/>
    <n v="0"/>
    <x v="0"/>
    <n v="0"/>
    <s v=""/>
    <x v="1"/>
    <x v="2"/>
    <x v="0"/>
    <s v=""/>
    <s v="No"/>
    <m/>
  </r>
  <r>
    <s v=""/>
    <m/>
    <x v="12"/>
    <m/>
    <m/>
    <m/>
    <m/>
    <m/>
    <m/>
    <m/>
    <m/>
    <m/>
    <m/>
    <m/>
    <m/>
    <m/>
    <m/>
    <m/>
    <m/>
    <m/>
    <m/>
    <m/>
    <m/>
    <m/>
    <n v="0"/>
    <n v="0"/>
    <n v="0"/>
    <n v="0"/>
    <n v="0"/>
    <n v="0"/>
    <n v="0"/>
    <n v="0"/>
    <n v="0"/>
    <n v="0"/>
    <n v="0"/>
    <n v="0"/>
    <n v="0"/>
    <n v="0"/>
    <x v="0"/>
    <n v="0"/>
    <s v=""/>
    <x v="1"/>
    <x v="2"/>
    <x v="0"/>
    <s v=""/>
    <s v="No"/>
    <m/>
  </r>
  <r>
    <s v=""/>
    <m/>
    <x v="12"/>
    <m/>
    <m/>
    <m/>
    <m/>
    <m/>
    <m/>
    <m/>
    <m/>
    <m/>
    <m/>
    <m/>
    <m/>
    <m/>
    <m/>
    <m/>
    <m/>
    <m/>
    <m/>
    <m/>
    <m/>
    <m/>
    <n v="0"/>
    <n v="0"/>
    <n v="0"/>
    <n v="0"/>
    <n v="0"/>
    <n v="0"/>
    <n v="0"/>
    <n v="0"/>
    <n v="0"/>
    <n v="0"/>
    <n v="0"/>
    <n v="0"/>
    <n v="0"/>
    <n v="0"/>
    <x v="0"/>
    <n v="0"/>
    <s v=""/>
    <x v="1"/>
    <x v="2"/>
    <x v="0"/>
    <s v=""/>
    <s v="No"/>
    <m/>
  </r>
  <r>
    <s v=""/>
    <m/>
    <x v="12"/>
    <m/>
    <m/>
    <m/>
    <m/>
    <m/>
    <m/>
    <m/>
    <m/>
    <m/>
    <m/>
    <m/>
    <m/>
    <m/>
    <m/>
    <m/>
    <m/>
    <m/>
    <m/>
    <m/>
    <m/>
    <m/>
    <n v="0"/>
    <n v="0"/>
    <n v="0"/>
    <n v="0"/>
    <n v="0"/>
    <n v="0"/>
    <n v="0"/>
    <n v="0"/>
    <n v="0"/>
    <n v="0"/>
    <n v="0"/>
    <n v="0"/>
    <n v="0"/>
    <n v="0"/>
    <x v="0"/>
    <n v="0"/>
    <s v=""/>
    <x v="1"/>
    <x v="2"/>
    <x v="0"/>
    <s v=""/>
    <s v="No"/>
    <m/>
  </r>
  <r>
    <s v=""/>
    <m/>
    <x v="12"/>
    <m/>
    <m/>
    <m/>
    <m/>
    <m/>
    <m/>
    <m/>
    <m/>
    <m/>
    <m/>
    <m/>
    <m/>
    <m/>
    <m/>
    <m/>
    <m/>
    <m/>
    <m/>
    <m/>
    <m/>
    <m/>
    <n v="0"/>
    <n v="0"/>
    <n v="0"/>
    <n v="0"/>
    <n v="0"/>
    <n v="0"/>
    <n v="0"/>
    <n v="0"/>
    <n v="0"/>
    <n v="0"/>
    <n v="0"/>
    <n v="0"/>
    <n v="0"/>
    <n v="0"/>
    <x v="0"/>
    <n v="0"/>
    <s v=""/>
    <x v="1"/>
    <x v="2"/>
    <x v="0"/>
    <s v=""/>
    <s v="No"/>
    <m/>
  </r>
  <r>
    <s v=""/>
    <m/>
    <x v="12"/>
    <m/>
    <m/>
    <m/>
    <m/>
    <m/>
    <m/>
    <m/>
    <m/>
    <m/>
    <m/>
    <m/>
    <m/>
    <m/>
    <m/>
    <m/>
    <m/>
    <m/>
    <m/>
    <m/>
    <m/>
    <m/>
    <n v="0"/>
    <n v="0"/>
    <n v="0"/>
    <n v="0"/>
    <n v="0"/>
    <n v="0"/>
    <n v="0"/>
    <n v="0"/>
    <n v="0"/>
    <n v="0"/>
    <n v="0"/>
    <n v="0"/>
    <n v="0"/>
    <n v="0"/>
    <x v="0"/>
    <n v="0"/>
    <s v=""/>
    <x v="1"/>
    <x v="2"/>
    <x v="0"/>
    <s v=""/>
    <s v="No"/>
    <m/>
  </r>
  <r>
    <s v=""/>
    <m/>
    <x v="12"/>
    <m/>
    <m/>
    <m/>
    <m/>
    <m/>
    <m/>
    <m/>
    <m/>
    <m/>
    <m/>
    <m/>
    <m/>
    <m/>
    <m/>
    <m/>
    <m/>
    <m/>
    <m/>
    <m/>
    <m/>
    <m/>
    <n v="0"/>
    <n v="0"/>
    <n v="0"/>
    <n v="0"/>
    <n v="0"/>
    <n v="0"/>
    <n v="0"/>
    <n v="0"/>
    <n v="0"/>
    <n v="0"/>
    <n v="0"/>
    <n v="0"/>
    <n v="0"/>
    <n v="0"/>
    <x v="0"/>
    <n v="0"/>
    <s v=""/>
    <x v="1"/>
    <x v="2"/>
    <x v="0"/>
    <s v=""/>
    <s v="No"/>
    <m/>
  </r>
  <r>
    <s v=""/>
    <m/>
    <x v="12"/>
    <m/>
    <m/>
    <m/>
    <m/>
    <m/>
    <m/>
    <m/>
    <m/>
    <m/>
    <m/>
    <m/>
    <m/>
    <m/>
    <m/>
    <m/>
    <m/>
    <m/>
    <m/>
    <m/>
    <m/>
    <m/>
    <n v="0"/>
    <n v="0"/>
    <n v="0"/>
    <n v="0"/>
    <n v="0"/>
    <n v="0"/>
    <n v="0"/>
    <n v="0"/>
    <n v="0"/>
    <n v="0"/>
    <n v="0"/>
    <n v="0"/>
    <n v="0"/>
    <n v="0"/>
    <x v="0"/>
    <n v="0"/>
    <s v=""/>
    <x v="1"/>
    <x v="2"/>
    <x v="0"/>
    <s v=""/>
    <s v="No"/>
    <m/>
  </r>
  <r>
    <s v=""/>
    <m/>
    <x v="12"/>
    <m/>
    <m/>
    <m/>
    <m/>
    <m/>
    <m/>
    <m/>
    <m/>
    <m/>
    <m/>
    <m/>
    <m/>
    <m/>
    <m/>
    <m/>
    <m/>
    <m/>
    <m/>
    <m/>
    <m/>
    <m/>
    <n v="0"/>
    <n v="0"/>
    <n v="0"/>
    <n v="0"/>
    <n v="0"/>
    <n v="0"/>
    <n v="0"/>
    <n v="0"/>
    <n v="0"/>
    <n v="0"/>
    <n v="0"/>
    <n v="0"/>
    <n v="0"/>
    <n v="0"/>
    <x v="0"/>
    <n v="0"/>
    <s v=""/>
    <x v="1"/>
    <x v="2"/>
    <x v="0"/>
    <s v=""/>
    <s v="No"/>
    <m/>
  </r>
  <r>
    <s v=""/>
    <m/>
    <x v="12"/>
    <m/>
    <m/>
    <m/>
    <m/>
    <m/>
    <m/>
    <m/>
    <m/>
    <m/>
    <m/>
    <m/>
    <m/>
    <m/>
    <m/>
    <m/>
    <m/>
    <m/>
    <m/>
    <m/>
    <m/>
    <m/>
    <n v="0"/>
    <n v="0"/>
    <n v="0"/>
    <n v="0"/>
    <n v="0"/>
    <n v="0"/>
    <n v="0"/>
    <n v="0"/>
    <n v="0"/>
    <n v="0"/>
    <n v="0"/>
    <n v="0"/>
    <n v="0"/>
    <n v="0"/>
    <x v="0"/>
    <n v="0"/>
    <s v=""/>
    <x v="1"/>
    <x v="2"/>
    <x v="0"/>
    <s v=""/>
    <s v="No"/>
    <m/>
  </r>
  <r>
    <s v=""/>
    <m/>
    <x v="12"/>
    <m/>
    <m/>
    <m/>
    <m/>
    <m/>
    <m/>
    <m/>
    <m/>
    <m/>
    <m/>
    <m/>
    <m/>
    <m/>
    <m/>
    <m/>
    <m/>
    <m/>
    <m/>
    <m/>
    <m/>
    <m/>
    <n v="0"/>
    <n v="0"/>
    <n v="0"/>
    <n v="0"/>
    <n v="0"/>
    <n v="0"/>
    <n v="0"/>
    <n v="0"/>
    <n v="0"/>
    <n v="0"/>
    <n v="0"/>
    <n v="0"/>
    <n v="0"/>
    <n v="0"/>
    <x v="0"/>
    <n v="0"/>
    <s v=""/>
    <x v="1"/>
    <x v="2"/>
    <x v="0"/>
    <s v=""/>
    <s v="No"/>
    <m/>
  </r>
  <r>
    <s v=""/>
    <m/>
    <x v="12"/>
    <m/>
    <m/>
    <m/>
    <m/>
    <m/>
    <m/>
    <m/>
    <m/>
    <m/>
    <m/>
    <m/>
    <m/>
    <m/>
    <m/>
    <m/>
    <m/>
    <m/>
    <m/>
    <m/>
    <m/>
    <m/>
    <n v="0"/>
    <n v="0"/>
    <n v="0"/>
    <n v="0"/>
    <n v="0"/>
    <n v="0"/>
    <n v="0"/>
    <n v="0"/>
    <n v="0"/>
    <n v="0"/>
    <n v="0"/>
    <n v="0"/>
    <n v="0"/>
    <n v="0"/>
    <x v="0"/>
    <n v="0"/>
    <s v=""/>
    <x v="1"/>
    <x v="2"/>
    <x v="0"/>
    <s v=""/>
    <s v="No"/>
    <m/>
  </r>
  <r>
    <s v=""/>
    <m/>
    <x v="12"/>
    <m/>
    <m/>
    <m/>
    <m/>
    <m/>
    <m/>
    <m/>
    <m/>
    <m/>
    <m/>
    <m/>
    <m/>
    <m/>
    <m/>
    <m/>
    <m/>
    <m/>
    <m/>
    <m/>
    <m/>
    <m/>
    <n v="0"/>
    <n v="0"/>
    <n v="0"/>
    <n v="0"/>
    <n v="0"/>
    <n v="0"/>
    <n v="0"/>
    <n v="0"/>
    <n v="0"/>
    <n v="0"/>
    <n v="0"/>
    <n v="0"/>
    <n v="0"/>
    <n v="0"/>
    <x v="0"/>
    <n v="0"/>
    <s v=""/>
    <x v="1"/>
    <x v="2"/>
    <x v="0"/>
    <s v=""/>
    <s v="No"/>
    <m/>
  </r>
  <r>
    <s v=""/>
    <m/>
    <x v="12"/>
    <m/>
    <m/>
    <m/>
    <m/>
    <m/>
    <m/>
    <m/>
    <m/>
    <m/>
    <m/>
    <m/>
    <m/>
    <m/>
    <m/>
    <m/>
    <m/>
    <m/>
    <m/>
    <m/>
    <m/>
    <m/>
    <n v="0"/>
    <n v="0"/>
    <n v="0"/>
    <n v="0"/>
    <n v="0"/>
    <n v="0"/>
    <n v="0"/>
    <n v="0"/>
    <n v="0"/>
    <n v="0"/>
    <n v="0"/>
    <n v="0"/>
    <n v="0"/>
    <n v="0"/>
    <x v="0"/>
    <n v="0"/>
    <s v=""/>
    <x v="1"/>
    <x v="2"/>
    <x v="0"/>
    <s v=""/>
    <s v="No"/>
    <m/>
  </r>
  <r>
    <s v=""/>
    <m/>
    <x v="12"/>
    <m/>
    <m/>
    <m/>
    <m/>
    <m/>
    <m/>
    <m/>
    <m/>
    <m/>
    <m/>
    <m/>
    <m/>
    <m/>
    <m/>
    <m/>
    <m/>
    <m/>
    <m/>
    <m/>
    <m/>
    <m/>
    <n v="0"/>
    <n v="0"/>
    <n v="0"/>
    <n v="0"/>
    <n v="0"/>
    <n v="0"/>
    <n v="0"/>
    <n v="0"/>
    <n v="0"/>
    <n v="0"/>
    <n v="0"/>
    <n v="0"/>
    <n v="0"/>
    <n v="0"/>
    <x v="0"/>
    <n v="0"/>
    <s v=""/>
    <x v="1"/>
    <x v="2"/>
    <x v="0"/>
    <s v=""/>
    <s v="No"/>
    <m/>
  </r>
  <r>
    <s v=""/>
    <m/>
    <x v="12"/>
    <m/>
    <m/>
    <m/>
    <m/>
    <m/>
    <m/>
    <m/>
    <m/>
    <m/>
    <m/>
    <m/>
    <m/>
    <m/>
    <m/>
    <m/>
    <m/>
    <m/>
    <m/>
    <m/>
    <m/>
    <m/>
    <n v="0"/>
    <n v="0"/>
    <n v="0"/>
    <n v="0"/>
    <n v="0"/>
    <n v="0"/>
    <n v="0"/>
    <n v="0"/>
    <n v="0"/>
    <n v="0"/>
    <n v="0"/>
    <n v="0"/>
    <n v="0"/>
    <n v="0"/>
    <x v="0"/>
    <n v="0"/>
    <s v=""/>
    <x v="1"/>
    <x v="2"/>
    <x v="0"/>
    <s v=""/>
    <s v="No"/>
    <m/>
  </r>
  <r>
    <s v=""/>
    <m/>
    <x v="12"/>
    <m/>
    <m/>
    <m/>
    <m/>
    <m/>
    <m/>
    <m/>
    <m/>
    <m/>
    <m/>
    <m/>
    <m/>
    <m/>
    <m/>
    <m/>
    <m/>
    <m/>
    <m/>
    <m/>
    <m/>
    <m/>
    <n v="0"/>
    <n v="0"/>
    <n v="0"/>
    <n v="0"/>
    <n v="0"/>
    <n v="0"/>
    <n v="0"/>
    <n v="0"/>
    <n v="0"/>
    <n v="0"/>
    <n v="0"/>
    <n v="0"/>
    <n v="0"/>
    <n v="0"/>
    <x v="0"/>
    <n v="0"/>
    <s v=""/>
    <x v="1"/>
    <x v="2"/>
    <x v="0"/>
    <s v=""/>
    <s v="No"/>
    <m/>
  </r>
  <r>
    <s v=""/>
    <m/>
    <x v="12"/>
    <m/>
    <m/>
    <m/>
    <m/>
    <m/>
    <m/>
    <m/>
    <m/>
    <m/>
    <m/>
    <m/>
    <m/>
    <m/>
    <m/>
    <m/>
    <m/>
    <m/>
    <m/>
    <m/>
    <m/>
    <m/>
    <n v="0"/>
    <n v="0"/>
    <n v="0"/>
    <n v="0"/>
    <n v="0"/>
    <n v="0"/>
    <n v="0"/>
    <n v="0"/>
    <n v="0"/>
    <n v="0"/>
    <n v="0"/>
    <n v="0"/>
    <n v="0"/>
    <n v="0"/>
    <x v="0"/>
    <n v="0"/>
    <s v=""/>
    <x v="1"/>
    <x v="2"/>
    <x v="0"/>
    <s v=""/>
    <s v="No"/>
    <m/>
  </r>
  <r>
    <s v=""/>
    <m/>
    <x v="12"/>
    <m/>
    <m/>
    <m/>
    <m/>
    <m/>
    <m/>
    <m/>
    <m/>
    <m/>
    <m/>
    <m/>
    <m/>
    <m/>
    <m/>
    <m/>
    <m/>
    <m/>
    <m/>
    <m/>
    <m/>
    <m/>
    <n v="0"/>
    <n v="0"/>
    <n v="0"/>
    <n v="0"/>
    <n v="0"/>
    <n v="0"/>
    <n v="0"/>
    <n v="0"/>
    <n v="0"/>
    <n v="0"/>
    <n v="0"/>
    <n v="0"/>
    <n v="0"/>
    <n v="0"/>
    <x v="0"/>
    <n v="0"/>
    <s v=""/>
    <x v="1"/>
    <x v="2"/>
    <x v="0"/>
    <s v=""/>
    <s v="No"/>
    <m/>
  </r>
  <r>
    <s v=""/>
    <m/>
    <x v="12"/>
    <m/>
    <m/>
    <m/>
    <m/>
    <m/>
    <m/>
    <m/>
    <m/>
    <m/>
    <m/>
    <m/>
    <m/>
    <m/>
    <m/>
    <m/>
    <m/>
    <m/>
    <m/>
    <m/>
    <m/>
    <m/>
    <n v="0"/>
    <n v="0"/>
    <n v="0"/>
    <n v="0"/>
    <n v="0"/>
    <n v="0"/>
    <n v="0"/>
    <n v="0"/>
    <n v="0"/>
    <n v="0"/>
    <n v="0"/>
    <n v="0"/>
    <n v="0"/>
    <n v="0"/>
    <x v="0"/>
    <n v="0"/>
    <s v=""/>
    <x v="1"/>
    <x v="2"/>
    <x v="0"/>
    <s v=""/>
    <s v="No"/>
    <m/>
  </r>
  <r>
    <s v=""/>
    <m/>
    <x v="12"/>
    <m/>
    <m/>
    <m/>
    <m/>
    <m/>
    <m/>
    <m/>
    <m/>
    <m/>
    <m/>
    <m/>
    <m/>
    <m/>
    <m/>
    <m/>
    <m/>
    <m/>
    <m/>
    <m/>
    <m/>
    <m/>
    <n v="0"/>
    <n v="0"/>
    <n v="0"/>
    <n v="0"/>
    <n v="0"/>
    <n v="0"/>
    <n v="0"/>
    <n v="0"/>
    <n v="0"/>
    <n v="0"/>
    <n v="0"/>
    <n v="0"/>
    <n v="0"/>
    <n v="0"/>
    <x v="0"/>
    <n v="0"/>
    <s v=""/>
    <x v="1"/>
    <x v="2"/>
    <x v="0"/>
    <s v=""/>
    <s v="No"/>
    <m/>
  </r>
  <r>
    <s v=""/>
    <m/>
    <x v="12"/>
    <m/>
    <m/>
    <m/>
    <m/>
    <m/>
    <m/>
    <m/>
    <m/>
    <m/>
    <m/>
    <m/>
    <m/>
    <m/>
    <m/>
    <m/>
    <m/>
    <m/>
    <m/>
    <m/>
    <m/>
    <m/>
    <n v="0"/>
    <n v="0"/>
    <n v="0"/>
    <n v="0"/>
    <n v="0"/>
    <n v="0"/>
    <n v="0"/>
    <n v="0"/>
    <n v="0"/>
    <n v="0"/>
    <n v="0"/>
    <n v="0"/>
    <n v="0"/>
    <n v="0"/>
    <x v="0"/>
    <n v="0"/>
    <s v=""/>
    <x v="1"/>
    <x v="2"/>
    <x v="0"/>
    <s v=""/>
    <s v="No"/>
    <m/>
  </r>
  <r>
    <s v=""/>
    <m/>
    <x v="12"/>
    <m/>
    <m/>
    <m/>
    <m/>
    <m/>
    <m/>
    <m/>
    <m/>
    <m/>
    <m/>
    <m/>
    <m/>
    <m/>
    <m/>
    <m/>
    <m/>
    <m/>
    <m/>
    <m/>
    <m/>
    <m/>
    <n v="0"/>
    <n v="0"/>
    <n v="0"/>
    <n v="0"/>
    <n v="0"/>
    <n v="0"/>
    <n v="0"/>
    <n v="0"/>
    <n v="0"/>
    <n v="0"/>
    <n v="0"/>
    <n v="0"/>
    <n v="0"/>
    <n v="0"/>
    <x v="0"/>
    <n v="0"/>
    <s v=""/>
    <x v="1"/>
    <x v="2"/>
    <x v="0"/>
    <s v=""/>
    <s v="No"/>
    <m/>
  </r>
  <r>
    <s v=""/>
    <m/>
    <x v="12"/>
    <m/>
    <m/>
    <m/>
    <m/>
    <m/>
    <m/>
    <m/>
    <m/>
    <m/>
    <m/>
    <m/>
    <m/>
    <m/>
    <m/>
    <m/>
    <m/>
    <m/>
    <m/>
    <m/>
    <m/>
    <m/>
    <n v="0"/>
    <n v="0"/>
    <n v="0"/>
    <n v="0"/>
    <n v="0"/>
    <n v="0"/>
    <n v="0"/>
    <n v="0"/>
    <n v="0"/>
    <n v="0"/>
    <n v="0"/>
    <n v="0"/>
    <n v="0"/>
    <n v="0"/>
    <x v="0"/>
    <n v="0"/>
    <s v=""/>
    <x v="1"/>
    <x v="2"/>
    <x v="0"/>
    <s v=""/>
    <s v="No"/>
    <m/>
  </r>
  <r>
    <s v=""/>
    <m/>
    <x v="12"/>
    <m/>
    <m/>
    <m/>
    <m/>
    <m/>
    <m/>
    <m/>
    <m/>
    <m/>
    <m/>
    <m/>
    <m/>
    <m/>
    <m/>
    <m/>
    <m/>
    <m/>
    <m/>
    <m/>
    <m/>
    <m/>
    <n v="0"/>
    <n v="0"/>
    <n v="0"/>
    <n v="0"/>
    <n v="0"/>
    <n v="0"/>
    <n v="0"/>
    <n v="0"/>
    <n v="0"/>
    <n v="0"/>
    <n v="0"/>
    <n v="0"/>
    <n v="0"/>
    <n v="0"/>
    <x v="0"/>
    <n v="0"/>
    <s v=""/>
    <x v="1"/>
    <x v="2"/>
    <x v="0"/>
    <s v=""/>
    <s v="No"/>
    <m/>
  </r>
  <r>
    <s v=""/>
    <m/>
    <x v="12"/>
    <m/>
    <m/>
    <m/>
    <m/>
    <m/>
    <m/>
    <m/>
    <m/>
    <m/>
    <m/>
    <m/>
    <m/>
    <m/>
    <m/>
    <m/>
    <m/>
    <m/>
    <m/>
    <m/>
    <m/>
    <m/>
    <n v="0"/>
    <n v="0"/>
    <n v="0"/>
    <n v="0"/>
    <n v="0"/>
    <n v="0"/>
    <n v="0"/>
    <n v="0"/>
    <n v="0"/>
    <n v="0"/>
    <n v="0"/>
    <n v="0"/>
    <n v="0"/>
    <n v="0"/>
    <x v="0"/>
    <n v="0"/>
    <s v=""/>
    <x v="1"/>
    <x v="2"/>
    <x v="0"/>
    <s v=""/>
    <s v="No"/>
    <m/>
  </r>
  <r>
    <s v=""/>
    <m/>
    <x v="12"/>
    <m/>
    <m/>
    <m/>
    <m/>
    <m/>
    <m/>
    <m/>
    <m/>
    <m/>
    <m/>
    <m/>
    <m/>
    <m/>
    <m/>
    <m/>
    <m/>
    <m/>
    <m/>
    <m/>
    <m/>
    <m/>
    <n v="0"/>
    <n v="0"/>
    <n v="0"/>
    <n v="0"/>
    <n v="0"/>
    <n v="0"/>
    <n v="0"/>
    <n v="0"/>
    <n v="0"/>
    <n v="0"/>
    <n v="0"/>
    <n v="0"/>
    <n v="0"/>
    <n v="0"/>
    <x v="0"/>
    <n v="0"/>
    <s v=""/>
    <x v="1"/>
    <x v="2"/>
    <x v="0"/>
    <s v=""/>
    <s v="No"/>
    <m/>
  </r>
  <r>
    <s v=""/>
    <m/>
    <x v="12"/>
    <m/>
    <m/>
    <m/>
    <m/>
    <m/>
    <m/>
    <m/>
    <m/>
    <m/>
    <m/>
    <m/>
    <m/>
    <m/>
    <m/>
    <m/>
    <m/>
    <m/>
    <m/>
    <m/>
    <m/>
    <m/>
    <n v="0"/>
    <n v="0"/>
    <n v="0"/>
    <n v="0"/>
    <n v="0"/>
    <n v="0"/>
    <n v="0"/>
    <n v="0"/>
    <n v="0"/>
    <n v="0"/>
    <n v="0"/>
    <n v="0"/>
    <n v="0"/>
    <n v="0"/>
    <x v="0"/>
    <n v="0"/>
    <s v=""/>
    <x v="1"/>
    <x v="2"/>
    <x v="0"/>
    <s v=""/>
    <s v="No"/>
    <m/>
  </r>
  <r>
    <s v=""/>
    <m/>
    <x v="12"/>
    <m/>
    <m/>
    <m/>
    <m/>
    <m/>
    <m/>
    <m/>
    <m/>
    <m/>
    <m/>
    <m/>
    <m/>
    <m/>
    <m/>
    <m/>
    <m/>
    <m/>
    <m/>
    <m/>
    <m/>
    <m/>
    <n v="0"/>
    <n v="0"/>
    <n v="0"/>
    <n v="0"/>
    <n v="0"/>
    <n v="0"/>
    <n v="0"/>
    <n v="0"/>
    <n v="0"/>
    <n v="0"/>
    <n v="0"/>
    <n v="0"/>
    <n v="0"/>
    <n v="0"/>
    <x v="0"/>
    <n v="0"/>
    <s v=""/>
    <x v="1"/>
    <x v="2"/>
    <x v="0"/>
    <s v=""/>
    <s v="No"/>
    <m/>
  </r>
  <r>
    <s v=""/>
    <m/>
    <x v="12"/>
    <m/>
    <m/>
    <m/>
    <m/>
    <m/>
    <m/>
    <m/>
    <m/>
    <m/>
    <m/>
    <m/>
    <m/>
    <m/>
    <m/>
    <m/>
    <m/>
    <m/>
    <m/>
    <m/>
    <m/>
    <m/>
    <n v="0"/>
    <n v="0"/>
    <n v="0"/>
    <n v="0"/>
    <n v="0"/>
    <n v="0"/>
    <n v="0"/>
    <n v="0"/>
    <n v="0"/>
    <n v="0"/>
    <n v="0"/>
    <n v="0"/>
    <n v="0"/>
    <n v="0"/>
    <x v="0"/>
    <n v="0"/>
    <s v=""/>
    <x v="1"/>
    <x v="2"/>
    <x v="0"/>
    <s v=""/>
    <m/>
    <m/>
  </r>
  <r>
    <s v=""/>
    <m/>
    <x v="12"/>
    <m/>
    <m/>
    <m/>
    <m/>
    <m/>
    <m/>
    <m/>
    <m/>
    <m/>
    <m/>
    <m/>
    <m/>
    <m/>
    <m/>
    <m/>
    <m/>
    <m/>
    <m/>
    <m/>
    <m/>
    <m/>
    <n v="0"/>
    <n v="0"/>
    <n v="0"/>
    <n v="0"/>
    <n v="0"/>
    <n v="0"/>
    <n v="0"/>
    <n v="0"/>
    <n v="0"/>
    <n v="0"/>
    <n v="0"/>
    <n v="0"/>
    <n v="0"/>
    <n v="0"/>
    <x v="0"/>
    <n v="0"/>
    <s v=""/>
    <x v="1"/>
    <x v="2"/>
    <x v="0"/>
    <s v=""/>
    <m/>
    <m/>
  </r>
  <r>
    <s v=""/>
    <m/>
    <x v="12"/>
    <m/>
    <m/>
    <m/>
    <m/>
    <m/>
    <m/>
    <m/>
    <m/>
    <m/>
    <m/>
    <m/>
    <m/>
    <m/>
    <m/>
    <m/>
    <m/>
    <m/>
    <m/>
    <m/>
    <m/>
    <m/>
    <n v="0"/>
    <n v="0"/>
    <n v="0"/>
    <n v="0"/>
    <n v="0"/>
    <n v="0"/>
    <n v="0"/>
    <n v="0"/>
    <n v="0"/>
    <n v="0"/>
    <n v="0"/>
    <n v="0"/>
    <n v="0"/>
    <n v="0"/>
    <x v="0"/>
    <n v="0"/>
    <s v=""/>
    <x v="1"/>
    <x v="2"/>
    <x v="0"/>
    <s v=""/>
    <m/>
    <m/>
  </r>
  <r>
    <s v=""/>
    <m/>
    <x v="12"/>
    <m/>
    <m/>
    <m/>
    <m/>
    <m/>
    <m/>
    <m/>
    <m/>
    <m/>
    <m/>
    <m/>
    <m/>
    <m/>
    <m/>
    <m/>
    <m/>
    <m/>
    <m/>
    <m/>
    <m/>
    <m/>
    <n v="0"/>
    <n v="0"/>
    <n v="0"/>
    <n v="0"/>
    <n v="0"/>
    <n v="0"/>
    <n v="0"/>
    <n v="0"/>
    <n v="0"/>
    <n v="0"/>
    <n v="0"/>
    <n v="0"/>
    <n v="0"/>
    <n v="0"/>
    <x v="0"/>
    <n v="0"/>
    <s v=""/>
    <x v="1"/>
    <x v="2"/>
    <x v="0"/>
    <s v=""/>
    <m/>
    <m/>
  </r>
  <r>
    <s v=""/>
    <m/>
    <x v="12"/>
    <m/>
    <m/>
    <m/>
    <m/>
    <m/>
    <m/>
    <m/>
    <m/>
    <m/>
    <m/>
    <m/>
    <m/>
    <m/>
    <m/>
    <m/>
    <m/>
    <m/>
    <m/>
    <m/>
    <m/>
    <m/>
    <n v="0"/>
    <n v="0"/>
    <n v="0"/>
    <n v="0"/>
    <n v="0"/>
    <n v="0"/>
    <n v="0"/>
    <n v="0"/>
    <n v="0"/>
    <n v="0"/>
    <n v="0"/>
    <n v="0"/>
    <n v="0"/>
    <n v="0"/>
    <x v="0"/>
    <n v="0"/>
    <s v=""/>
    <x v="1"/>
    <x v="2"/>
    <x v="0"/>
    <s v=""/>
    <m/>
    <m/>
  </r>
  <r>
    <s v=""/>
    <m/>
    <x v="12"/>
    <m/>
    <m/>
    <m/>
    <m/>
    <m/>
    <m/>
    <m/>
    <m/>
    <m/>
    <m/>
    <m/>
    <m/>
    <m/>
    <m/>
    <m/>
    <m/>
    <m/>
    <m/>
    <m/>
    <m/>
    <m/>
    <n v="0"/>
    <n v="0"/>
    <n v="0"/>
    <n v="0"/>
    <n v="0"/>
    <n v="0"/>
    <n v="0"/>
    <n v="0"/>
    <n v="0"/>
    <n v="0"/>
    <n v="0"/>
    <n v="0"/>
    <n v="0"/>
    <n v="0"/>
    <x v="0"/>
    <n v="0"/>
    <s v=""/>
    <x v="1"/>
    <x v="2"/>
    <x v="0"/>
    <s v=""/>
    <m/>
    <m/>
  </r>
  <r>
    <s v=""/>
    <m/>
    <x v="12"/>
    <m/>
    <m/>
    <m/>
    <m/>
    <m/>
    <m/>
    <m/>
    <m/>
    <m/>
    <m/>
    <m/>
    <m/>
    <m/>
    <m/>
    <m/>
    <m/>
    <m/>
    <m/>
    <m/>
    <m/>
    <m/>
    <n v="0"/>
    <n v="0"/>
    <n v="0"/>
    <n v="0"/>
    <n v="0"/>
    <n v="0"/>
    <n v="0"/>
    <n v="0"/>
    <n v="0"/>
    <n v="0"/>
    <n v="0"/>
    <n v="0"/>
    <n v="0"/>
    <n v="0"/>
    <x v="0"/>
    <n v="0"/>
    <s v=""/>
    <x v="1"/>
    <x v="2"/>
    <x v="0"/>
    <s v=""/>
    <m/>
    <m/>
  </r>
  <r>
    <s v=""/>
    <m/>
    <x v="12"/>
    <m/>
    <m/>
    <m/>
    <m/>
    <m/>
    <m/>
    <m/>
    <m/>
    <m/>
    <m/>
    <m/>
    <m/>
    <m/>
    <m/>
    <m/>
    <m/>
    <m/>
    <m/>
    <m/>
    <m/>
    <m/>
    <n v="0"/>
    <n v="0"/>
    <n v="0"/>
    <n v="0"/>
    <n v="0"/>
    <n v="0"/>
    <n v="0"/>
    <n v="0"/>
    <n v="0"/>
    <n v="0"/>
    <n v="0"/>
    <n v="0"/>
    <n v="0"/>
    <n v="0"/>
    <x v="0"/>
    <n v="0"/>
    <s v=""/>
    <x v="1"/>
    <x v="2"/>
    <x v="0"/>
    <s v=""/>
    <m/>
    <m/>
  </r>
  <r>
    <s v=""/>
    <m/>
    <x v="12"/>
    <m/>
    <m/>
    <m/>
    <m/>
    <m/>
    <m/>
    <m/>
    <m/>
    <m/>
    <m/>
    <m/>
    <m/>
    <m/>
    <m/>
    <m/>
    <m/>
    <m/>
    <m/>
    <m/>
    <m/>
    <m/>
    <n v="0"/>
    <n v="0"/>
    <n v="0"/>
    <n v="0"/>
    <n v="0"/>
    <n v="0"/>
    <n v="0"/>
    <n v="0"/>
    <n v="0"/>
    <n v="0"/>
    <n v="0"/>
    <n v="0"/>
    <n v="0"/>
    <n v="0"/>
    <x v="0"/>
    <n v="0"/>
    <s v=""/>
    <x v="1"/>
    <x v="2"/>
    <x v="0"/>
    <s v=""/>
    <m/>
    <m/>
  </r>
  <r>
    <s v=""/>
    <m/>
    <x v="12"/>
    <m/>
    <m/>
    <m/>
    <m/>
    <m/>
    <m/>
    <m/>
    <m/>
    <m/>
    <m/>
    <m/>
    <m/>
    <m/>
    <m/>
    <m/>
    <m/>
    <m/>
    <m/>
    <m/>
    <m/>
    <m/>
    <n v="0"/>
    <n v="0"/>
    <n v="0"/>
    <n v="0"/>
    <n v="0"/>
    <n v="0"/>
    <n v="0"/>
    <n v="0"/>
    <n v="0"/>
    <n v="0"/>
    <n v="0"/>
    <n v="0"/>
    <n v="0"/>
    <n v="0"/>
    <x v="0"/>
    <n v="0"/>
    <s v=""/>
    <x v="1"/>
    <x v="2"/>
    <x v="0"/>
    <s v=""/>
    <m/>
    <m/>
  </r>
  <r>
    <s v=""/>
    <m/>
    <x v="12"/>
    <m/>
    <m/>
    <m/>
    <m/>
    <m/>
    <m/>
    <m/>
    <m/>
    <m/>
    <m/>
    <m/>
    <m/>
    <m/>
    <m/>
    <m/>
    <m/>
    <m/>
    <m/>
    <m/>
    <m/>
    <m/>
    <n v="0"/>
    <n v="0"/>
    <n v="0"/>
    <n v="0"/>
    <n v="0"/>
    <n v="0"/>
    <n v="0"/>
    <n v="0"/>
    <n v="0"/>
    <n v="0"/>
    <n v="0"/>
    <n v="0"/>
    <n v="0"/>
    <n v="0"/>
    <x v="0"/>
    <n v="0"/>
    <s v=""/>
    <x v="1"/>
    <x v="2"/>
    <x v="0"/>
    <s v=""/>
    <m/>
    <m/>
  </r>
  <r>
    <s v=""/>
    <m/>
    <x v="12"/>
    <m/>
    <m/>
    <m/>
    <m/>
    <m/>
    <m/>
    <m/>
    <m/>
    <m/>
    <m/>
    <m/>
    <m/>
    <m/>
    <m/>
    <m/>
    <m/>
    <m/>
    <m/>
    <m/>
    <m/>
    <m/>
    <n v="0"/>
    <n v="0"/>
    <n v="0"/>
    <n v="0"/>
    <n v="0"/>
    <n v="0"/>
    <n v="0"/>
    <n v="0"/>
    <n v="0"/>
    <n v="0"/>
    <n v="0"/>
    <n v="0"/>
    <n v="0"/>
    <n v="0"/>
    <x v="0"/>
    <n v="0"/>
    <s v=""/>
    <x v="1"/>
    <x v="2"/>
    <x v="0"/>
    <s v=""/>
    <m/>
    <m/>
  </r>
  <r>
    <s v=""/>
    <m/>
    <x v="12"/>
    <m/>
    <m/>
    <m/>
    <m/>
    <m/>
    <m/>
    <m/>
    <m/>
    <m/>
    <m/>
    <m/>
    <m/>
    <m/>
    <m/>
    <m/>
    <m/>
    <m/>
    <m/>
    <m/>
    <m/>
    <m/>
    <n v="0"/>
    <n v="0"/>
    <n v="0"/>
    <n v="0"/>
    <n v="0"/>
    <n v="0"/>
    <n v="0"/>
    <n v="0"/>
    <n v="0"/>
    <n v="0"/>
    <n v="0"/>
    <n v="0"/>
    <n v="0"/>
    <n v="0"/>
    <x v="0"/>
    <n v="0"/>
    <s v=""/>
    <x v="1"/>
    <x v="2"/>
    <x v="0"/>
    <s v=""/>
    <m/>
    <m/>
  </r>
  <r>
    <s v=""/>
    <m/>
    <x v="12"/>
    <m/>
    <m/>
    <m/>
    <m/>
    <m/>
    <m/>
    <m/>
    <m/>
    <m/>
    <m/>
    <m/>
    <m/>
    <m/>
    <m/>
    <m/>
    <m/>
    <m/>
    <m/>
    <m/>
    <m/>
    <m/>
    <n v="0"/>
    <n v="0"/>
    <n v="0"/>
    <n v="0"/>
    <n v="0"/>
    <n v="0"/>
    <n v="0"/>
    <n v="0"/>
    <n v="0"/>
    <n v="0"/>
    <n v="0"/>
    <n v="0"/>
    <n v="0"/>
    <n v="0"/>
    <x v="0"/>
    <n v="0"/>
    <s v=""/>
    <x v="1"/>
    <x v="2"/>
    <x v="0"/>
    <s v=""/>
    <m/>
    <m/>
  </r>
  <r>
    <s v=""/>
    <m/>
    <x v="12"/>
    <m/>
    <m/>
    <m/>
    <m/>
    <m/>
    <m/>
    <m/>
    <m/>
    <m/>
    <m/>
    <m/>
    <m/>
    <m/>
    <m/>
    <m/>
    <m/>
    <m/>
    <m/>
    <m/>
    <m/>
    <m/>
    <n v="0"/>
    <n v="0"/>
    <n v="0"/>
    <n v="0"/>
    <n v="0"/>
    <n v="0"/>
    <n v="0"/>
    <n v="0"/>
    <n v="0"/>
    <n v="0"/>
    <n v="0"/>
    <n v="0"/>
    <n v="0"/>
    <n v="0"/>
    <x v="0"/>
    <n v="0"/>
    <s v=""/>
    <x v="1"/>
    <x v="2"/>
    <x v="0"/>
    <s v=""/>
    <m/>
    <m/>
  </r>
  <r>
    <s v=""/>
    <m/>
    <x v="12"/>
    <m/>
    <m/>
    <m/>
    <m/>
    <m/>
    <m/>
    <m/>
    <m/>
    <m/>
    <m/>
    <m/>
    <m/>
    <m/>
    <m/>
    <m/>
    <m/>
    <m/>
    <m/>
    <m/>
    <m/>
    <m/>
    <n v="0"/>
    <n v="0"/>
    <n v="0"/>
    <n v="0"/>
    <n v="0"/>
    <n v="0"/>
    <n v="0"/>
    <n v="0"/>
    <n v="0"/>
    <n v="0"/>
    <n v="0"/>
    <n v="0"/>
    <n v="0"/>
    <n v="0"/>
    <x v="0"/>
    <n v="0"/>
    <s v=""/>
    <x v="1"/>
    <x v="2"/>
    <x v="0"/>
    <s v=""/>
    <m/>
    <m/>
  </r>
  <r>
    <s v=""/>
    <m/>
    <x v="12"/>
    <m/>
    <m/>
    <m/>
    <m/>
    <m/>
    <m/>
    <m/>
    <m/>
    <m/>
    <m/>
    <m/>
    <m/>
    <m/>
    <m/>
    <m/>
    <m/>
    <m/>
    <m/>
    <m/>
    <m/>
    <m/>
    <n v="0"/>
    <n v="0"/>
    <n v="0"/>
    <n v="0"/>
    <n v="0"/>
    <n v="0"/>
    <n v="0"/>
    <n v="0"/>
    <n v="0"/>
    <n v="0"/>
    <n v="0"/>
    <n v="0"/>
    <n v="0"/>
    <n v="0"/>
    <x v="0"/>
    <n v="0"/>
    <s v=""/>
    <x v="1"/>
    <x v="2"/>
    <x v="0"/>
    <s v=""/>
    <m/>
    <m/>
  </r>
  <r>
    <s v=""/>
    <m/>
    <x v="12"/>
    <m/>
    <m/>
    <m/>
    <m/>
    <m/>
    <m/>
    <m/>
    <m/>
    <m/>
    <m/>
    <m/>
    <m/>
    <m/>
    <m/>
    <m/>
    <m/>
    <m/>
    <m/>
    <m/>
    <m/>
    <m/>
    <n v="0"/>
    <n v="0"/>
    <n v="0"/>
    <n v="0"/>
    <n v="0"/>
    <n v="0"/>
    <n v="0"/>
    <n v="0"/>
    <n v="0"/>
    <n v="0"/>
    <n v="0"/>
    <n v="0"/>
    <n v="0"/>
    <n v="0"/>
    <x v="0"/>
    <n v="0"/>
    <s v=""/>
    <x v="1"/>
    <x v="2"/>
    <x v="0"/>
    <s v=""/>
    <m/>
    <m/>
  </r>
  <r>
    <s v=""/>
    <m/>
    <x v="12"/>
    <m/>
    <m/>
    <m/>
    <m/>
    <m/>
    <m/>
    <m/>
    <m/>
    <m/>
    <m/>
    <m/>
    <m/>
    <m/>
    <m/>
    <m/>
    <m/>
    <m/>
    <m/>
    <m/>
    <m/>
    <m/>
    <n v="0"/>
    <n v="0"/>
    <n v="0"/>
    <n v="0"/>
    <n v="0"/>
    <n v="0"/>
    <n v="0"/>
    <n v="0"/>
    <n v="0"/>
    <n v="0"/>
    <n v="0"/>
    <n v="0"/>
    <n v="0"/>
    <n v="0"/>
    <x v="0"/>
    <n v="0"/>
    <s v=""/>
    <x v="1"/>
    <x v="2"/>
    <x v="0"/>
    <s v=""/>
    <m/>
    <m/>
  </r>
  <r>
    <s v=""/>
    <m/>
    <x v="12"/>
    <m/>
    <m/>
    <m/>
    <m/>
    <m/>
    <m/>
    <m/>
    <m/>
    <m/>
    <m/>
    <m/>
    <m/>
    <m/>
    <m/>
    <m/>
    <m/>
    <m/>
    <m/>
    <m/>
    <m/>
    <m/>
    <n v="0"/>
    <n v="0"/>
    <n v="0"/>
    <n v="0"/>
    <n v="0"/>
    <n v="0"/>
    <n v="0"/>
    <n v="0"/>
    <n v="0"/>
    <n v="0"/>
    <n v="0"/>
    <n v="0"/>
    <n v="0"/>
    <n v="0"/>
    <x v="0"/>
    <n v="0"/>
    <s v=""/>
    <x v="1"/>
    <x v="2"/>
    <x v="0"/>
    <s v=""/>
    <m/>
    <m/>
  </r>
  <r>
    <s v=""/>
    <m/>
    <x v="12"/>
    <m/>
    <m/>
    <m/>
    <m/>
    <m/>
    <m/>
    <m/>
    <m/>
    <m/>
    <m/>
    <m/>
    <m/>
    <m/>
    <m/>
    <m/>
    <m/>
    <m/>
    <m/>
    <m/>
    <m/>
    <m/>
    <n v="0"/>
    <n v="0"/>
    <n v="0"/>
    <n v="0"/>
    <n v="0"/>
    <n v="0"/>
    <n v="0"/>
    <n v="0"/>
    <n v="0"/>
    <n v="0"/>
    <n v="0"/>
    <n v="0"/>
    <n v="0"/>
    <n v="0"/>
    <x v="0"/>
    <n v="0"/>
    <s v=""/>
    <x v="1"/>
    <x v="2"/>
    <x v="0"/>
    <s v=""/>
    <m/>
    <m/>
  </r>
  <r>
    <s v=""/>
    <m/>
    <x v="12"/>
    <m/>
    <m/>
    <m/>
    <m/>
    <m/>
    <m/>
    <m/>
    <m/>
    <m/>
    <m/>
    <m/>
    <m/>
    <m/>
    <m/>
    <m/>
    <m/>
    <m/>
    <m/>
    <m/>
    <m/>
    <m/>
    <n v="0"/>
    <n v="0"/>
    <n v="0"/>
    <n v="0"/>
    <n v="0"/>
    <n v="0"/>
    <n v="0"/>
    <n v="0"/>
    <n v="0"/>
    <n v="0"/>
    <n v="0"/>
    <n v="0"/>
    <n v="0"/>
    <n v="0"/>
    <x v="0"/>
    <n v="0"/>
    <s v=""/>
    <x v="1"/>
    <x v="2"/>
    <x v="0"/>
    <s v=""/>
    <m/>
    <m/>
  </r>
  <r>
    <s v=""/>
    <m/>
    <x v="12"/>
    <m/>
    <m/>
    <m/>
    <m/>
    <m/>
    <m/>
    <m/>
    <m/>
    <m/>
    <m/>
    <m/>
    <m/>
    <m/>
    <m/>
    <m/>
    <m/>
    <m/>
    <m/>
    <m/>
    <m/>
    <m/>
    <n v="0"/>
    <n v="0"/>
    <n v="0"/>
    <n v="0"/>
    <n v="0"/>
    <n v="0"/>
    <n v="0"/>
    <n v="0"/>
    <n v="0"/>
    <n v="0"/>
    <n v="0"/>
    <n v="0"/>
    <n v="0"/>
    <n v="0"/>
    <x v="0"/>
    <n v="0"/>
    <s v=""/>
    <x v="1"/>
    <x v="2"/>
    <x v="0"/>
    <s v=""/>
    <m/>
    <m/>
  </r>
  <r>
    <s v=""/>
    <m/>
    <x v="12"/>
    <m/>
    <m/>
    <m/>
    <m/>
    <m/>
    <m/>
    <m/>
    <m/>
    <m/>
    <m/>
    <m/>
    <m/>
    <m/>
    <m/>
    <m/>
    <m/>
    <m/>
    <m/>
    <m/>
    <m/>
    <m/>
    <n v="0"/>
    <n v="0"/>
    <n v="0"/>
    <n v="0"/>
    <n v="0"/>
    <n v="0"/>
    <n v="0"/>
    <n v="0"/>
    <n v="0"/>
    <n v="0"/>
    <n v="0"/>
    <n v="0"/>
    <n v="0"/>
    <n v="0"/>
    <x v="0"/>
    <n v="0"/>
    <s v=""/>
    <x v="1"/>
    <x v="2"/>
    <x v="0"/>
    <s v=""/>
    <m/>
    <m/>
  </r>
  <r>
    <s v=""/>
    <m/>
    <x v="12"/>
    <m/>
    <m/>
    <m/>
    <m/>
    <m/>
    <m/>
    <m/>
    <m/>
    <m/>
    <m/>
    <m/>
    <m/>
    <m/>
    <m/>
    <m/>
    <m/>
    <m/>
    <m/>
    <m/>
    <m/>
    <m/>
    <n v="0"/>
    <n v="0"/>
    <n v="0"/>
    <n v="0"/>
    <n v="0"/>
    <n v="0"/>
    <n v="0"/>
    <n v="0"/>
    <n v="0"/>
    <n v="0"/>
    <n v="0"/>
    <n v="0"/>
    <n v="0"/>
    <n v="0"/>
    <x v="0"/>
    <n v="0"/>
    <s v=""/>
    <x v="1"/>
    <x v="2"/>
    <x v="0"/>
    <s v=""/>
    <m/>
    <m/>
  </r>
  <r>
    <s v=""/>
    <m/>
    <x v="12"/>
    <m/>
    <m/>
    <m/>
    <m/>
    <m/>
    <m/>
    <m/>
    <m/>
    <m/>
    <m/>
    <m/>
    <m/>
    <m/>
    <m/>
    <m/>
    <m/>
    <m/>
    <m/>
    <m/>
    <m/>
    <m/>
    <n v="0"/>
    <n v="0"/>
    <n v="0"/>
    <n v="0"/>
    <n v="0"/>
    <n v="0"/>
    <n v="0"/>
    <n v="0"/>
    <n v="0"/>
    <n v="0"/>
    <n v="0"/>
    <n v="0"/>
    <n v="0"/>
    <n v="0"/>
    <x v="0"/>
    <n v="0"/>
    <s v=""/>
    <x v="1"/>
    <x v="2"/>
    <x v="0"/>
    <s v=""/>
    <m/>
    <m/>
  </r>
  <r>
    <s v=""/>
    <m/>
    <x v="12"/>
    <m/>
    <m/>
    <m/>
    <m/>
    <m/>
    <m/>
    <m/>
    <m/>
    <m/>
    <m/>
    <m/>
    <m/>
    <m/>
    <m/>
    <m/>
    <m/>
    <m/>
    <m/>
    <m/>
    <m/>
    <m/>
    <n v="0"/>
    <n v="0"/>
    <n v="0"/>
    <n v="0"/>
    <n v="0"/>
    <n v="0"/>
    <n v="0"/>
    <n v="0"/>
    <n v="0"/>
    <n v="0"/>
    <n v="0"/>
    <n v="0"/>
    <n v="0"/>
    <n v="0"/>
    <x v="0"/>
    <n v="0"/>
    <s v=""/>
    <x v="1"/>
    <x v="2"/>
    <x v="0"/>
    <s v=""/>
    <m/>
    <m/>
  </r>
  <r>
    <s v=""/>
    <m/>
    <x v="12"/>
    <m/>
    <m/>
    <m/>
    <m/>
    <m/>
    <m/>
    <m/>
    <m/>
    <m/>
    <m/>
    <m/>
    <m/>
    <m/>
    <m/>
    <m/>
    <m/>
    <m/>
    <m/>
    <m/>
    <m/>
    <m/>
    <n v="0"/>
    <n v="0"/>
    <n v="0"/>
    <n v="0"/>
    <n v="0"/>
    <n v="0"/>
    <n v="0"/>
    <n v="0"/>
    <n v="0"/>
    <n v="0"/>
    <n v="0"/>
    <n v="0"/>
    <n v="0"/>
    <n v="0"/>
    <x v="0"/>
    <n v="0"/>
    <s v=""/>
    <x v="1"/>
    <x v="2"/>
    <x v="0"/>
    <s v=""/>
    <m/>
    <m/>
  </r>
  <r>
    <s v=""/>
    <m/>
    <x v="12"/>
    <m/>
    <m/>
    <m/>
    <m/>
    <m/>
    <m/>
    <m/>
    <m/>
    <m/>
    <m/>
    <m/>
    <m/>
    <m/>
    <m/>
    <m/>
    <m/>
    <m/>
    <m/>
    <m/>
    <m/>
    <m/>
    <n v="0"/>
    <n v="0"/>
    <n v="0"/>
    <n v="0"/>
    <n v="0"/>
    <n v="0"/>
    <n v="0"/>
    <n v="0"/>
    <n v="0"/>
    <n v="0"/>
    <n v="0"/>
    <n v="0"/>
    <n v="0"/>
    <n v="0"/>
    <x v="0"/>
    <n v="0"/>
    <s v=""/>
    <x v="1"/>
    <x v="2"/>
    <x v="0"/>
    <s v=""/>
    <m/>
    <m/>
  </r>
  <r>
    <s v=""/>
    <m/>
    <x v="12"/>
    <m/>
    <m/>
    <m/>
    <m/>
    <m/>
    <m/>
    <m/>
    <m/>
    <m/>
    <m/>
    <m/>
    <m/>
    <m/>
    <m/>
    <m/>
    <m/>
    <m/>
    <m/>
    <m/>
    <m/>
    <m/>
    <n v="0"/>
    <n v="0"/>
    <n v="0"/>
    <n v="0"/>
    <n v="0"/>
    <n v="0"/>
    <n v="0"/>
    <n v="0"/>
    <n v="0"/>
    <n v="0"/>
    <n v="0"/>
    <n v="0"/>
    <n v="0"/>
    <n v="0"/>
    <x v="0"/>
    <n v="0"/>
    <s v=""/>
    <x v="1"/>
    <x v="2"/>
    <x v="0"/>
    <s v=""/>
    <m/>
    <m/>
  </r>
  <r>
    <s v=""/>
    <m/>
    <x v="12"/>
    <m/>
    <m/>
    <m/>
    <m/>
    <m/>
    <m/>
    <m/>
    <m/>
    <m/>
    <m/>
    <m/>
    <m/>
    <m/>
    <m/>
    <m/>
    <m/>
    <m/>
    <m/>
    <m/>
    <m/>
    <m/>
    <n v="0"/>
    <n v="0"/>
    <n v="0"/>
    <n v="0"/>
    <n v="0"/>
    <n v="0"/>
    <n v="0"/>
    <n v="0"/>
    <n v="0"/>
    <n v="0"/>
    <n v="0"/>
    <n v="0"/>
    <n v="0"/>
    <n v="0"/>
    <x v="0"/>
    <n v="0"/>
    <s v=""/>
    <x v="1"/>
    <x v="2"/>
    <x v="0"/>
    <s v=""/>
    <m/>
    <m/>
  </r>
  <r>
    <s v=""/>
    <m/>
    <x v="12"/>
    <m/>
    <m/>
    <m/>
    <m/>
    <m/>
    <m/>
    <m/>
    <m/>
    <m/>
    <m/>
    <m/>
    <m/>
    <m/>
    <m/>
    <m/>
    <m/>
    <m/>
    <m/>
    <m/>
    <m/>
    <m/>
    <n v="0"/>
    <n v="0"/>
    <n v="0"/>
    <n v="0"/>
    <n v="0"/>
    <n v="0"/>
    <n v="0"/>
    <n v="0"/>
    <n v="0"/>
    <n v="0"/>
    <n v="0"/>
    <n v="0"/>
    <n v="0"/>
    <n v="0"/>
    <x v="0"/>
    <n v="0"/>
    <s v=""/>
    <x v="1"/>
    <x v="2"/>
    <x v="0"/>
    <s v=""/>
    <m/>
    <m/>
  </r>
  <r>
    <s v=""/>
    <m/>
    <x v="12"/>
    <m/>
    <m/>
    <m/>
    <m/>
    <m/>
    <m/>
    <m/>
    <m/>
    <m/>
    <m/>
    <m/>
    <m/>
    <m/>
    <m/>
    <m/>
    <m/>
    <m/>
    <m/>
    <m/>
    <m/>
    <m/>
    <n v="0"/>
    <n v="0"/>
    <n v="0"/>
    <n v="0"/>
    <n v="0"/>
    <n v="0"/>
    <n v="0"/>
    <n v="0"/>
    <n v="0"/>
    <n v="0"/>
    <n v="0"/>
    <n v="0"/>
    <n v="0"/>
    <n v="0"/>
    <x v="0"/>
    <n v="0"/>
    <s v=""/>
    <x v="1"/>
    <x v="2"/>
    <x v="0"/>
    <s v=""/>
    <m/>
    <m/>
  </r>
  <r>
    <s v=""/>
    <m/>
    <x v="12"/>
    <m/>
    <m/>
    <m/>
    <m/>
    <m/>
    <m/>
    <m/>
    <m/>
    <m/>
    <m/>
    <m/>
    <m/>
    <m/>
    <m/>
    <m/>
    <m/>
    <m/>
    <m/>
    <m/>
    <m/>
    <m/>
    <n v="0"/>
    <n v="0"/>
    <n v="0"/>
    <n v="0"/>
    <n v="0"/>
    <n v="0"/>
    <n v="0"/>
    <n v="0"/>
    <n v="0"/>
    <n v="0"/>
    <n v="0"/>
    <n v="0"/>
    <n v="0"/>
    <n v="0"/>
    <x v="0"/>
    <n v="0"/>
    <s v=""/>
    <x v="1"/>
    <x v="2"/>
    <x v="0"/>
    <s v=""/>
    <m/>
    <m/>
  </r>
  <r>
    <s v=""/>
    <m/>
    <x v="12"/>
    <m/>
    <m/>
    <m/>
    <m/>
    <m/>
    <m/>
    <m/>
    <m/>
    <m/>
    <m/>
    <m/>
    <m/>
    <m/>
    <m/>
    <m/>
    <m/>
    <m/>
    <m/>
    <m/>
    <m/>
    <m/>
    <n v="0"/>
    <n v="0"/>
    <n v="0"/>
    <n v="0"/>
    <n v="0"/>
    <n v="0"/>
    <n v="0"/>
    <n v="0"/>
    <n v="0"/>
    <n v="0"/>
    <n v="0"/>
    <n v="0"/>
    <n v="0"/>
    <n v="0"/>
    <x v="0"/>
    <n v="0"/>
    <s v=""/>
    <x v="1"/>
    <x v="2"/>
    <x v="0"/>
    <s v=""/>
    <m/>
    <m/>
  </r>
  <r>
    <s v=""/>
    <m/>
    <x v="12"/>
    <m/>
    <m/>
    <m/>
    <m/>
    <m/>
    <m/>
    <m/>
    <m/>
    <m/>
    <m/>
    <m/>
    <m/>
    <m/>
    <m/>
    <m/>
    <m/>
    <m/>
    <m/>
    <m/>
    <m/>
    <m/>
    <n v="0"/>
    <n v="0"/>
    <n v="0"/>
    <n v="0"/>
    <n v="0"/>
    <n v="0"/>
    <n v="0"/>
    <n v="0"/>
    <n v="0"/>
    <n v="0"/>
    <n v="0"/>
    <n v="0"/>
    <n v="0"/>
    <n v="0"/>
    <x v="0"/>
    <n v="0"/>
    <s v=""/>
    <x v="1"/>
    <x v="2"/>
    <x v="0"/>
    <s v=""/>
    <m/>
    <m/>
  </r>
  <r>
    <s v=""/>
    <m/>
    <x v="12"/>
    <m/>
    <m/>
    <m/>
    <m/>
    <m/>
    <m/>
    <m/>
    <m/>
    <m/>
    <m/>
    <m/>
    <m/>
    <m/>
    <m/>
    <m/>
    <m/>
    <m/>
    <m/>
    <m/>
    <m/>
    <m/>
    <n v="0"/>
    <n v="0"/>
    <n v="0"/>
    <n v="0"/>
    <n v="0"/>
    <n v="0"/>
    <n v="0"/>
    <n v="0"/>
    <n v="0"/>
    <n v="0"/>
    <n v="0"/>
    <n v="0"/>
    <n v="0"/>
    <n v="0"/>
    <x v="0"/>
    <n v="0"/>
    <s v=""/>
    <x v="1"/>
    <x v="2"/>
    <x v="0"/>
    <s v=""/>
    <m/>
    <m/>
  </r>
  <r>
    <s v=""/>
    <m/>
    <x v="12"/>
    <m/>
    <m/>
    <m/>
    <m/>
    <m/>
    <m/>
    <m/>
    <m/>
    <m/>
    <m/>
    <m/>
    <m/>
    <m/>
    <m/>
    <m/>
    <m/>
    <m/>
    <m/>
    <m/>
    <m/>
    <m/>
    <n v="0"/>
    <n v="0"/>
    <n v="0"/>
    <n v="0"/>
    <n v="0"/>
    <n v="0"/>
    <n v="0"/>
    <n v="0"/>
    <n v="0"/>
    <n v="0"/>
    <n v="0"/>
    <n v="0"/>
    <n v="0"/>
    <n v="0"/>
    <x v="0"/>
    <n v="0"/>
    <s v=""/>
    <x v="1"/>
    <x v="2"/>
    <x v="0"/>
    <s v=""/>
    <m/>
    <m/>
  </r>
  <r>
    <s v=""/>
    <m/>
    <x v="12"/>
    <m/>
    <m/>
    <m/>
    <m/>
    <m/>
    <m/>
    <m/>
    <m/>
    <m/>
    <m/>
    <m/>
    <m/>
    <m/>
    <m/>
    <m/>
    <m/>
    <m/>
    <m/>
    <m/>
    <m/>
    <m/>
    <n v="0"/>
    <n v="0"/>
    <n v="0"/>
    <n v="0"/>
    <n v="0"/>
    <n v="0"/>
    <n v="0"/>
    <n v="0"/>
    <n v="0"/>
    <n v="0"/>
    <n v="0"/>
    <n v="0"/>
    <n v="0"/>
    <n v="0"/>
    <x v="0"/>
    <n v="0"/>
    <s v=""/>
    <x v="1"/>
    <x v="2"/>
    <x v="0"/>
    <s v=""/>
    <m/>
    <m/>
  </r>
  <r>
    <s v=""/>
    <m/>
    <x v="12"/>
    <m/>
    <m/>
    <m/>
    <m/>
    <m/>
    <m/>
    <m/>
    <m/>
    <m/>
    <m/>
    <m/>
    <m/>
    <m/>
    <m/>
    <m/>
    <m/>
    <m/>
    <m/>
    <m/>
    <m/>
    <m/>
    <n v="0"/>
    <n v="0"/>
    <n v="0"/>
    <n v="0"/>
    <n v="0"/>
    <n v="0"/>
    <n v="0"/>
    <n v="0"/>
    <n v="0"/>
    <n v="0"/>
    <n v="0"/>
    <n v="0"/>
    <n v="0"/>
    <n v="0"/>
    <x v="0"/>
    <n v="0"/>
    <s v=""/>
    <x v="1"/>
    <x v="2"/>
    <x v="0"/>
    <s v=""/>
    <m/>
    <m/>
  </r>
  <r>
    <s v=""/>
    <m/>
    <x v="12"/>
    <m/>
    <m/>
    <m/>
    <m/>
    <m/>
    <m/>
    <m/>
    <m/>
    <m/>
    <m/>
    <m/>
    <m/>
    <m/>
    <m/>
    <m/>
    <m/>
    <m/>
    <m/>
    <m/>
    <m/>
    <m/>
    <n v="0"/>
    <n v="0"/>
    <n v="0"/>
    <n v="0"/>
    <n v="0"/>
    <n v="0"/>
    <n v="0"/>
    <n v="0"/>
    <n v="0"/>
    <n v="0"/>
    <n v="0"/>
    <n v="0"/>
    <n v="0"/>
    <n v="0"/>
    <x v="0"/>
    <n v="0"/>
    <s v=""/>
    <x v="1"/>
    <x v="2"/>
    <x v="0"/>
    <s v=""/>
    <m/>
    <m/>
  </r>
  <r>
    <s v=""/>
    <m/>
    <x v="12"/>
    <m/>
    <m/>
    <m/>
    <m/>
    <m/>
    <m/>
    <m/>
    <m/>
    <m/>
    <m/>
    <m/>
    <m/>
    <m/>
    <m/>
    <m/>
    <m/>
    <m/>
    <m/>
    <m/>
    <m/>
    <m/>
    <n v="0"/>
    <n v="0"/>
    <n v="0"/>
    <n v="0"/>
    <n v="0"/>
    <n v="0"/>
    <n v="0"/>
    <n v="0"/>
    <n v="0"/>
    <n v="0"/>
    <n v="0"/>
    <n v="0"/>
    <n v="0"/>
    <n v="0"/>
    <x v="0"/>
    <n v="0"/>
    <s v=""/>
    <x v="1"/>
    <x v="2"/>
    <x v="0"/>
    <s v=""/>
    <m/>
    <m/>
  </r>
  <r>
    <s v=""/>
    <m/>
    <x v="12"/>
    <m/>
    <m/>
    <m/>
    <m/>
    <m/>
    <m/>
    <m/>
    <m/>
    <m/>
    <m/>
    <m/>
    <m/>
    <m/>
    <m/>
    <m/>
    <m/>
    <m/>
    <m/>
    <m/>
    <m/>
    <m/>
    <n v="0"/>
    <n v="0"/>
    <n v="0"/>
    <n v="0"/>
    <n v="0"/>
    <n v="0"/>
    <n v="0"/>
    <n v="0"/>
    <n v="0"/>
    <n v="0"/>
    <n v="0"/>
    <n v="0"/>
    <n v="0"/>
    <n v="0"/>
    <x v="0"/>
    <n v="0"/>
    <s v=""/>
    <x v="1"/>
    <x v="2"/>
    <x v="0"/>
    <s v=""/>
    <m/>
    <m/>
  </r>
  <r>
    <s v=""/>
    <m/>
    <x v="12"/>
    <m/>
    <m/>
    <m/>
    <m/>
    <m/>
    <m/>
    <m/>
    <m/>
    <m/>
    <m/>
    <m/>
    <m/>
    <m/>
    <m/>
    <m/>
    <m/>
    <m/>
    <m/>
    <m/>
    <m/>
    <m/>
    <n v="0"/>
    <n v="0"/>
    <n v="0"/>
    <n v="0"/>
    <n v="0"/>
    <n v="0"/>
    <n v="0"/>
    <n v="0"/>
    <n v="0"/>
    <n v="0"/>
    <n v="0"/>
    <n v="0"/>
    <n v="0"/>
    <n v="0"/>
    <x v="0"/>
    <n v="0"/>
    <s v=""/>
    <x v="1"/>
    <x v="2"/>
    <x v="0"/>
    <s v=""/>
    <m/>
    <m/>
  </r>
  <r>
    <s v=""/>
    <m/>
    <x v="12"/>
    <m/>
    <m/>
    <m/>
    <m/>
    <m/>
    <m/>
    <m/>
    <m/>
    <m/>
    <m/>
    <m/>
    <m/>
    <m/>
    <m/>
    <m/>
    <m/>
    <m/>
    <m/>
    <m/>
    <m/>
    <m/>
    <n v="0"/>
    <n v="0"/>
    <n v="0"/>
    <n v="0"/>
    <n v="0"/>
    <n v="0"/>
    <n v="0"/>
    <n v="0"/>
    <n v="0"/>
    <n v="0"/>
    <n v="0"/>
    <n v="0"/>
    <n v="0"/>
    <n v="0"/>
    <x v="0"/>
    <n v="0"/>
    <s v=""/>
    <x v="1"/>
    <x v="2"/>
    <x v="0"/>
    <s v=""/>
    <m/>
    <m/>
  </r>
  <r>
    <s v=""/>
    <m/>
    <x v="12"/>
    <m/>
    <m/>
    <m/>
    <m/>
    <m/>
    <m/>
    <m/>
    <m/>
    <m/>
    <m/>
    <m/>
    <m/>
    <m/>
    <m/>
    <m/>
    <m/>
    <m/>
    <m/>
    <m/>
    <m/>
    <m/>
    <n v="0"/>
    <n v="0"/>
    <n v="0"/>
    <n v="0"/>
    <n v="0"/>
    <n v="0"/>
    <n v="0"/>
    <n v="0"/>
    <n v="0"/>
    <n v="0"/>
    <n v="0"/>
    <n v="0"/>
    <n v="0"/>
    <n v="0"/>
    <x v="0"/>
    <n v="0"/>
    <s v=""/>
    <x v="1"/>
    <x v="2"/>
    <x v="0"/>
    <s v=""/>
    <m/>
    <m/>
  </r>
  <r>
    <s v=""/>
    <m/>
    <x v="12"/>
    <m/>
    <m/>
    <m/>
    <m/>
    <m/>
    <m/>
    <m/>
    <m/>
    <m/>
    <m/>
    <m/>
    <m/>
    <m/>
    <m/>
    <m/>
    <m/>
    <m/>
    <m/>
    <m/>
    <m/>
    <m/>
    <n v="0"/>
    <n v="0"/>
    <n v="0"/>
    <n v="0"/>
    <n v="0"/>
    <n v="0"/>
    <n v="0"/>
    <n v="0"/>
    <n v="0"/>
    <n v="0"/>
    <n v="0"/>
    <n v="0"/>
    <n v="0"/>
    <n v="0"/>
    <x v="0"/>
    <n v="0"/>
    <s v=""/>
    <x v="1"/>
    <x v="2"/>
    <x v="0"/>
    <s v=""/>
    <m/>
    <m/>
  </r>
  <r>
    <s v=""/>
    <m/>
    <x v="12"/>
    <m/>
    <m/>
    <m/>
    <m/>
    <m/>
    <m/>
    <m/>
    <m/>
    <m/>
    <m/>
    <m/>
    <m/>
    <m/>
    <m/>
    <m/>
    <m/>
    <m/>
    <m/>
    <m/>
    <m/>
    <m/>
    <n v="0"/>
    <n v="0"/>
    <n v="0"/>
    <n v="0"/>
    <n v="0"/>
    <n v="0"/>
    <n v="0"/>
    <n v="0"/>
    <n v="0"/>
    <n v="0"/>
    <n v="0"/>
    <n v="0"/>
    <n v="0"/>
    <n v="0"/>
    <x v="0"/>
    <n v="0"/>
    <s v=""/>
    <x v="1"/>
    <x v="2"/>
    <x v="0"/>
    <s v=""/>
    <m/>
    <m/>
  </r>
  <r>
    <s v=""/>
    <m/>
    <x v="12"/>
    <m/>
    <m/>
    <m/>
    <m/>
    <m/>
    <m/>
    <m/>
    <m/>
    <m/>
    <m/>
    <m/>
    <m/>
    <m/>
    <m/>
    <m/>
    <m/>
    <m/>
    <m/>
    <m/>
    <m/>
    <m/>
    <n v="0"/>
    <n v="0"/>
    <n v="0"/>
    <n v="0"/>
    <n v="0"/>
    <n v="0"/>
    <n v="0"/>
    <n v="0"/>
    <n v="0"/>
    <n v="0"/>
    <n v="0"/>
    <n v="0"/>
    <n v="0"/>
    <n v="0"/>
    <x v="0"/>
    <n v="0"/>
    <s v=""/>
    <x v="1"/>
    <x v="2"/>
    <x v="0"/>
    <s v=""/>
    <m/>
    <m/>
  </r>
  <r>
    <s v=""/>
    <m/>
    <x v="12"/>
    <m/>
    <m/>
    <m/>
    <m/>
    <m/>
    <m/>
    <m/>
    <m/>
    <m/>
    <m/>
    <m/>
    <m/>
    <m/>
    <m/>
    <m/>
    <m/>
    <m/>
    <m/>
    <m/>
    <m/>
    <m/>
    <n v="0"/>
    <n v="0"/>
    <n v="0"/>
    <n v="0"/>
    <n v="0"/>
    <n v="0"/>
    <n v="0"/>
    <n v="0"/>
    <n v="0"/>
    <n v="0"/>
    <n v="0"/>
    <n v="0"/>
    <n v="0"/>
    <n v="0"/>
    <x v="0"/>
    <n v="0"/>
    <s v=""/>
    <x v="1"/>
    <x v="2"/>
    <x v="0"/>
    <s v=""/>
    <m/>
    <m/>
  </r>
  <r>
    <s v=""/>
    <m/>
    <x v="12"/>
    <m/>
    <m/>
    <m/>
    <m/>
    <m/>
    <m/>
    <m/>
    <m/>
    <m/>
    <m/>
    <m/>
    <m/>
    <m/>
    <m/>
    <m/>
    <m/>
    <m/>
    <m/>
    <m/>
    <m/>
    <m/>
    <n v="0"/>
    <n v="0"/>
    <n v="0"/>
    <n v="0"/>
    <n v="0"/>
    <n v="0"/>
    <n v="0"/>
    <n v="0"/>
    <n v="0"/>
    <n v="0"/>
    <n v="0"/>
    <n v="0"/>
    <n v="0"/>
    <n v="0"/>
    <x v="0"/>
    <n v="0"/>
    <s v=""/>
    <x v="1"/>
    <x v="2"/>
    <x v="0"/>
    <s v=""/>
    <m/>
    <m/>
  </r>
  <r>
    <s v=""/>
    <m/>
    <x v="12"/>
    <m/>
    <m/>
    <m/>
    <m/>
    <m/>
    <m/>
    <m/>
    <m/>
    <m/>
    <m/>
    <m/>
    <m/>
    <m/>
    <m/>
    <m/>
    <m/>
    <m/>
    <m/>
    <m/>
    <m/>
    <m/>
    <n v="0"/>
    <n v="0"/>
    <n v="0"/>
    <n v="0"/>
    <n v="0"/>
    <n v="0"/>
    <n v="0"/>
    <n v="0"/>
    <n v="0"/>
    <n v="0"/>
    <n v="0"/>
    <n v="0"/>
    <n v="0"/>
    <n v="0"/>
    <x v="0"/>
    <n v="0"/>
    <s v=""/>
    <x v="1"/>
    <x v="2"/>
    <x v="0"/>
    <s v=""/>
    <m/>
    <m/>
  </r>
  <r>
    <s v=""/>
    <m/>
    <x v="12"/>
    <m/>
    <m/>
    <m/>
    <m/>
    <m/>
    <m/>
    <m/>
    <m/>
    <m/>
    <m/>
    <m/>
    <m/>
    <m/>
    <m/>
    <m/>
    <m/>
    <m/>
    <m/>
    <m/>
    <m/>
    <m/>
    <n v="0"/>
    <n v="0"/>
    <n v="0"/>
    <n v="0"/>
    <n v="0"/>
    <n v="0"/>
    <n v="0"/>
    <n v="0"/>
    <n v="0"/>
    <n v="0"/>
    <n v="0"/>
    <n v="0"/>
    <n v="0"/>
    <n v="0"/>
    <x v="0"/>
    <n v="0"/>
    <s v=""/>
    <x v="1"/>
    <x v="2"/>
    <x v="0"/>
    <s v=""/>
    <m/>
    <m/>
  </r>
  <r>
    <s v=""/>
    <m/>
    <x v="12"/>
    <m/>
    <m/>
    <m/>
    <m/>
    <m/>
    <m/>
    <m/>
    <m/>
    <m/>
    <m/>
    <m/>
    <m/>
    <m/>
    <m/>
    <m/>
    <m/>
    <m/>
    <m/>
    <m/>
    <m/>
    <m/>
    <n v="0"/>
    <n v="0"/>
    <n v="0"/>
    <n v="0"/>
    <n v="0"/>
    <n v="0"/>
    <n v="0"/>
    <n v="0"/>
    <n v="0"/>
    <n v="0"/>
    <n v="0"/>
    <n v="0"/>
    <n v="0"/>
    <n v="0"/>
    <x v="0"/>
    <n v="0"/>
    <s v=""/>
    <x v="1"/>
    <x v="2"/>
    <x v="0"/>
    <s v=""/>
    <m/>
    <m/>
  </r>
  <r>
    <s v=""/>
    <m/>
    <x v="12"/>
    <m/>
    <m/>
    <m/>
    <m/>
    <m/>
    <m/>
    <m/>
    <m/>
    <m/>
    <m/>
    <m/>
    <m/>
    <m/>
    <m/>
    <m/>
    <m/>
    <m/>
    <m/>
    <m/>
    <m/>
    <m/>
    <n v="0"/>
    <n v="0"/>
    <n v="0"/>
    <n v="0"/>
    <n v="0"/>
    <n v="0"/>
    <n v="0"/>
    <n v="0"/>
    <n v="0"/>
    <n v="0"/>
    <n v="0"/>
    <n v="0"/>
    <n v="0"/>
    <n v="0"/>
    <x v="0"/>
    <n v="0"/>
    <s v=""/>
    <x v="1"/>
    <x v="2"/>
    <x v="0"/>
    <s v=""/>
    <m/>
    <m/>
  </r>
  <r>
    <s v=""/>
    <m/>
    <x v="12"/>
    <m/>
    <m/>
    <m/>
    <m/>
    <m/>
    <m/>
    <m/>
    <m/>
    <m/>
    <m/>
    <m/>
    <m/>
    <m/>
    <m/>
    <m/>
    <m/>
    <m/>
    <m/>
    <m/>
    <m/>
    <m/>
    <n v="0"/>
    <n v="0"/>
    <n v="0"/>
    <n v="0"/>
    <n v="0"/>
    <n v="0"/>
    <n v="0"/>
    <n v="0"/>
    <n v="0"/>
    <n v="0"/>
    <n v="0"/>
    <n v="0"/>
    <n v="0"/>
    <n v="0"/>
    <x v="0"/>
    <n v="0"/>
    <s v=""/>
    <x v="1"/>
    <x v="2"/>
    <x v="0"/>
    <s v=""/>
    <m/>
    <m/>
  </r>
  <r>
    <s v=""/>
    <m/>
    <x v="12"/>
    <m/>
    <m/>
    <m/>
    <m/>
    <m/>
    <m/>
    <m/>
    <m/>
    <m/>
    <m/>
    <m/>
    <m/>
    <m/>
    <m/>
    <m/>
    <m/>
    <m/>
    <m/>
    <m/>
    <m/>
    <m/>
    <n v="0"/>
    <n v="0"/>
    <n v="0"/>
    <n v="0"/>
    <n v="0"/>
    <n v="0"/>
    <n v="0"/>
    <n v="0"/>
    <n v="0"/>
    <n v="0"/>
    <n v="0"/>
    <n v="0"/>
    <n v="0"/>
    <n v="0"/>
    <x v="0"/>
    <n v="0"/>
    <s v=""/>
    <x v="1"/>
    <x v="2"/>
    <x v="0"/>
    <s v=""/>
    <m/>
    <m/>
  </r>
  <r>
    <s v=""/>
    <m/>
    <x v="12"/>
    <m/>
    <m/>
    <m/>
    <m/>
    <m/>
    <m/>
    <m/>
    <m/>
    <m/>
    <m/>
    <m/>
    <m/>
    <m/>
    <m/>
    <m/>
    <m/>
    <m/>
    <m/>
    <m/>
    <m/>
    <m/>
    <n v="0"/>
    <n v="0"/>
    <n v="0"/>
    <n v="0"/>
    <n v="0"/>
    <n v="0"/>
    <n v="0"/>
    <n v="0"/>
    <n v="0"/>
    <n v="0"/>
    <n v="0"/>
    <n v="0"/>
    <n v="0"/>
    <n v="0"/>
    <x v="0"/>
    <n v="0"/>
    <s v=""/>
    <x v="1"/>
    <x v="2"/>
    <x v="0"/>
    <s v=""/>
    <m/>
    <m/>
  </r>
  <r>
    <s v=""/>
    <m/>
    <x v="12"/>
    <m/>
    <m/>
    <m/>
    <m/>
    <m/>
    <m/>
    <m/>
    <m/>
    <m/>
    <m/>
    <m/>
    <m/>
    <m/>
    <m/>
    <m/>
    <m/>
    <m/>
    <m/>
    <m/>
    <m/>
    <m/>
    <n v="0"/>
    <n v="0"/>
    <n v="0"/>
    <n v="0"/>
    <n v="0"/>
    <n v="0"/>
    <n v="0"/>
    <n v="0"/>
    <n v="0"/>
    <n v="0"/>
    <n v="0"/>
    <n v="0"/>
    <n v="0"/>
    <n v="0"/>
    <x v="0"/>
    <n v="0"/>
    <s v=""/>
    <x v="1"/>
    <x v="2"/>
    <x v="0"/>
    <s v=""/>
    <m/>
    <m/>
  </r>
  <r>
    <s v=""/>
    <m/>
    <x v="12"/>
    <m/>
    <m/>
    <m/>
    <m/>
    <m/>
    <m/>
    <m/>
    <m/>
    <m/>
    <m/>
    <m/>
    <m/>
    <m/>
    <m/>
    <m/>
    <m/>
    <m/>
    <m/>
    <m/>
    <m/>
    <m/>
    <n v="0"/>
    <n v="0"/>
    <n v="0"/>
    <n v="0"/>
    <n v="0"/>
    <n v="0"/>
    <n v="0"/>
    <n v="0"/>
    <n v="0"/>
    <n v="0"/>
    <n v="0"/>
    <n v="0"/>
    <n v="0"/>
    <n v="0"/>
    <x v="0"/>
    <n v="0"/>
    <s v=""/>
    <x v="1"/>
    <x v="2"/>
    <x v="0"/>
    <s v=""/>
    <m/>
    <m/>
  </r>
  <r>
    <s v=""/>
    <m/>
    <x v="12"/>
    <m/>
    <m/>
    <m/>
    <m/>
    <m/>
    <m/>
    <m/>
    <m/>
    <m/>
    <m/>
    <m/>
    <m/>
    <m/>
    <m/>
    <m/>
    <m/>
    <m/>
    <m/>
    <m/>
    <m/>
    <m/>
    <n v="0"/>
    <n v="0"/>
    <n v="0"/>
    <n v="0"/>
    <n v="0"/>
    <n v="0"/>
    <n v="0"/>
    <n v="0"/>
    <n v="0"/>
    <n v="0"/>
    <n v="0"/>
    <n v="0"/>
    <n v="0"/>
    <n v="0"/>
    <x v="0"/>
    <n v="0"/>
    <s v=""/>
    <x v="1"/>
    <x v="2"/>
    <x v="0"/>
    <s v=""/>
    <m/>
    <m/>
  </r>
  <r>
    <s v=""/>
    <m/>
    <x v="12"/>
    <m/>
    <m/>
    <m/>
    <m/>
    <m/>
    <m/>
    <m/>
    <m/>
    <m/>
    <m/>
    <m/>
    <m/>
    <m/>
    <m/>
    <m/>
    <m/>
    <m/>
    <m/>
    <m/>
    <m/>
    <m/>
    <n v="0"/>
    <n v="0"/>
    <n v="0"/>
    <n v="0"/>
    <n v="0"/>
    <n v="0"/>
    <n v="0"/>
    <n v="0"/>
    <n v="0"/>
    <n v="0"/>
    <n v="0"/>
    <n v="0"/>
    <n v="0"/>
    <n v="0"/>
    <x v="0"/>
    <n v="0"/>
    <s v=""/>
    <x v="1"/>
    <x v="2"/>
    <x v="0"/>
    <s v=""/>
    <m/>
    <m/>
  </r>
  <r>
    <s v=""/>
    <m/>
    <x v="12"/>
    <m/>
    <m/>
    <m/>
    <m/>
    <m/>
    <m/>
    <m/>
    <m/>
    <m/>
    <m/>
    <m/>
    <m/>
    <m/>
    <m/>
    <m/>
    <m/>
    <m/>
    <m/>
    <m/>
    <m/>
    <m/>
    <n v="0"/>
    <n v="0"/>
    <n v="0"/>
    <n v="0"/>
    <n v="0"/>
    <n v="0"/>
    <n v="0"/>
    <n v="0"/>
    <n v="0"/>
    <n v="0"/>
    <n v="0"/>
    <n v="0"/>
    <n v="0"/>
    <n v="0"/>
    <x v="0"/>
    <n v="0"/>
    <s v=""/>
    <x v="1"/>
    <x v="2"/>
    <x v="0"/>
    <s v=""/>
    <m/>
    <m/>
  </r>
  <r>
    <s v=""/>
    <m/>
    <x v="12"/>
    <m/>
    <m/>
    <m/>
    <m/>
    <m/>
    <m/>
    <m/>
    <m/>
    <m/>
    <m/>
    <m/>
    <m/>
    <m/>
    <m/>
    <m/>
    <m/>
    <m/>
    <m/>
    <m/>
    <m/>
    <m/>
    <n v="0"/>
    <n v="0"/>
    <n v="0"/>
    <n v="0"/>
    <n v="0"/>
    <n v="0"/>
    <n v="0"/>
    <n v="0"/>
    <n v="0"/>
    <n v="0"/>
    <n v="0"/>
    <n v="0"/>
    <n v="0"/>
    <n v="0"/>
    <x v="0"/>
    <n v="0"/>
    <s v=""/>
    <x v="1"/>
    <x v="2"/>
    <x v="0"/>
    <s v=""/>
    <m/>
    <m/>
  </r>
  <r>
    <s v=""/>
    <m/>
    <x v="12"/>
    <m/>
    <m/>
    <m/>
    <m/>
    <m/>
    <m/>
    <m/>
    <m/>
    <m/>
    <m/>
    <m/>
    <m/>
    <m/>
    <m/>
    <m/>
    <m/>
    <m/>
    <m/>
    <m/>
    <m/>
    <m/>
    <n v="0"/>
    <n v="0"/>
    <n v="0"/>
    <n v="0"/>
    <n v="0"/>
    <n v="0"/>
    <n v="0"/>
    <n v="0"/>
    <n v="0"/>
    <n v="0"/>
    <n v="0"/>
    <n v="0"/>
    <n v="0"/>
    <n v="0"/>
    <x v="0"/>
    <n v="0"/>
    <s v=""/>
    <x v="1"/>
    <x v="2"/>
    <x v="0"/>
    <s v=""/>
    <m/>
    <m/>
  </r>
  <r>
    <s v=""/>
    <m/>
    <x v="12"/>
    <m/>
    <m/>
    <m/>
    <m/>
    <m/>
    <m/>
    <m/>
    <m/>
    <m/>
    <m/>
    <m/>
    <m/>
    <m/>
    <m/>
    <m/>
    <m/>
    <m/>
    <m/>
    <m/>
    <m/>
    <m/>
    <n v="0"/>
    <n v="0"/>
    <n v="0"/>
    <n v="0"/>
    <n v="0"/>
    <n v="0"/>
    <n v="0"/>
    <n v="0"/>
    <n v="0"/>
    <n v="0"/>
    <n v="0"/>
    <n v="0"/>
    <n v="0"/>
    <n v="0"/>
    <x v="0"/>
    <n v="0"/>
    <s v=""/>
    <x v="1"/>
    <x v="2"/>
    <x v="0"/>
    <s v=""/>
    <m/>
    <m/>
  </r>
  <r>
    <s v=""/>
    <m/>
    <x v="12"/>
    <m/>
    <m/>
    <m/>
    <m/>
    <m/>
    <m/>
    <m/>
    <m/>
    <m/>
    <m/>
    <m/>
    <m/>
    <m/>
    <m/>
    <m/>
    <m/>
    <m/>
    <m/>
    <m/>
    <m/>
    <m/>
    <n v="0"/>
    <n v="0"/>
    <n v="0"/>
    <n v="0"/>
    <n v="0"/>
    <n v="0"/>
    <n v="0"/>
    <n v="0"/>
    <n v="0"/>
    <n v="0"/>
    <n v="0"/>
    <n v="0"/>
    <n v="0"/>
    <n v="0"/>
    <x v="0"/>
    <n v="0"/>
    <s v=""/>
    <x v="1"/>
    <x v="2"/>
    <x v="0"/>
    <s v=""/>
    <m/>
    <m/>
  </r>
  <r>
    <s v=""/>
    <m/>
    <x v="12"/>
    <m/>
    <m/>
    <m/>
    <m/>
    <m/>
    <m/>
    <m/>
    <m/>
    <m/>
    <m/>
    <m/>
    <m/>
    <m/>
    <m/>
    <m/>
    <m/>
    <m/>
    <m/>
    <m/>
    <m/>
    <m/>
    <n v="0"/>
    <n v="0"/>
    <n v="0"/>
    <n v="0"/>
    <n v="0"/>
    <n v="0"/>
    <n v="0"/>
    <n v="0"/>
    <n v="0"/>
    <n v="0"/>
    <n v="0"/>
    <n v="0"/>
    <n v="0"/>
    <n v="0"/>
    <x v="0"/>
    <n v="0"/>
    <s v=""/>
    <x v="1"/>
    <x v="2"/>
    <x v="0"/>
    <s v=""/>
    <m/>
    <m/>
  </r>
  <r>
    <s v=""/>
    <m/>
    <x v="12"/>
    <m/>
    <m/>
    <m/>
    <m/>
    <m/>
    <m/>
    <m/>
    <m/>
    <m/>
    <m/>
    <m/>
    <m/>
    <m/>
    <m/>
    <m/>
    <m/>
    <m/>
    <m/>
    <m/>
    <m/>
    <m/>
    <n v="0"/>
    <n v="0"/>
    <n v="0"/>
    <n v="0"/>
    <n v="0"/>
    <n v="0"/>
    <n v="0"/>
    <n v="0"/>
    <n v="0"/>
    <n v="0"/>
    <n v="0"/>
    <n v="0"/>
    <n v="0"/>
    <n v="0"/>
    <x v="0"/>
    <n v="0"/>
    <s v=""/>
    <x v="1"/>
    <x v="2"/>
    <x v="0"/>
    <s v=""/>
    <m/>
    <m/>
  </r>
  <r>
    <s v=""/>
    <m/>
    <x v="12"/>
    <m/>
    <m/>
    <m/>
    <m/>
    <m/>
    <m/>
    <m/>
    <m/>
    <m/>
    <m/>
    <m/>
    <m/>
    <m/>
    <m/>
    <m/>
    <m/>
    <m/>
    <m/>
    <m/>
    <m/>
    <m/>
    <n v="0"/>
    <n v="0"/>
    <n v="0"/>
    <n v="0"/>
    <n v="0"/>
    <n v="0"/>
    <n v="0"/>
    <n v="0"/>
    <n v="0"/>
    <n v="0"/>
    <n v="0"/>
    <n v="0"/>
    <n v="0"/>
    <n v="0"/>
    <x v="0"/>
    <n v="0"/>
    <s v=""/>
    <x v="1"/>
    <x v="2"/>
    <x v="0"/>
    <s v=""/>
    <m/>
    <m/>
  </r>
  <r>
    <s v=""/>
    <m/>
    <x v="12"/>
    <m/>
    <m/>
    <m/>
    <m/>
    <m/>
    <m/>
    <m/>
    <m/>
    <m/>
    <m/>
    <m/>
    <m/>
    <m/>
    <m/>
    <m/>
    <m/>
    <m/>
    <m/>
    <m/>
    <m/>
    <m/>
    <n v="0"/>
    <n v="0"/>
    <n v="0"/>
    <n v="0"/>
    <n v="0"/>
    <n v="0"/>
    <n v="0"/>
    <n v="0"/>
    <n v="0"/>
    <n v="0"/>
    <n v="0"/>
    <n v="0"/>
    <n v="0"/>
    <n v="0"/>
    <x v="0"/>
    <n v="0"/>
    <s v=""/>
    <x v="1"/>
    <x v="2"/>
    <x v="0"/>
    <s v=""/>
    <m/>
    <m/>
  </r>
  <r>
    <s v=""/>
    <m/>
    <x v="12"/>
    <m/>
    <m/>
    <m/>
    <m/>
    <m/>
    <m/>
    <m/>
    <m/>
    <m/>
    <m/>
    <m/>
    <m/>
    <m/>
    <m/>
    <m/>
    <m/>
    <m/>
    <m/>
    <m/>
    <m/>
    <m/>
    <n v="0"/>
    <n v="0"/>
    <n v="0"/>
    <n v="0"/>
    <n v="0"/>
    <n v="0"/>
    <n v="0"/>
    <n v="0"/>
    <n v="0"/>
    <n v="0"/>
    <n v="0"/>
    <n v="0"/>
    <n v="0"/>
    <n v="0"/>
    <x v="0"/>
    <n v="0"/>
    <s v=""/>
    <x v="1"/>
    <x v="2"/>
    <x v="0"/>
    <s v=""/>
    <m/>
    <m/>
  </r>
  <r>
    <s v=""/>
    <m/>
    <x v="12"/>
    <m/>
    <m/>
    <m/>
    <m/>
    <m/>
    <m/>
    <m/>
    <m/>
    <m/>
    <m/>
    <m/>
    <m/>
    <m/>
    <m/>
    <m/>
    <m/>
    <m/>
    <m/>
    <m/>
    <m/>
    <m/>
    <n v="0"/>
    <n v="0"/>
    <n v="0"/>
    <n v="0"/>
    <n v="0"/>
    <n v="0"/>
    <n v="0"/>
    <n v="0"/>
    <n v="0"/>
    <n v="0"/>
    <n v="0"/>
    <n v="0"/>
    <n v="0"/>
    <n v="0"/>
    <x v="0"/>
    <n v="0"/>
    <s v=""/>
    <x v="1"/>
    <x v="2"/>
    <x v="0"/>
    <s v=""/>
    <m/>
    <m/>
  </r>
  <r>
    <s v=""/>
    <m/>
    <x v="12"/>
    <m/>
    <m/>
    <m/>
    <m/>
    <m/>
    <m/>
    <m/>
    <m/>
    <m/>
    <m/>
    <m/>
    <m/>
    <m/>
    <m/>
    <m/>
    <m/>
    <m/>
    <m/>
    <m/>
    <m/>
    <m/>
    <n v="0"/>
    <n v="0"/>
    <n v="0"/>
    <n v="0"/>
    <n v="0"/>
    <n v="0"/>
    <n v="0"/>
    <n v="0"/>
    <n v="0"/>
    <n v="0"/>
    <n v="0"/>
    <n v="0"/>
    <n v="0"/>
    <n v="0"/>
    <x v="0"/>
    <n v="0"/>
    <s v=""/>
    <x v="1"/>
    <x v="2"/>
    <x v="0"/>
    <s v=""/>
    <m/>
    <m/>
  </r>
  <r>
    <s v=""/>
    <m/>
    <x v="12"/>
    <m/>
    <m/>
    <m/>
    <m/>
    <m/>
    <m/>
    <m/>
    <m/>
    <m/>
    <m/>
    <m/>
    <m/>
    <m/>
    <m/>
    <m/>
    <m/>
    <m/>
    <m/>
    <m/>
    <m/>
    <m/>
    <n v="0"/>
    <n v="0"/>
    <n v="0"/>
    <n v="0"/>
    <n v="0"/>
    <n v="0"/>
    <n v="0"/>
    <n v="0"/>
    <n v="0"/>
    <n v="0"/>
    <n v="0"/>
    <n v="0"/>
    <n v="0"/>
    <n v="0"/>
    <x v="0"/>
    <n v="0"/>
    <s v=""/>
    <x v="1"/>
    <x v="2"/>
    <x v="0"/>
    <s v=""/>
    <m/>
    <m/>
  </r>
  <r>
    <s v=""/>
    <m/>
    <x v="12"/>
    <m/>
    <m/>
    <m/>
    <m/>
    <m/>
    <m/>
    <m/>
    <m/>
    <m/>
    <m/>
    <m/>
    <m/>
    <m/>
    <m/>
    <m/>
    <m/>
    <m/>
    <m/>
    <m/>
    <m/>
    <m/>
    <n v="0"/>
    <n v="0"/>
    <n v="0"/>
    <n v="0"/>
    <n v="0"/>
    <n v="0"/>
    <n v="0"/>
    <n v="0"/>
    <n v="0"/>
    <n v="0"/>
    <n v="0"/>
    <n v="0"/>
    <n v="0"/>
    <n v="0"/>
    <x v="0"/>
    <n v="0"/>
    <s v=""/>
    <x v="1"/>
    <x v="2"/>
    <x v="0"/>
    <s v=""/>
    <m/>
    <m/>
  </r>
  <r>
    <s v=""/>
    <m/>
    <x v="12"/>
    <m/>
    <m/>
    <m/>
    <m/>
    <m/>
    <m/>
    <m/>
    <m/>
    <m/>
    <m/>
    <m/>
    <m/>
    <m/>
    <m/>
    <m/>
    <m/>
    <m/>
    <m/>
    <m/>
    <m/>
    <m/>
    <n v="0"/>
    <n v="0"/>
    <n v="0"/>
    <n v="0"/>
    <n v="0"/>
    <n v="0"/>
    <n v="0"/>
    <n v="0"/>
    <n v="0"/>
    <n v="0"/>
    <n v="0"/>
    <n v="0"/>
    <n v="0"/>
    <n v="0"/>
    <x v="0"/>
    <n v="0"/>
    <s v=""/>
    <x v="1"/>
    <x v="2"/>
    <x v="0"/>
    <s v=""/>
    <m/>
    <m/>
  </r>
  <r>
    <s v=""/>
    <m/>
    <x v="12"/>
    <m/>
    <m/>
    <m/>
    <m/>
    <m/>
    <m/>
    <m/>
    <m/>
    <m/>
    <m/>
    <m/>
    <m/>
    <m/>
    <m/>
    <m/>
    <m/>
    <m/>
    <m/>
    <m/>
    <m/>
    <m/>
    <n v="0"/>
    <n v="0"/>
    <n v="0"/>
    <n v="0"/>
    <n v="0"/>
    <n v="0"/>
    <n v="0"/>
    <n v="0"/>
    <n v="0"/>
    <n v="0"/>
    <n v="0"/>
    <n v="0"/>
    <n v="0"/>
    <n v="0"/>
    <x v="0"/>
    <n v="0"/>
    <s v=""/>
    <x v="1"/>
    <x v="2"/>
    <x v="0"/>
    <s v=""/>
    <m/>
    <m/>
  </r>
  <r>
    <s v=""/>
    <m/>
    <x v="12"/>
    <m/>
    <m/>
    <m/>
    <m/>
    <m/>
    <m/>
    <m/>
    <m/>
    <m/>
    <m/>
    <m/>
    <m/>
    <m/>
    <m/>
    <m/>
    <m/>
    <m/>
    <m/>
    <m/>
    <m/>
    <m/>
    <n v="0"/>
    <n v="0"/>
    <n v="0"/>
    <n v="0"/>
    <n v="0"/>
    <n v="0"/>
    <n v="0"/>
    <n v="0"/>
    <n v="0"/>
    <n v="0"/>
    <n v="0"/>
    <n v="0"/>
    <n v="0"/>
    <n v="0"/>
    <x v="0"/>
    <n v="0"/>
    <s v=""/>
    <x v="1"/>
    <x v="2"/>
    <x v="0"/>
    <s v=""/>
    <m/>
    <m/>
  </r>
  <r>
    <s v=""/>
    <m/>
    <x v="12"/>
    <m/>
    <m/>
    <m/>
    <m/>
    <m/>
    <m/>
    <m/>
    <m/>
    <m/>
    <m/>
    <m/>
    <m/>
    <m/>
    <m/>
    <m/>
    <m/>
    <m/>
    <m/>
    <m/>
    <m/>
    <m/>
    <n v="0"/>
    <n v="0"/>
    <n v="0"/>
    <n v="0"/>
    <n v="0"/>
    <n v="0"/>
    <n v="0"/>
    <n v="0"/>
    <n v="0"/>
    <n v="0"/>
    <n v="0"/>
    <n v="0"/>
    <n v="0"/>
    <n v="0"/>
    <x v="0"/>
    <n v="0"/>
    <s v=""/>
    <x v="1"/>
    <x v="2"/>
    <x v="0"/>
    <s v=""/>
    <m/>
    <m/>
  </r>
  <r>
    <s v=""/>
    <m/>
    <x v="12"/>
    <m/>
    <m/>
    <m/>
    <m/>
    <m/>
    <m/>
    <m/>
    <m/>
    <m/>
    <m/>
    <m/>
    <m/>
    <m/>
    <m/>
    <m/>
    <m/>
    <m/>
    <m/>
    <m/>
    <m/>
    <m/>
    <n v="0"/>
    <n v="0"/>
    <n v="0"/>
    <n v="0"/>
    <n v="0"/>
    <n v="0"/>
    <n v="0"/>
    <n v="0"/>
    <n v="0"/>
    <n v="0"/>
    <n v="0"/>
    <n v="0"/>
    <n v="0"/>
    <n v="0"/>
    <x v="0"/>
    <n v="0"/>
    <s v=""/>
    <x v="1"/>
    <x v="2"/>
    <x v="0"/>
    <s v=""/>
    <m/>
    <m/>
  </r>
  <r>
    <s v=""/>
    <m/>
    <x v="12"/>
    <m/>
    <m/>
    <m/>
    <m/>
    <m/>
    <m/>
    <m/>
    <m/>
    <m/>
    <m/>
    <m/>
    <m/>
    <m/>
    <m/>
    <m/>
    <m/>
    <m/>
    <m/>
    <m/>
    <m/>
    <m/>
    <n v="0"/>
    <n v="0"/>
    <n v="0"/>
    <n v="0"/>
    <n v="0"/>
    <n v="0"/>
    <n v="0"/>
    <n v="0"/>
    <n v="0"/>
    <n v="0"/>
    <n v="0"/>
    <n v="0"/>
    <n v="0"/>
    <n v="0"/>
    <x v="0"/>
    <n v="0"/>
    <s v=""/>
    <x v="1"/>
    <x v="2"/>
    <x v="0"/>
    <s v=""/>
    <m/>
    <m/>
  </r>
  <r>
    <s v=""/>
    <m/>
    <x v="12"/>
    <m/>
    <m/>
    <m/>
    <m/>
    <m/>
    <m/>
    <m/>
    <m/>
    <m/>
    <m/>
    <m/>
    <m/>
    <m/>
    <m/>
    <m/>
    <m/>
    <m/>
    <m/>
    <m/>
    <m/>
    <m/>
    <n v="0"/>
    <n v="0"/>
    <n v="0"/>
    <n v="0"/>
    <n v="0"/>
    <n v="0"/>
    <n v="0"/>
    <n v="0"/>
    <n v="0"/>
    <n v="0"/>
    <n v="0"/>
    <n v="0"/>
    <n v="0"/>
    <n v="0"/>
    <x v="0"/>
    <n v="0"/>
    <s v=""/>
    <x v="1"/>
    <x v="2"/>
    <x v="0"/>
    <s v=""/>
    <m/>
    <m/>
  </r>
  <r>
    <s v=""/>
    <m/>
    <x v="12"/>
    <m/>
    <m/>
    <m/>
    <m/>
    <m/>
    <m/>
    <m/>
    <m/>
    <m/>
    <m/>
    <m/>
    <m/>
    <m/>
    <m/>
    <m/>
    <m/>
    <m/>
    <m/>
    <m/>
    <m/>
    <m/>
    <n v="0"/>
    <n v="0"/>
    <n v="0"/>
    <n v="0"/>
    <n v="0"/>
    <n v="0"/>
    <n v="0"/>
    <n v="0"/>
    <n v="0"/>
    <n v="0"/>
    <n v="0"/>
    <n v="0"/>
    <n v="0"/>
    <n v="0"/>
    <x v="0"/>
    <n v="0"/>
    <s v=""/>
    <x v="1"/>
    <x v="2"/>
    <x v="0"/>
    <s v=""/>
    <m/>
    <m/>
  </r>
  <r>
    <s v=""/>
    <m/>
    <x v="12"/>
    <m/>
    <m/>
    <m/>
    <m/>
    <m/>
    <m/>
    <m/>
    <m/>
    <m/>
    <m/>
    <m/>
    <m/>
    <m/>
    <m/>
    <m/>
    <m/>
    <m/>
    <m/>
    <m/>
    <m/>
    <m/>
    <n v="0"/>
    <n v="0"/>
    <n v="0"/>
    <n v="0"/>
    <n v="0"/>
    <n v="0"/>
    <n v="0"/>
    <n v="0"/>
    <n v="0"/>
    <n v="0"/>
    <n v="0"/>
    <n v="0"/>
    <n v="0"/>
    <n v="0"/>
    <x v="0"/>
    <n v="0"/>
    <s v=""/>
    <x v="1"/>
    <x v="2"/>
    <x v="0"/>
    <s v=""/>
    <m/>
    <m/>
  </r>
  <r>
    <s v=""/>
    <m/>
    <x v="12"/>
    <m/>
    <m/>
    <m/>
    <m/>
    <m/>
    <m/>
    <m/>
    <m/>
    <m/>
    <m/>
    <m/>
    <m/>
    <m/>
    <m/>
    <m/>
    <m/>
    <m/>
    <m/>
    <m/>
    <m/>
    <m/>
    <n v="0"/>
    <n v="0"/>
    <n v="0"/>
    <n v="0"/>
    <n v="0"/>
    <n v="0"/>
    <n v="0"/>
    <n v="0"/>
    <n v="0"/>
    <n v="0"/>
    <n v="0"/>
    <n v="0"/>
    <n v="0"/>
    <n v="0"/>
    <x v="0"/>
    <n v="0"/>
    <s v=""/>
    <x v="1"/>
    <x v="2"/>
    <x v="0"/>
    <s v=""/>
    <m/>
    <m/>
  </r>
  <r>
    <s v=""/>
    <m/>
    <x v="12"/>
    <m/>
    <m/>
    <m/>
    <m/>
    <m/>
    <m/>
    <m/>
    <m/>
    <m/>
    <m/>
    <m/>
    <m/>
    <m/>
    <m/>
    <m/>
    <m/>
    <m/>
    <m/>
    <m/>
    <m/>
    <m/>
    <n v="0"/>
    <n v="0"/>
    <n v="0"/>
    <n v="0"/>
    <n v="0"/>
    <n v="0"/>
    <n v="0"/>
    <n v="0"/>
    <n v="0"/>
    <n v="0"/>
    <n v="0"/>
    <n v="0"/>
    <n v="0"/>
    <n v="0"/>
    <x v="0"/>
    <n v="0"/>
    <s v=""/>
    <x v="1"/>
    <x v="2"/>
    <x v="0"/>
    <s v=""/>
    <m/>
    <m/>
  </r>
  <r>
    <s v=""/>
    <m/>
    <x v="12"/>
    <m/>
    <m/>
    <m/>
    <m/>
    <m/>
    <m/>
    <m/>
    <m/>
    <m/>
    <m/>
    <m/>
    <m/>
    <m/>
    <m/>
    <m/>
    <m/>
    <m/>
    <m/>
    <m/>
    <m/>
    <m/>
    <n v="0"/>
    <n v="0"/>
    <n v="0"/>
    <n v="0"/>
    <n v="0"/>
    <n v="0"/>
    <n v="0"/>
    <n v="0"/>
    <n v="0"/>
    <n v="0"/>
    <n v="0"/>
    <n v="0"/>
    <n v="0"/>
    <n v="0"/>
    <x v="0"/>
    <n v="0"/>
    <s v=""/>
    <x v="1"/>
    <x v="2"/>
    <x v="0"/>
    <s v=""/>
    <m/>
    <m/>
  </r>
  <r>
    <s v=""/>
    <m/>
    <x v="12"/>
    <m/>
    <m/>
    <m/>
    <m/>
    <m/>
    <m/>
    <m/>
    <m/>
    <m/>
    <m/>
    <m/>
    <m/>
    <m/>
    <m/>
    <m/>
    <m/>
    <m/>
    <m/>
    <m/>
    <m/>
    <m/>
    <n v="0"/>
    <n v="0"/>
    <n v="0"/>
    <n v="0"/>
    <n v="0"/>
    <n v="0"/>
    <n v="0"/>
    <n v="0"/>
    <n v="0"/>
    <n v="0"/>
    <n v="0"/>
    <n v="0"/>
    <n v="0"/>
    <n v="0"/>
    <x v="0"/>
    <n v="0"/>
    <s v=""/>
    <x v="1"/>
    <x v="2"/>
    <x v="0"/>
    <s v=""/>
    <m/>
    <m/>
  </r>
  <r>
    <s v=""/>
    <m/>
    <x v="12"/>
    <m/>
    <m/>
    <m/>
    <m/>
    <m/>
    <m/>
    <m/>
    <m/>
    <m/>
    <m/>
    <m/>
    <m/>
    <m/>
    <m/>
    <m/>
    <m/>
    <m/>
    <m/>
    <m/>
    <m/>
    <m/>
    <n v="0"/>
    <n v="0"/>
    <n v="0"/>
    <n v="0"/>
    <n v="0"/>
    <n v="0"/>
    <n v="0"/>
    <n v="0"/>
    <n v="0"/>
    <n v="0"/>
    <n v="0"/>
    <n v="0"/>
    <n v="0"/>
    <n v="0"/>
    <x v="0"/>
    <n v="0"/>
    <s v=""/>
    <x v="1"/>
    <x v="2"/>
    <x v="0"/>
    <s v=""/>
    <m/>
    <m/>
  </r>
  <r>
    <s v=""/>
    <m/>
    <x v="12"/>
    <m/>
    <m/>
    <m/>
    <m/>
    <m/>
    <m/>
    <m/>
    <m/>
    <m/>
    <m/>
    <m/>
    <m/>
    <m/>
    <m/>
    <m/>
    <m/>
    <m/>
    <m/>
    <m/>
    <m/>
    <m/>
    <n v="0"/>
    <n v="0"/>
    <n v="0"/>
    <n v="0"/>
    <n v="0"/>
    <n v="0"/>
    <n v="0"/>
    <n v="0"/>
    <n v="0"/>
    <n v="0"/>
    <n v="0"/>
    <n v="0"/>
    <n v="0"/>
    <n v="0"/>
    <x v="0"/>
    <n v="0"/>
    <s v=""/>
    <x v="1"/>
    <x v="2"/>
    <x v="0"/>
    <s v=""/>
    <m/>
    <m/>
  </r>
  <r>
    <s v=""/>
    <m/>
    <x v="12"/>
    <m/>
    <m/>
    <m/>
    <m/>
    <m/>
    <m/>
    <m/>
    <m/>
    <m/>
    <m/>
    <m/>
    <m/>
    <m/>
    <m/>
    <m/>
    <m/>
    <m/>
    <m/>
    <m/>
    <m/>
    <m/>
    <n v="0"/>
    <n v="0"/>
    <n v="0"/>
    <n v="0"/>
    <n v="0"/>
    <n v="0"/>
    <n v="0"/>
    <n v="0"/>
    <n v="0"/>
    <n v="0"/>
    <n v="0"/>
    <n v="0"/>
    <n v="0"/>
    <n v="0"/>
    <x v="0"/>
    <n v="0"/>
    <s v=""/>
    <x v="1"/>
    <x v="2"/>
    <x v="0"/>
    <s v=""/>
    <m/>
    <m/>
  </r>
  <r>
    <s v=""/>
    <m/>
    <x v="12"/>
    <m/>
    <m/>
    <m/>
    <m/>
    <m/>
    <m/>
    <m/>
    <m/>
    <m/>
    <m/>
    <m/>
    <m/>
    <m/>
    <m/>
    <m/>
    <m/>
    <m/>
    <m/>
    <m/>
    <m/>
    <m/>
    <n v="0"/>
    <n v="0"/>
    <n v="0"/>
    <n v="0"/>
    <n v="0"/>
    <n v="0"/>
    <n v="0"/>
    <n v="0"/>
    <n v="0"/>
    <n v="0"/>
    <n v="0"/>
    <n v="0"/>
    <n v="0"/>
    <n v="0"/>
    <x v="0"/>
    <n v="0"/>
    <s v=""/>
    <x v="1"/>
    <x v="2"/>
    <x v="0"/>
    <s v=""/>
    <m/>
    <m/>
  </r>
  <r>
    <s v=""/>
    <m/>
    <x v="12"/>
    <m/>
    <m/>
    <m/>
    <m/>
    <m/>
    <m/>
    <m/>
    <m/>
    <m/>
    <m/>
    <m/>
    <m/>
    <m/>
    <m/>
    <m/>
    <m/>
    <m/>
    <m/>
    <m/>
    <m/>
    <m/>
    <n v="0"/>
    <n v="0"/>
    <n v="0"/>
    <n v="0"/>
    <n v="0"/>
    <n v="0"/>
    <n v="0"/>
    <n v="0"/>
    <n v="0"/>
    <n v="0"/>
    <n v="0"/>
    <n v="0"/>
    <n v="0"/>
    <n v="0"/>
    <x v="0"/>
    <n v="0"/>
    <s v=""/>
    <x v="1"/>
    <x v="2"/>
    <x v="0"/>
    <s v=""/>
    <m/>
    <m/>
  </r>
  <r>
    <s v=""/>
    <m/>
    <x v="12"/>
    <m/>
    <m/>
    <m/>
    <m/>
    <m/>
    <m/>
    <m/>
    <m/>
    <m/>
    <m/>
    <m/>
    <m/>
    <m/>
    <m/>
    <m/>
    <m/>
    <m/>
    <m/>
    <m/>
    <m/>
    <m/>
    <n v="0"/>
    <n v="0"/>
    <n v="0"/>
    <n v="0"/>
    <n v="0"/>
    <n v="0"/>
    <n v="0"/>
    <n v="0"/>
    <n v="0"/>
    <n v="0"/>
    <n v="0"/>
    <n v="0"/>
    <n v="0"/>
    <n v="0"/>
    <x v="0"/>
    <n v="0"/>
    <s v=""/>
    <x v="1"/>
    <x v="2"/>
    <x v="0"/>
    <s v=""/>
    <m/>
    <m/>
  </r>
  <r>
    <s v=""/>
    <m/>
    <x v="12"/>
    <m/>
    <m/>
    <m/>
    <m/>
    <m/>
    <m/>
    <m/>
    <m/>
    <m/>
    <m/>
    <m/>
    <m/>
    <m/>
    <m/>
    <m/>
    <m/>
    <m/>
    <m/>
    <m/>
    <m/>
    <m/>
    <n v="0"/>
    <n v="0"/>
    <n v="0"/>
    <n v="0"/>
    <n v="0"/>
    <n v="0"/>
    <n v="0"/>
    <n v="0"/>
    <n v="0"/>
    <n v="0"/>
    <n v="0"/>
    <n v="0"/>
    <n v="0"/>
    <n v="0"/>
    <x v="0"/>
    <n v="0"/>
    <s v=""/>
    <x v="1"/>
    <x v="2"/>
    <x v="0"/>
    <s v=""/>
    <m/>
    <m/>
  </r>
  <r>
    <s v=""/>
    <m/>
    <x v="12"/>
    <m/>
    <m/>
    <m/>
    <m/>
    <m/>
    <m/>
    <m/>
    <m/>
    <m/>
    <m/>
    <m/>
    <m/>
    <m/>
    <m/>
    <m/>
    <m/>
    <m/>
    <m/>
    <m/>
    <m/>
    <m/>
    <n v="0"/>
    <n v="0"/>
    <n v="0"/>
    <n v="0"/>
    <n v="0"/>
    <n v="0"/>
    <n v="0"/>
    <n v="0"/>
    <n v="0"/>
    <n v="0"/>
    <n v="0"/>
    <n v="0"/>
    <n v="0"/>
    <n v="0"/>
    <x v="0"/>
    <n v="0"/>
    <s v=""/>
    <x v="1"/>
    <x v="2"/>
    <x v="0"/>
    <s v=""/>
    <m/>
    <m/>
  </r>
  <r>
    <s v=""/>
    <m/>
    <x v="12"/>
    <m/>
    <m/>
    <m/>
    <m/>
    <m/>
    <m/>
    <m/>
    <m/>
    <m/>
    <m/>
    <m/>
    <m/>
    <m/>
    <m/>
    <m/>
    <m/>
    <m/>
    <m/>
    <m/>
    <m/>
    <m/>
    <n v="0"/>
    <n v="0"/>
    <n v="0"/>
    <n v="0"/>
    <n v="0"/>
    <n v="0"/>
    <n v="0"/>
    <n v="0"/>
    <n v="0"/>
    <n v="0"/>
    <n v="0"/>
    <n v="0"/>
    <n v="0"/>
    <n v="0"/>
    <x v="0"/>
    <n v="0"/>
    <s v=""/>
    <x v="1"/>
    <x v="2"/>
    <x v="0"/>
    <s v=""/>
    <m/>
    <m/>
  </r>
  <r>
    <s v=""/>
    <m/>
    <x v="12"/>
    <m/>
    <m/>
    <m/>
    <m/>
    <m/>
    <m/>
    <m/>
    <m/>
    <m/>
    <m/>
    <m/>
    <m/>
    <m/>
    <m/>
    <m/>
    <m/>
    <m/>
    <m/>
    <m/>
    <m/>
    <m/>
    <n v="0"/>
    <n v="0"/>
    <n v="0"/>
    <n v="0"/>
    <n v="0"/>
    <n v="0"/>
    <n v="0"/>
    <n v="0"/>
    <n v="0"/>
    <n v="0"/>
    <n v="0"/>
    <n v="0"/>
    <n v="0"/>
    <n v="0"/>
    <x v="0"/>
    <n v="0"/>
    <s v=""/>
    <x v="1"/>
    <x v="2"/>
    <x v="0"/>
    <s v=""/>
    <m/>
    <m/>
  </r>
  <r>
    <s v=""/>
    <m/>
    <x v="12"/>
    <m/>
    <m/>
    <m/>
    <m/>
    <m/>
    <m/>
    <m/>
    <m/>
    <m/>
    <m/>
    <m/>
    <m/>
    <m/>
    <m/>
    <m/>
    <m/>
    <m/>
    <m/>
    <m/>
    <m/>
    <m/>
    <n v="0"/>
    <n v="0"/>
    <n v="0"/>
    <n v="0"/>
    <n v="0"/>
    <n v="0"/>
    <n v="0"/>
    <n v="0"/>
    <n v="0"/>
    <n v="0"/>
    <n v="0"/>
    <n v="0"/>
    <n v="0"/>
    <n v="0"/>
    <x v="0"/>
    <n v="0"/>
    <s v=""/>
    <x v="1"/>
    <x v="2"/>
    <x v="0"/>
    <s v=""/>
    <m/>
    <m/>
  </r>
  <r>
    <s v=""/>
    <m/>
    <x v="12"/>
    <m/>
    <m/>
    <m/>
    <m/>
    <m/>
    <m/>
    <m/>
    <m/>
    <m/>
    <m/>
    <m/>
    <m/>
    <m/>
    <m/>
    <m/>
    <m/>
    <m/>
    <m/>
    <m/>
    <m/>
    <m/>
    <n v="0"/>
    <n v="0"/>
    <n v="0"/>
    <n v="0"/>
    <n v="0"/>
    <n v="0"/>
    <n v="0"/>
    <n v="0"/>
    <n v="0"/>
    <n v="0"/>
    <n v="0"/>
    <n v="0"/>
    <n v="0"/>
    <n v="0"/>
    <x v="0"/>
    <n v="0"/>
    <s v=""/>
    <x v="1"/>
    <x v="2"/>
    <x v="0"/>
    <s v=""/>
    <m/>
    <m/>
  </r>
  <r>
    <s v=""/>
    <m/>
    <x v="12"/>
    <m/>
    <m/>
    <m/>
    <m/>
    <m/>
    <m/>
    <m/>
    <m/>
    <m/>
    <m/>
    <m/>
    <m/>
    <m/>
    <m/>
    <m/>
    <m/>
    <m/>
    <m/>
    <m/>
    <m/>
    <m/>
    <n v="0"/>
    <n v="0"/>
    <n v="0"/>
    <n v="0"/>
    <n v="0"/>
    <n v="0"/>
    <n v="0"/>
    <n v="0"/>
    <n v="0"/>
    <n v="0"/>
    <n v="0"/>
    <n v="0"/>
    <n v="0"/>
    <n v="0"/>
    <x v="0"/>
    <n v="0"/>
    <s v=""/>
    <x v="1"/>
    <x v="2"/>
    <x v="0"/>
    <s v=""/>
    <m/>
    <m/>
  </r>
  <r>
    <s v=""/>
    <m/>
    <x v="12"/>
    <m/>
    <m/>
    <m/>
    <m/>
    <m/>
    <m/>
    <m/>
    <m/>
    <m/>
    <m/>
    <m/>
    <m/>
    <m/>
    <m/>
    <m/>
    <m/>
    <m/>
    <m/>
    <m/>
    <m/>
    <m/>
    <n v="0"/>
    <n v="0"/>
    <n v="0"/>
    <n v="0"/>
    <n v="0"/>
    <n v="0"/>
    <n v="0"/>
    <n v="0"/>
    <n v="0"/>
    <n v="0"/>
    <n v="0"/>
    <n v="0"/>
    <n v="0"/>
    <n v="0"/>
    <x v="0"/>
    <n v="0"/>
    <s v=""/>
    <x v="1"/>
    <x v="2"/>
    <x v="0"/>
    <s v=""/>
    <m/>
    <m/>
  </r>
  <r>
    <s v=""/>
    <m/>
    <x v="12"/>
    <m/>
    <m/>
    <m/>
    <m/>
    <m/>
    <m/>
    <m/>
    <m/>
    <m/>
    <m/>
    <m/>
    <m/>
    <m/>
    <m/>
    <m/>
    <m/>
    <m/>
    <m/>
    <m/>
    <m/>
    <m/>
    <n v="0"/>
    <n v="0"/>
    <n v="0"/>
    <n v="0"/>
    <n v="0"/>
    <n v="0"/>
    <n v="0"/>
    <n v="0"/>
    <n v="0"/>
    <n v="0"/>
    <n v="0"/>
    <n v="0"/>
    <n v="0"/>
    <n v="0"/>
    <x v="0"/>
    <n v="0"/>
    <s v=""/>
    <x v="1"/>
    <x v="2"/>
    <x v="0"/>
    <s v=""/>
    <m/>
    <m/>
  </r>
  <r>
    <s v=""/>
    <m/>
    <x v="12"/>
    <m/>
    <m/>
    <m/>
    <m/>
    <m/>
    <m/>
    <m/>
    <m/>
    <m/>
    <m/>
    <m/>
    <m/>
    <m/>
    <m/>
    <m/>
    <m/>
    <m/>
    <m/>
    <m/>
    <m/>
    <m/>
    <n v="0"/>
    <n v="0"/>
    <n v="0"/>
    <n v="0"/>
    <n v="0"/>
    <n v="0"/>
    <n v="0"/>
    <n v="0"/>
    <n v="0"/>
    <n v="0"/>
    <n v="0"/>
    <n v="0"/>
    <n v="0"/>
    <n v="0"/>
    <x v="0"/>
    <n v="0"/>
    <s v=""/>
    <x v="1"/>
    <x v="2"/>
    <x v="0"/>
    <s v=""/>
    <m/>
    <m/>
  </r>
  <r>
    <s v=""/>
    <m/>
    <x v="12"/>
    <m/>
    <m/>
    <m/>
    <m/>
    <m/>
    <m/>
    <m/>
    <m/>
    <m/>
    <m/>
    <m/>
    <m/>
    <m/>
    <m/>
    <m/>
    <m/>
    <m/>
    <m/>
    <m/>
    <m/>
    <m/>
    <n v="0"/>
    <n v="0"/>
    <n v="0"/>
    <n v="0"/>
    <n v="0"/>
    <n v="0"/>
    <n v="0"/>
    <n v="0"/>
    <n v="0"/>
    <n v="0"/>
    <n v="0"/>
    <n v="0"/>
    <n v="0"/>
    <n v="0"/>
    <x v="0"/>
    <n v="0"/>
    <s v=""/>
    <x v="1"/>
    <x v="2"/>
    <x v="0"/>
    <s v=""/>
    <m/>
    <m/>
  </r>
  <r>
    <s v=""/>
    <m/>
    <x v="12"/>
    <m/>
    <m/>
    <m/>
    <m/>
    <m/>
    <m/>
    <m/>
    <m/>
    <m/>
    <m/>
    <m/>
    <m/>
    <m/>
    <m/>
    <m/>
    <m/>
    <m/>
    <m/>
    <m/>
    <m/>
    <m/>
    <n v="0"/>
    <n v="0"/>
    <n v="0"/>
    <n v="0"/>
    <n v="0"/>
    <n v="0"/>
    <n v="0"/>
    <n v="0"/>
    <n v="0"/>
    <n v="0"/>
    <n v="0"/>
    <n v="0"/>
    <n v="0"/>
    <n v="0"/>
    <x v="0"/>
    <n v="0"/>
    <s v=""/>
    <x v="1"/>
    <x v="2"/>
    <x v="0"/>
    <s v=""/>
    <m/>
    <m/>
  </r>
  <r>
    <s v=""/>
    <m/>
    <x v="12"/>
    <m/>
    <m/>
    <m/>
    <m/>
    <m/>
    <m/>
    <m/>
    <m/>
    <m/>
    <m/>
    <m/>
    <m/>
    <m/>
    <m/>
    <m/>
    <m/>
    <m/>
    <m/>
    <m/>
    <m/>
    <m/>
    <n v="0"/>
    <n v="0"/>
    <n v="0"/>
    <n v="0"/>
    <n v="0"/>
    <n v="0"/>
    <n v="0"/>
    <n v="0"/>
    <n v="0"/>
    <n v="0"/>
    <n v="0"/>
    <n v="0"/>
    <n v="0"/>
    <n v="0"/>
    <x v="0"/>
    <n v="0"/>
    <s v=""/>
    <x v="1"/>
    <x v="2"/>
    <x v="0"/>
    <s v=""/>
    <m/>
    <m/>
  </r>
  <r>
    <s v=""/>
    <m/>
    <x v="12"/>
    <m/>
    <m/>
    <m/>
    <m/>
    <m/>
    <m/>
    <m/>
    <m/>
    <m/>
    <m/>
    <m/>
    <m/>
    <m/>
    <m/>
    <m/>
    <m/>
    <m/>
    <m/>
    <m/>
    <m/>
    <m/>
    <n v="0"/>
    <n v="0"/>
    <n v="0"/>
    <n v="0"/>
    <n v="0"/>
    <n v="0"/>
    <n v="0"/>
    <n v="0"/>
    <n v="0"/>
    <n v="0"/>
    <n v="0"/>
    <n v="0"/>
    <n v="0"/>
    <n v="0"/>
    <x v="0"/>
    <n v="0"/>
    <s v=""/>
    <x v="1"/>
    <x v="2"/>
    <x v="0"/>
    <s v=""/>
    <m/>
    <m/>
  </r>
  <r>
    <s v=""/>
    <m/>
    <x v="12"/>
    <m/>
    <m/>
    <m/>
    <m/>
    <m/>
    <m/>
    <m/>
    <m/>
    <m/>
    <m/>
    <m/>
    <m/>
    <m/>
    <m/>
    <m/>
    <m/>
    <m/>
    <m/>
    <m/>
    <m/>
    <m/>
    <n v="0"/>
    <n v="0"/>
    <n v="0"/>
    <n v="0"/>
    <n v="0"/>
    <n v="0"/>
    <n v="0"/>
    <n v="0"/>
    <n v="0"/>
    <n v="0"/>
    <n v="0"/>
    <n v="0"/>
    <n v="0"/>
    <n v="0"/>
    <x v="0"/>
    <n v="0"/>
    <s v=""/>
    <x v="1"/>
    <x v="2"/>
    <x v="0"/>
    <s v=""/>
    <m/>
    <m/>
  </r>
  <r>
    <s v=""/>
    <m/>
    <x v="12"/>
    <m/>
    <m/>
    <m/>
    <m/>
    <m/>
    <m/>
    <m/>
    <m/>
    <m/>
    <m/>
    <m/>
    <m/>
    <m/>
    <m/>
    <m/>
    <m/>
    <m/>
    <m/>
    <m/>
    <m/>
    <m/>
    <n v="0"/>
    <n v="0"/>
    <n v="0"/>
    <n v="0"/>
    <n v="0"/>
    <n v="0"/>
    <n v="0"/>
    <n v="0"/>
    <n v="0"/>
    <n v="0"/>
    <n v="0"/>
    <n v="0"/>
    <n v="0"/>
    <n v="0"/>
    <x v="0"/>
    <n v="0"/>
    <s v=""/>
    <x v="1"/>
    <x v="2"/>
    <x v="0"/>
    <s v=""/>
    <m/>
    <m/>
  </r>
  <r>
    <s v=""/>
    <m/>
    <x v="12"/>
    <m/>
    <m/>
    <m/>
    <m/>
    <m/>
    <m/>
    <m/>
    <m/>
    <m/>
    <m/>
    <m/>
    <m/>
    <m/>
    <m/>
    <m/>
    <m/>
    <m/>
    <m/>
    <m/>
    <m/>
    <m/>
    <n v="0"/>
    <n v="0"/>
    <n v="0"/>
    <n v="0"/>
    <n v="0"/>
    <n v="0"/>
    <n v="0"/>
    <n v="0"/>
    <n v="0"/>
    <n v="0"/>
    <n v="0"/>
    <n v="0"/>
    <n v="0"/>
    <n v="0"/>
    <x v="0"/>
    <n v="0"/>
    <s v=""/>
    <x v="1"/>
    <x v="2"/>
    <x v="0"/>
    <s v=""/>
    <m/>
    <m/>
  </r>
  <r>
    <s v=""/>
    <m/>
    <x v="12"/>
    <m/>
    <m/>
    <m/>
    <m/>
    <m/>
    <m/>
    <m/>
    <m/>
    <m/>
    <m/>
    <m/>
    <m/>
    <m/>
    <m/>
    <m/>
    <m/>
    <m/>
    <m/>
    <m/>
    <m/>
    <m/>
    <n v="0"/>
    <n v="0"/>
    <n v="0"/>
    <n v="0"/>
    <n v="0"/>
    <n v="0"/>
    <n v="0"/>
    <n v="0"/>
    <n v="0"/>
    <n v="0"/>
    <n v="0"/>
    <n v="0"/>
    <n v="0"/>
    <n v="0"/>
    <x v="0"/>
    <n v="0"/>
    <s v=""/>
    <x v="1"/>
    <x v="2"/>
    <x v="0"/>
    <s v=""/>
    <m/>
    <m/>
  </r>
  <r>
    <s v=""/>
    <m/>
    <x v="12"/>
    <m/>
    <m/>
    <m/>
    <m/>
    <m/>
    <m/>
    <m/>
    <m/>
    <m/>
    <m/>
    <m/>
    <m/>
    <m/>
    <m/>
    <m/>
    <m/>
    <m/>
    <m/>
    <m/>
    <m/>
    <m/>
    <n v="0"/>
    <n v="0"/>
    <n v="0"/>
    <n v="0"/>
    <n v="0"/>
    <n v="0"/>
    <n v="0"/>
    <n v="0"/>
    <n v="0"/>
    <n v="0"/>
    <n v="0"/>
    <n v="0"/>
    <n v="0"/>
    <n v="0"/>
    <x v="0"/>
    <n v="0"/>
    <s v=""/>
    <x v="1"/>
    <x v="2"/>
    <x v="0"/>
    <s v=""/>
    <m/>
    <m/>
  </r>
  <r>
    <s v=""/>
    <m/>
    <x v="12"/>
    <m/>
    <m/>
    <m/>
    <m/>
    <m/>
    <m/>
    <m/>
    <m/>
    <m/>
    <m/>
    <m/>
    <m/>
    <m/>
    <m/>
    <m/>
    <m/>
    <m/>
    <m/>
    <m/>
    <m/>
    <m/>
    <n v="0"/>
    <n v="0"/>
    <n v="0"/>
    <n v="0"/>
    <n v="0"/>
    <n v="0"/>
    <n v="0"/>
    <n v="0"/>
    <n v="0"/>
    <n v="0"/>
    <n v="0"/>
    <n v="0"/>
    <n v="0"/>
    <n v="0"/>
    <x v="0"/>
    <n v="0"/>
    <s v=""/>
    <x v="1"/>
    <x v="2"/>
    <x v="0"/>
    <s v=""/>
    <m/>
    <m/>
  </r>
  <r>
    <s v=""/>
    <m/>
    <x v="12"/>
    <m/>
    <m/>
    <m/>
    <m/>
    <m/>
    <m/>
    <m/>
    <m/>
    <m/>
    <m/>
    <m/>
    <m/>
    <m/>
    <m/>
    <m/>
    <m/>
    <m/>
    <m/>
    <m/>
    <m/>
    <m/>
    <n v="0"/>
    <n v="0"/>
    <n v="0"/>
    <n v="0"/>
    <n v="0"/>
    <n v="0"/>
    <n v="0"/>
    <n v="0"/>
    <n v="0"/>
    <n v="0"/>
    <n v="0"/>
    <n v="0"/>
    <n v="0"/>
    <n v="0"/>
    <x v="0"/>
    <n v="0"/>
    <s v=""/>
    <x v="1"/>
    <x v="2"/>
    <x v="0"/>
    <s v=""/>
    <m/>
    <m/>
  </r>
  <r>
    <s v=""/>
    <m/>
    <x v="12"/>
    <m/>
    <m/>
    <m/>
    <m/>
    <m/>
    <m/>
    <m/>
    <m/>
    <m/>
    <m/>
    <m/>
    <m/>
    <m/>
    <m/>
    <m/>
    <m/>
    <m/>
    <m/>
    <m/>
    <m/>
    <m/>
    <n v="0"/>
    <n v="0"/>
    <n v="0"/>
    <n v="0"/>
    <n v="0"/>
    <n v="0"/>
    <n v="0"/>
    <n v="0"/>
    <n v="0"/>
    <n v="0"/>
    <n v="0"/>
    <n v="0"/>
    <n v="0"/>
    <n v="0"/>
    <x v="0"/>
    <n v="0"/>
    <s v=""/>
    <x v="1"/>
    <x v="2"/>
    <x v="0"/>
    <s v=""/>
    <m/>
    <m/>
  </r>
  <r>
    <s v=""/>
    <m/>
    <x v="12"/>
    <m/>
    <m/>
    <m/>
    <m/>
    <m/>
    <m/>
    <m/>
    <m/>
    <m/>
    <m/>
    <m/>
    <m/>
    <m/>
    <m/>
    <m/>
    <m/>
    <m/>
    <m/>
    <m/>
    <m/>
    <m/>
    <n v="0"/>
    <n v="0"/>
    <n v="0"/>
    <n v="0"/>
    <n v="0"/>
    <n v="0"/>
    <n v="0"/>
    <n v="0"/>
    <n v="0"/>
    <n v="0"/>
    <n v="0"/>
    <n v="0"/>
    <n v="0"/>
    <n v="0"/>
    <x v="0"/>
    <n v="0"/>
    <s v=""/>
    <x v="1"/>
    <x v="2"/>
    <x v="0"/>
    <s v=""/>
    <m/>
    <m/>
  </r>
  <r>
    <s v=""/>
    <m/>
    <x v="12"/>
    <m/>
    <m/>
    <m/>
    <m/>
    <m/>
    <m/>
    <m/>
    <m/>
    <m/>
    <m/>
    <m/>
    <m/>
    <m/>
    <m/>
    <m/>
    <m/>
    <m/>
    <m/>
    <m/>
    <m/>
    <m/>
    <n v="0"/>
    <n v="0"/>
    <n v="0"/>
    <n v="0"/>
    <n v="0"/>
    <n v="0"/>
    <n v="0"/>
    <n v="0"/>
    <n v="0"/>
    <n v="0"/>
    <n v="0"/>
    <n v="0"/>
    <n v="0"/>
    <n v="0"/>
    <x v="0"/>
    <n v="0"/>
    <s v=""/>
    <x v="1"/>
    <x v="2"/>
    <x v="0"/>
    <s v=""/>
    <m/>
    <m/>
  </r>
  <r>
    <s v=""/>
    <m/>
    <x v="12"/>
    <m/>
    <m/>
    <m/>
    <m/>
    <m/>
    <m/>
    <m/>
    <m/>
    <m/>
    <m/>
    <m/>
    <m/>
    <m/>
    <m/>
    <m/>
    <m/>
    <m/>
    <m/>
    <m/>
    <m/>
    <m/>
    <n v="0"/>
    <n v="0"/>
    <n v="0"/>
    <n v="0"/>
    <n v="0"/>
    <n v="0"/>
    <n v="0"/>
    <n v="0"/>
    <n v="0"/>
    <n v="0"/>
    <n v="0"/>
    <n v="0"/>
    <n v="0"/>
    <n v="0"/>
    <x v="0"/>
    <n v="0"/>
    <s v=""/>
    <x v="1"/>
    <x v="2"/>
    <x v="0"/>
    <s v=""/>
    <m/>
    <m/>
  </r>
  <r>
    <s v=""/>
    <m/>
    <x v="12"/>
    <m/>
    <m/>
    <m/>
    <m/>
    <m/>
    <m/>
    <m/>
    <m/>
    <m/>
    <m/>
    <m/>
    <m/>
    <m/>
    <m/>
    <m/>
    <m/>
    <m/>
    <m/>
    <m/>
    <m/>
    <m/>
    <n v="0"/>
    <n v="0"/>
    <n v="0"/>
    <n v="0"/>
    <n v="0"/>
    <n v="0"/>
    <n v="0"/>
    <n v="0"/>
    <n v="0"/>
    <n v="0"/>
    <n v="0"/>
    <n v="0"/>
    <n v="0"/>
    <n v="0"/>
    <x v="0"/>
    <n v="0"/>
    <s v=""/>
    <x v="1"/>
    <x v="2"/>
    <x v="0"/>
    <s v=""/>
    <m/>
    <m/>
  </r>
  <r>
    <s v=""/>
    <m/>
    <x v="12"/>
    <m/>
    <m/>
    <m/>
    <m/>
    <m/>
    <m/>
    <m/>
    <m/>
    <m/>
    <m/>
    <m/>
    <m/>
    <m/>
    <m/>
    <m/>
    <m/>
    <m/>
    <m/>
    <m/>
    <m/>
    <m/>
    <n v="0"/>
    <n v="0"/>
    <n v="0"/>
    <n v="0"/>
    <n v="0"/>
    <n v="0"/>
    <n v="0"/>
    <n v="0"/>
    <n v="0"/>
    <n v="0"/>
    <n v="0"/>
    <n v="0"/>
    <n v="0"/>
    <n v="0"/>
    <x v="0"/>
    <n v="0"/>
    <s v=""/>
    <x v="1"/>
    <x v="2"/>
    <x v="0"/>
    <s v=""/>
    <m/>
    <m/>
  </r>
  <r>
    <s v=""/>
    <m/>
    <x v="12"/>
    <m/>
    <m/>
    <m/>
    <m/>
    <m/>
    <m/>
    <m/>
    <m/>
    <m/>
    <m/>
    <m/>
    <m/>
    <m/>
    <m/>
    <m/>
    <m/>
    <m/>
    <m/>
    <m/>
    <m/>
    <m/>
    <n v="0"/>
    <n v="0"/>
    <n v="0"/>
    <n v="0"/>
    <n v="0"/>
    <n v="0"/>
    <n v="0"/>
    <n v="0"/>
    <n v="0"/>
    <n v="0"/>
    <n v="0"/>
    <n v="0"/>
    <n v="0"/>
    <n v="0"/>
    <x v="0"/>
    <n v="0"/>
    <s v=""/>
    <x v="1"/>
    <x v="2"/>
    <x v="0"/>
    <s v=""/>
    <m/>
    <m/>
  </r>
  <r>
    <s v=""/>
    <m/>
    <x v="12"/>
    <m/>
    <m/>
    <m/>
    <m/>
    <m/>
    <m/>
    <m/>
    <m/>
    <m/>
    <m/>
    <m/>
    <m/>
    <m/>
    <m/>
    <m/>
    <m/>
    <m/>
    <m/>
    <m/>
    <m/>
    <m/>
    <n v="0"/>
    <n v="0"/>
    <n v="0"/>
    <n v="0"/>
    <n v="0"/>
    <n v="0"/>
    <n v="0"/>
    <n v="0"/>
    <n v="0"/>
    <n v="0"/>
    <n v="0"/>
    <n v="0"/>
    <n v="0"/>
    <n v="0"/>
    <x v="0"/>
    <n v="0"/>
    <s v=""/>
    <x v="1"/>
    <x v="2"/>
    <x v="0"/>
    <s v=""/>
    <m/>
    <m/>
  </r>
  <r>
    <s v=""/>
    <m/>
    <x v="12"/>
    <m/>
    <m/>
    <m/>
    <m/>
    <m/>
    <m/>
    <m/>
    <m/>
    <m/>
    <m/>
    <m/>
    <m/>
    <m/>
    <m/>
    <m/>
    <m/>
    <m/>
    <m/>
    <m/>
    <m/>
    <m/>
    <n v="0"/>
    <n v="0"/>
    <n v="0"/>
    <n v="0"/>
    <n v="0"/>
    <n v="0"/>
    <n v="0"/>
    <n v="0"/>
    <n v="0"/>
    <n v="0"/>
    <n v="0"/>
    <n v="0"/>
    <n v="0"/>
    <n v="0"/>
    <x v="0"/>
    <n v="0"/>
    <s v=""/>
    <x v="1"/>
    <x v="2"/>
    <x v="0"/>
    <s v=""/>
    <m/>
    <m/>
  </r>
  <r>
    <s v=""/>
    <m/>
    <x v="12"/>
    <m/>
    <m/>
    <m/>
    <m/>
    <m/>
    <m/>
    <m/>
    <m/>
    <m/>
    <m/>
    <m/>
    <m/>
    <m/>
    <m/>
    <m/>
    <m/>
    <m/>
    <m/>
    <m/>
    <m/>
    <m/>
    <n v="0"/>
    <n v="0"/>
    <n v="0"/>
    <n v="0"/>
    <n v="0"/>
    <n v="0"/>
    <n v="0"/>
    <n v="0"/>
    <n v="0"/>
    <n v="0"/>
    <n v="0"/>
    <n v="0"/>
    <n v="0"/>
    <n v="0"/>
    <x v="0"/>
    <n v="0"/>
    <s v=""/>
    <x v="1"/>
    <x v="2"/>
    <x v="0"/>
    <s v=""/>
    <m/>
    <m/>
  </r>
  <r>
    <s v=""/>
    <m/>
    <x v="12"/>
    <m/>
    <m/>
    <m/>
    <m/>
    <m/>
    <m/>
    <m/>
    <m/>
    <m/>
    <m/>
    <m/>
    <m/>
    <m/>
    <m/>
    <m/>
    <m/>
    <m/>
    <m/>
    <m/>
    <m/>
    <m/>
    <n v="0"/>
    <n v="0"/>
    <n v="0"/>
    <n v="0"/>
    <n v="0"/>
    <n v="0"/>
    <n v="0"/>
    <n v="0"/>
    <n v="0"/>
    <n v="0"/>
    <n v="0"/>
    <n v="0"/>
    <n v="0"/>
    <n v="0"/>
    <x v="0"/>
    <n v="0"/>
    <s v=""/>
    <x v="1"/>
    <x v="2"/>
    <x v="0"/>
    <s v=""/>
    <m/>
    <m/>
  </r>
  <r>
    <s v=""/>
    <m/>
    <x v="12"/>
    <m/>
    <m/>
    <m/>
    <m/>
    <m/>
    <m/>
    <m/>
    <m/>
    <m/>
    <m/>
    <m/>
    <m/>
    <m/>
    <m/>
    <m/>
    <m/>
    <m/>
    <m/>
    <m/>
    <m/>
    <m/>
    <n v="0"/>
    <n v="0"/>
    <n v="0"/>
    <n v="0"/>
    <n v="0"/>
    <n v="0"/>
    <n v="0"/>
    <n v="0"/>
    <n v="0"/>
    <n v="0"/>
    <n v="0"/>
    <n v="0"/>
    <n v="0"/>
    <n v="0"/>
    <x v="0"/>
    <n v="0"/>
    <s v=""/>
    <x v="1"/>
    <x v="2"/>
    <x v="0"/>
    <s v=""/>
    <m/>
    <m/>
  </r>
  <r>
    <s v=""/>
    <m/>
    <x v="12"/>
    <m/>
    <m/>
    <m/>
    <m/>
    <m/>
    <m/>
    <m/>
    <m/>
    <m/>
    <m/>
    <m/>
    <m/>
    <m/>
    <m/>
    <m/>
    <m/>
    <m/>
    <m/>
    <m/>
    <m/>
    <m/>
    <n v="0"/>
    <n v="0"/>
    <n v="0"/>
    <n v="0"/>
    <n v="0"/>
    <n v="0"/>
    <n v="0"/>
    <n v="0"/>
    <n v="0"/>
    <n v="0"/>
    <n v="0"/>
    <n v="0"/>
    <n v="0"/>
    <n v="0"/>
    <x v="0"/>
    <n v="0"/>
    <s v=""/>
    <x v="1"/>
    <x v="2"/>
    <x v="0"/>
    <s v=""/>
    <m/>
    <m/>
  </r>
  <r>
    <s v=""/>
    <m/>
    <x v="12"/>
    <m/>
    <m/>
    <m/>
    <m/>
    <m/>
    <m/>
    <m/>
    <m/>
    <m/>
    <m/>
    <m/>
    <m/>
    <m/>
    <m/>
    <m/>
    <m/>
    <m/>
    <m/>
    <m/>
    <m/>
    <m/>
    <n v="0"/>
    <n v="0"/>
    <n v="0"/>
    <n v="0"/>
    <n v="0"/>
    <n v="0"/>
    <n v="0"/>
    <n v="0"/>
    <n v="0"/>
    <n v="0"/>
    <n v="0"/>
    <n v="0"/>
    <n v="0"/>
    <n v="0"/>
    <x v="0"/>
    <n v="0"/>
    <s v=""/>
    <x v="1"/>
    <x v="2"/>
    <x v="0"/>
    <s v=""/>
    <m/>
    <m/>
  </r>
  <r>
    <s v=""/>
    <m/>
    <x v="12"/>
    <m/>
    <m/>
    <m/>
    <m/>
    <m/>
    <m/>
    <m/>
    <m/>
    <m/>
    <m/>
    <m/>
    <m/>
    <m/>
    <m/>
    <m/>
    <m/>
    <m/>
    <m/>
    <m/>
    <m/>
    <m/>
    <n v="0"/>
    <n v="0"/>
    <n v="0"/>
    <n v="0"/>
    <n v="0"/>
    <n v="0"/>
    <n v="0"/>
    <n v="0"/>
    <n v="0"/>
    <n v="0"/>
    <n v="0"/>
    <n v="0"/>
    <n v="0"/>
    <n v="0"/>
    <x v="0"/>
    <n v="0"/>
    <s v=""/>
    <x v="1"/>
    <x v="2"/>
    <x v="0"/>
    <s v=""/>
    <m/>
    <m/>
  </r>
  <r>
    <s v=""/>
    <m/>
    <x v="12"/>
    <m/>
    <m/>
    <m/>
    <m/>
    <m/>
    <m/>
    <m/>
    <m/>
    <m/>
    <m/>
    <m/>
    <m/>
    <m/>
    <m/>
    <m/>
    <m/>
    <m/>
    <m/>
    <m/>
    <m/>
    <m/>
    <n v="0"/>
    <n v="0"/>
    <n v="0"/>
    <n v="0"/>
    <n v="0"/>
    <n v="0"/>
    <n v="0"/>
    <n v="0"/>
    <n v="0"/>
    <n v="0"/>
    <n v="0"/>
    <n v="0"/>
    <n v="0"/>
    <n v="0"/>
    <x v="0"/>
    <n v="0"/>
    <s v=""/>
    <x v="1"/>
    <x v="2"/>
    <x v="0"/>
    <s v=""/>
    <m/>
    <m/>
  </r>
  <r>
    <s v=""/>
    <m/>
    <x v="12"/>
    <m/>
    <m/>
    <m/>
    <m/>
    <m/>
    <m/>
    <m/>
    <m/>
    <m/>
    <m/>
    <m/>
    <m/>
    <m/>
    <m/>
    <m/>
    <m/>
    <m/>
    <m/>
    <m/>
    <m/>
    <m/>
    <n v="0"/>
    <n v="0"/>
    <n v="0"/>
    <n v="0"/>
    <n v="0"/>
    <n v="0"/>
    <n v="0"/>
    <n v="0"/>
    <n v="0"/>
    <n v="0"/>
    <n v="0"/>
    <n v="0"/>
    <n v="0"/>
    <n v="0"/>
    <x v="0"/>
    <n v="0"/>
    <s v=""/>
    <x v="1"/>
    <x v="2"/>
    <x v="0"/>
    <s v=""/>
    <m/>
    <m/>
  </r>
  <r>
    <s v=""/>
    <m/>
    <x v="12"/>
    <m/>
    <m/>
    <m/>
    <m/>
    <m/>
    <m/>
    <m/>
    <m/>
    <m/>
    <m/>
    <m/>
    <m/>
    <m/>
    <m/>
    <m/>
    <m/>
    <m/>
    <m/>
    <m/>
    <m/>
    <m/>
    <n v="0"/>
    <n v="0"/>
    <n v="0"/>
    <n v="0"/>
    <n v="0"/>
    <n v="0"/>
    <n v="0"/>
    <n v="0"/>
    <n v="0"/>
    <n v="0"/>
    <n v="0"/>
    <n v="0"/>
    <n v="0"/>
    <n v="0"/>
    <x v="0"/>
    <n v="0"/>
    <s v=""/>
    <x v="1"/>
    <x v="2"/>
    <x v="0"/>
    <s v=""/>
    <m/>
    <m/>
  </r>
  <r>
    <s v=""/>
    <m/>
    <x v="12"/>
    <m/>
    <m/>
    <m/>
    <m/>
    <m/>
    <m/>
    <m/>
    <m/>
    <m/>
    <m/>
    <m/>
    <m/>
    <m/>
    <m/>
    <m/>
    <m/>
    <m/>
    <m/>
    <m/>
    <m/>
    <m/>
    <n v="0"/>
    <n v="0"/>
    <n v="0"/>
    <n v="0"/>
    <n v="0"/>
    <n v="0"/>
    <n v="0"/>
    <n v="0"/>
    <n v="0"/>
    <n v="0"/>
    <n v="0"/>
    <n v="0"/>
    <n v="0"/>
    <n v="0"/>
    <x v="0"/>
    <n v="0"/>
    <s v=""/>
    <x v="1"/>
    <x v="2"/>
    <x v="0"/>
    <s v=""/>
    <m/>
    <m/>
  </r>
  <r>
    <s v=""/>
    <m/>
    <x v="12"/>
    <m/>
    <m/>
    <m/>
    <m/>
    <m/>
    <m/>
    <m/>
    <m/>
    <m/>
    <m/>
    <m/>
    <m/>
    <m/>
    <m/>
    <m/>
    <m/>
    <m/>
    <m/>
    <m/>
    <m/>
    <m/>
    <n v="0"/>
    <n v="0"/>
    <n v="0"/>
    <n v="0"/>
    <n v="0"/>
    <n v="0"/>
    <n v="0"/>
    <n v="0"/>
    <n v="0"/>
    <n v="0"/>
    <n v="0"/>
    <n v="0"/>
    <n v="0"/>
    <n v="0"/>
    <x v="0"/>
    <n v="0"/>
    <s v=""/>
    <x v="1"/>
    <x v="2"/>
    <x v="0"/>
    <s v=""/>
    <m/>
    <m/>
  </r>
  <r>
    <s v=""/>
    <m/>
    <x v="12"/>
    <m/>
    <m/>
    <m/>
    <m/>
    <m/>
    <m/>
    <m/>
    <m/>
    <m/>
    <m/>
    <m/>
    <m/>
    <m/>
    <m/>
    <m/>
    <m/>
    <m/>
    <m/>
    <m/>
    <m/>
    <m/>
    <n v="0"/>
    <n v="0"/>
    <n v="0"/>
    <n v="0"/>
    <n v="0"/>
    <n v="0"/>
    <n v="0"/>
    <n v="0"/>
    <n v="0"/>
    <n v="0"/>
    <n v="0"/>
    <n v="0"/>
    <n v="0"/>
    <n v="0"/>
    <x v="0"/>
    <n v="0"/>
    <s v=""/>
    <x v="1"/>
    <x v="2"/>
    <x v="0"/>
    <s v=""/>
    <m/>
    <m/>
  </r>
  <r>
    <s v=""/>
    <m/>
    <x v="12"/>
    <m/>
    <m/>
    <m/>
    <m/>
    <m/>
    <m/>
    <m/>
    <m/>
    <m/>
    <m/>
    <m/>
    <m/>
    <m/>
    <m/>
    <m/>
    <m/>
    <m/>
    <m/>
    <m/>
    <m/>
    <m/>
    <n v="0"/>
    <n v="0"/>
    <n v="0"/>
    <n v="0"/>
    <n v="0"/>
    <n v="0"/>
    <n v="0"/>
    <n v="0"/>
    <n v="0"/>
    <n v="0"/>
    <n v="0"/>
    <n v="0"/>
    <n v="0"/>
    <n v="0"/>
    <x v="0"/>
    <n v="0"/>
    <s v=""/>
    <x v="1"/>
    <x v="2"/>
    <x v="0"/>
    <s v=""/>
    <m/>
    <m/>
  </r>
  <r>
    <s v=""/>
    <m/>
    <x v="12"/>
    <m/>
    <m/>
    <m/>
    <m/>
    <m/>
    <m/>
    <m/>
    <m/>
    <m/>
    <m/>
    <m/>
    <m/>
    <m/>
    <m/>
    <m/>
    <m/>
    <m/>
    <m/>
    <m/>
    <m/>
    <m/>
    <n v="0"/>
    <n v="0"/>
    <n v="0"/>
    <n v="0"/>
    <n v="0"/>
    <n v="0"/>
    <n v="0"/>
    <n v="0"/>
    <n v="0"/>
    <n v="0"/>
    <n v="0"/>
    <n v="0"/>
    <n v="0"/>
    <n v="0"/>
    <x v="0"/>
    <n v="0"/>
    <s v=""/>
    <x v="1"/>
    <x v="2"/>
    <x v="0"/>
    <s v=""/>
    <m/>
    <m/>
  </r>
  <r>
    <s v=""/>
    <m/>
    <x v="12"/>
    <m/>
    <m/>
    <m/>
    <m/>
    <m/>
    <m/>
    <m/>
    <m/>
    <m/>
    <m/>
    <m/>
    <m/>
    <m/>
    <m/>
    <m/>
    <m/>
    <m/>
    <m/>
    <m/>
    <m/>
    <m/>
    <n v="0"/>
    <n v="0"/>
    <n v="0"/>
    <n v="0"/>
    <n v="0"/>
    <n v="0"/>
    <n v="0"/>
    <n v="0"/>
    <n v="0"/>
    <n v="0"/>
    <n v="0"/>
    <n v="0"/>
    <n v="0"/>
    <n v="0"/>
    <x v="0"/>
    <n v="0"/>
    <s v=""/>
    <x v="1"/>
    <x v="2"/>
    <x v="0"/>
    <s v=""/>
    <m/>
    <m/>
  </r>
  <r>
    <s v=""/>
    <m/>
    <x v="12"/>
    <m/>
    <m/>
    <m/>
    <m/>
    <m/>
    <m/>
    <m/>
    <m/>
    <m/>
    <m/>
    <m/>
    <m/>
    <m/>
    <m/>
    <m/>
    <m/>
    <m/>
    <m/>
    <m/>
    <m/>
    <m/>
    <n v="0"/>
    <n v="0"/>
    <n v="0"/>
    <n v="0"/>
    <n v="0"/>
    <n v="0"/>
    <n v="0"/>
    <n v="0"/>
    <n v="0"/>
    <n v="0"/>
    <n v="0"/>
    <n v="0"/>
    <n v="0"/>
    <n v="0"/>
    <x v="0"/>
    <n v="0"/>
    <s v=""/>
    <x v="1"/>
    <x v="2"/>
    <x v="0"/>
    <s v=""/>
    <m/>
    <m/>
  </r>
  <r>
    <s v=""/>
    <m/>
    <x v="12"/>
    <m/>
    <m/>
    <m/>
    <m/>
    <m/>
    <m/>
    <m/>
    <m/>
    <m/>
    <m/>
    <m/>
    <m/>
    <m/>
    <m/>
    <m/>
    <m/>
    <m/>
    <m/>
    <m/>
    <m/>
    <m/>
    <n v="0"/>
    <n v="0"/>
    <n v="0"/>
    <n v="0"/>
    <n v="0"/>
    <n v="0"/>
    <n v="0"/>
    <n v="0"/>
    <n v="0"/>
    <n v="0"/>
    <n v="0"/>
    <n v="0"/>
    <n v="0"/>
    <n v="0"/>
    <x v="0"/>
    <n v="0"/>
    <s v=""/>
    <x v="1"/>
    <x v="2"/>
    <x v="0"/>
    <s v=""/>
    <m/>
    <m/>
  </r>
  <r>
    <s v=""/>
    <m/>
    <x v="12"/>
    <m/>
    <m/>
    <m/>
    <m/>
    <m/>
    <m/>
    <m/>
    <m/>
    <m/>
    <m/>
    <m/>
    <m/>
    <m/>
    <m/>
    <m/>
    <m/>
    <m/>
    <m/>
    <m/>
    <m/>
    <m/>
    <n v="0"/>
    <n v="0"/>
    <n v="0"/>
    <n v="0"/>
    <n v="0"/>
    <n v="0"/>
    <n v="0"/>
    <n v="0"/>
    <n v="0"/>
    <n v="0"/>
    <n v="0"/>
    <n v="0"/>
    <n v="0"/>
    <n v="0"/>
    <x v="0"/>
    <n v="0"/>
    <s v=""/>
    <x v="1"/>
    <x v="2"/>
    <x v="0"/>
    <s v=""/>
    <m/>
    <m/>
  </r>
  <r>
    <s v=""/>
    <m/>
    <x v="12"/>
    <m/>
    <m/>
    <m/>
    <m/>
    <m/>
    <m/>
    <m/>
    <m/>
    <m/>
    <m/>
    <m/>
    <m/>
    <m/>
    <m/>
    <m/>
    <m/>
    <m/>
    <m/>
    <m/>
    <m/>
    <m/>
    <n v="0"/>
    <n v="0"/>
    <n v="0"/>
    <n v="0"/>
    <n v="0"/>
    <n v="0"/>
    <n v="0"/>
    <n v="0"/>
    <n v="0"/>
    <n v="0"/>
    <n v="0"/>
    <n v="0"/>
    <n v="0"/>
    <n v="0"/>
    <x v="0"/>
    <n v="0"/>
    <s v=""/>
    <x v="1"/>
    <x v="2"/>
    <x v="0"/>
    <s v=""/>
    <m/>
    <m/>
  </r>
  <r>
    <s v=""/>
    <m/>
    <x v="12"/>
    <m/>
    <m/>
    <m/>
    <m/>
    <m/>
    <m/>
    <m/>
    <m/>
    <m/>
    <m/>
    <m/>
    <m/>
    <m/>
    <m/>
    <m/>
    <m/>
    <m/>
    <m/>
    <m/>
    <m/>
    <m/>
    <n v="0"/>
    <n v="0"/>
    <n v="0"/>
    <n v="0"/>
    <n v="0"/>
    <n v="0"/>
    <n v="0"/>
    <n v="0"/>
    <n v="0"/>
    <n v="0"/>
    <n v="0"/>
    <n v="0"/>
    <n v="0"/>
    <n v="0"/>
    <x v="0"/>
    <n v="0"/>
    <s v=""/>
    <x v="1"/>
    <x v="2"/>
    <x v="0"/>
    <s v=""/>
    <m/>
    <m/>
  </r>
  <r>
    <s v=""/>
    <m/>
    <x v="12"/>
    <m/>
    <m/>
    <m/>
    <m/>
    <m/>
    <m/>
    <m/>
    <m/>
    <m/>
    <m/>
    <m/>
    <m/>
    <m/>
    <m/>
    <m/>
    <m/>
    <m/>
    <m/>
    <m/>
    <m/>
    <m/>
    <n v="0"/>
    <n v="0"/>
    <n v="0"/>
    <n v="0"/>
    <n v="0"/>
    <n v="0"/>
    <n v="0"/>
    <n v="0"/>
    <n v="0"/>
    <n v="0"/>
    <n v="0"/>
    <n v="0"/>
    <n v="0"/>
    <n v="0"/>
    <x v="0"/>
    <n v="0"/>
    <s v=""/>
    <x v="1"/>
    <x v="2"/>
    <x v="0"/>
    <s v=""/>
    <m/>
    <m/>
  </r>
  <r>
    <s v=""/>
    <m/>
    <x v="12"/>
    <m/>
    <m/>
    <m/>
    <m/>
    <m/>
    <m/>
    <m/>
    <m/>
    <m/>
    <m/>
    <m/>
    <m/>
    <m/>
    <m/>
    <m/>
    <m/>
    <m/>
    <m/>
    <m/>
    <m/>
    <m/>
    <n v="0"/>
    <n v="0"/>
    <n v="0"/>
    <n v="0"/>
    <n v="0"/>
    <n v="0"/>
    <n v="0"/>
    <n v="0"/>
    <n v="0"/>
    <n v="0"/>
    <n v="0"/>
    <n v="0"/>
    <n v="0"/>
    <n v="0"/>
    <x v="0"/>
    <n v="0"/>
    <s v=""/>
    <x v="1"/>
    <x v="2"/>
    <x v="0"/>
    <s v=""/>
    <m/>
    <m/>
  </r>
  <r>
    <s v=""/>
    <m/>
    <x v="12"/>
    <m/>
    <m/>
    <m/>
    <m/>
    <m/>
    <m/>
    <m/>
    <m/>
    <m/>
    <m/>
    <m/>
    <m/>
    <m/>
    <m/>
    <m/>
    <m/>
    <m/>
    <m/>
    <m/>
    <m/>
    <m/>
    <n v="0"/>
    <n v="0"/>
    <n v="0"/>
    <n v="0"/>
    <n v="0"/>
    <n v="0"/>
    <n v="0"/>
    <n v="0"/>
    <n v="0"/>
    <n v="0"/>
    <n v="0"/>
    <n v="0"/>
    <n v="0"/>
    <n v="0"/>
    <x v="0"/>
    <n v="0"/>
    <s v=""/>
    <x v="1"/>
    <x v="2"/>
    <x v="0"/>
    <s v=""/>
    <m/>
    <m/>
  </r>
  <r>
    <s v=""/>
    <m/>
    <x v="12"/>
    <m/>
    <m/>
    <m/>
    <m/>
    <m/>
    <m/>
    <m/>
    <m/>
    <m/>
    <m/>
    <m/>
    <m/>
    <m/>
    <m/>
    <m/>
    <m/>
    <m/>
    <m/>
    <m/>
    <m/>
    <m/>
    <n v="0"/>
    <n v="0"/>
    <n v="0"/>
    <n v="0"/>
    <n v="0"/>
    <n v="0"/>
    <n v="0"/>
    <n v="0"/>
    <n v="0"/>
    <n v="0"/>
    <n v="0"/>
    <n v="0"/>
    <n v="0"/>
    <n v="0"/>
    <x v="0"/>
    <n v="0"/>
    <s v=""/>
    <x v="1"/>
    <x v="2"/>
    <x v="0"/>
    <s v=""/>
    <m/>
    <m/>
  </r>
  <r>
    <s v=""/>
    <m/>
    <x v="12"/>
    <m/>
    <m/>
    <m/>
    <m/>
    <m/>
    <m/>
    <m/>
    <m/>
    <m/>
    <m/>
    <m/>
    <m/>
    <m/>
    <m/>
    <m/>
    <m/>
    <m/>
    <m/>
    <m/>
    <m/>
    <m/>
    <n v="0"/>
    <n v="0"/>
    <n v="0"/>
    <n v="0"/>
    <n v="0"/>
    <n v="0"/>
    <n v="0"/>
    <n v="0"/>
    <n v="0"/>
    <n v="0"/>
    <n v="0"/>
    <n v="0"/>
    <n v="0"/>
    <n v="0"/>
    <x v="0"/>
    <n v="0"/>
    <s v=""/>
    <x v="1"/>
    <x v="2"/>
    <x v="0"/>
    <s v=""/>
    <m/>
    <m/>
  </r>
  <r>
    <s v=""/>
    <m/>
    <x v="12"/>
    <m/>
    <m/>
    <m/>
    <m/>
    <m/>
    <m/>
    <m/>
    <m/>
    <m/>
    <m/>
    <m/>
    <m/>
    <m/>
    <m/>
    <m/>
    <m/>
    <m/>
    <m/>
    <m/>
    <m/>
    <m/>
    <n v="0"/>
    <n v="0"/>
    <n v="0"/>
    <n v="0"/>
    <n v="0"/>
    <n v="0"/>
    <n v="0"/>
    <n v="0"/>
    <n v="0"/>
    <n v="0"/>
    <n v="0"/>
    <n v="0"/>
    <n v="0"/>
    <n v="0"/>
    <x v="0"/>
    <n v="0"/>
    <s v=""/>
    <x v="1"/>
    <x v="2"/>
    <x v="0"/>
    <s v=""/>
    <m/>
    <m/>
  </r>
  <r>
    <s v=""/>
    <m/>
    <x v="12"/>
    <m/>
    <m/>
    <m/>
    <m/>
    <m/>
    <m/>
    <m/>
    <m/>
    <m/>
    <m/>
    <m/>
    <m/>
    <m/>
    <m/>
    <m/>
    <m/>
    <m/>
    <m/>
    <m/>
    <m/>
    <m/>
    <n v="0"/>
    <n v="0"/>
    <n v="0"/>
    <n v="0"/>
    <n v="0"/>
    <n v="0"/>
    <n v="0"/>
    <n v="0"/>
    <n v="0"/>
    <n v="0"/>
    <n v="0"/>
    <n v="0"/>
    <n v="0"/>
    <n v="0"/>
    <x v="0"/>
    <n v="0"/>
    <s v=""/>
    <x v="1"/>
    <x v="2"/>
    <x v="0"/>
    <s v=""/>
    <m/>
    <m/>
  </r>
  <r>
    <s v=""/>
    <m/>
    <x v="12"/>
    <m/>
    <m/>
    <m/>
    <m/>
    <m/>
    <m/>
    <m/>
    <m/>
    <m/>
    <m/>
    <m/>
    <m/>
    <m/>
    <m/>
    <m/>
    <m/>
    <m/>
    <m/>
    <m/>
    <m/>
    <m/>
    <n v="0"/>
    <n v="0"/>
    <n v="0"/>
    <n v="0"/>
    <n v="0"/>
    <n v="0"/>
    <n v="0"/>
    <n v="0"/>
    <n v="0"/>
    <n v="0"/>
    <n v="0"/>
    <n v="0"/>
    <n v="0"/>
    <n v="0"/>
    <x v="0"/>
    <n v="0"/>
    <s v=""/>
    <x v="1"/>
    <x v="2"/>
    <x v="0"/>
    <s v=""/>
    <m/>
    <m/>
  </r>
  <r>
    <s v=""/>
    <m/>
    <x v="12"/>
    <m/>
    <m/>
    <m/>
    <m/>
    <m/>
    <m/>
    <m/>
    <m/>
    <m/>
    <m/>
    <m/>
    <m/>
    <m/>
    <m/>
    <m/>
    <m/>
    <m/>
    <m/>
    <m/>
    <m/>
    <m/>
    <n v="0"/>
    <n v="0"/>
    <n v="0"/>
    <n v="0"/>
    <n v="0"/>
    <n v="0"/>
    <n v="0"/>
    <n v="0"/>
    <n v="0"/>
    <n v="0"/>
    <n v="0"/>
    <n v="0"/>
    <n v="0"/>
    <n v="0"/>
    <x v="0"/>
    <n v="0"/>
    <s v=""/>
    <x v="1"/>
    <x v="2"/>
    <x v="0"/>
    <s v=""/>
    <m/>
    <m/>
  </r>
  <r>
    <s v=""/>
    <m/>
    <x v="12"/>
    <m/>
    <m/>
    <m/>
    <m/>
    <m/>
    <m/>
    <m/>
    <m/>
    <m/>
    <m/>
    <m/>
    <m/>
    <m/>
    <m/>
    <m/>
    <m/>
    <m/>
    <m/>
    <m/>
    <m/>
    <m/>
    <n v="0"/>
    <n v="0"/>
    <n v="0"/>
    <n v="0"/>
    <n v="0"/>
    <n v="0"/>
    <n v="0"/>
    <n v="0"/>
    <n v="0"/>
    <n v="0"/>
    <n v="0"/>
    <n v="0"/>
    <n v="0"/>
    <n v="0"/>
    <x v="0"/>
    <n v="0"/>
    <s v=""/>
    <x v="1"/>
    <x v="2"/>
    <x v="0"/>
    <s v=""/>
    <m/>
    <m/>
  </r>
  <r>
    <s v=""/>
    <m/>
    <x v="12"/>
    <m/>
    <m/>
    <m/>
    <m/>
    <m/>
    <m/>
    <m/>
    <m/>
    <m/>
    <m/>
    <m/>
    <m/>
    <m/>
    <m/>
    <m/>
    <m/>
    <m/>
    <m/>
    <m/>
    <m/>
    <m/>
    <n v="0"/>
    <n v="0"/>
    <n v="0"/>
    <n v="0"/>
    <n v="0"/>
    <n v="0"/>
    <n v="0"/>
    <n v="0"/>
    <n v="0"/>
    <n v="0"/>
    <n v="0"/>
    <n v="0"/>
    <n v="0"/>
    <n v="0"/>
    <x v="0"/>
    <n v="0"/>
    <s v=""/>
    <x v="1"/>
    <x v="2"/>
    <x v="0"/>
    <s v=""/>
    <m/>
    <m/>
  </r>
  <r>
    <s v=""/>
    <m/>
    <x v="12"/>
    <m/>
    <m/>
    <m/>
    <m/>
    <m/>
    <m/>
    <m/>
    <m/>
    <m/>
    <m/>
    <m/>
    <m/>
    <m/>
    <m/>
    <m/>
    <m/>
    <m/>
    <m/>
    <m/>
    <m/>
    <m/>
    <n v="0"/>
    <n v="0"/>
    <n v="0"/>
    <n v="0"/>
    <n v="0"/>
    <n v="0"/>
    <n v="0"/>
    <n v="0"/>
    <n v="0"/>
    <n v="0"/>
    <n v="0"/>
    <n v="0"/>
    <n v="0"/>
    <n v="0"/>
    <x v="0"/>
    <n v="0"/>
    <s v=""/>
    <x v="1"/>
    <x v="2"/>
    <x v="0"/>
    <s v=""/>
    <m/>
    <m/>
  </r>
  <r>
    <s v=""/>
    <m/>
    <x v="12"/>
    <m/>
    <m/>
    <m/>
    <m/>
    <m/>
    <m/>
    <m/>
    <m/>
    <m/>
    <m/>
    <m/>
    <m/>
    <m/>
    <m/>
    <m/>
    <m/>
    <m/>
    <m/>
    <m/>
    <m/>
    <m/>
    <n v="0"/>
    <n v="0"/>
    <n v="0"/>
    <n v="0"/>
    <n v="0"/>
    <n v="0"/>
    <n v="0"/>
    <n v="0"/>
    <n v="0"/>
    <n v="0"/>
    <n v="0"/>
    <n v="0"/>
    <n v="0"/>
    <n v="0"/>
    <x v="0"/>
    <n v="0"/>
    <s v=""/>
    <x v="1"/>
    <x v="2"/>
    <x v="0"/>
    <s v=""/>
    <m/>
    <m/>
  </r>
  <r>
    <s v=""/>
    <m/>
    <x v="12"/>
    <m/>
    <m/>
    <m/>
    <m/>
    <m/>
    <m/>
    <m/>
    <m/>
    <m/>
    <m/>
    <m/>
    <m/>
    <m/>
    <m/>
    <m/>
    <m/>
    <m/>
    <m/>
    <m/>
    <m/>
    <m/>
    <n v="0"/>
    <n v="0"/>
    <n v="0"/>
    <n v="0"/>
    <n v="0"/>
    <n v="0"/>
    <n v="0"/>
    <n v="0"/>
    <n v="0"/>
    <n v="0"/>
    <n v="0"/>
    <n v="0"/>
    <n v="0"/>
    <n v="0"/>
    <x v="0"/>
    <n v="0"/>
    <s v=""/>
    <x v="1"/>
    <x v="2"/>
    <x v="0"/>
    <s v=""/>
    <m/>
    <m/>
  </r>
  <r>
    <s v=""/>
    <m/>
    <x v="12"/>
    <m/>
    <m/>
    <m/>
    <m/>
    <m/>
    <m/>
    <m/>
    <m/>
    <m/>
    <m/>
    <m/>
    <m/>
    <m/>
    <m/>
    <m/>
    <m/>
    <m/>
    <m/>
    <m/>
    <m/>
    <m/>
    <n v="0"/>
    <n v="0"/>
    <n v="0"/>
    <n v="0"/>
    <n v="0"/>
    <n v="0"/>
    <n v="0"/>
    <n v="0"/>
    <n v="0"/>
    <n v="0"/>
    <n v="0"/>
    <n v="0"/>
    <n v="0"/>
    <n v="0"/>
    <x v="0"/>
    <n v="0"/>
    <s v=""/>
    <x v="1"/>
    <x v="2"/>
    <x v="0"/>
    <s v=""/>
    <m/>
    <m/>
  </r>
  <r>
    <s v=""/>
    <m/>
    <x v="12"/>
    <m/>
    <m/>
    <m/>
    <m/>
    <m/>
    <m/>
    <m/>
    <m/>
    <m/>
    <m/>
    <m/>
    <m/>
    <m/>
    <m/>
    <m/>
    <m/>
    <m/>
    <m/>
    <m/>
    <m/>
    <m/>
    <n v="0"/>
    <n v="0"/>
    <n v="0"/>
    <n v="0"/>
    <n v="0"/>
    <n v="0"/>
    <n v="0"/>
    <n v="0"/>
    <n v="0"/>
    <n v="0"/>
    <n v="0"/>
    <n v="0"/>
    <n v="0"/>
    <n v="0"/>
    <x v="0"/>
    <n v="0"/>
    <s v=""/>
    <x v="1"/>
    <x v="2"/>
    <x v="0"/>
    <s v=""/>
    <m/>
    <m/>
  </r>
  <r>
    <s v=""/>
    <m/>
    <x v="12"/>
    <m/>
    <m/>
    <m/>
    <m/>
    <m/>
    <m/>
    <m/>
    <m/>
    <m/>
    <m/>
    <m/>
    <m/>
    <m/>
    <m/>
    <m/>
    <m/>
    <m/>
    <m/>
    <m/>
    <m/>
    <m/>
    <n v="0"/>
    <n v="0"/>
    <n v="0"/>
    <n v="0"/>
    <n v="0"/>
    <n v="0"/>
    <n v="0"/>
    <n v="0"/>
    <n v="0"/>
    <n v="0"/>
    <n v="0"/>
    <n v="0"/>
    <n v="0"/>
    <n v="0"/>
    <x v="0"/>
    <n v="0"/>
    <s v=""/>
    <x v="1"/>
    <x v="2"/>
    <x v="0"/>
    <s v=""/>
    <m/>
    <m/>
  </r>
  <r>
    <s v=""/>
    <m/>
    <x v="12"/>
    <m/>
    <m/>
    <m/>
    <m/>
    <m/>
    <m/>
    <m/>
    <m/>
    <m/>
    <m/>
    <m/>
    <m/>
    <m/>
    <m/>
    <m/>
    <m/>
    <m/>
    <m/>
    <m/>
    <m/>
    <m/>
    <n v="0"/>
    <n v="0"/>
    <n v="0"/>
    <n v="0"/>
    <n v="0"/>
    <n v="0"/>
    <n v="0"/>
    <n v="0"/>
    <n v="0"/>
    <n v="0"/>
    <n v="0"/>
    <n v="0"/>
    <n v="0"/>
    <n v="0"/>
    <x v="0"/>
    <n v="0"/>
    <s v=""/>
    <x v="1"/>
    <x v="2"/>
    <x v="0"/>
    <s v=""/>
    <m/>
    <m/>
  </r>
  <r>
    <s v=""/>
    <m/>
    <x v="12"/>
    <m/>
    <m/>
    <m/>
    <m/>
    <m/>
    <m/>
    <m/>
    <m/>
    <m/>
    <m/>
    <m/>
    <m/>
    <m/>
    <m/>
    <m/>
    <m/>
    <m/>
    <m/>
    <m/>
    <m/>
    <m/>
    <n v="0"/>
    <n v="0"/>
    <n v="0"/>
    <n v="0"/>
    <n v="0"/>
    <n v="0"/>
    <n v="0"/>
    <n v="0"/>
    <n v="0"/>
    <n v="0"/>
    <n v="0"/>
    <n v="0"/>
    <n v="0"/>
    <n v="0"/>
    <x v="0"/>
    <n v="0"/>
    <s v=""/>
    <x v="1"/>
    <x v="2"/>
    <x v="0"/>
    <s v=""/>
    <m/>
    <m/>
  </r>
  <r>
    <s v=""/>
    <m/>
    <x v="12"/>
    <m/>
    <m/>
    <m/>
    <m/>
    <m/>
    <m/>
    <m/>
    <m/>
    <m/>
    <m/>
    <m/>
    <m/>
    <m/>
    <m/>
    <m/>
    <m/>
    <m/>
    <m/>
    <m/>
    <m/>
    <m/>
    <n v="0"/>
    <n v="0"/>
    <n v="0"/>
    <n v="0"/>
    <n v="0"/>
    <n v="0"/>
    <n v="0"/>
    <n v="0"/>
    <n v="0"/>
    <n v="0"/>
    <n v="0"/>
    <n v="0"/>
    <n v="0"/>
    <n v="0"/>
    <x v="0"/>
    <n v="0"/>
    <s v=""/>
    <x v="1"/>
    <x v="2"/>
    <x v="0"/>
    <s v=""/>
    <m/>
    <m/>
  </r>
  <r>
    <s v=""/>
    <m/>
    <x v="12"/>
    <m/>
    <m/>
    <m/>
    <m/>
    <m/>
    <m/>
    <m/>
    <m/>
    <m/>
    <m/>
    <m/>
    <m/>
    <m/>
    <m/>
    <m/>
    <m/>
    <m/>
    <m/>
    <m/>
    <m/>
    <m/>
    <n v="0"/>
    <n v="0"/>
    <n v="0"/>
    <n v="0"/>
    <n v="0"/>
    <n v="0"/>
    <n v="0"/>
    <n v="0"/>
    <n v="0"/>
    <n v="0"/>
    <n v="0"/>
    <n v="0"/>
    <n v="0"/>
    <n v="0"/>
    <x v="0"/>
    <n v="0"/>
    <s v=""/>
    <x v="1"/>
    <x v="2"/>
    <x v="0"/>
    <s v=""/>
    <m/>
    <m/>
  </r>
  <r>
    <s v=""/>
    <m/>
    <x v="12"/>
    <m/>
    <m/>
    <m/>
    <m/>
    <m/>
    <m/>
    <m/>
    <m/>
    <m/>
    <m/>
    <m/>
    <m/>
    <m/>
    <m/>
    <m/>
    <m/>
    <m/>
    <m/>
    <m/>
    <m/>
    <m/>
    <n v="0"/>
    <n v="0"/>
    <n v="0"/>
    <n v="0"/>
    <n v="0"/>
    <n v="0"/>
    <n v="0"/>
    <n v="0"/>
    <n v="0"/>
    <n v="0"/>
    <n v="0"/>
    <n v="0"/>
    <n v="0"/>
    <n v="0"/>
    <x v="0"/>
    <n v="0"/>
    <s v=""/>
    <x v="1"/>
    <x v="2"/>
    <x v="0"/>
    <s v=""/>
    <m/>
    <m/>
  </r>
  <r>
    <s v=""/>
    <m/>
    <x v="12"/>
    <m/>
    <m/>
    <m/>
    <m/>
    <m/>
    <m/>
    <m/>
    <m/>
    <m/>
    <m/>
    <m/>
    <m/>
    <m/>
    <m/>
    <m/>
    <m/>
    <m/>
    <m/>
    <m/>
    <m/>
    <m/>
    <n v="0"/>
    <n v="0"/>
    <n v="0"/>
    <n v="0"/>
    <n v="0"/>
    <n v="0"/>
    <n v="0"/>
    <n v="0"/>
    <n v="0"/>
    <n v="0"/>
    <n v="0"/>
    <n v="0"/>
    <n v="0"/>
    <n v="0"/>
    <x v="0"/>
    <n v="0"/>
    <s v=""/>
    <x v="1"/>
    <x v="2"/>
    <x v="0"/>
    <s v=""/>
    <m/>
    <m/>
  </r>
  <r>
    <s v=""/>
    <m/>
    <x v="12"/>
    <m/>
    <m/>
    <m/>
    <m/>
    <m/>
    <m/>
    <m/>
    <m/>
    <m/>
    <m/>
    <m/>
    <m/>
    <m/>
    <m/>
    <m/>
    <m/>
    <m/>
    <m/>
    <m/>
    <m/>
    <m/>
    <n v="0"/>
    <n v="0"/>
    <n v="0"/>
    <n v="0"/>
    <n v="0"/>
    <n v="0"/>
    <n v="0"/>
    <n v="0"/>
    <n v="0"/>
    <n v="0"/>
    <n v="0"/>
    <n v="0"/>
    <n v="0"/>
    <n v="0"/>
    <x v="0"/>
    <n v="0"/>
    <s v=""/>
    <x v="1"/>
    <x v="2"/>
    <x v="0"/>
    <s v=""/>
    <m/>
    <m/>
  </r>
  <r>
    <s v=""/>
    <m/>
    <x v="12"/>
    <m/>
    <m/>
    <m/>
    <m/>
    <m/>
    <m/>
    <m/>
    <m/>
    <m/>
    <m/>
    <m/>
    <m/>
    <m/>
    <m/>
    <m/>
    <m/>
    <m/>
    <m/>
    <m/>
    <m/>
    <m/>
    <n v="0"/>
    <n v="0"/>
    <n v="0"/>
    <n v="0"/>
    <n v="0"/>
    <n v="0"/>
    <n v="0"/>
    <n v="0"/>
    <n v="0"/>
    <n v="0"/>
    <n v="0"/>
    <n v="0"/>
    <n v="0"/>
    <n v="0"/>
    <x v="0"/>
    <n v="0"/>
    <s v=""/>
    <x v="1"/>
    <x v="2"/>
    <x v="0"/>
    <s v=""/>
    <m/>
    <m/>
  </r>
  <r>
    <s v=""/>
    <m/>
    <x v="12"/>
    <m/>
    <m/>
    <m/>
    <m/>
    <m/>
    <m/>
    <m/>
    <m/>
    <m/>
    <m/>
    <m/>
    <m/>
    <m/>
    <m/>
    <m/>
    <m/>
    <m/>
    <m/>
    <m/>
    <m/>
    <m/>
    <n v="0"/>
    <n v="0"/>
    <n v="0"/>
    <n v="0"/>
    <n v="0"/>
    <n v="0"/>
    <n v="0"/>
    <n v="0"/>
    <n v="0"/>
    <n v="0"/>
    <n v="0"/>
    <n v="0"/>
    <n v="0"/>
    <n v="0"/>
    <x v="0"/>
    <n v="0"/>
    <s v=""/>
    <x v="1"/>
    <x v="2"/>
    <x v="0"/>
    <s v=""/>
    <m/>
    <m/>
  </r>
  <r>
    <s v=""/>
    <m/>
    <x v="12"/>
    <m/>
    <m/>
    <m/>
    <m/>
    <m/>
    <m/>
    <m/>
    <m/>
    <m/>
    <m/>
    <m/>
    <m/>
    <m/>
    <m/>
    <m/>
    <m/>
    <m/>
    <m/>
    <m/>
    <m/>
    <m/>
    <n v="0"/>
    <n v="0"/>
    <n v="0"/>
    <n v="0"/>
    <n v="0"/>
    <n v="0"/>
    <n v="0"/>
    <n v="0"/>
    <n v="0"/>
    <n v="0"/>
    <n v="0"/>
    <n v="0"/>
    <n v="0"/>
    <n v="0"/>
    <x v="0"/>
    <n v="0"/>
    <s v=""/>
    <x v="1"/>
    <x v="2"/>
    <x v="0"/>
    <s v=""/>
    <m/>
    <m/>
  </r>
  <r>
    <s v=""/>
    <m/>
    <x v="12"/>
    <m/>
    <m/>
    <m/>
    <m/>
    <m/>
    <m/>
    <m/>
    <m/>
    <m/>
    <m/>
    <m/>
    <m/>
    <m/>
    <m/>
    <m/>
    <m/>
    <m/>
    <m/>
    <m/>
    <m/>
    <m/>
    <n v="0"/>
    <n v="0"/>
    <n v="0"/>
    <n v="0"/>
    <n v="0"/>
    <n v="0"/>
    <n v="0"/>
    <n v="0"/>
    <n v="0"/>
    <n v="0"/>
    <n v="0"/>
    <n v="0"/>
    <n v="0"/>
    <n v="0"/>
    <x v="0"/>
    <n v="0"/>
    <s v=""/>
    <x v="1"/>
    <x v="2"/>
    <x v="0"/>
    <s v=""/>
    <m/>
    <m/>
  </r>
  <r>
    <s v=""/>
    <m/>
    <x v="12"/>
    <m/>
    <m/>
    <m/>
    <m/>
    <m/>
    <m/>
    <m/>
    <m/>
    <m/>
    <m/>
    <m/>
    <m/>
    <m/>
    <m/>
    <m/>
    <m/>
    <m/>
    <m/>
    <m/>
    <m/>
    <m/>
    <n v="0"/>
    <n v="0"/>
    <n v="0"/>
    <n v="0"/>
    <n v="0"/>
    <n v="0"/>
    <n v="0"/>
    <n v="0"/>
    <n v="0"/>
    <n v="0"/>
    <n v="0"/>
    <n v="0"/>
    <n v="0"/>
    <n v="0"/>
    <x v="0"/>
    <n v="0"/>
    <s v=""/>
    <x v="1"/>
    <x v="2"/>
    <x v="0"/>
    <s v=""/>
    <m/>
    <m/>
  </r>
  <r>
    <s v=""/>
    <m/>
    <x v="12"/>
    <m/>
    <m/>
    <m/>
    <m/>
    <m/>
    <m/>
    <m/>
    <m/>
    <m/>
    <m/>
    <m/>
    <m/>
    <m/>
    <m/>
    <m/>
    <m/>
    <m/>
    <m/>
    <m/>
    <m/>
    <m/>
    <n v="0"/>
    <n v="0"/>
    <n v="0"/>
    <n v="0"/>
    <n v="0"/>
    <n v="0"/>
    <n v="0"/>
    <n v="0"/>
    <n v="0"/>
    <n v="0"/>
    <n v="0"/>
    <n v="0"/>
    <n v="0"/>
    <n v="0"/>
    <x v="0"/>
    <n v="0"/>
    <s v=""/>
    <x v="1"/>
    <x v="2"/>
    <x v="0"/>
    <s v=""/>
    <m/>
    <m/>
  </r>
  <r>
    <s v=""/>
    <m/>
    <x v="12"/>
    <m/>
    <m/>
    <m/>
    <m/>
    <m/>
    <m/>
    <m/>
    <m/>
    <m/>
    <m/>
    <m/>
    <m/>
    <m/>
    <m/>
    <m/>
    <m/>
    <m/>
    <m/>
    <m/>
    <m/>
    <m/>
    <n v="0"/>
    <n v="0"/>
    <n v="0"/>
    <n v="0"/>
    <n v="0"/>
    <n v="0"/>
    <n v="0"/>
    <n v="0"/>
    <n v="0"/>
    <n v="0"/>
    <n v="0"/>
    <n v="0"/>
    <n v="0"/>
    <n v="0"/>
    <x v="0"/>
    <n v="0"/>
    <s v=""/>
    <x v="1"/>
    <x v="2"/>
    <x v="0"/>
    <s v=""/>
    <m/>
    <m/>
  </r>
  <r>
    <s v=""/>
    <m/>
    <x v="12"/>
    <m/>
    <m/>
    <m/>
    <m/>
    <m/>
    <m/>
    <m/>
    <m/>
    <m/>
    <m/>
    <m/>
    <m/>
    <m/>
    <m/>
    <m/>
    <m/>
    <m/>
    <m/>
    <m/>
    <m/>
    <m/>
    <n v="0"/>
    <n v="0"/>
    <n v="0"/>
    <n v="0"/>
    <n v="0"/>
    <n v="0"/>
    <n v="0"/>
    <n v="0"/>
    <n v="0"/>
    <n v="0"/>
    <n v="0"/>
    <n v="0"/>
    <n v="0"/>
    <n v="0"/>
    <x v="0"/>
    <n v="0"/>
    <s v=""/>
    <x v="1"/>
    <x v="2"/>
    <x v="0"/>
    <s v=""/>
    <m/>
    <m/>
  </r>
  <r>
    <s v=""/>
    <m/>
    <x v="12"/>
    <m/>
    <m/>
    <m/>
    <m/>
    <m/>
    <m/>
    <m/>
    <m/>
    <m/>
    <m/>
    <m/>
    <m/>
    <m/>
    <m/>
    <m/>
    <m/>
    <m/>
    <m/>
    <m/>
    <m/>
    <m/>
    <n v="0"/>
    <n v="0"/>
    <n v="0"/>
    <n v="0"/>
    <n v="0"/>
    <n v="0"/>
    <n v="0"/>
    <n v="0"/>
    <n v="0"/>
    <n v="0"/>
    <n v="0"/>
    <n v="0"/>
    <n v="0"/>
    <n v="0"/>
    <x v="0"/>
    <n v="0"/>
    <s v=""/>
    <x v="1"/>
    <x v="2"/>
    <x v="0"/>
    <s v=""/>
    <m/>
    <m/>
  </r>
  <r>
    <s v=""/>
    <m/>
    <x v="12"/>
    <m/>
    <m/>
    <m/>
    <m/>
    <m/>
    <m/>
    <m/>
    <m/>
    <m/>
    <m/>
    <m/>
    <m/>
    <m/>
    <m/>
    <m/>
    <m/>
    <m/>
    <m/>
    <m/>
    <m/>
    <m/>
    <n v="0"/>
    <n v="0"/>
    <n v="0"/>
    <n v="0"/>
    <n v="0"/>
    <n v="0"/>
    <n v="0"/>
    <n v="0"/>
    <n v="0"/>
    <n v="0"/>
    <n v="0"/>
    <n v="0"/>
    <n v="0"/>
    <n v="0"/>
    <x v="0"/>
    <n v="0"/>
    <s v=""/>
    <x v="1"/>
    <x v="2"/>
    <x v="0"/>
    <s v=""/>
    <m/>
    <m/>
  </r>
  <r>
    <s v=""/>
    <m/>
    <x v="12"/>
    <m/>
    <m/>
    <m/>
    <m/>
    <m/>
    <m/>
    <m/>
    <m/>
    <m/>
    <m/>
    <m/>
    <m/>
    <m/>
    <m/>
    <m/>
    <m/>
    <m/>
    <m/>
    <m/>
    <m/>
    <m/>
    <n v="0"/>
    <n v="0"/>
    <n v="0"/>
    <n v="0"/>
    <n v="0"/>
    <n v="0"/>
    <n v="0"/>
    <n v="0"/>
    <n v="0"/>
    <n v="0"/>
    <n v="0"/>
    <n v="0"/>
    <n v="0"/>
    <n v="0"/>
    <x v="0"/>
    <n v="0"/>
    <s v=""/>
    <x v="1"/>
    <x v="2"/>
    <x v="0"/>
    <s v=""/>
    <m/>
    <m/>
  </r>
  <r>
    <s v=""/>
    <m/>
    <x v="12"/>
    <m/>
    <m/>
    <m/>
    <m/>
    <m/>
    <m/>
    <m/>
    <m/>
    <m/>
    <m/>
    <m/>
    <m/>
    <m/>
    <m/>
    <m/>
    <m/>
    <m/>
    <m/>
    <m/>
    <m/>
    <m/>
    <n v="0"/>
    <n v="0"/>
    <n v="0"/>
    <n v="0"/>
    <n v="0"/>
    <n v="0"/>
    <n v="0"/>
    <n v="0"/>
    <n v="0"/>
    <n v="0"/>
    <n v="0"/>
    <n v="0"/>
    <n v="0"/>
    <n v="0"/>
    <x v="0"/>
    <n v="0"/>
    <s v=""/>
    <x v="1"/>
    <x v="2"/>
    <x v="0"/>
    <s v=""/>
    <m/>
    <m/>
  </r>
  <r>
    <s v=""/>
    <m/>
    <x v="12"/>
    <m/>
    <m/>
    <m/>
    <m/>
    <m/>
    <m/>
    <m/>
    <m/>
    <m/>
    <m/>
    <m/>
    <m/>
    <m/>
    <m/>
    <m/>
    <m/>
    <m/>
    <m/>
    <m/>
    <m/>
    <m/>
    <n v="0"/>
    <n v="0"/>
    <n v="0"/>
    <n v="0"/>
    <n v="0"/>
    <n v="0"/>
    <n v="0"/>
    <n v="0"/>
    <n v="0"/>
    <n v="0"/>
    <n v="0"/>
    <n v="0"/>
    <n v="0"/>
    <n v="0"/>
    <x v="0"/>
    <n v="0"/>
    <s v=""/>
    <x v="1"/>
    <x v="2"/>
    <x v="0"/>
    <s v=""/>
    <m/>
    <m/>
  </r>
  <r>
    <s v=""/>
    <m/>
    <x v="12"/>
    <m/>
    <m/>
    <m/>
    <m/>
    <m/>
    <m/>
    <m/>
    <m/>
    <m/>
    <m/>
    <m/>
    <m/>
    <m/>
    <m/>
    <m/>
    <m/>
    <m/>
    <m/>
    <m/>
    <m/>
    <m/>
    <n v="0"/>
    <n v="0"/>
    <n v="0"/>
    <n v="0"/>
    <n v="0"/>
    <n v="0"/>
    <n v="0"/>
    <n v="0"/>
    <n v="0"/>
    <n v="0"/>
    <n v="0"/>
    <n v="0"/>
    <n v="0"/>
    <n v="0"/>
    <x v="0"/>
    <n v="0"/>
    <s v=""/>
    <x v="1"/>
    <x v="2"/>
    <x v="0"/>
    <s v=""/>
    <m/>
    <m/>
  </r>
  <r>
    <s v=""/>
    <m/>
    <x v="12"/>
    <m/>
    <m/>
    <m/>
    <m/>
    <m/>
    <m/>
    <m/>
    <m/>
    <m/>
    <m/>
    <m/>
    <m/>
    <m/>
    <m/>
    <m/>
    <m/>
    <m/>
    <m/>
    <m/>
    <m/>
    <m/>
    <n v="0"/>
    <n v="0"/>
    <n v="0"/>
    <n v="0"/>
    <n v="0"/>
    <n v="0"/>
    <n v="0"/>
    <n v="0"/>
    <n v="0"/>
    <n v="0"/>
    <n v="0"/>
    <n v="0"/>
    <n v="0"/>
    <n v="0"/>
    <x v="0"/>
    <n v="0"/>
    <s v=""/>
    <x v="1"/>
    <x v="2"/>
    <x v="0"/>
    <s v=""/>
    <m/>
    <m/>
  </r>
  <r>
    <s v=""/>
    <m/>
    <x v="12"/>
    <m/>
    <m/>
    <m/>
    <m/>
    <m/>
    <m/>
    <m/>
    <m/>
    <m/>
    <m/>
    <m/>
    <m/>
    <m/>
    <m/>
    <m/>
    <m/>
    <m/>
    <m/>
    <m/>
    <m/>
    <m/>
    <n v="0"/>
    <n v="0"/>
    <n v="0"/>
    <n v="0"/>
    <n v="0"/>
    <n v="0"/>
    <n v="0"/>
    <n v="0"/>
    <n v="0"/>
    <n v="0"/>
    <n v="0"/>
    <n v="0"/>
    <n v="0"/>
    <n v="0"/>
    <x v="0"/>
    <n v="0"/>
    <s v=""/>
    <x v="1"/>
    <x v="2"/>
    <x v="0"/>
    <s v=""/>
    <m/>
    <m/>
  </r>
  <r>
    <s v=""/>
    <m/>
    <x v="12"/>
    <m/>
    <m/>
    <m/>
    <m/>
    <m/>
    <m/>
    <m/>
    <m/>
    <m/>
    <m/>
    <m/>
    <m/>
    <m/>
    <m/>
    <m/>
    <m/>
    <m/>
    <m/>
    <m/>
    <m/>
    <m/>
    <n v="0"/>
    <n v="0"/>
    <n v="0"/>
    <n v="0"/>
    <n v="0"/>
    <n v="0"/>
    <n v="0"/>
    <n v="0"/>
    <n v="0"/>
    <n v="0"/>
    <n v="0"/>
    <n v="0"/>
    <n v="0"/>
    <n v="0"/>
    <x v="0"/>
    <n v="0"/>
    <s v=""/>
    <x v="1"/>
    <x v="2"/>
    <x v="0"/>
    <s v=""/>
    <m/>
    <m/>
  </r>
  <r>
    <s v=""/>
    <m/>
    <x v="12"/>
    <m/>
    <m/>
    <m/>
    <m/>
    <m/>
    <m/>
    <m/>
    <m/>
    <m/>
    <m/>
    <m/>
    <m/>
    <m/>
    <m/>
    <m/>
    <m/>
    <m/>
    <m/>
    <m/>
    <m/>
    <m/>
    <n v="0"/>
    <n v="0"/>
    <n v="0"/>
    <n v="0"/>
    <n v="0"/>
    <n v="0"/>
    <n v="0"/>
    <n v="0"/>
    <n v="0"/>
    <n v="0"/>
    <n v="0"/>
    <n v="0"/>
    <n v="0"/>
    <n v="0"/>
    <x v="0"/>
    <n v="0"/>
    <s v=""/>
    <x v="1"/>
    <x v="2"/>
    <x v="0"/>
    <s v=""/>
    <m/>
    <m/>
  </r>
  <r>
    <s v=""/>
    <m/>
    <x v="12"/>
    <m/>
    <m/>
    <m/>
    <m/>
    <m/>
    <m/>
    <m/>
    <m/>
    <m/>
    <m/>
    <m/>
    <m/>
    <m/>
    <m/>
    <m/>
    <m/>
    <m/>
    <m/>
    <m/>
    <m/>
    <m/>
    <n v="0"/>
    <n v="0"/>
    <n v="0"/>
    <n v="0"/>
    <n v="0"/>
    <n v="0"/>
    <n v="0"/>
    <n v="0"/>
    <n v="0"/>
    <n v="0"/>
    <n v="0"/>
    <n v="0"/>
    <n v="0"/>
    <n v="0"/>
    <x v="0"/>
    <n v="0"/>
    <s v=""/>
    <x v="1"/>
    <x v="2"/>
    <x v="0"/>
    <s v=""/>
    <m/>
    <m/>
  </r>
  <r>
    <s v=""/>
    <m/>
    <x v="12"/>
    <m/>
    <m/>
    <m/>
    <m/>
    <m/>
    <m/>
    <m/>
    <m/>
    <m/>
    <m/>
    <m/>
    <m/>
    <m/>
    <m/>
    <m/>
    <m/>
    <m/>
    <m/>
    <m/>
    <m/>
    <m/>
    <n v="0"/>
    <n v="0"/>
    <n v="0"/>
    <n v="0"/>
    <n v="0"/>
    <n v="0"/>
    <n v="0"/>
    <n v="0"/>
    <n v="0"/>
    <n v="0"/>
    <n v="0"/>
    <n v="0"/>
    <n v="0"/>
    <n v="0"/>
    <x v="0"/>
    <n v="0"/>
    <s v=""/>
    <x v="1"/>
    <x v="2"/>
    <x v="0"/>
    <s v=""/>
    <m/>
    <m/>
  </r>
  <r>
    <s v=""/>
    <m/>
    <x v="12"/>
    <m/>
    <m/>
    <m/>
    <m/>
    <m/>
    <m/>
    <m/>
    <m/>
    <m/>
    <m/>
    <m/>
    <m/>
    <m/>
    <m/>
    <m/>
    <m/>
    <m/>
    <m/>
    <m/>
    <m/>
    <m/>
    <n v="0"/>
    <n v="0"/>
    <n v="0"/>
    <n v="0"/>
    <n v="0"/>
    <n v="0"/>
    <n v="0"/>
    <n v="0"/>
    <n v="0"/>
    <n v="0"/>
    <n v="0"/>
    <n v="0"/>
    <n v="0"/>
    <n v="0"/>
    <x v="0"/>
    <n v="0"/>
    <s v=""/>
    <x v="1"/>
    <x v="2"/>
    <x v="0"/>
    <s v=""/>
    <m/>
    <m/>
  </r>
  <r>
    <s v=""/>
    <m/>
    <x v="12"/>
    <m/>
    <m/>
    <m/>
    <m/>
    <m/>
    <m/>
    <m/>
    <m/>
    <m/>
    <m/>
    <m/>
    <m/>
    <m/>
    <m/>
    <m/>
    <m/>
    <m/>
    <m/>
    <m/>
    <m/>
    <m/>
    <n v="0"/>
    <n v="0"/>
    <n v="0"/>
    <n v="0"/>
    <n v="0"/>
    <n v="0"/>
    <n v="0"/>
    <n v="0"/>
    <n v="0"/>
    <n v="0"/>
    <n v="0"/>
    <n v="0"/>
    <n v="0"/>
    <n v="0"/>
    <x v="0"/>
    <n v="0"/>
    <s v=""/>
    <x v="1"/>
    <x v="2"/>
    <x v="0"/>
    <s v=""/>
    <m/>
    <m/>
  </r>
  <r>
    <s v=""/>
    <m/>
    <x v="12"/>
    <m/>
    <m/>
    <m/>
    <m/>
    <m/>
    <m/>
    <m/>
    <m/>
    <m/>
    <m/>
    <m/>
    <m/>
    <m/>
    <m/>
    <m/>
    <m/>
    <m/>
    <m/>
    <m/>
    <m/>
    <m/>
    <n v="0"/>
    <n v="0"/>
    <n v="0"/>
    <n v="0"/>
    <n v="0"/>
    <n v="0"/>
    <n v="0"/>
    <n v="0"/>
    <n v="0"/>
    <n v="0"/>
    <n v="0"/>
    <n v="0"/>
    <n v="0"/>
    <n v="0"/>
    <x v="0"/>
    <n v="0"/>
    <s v=""/>
    <x v="1"/>
    <x v="2"/>
    <x v="0"/>
    <s v=""/>
    <m/>
    <m/>
  </r>
  <r>
    <s v=""/>
    <m/>
    <x v="12"/>
    <m/>
    <m/>
    <m/>
    <m/>
    <m/>
    <m/>
    <m/>
    <m/>
    <m/>
    <m/>
    <m/>
    <m/>
    <m/>
    <m/>
    <m/>
    <m/>
    <m/>
    <m/>
    <m/>
    <m/>
    <m/>
    <n v="0"/>
    <n v="0"/>
    <n v="0"/>
    <n v="0"/>
    <n v="0"/>
    <n v="0"/>
    <n v="0"/>
    <n v="0"/>
    <n v="0"/>
    <n v="0"/>
    <n v="0"/>
    <n v="0"/>
    <n v="0"/>
    <n v="0"/>
    <x v="0"/>
    <n v="0"/>
    <s v=""/>
    <x v="1"/>
    <x v="2"/>
    <x v="0"/>
    <s v=""/>
    <m/>
    <m/>
  </r>
  <r>
    <s v=""/>
    <m/>
    <x v="12"/>
    <m/>
    <m/>
    <m/>
    <m/>
    <m/>
    <m/>
    <m/>
    <m/>
    <m/>
    <m/>
    <m/>
    <m/>
    <m/>
    <m/>
    <m/>
    <m/>
    <m/>
    <m/>
    <m/>
    <m/>
    <m/>
    <n v="0"/>
    <n v="0"/>
    <n v="0"/>
    <n v="0"/>
    <n v="0"/>
    <n v="0"/>
    <n v="0"/>
    <n v="0"/>
    <n v="0"/>
    <n v="0"/>
    <n v="0"/>
    <n v="0"/>
    <n v="0"/>
    <n v="0"/>
    <x v="0"/>
    <n v="0"/>
    <s v=""/>
    <x v="1"/>
    <x v="2"/>
    <x v="0"/>
    <s v=""/>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7.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8.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19.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1.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2.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3.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4.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name="PivotTable3" cacheId="64"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location ref="A56:D61" firstHeaderRow="1" firstDataRow="2" firstDataCol="1" rowPageCount="2" colPageCount="1"/>
  <pivotFields count="42">
    <pivotField axis="axisPage" multipleItemSelectionAllowed="1" showAll="0">
      <items count="3">
        <item x="1"/>
        <item h="1" x="0"/>
        <item t="default"/>
      </items>
    </pivotField>
    <pivotField showAll="0"/>
    <pivotField showAll="0" defaultSubtotal="0"/>
    <pivotField showAll="0"/>
    <pivotField showAll="0" defaultSubtotal="0"/>
    <pivotField showAll="0" defaultSubtotal="0">
      <items count="21">
        <item x="1"/>
        <item x="4"/>
        <item x="0"/>
        <item x="6"/>
        <item x="8"/>
        <item x="7"/>
        <item x="5"/>
        <item x="9"/>
        <item x="2"/>
        <item x="10"/>
        <item x="11"/>
        <item x="12"/>
        <item x="13"/>
        <item x="14"/>
        <item x="15"/>
        <item x="16"/>
        <item x="18"/>
        <item x="17"/>
        <item x="19"/>
        <item x="20"/>
        <item x="3"/>
      </items>
    </pivotField>
    <pivotField showAll="0" defaultSubtotal="0"/>
    <pivotField showAll="0" defaultSubtotal="0"/>
    <pivotField showAll="0" defaultSubtotal="0"/>
    <pivotField showAll="0"/>
    <pivotField showAll="0" defaultSubtotal="0"/>
    <pivotField showAll="0" defaultSubtotal="0"/>
    <pivotField showAll="0" defaultSubtotal="0"/>
    <pivotField showAll="0"/>
    <pivotField showAll="0" defaultSubtotal="0"/>
    <pivotField showAll="0" defaultSubtotal="0"/>
    <pivotField showAll="0"/>
    <pivotField dataField="1" showAll="0"/>
    <pivotField showAll="0"/>
    <pivotField axis="axisCol" showAll="0">
      <items count="3">
        <item x="0"/>
        <item x="1"/>
        <item t="default"/>
      </items>
    </pivotField>
    <pivotField axis="axisPage" multipleItemSelectionAllowed="1" showAll="0" defaultSubtotal="0">
      <items count="2">
        <item h="1" x="1"/>
        <item x="0"/>
      </items>
    </pivotField>
    <pivotField axis="axisRow" showAll="0">
      <items count="6">
        <item x="0"/>
        <item x="1"/>
        <item x="4"/>
        <item x="3"/>
        <item x="2"/>
        <item t="default"/>
      </items>
    </pivotField>
    <pivotField showAll="0" defaultSubtotal="0"/>
    <pivotField showAll="0" defaultSubtotal="0"/>
    <pivotField showAll="0" defaultSubtotal="0"/>
    <pivotField showAll="0" defaultSubtotal="0"/>
    <pivotField showAll="0"/>
    <pivotField showAll="0"/>
    <pivotField showAl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dragToRow="0" dragToCol="0" dragToPage="0" showAll="0" defaultSubtotal="0"/>
    <pivotField showAll="0" defaultSubtotal="0">
      <items count="12">
        <item x="3"/>
        <item x="8"/>
        <item x="0"/>
        <item x="10"/>
        <item x="5"/>
        <item x="11"/>
        <item x="4"/>
        <item x="1"/>
        <item x="6"/>
        <item x="9"/>
        <item x="7"/>
        <item x="2"/>
      </items>
    </pivotField>
    <pivotField dragToRow="0" dragToCol="0" dragToPage="0" showAll="0" defaultSubtotal="0"/>
    <pivotField dragToRow="0" dragToCol="0" dragToPage="0" showAll="0" defaultSubtotal="0"/>
    <pivotField dragToRow="0" dragToCol="0" dragToPage="0" showAll="0" defaultSubtotal="0"/>
  </pivotFields>
  <rowFields count="1">
    <field x="21"/>
  </rowFields>
  <rowItems count="4">
    <i>
      <x/>
    </i>
    <i>
      <x v="1"/>
    </i>
    <i>
      <x v="2"/>
    </i>
    <i t="grand">
      <x/>
    </i>
  </rowItems>
  <colFields count="1">
    <field x="19"/>
  </colFields>
  <colItems count="3">
    <i>
      <x/>
    </i>
    <i>
      <x v="1"/>
    </i>
    <i t="grand">
      <x/>
    </i>
  </colItems>
  <pageFields count="2">
    <pageField fld="0" hier="-1"/>
    <pageField fld="20" hier="-1"/>
  </pageFields>
  <dataFields count="1">
    <dataField name="Sum of Total" fld="17" baseField="20" baseItem="0" numFmtId="3"/>
  </dataFields>
  <formats count="6">
    <format dxfId="762">
      <pivotArea field="0" type="button" dataOnly="0" labelOnly="1" outline="0" axis="axisPage" fieldPosition="0"/>
    </format>
    <format dxfId="761">
      <pivotArea dataOnly="0" labelOnly="1" outline="0" fieldPosition="0">
        <references count="1">
          <reference field="0" count="0"/>
        </references>
      </pivotArea>
    </format>
    <format dxfId="760">
      <pivotArea type="all" dataOnly="0" outline="0" fieldPosition="0"/>
    </format>
    <format dxfId="759">
      <pivotArea type="all" dataOnly="0" outline="0" fieldPosition="0"/>
    </format>
    <format dxfId="758">
      <pivotArea collapsedLevelsAreSubtotals="1" fieldPosition="0">
        <references count="1">
          <reference field="21" count="4">
            <x v="0"/>
            <x v="1"/>
            <x v="2"/>
            <x v="3"/>
          </reference>
        </references>
      </pivotArea>
    </format>
    <format dxfId="757">
      <pivotArea dataOnly="0" labelOnly="1" fieldPosition="0">
        <references count="1">
          <reference field="21" count="4">
            <x v="0"/>
            <x v="1"/>
            <x v="2"/>
            <x v="3"/>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0.xml><?xml version="1.0" encoding="utf-8"?>
<pivotTableDefinition xmlns="http://schemas.openxmlformats.org/spreadsheetml/2006/main" name="PivotTable3" cacheId="49"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7">
  <location ref="A83:B100" firstHeaderRow="1" firstDataRow="1" firstDataCol="1" rowPageCount="1" colPageCount="1"/>
  <pivotFields count="23">
    <pivotField showAll="0" defaultSubtotal="0"/>
    <pivotField axis="axisRow" showAll="0">
      <items count="17">
        <item x="4"/>
        <item x="0"/>
        <item x="11"/>
        <item x="7"/>
        <item x="2"/>
        <item x="8"/>
        <item x="5"/>
        <item x="6"/>
        <item x="10"/>
        <item x="15"/>
        <item x="12"/>
        <item x="1"/>
        <item x="3"/>
        <item x="13"/>
        <item x="9"/>
        <item x="14"/>
        <item t="default"/>
      </items>
    </pivotField>
    <pivotField showAll="0" defaultSubtotal="0"/>
    <pivotField axis="axisPage" multipleItemSelectionAllowed="1" showAll="0">
      <items count="3">
        <item x="0"/>
        <item x="1"/>
        <item t="default"/>
      </items>
    </pivotField>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s>
  <rowFields count="1">
    <field x="1"/>
  </rowFields>
  <rowItems count="17">
    <i>
      <x/>
    </i>
    <i>
      <x v="1"/>
    </i>
    <i>
      <x v="2"/>
    </i>
    <i>
      <x v="3"/>
    </i>
    <i>
      <x v="4"/>
    </i>
    <i>
      <x v="5"/>
    </i>
    <i>
      <x v="6"/>
    </i>
    <i>
      <x v="7"/>
    </i>
    <i>
      <x v="8"/>
    </i>
    <i>
      <x v="9"/>
    </i>
    <i>
      <x v="10"/>
    </i>
    <i>
      <x v="11"/>
    </i>
    <i>
      <x v="12"/>
    </i>
    <i>
      <x v="13"/>
    </i>
    <i>
      <x v="14"/>
    </i>
    <i>
      <x v="15"/>
    </i>
    <i t="grand">
      <x/>
    </i>
  </rowItems>
  <colItems count="1">
    <i/>
  </colItems>
  <pageFields count="1">
    <pageField fld="3" hier="-1"/>
  </pageFields>
  <dataFields count="1">
    <dataField name="Sum of HH Covered" fld="15" baseField="0" baseItem="0"/>
  </dataFields>
  <formats count="1">
    <format dxfId="579">
      <pivotArea type="all" dataOnly="0" outline="0" fieldPosition="0"/>
    </format>
  </formats>
  <chartFormats count="1">
    <chartFormat chart="6" format="14"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1.xml><?xml version="1.0" encoding="utf-8"?>
<pivotTableDefinition xmlns="http://schemas.openxmlformats.org/spreadsheetml/2006/main" name="PivotTable5" cacheId="49" applyNumberFormats="0" applyBorderFormats="0" applyFontFormats="0" applyPatternFormats="0" applyAlignmentFormats="0" applyWidthHeightFormats="1" dataCaption="Values" updatedVersion="5" minRefreshableVersion="3" useAutoFormatting="1" itemPrintTitles="1" createdVersion="4" indent="0" showHeaders="0" outline="1" outlineData="1" multipleFieldFilters="0" chartFormat="8">
  <location ref="H83:I100" firstHeaderRow="1" firstDataRow="1" firstDataCol="1" rowPageCount="1" colPageCount="1"/>
  <pivotFields count="23">
    <pivotField showAll="0" defaultSubtotal="0"/>
    <pivotField axis="axisRow" showAll="0">
      <items count="17">
        <item x="4"/>
        <item x="0"/>
        <item x="11"/>
        <item x="7"/>
        <item x="2"/>
        <item x="8"/>
        <item x="5"/>
        <item x="6"/>
        <item x="10"/>
        <item x="15"/>
        <item x="12"/>
        <item x="1"/>
        <item x="3"/>
        <item x="13"/>
        <item x="9"/>
        <item x="14"/>
        <item t="default"/>
      </items>
    </pivotField>
    <pivotField showAll="0" defaultSubtotal="0"/>
    <pivotField axis="axisPage" multipleItemSelectionAllowed="1" showAll="0">
      <items count="3">
        <item x="0"/>
        <item x="1"/>
        <item t="default"/>
      </items>
    </pivotField>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s>
  <rowFields count="1">
    <field x="1"/>
  </rowFields>
  <rowItems count="17">
    <i>
      <x/>
    </i>
    <i>
      <x v="1"/>
    </i>
    <i>
      <x v="2"/>
    </i>
    <i>
      <x v="3"/>
    </i>
    <i>
      <x v="4"/>
    </i>
    <i>
      <x v="5"/>
    </i>
    <i>
      <x v="6"/>
    </i>
    <i>
      <x v="7"/>
    </i>
    <i>
      <x v="8"/>
    </i>
    <i>
      <x v="9"/>
    </i>
    <i>
      <x v="10"/>
    </i>
    <i>
      <x v="11"/>
    </i>
    <i>
      <x v="12"/>
    </i>
    <i>
      <x v="13"/>
    </i>
    <i>
      <x v="14"/>
    </i>
    <i>
      <x v="15"/>
    </i>
    <i t="grand">
      <x/>
    </i>
  </rowItems>
  <colItems count="1">
    <i/>
  </colItems>
  <pageFields count="1">
    <pageField fld="3" hier="-1"/>
  </pageFields>
  <dataFields count="1">
    <dataField name="Sum of HH Covered" fld="15" baseField="0" baseItem="0"/>
  </dataFields>
  <formats count="1">
    <format dxfId="580">
      <pivotArea type="all" dataOnly="0"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2.xml><?xml version="1.0" encoding="utf-8"?>
<pivotTableDefinition xmlns="http://schemas.openxmlformats.org/spreadsheetml/2006/main" name="PivotTable2" cacheId="49" applyNumberFormats="0" applyBorderFormats="0" applyFontFormats="0" applyPatternFormats="0" applyAlignmentFormats="0" applyWidthHeightFormats="1" dataCaption="Values" updatedVersion="5" minRefreshableVersion="3" itemPrintTitles="1" createdVersion="4" indent="0" outline="1" outlineData="1" multipleFieldFilters="0" chartFormat="7">
  <location ref="A63:B74" firstHeaderRow="1" firstDataRow="1" firstDataCol="1" rowPageCount="3" colPageCount="1"/>
  <pivotFields count="23">
    <pivotField showAll="0" defaultSubtotal="0"/>
    <pivotField showAll="0" sortType="ascending"/>
    <pivotField showAll="0" defaultSubtotal="0"/>
    <pivotField axis="axisPage" multipleItemSelectionAllowed="1" showAll="0">
      <items count="3">
        <item x="0"/>
        <item x="1"/>
        <item t="default"/>
      </items>
    </pivotField>
    <pivotField axis="axisPage" multipleItemSelectionAllowed="1" showAll="0" sortType="ascending">
      <items count="18">
        <item x="1"/>
        <item h="1" x="4"/>
        <item h="1" x="0"/>
        <item h="1" x="13"/>
        <item h="1" x="8"/>
        <item h="1" x="3"/>
        <item h="1" x="7"/>
        <item h="1" x="9"/>
        <item h="1" x="15"/>
        <item h="1" x="6"/>
        <item h="1" x="11"/>
        <item h="1" x="5"/>
        <item h="1" x="12"/>
        <item h="1" x="14"/>
        <item h="1" x="10"/>
        <item h="1" x="16"/>
        <item h="1" x="2"/>
        <item t="default"/>
      </items>
    </pivotField>
    <pivotField axis="axisRow" showAll="0" defaultSubtotal="0">
      <items count="143">
        <item x="0"/>
        <item x="2"/>
        <item x="3"/>
        <item x="4"/>
        <item x="5"/>
        <item x="6"/>
        <item x="7"/>
        <item x="8"/>
        <item x="9"/>
        <item x="10"/>
        <item x="11"/>
        <item x="12"/>
        <item x="13"/>
        <item x="14"/>
        <item x="15"/>
        <item x="16"/>
        <item x="17"/>
        <item x="18"/>
        <item x="19"/>
        <item x="20"/>
        <item x="21"/>
        <item x="23"/>
        <item x="24"/>
        <item x="25"/>
        <item x="26"/>
        <item x="27"/>
        <item x="28"/>
        <item x="30"/>
        <item x="31"/>
        <item x="32"/>
        <item x="33"/>
        <item x="34"/>
        <item x="35"/>
        <item x="36"/>
        <item x="37"/>
        <item x="38"/>
        <item x="39"/>
        <item x="40"/>
        <item x="41"/>
        <item x="42"/>
        <item x="43"/>
        <item x="44"/>
        <item x="45"/>
        <item x="47"/>
        <item x="48"/>
        <item x="49"/>
        <item x="50"/>
        <item x="51"/>
        <item x="52"/>
        <item x="53"/>
        <item x="54"/>
        <item x="55"/>
        <item x="56"/>
        <item x="57"/>
        <item x="58"/>
        <item x="59"/>
        <item x="60"/>
        <item x="61"/>
        <item x="62"/>
        <item x="63"/>
        <item x="65"/>
        <item x="66"/>
        <item x="67"/>
        <item x="68"/>
        <item x="69"/>
        <item x="70"/>
        <item x="71"/>
        <item x="72"/>
        <item x="73"/>
        <item x="74"/>
        <item x="75"/>
        <item x="77"/>
        <item x="78"/>
        <item x="79"/>
        <item x="80"/>
        <item x="81"/>
        <item x="82"/>
        <item x="84"/>
        <item x="85"/>
        <item x="86"/>
        <item x="88"/>
        <item x="89"/>
        <item x="90"/>
        <item x="91"/>
        <item x="92"/>
        <item x="93"/>
        <item x="94"/>
        <item x="95"/>
        <item x="96"/>
        <item x="97"/>
        <item x="98"/>
        <item x="99"/>
        <item x="100"/>
        <item x="101"/>
        <item x="102"/>
        <item x="104"/>
        <item x="105"/>
        <item x="106"/>
        <item x="107"/>
        <item x="108"/>
        <item x="109"/>
        <item x="110"/>
        <item x="111"/>
        <item x="112"/>
        <item x="113"/>
        <item x="114"/>
        <item x="116"/>
        <item x="117"/>
        <item x="118"/>
        <item x="119"/>
        <item x="120"/>
        <item x="121"/>
        <item x="122"/>
        <item x="123"/>
        <item x="124"/>
        <item x="126"/>
        <item x="127"/>
        <item x="128"/>
        <item x="129"/>
        <item x="130"/>
        <item x="131"/>
        <item x="132"/>
        <item x="133"/>
        <item x="134"/>
        <item x="135"/>
        <item x="136"/>
        <item x="137"/>
        <item x="138"/>
        <item x="139"/>
        <item x="141"/>
        <item x="142"/>
        <item x="103"/>
        <item x="125"/>
        <item x="140"/>
        <item x="76"/>
        <item x="64"/>
        <item x="87"/>
        <item x="29"/>
        <item x="1"/>
        <item x="46"/>
        <item x="83"/>
        <item x="115"/>
        <item x="22"/>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Page" multipleItemSelectionAllowed="1" showAll="0" defaultSubtotal="0">
      <items count="3">
        <item x="2"/>
        <item h="1" x="1"/>
        <item x="0"/>
      </items>
    </pivotField>
    <pivotField dataField="1" showAll="0" defaultSubtotal="0"/>
    <pivotField showAll="0" defaultSubtotal="0"/>
    <pivotField showAll="0" defaultSubtotal="0"/>
  </pivotFields>
  <rowFields count="1">
    <field x="5"/>
  </rowFields>
  <rowItems count="11">
    <i>
      <x v="1"/>
    </i>
    <i>
      <x v="4"/>
    </i>
    <i>
      <x v="22"/>
    </i>
    <i>
      <x v="38"/>
    </i>
    <i>
      <x v="73"/>
    </i>
    <i>
      <x v="83"/>
    </i>
    <i>
      <x v="96"/>
    </i>
    <i>
      <x v="103"/>
    </i>
    <i>
      <x v="113"/>
    </i>
    <i>
      <x v="127"/>
    </i>
    <i t="grand">
      <x/>
    </i>
  </rowItems>
  <colItems count="1">
    <i/>
  </colItems>
  <pageFields count="3">
    <pageField fld="3" hier="-1"/>
    <pageField fld="4" hier="-1"/>
    <pageField fld="19" hier="-1"/>
  </pageFields>
  <dataFields count="1">
    <dataField name="Average of Coverage" fld="20" subtotal="average" baseField="5" baseItem="16" numFmtId="9"/>
  </dataFields>
  <formats count="18">
    <format dxfId="557">
      <pivotArea field="4" type="button" dataOnly="0" labelOnly="1" outline="0" axis="axisPage" fieldPosition="1"/>
    </format>
    <format dxfId="556">
      <pivotArea field="4" type="button" dataOnly="0" labelOnly="1" outline="0" axis="axisPage" fieldPosition="1"/>
    </format>
    <format dxfId="555">
      <pivotArea collapsedLevelsAreSubtotals="1" fieldPosition="0">
        <references count="2">
          <reference field="4294967294" count="1" selected="0">
            <x v="0"/>
          </reference>
          <reference field="5" count="11">
            <x v="1"/>
            <x v="4"/>
            <x v="22"/>
            <x v="38"/>
            <x v="73"/>
            <x v="83"/>
            <x v="96"/>
            <x v="103"/>
            <x v="113"/>
            <x v="119"/>
            <x v="127"/>
          </reference>
        </references>
      </pivotArea>
    </format>
    <format dxfId="554">
      <pivotArea outline="0" fieldPosition="0">
        <references count="1">
          <reference field="4294967294" count="1">
            <x v="0"/>
          </reference>
        </references>
      </pivotArea>
    </format>
    <format dxfId="553">
      <pivotArea field="3" type="button" dataOnly="0" labelOnly="1" outline="0" axis="axisPage" fieldPosition="0"/>
    </format>
    <format dxfId="552">
      <pivotArea dataOnly="0" labelOnly="1" outline="0" fieldPosition="0">
        <references count="1">
          <reference field="3" count="0"/>
        </references>
      </pivotArea>
    </format>
    <format dxfId="551">
      <pivotArea field="4" type="button" dataOnly="0" labelOnly="1" outline="0" axis="axisPage" fieldPosition="1"/>
    </format>
    <format dxfId="550">
      <pivotArea dataOnly="0" labelOnly="1" outline="0" fieldPosition="0">
        <references count="1">
          <reference field="4" count="0"/>
        </references>
      </pivotArea>
    </format>
    <format dxfId="549">
      <pivotArea field="19" type="button" dataOnly="0" labelOnly="1" outline="0" axis="axisPage" fieldPosition="2"/>
    </format>
    <format dxfId="548">
      <pivotArea dataOnly="0" labelOnly="1" outline="0" fieldPosition="0">
        <references count="1">
          <reference field="19" count="0"/>
        </references>
      </pivotArea>
    </format>
    <format dxfId="547">
      <pivotArea field="3" type="button" dataOnly="0" labelOnly="1" outline="0" axis="axisPage" fieldPosition="0"/>
    </format>
    <format dxfId="546">
      <pivotArea dataOnly="0" labelOnly="1" outline="0" fieldPosition="0">
        <references count="1">
          <reference field="3" count="0"/>
        </references>
      </pivotArea>
    </format>
    <format dxfId="545">
      <pivotArea field="4" type="button" dataOnly="0" labelOnly="1" outline="0" axis="axisPage" fieldPosition="1"/>
    </format>
    <format dxfId="544">
      <pivotArea dataOnly="0" labelOnly="1" outline="0" fieldPosition="0">
        <references count="1">
          <reference field="4" count="0"/>
        </references>
      </pivotArea>
    </format>
    <format dxfId="543">
      <pivotArea field="19" type="button" dataOnly="0" labelOnly="1" outline="0" axis="axisPage" fieldPosition="2"/>
    </format>
    <format dxfId="542">
      <pivotArea dataOnly="0" labelOnly="1" outline="0" fieldPosition="0">
        <references count="1">
          <reference field="19" count="0"/>
        </references>
      </pivotArea>
    </format>
    <format dxfId="541">
      <pivotArea type="all" dataOnly="0" outline="0" fieldPosition="0"/>
    </format>
    <format dxfId="540">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3.xml><?xml version="1.0" encoding="utf-8"?>
<pivotTableDefinition xmlns="http://schemas.openxmlformats.org/spreadsheetml/2006/main" name="PivotTable3" cacheId="49" applyNumberFormats="0" applyBorderFormats="0" applyFontFormats="0" applyPatternFormats="0" applyAlignmentFormats="0" applyWidthHeightFormats="1" dataCaption="Values" updatedVersion="5" minRefreshableVersion="3" itemPrintTitles="1" createdVersion="4" indent="0" outline="1" outlineData="1" multipleFieldFilters="0" chartFormat="6">
  <location ref="E7:F22" firstHeaderRow="1" firstDataRow="1" firstDataCol="1" rowPageCount="1" colPageCount="1"/>
  <pivotFields count="23">
    <pivotField showAll="0" defaultSubtotal="0"/>
    <pivotField axis="axisRow" showAll="0" sortType="ascending">
      <items count="17">
        <item h="1" x="1"/>
        <item x="8"/>
        <item x="6"/>
        <item x="13"/>
        <item x="14"/>
        <item x="4"/>
        <item x="9"/>
        <item x="2"/>
        <item x="10"/>
        <item x="5"/>
        <item x="15"/>
        <item x="7"/>
        <item x="0"/>
        <item x="11"/>
        <item x="12"/>
        <item h="1" x="3"/>
        <item t="default"/>
      </items>
    </pivotField>
    <pivotField showAll="0" defaultSubtotal="0"/>
    <pivotField axis="axisPage" multipleItemSelectionAllowed="1" showAll="0">
      <items count="3">
        <item x="0"/>
        <item x="1"/>
        <item t="default"/>
      </items>
    </pivotField>
    <pivotField showAll="0" sortType="ascending">
      <items count="18">
        <item x="1"/>
        <item h="1" x="4"/>
        <item h="1" x="0"/>
        <item h="1" x="13"/>
        <item h="1" x="8"/>
        <item x="3"/>
        <item x="7"/>
        <item x="9"/>
        <item x="15"/>
        <item x="6"/>
        <item h="1" x="11"/>
        <item x="5"/>
        <item x="12"/>
        <item x="14"/>
        <item h="1" x="10"/>
        <item x="16"/>
        <item x="2"/>
        <item t="default"/>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s>
  <rowFields count="1">
    <field x="1"/>
  </rowFields>
  <rowItems count="15">
    <i>
      <x v="1"/>
    </i>
    <i>
      <x v="2"/>
    </i>
    <i>
      <x v="3"/>
    </i>
    <i>
      <x v="4"/>
    </i>
    <i>
      <x v="5"/>
    </i>
    <i>
      <x v="6"/>
    </i>
    <i>
      <x v="7"/>
    </i>
    <i>
      <x v="8"/>
    </i>
    <i>
      <x v="9"/>
    </i>
    <i>
      <x v="10"/>
    </i>
    <i>
      <x v="11"/>
    </i>
    <i>
      <x v="12"/>
    </i>
    <i>
      <x v="13"/>
    </i>
    <i>
      <x v="14"/>
    </i>
    <i t="grand">
      <x/>
    </i>
  </rowItems>
  <colItems count="1">
    <i/>
  </colItems>
  <pageFields count="1">
    <pageField fld="3" hier="-1"/>
  </pageFields>
  <dataFields count="1">
    <dataField name="Sum of HH Covered" fld="15" baseField="0" baseItem="0"/>
  </dataFields>
  <formats count="8">
    <format dxfId="565">
      <pivotArea field="4" type="button" dataOnly="0" labelOnly="1" outline="0"/>
    </format>
    <format dxfId="564">
      <pivotArea field="4" type="button" dataOnly="0" labelOnly="1" outline="0"/>
    </format>
    <format dxfId="563">
      <pivotArea outline="0" collapsedLevelsAreSubtotals="1" fieldPosition="0"/>
    </format>
    <format dxfId="562">
      <pivotArea type="all" dataOnly="0" outline="0" fieldPosition="0"/>
    </format>
    <format dxfId="561">
      <pivotArea field="1" type="button" dataOnly="0" labelOnly="1" outline="0" axis="axisRow" fieldPosition="0"/>
    </format>
    <format dxfId="560">
      <pivotArea dataOnly="0" labelOnly="1" outline="0" axis="axisValues" fieldPosition="0"/>
    </format>
    <format dxfId="559">
      <pivotArea collapsedLevelsAreSubtotals="1" fieldPosition="0">
        <references count="1">
          <reference field="1" count="0"/>
        </references>
      </pivotArea>
    </format>
    <format dxfId="558">
      <pivotArea dataOnly="0" labelOnly="1" fieldPosition="0">
        <references count="1">
          <reference field="1" count="0"/>
        </references>
      </pivotArea>
    </format>
  </formats>
  <chartFormats count="2">
    <chartFormat chart="4" format="47" series="1">
      <pivotArea type="data" outline="0" fieldPosition="0">
        <references count="1">
          <reference field="4294967294" count="1" selected="0">
            <x v="0"/>
          </reference>
        </references>
      </pivotArea>
    </chartFormat>
    <chartFormat chart="5" format="1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4.xml><?xml version="1.0" encoding="utf-8"?>
<pivotTableDefinition xmlns="http://schemas.openxmlformats.org/spreadsheetml/2006/main" name="PivotTable1" cacheId="49" applyNumberFormats="0" applyBorderFormats="0" applyFontFormats="0" applyPatternFormats="0" applyAlignmentFormats="0" applyWidthHeightFormats="1" dataCaption="Values" updatedVersion="5" minRefreshableVersion="3" itemPrintTitles="1" createdVersion="4" indent="0" outline="1" outlineData="1" multipleFieldFilters="0" chartFormat="7">
  <location ref="A7:C22" firstHeaderRow="0" firstDataRow="1" firstDataCol="1" rowPageCount="1" colPageCount="1"/>
  <pivotFields count="23">
    <pivotField showAll="0" defaultSubtotal="0"/>
    <pivotField axis="axisRow" showAll="0" sortType="ascending">
      <items count="17">
        <item h="1" x="1"/>
        <item x="8"/>
        <item x="6"/>
        <item x="13"/>
        <item x="14"/>
        <item x="4"/>
        <item x="9"/>
        <item x="2"/>
        <item x="10"/>
        <item x="5"/>
        <item x="15"/>
        <item x="7"/>
        <item x="0"/>
        <item x="11"/>
        <item x="12"/>
        <item h="1" x="3"/>
        <item t="default"/>
      </items>
    </pivotField>
    <pivotField showAll="0" defaultSubtotal="0"/>
    <pivotField axis="axisPage" multipleItemSelectionAllowed="1" showAll="0">
      <items count="3">
        <item x="0"/>
        <item x="1"/>
        <item t="default"/>
      </items>
    </pivotField>
    <pivotField showAll="0" sortType="ascending">
      <items count="18">
        <item x="1"/>
        <item x="4"/>
        <item x="0"/>
        <item x="13"/>
        <item x="8"/>
        <item x="3"/>
        <item x="7"/>
        <item x="9"/>
        <item x="15"/>
        <item x="6"/>
        <item x="11"/>
        <item x="5"/>
        <item x="12"/>
        <item x="14"/>
        <item x="10"/>
        <item x="16"/>
        <item x="2"/>
        <item t="default"/>
      </items>
    </pivotField>
    <pivotField showAll="0" defaultSubtotal="0"/>
    <pivotField showAll="0" defaultSubtotal="0"/>
    <pivotField showAll="0" defaultSubtotal="0"/>
    <pivotField showAll="0" defaultSubtotal="0"/>
    <pivotField showAll="0" defaultSubtotal="0"/>
    <pivotField dataField="1"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s>
  <rowFields count="1">
    <field x="1"/>
  </rowFields>
  <rowItems count="15">
    <i>
      <x v="1"/>
    </i>
    <i>
      <x v="2"/>
    </i>
    <i>
      <x v="3"/>
    </i>
    <i>
      <x v="4"/>
    </i>
    <i>
      <x v="5"/>
    </i>
    <i>
      <x v="6"/>
    </i>
    <i>
      <x v="7"/>
    </i>
    <i>
      <x v="8"/>
    </i>
    <i>
      <x v="9"/>
    </i>
    <i>
      <x v="10"/>
    </i>
    <i>
      <x v="11"/>
    </i>
    <i>
      <x v="12"/>
    </i>
    <i>
      <x v="13"/>
    </i>
    <i>
      <x v="14"/>
    </i>
    <i t="grand">
      <x/>
    </i>
  </rowItems>
  <colFields count="1">
    <field x="-2"/>
  </colFields>
  <colItems count="2">
    <i>
      <x/>
    </i>
    <i i="1">
      <x v="1"/>
    </i>
  </colItems>
  <pageFields count="1">
    <pageField fld="3" hier="-1"/>
  </pageFields>
  <dataFields count="2">
    <dataField name="Sum of # of Temporary Shelter Units Built" fld="10" baseField="1" baseItem="1"/>
    <dataField name="Sum of # of Temporary Shelter Under  Construction" fld="11" baseField="1" baseItem="1"/>
  </dataFields>
  <formats count="13">
    <format dxfId="578">
      <pivotArea field="4" type="button" dataOnly="0" labelOnly="1" outline="0"/>
    </format>
    <format dxfId="577">
      <pivotArea field="4" type="button" dataOnly="0" labelOnly="1" outline="0"/>
    </format>
    <format dxfId="576">
      <pivotArea outline="0" collapsedLevelsAreSubtotals="1" fieldPosition="0"/>
    </format>
    <format dxfId="575">
      <pivotArea field="3" type="button" dataOnly="0" labelOnly="1" outline="0" axis="axisPage" fieldPosition="0"/>
    </format>
    <format dxfId="574">
      <pivotArea dataOnly="0" labelOnly="1" outline="0" fieldPosition="0">
        <references count="1">
          <reference field="3" count="0"/>
        </references>
      </pivotArea>
    </format>
    <format dxfId="573">
      <pivotArea field="3" type="button" dataOnly="0" labelOnly="1" outline="0" axis="axisPage" fieldPosition="0"/>
    </format>
    <format dxfId="572">
      <pivotArea dataOnly="0" labelOnly="1" outline="0" fieldPosition="0">
        <references count="1">
          <reference field="3" count="0"/>
        </references>
      </pivotArea>
    </format>
    <format dxfId="571">
      <pivotArea type="all" dataOnly="0" outline="0" fieldPosition="0"/>
    </format>
    <format dxfId="570">
      <pivotArea field="1" type="button" dataOnly="0" labelOnly="1" outline="0" axis="axisRow" fieldPosition="0"/>
    </format>
    <format dxfId="569">
      <pivotArea collapsedLevelsAreSubtotals="1" fieldPosition="0">
        <references count="1">
          <reference field="1" count="0"/>
        </references>
      </pivotArea>
    </format>
    <format dxfId="568">
      <pivotArea dataOnly="0" labelOnly="1" fieldPosition="0">
        <references count="1">
          <reference field="1" count="0"/>
        </references>
      </pivotArea>
    </format>
    <format dxfId="567">
      <pivotArea grandRow="1" outline="0" collapsedLevelsAreSubtotals="1" fieldPosition="0"/>
    </format>
    <format dxfId="566">
      <pivotArea dataOnly="0" labelOnly="1" grandRow="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5.xml><?xml version="1.0" encoding="utf-8"?>
<pivotTableDefinition xmlns="http://schemas.openxmlformats.org/spreadsheetml/2006/main" name="PivotTable3" cacheId="49" applyNumberFormats="0" applyBorderFormats="0" applyFontFormats="0" applyPatternFormats="0" applyAlignmentFormats="0" applyWidthHeightFormats="1" dataCaption="Values" updatedVersion="5" minRefreshableVersion="3" useAutoFormatting="1" itemPrintTitles="1" createdVersion="4" indent="0" compact="0" compactData="0" multipleFieldFilters="0">
  <location ref="A3:D134" firstHeaderRow="1" firstDataRow="1" firstDataCol="3" rowPageCount="1" colPageCount="1"/>
  <pivotFields count="23">
    <pivotField compact="0" outline="0" showAll="0" defaultSubtotal="0"/>
    <pivotField compact="0" outline="0" showAll="0" defaultSubtotal="0"/>
    <pivotField compact="0" outline="0" showAll="0" defaultSubtotal="0"/>
    <pivotField compact="0" outline="0" showAll="0" defaultSubtotal="0"/>
    <pivotField axis="axisRow" compact="0" outline="0" showAll="0" defaultSubtotal="0">
      <items count="17">
        <item x="1"/>
        <item x="4"/>
        <item x="0"/>
        <item x="8"/>
        <item x="3"/>
        <item x="7"/>
        <item x="9"/>
        <item x="15"/>
        <item x="6"/>
        <item x="11"/>
        <item x="5"/>
        <item x="12"/>
        <item x="14"/>
        <item x="16"/>
        <item x="2"/>
        <item x="10"/>
        <item x="13"/>
      </items>
    </pivotField>
    <pivotField axis="axisRow" compact="0" outline="0" showAll="0" defaultSubtotal="0">
      <items count="143">
        <item x="0"/>
        <item x="2"/>
        <item x="3"/>
        <item x="6"/>
        <item x="8"/>
        <item x="11"/>
        <item x="12"/>
        <item x="13"/>
        <item x="14"/>
        <item x="15"/>
        <item x="16"/>
        <item x="17"/>
        <item x="18"/>
        <item x="19"/>
        <item x="20"/>
        <item x="21"/>
        <item x="23"/>
        <item x="24"/>
        <item x="25"/>
        <item x="26"/>
        <item x="27"/>
        <item x="30"/>
        <item x="31"/>
        <item x="32"/>
        <item x="33"/>
        <item x="34"/>
        <item x="35"/>
        <item x="36"/>
        <item x="37"/>
        <item x="38"/>
        <item x="39"/>
        <item x="41"/>
        <item x="42"/>
        <item x="43"/>
        <item x="44"/>
        <item x="45"/>
        <item x="47"/>
        <item x="48"/>
        <item x="50"/>
        <item x="51"/>
        <item x="52"/>
        <item x="53"/>
        <item x="56"/>
        <item x="57"/>
        <item x="58"/>
        <item x="60"/>
        <item x="61"/>
        <item x="62"/>
        <item x="63"/>
        <item x="65"/>
        <item x="66"/>
        <item x="67"/>
        <item x="68"/>
        <item x="69"/>
        <item x="70"/>
        <item x="72"/>
        <item x="73"/>
        <item x="74"/>
        <item x="75"/>
        <item x="80"/>
        <item x="81"/>
        <item x="84"/>
        <item x="85"/>
        <item x="86"/>
        <item x="88"/>
        <item x="90"/>
        <item x="91"/>
        <item x="92"/>
        <item x="93"/>
        <item x="95"/>
        <item x="96"/>
        <item x="97"/>
        <item x="98"/>
        <item x="99"/>
        <item x="100"/>
        <item x="101"/>
        <item x="102"/>
        <item x="105"/>
        <item x="106"/>
        <item x="107"/>
        <item x="108"/>
        <item x="109"/>
        <item x="110"/>
        <item x="111"/>
        <item x="112"/>
        <item x="113"/>
        <item x="114"/>
        <item x="116"/>
        <item x="117"/>
        <item x="118"/>
        <item x="119"/>
        <item x="120"/>
        <item x="121"/>
        <item x="122"/>
        <item x="123"/>
        <item x="124"/>
        <item x="126"/>
        <item x="127"/>
        <item x="128"/>
        <item x="129"/>
        <item x="131"/>
        <item x="132"/>
        <item x="134"/>
        <item x="135"/>
        <item x="136"/>
        <item x="137"/>
        <item x="138"/>
        <item x="139"/>
        <item x="54"/>
        <item x="130"/>
        <item x="9"/>
        <item x="94"/>
        <item x="79"/>
        <item x="49"/>
        <item x="7"/>
        <item x="5"/>
        <item x="133"/>
        <item x="142"/>
        <item x="104"/>
        <item x="55"/>
        <item x="28"/>
        <item x="10"/>
        <item x="4"/>
        <item x="40"/>
        <item x="59"/>
        <item x="71"/>
        <item x="77"/>
        <item x="78"/>
        <item x="82"/>
        <item x="89"/>
        <item x="141"/>
        <item x="103"/>
        <item x="125"/>
        <item x="140"/>
        <item x="76"/>
        <item x="64"/>
        <item x="87"/>
        <item x="29"/>
        <item x="1"/>
        <item x="46"/>
        <item x="83"/>
        <item x="115"/>
        <item x="22"/>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Row" compact="0" outline="0" showAll="0" defaultSubtotal="0">
      <items count="141">
        <item x="113"/>
        <item x="124"/>
        <item x="99"/>
        <item x="127"/>
        <item x="126"/>
        <item x="128"/>
        <item x="117"/>
        <item x="58"/>
        <item x="121"/>
        <item x="15"/>
        <item x="16"/>
        <item x="14"/>
        <item x="32"/>
        <item x="37"/>
        <item x="36"/>
        <item x="56"/>
        <item x="25"/>
        <item x="26"/>
        <item x="68"/>
        <item x="69"/>
        <item x="136"/>
        <item x="90"/>
        <item x="108"/>
        <item x="110"/>
        <item x="47"/>
        <item x="18"/>
        <item x="51"/>
        <item x="109"/>
        <item x="50"/>
        <item x="107"/>
        <item x="132"/>
        <item x="129"/>
        <item x="131"/>
        <item x="53"/>
        <item x="52"/>
        <item x="118"/>
        <item x="12"/>
        <item x="112"/>
        <item x="41"/>
        <item x="2"/>
        <item x="24"/>
        <item x="137"/>
        <item x="91"/>
        <item x="123"/>
        <item x="72"/>
        <item x="73"/>
        <item x="62"/>
        <item x="98"/>
        <item x="57"/>
        <item x="66"/>
        <item x="119"/>
        <item x="120"/>
        <item x="43"/>
        <item x="44"/>
        <item x="42"/>
        <item x="100"/>
        <item x="116"/>
        <item x="65"/>
        <item x="33"/>
        <item x="93"/>
        <item x="122"/>
        <item x="96"/>
        <item x="70"/>
        <item x="67"/>
        <item x="92"/>
        <item x="138"/>
        <item x="11"/>
        <item x="8"/>
        <item x="19"/>
        <item x="135"/>
        <item x="48"/>
        <item x="27"/>
        <item x="23"/>
        <item x="17"/>
        <item x="102"/>
        <item x="35"/>
        <item x="97"/>
        <item x="61"/>
        <item x="60"/>
        <item x="45"/>
        <item x="95"/>
        <item x="106"/>
        <item x="101"/>
        <item x="6"/>
        <item x="13"/>
        <item x="3"/>
        <item x="0"/>
        <item x="39"/>
        <item x="111"/>
        <item x="114"/>
        <item x="134"/>
        <item x="20"/>
        <item x="86"/>
        <item x="105"/>
        <item x="38"/>
        <item x="34"/>
        <item x="75"/>
        <item x="85"/>
        <item x="81"/>
        <item x="80"/>
        <item x="74"/>
        <item x="84"/>
        <item x="63"/>
        <item x="21"/>
        <item x="88"/>
        <item x="30"/>
        <item x="31"/>
        <item x="54"/>
        <item x="130"/>
        <item x="9"/>
        <item x="94"/>
        <item x="79"/>
        <item x="49"/>
        <item x="7"/>
        <item x="5"/>
        <item x="133"/>
        <item x="104"/>
        <item x="55"/>
        <item x="28"/>
        <item x="10"/>
        <item x="4"/>
        <item x="40"/>
        <item x="59"/>
        <item x="71"/>
        <item x="77"/>
        <item x="78"/>
        <item x="82"/>
        <item x="89"/>
        <item x="140"/>
        <item x="76"/>
        <item x="103"/>
        <item x="125"/>
        <item x="139"/>
        <item x="64"/>
        <item x="87"/>
        <item x="29"/>
        <item x="1"/>
        <item x="46"/>
        <item x="83"/>
        <item x="115"/>
        <item x="22"/>
      </items>
    </pivotField>
    <pivotField axis="axisPage" compact="0" outline="0" multipleItemSelectionAllowed="1" showAll="0" defaultSubtotal="0">
      <items count="3">
        <item x="2"/>
        <item h="1" x="1"/>
        <item x="0"/>
      </items>
    </pivotField>
    <pivotField dataField="1" compact="0" outline="0" showAll="0" defaultSubtotal="0"/>
    <pivotField compact="0" outline="0" showAll="0" defaultSubtotal="0"/>
    <pivotField compact="0" outline="0" showAll="0" defaultSubtotal="0"/>
  </pivotFields>
  <rowFields count="3">
    <field x="4"/>
    <field x="18"/>
    <field x="5"/>
  </rowFields>
  <rowItems count="131">
    <i>
      <x/>
      <x v="37"/>
      <x v="84"/>
    </i>
    <i r="1">
      <x v="38"/>
      <x v="31"/>
    </i>
    <i r="1">
      <x v="39"/>
      <x v="1"/>
    </i>
    <i r="1">
      <x v="40"/>
      <x v="17"/>
    </i>
    <i r="1">
      <x v="41"/>
      <x v="106"/>
    </i>
    <i r="1">
      <x v="42"/>
      <x v="66"/>
    </i>
    <i r="1">
      <x v="43"/>
      <x v="94"/>
    </i>
    <i r="1">
      <x v="93"/>
      <x v="77"/>
    </i>
    <i r="1">
      <x v="111"/>
      <x v="112"/>
    </i>
    <i r="1">
      <x v="114"/>
      <x v="115"/>
    </i>
    <i>
      <x v="1"/>
      <x v="36"/>
      <x v="6"/>
    </i>
    <i r="1">
      <x v="94"/>
      <x v="29"/>
    </i>
    <i r="1">
      <x v="116"/>
      <x v="118"/>
    </i>
    <i r="1">
      <x v="140"/>
      <x v="142"/>
    </i>
    <i>
      <x v="2"/>
      <x/>
      <x v="103"/>
    </i>
    <i r="2">
      <x v="117"/>
    </i>
    <i r="1">
      <x v="62"/>
      <x v="54"/>
    </i>
    <i r="1">
      <x v="64"/>
      <x v="67"/>
    </i>
    <i r="1">
      <x v="65"/>
      <x v="107"/>
    </i>
    <i r="1">
      <x v="66"/>
      <x v="5"/>
    </i>
    <i r="1">
      <x v="83"/>
      <x v="3"/>
    </i>
    <i r="1">
      <x v="84"/>
      <x v="7"/>
    </i>
    <i r="1">
      <x v="85"/>
      <x v="2"/>
    </i>
    <i r="1">
      <x v="86"/>
      <x/>
    </i>
    <i r="1">
      <x v="87"/>
      <x v="30"/>
    </i>
    <i r="1">
      <x v="88"/>
      <x v="83"/>
    </i>
    <i r="1">
      <x v="89"/>
      <x v="86"/>
    </i>
    <i r="1">
      <x v="90"/>
      <x v="102"/>
    </i>
    <i r="1">
      <x v="91"/>
      <x v="14"/>
    </i>
    <i r="1">
      <x v="92"/>
      <x v="63"/>
    </i>
    <i r="1">
      <x v="120"/>
      <x v="122"/>
    </i>
    <i r="1">
      <x v="121"/>
      <x v="123"/>
    </i>
    <i r="1">
      <x v="135"/>
      <x v="137"/>
    </i>
    <i r="1">
      <x v="136"/>
      <x v="138"/>
    </i>
    <i>
      <x v="3"/>
      <x v="101"/>
      <x v="61"/>
    </i>
    <i r="1">
      <x v="105"/>
      <x v="21"/>
    </i>
    <i r="1">
      <x v="106"/>
      <x v="22"/>
    </i>
    <i r="1">
      <x v="118"/>
      <x v="120"/>
    </i>
    <i r="1">
      <x v="123"/>
      <x v="125"/>
    </i>
    <i r="1">
      <x v="128"/>
      <x v="130"/>
    </i>
    <i r="1">
      <x v="129"/>
      <x v="134"/>
    </i>
    <i>
      <x v="4"/>
      <x v="49"/>
      <x v="50"/>
    </i>
    <i r="1">
      <x v="75"/>
      <x v="26"/>
    </i>
    <i r="1">
      <x v="77"/>
      <x v="46"/>
    </i>
    <i r="1">
      <x v="78"/>
      <x v="45"/>
    </i>
    <i r="1">
      <x v="107"/>
      <x v="108"/>
    </i>
    <i r="1">
      <x v="109"/>
      <x v="110"/>
    </i>
    <i r="1">
      <x v="117"/>
      <x v="119"/>
    </i>
    <i r="1">
      <x v="119"/>
      <x v="121"/>
    </i>
    <i>
      <x v="5"/>
      <x v="102"/>
      <x v="48"/>
    </i>
    <i r="1">
      <x v="103"/>
      <x v="15"/>
    </i>
    <i r="1">
      <x v="133"/>
      <x v="135"/>
    </i>
    <i>
      <x v="6"/>
      <x v="57"/>
      <x v="49"/>
    </i>
    <i r="1">
      <x v="58"/>
      <x v="24"/>
    </i>
    <i r="1">
      <x v="59"/>
      <x v="68"/>
    </i>
    <i r="1">
      <x v="139"/>
      <x v="141"/>
    </i>
    <i>
      <x v="7"/>
      <x v="60"/>
      <x v="93"/>
    </i>
    <i r="1">
      <x v="80"/>
      <x v="69"/>
    </i>
    <i>
      <x v="8"/>
      <x v="44"/>
      <x v="55"/>
    </i>
    <i r="1">
      <x v="48"/>
      <x v="43"/>
    </i>
    <i r="1">
      <x v="52"/>
      <x v="33"/>
    </i>
    <i r="1">
      <x v="53"/>
      <x v="34"/>
    </i>
    <i r="1">
      <x v="54"/>
      <x v="32"/>
    </i>
    <i r="1">
      <x v="55"/>
      <x v="74"/>
    </i>
    <i r="1">
      <x v="56"/>
      <x v="87"/>
    </i>
    <i r="1">
      <x v="71"/>
      <x v="20"/>
    </i>
    <i r="1">
      <x v="72"/>
      <x v="16"/>
    </i>
    <i r="1">
      <x v="73"/>
      <x v="11"/>
    </i>
    <i r="1">
      <x v="74"/>
      <x v="76"/>
    </i>
    <i r="1">
      <x v="76"/>
      <x v="71"/>
    </i>
    <i r="1">
      <x v="112"/>
      <x v="113"/>
    </i>
    <i>
      <x v="9"/>
      <x v="100"/>
      <x v="57"/>
    </i>
    <i r="1">
      <x v="124"/>
      <x v="126"/>
    </i>
    <i r="1">
      <x v="125"/>
      <x v="127"/>
    </i>
    <i>
      <x v="10"/>
      <x/>
      <x v="85"/>
    </i>
    <i r="2">
      <x v="117"/>
    </i>
    <i r="1">
      <x v="1"/>
      <x v="95"/>
    </i>
    <i r="1">
      <x v="2"/>
      <x v="73"/>
    </i>
    <i r="1">
      <x v="3"/>
      <x v="97"/>
    </i>
    <i r="1">
      <x v="4"/>
      <x v="96"/>
    </i>
    <i r="1">
      <x v="5"/>
      <x v="98"/>
    </i>
    <i r="1">
      <x v="6"/>
      <x v="88"/>
    </i>
    <i r="1">
      <x v="7"/>
      <x v="44"/>
    </i>
    <i r="1">
      <x v="8"/>
      <x v="92"/>
    </i>
    <i r="1">
      <x v="9"/>
      <x v="9"/>
    </i>
    <i r="1">
      <x v="10"/>
      <x v="10"/>
    </i>
    <i r="1">
      <x v="11"/>
      <x v="8"/>
    </i>
    <i r="1">
      <x v="12"/>
      <x v="23"/>
    </i>
    <i r="1">
      <x v="13"/>
      <x v="28"/>
    </i>
    <i r="1">
      <x v="14"/>
      <x v="27"/>
    </i>
    <i r="1">
      <x v="15"/>
      <x v="42"/>
    </i>
    <i r="1">
      <x v="16"/>
      <x v="18"/>
    </i>
    <i r="1">
      <x v="17"/>
      <x v="19"/>
    </i>
    <i r="1">
      <x v="18"/>
      <x v="52"/>
    </i>
    <i r="1">
      <x v="19"/>
      <x v="53"/>
    </i>
    <i r="1">
      <x v="20"/>
      <x v="105"/>
    </i>
    <i r="1">
      <x v="21"/>
      <x v="65"/>
    </i>
    <i r="1">
      <x v="82"/>
      <x v="75"/>
    </i>
    <i r="1">
      <x v="131"/>
      <x v="132"/>
    </i>
    <i>
      <x v="11"/>
      <x v="98"/>
      <x v="60"/>
    </i>
    <i r="1">
      <x v="99"/>
      <x v="59"/>
    </i>
    <i r="1">
      <x v="126"/>
      <x v="128"/>
    </i>
    <i r="1">
      <x v="127"/>
      <x v="129"/>
    </i>
    <i>
      <x v="12"/>
      <x v="104"/>
      <x v="64"/>
    </i>
    <i>
      <x v="13"/>
      <x v="50"/>
      <x v="90"/>
    </i>
    <i r="1">
      <x v="51"/>
      <x v="91"/>
    </i>
    <i>
      <x v="14"/>
      <x v="22"/>
      <x v="80"/>
    </i>
    <i r="1">
      <x v="23"/>
      <x v="82"/>
    </i>
    <i r="1">
      <x v="24"/>
      <x v="36"/>
    </i>
    <i r="1">
      <x v="25"/>
      <x v="12"/>
    </i>
    <i r="1">
      <x v="26"/>
      <x v="39"/>
    </i>
    <i r="1">
      <x v="27"/>
      <x v="81"/>
    </i>
    <i r="1">
      <x v="28"/>
      <x v="38"/>
    </i>
    <i r="1">
      <x v="29"/>
      <x v="79"/>
    </i>
    <i r="1">
      <x v="31"/>
      <x v="99"/>
    </i>
    <i r="1">
      <x v="32"/>
      <x v="100"/>
    </i>
    <i r="1">
      <x v="33"/>
      <x v="41"/>
    </i>
    <i r="1">
      <x v="34"/>
      <x v="40"/>
    </i>
    <i r="1">
      <x v="35"/>
      <x v="89"/>
    </i>
    <i r="1">
      <x v="67"/>
      <x v="4"/>
    </i>
    <i r="1">
      <x v="68"/>
      <x v="13"/>
    </i>
    <i r="1">
      <x v="69"/>
      <x v="104"/>
    </i>
    <i r="1">
      <x v="70"/>
      <x v="37"/>
    </i>
    <i r="1">
      <x v="81"/>
      <x v="78"/>
    </i>
    <i r="1">
      <x v="110"/>
      <x v="111"/>
    </i>
    <i r="1">
      <x v="130"/>
      <x v="131"/>
    </i>
    <i r="1">
      <x v="132"/>
      <x v="133"/>
    </i>
    <i>
      <x v="15"/>
      <x/>
      <x v="117"/>
    </i>
    <i r="1">
      <x v="137"/>
      <x v="139"/>
    </i>
    <i>
      <x v="16"/>
      <x v="134"/>
      <x v="136"/>
    </i>
    <i t="grand">
      <x/>
    </i>
  </rowItems>
  <colItems count="1">
    <i/>
  </colItems>
  <pageFields count="1">
    <pageField fld="19" hier="-1"/>
  </pageFields>
  <dataFields count="1">
    <dataField name="Sum of Coverage" fld="20" baseField="0" baseItem="2420248" numFmtId="9"/>
  </dataFields>
  <formats count="313">
    <format dxfId="430">
      <pivotArea outline="0" collapsedLevelsAreSubtotals="1" fieldPosition="0"/>
    </format>
    <format dxfId="429">
      <pivotArea dataOnly="0" labelOnly="1" outline="0" axis="axisValues" fieldPosition="0"/>
    </format>
    <format dxfId="428">
      <pivotArea field="19" type="button" dataOnly="0" labelOnly="1" outline="0" axis="axisPage" fieldPosition="0"/>
    </format>
    <format dxfId="427">
      <pivotArea dataOnly="0" labelOnly="1" outline="0" fieldPosition="0">
        <references count="1">
          <reference field="19" count="0"/>
        </references>
      </pivotArea>
    </format>
    <format dxfId="426">
      <pivotArea outline="0" collapsedLevelsAreSubtotals="1" fieldPosition="0">
        <references count="3">
          <reference field="4" count="1" selected="0">
            <x v="0"/>
          </reference>
          <reference field="5" count="10" selected="0">
            <x v="1"/>
            <x v="17"/>
            <x v="31"/>
            <x v="66"/>
            <x v="77"/>
            <x v="84"/>
            <x v="94"/>
            <x v="106"/>
            <x v="112"/>
            <x v="115"/>
          </reference>
          <reference field="18" count="10" selected="0">
            <x v="37"/>
            <x v="38"/>
            <x v="39"/>
            <x v="40"/>
            <x v="41"/>
            <x v="42"/>
            <x v="43"/>
            <x v="93"/>
            <x v="111"/>
            <x v="114"/>
          </reference>
        </references>
      </pivotArea>
    </format>
    <format dxfId="425">
      <pivotArea dataOnly="0" labelOnly="1" outline="0" fieldPosition="0">
        <references count="1">
          <reference field="4" count="1">
            <x v="0"/>
          </reference>
        </references>
      </pivotArea>
    </format>
    <format dxfId="424">
      <pivotArea dataOnly="0" labelOnly="1" outline="0" fieldPosition="0">
        <references count="2">
          <reference field="4" count="1" selected="0">
            <x v="0"/>
          </reference>
          <reference field="18" count="10">
            <x v="37"/>
            <x v="38"/>
            <x v="39"/>
            <x v="40"/>
            <x v="41"/>
            <x v="42"/>
            <x v="43"/>
            <x v="93"/>
            <x v="111"/>
            <x v="114"/>
          </reference>
        </references>
      </pivotArea>
    </format>
    <format dxfId="423">
      <pivotArea dataOnly="0" labelOnly="1" outline="0" fieldPosition="0">
        <references count="3">
          <reference field="4" count="1" selected="0">
            <x v="0"/>
          </reference>
          <reference field="5" count="1">
            <x v="84"/>
          </reference>
          <reference field="18" count="1" selected="0">
            <x v="37"/>
          </reference>
        </references>
      </pivotArea>
    </format>
    <format dxfId="422">
      <pivotArea dataOnly="0" labelOnly="1" outline="0" fieldPosition="0">
        <references count="3">
          <reference field="4" count="1" selected="0">
            <x v="0"/>
          </reference>
          <reference field="5" count="1">
            <x v="31"/>
          </reference>
          <reference field="18" count="1" selected="0">
            <x v="38"/>
          </reference>
        </references>
      </pivotArea>
    </format>
    <format dxfId="421">
      <pivotArea dataOnly="0" labelOnly="1" outline="0" fieldPosition="0">
        <references count="3">
          <reference field="4" count="1" selected="0">
            <x v="0"/>
          </reference>
          <reference field="5" count="1">
            <x v="1"/>
          </reference>
          <reference field="18" count="1" selected="0">
            <x v="39"/>
          </reference>
        </references>
      </pivotArea>
    </format>
    <format dxfId="420">
      <pivotArea dataOnly="0" labelOnly="1" outline="0" fieldPosition="0">
        <references count="3">
          <reference field="4" count="1" selected="0">
            <x v="0"/>
          </reference>
          <reference field="5" count="1">
            <x v="17"/>
          </reference>
          <reference field="18" count="1" selected="0">
            <x v="40"/>
          </reference>
        </references>
      </pivotArea>
    </format>
    <format dxfId="419">
      <pivotArea dataOnly="0" labelOnly="1" outline="0" fieldPosition="0">
        <references count="3">
          <reference field="4" count="1" selected="0">
            <x v="0"/>
          </reference>
          <reference field="5" count="1">
            <x v="106"/>
          </reference>
          <reference field="18" count="1" selected="0">
            <x v="41"/>
          </reference>
        </references>
      </pivotArea>
    </format>
    <format dxfId="418">
      <pivotArea dataOnly="0" labelOnly="1" outline="0" fieldPosition="0">
        <references count="3">
          <reference field="4" count="1" selected="0">
            <x v="0"/>
          </reference>
          <reference field="5" count="1">
            <x v="66"/>
          </reference>
          <reference field="18" count="1" selected="0">
            <x v="42"/>
          </reference>
        </references>
      </pivotArea>
    </format>
    <format dxfId="417">
      <pivotArea dataOnly="0" labelOnly="1" outline="0" fieldPosition="0">
        <references count="3">
          <reference field="4" count="1" selected="0">
            <x v="0"/>
          </reference>
          <reference field="5" count="1">
            <x v="94"/>
          </reference>
          <reference field="18" count="1" selected="0">
            <x v="43"/>
          </reference>
        </references>
      </pivotArea>
    </format>
    <format dxfId="416">
      <pivotArea dataOnly="0" labelOnly="1" outline="0" fieldPosition="0">
        <references count="3">
          <reference field="4" count="1" selected="0">
            <x v="0"/>
          </reference>
          <reference field="5" count="1">
            <x v="77"/>
          </reference>
          <reference field="18" count="1" selected="0">
            <x v="93"/>
          </reference>
        </references>
      </pivotArea>
    </format>
    <format dxfId="415">
      <pivotArea dataOnly="0" labelOnly="1" outline="0" fieldPosition="0">
        <references count="3">
          <reference field="4" count="1" selected="0">
            <x v="0"/>
          </reference>
          <reference field="5" count="1">
            <x v="112"/>
          </reference>
          <reference field="18" count="1" selected="0">
            <x v="111"/>
          </reference>
        </references>
      </pivotArea>
    </format>
    <format dxfId="414">
      <pivotArea dataOnly="0" labelOnly="1" outline="0" fieldPosition="0">
        <references count="3">
          <reference field="4" count="1" selected="0">
            <x v="0"/>
          </reference>
          <reference field="5" count="1">
            <x v="115"/>
          </reference>
          <reference field="18" count="1" selected="0">
            <x v="114"/>
          </reference>
        </references>
      </pivotArea>
    </format>
    <format dxfId="413">
      <pivotArea outline="0" collapsedLevelsAreSubtotals="1" fieldPosition="0">
        <references count="3">
          <reference field="4" count="1" selected="0">
            <x v="1"/>
          </reference>
          <reference field="5" count="3" selected="0">
            <x v="6"/>
            <x v="29"/>
            <x v="118"/>
          </reference>
          <reference field="18" count="3" selected="0">
            <x v="36"/>
            <x v="94"/>
            <x v="116"/>
          </reference>
        </references>
      </pivotArea>
    </format>
    <format dxfId="412">
      <pivotArea dataOnly="0" labelOnly="1" outline="0" fieldPosition="0">
        <references count="1">
          <reference field="4" count="1">
            <x v="1"/>
          </reference>
        </references>
      </pivotArea>
    </format>
    <format dxfId="411">
      <pivotArea dataOnly="0" labelOnly="1" outline="0" fieldPosition="0">
        <references count="2">
          <reference field="4" count="1" selected="0">
            <x v="1"/>
          </reference>
          <reference field="18" count="3">
            <x v="36"/>
            <x v="94"/>
            <x v="116"/>
          </reference>
        </references>
      </pivotArea>
    </format>
    <format dxfId="410">
      <pivotArea dataOnly="0" labelOnly="1" outline="0" fieldPosition="0">
        <references count="3">
          <reference field="4" count="1" selected="0">
            <x v="1"/>
          </reference>
          <reference field="5" count="1">
            <x v="6"/>
          </reference>
          <reference field="18" count="1" selected="0">
            <x v="36"/>
          </reference>
        </references>
      </pivotArea>
    </format>
    <format dxfId="409">
      <pivotArea dataOnly="0" labelOnly="1" outline="0" fieldPosition="0">
        <references count="3">
          <reference field="4" count="1" selected="0">
            <x v="1"/>
          </reference>
          <reference field="5" count="1">
            <x v="29"/>
          </reference>
          <reference field="18" count="1" selected="0">
            <x v="94"/>
          </reference>
        </references>
      </pivotArea>
    </format>
    <format dxfId="408">
      <pivotArea dataOnly="0" labelOnly="1" outline="0" fieldPosition="0">
        <references count="3">
          <reference field="4" count="1" selected="0">
            <x v="1"/>
          </reference>
          <reference field="5" count="1">
            <x v="118"/>
          </reference>
          <reference field="18" count="1" selected="0">
            <x v="116"/>
          </reference>
        </references>
      </pivotArea>
    </format>
    <format dxfId="407">
      <pivotArea outline="0" collapsedLevelsAreSubtotals="1" fieldPosition="0">
        <references count="3">
          <reference field="4" count="1" selected="0">
            <x v="2"/>
          </reference>
          <reference field="5" count="19" selected="0">
            <x v="0"/>
            <x v="2"/>
            <x v="3"/>
            <x v="5"/>
            <x v="7"/>
            <x v="14"/>
            <x v="30"/>
            <x v="54"/>
            <x v="63"/>
            <x v="67"/>
            <x v="83"/>
            <x v="86"/>
            <x v="102"/>
            <x v="103"/>
            <x v="107"/>
            <x v="114"/>
            <x v="117"/>
            <x v="122"/>
            <x v="123"/>
          </reference>
          <reference field="18" count="18" selected="0">
            <x v="0"/>
            <x v="62"/>
            <x v="64"/>
            <x v="65"/>
            <x v="66"/>
            <x v="83"/>
            <x v="84"/>
            <x v="85"/>
            <x v="86"/>
            <x v="87"/>
            <x v="88"/>
            <x v="89"/>
            <x v="90"/>
            <x v="91"/>
            <x v="92"/>
            <x v="113"/>
            <x v="120"/>
            <x v="121"/>
          </reference>
        </references>
      </pivotArea>
    </format>
    <format dxfId="406">
      <pivotArea dataOnly="0" labelOnly="1" outline="0" fieldPosition="0">
        <references count="1">
          <reference field="4" count="1">
            <x v="2"/>
          </reference>
        </references>
      </pivotArea>
    </format>
    <format dxfId="405">
      <pivotArea dataOnly="0" labelOnly="1" outline="0" fieldPosition="0">
        <references count="2">
          <reference field="4" count="1" selected="0">
            <x v="2"/>
          </reference>
          <reference field="18" count="18">
            <x v="0"/>
            <x v="62"/>
            <x v="64"/>
            <x v="65"/>
            <x v="66"/>
            <x v="83"/>
            <x v="84"/>
            <x v="85"/>
            <x v="86"/>
            <x v="87"/>
            <x v="88"/>
            <x v="89"/>
            <x v="90"/>
            <x v="91"/>
            <x v="92"/>
            <x v="113"/>
            <x v="120"/>
            <x v="121"/>
          </reference>
        </references>
      </pivotArea>
    </format>
    <format dxfId="404">
      <pivotArea dataOnly="0" labelOnly="1" outline="0" fieldPosition="0">
        <references count="3">
          <reference field="4" count="1" selected="0">
            <x v="2"/>
          </reference>
          <reference field="5" count="2">
            <x v="103"/>
            <x v="117"/>
          </reference>
          <reference field="18" count="1" selected="0">
            <x v="0"/>
          </reference>
        </references>
      </pivotArea>
    </format>
    <format dxfId="403">
      <pivotArea dataOnly="0" labelOnly="1" outline="0" fieldPosition="0">
        <references count="3">
          <reference field="4" count="1" selected="0">
            <x v="2"/>
          </reference>
          <reference field="5" count="1">
            <x v="54"/>
          </reference>
          <reference field="18" count="1" selected="0">
            <x v="62"/>
          </reference>
        </references>
      </pivotArea>
    </format>
    <format dxfId="402">
      <pivotArea dataOnly="0" labelOnly="1" outline="0" fieldPosition="0">
        <references count="3">
          <reference field="4" count="1" selected="0">
            <x v="2"/>
          </reference>
          <reference field="5" count="1">
            <x v="67"/>
          </reference>
          <reference field="18" count="1" selected="0">
            <x v="64"/>
          </reference>
        </references>
      </pivotArea>
    </format>
    <format dxfId="401">
      <pivotArea dataOnly="0" labelOnly="1" outline="0" fieldPosition="0">
        <references count="3">
          <reference field="4" count="1" selected="0">
            <x v="2"/>
          </reference>
          <reference field="5" count="1">
            <x v="107"/>
          </reference>
          <reference field="18" count="1" selected="0">
            <x v="65"/>
          </reference>
        </references>
      </pivotArea>
    </format>
    <format dxfId="400">
      <pivotArea dataOnly="0" labelOnly="1" outline="0" fieldPosition="0">
        <references count="3">
          <reference field="4" count="1" selected="0">
            <x v="2"/>
          </reference>
          <reference field="5" count="1">
            <x v="5"/>
          </reference>
          <reference field="18" count="1" selected="0">
            <x v="66"/>
          </reference>
        </references>
      </pivotArea>
    </format>
    <format dxfId="399">
      <pivotArea dataOnly="0" labelOnly="1" outline="0" fieldPosition="0">
        <references count="3">
          <reference field="4" count="1" selected="0">
            <x v="2"/>
          </reference>
          <reference field="5" count="1">
            <x v="3"/>
          </reference>
          <reference field="18" count="1" selected="0">
            <x v="83"/>
          </reference>
        </references>
      </pivotArea>
    </format>
    <format dxfId="398">
      <pivotArea dataOnly="0" labelOnly="1" outline="0" fieldPosition="0">
        <references count="3">
          <reference field="4" count="1" selected="0">
            <x v="2"/>
          </reference>
          <reference field="5" count="1">
            <x v="7"/>
          </reference>
          <reference field="18" count="1" selected="0">
            <x v="84"/>
          </reference>
        </references>
      </pivotArea>
    </format>
    <format dxfId="397">
      <pivotArea dataOnly="0" labelOnly="1" outline="0" fieldPosition="0">
        <references count="3">
          <reference field="4" count="1" selected="0">
            <x v="2"/>
          </reference>
          <reference field="5" count="1">
            <x v="2"/>
          </reference>
          <reference field="18" count="1" selected="0">
            <x v="85"/>
          </reference>
        </references>
      </pivotArea>
    </format>
    <format dxfId="396">
      <pivotArea dataOnly="0" labelOnly="1" outline="0" fieldPosition="0">
        <references count="3">
          <reference field="4" count="1" selected="0">
            <x v="2"/>
          </reference>
          <reference field="5" count="1">
            <x v="0"/>
          </reference>
          <reference field="18" count="1" selected="0">
            <x v="86"/>
          </reference>
        </references>
      </pivotArea>
    </format>
    <format dxfId="395">
      <pivotArea dataOnly="0" labelOnly="1" outline="0" fieldPosition="0">
        <references count="3">
          <reference field="4" count="1" selected="0">
            <x v="2"/>
          </reference>
          <reference field="5" count="1">
            <x v="30"/>
          </reference>
          <reference field="18" count="1" selected="0">
            <x v="87"/>
          </reference>
        </references>
      </pivotArea>
    </format>
    <format dxfId="394">
      <pivotArea dataOnly="0" labelOnly="1" outline="0" fieldPosition="0">
        <references count="3">
          <reference field="4" count="1" selected="0">
            <x v="2"/>
          </reference>
          <reference field="5" count="1">
            <x v="83"/>
          </reference>
          <reference field="18" count="1" selected="0">
            <x v="88"/>
          </reference>
        </references>
      </pivotArea>
    </format>
    <format dxfId="393">
      <pivotArea dataOnly="0" labelOnly="1" outline="0" fieldPosition="0">
        <references count="3">
          <reference field="4" count="1" selected="0">
            <x v="2"/>
          </reference>
          <reference field="5" count="1">
            <x v="86"/>
          </reference>
          <reference field="18" count="1" selected="0">
            <x v="89"/>
          </reference>
        </references>
      </pivotArea>
    </format>
    <format dxfId="392">
      <pivotArea dataOnly="0" labelOnly="1" outline="0" fieldPosition="0">
        <references count="3">
          <reference field="4" count="1" selected="0">
            <x v="2"/>
          </reference>
          <reference field="5" count="1">
            <x v="102"/>
          </reference>
          <reference field="18" count="1" selected="0">
            <x v="90"/>
          </reference>
        </references>
      </pivotArea>
    </format>
    <format dxfId="391">
      <pivotArea dataOnly="0" labelOnly="1" outline="0" fieldPosition="0">
        <references count="3">
          <reference field="4" count="1" selected="0">
            <x v="2"/>
          </reference>
          <reference field="5" count="1">
            <x v="14"/>
          </reference>
          <reference field="18" count="1" selected="0">
            <x v="91"/>
          </reference>
        </references>
      </pivotArea>
    </format>
    <format dxfId="390">
      <pivotArea dataOnly="0" labelOnly="1" outline="0" fieldPosition="0">
        <references count="3">
          <reference field="4" count="1" selected="0">
            <x v="2"/>
          </reference>
          <reference field="5" count="1">
            <x v="63"/>
          </reference>
          <reference field="18" count="1" selected="0">
            <x v="92"/>
          </reference>
        </references>
      </pivotArea>
    </format>
    <format dxfId="389">
      <pivotArea dataOnly="0" labelOnly="1" outline="0" fieldPosition="0">
        <references count="3">
          <reference field="4" count="1" selected="0">
            <x v="2"/>
          </reference>
          <reference field="5" count="1">
            <x v="114"/>
          </reference>
          <reference field="18" count="1" selected="0">
            <x v="113"/>
          </reference>
        </references>
      </pivotArea>
    </format>
    <format dxfId="388">
      <pivotArea dataOnly="0" labelOnly="1" outline="0" fieldPosition="0">
        <references count="3">
          <reference field="4" count="1" selected="0">
            <x v="2"/>
          </reference>
          <reference field="5" count="1">
            <x v="122"/>
          </reference>
          <reference field="18" count="1" selected="0">
            <x v="120"/>
          </reference>
        </references>
      </pivotArea>
    </format>
    <format dxfId="387">
      <pivotArea dataOnly="0" labelOnly="1" outline="0" fieldPosition="0">
        <references count="3">
          <reference field="4" count="1" selected="0">
            <x v="2"/>
          </reference>
          <reference field="5" count="1">
            <x v="123"/>
          </reference>
          <reference field="18" count="1" selected="0">
            <x v="121"/>
          </reference>
        </references>
      </pivotArea>
    </format>
    <format dxfId="386">
      <pivotArea outline="0" collapsedLevelsAreSubtotals="1" fieldPosition="0">
        <references count="3">
          <reference field="4" count="1" selected="0">
            <x v="3"/>
          </reference>
          <reference field="5" count="7" selected="0">
            <x v="21"/>
            <x v="22"/>
            <x v="61"/>
            <x v="120"/>
            <x v="125"/>
            <x v="130"/>
            <x v="134"/>
          </reference>
          <reference field="18" count="7" selected="0">
            <x v="101"/>
            <x v="105"/>
            <x v="106"/>
            <x v="118"/>
            <x v="123"/>
            <x v="128"/>
            <x v="129"/>
          </reference>
        </references>
      </pivotArea>
    </format>
    <format dxfId="385">
      <pivotArea dataOnly="0" labelOnly="1" outline="0" fieldPosition="0">
        <references count="1">
          <reference field="4" count="1">
            <x v="3"/>
          </reference>
        </references>
      </pivotArea>
    </format>
    <format dxfId="384">
      <pivotArea dataOnly="0" labelOnly="1" outline="0" fieldPosition="0">
        <references count="2">
          <reference field="4" count="1" selected="0">
            <x v="3"/>
          </reference>
          <reference field="18" count="7">
            <x v="101"/>
            <x v="105"/>
            <x v="106"/>
            <x v="118"/>
            <x v="123"/>
            <x v="128"/>
            <x v="129"/>
          </reference>
        </references>
      </pivotArea>
    </format>
    <format dxfId="383">
      <pivotArea dataOnly="0" labelOnly="1" outline="0" fieldPosition="0">
        <references count="3">
          <reference field="4" count="1" selected="0">
            <x v="3"/>
          </reference>
          <reference field="5" count="1">
            <x v="61"/>
          </reference>
          <reference field="18" count="1" selected="0">
            <x v="101"/>
          </reference>
        </references>
      </pivotArea>
    </format>
    <format dxfId="382">
      <pivotArea dataOnly="0" labelOnly="1" outline="0" fieldPosition="0">
        <references count="3">
          <reference field="4" count="1" selected="0">
            <x v="3"/>
          </reference>
          <reference field="5" count="1">
            <x v="21"/>
          </reference>
          <reference field="18" count="1" selected="0">
            <x v="105"/>
          </reference>
        </references>
      </pivotArea>
    </format>
    <format dxfId="381">
      <pivotArea dataOnly="0" labelOnly="1" outline="0" fieldPosition="0">
        <references count="3">
          <reference field="4" count="1" selected="0">
            <x v="3"/>
          </reference>
          <reference field="5" count="1">
            <x v="22"/>
          </reference>
          <reference field="18" count="1" selected="0">
            <x v="106"/>
          </reference>
        </references>
      </pivotArea>
    </format>
    <format dxfId="380">
      <pivotArea dataOnly="0" labelOnly="1" outline="0" fieldPosition="0">
        <references count="3">
          <reference field="4" count="1" selected="0">
            <x v="3"/>
          </reference>
          <reference field="5" count="1">
            <x v="120"/>
          </reference>
          <reference field="18" count="1" selected="0">
            <x v="118"/>
          </reference>
        </references>
      </pivotArea>
    </format>
    <format dxfId="379">
      <pivotArea dataOnly="0" labelOnly="1" outline="0" fieldPosition="0">
        <references count="3">
          <reference field="4" count="1" selected="0">
            <x v="3"/>
          </reference>
          <reference field="5" count="1">
            <x v="125"/>
          </reference>
          <reference field="18" count="1" selected="0">
            <x v="123"/>
          </reference>
        </references>
      </pivotArea>
    </format>
    <format dxfId="378">
      <pivotArea dataOnly="0" labelOnly="1" outline="0" fieldPosition="0">
        <references count="3">
          <reference field="4" count="1" selected="0">
            <x v="3"/>
          </reference>
          <reference field="5" count="1">
            <x v="130"/>
          </reference>
          <reference field="18" count="1" selected="0">
            <x v="128"/>
          </reference>
        </references>
      </pivotArea>
    </format>
    <format dxfId="377">
      <pivotArea dataOnly="0" labelOnly="1" outline="0" fieldPosition="0">
        <references count="3">
          <reference field="4" count="1" selected="0">
            <x v="3"/>
          </reference>
          <reference field="5" count="1">
            <x v="134"/>
          </reference>
          <reference field="18" count="1" selected="0">
            <x v="129"/>
          </reference>
        </references>
      </pivotArea>
    </format>
    <format dxfId="376">
      <pivotArea outline="0" collapsedLevelsAreSubtotals="1" fieldPosition="0">
        <references count="3">
          <reference field="4" count="1" selected="0">
            <x v="4"/>
          </reference>
          <reference field="5" count="9" selected="0">
            <x v="26"/>
            <x v="35"/>
            <x v="45"/>
            <x v="46"/>
            <x v="50"/>
            <x v="108"/>
            <x v="110"/>
            <x v="119"/>
            <x v="121"/>
          </reference>
          <reference field="18" count="9" selected="0">
            <x v="49"/>
            <x v="75"/>
            <x v="77"/>
            <x v="78"/>
            <x v="79"/>
            <x v="107"/>
            <x v="109"/>
            <x v="117"/>
            <x v="119"/>
          </reference>
        </references>
      </pivotArea>
    </format>
    <format dxfId="375">
      <pivotArea dataOnly="0" labelOnly="1" outline="0" fieldPosition="0">
        <references count="1">
          <reference field="4" count="1">
            <x v="4"/>
          </reference>
        </references>
      </pivotArea>
    </format>
    <format dxfId="374">
      <pivotArea dataOnly="0" labelOnly="1" outline="0" fieldPosition="0">
        <references count="2">
          <reference field="4" count="1" selected="0">
            <x v="4"/>
          </reference>
          <reference field="18" count="9">
            <x v="49"/>
            <x v="75"/>
            <x v="77"/>
            <x v="78"/>
            <x v="79"/>
            <x v="107"/>
            <x v="109"/>
            <x v="117"/>
            <x v="119"/>
          </reference>
        </references>
      </pivotArea>
    </format>
    <format dxfId="373">
      <pivotArea dataOnly="0" labelOnly="1" outline="0" fieldPosition="0">
        <references count="3">
          <reference field="4" count="1" selected="0">
            <x v="4"/>
          </reference>
          <reference field="5" count="1">
            <x v="50"/>
          </reference>
          <reference field="18" count="1" selected="0">
            <x v="49"/>
          </reference>
        </references>
      </pivotArea>
    </format>
    <format dxfId="372">
      <pivotArea dataOnly="0" labelOnly="1" outline="0" fieldPosition="0">
        <references count="3">
          <reference field="4" count="1" selected="0">
            <x v="4"/>
          </reference>
          <reference field="5" count="1">
            <x v="26"/>
          </reference>
          <reference field="18" count="1" selected="0">
            <x v="75"/>
          </reference>
        </references>
      </pivotArea>
    </format>
    <format dxfId="371">
      <pivotArea dataOnly="0" labelOnly="1" outline="0" fieldPosition="0">
        <references count="3">
          <reference field="4" count="1" selected="0">
            <x v="4"/>
          </reference>
          <reference field="5" count="1">
            <x v="46"/>
          </reference>
          <reference field="18" count="1" selected="0">
            <x v="77"/>
          </reference>
        </references>
      </pivotArea>
    </format>
    <format dxfId="370">
      <pivotArea dataOnly="0" labelOnly="1" outline="0" fieldPosition="0">
        <references count="3">
          <reference field="4" count="1" selected="0">
            <x v="4"/>
          </reference>
          <reference field="5" count="1">
            <x v="45"/>
          </reference>
          <reference field="18" count="1" selected="0">
            <x v="78"/>
          </reference>
        </references>
      </pivotArea>
    </format>
    <format dxfId="369">
      <pivotArea dataOnly="0" labelOnly="1" outline="0" fieldPosition="0">
        <references count="3">
          <reference field="4" count="1" selected="0">
            <x v="4"/>
          </reference>
          <reference field="5" count="1">
            <x v="35"/>
          </reference>
          <reference field="18" count="1" selected="0">
            <x v="79"/>
          </reference>
        </references>
      </pivotArea>
    </format>
    <format dxfId="368">
      <pivotArea dataOnly="0" labelOnly="1" outline="0" fieldPosition="0">
        <references count="3">
          <reference field="4" count="1" selected="0">
            <x v="4"/>
          </reference>
          <reference field="5" count="1">
            <x v="108"/>
          </reference>
          <reference field="18" count="1" selected="0">
            <x v="107"/>
          </reference>
        </references>
      </pivotArea>
    </format>
    <format dxfId="367">
      <pivotArea dataOnly="0" labelOnly="1" outline="0" fieldPosition="0">
        <references count="3">
          <reference field="4" count="1" selected="0">
            <x v="4"/>
          </reference>
          <reference field="5" count="1">
            <x v="110"/>
          </reference>
          <reference field="18" count="1" selected="0">
            <x v="109"/>
          </reference>
        </references>
      </pivotArea>
    </format>
    <format dxfId="366">
      <pivotArea dataOnly="0" labelOnly="1" outline="0" fieldPosition="0">
        <references count="3">
          <reference field="4" count="1" selected="0">
            <x v="4"/>
          </reference>
          <reference field="5" count="1">
            <x v="119"/>
          </reference>
          <reference field="18" count="1" selected="0">
            <x v="117"/>
          </reference>
        </references>
      </pivotArea>
    </format>
    <format dxfId="365">
      <pivotArea dataOnly="0" labelOnly="1" outline="0" fieldPosition="0">
        <references count="3">
          <reference field="4" count="1" selected="0">
            <x v="4"/>
          </reference>
          <reference field="5" count="1">
            <x v="121"/>
          </reference>
          <reference field="18" count="1" selected="0">
            <x v="119"/>
          </reference>
        </references>
      </pivotArea>
    </format>
    <format dxfId="364">
      <pivotArea outline="0" collapsedLevelsAreSubtotals="1" fieldPosition="0">
        <references count="3">
          <reference field="4" count="1" selected="0">
            <x v="5"/>
          </reference>
          <reference field="5" count="3" selected="0">
            <x v="15"/>
            <x v="48"/>
            <x v="135"/>
          </reference>
          <reference field="18" count="3" selected="0">
            <x v="102"/>
            <x v="103"/>
            <x v="133"/>
          </reference>
        </references>
      </pivotArea>
    </format>
    <format dxfId="363">
      <pivotArea dataOnly="0" labelOnly="1" outline="0" fieldPosition="0">
        <references count="1">
          <reference field="4" count="1">
            <x v="5"/>
          </reference>
        </references>
      </pivotArea>
    </format>
    <format dxfId="362">
      <pivotArea dataOnly="0" labelOnly="1" outline="0" fieldPosition="0">
        <references count="2">
          <reference field="4" count="1" selected="0">
            <x v="5"/>
          </reference>
          <reference field="18" count="3">
            <x v="102"/>
            <x v="103"/>
            <x v="133"/>
          </reference>
        </references>
      </pivotArea>
    </format>
    <format dxfId="361">
      <pivotArea dataOnly="0" labelOnly="1" outline="0" fieldPosition="0">
        <references count="3">
          <reference field="4" count="1" selected="0">
            <x v="5"/>
          </reference>
          <reference field="5" count="1">
            <x v="48"/>
          </reference>
          <reference field="18" count="1" selected="0">
            <x v="102"/>
          </reference>
        </references>
      </pivotArea>
    </format>
    <format dxfId="360">
      <pivotArea dataOnly="0" labelOnly="1" outline="0" fieldPosition="0">
        <references count="3">
          <reference field="4" count="1" selected="0">
            <x v="5"/>
          </reference>
          <reference field="5" count="1">
            <x v="15"/>
          </reference>
          <reference field="18" count="1" selected="0">
            <x v="103"/>
          </reference>
        </references>
      </pivotArea>
    </format>
    <format dxfId="359">
      <pivotArea dataOnly="0" labelOnly="1" outline="0" fieldPosition="0">
        <references count="3">
          <reference field="4" count="1" selected="0">
            <x v="5"/>
          </reference>
          <reference field="5" count="1">
            <x v="135"/>
          </reference>
          <reference field="18" count="1" selected="0">
            <x v="133"/>
          </reference>
        </references>
      </pivotArea>
    </format>
    <format dxfId="358">
      <pivotArea outline="0" collapsedLevelsAreSubtotals="1" fieldPosition="0">
        <references count="3">
          <reference field="4" count="1" selected="0">
            <x v="6"/>
          </reference>
          <reference field="5" count="3" selected="0">
            <x v="24"/>
            <x v="49"/>
            <x v="68"/>
          </reference>
          <reference field="18" count="3" selected="0">
            <x v="57"/>
            <x v="58"/>
            <x v="59"/>
          </reference>
        </references>
      </pivotArea>
    </format>
    <format dxfId="357">
      <pivotArea dataOnly="0" labelOnly="1" outline="0" fieldPosition="0">
        <references count="1">
          <reference field="4" count="1">
            <x v="6"/>
          </reference>
        </references>
      </pivotArea>
    </format>
    <format dxfId="356">
      <pivotArea dataOnly="0" labelOnly="1" outline="0" fieldPosition="0">
        <references count="2">
          <reference field="4" count="1" selected="0">
            <x v="6"/>
          </reference>
          <reference field="18" count="3">
            <x v="57"/>
            <x v="58"/>
            <x v="59"/>
          </reference>
        </references>
      </pivotArea>
    </format>
    <format dxfId="355">
      <pivotArea dataOnly="0" labelOnly="1" outline="0" fieldPosition="0">
        <references count="3">
          <reference field="4" count="1" selected="0">
            <x v="6"/>
          </reference>
          <reference field="5" count="1">
            <x v="49"/>
          </reference>
          <reference field="18" count="1" selected="0">
            <x v="57"/>
          </reference>
        </references>
      </pivotArea>
    </format>
    <format dxfId="354">
      <pivotArea dataOnly="0" labelOnly="1" outline="0" fieldPosition="0">
        <references count="3">
          <reference field="4" count="1" selected="0">
            <x v="6"/>
          </reference>
          <reference field="5" count="1">
            <x v="24"/>
          </reference>
          <reference field="18" count="1" selected="0">
            <x v="58"/>
          </reference>
        </references>
      </pivotArea>
    </format>
    <format dxfId="353">
      <pivotArea dataOnly="0" labelOnly="1" outline="0" fieldPosition="0">
        <references count="3">
          <reference field="4" count="1" selected="0">
            <x v="6"/>
          </reference>
          <reference field="5" count="1">
            <x v="68"/>
          </reference>
          <reference field="18" count="1" selected="0">
            <x v="59"/>
          </reference>
        </references>
      </pivotArea>
    </format>
    <format dxfId="352">
      <pivotArea outline="0" collapsedLevelsAreSubtotals="1" fieldPosition="0">
        <references count="3">
          <reference field="4" count="1" selected="0">
            <x v="7"/>
          </reference>
          <reference field="5" count="2" selected="0">
            <x v="69"/>
            <x v="93"/>
          </reference>
          <reference field="18" count="2" selected="0">
            <x v="60"/>
            <x v="80"/>
          </reference>
        </references>
      </pivotArea>
    </format>
    <format dxfId="351">
      <pivotArea dataOnly="0" labelOnly="1" outline="0" fieldPosition="0">
        <references count="1">
          <reference field="4" count="1">
            <x v="7"/>
          </reference>
        </references>
      </pivotArea>
    </format>
    <format dxfId="350">
      <pivotArea dataOnly="0" labelOnly="1" outline="0" fieldPosition="0">
        <references count="2">
          <reference field="4" count="1" selected="0">
            <x v="7"/>
          </reference>
          <reference field="18" count="2">
            <x v="60"/>
            <x v="80"/>
          </reference>
        </references>
      </pivotArea>
    </format>
    <format dxfId="349">
      <pivotArea dataOnly="0" labelOnly="1" outline="0" fieldPosition="0">
        <references count="3">
          <reference field="4" count="1" selected="0">
            <x v="7"/>
          </reference>
          <reference field="5" count="1">
            <x v="93"/>
          </reference>
          <reference field="18" count="1" selected="0">
            <x v="60"/>
          </reference>
        </references>
      </pivotArea>
    </format>
    <format dxfId="348">
      <pivotArea dataOnly="0" labelOnly="1" outline="0" fieldPosition="0">
        <references count="3">
          <reference field="4" count="1" selected="0">
            <x v="7"/>
          </reference>
          <reference field="5" count="1">
            <x v="69"/>
          </reference>
          <reference field="18" count="1" selected="0">
            <x v="80"/>
          </reference>
        </references>
      </pivotArea>
    </format>
    <format dxfId="347">
      <pivotArea outline="0" collapsedLevelsAreSubtotals="1" fieldPosition="0">
        <references count="3">
          <reference field="4" count="1" selected="0">
            <x v="8"/>
          </reference>
          <reference field="5" count="15" selected="0">
            <x v="11"/>
            <x v="16"/>
            <x v="20"/>
            <x v="32"/>
            <x v="33"/>
            <x v="34"/>
            <x v="43"/>
            <x v="47"/>
            <x v="55"/>
            <x v="71"/>
            <x v="72"/>
            <x v="74"/>
            <x v="76"/>
            <x v="87"/>
            <x v="113"/>
          </reference>
          <reference field="18" count="15" selected="0">
            <x v="44"/>
            <x v="46"/>
            <x v="47"/>
            <x v="48"/>
            <x v="52"/>
            <x v="53"/>
            <x v="54"/>
            <x v="55"/>
            <x v="56"/>
            <x v="71"/>
            <x v="72"/>
            <x v="73"/>
            <x v="74"/>
            <x v="76"/>
            <x v="112"/>
          </reference>
        </references>
      </pivotArea>
    </format>
    <format dxfId="346">
      <pivotArea dataOnly="0" labelOnly="1" outline="0" fieldPosition="0">
        <references count="1">
          <reference field="4" count="1">
            <x v="8"/>
          </reference>
        </references>
      </pivotArea>
    </format>
    <format dxfId="345">
      <pivotArea dataOnly="0" labelOnly="1" outline="0" fieldPosition="0">
        <references count="2">
          <reference field="4" count="1" selected="0">
            <x v="8"/>
          </reference>
          <reference field="18" count="15">
            <x v="44"/>
            <x v="46"/>
            <x v="47"/>
            <x v="48"/>
            <x v="52"/>
            <x v="53"/>
            <x v="54"/>
            <x v="55"/>
            <x v="56"/>
            <x v="71"/>
            <x v="72"/>
            <x v="73"/>
            <x v="74"/>
            <x v="76"/>
            <x v="112"/>
          </reference>
        </references>
      </pivotArea>
    </format>
    <format dxfId="344">
      <pivotArea dataOnly="0" labelOnly="1" outline="0" fieldPosition="0">
        <references count="3">
          <reference field="4" count="1" selected="0">
            <x v="8"/>
          </reference>
          <reference field="5" count="1">
            <x v="55"/>
          </reference>
          <reference field="18" count="1" selected="0">
            <x v="44"/>
          </reference>
        </references>
      </pivotArea>
    </format>
    <format dxfId="343">
      <pivotArea dataOnly="0" labelOnly="1" outline="0" fieldPosition="0">
        <references count="3">
          <reference field="4" count="1" selected="0">
            <x v="8"/>
          </reference>
          <reference field="5" count="1">
            <x v="47"/>
          </reference>
          <reference field="18" count="1" selected="0">
            <x v="46"/>
          </reference>
        </references>
      </pivotArea>
    </format>
    <format dxfId="342">
      <pivotArea dataOnly="0" labelOnly="1" outline="0" fieldPosition="0">
        <references count="3">
          <reference field="4" count="1" selected="0">
            <x v="8"/>
          </reference>
          <reference field="5" count="1">
            <x v="72"/>
          </reference>
          <reference field="18" count="1" selected="0">
            <x v="47"/>
          </reference>
        </references>
      </pivotArea>
    </format>
    <format dxfId="341">
      <pivotArea dataOnly="0" labelOnly="1" outline="0" fieldPosition="0">
        <references count="3">
          <reference field="4" count="1" selected="0">
            <x v="8"/>
          </reference>
          <reference field="5" count="1">
            <x v="43"/>
          </reference>
          <reference field="18" count="1" selected="0">
            <x v="48"/>
          </reference>
        </references>
      </pivotArea>
    </format>
    <format dxfId="340">
      <pivotArea dataOnly="0" labelOnly="1" outline="0" fieldPosition="0">
        <references count="3">
          <reference field="4" count="1" selected="0">
            <x v="8"/>
          </reference>
          <reference field="5" count="1">
            <x v="33"/>
          </reference>
          <reference field="18" count="1" selected="0">
            <x v="52"/>
          </reference>
        </references>
      </pivotArea>
    </format>
    <format dxfId="339">
      <pivotArea dataOnly="0" labelOnly="1" outline="0" fieldPosition="0">
        <references count="3">
          <reference field="4" count="1" selected="0">
            <x v="8"/>
          </reference>
          <reference field="5" count="1">
            <x v="34"/>
          </reference>
          <reference field="18" count="1" selected="0">
            <x v="53"/>
          </reference>
        </references>
      </pivotArea>
    </format>
    <format dxfId="338">
      <pivotArea dataOnly="0" labelOnly="1" outline="0" fieldPosition="0">
        <references count="3">
          <reference field="4" count="1" selected="0">
            <x v="8"/>
          </reference>
          <reference field="5" count="1">
            <x v="32"/>
          </reference>
          <reference field="18" count="1" selected="0">
            <x v="54"/>
          </reference>
        </references>
      </pivotArea>
    </format>
    <format dxfId="337">
      <pivotArea dataOnly="0" labelOnly="1" outline="0" fieldPosition="0">
        <references count="3">
          <reference field="4" count="1" selected="0">
            <x v="8"/>
          </reference>
          <reference field="5" count="1">
            <x v="74"/>
          </reference>
          <reference field="18" count="1" selected="0">
            <x v="55"/>
          </reference>
        </references>
      </pivotArea>
    </format>
    <format dxfId="336">
      <pivotArea dataOnly="0" labelOnly="1" outline="0" fieldPosition="0">
        <references count="3">
          <reference field="4" count="1" selected="0">
            <x v="8"/>
          </reference>
          <reference field="5" count="1">
            <x v="87"/>
          </reference>
          <reference field="18" count="1" selected="0">
            <x v="56"/>
          </reference>
        </references>
      </pivotArea>
    </format>
    <format dxfId="335">
      <pivotArea dataOnly="0" labelOnly="1" outline="0" fieldPosition="0">
        <references count="3">
          <reference field="4" count="1" selected="0">
            <x v="8"/>
          </reference>
          <reference field="5" count="1">
            <x v="20"/>
          </reference>
          <reference field="18" count="1" selected="0">
            <x v="71"/>
          </reference>
        </references>
      </pivotArea>
    </format>
    <format dxfId="334">
      <pivotArea dataOnly="0" labelOnly="1" outline="0" fieldPosition="0">
        <references count="3">
          <reference field="4" count="1" selected="0">
            <x v="8"/>
          </reference>
          <reference field="5" count="1">
            <x v="16"/>
          </reference>
          <reference field="18" count="1" selected="0">
            <x v="72"/>
          </reference>
        </references>
      </pivotArea>
    </format>
    <format dxfId="333">
      <pivotArea dataOnly="0" labelOnly="1" outline="0" fieldPosition="0">
        <references count="3">
          <reference field="4" count="1" selected="0">
            <x v="8"/>
          </reference>
          <reference field="5" count="1">
            <x v="11"/>
          </reference>
          <reference field="18" count="1" selected="0">
            <x v="73"/>
          </reference>
        </references>
      </pivotArea>
    </format>
    <format dxfId="332">
      <pivotArea dataOnly="0" labelOnly="1" outline="0" fieldPosition="0">
        <references count="3">
          <reference field="4" count="1" selected="0">
            <x v="8"/>
          </reference>
          <reference field="5" count="1">
            <x v="76"/>
          </reference>
          <reference field="18" count="1" selected="0">
            <x v="74"/>
          </reference>
        </references>
      </pivotArea>
    </format>
    <format dxfId="331">
      <pivotArea dataOnly="0" labelOnly="1" outline="0" fieldPosition="0">
        <references count="3">
          <reference field="4" count="1" selected="0">
            <x v="8"/>
          </reference>
          <reference field="5" count="1">
            <x v="71"/>
          </reference>
          <reference field="18" count="1" selected="0">
            <x v="76"/>
          </reference>
        </references>
      </pivotArea>
    </format>
    <format dxfId="330">
      <pivotArea dataOnly="0" labelOnly="1" outline="0" fieldPosition="0">
        <references count="3">
          <reference field="4" count="1" selected="0">
            <x v="8"/>
          </reference>
          <reference field="5" count="1">
            <x v="113"/>
          </reference>
          <reference field="18" count="1" selected="0">
            <x v="112"/>
          </reference>
        </references>
      </pivotArea>
    </format>
    <format dxfId="329">
      <pivotArea outline="0" collapsedLevelsAreSubtotals="1" fieldPosition="0">
        <references count="3">
          <reference field="4" count="1" selected="0">
            <x v="9"/>
          </reference>
          <reference field="5" count="3" selected="0">
            <x v="57"/>
            <x v="126"/>
            <x v="127"/>
          </reference>
          <reference field="18" count="3" selected="0">
            <x v="100"/>
            <x v="124"/>
            <x v="125"/>
          </reference>
        </references>
      </pivotArea>
    </format>
    <format dxfId="328">
      <pivotArea dataOnly="0" labelOnly="1" outline="0" fieldPosition="0">
        <references count="1">
          <reference field="4" count="1">
            <x v="9"/>
          </reference>
        </references>
      </pivotArea>
    </format>
    <format dxfId="327">
      <pivotArea dataOnly="0" labelOnly="1" outline="0" fieldPosition="0">
        <references count="2">
          <reference field="4" count="1" selected="0">
            <x v="9"/>
          </reference>
          <reference field="18" count="3">
            <x v="100"/>
            <x v="124"/>
            <x v="125"/>
          </reference>
        </references>
      </pivotArea>
    </format>
    <format dxfId="326">
      <pivotArea dataOnly="0" labelOnly="1" outline="0" fieldPosition="0">
        <references count="3">
          <reference field="4" count="1" selected="0">
            <x v="9"/>
          </reference>
          <reference field="5" count="1">
            <x v="57"/>
          </reference>
          <reference field="18" count="1" selected="0">
            <x v="100"/>
          </reference>
        </references>
      </pivotArea>
    </format>
    <format dxfId="325">
      <pivotArea dataOnly="0" labelOnly="1" outline="0" fieldPosition="0">
        <references count="3">
          <reference field="4" count="1" selected="0">
            <x v="9"/>
          </reference>
          <reference field="5" count="1">
            <x v="126"/>
          </reference>
          <reference field="18" count="1" selected="0">
            <x v="124"/>
          </reference>
        </references>
      </pivotArea>
    </format>
    <format dxfId="324">
      <pivotArea dataOnly="0" labelOnly="1" outline="0" fieldPosition="0">
        <references count="3">
          <reference field="4" count="1" selected="0">
            <x v="9"/>
          </reference>
          <reference field="5" count="1">
            <x v="127"/>
          </reference>
          <reference field="18" count="1" selected="0">
            <x v="125"/>
          </reference>
        </references>
      </pivotArea>
    </format>
    <format dxfId="323">
      <pivotArea outline="0" collapsedLevelsAreSubtotals="1" fieldPosition="0">
        <references count="3">
          <reference field="4" count="1" selected="0">
            <x v="10"/>
          </reference>
          <reference field="5" count="25" selected="0">
            <x v="8"/>
            <x v="9"/>
            <x v="10"/>
            <x v="18"/>
            <x v="19"/>
            <x v="23"/>
            <x v="27"/>
            <x v="28"/>
            <x v="42"/>
            <x v="44"/>
            <x v="52"/>
            <x v="53"/>
            <x v="65"/>
            <x v="73"/>
            <x v="75"/>
            <x v="85"/>
            <x v="88"/>
            <x v="92"/>
            <x v="95"/>
            <x v="96"/>
            <x v="97"/>
            <x v="98"/>
            <x v="105"/>
            <x v="117"/>
            <x v="132"/>
          </reference>
          <reference field="18" count="24" selected="0">
            <x v="0"/>
            <x v="1"/>
            <x v="2"/>
            <x v="3"/>
            <x v="4"/>
            <x v="5"/>
            <x v="6"/>
            <x v="7"/>
            <x v="8"/>
            <x v="9"/>
            <x v="10"/>
            <x v="11"/>
            <x v="12"/>
            <x v="13"/>
            <x v="14"/>
            <x v="15"/>
            <x v="16"/>
            <x v="17"/>
            <x v="18"/>
            <x v="19"/>
            <x v="20"/>
            <x v="21"/>
            <x v="82"/>
            <x v="131"/>
          </reference>
        </references>
      </pivotArea>
    </format>
    <format dxfId="322">
      <pivotArea dataOnly="0" labelOnly="1" outline="0" fieldPosition="0">
        <references count="1">
          <reference field="4" count="1">
            <x v="10"/>
          </reference>
        </references>
      </pivotArea>
    </format>
    <format dxfId="321">
      <pivotArea dataOnly="0" labelOnly="1" outline="0" fieldPosition="0">
        <references count="2">
          <reference field="4" count="1" selected="0">
            <x v="10"/>
          </reference>
          <reference field="18" count="24">
            <x v="0"/>
            <x v="1"/>
            <x v="2"/>
            <x v="3"/>
            <x v="4"/>
            <x v="5"/>
            <x v="6"/>
            <x v="7"/>
            <x v="8"/>
            <x v="9"/>
            <x v="10"/>
            <x v="11"/>
            <x v="12"/>
            <x v="13"/>
            <x v="14"/>
            <x v="15"/>
            <x v="16"/>
            <x v="17"/>
            <x v="18"/>
            <x v="19"/>
            <x v="20"/>
            <x v="21"/>
            <x v="82"/>
            <x v="131"/>
          </reference>
        </references>
      </pivotArea>
    </format>
    <format dxfId="320">
      <pivotArea dataOnly="0" labelOnly="1" outline="0" fieldPosition="0">
        <references count="3">
          <reference field="4" count="1" selected="0">
            <x v="10"/>
          </reference>
          <reference field="5" count="2">
            <x v="85"/>
            <x v="117"/>
          </reference>
          <reference field="18" count="1" selected="0">
            <x v="0"/>
          </reference>
        </references>
      </pivotArea>
    </format>
    <format dxfId="319">
      <pivotArea dataOnly="0" labelOnly="1" outline="0" fieldPosition="0">
        <references count="3">
          <reference field="4" count="1" selected="0">
            <x v="10"/>
          </reference>
          <reference field="5" count="1">
            <x v="95"/>
          </reference>
          <reference field="18" count="1" selected="0">
            <x v="1"/>
          </reference>
        </references>
      </pivotArea>
    </format>
    <format dxfId="318">
      <pivotArea dataOnly="0" labelOnly="1" outline="0" fieldPosition="0">
        <references count="3">
          <reference field="4" count="1" selected="0">
            <x v="10"/>
          </reference>
          <reference field="5" count="1">
            <x v="73"/>
          </reference>
          <reference field="18" count="1" selected="0">
            <x v="2"/>
          </reference>
        </references>
      </pivotArea>
    </format>
    <format dxfId="317">
      <pivotArea dataOnly="0" labelOnly="1" outline="0" fieldPosition="0">
        <references count="3">
          <reference field="4" count="1" selected="0">
            <x v="10"/>
          </reference>
          <reference field="5" count="1">
            <x v="97"/>
          </reference>
          <reference field="18" count="1" selected="0">
            <x v="3"/>
          </reference>
        </references>
      </pivotArea>
    </format>
    <format dxfId="316">
      <pivotArea dataOnly="0" labelOnly="1" outline="0" fieldPosition="0">
        <references count="3">
          <reference field="4" count="1" selected="0">
            <x v="10"/>
          </reference>
          <reference field="5" count="1">
            <x v="96"/>
          </reference>
          <reference field="18" count="1" selected="0">
            <x v="4"/>
          </reference>
        </references>
      </pivotArea>
    </format>
    <format dxfId="315">
      <pivotArea dataOnly="0" labelOnly="1" outline="0" fieldPosition="0">
        <references count="3">
          <reference field="4" count="1" selected="0">
            <x v="10"/>
          </reference>
          <reference field="5" count="1">
            <x v="98"/>
          </reference>
          <reference field="18" count="1" selected="0">
            <x v="5"/>
          </reference>
        </references>
      </pivotArea>
    </format>
    <format dxfId="314">
      <pivotArea dataOnly="0" labelOnly="1" outline="0" fieldPosition="0">
        <references count="3">
          <reference field="4" count="1" selected="0">
            <x v="10"/>
          </reference>
          <reference field="5" count="1">
            <x v="88"/>
          </reference>
          <reference field="18" count="1" selected="0">
            <x v="6"/>
          </reference>
        </references>
      </pivotArea>
    </format>
    <format dxfId="313">
      <pivotArea dataOnly="0" labelOnly="1" outline="0" fieldPosition="0">
        <references count="3">
          <reference field="4" count="1" selected="0">
            <x v="10"/>
          </reference>
          <reference field="5" count="1">
            <x v="44"/>
          </reference>
          <reference field="18" count="1" selected="0">
            <x v="7"/>
          </reference>
        </references>
      </pivotArea>
    </format>
    <format dxfId="312">
      <pivotArea dataOnly="0" labelOnly="1" outline="0" fieldPosition="0">
        <references count="3">
          <reference field="4" count="1" selected="0">
            <x v="10"/>
          </reference>
          <reference field="5" count="1">
            <x v="92"/>
          </reference>
          <reference field="18" count="1" selected="0">
            <x v="8"/>
          </reference>
        </references>
      </pivotArea>
    </format>
    <format dxfId="311">
      <pivotArea dataOnly="0" labelOnly="1" outline="0" fieldPosition="0">
        <references count="3">
          <reference field="4" count="1" selected="0">
            <x v="10"/>
          </reference>
          <reference field="5" count="1">
            <x v="9"/>
          </reference>
          <reference field="18" count="1" selected="0">
            <x v="9"/>
          </reference>
        </references>
      </pivotArea>
    </format>
    <format dxfId="310">
      <pivotArea dataOnly="0" labelOnly="1" outline="0" fieldPosition="0">
        <references count="3">
          <reference field="4" count="1" selected="0">
            <x v="10"/>
          </reference>
          <reference field="5" count="1">
            <x v="10"/>
          </reference>
          <reference field="18" count="1" selected="0">
            <x v="10"/>
          </reference>
        </references>
      </pivotArea>
    </format>
    <format dxfId="309">
      <pivotArea dataOnly="0" labelOnly="1" outline="0" fieldPosition="0">
        <references count="3">
          <reference field="4" count="1" selected="0">
            <x v="10"/>
          </reference>
          <reference field="5" count="1">
            <x v="8"/>
          </reference>
          <reference field="18" count="1" selected="0">
            <x v="11"/>
          </reference>
        </references>
      </pivotArea>
    </format>
    <format dxfId="308">
      <pivotArea dataOnly="0" labelOnly="1" outline="0" fieldPosition="0">
        <references count="3">
          <reference field="4" count="1" selected="0">
            <x v="10"/>
          </reference>
          <reference field="5" count="1">
            <x v="23"/>
          </reference>
          <reference field="18" count="1" selected="0">
            <x v="12"/>
          </reference>
        </references>
      </pivotArea>
    </format>
    <format dxfId="307">
      <pivotArea dataOnly="0" labelOnly="1" outline="0" fieldPosition="0">
        <references count="3">
          <reference field="4" count="1" selected="0">
            <x v="10"/>
          </reference>
          <reference field="5" count="1">
            <x v="28"/>
          </reference>
          <reference field="18" count="1" selected="0">
            <x v="13"/>
          </reference>
        </references>
      </pivotArea>
    </format>
    <format dxfId="306">
      <pivotArea dataOnly="0" labelOnly="1" outline="0" fieldPosition="0">
        <references count="3">
          <reference field="4" count="1" selected="0">
            <x v="10"/>
          </reference>
          <reference field="5" count="1">
            <x v="27"/>
          </reference>
          <reference field="18" count="1" selected="0">
            <x v="14"/>
          </reference>
        </references>
      </pivotArea>
    </format>
    <format dxfId="305">
      <pivotArea dataOnly="0" labelOnly="1" outline="0" fieldPosition="0">
        <references count="3">
          <reference field="4" count="1" selected="0">
            <x v="10"/>
          </reference>
          <reference field="5" count="1">
            <x v="42"/>
          </reference>
          <reference field="18" count="1" selected="0">
            <x v="15"/>
          </reference>
        </references>
      </pivotArea>
    </format>
    <format dxfId="304">
      <pivotArea dataOnly="0" labelOnly="1" outline="0" fieldPosition="0">
        <references count="3">
          <reference field="4" count="1" selected="0">
            <x v="10"/>
          </reference>
          <reference field="5" count="1">
            <x v="18"/>
          </reference>
          <reference field="18" count="1" selected="0">
            <x v="16"/>
          </reference>
        </references>
      </pivotArea>
    </format>
    <format dxfId="303">
      <pivotArea dataOnly="0" labelOnly="1" outline="0" fieldPosition="0">
        <references count="3">
          <reference field="4" count="1" selected="0">
            <x v="10"/>
          </reference>
          <reference field="5" count="1">
            <x v="19"/>
          </reference>
          <reference field="18" count="1" selected="0">
            <x v="17"/>
          </reference>
        </references>
      </pivotArea>
    </format>
    <format dxfId="302">
      <pivotArea dataOnly="0" labelOnly="1" outline="0" fieldPosition="0">
        <references count="3">
          <reference field="4" count="1" selected="0">
            <x v="10"/>
          </reference>
          <reference field="5" count="1">
            <x v="52"/>
          </reference>
          <reference field="18" count="1" selected="0">
            <x v="18"/>
          </reference>
        </references>
      </pivotArea>
    </format>
    <format dxfId="301">
      <pivotArea dataOnly="0" labelOnly="1" outline="0" fieldPosition="0">
        <references count="3">
          <reference field="4" count="1" selected="0">
            <x v="10"/>
          </reference>
          <reference field="5" count="1">
            <x v="53"/>
          </reference>
          <reference field="18" count="1" selected="0">
            <x v="19"/>
          </reference>
        </references>
      </pivotArea>
    </format>
    <format dxfId="300">
      <pivotArea dataOnly="0" labelOnly="1" outline="0" fieldPosition="0">
        <references count="3">
          <reference field="4" count="1" selected="0">
            <x v="10"/>
          </reference>
          <reference field="5" count="1">
            <x v="105"/>
          </reference>
          <reference field="18" count="1" selected="0">
            <x v="20"/>
          </reference>
        </references>
      </pivotArea>
    </format>
    <format dxfId="299">
      <pivotArea dataOnly="0" labelOnly="1" outline="0" fieldPosition="0">
        <references count="3">
          <reference field="4" count="1" selected="0">
            <x v="10"/>
          </reference>
          <reference field="5" count="1">
            <x v="65"/>
          </reference>
          <reference field="18" count="1" selected="0">
            <x v="21"/>
          </reference>
        </references>
      </pivotArea>
    </format>
    <format dxfId="298">
      <pivotArea dataOnly="0" labelOnly="1" outline="0" fieldPosition="0">
        <references count="3">
          <reference field="4" count="1" selected="0">
            <x v="10"/>
          </reference>
          <reference field="5" count="1">
            <x v="75"/>
          </reference>
          <reference field="18" count="1" selected="0">
            <x v="82"/>
          </reference>
        </references>
      </pivotArea>
    </format>
    <format dxfId="297">
      <pivotArea dataOnly="0" labelOnly="1" outline="0" fieldPosition="0">
        <references count="3">
          <reference field="4" count="1" selected="0">
            <x v="10"/>
          </reference>
          <reference field="5" count="1">
            <x v="132"/>
          </reference>
          <reference field="18" count="1" selected="0">
            <x v="131"/>
          </reference>
        </references>
      </pivotArea>
    </format>
    <format dxfId="296">
      <pivotArea outline="0" collapsedLevelsAreSubtotals="1" fieldPosition="0">
        <references count="3">
          <reference field="4" count="1" selected="0">
            <x v="11"/>
          </reference>
          <reference field="5" count="4" selected="0">
            <x v="59"/>
            <x v="60"/>
            <x v="128"/>
            <x v="129"/>
          </reference>
          <reference field="18" count="4" selected="0">
            <x v="98"/>
            <x v="99"/>
            <x v="126"/>
            <x v="127"/>
          </reference>
        </references>
      </pivotArea>
    </format>
    <format dxfId="295">
      <pivotArea dataOnly="0" labelOnly="1" outline="0" fieldPosition="0">
        <references count="1">
          <reference field="4" count="1">
            <x v="11"/>
          </reference>
        </references>
      </pivotArea>
    </format>
    <format dxfId="294">
      <pivotArea dataOnly="0" labelOnly="1" outline="0" fieldPosition="0">
        <references count="2">
          <reference field="4" count="1" selected="0">
            <x v="11"/>
          </reference>
          <reference field="18" count="4">
            <x v="98"/>
            <x v="99"/>
            <x v="126"/>
            <x v="127"/>
          </reference>
        </references>
      </pivotArea>
    </format>
    <format dxfId="293">
      <pivotArea dataOnly="0" labelOnly="1" outline="0" fieldPosition="0">
        <references count="3">
          <reference field="4" count="1" selected="0">
            <x v="11"/>
          </reference>
          <reference field="5" count="1">
            <x v="60"/>
          </reference>
          <reference field="18" count="1" selected="0">
            <x v="98"/>
          </reference>
        </references>
      </pivotArea>
    </format>
    <format dxfId="292">
      <pivotArea dataOnly="0" labelOnly="1" outline="0" fieldPosition="0">
        <references count="3">
          <reference field="4" count="1" selected="0">
            <x v="11"/>
          </reference>
          <reference field="5" count="1">
            <x v="59"/>
          </reference>
          <reference field="18" count="1" selected="0">
            <x v="99"/>
          </reference>
        </references>
      </pivotArea>
    </format>
    <format dxfId="291">
      <pivotArea dataOnly="0" labelOnly="1" outline="0" fieldPosition="0">
        <references count="3">
          <reference field="4" count="1" selected="0">
            <x v="11"/>
          </reference>
          <reference field="5" count="1">
            <x v="128"/>
          </reference>
          <reference field="18" count="1" selected="0">
            <x v="126"/>
          </reference>
        </references>
      </pivotArea>
    </format>
    <format dxfId="290">
      <pivotArea dataOnly="0" labelOnly="1" outline="0" fieldPosition="0">
        <references count="3">
          <reference field="4" count="1" selected="0">
            <x v="11"/>
          </reference>
          <reference field="5" count="1">
            <x v="129"/>
          </reference>
          <reference field="18" count="1" selected="0">
            <x v="127"/>
          </reference>
        </references>
      </pivotArea>
    </format>
    <format dxfId="289">
      <pivotArea outline="0" collapsedLevelsAreSubtotals="1" fieldPosition="0">
        <references count="3">
          <reference field="4" count="1" selected="0">
            <x v="12"/>
          </reference>
          <reference field="5" count="1" selected="0">
            <x v="64"/>
          </reference>
          <reference field="18" count="1" selected="0">
            <x v="104"/>
          </reference>
        </references>
      </pivotArea>
    </format>
    <format dxfId="288">
      <pivotArea dataOnly="0" labelOnly="1" outline="0" fieldPosition="0">
        <references count="1">
          <reference field="4" count="1">
            <x v="12"/>
          </reference>
        </references>
      </pivotArea>
    </format>
    <format dxfId="287">
      <pivotArea dataOnly="0" labelOnly="1" outline="0" fieldPosition="0">
        <references count="2">
          <reference field="4" count="1" selected="0">
            <x v="12"/>
          </reference>
          <reference field="18" count="1">
            <x v="104"/>
          </reference>
        </references>
      </pivotArea>
    </format>
    <format dxfId="286">
      <pivotArea dataOnly="0" labelOnly="1" outline="0" fieldPosition="0">
        <references count="3">
          <reference field="4" count="1" selected="0">
            <x v="12"/>
          </reference>
          <reference field="5" count="1">
            <x v="64"/>
          </reference>
          <reference field="18" count="1" selected="0">
            <x v="104"/>
          </reference>
        </references>
      </pivotArea>
    </format>
    <format dxfId="285">
      <pivotArea outline="0" collapsedLevelsAreSubtotals="1" fieldPosition="0">
        <references count="3">
          <reference field="4" count="1" selected="0">
            <x v="13"/>
          </reference>
          <reference field="5" count="2" selected="0">
            <x v="90"/>
            <x v="91"/>
          </reference>
          <reference field="18" count="2" selected="0">
            <x v="50"/>
            <x v="51"/>
          </reference>
        </references>
      </pivotArea>
    </format>
    <format dxfId="284">
      <pivotArea dataOnly="0" labelOnly="1" outline="0" fieldPosition="0">
        <references count="1">
          <reference field="4" count="1">
            <x v="13"/>
          </reference>
        </references>
      </pivotArea>
    </format>
    <format dxfId="283">
      <pivotArea dataOnly="0" labelOnly="1" outline="0" fieldPosition="0">
        <references count="2">
          <reference field="4" count="1" selected="0">
            <x v="13"/>
          </reference>
          <reference field="18" count="2">
            <x v="50"/>
            <x v="51"/>
          </reference>
        </references>
      </pivotArea>
    </format>
    <format dxfId="282">
      <pivotArea dataOnly="0" labelOnly="1" outline="0" fieldPosition="0">
        <references count="3">
          <reference field="4" count="1" selected="0">
            <x v="13"/>
          </reference>
          <reference field="5" count="1">
            <x v="90"/>
          </reference>
          <reference field="18" count="1" selected="0">
            <x v="50"/>
          </reference>
        </references>
      </pivotArea>
    </format>
    <format dxfId="281">
      <pivotArea dataOnly="0" labelOnly="1" outline="0" fieldPosition="0">
        <references count="3">
          <reference field="4" count="1" selected="0">
            <x v="13"/>
          </reference>
          <reference field="5" count="1">
            <x v="91"/>
          </reference>
          <reference field="18" count="1" selected="0">
            <x v="51"/>
          </reference>
        </references>
      </pivotArea>
    </format>
    <format dxfId="280">
      <pivotArea outline="0" collapsedLevelsAreSubtotals="1" fieldPosition="0">
        <references count="3">
          <reference field="4" count="1" selected="0">
            <x v="14"/>
          </reference>
          <reference field="5" count="22" selected="0">
            <x v="4"/>
            <x v="12"/>
            <x v="13"/>
            <x v="36"/>
            <x v="37"/>
            <x v="38"/>
            <x v="39"/>
            <x v="40"/>
            <x v="41"/>
            <x v="78"/>
            <x v="79"/>
            <x v="80"/>
            <x v="81"/>
            <x v="82"/>
            <x v="89"/>
            <x v="99"/>
            <x v="100"/>
            <x v="101"/>
            <x v="104"/>
            <x v="111"/>
            <x v="131"/>
            <x v="133"/>
          </reference>
          <reference field="18" count="22" selected="0">
            <x v="22"/>
            <x v="23"/>
            <x v="24"/>
            <x v="25"/>
            <x v="26"/>
            <x v="27"/>
            <x v="28"/>
            <x v="29"/>
            <x v="30"/>
            <x v="31"/>
            <x v="32"/>
            <x v="33"/>
            <x v="34"/>
            <x v="35"/>
            <x v="67"/>
            <x v="68"/>
            <x v="69"/>
            <x v="70"/>
            <x v="81"/>
            <x v="110"/>
            <x v="130"/>
            <x v="132"/>
          </reference>
        </references>
      </pivotArea>
    </format>
    <format dxfId="279">
      <pivotArea dataOnly="0" labelOnly="1" outline="0" fieldPosition="0">
        <references count="1">
          <reference field="4" count="1">
            <x v="14"/>
          </reference>
        </references>
      </pivotArea>
    </format>
    <format dxfId="278">
      <pivotArea dataOnly="0" labelOnly="1" outline="0" fieldPosition="0">
        <references count="2">
          <reference field="4" count="1" selected="0">
            <x v="14"/>
          </reference>
          <reference field="18" count="22">
            <x v="22"/>
            <x v="23"/>
            <x v="24"/>
            <x v="25"/>
            <x v="26"/>
            <x v="27"/>
            <x v="28"/>
            <x v="29"/>
            <x v="30"/>
            <x v="31"/>
            <x v="32"/>
            <x v="33"/>
            <x v="34"/>
            <x v="35"/>
            <x v="67"/>
            <x v="68"/>
            <x v="69"/>
            <x v="70"/>
            <x v="81"/>
            <x v="110"/>
            <x v="130"/>
            <x v="132"/>
          </reference>
        </references>
      </pivotArea>
    </format>
    <format dxfId="277">
      <pivotArea dataOnly="0" labelOnly="1" outline="0" fieldPosition="0">
        <references count="3">
          <reference field="4" count="1" selected="0">
            <x v="14"/>
          </reference>
          <reference field="5" count="1">
            <x v="80"/>
          </reference>
          <reference field="18" count="1" selected="0">
            <x v="22"/>
          </reference>
        </references>
      </pivotArea>
    </format>
    <format dxfId="276">
      <pivotArea dataOnly="0" labelOnly="1" outline="0" fieldPosition="0">
        <references count="3">
          <reference field="4" count="1" selected="0">
            <x v="14"/>
          </reference>
          <reference field="5" count="1">
            <x v="82"/>
          </reference>
          <reference field="18" count="1" selected="0">
            <x v="23"/>
          </reference>
        </references>
      </pivotArea>
    </format>
    <format dxfId="275">
      <pivotArea dataOnly="0" labelOnly="1" outline="0" fieldPosition="0">
        <references count="3">
          <reference field="4" count="1" selected="0">
            <x v="14"/>
          </reference>
          <reference field="5" count="1">
            <x v="36"/>
          </reference>
          <reference field="18" count="1" selected="0">
            <x v="24"/>
          </reference>
        </references>
      </pivotArea>
    </format>
    <format dxfId="274">
      <pivotArea dataOnly="0" labelOnly="1" outline="0" fieldPosition="0">
        <references count="3">
          <reference field="4" count="1" selected="0">
            <x v="14"/>
          </reference>
          <reference field="5" count="1">
            <x v="12"/>
          </reference>
          <reference field="18" count="1" selected="0">
            <x v="25"/>
          </reference>
        </references>
      </pivotArea>
    </format>
    <format dxfId="273">
      <pivotArea dataOnly="0" labelOnly="1" outline="0" fieldPosition="0">
        <references count="3">
          <reference field="4" count="1" selected="0">
            <x v="14"/>
          </reference>
          <reference field="5" count="1">
            <x v="39"/>
          </reference>
          <reference field="18" count="1" selected="0">
            <x v="26"/>
          </reference>
        </references>
      </pivotArea>
    </format>
    <format dxfId="272">
      <pivotArea dataOnly="0" labelOnly="1" outline="0" fieldPosition="0">
        <references count="3">
          <reference field="4" count="1" selected="0">
            <x v="14"/>
          </reference>
          <reference field="5" count="1">
            <x v="81"/>
          </reference>
          <reference field="18" count="1" selected="0">
            <x v="27"/>
          </reference>
        </references>
      </pivotArea>
    </format>
    <format dxfId="271">
      <pivotArea dataOnly="0" labelOnly="1" outline="0" fieldPosition="0">
        <references count="3">
          <reference field="4" count="1" selected="0">
            <x v="14"/>
          </reference>
          <reference field="5" count="1">
            <x v="38"/>
          </reference>
          <reference field="18" count="1" selected="0">
            <x v="28"/>
          </reference>
        </references>
      </pivotArea>
    </format>
    <format dxfId="270">
      <pivotArea dataOnly="0" labelOnly="1" outline="0" fieldPosition="0">
        <references count="3">
          <reference field="4" count="1" selected="0">
            <x v="14"/>
          </reference>
          <reference field="5" count="1">
            <x v="79"/>
          </reference>
          <reference field="18" count="1" selected="0">
            <x v="29"/>
          </reference>
        </references>
      </pivotArea>
    </format>
    <format dxfId="269">
      <pivotArea dataOnly="0" labelOnly="1" outline="0" fieldPosition="0">
        <references count="3">
          <reference field="4" count="1" selected="0">
            <x v="14"/>
          </reference>
          <reference field="5" count="1">
            <x v="101"/>
          </reference>
          <reference field="18" count="1" selected="0">
            <x v="30"/>
          </reference>
        </references>
      </pivotArea>
    </format>
    <format dxfId="268">
      <pivotArea dataOnly="0" labelOnly="1" outline="0" fieldPosition="0">
        <references count="3">
          <reference field="4" count="1" selected="0">
            <x v="14"/>
          </reference>
          <reference field="5" count="1">
            <x v="99"/>
          </reference>
          <reference field="18" count="1" selected="0">
            <x v="31"/>
          </reference>
        </references>
      </pivotArea>
    </format>
    <format dxfId="267">
      <pivotArea dataOnly="0" labelOnly="1" outline="0" fieldPosition="0">
        <references count="3">
          <reference field="4" count="1" selected="0">
            <x v="14"/>
          </reference>
          <reference field="5" count="1">
            <x v="100"/>
          </reference>
          <reference field="18" count="1" selected="0">
            <x v="32"/>
          </reference>
        </references>
      </pivotArea>
    </format>
    <format dxfId="266">
      <pivotArea dataOnly="0" labelOnly="1" outline="0" fieldPosition="0">
        <references count="3">
          <reference field="4" count="1" selected="0">
            <x v="14"/>
          </reference>
          <reference field="5" count="1">
            <x v="41"/>
          </reference>
          <reference field="18" count="1" selected="0">
            <x v="33"/>
          </reference>
        </references>
      </pivotArea>
    </format>
    <format dxfId="265">
      <pivotArea dataOnly="0" labelOnly="1" outline="0" fieldPosition="0">
        <references count="3">
          <reference field="4" count="1" selected="0">
            <x v="14"/>
          </reference>
          <reference field="5" count="1">
            <x v="40"/>
          </reference>
          <reference field="18" count="1" selected="0">
            <x v="34"/>
          </reference>
        </references>
      </pivotArea>
    </format>
    <format dxfId="264">
      <pivotArea dataOnly="0" labelOnly="1" outline="0" fieldPosition="0">
        <references count="3">
          <reference field="4" count="1" selected="0">
            <x v="14"/>
          </reference>
          <reference field="5" count="1">
            <x v="89"/>
          </reference>
          <reference field="18" count="1" selected="0">
            <x v="35"/>
          </reference>
        </references>
      </pivotArea>
    </format>
    <format dxfId="263">
      <pivotArea dataOnly="0" labelOnly="1" outline="0" fieldPosition="0">
        <references count="3">
          <reference field="4" count="1" selected="0">
            <x v="14"/>
          </reference>
          <reference field="5" count="1">
            <x v="4"/>
          </reference>
          <reference field="18" count="1" selected="0">
            <x v="67"/>
          </reference>
        </references>
      </pivotArea>
    </format>
    <format dxfId="262">
      <pivotArea dataOnly="0" labelOnly="1" outline="0" fieldPosition="0">
        <references count="3">
          <reference field="4" count="1" selected="0">
            <x v="14"/>
          </reference>
          <reference field="5" count="1">
            <x v="13"/>
          </reference>
          <reference field="18" count="1" selected="0">
            <x v="68"/>
          </reference>
        </references>
      </pivotArea>
    </format>
    <format dxfId="261">
      <pivotArea dataOnly="0" labelOnly="1" outline="0" fieldPosition="0">
        <references count="3">
          <reference field="4" count="1" selected="0">
            <x v="14"/>
          </reference>
          <reference field="5" count="1">
            <x v="104"/>
          </reference>
          <reference field="18" count="1" selected="0">
            <x v="69"/>
          </reference>
        </references>
      </pivotArea>
    </format>
    <format dxfId="260">
      <pivotArea dataOnly="0" labelOnly="1" outline="0" fieldPosition="0">
        <references count="3">
          <reference field="4" count="1" selected="0">
            <x v="14"/>
          </reference>
          <reference field="5" count="1">
            <x v="37"/>
          </reference>
          <reference field="18" count="1" selected="0">
            <x v="70"/>
          </reference>
        </references>
      </pivotArea>
    </format>
    <format dxfId="259">
      <pivotArea dataOnly="0" labelOnly="1" outline="0" fieldPosition="0">
        <references count="3">
          <reference field="4" count="1" selected="0">
            <x v="14"/>
          </reference>
          <reference field="5" count="1">
            <x v="78"/>
          </reference>
          <reference field="18" count="1" selected="0">
            <x v="81"/>
          </reference>
        </references>
      </pivotArea>
    </format>
    <format dxfId="258">
      <pivotArea dataOnly="0" labelOnly="1" outline="0" fieldPosition="0">
        <references count="3">
          <reference field="4" count="1" selected="0">
            <x v="14"/>
          </reference>
          <reference field="5" count="1">
            <x v="111"/>
          </reference>
          <reference field="18" count="1" selected="0">
            <x v="110"/>
          </reference>
        </references>
      </pivotArea>
    </format>
    <format dxfId="257">
      <pivotArea dataOnly="0" labelOnly="1" outline="0" fieldPosition="0">
        <references count="3">
          <reference field="4" count="1" selected="0">
            <x v="14"/>
          </reference>
          <reference field="5" count="1">
            <x v="131"/>
          </reference>
          <reference field="18" count="1" selected="0">
            <x v="130"/>
          </reference>
        </references>
      </pivotArea>
    </format>
    <format dxfId="256">
      <pivotArea dataOnly="0" labelOnly="1" outline="0" fieldPosition="0">
        <references count="3">
          <reference field="4" count="1" selected="0">
            <x v="14"/>
          </reference>
          <reference field="5" count="1">
            <x v="133"/>
          </reference>
          <reference field="18" count="1" selected="0">
            <x v="132"/>
          </reference>
        </references>
      </pivotArea>
    </format>
    <format dxfId="255">
      <pivotArea outline="0" collapsedLevelsAreSubtotals="1" fieldPosition="0">
        <references count="3">
          <reference field="4" count="1" selected="0">
            <x v="15"/>
          </reference>
          <reference field="5" count="1" selected="0">
            <x v="117"/>
          </reference>
          <reference field="18" count="1" selected="0">
            <x v="0"/>
          </reference>
        </references>
      </pivotArea>
    </format>
    <format dxfId="254">
      <pivotArea dataOnly="0" labelOnly="1" outline="0" fieldPosition="0">
        <references count="1">
          <reference field="4" count="1">
            <x v="15"/>
          </reference>
        </references>
      </pivotArea>
    </format>
    <format dxfId="253">
      <pivotArea dataOnly="0" labelOnly="1" outline="0" fieldPosition="0">
        <references count="2">
          <reference field="4" count="1" selected="0">
            <x v="15"/>
          </reference>
          <reference field="18" count="1">
            <x v="0"/>
          </reference>
        </references>
      </pivotArea>
    </format>
    <format dxfId="252">
      <pivotArea dataOnly="0" labelOnly="1" outline="0" fieldPosition="0">
        <references count="3">
          <reference field="4" count="1" selected="0">
            <x v="15"/>
          </reference>
          <reference field="5" count="1">
            <x v="117"/>
          </reference>
          <reference field="18" count="1" selected="0">
            <x v="0"/>
          </reference>
        </references>
      </pivotArea>
    </format>
    <format dxfId="251">
      <pivotArea grandRow="1" outline="0" collapsedLevelsAreSubtotals="1" fieldPosition="0"/>
    </format>
    <format dxfId="250">
      <pivotArea dataOnly="0" labelOnly="1" grandRow="1" outline="0" fieldPosition="0"/>
    </format>
    <format dxfId="249">
      <pivotArea type="all" dataOnly="0" outline="0" fieldPosition="0"/>
    </format>
    <format dxfId="248">
      <pivotArea dataOnly="0" labelOnly="1" outline="0" fieldPosition="0">
        <references count="1">
          <reference field="4" count="0"/>
        </references>
      </pivotArea>
    </format>
    <format dxfId="247">
      <pivotArea dataOnly="0" labelOnly="1" grandRow="1" outline="0" offset="A256" fieldPosition="0"/>
    </format>
    <format dxfId="246">
      <pivotArea field="5" type="button" dataOnly="0" labelOnly="1" outline="0" axis="axisRow" fieldPosition="2"/>
    </format>
    <format dxfId="245">
      <pivotArea dataOnly="0" labelOnly="1" grandRow="1" outline="0" offset="IV256" fieldPosition="0"/>
    </format>
    <format dxfId="244">
      <pivotArea dataOnly="0" labelOnly="1" outline="0" fieldPosition="0">
        <references count="3">
          <reference field="4" count="1" selected="0">
            <x v="0"/>
          </reference>
          <reference field="5" count="1">
            <x v="84"/>
          </reference>
          <reference field="18" count="1" selected="0">
            <x v="37"/>
          </reference>
        </references>
      </pivotArea>
    </format>
    <format dxfId="243">
      <pivotArea dataOnly="0" labelOnly="1" outline="0" fieldPosition="0">
        <references count="3">
          <reference field="4" count="1" selected="0">
            <x v="0"/>
          </reference>
          <reference field="5" count="1">
            <x v="31"/>
          </reference>
          <reference field="18" count="1" selected="0">
            <x v="38"/>
          </reference>
        </references>
      </pivotArea>
    </format>
    <format dxfId="242">
      <pivotArea dataOnly="0" labelOnly="1" outline="0" fieldPosition="0">
        <references count="3">
          <reference field="4" count="1" selected="0">
            <x v="0"/>
          </reference>
          <reference field="5" count="1">
            <x v="1"/>
          </reference>
          <reference field="18" count="1" selected="0">
            <x v="39"/>
          </reference>
        </references>
      </pivotArea>
    </format>
    <format dxfId="241">
      <pivotArea dataOnly="0" labelOnly="1" outline="0" fieldPosition="0">
        <references count="3">
          <reference field="4" count="1" selected="0">
            <x v="0"/>
          </reference>
          <reference field="5" count="1">
            <x v="17"/>
          </reference>
          <reference field="18" count="1" selected="0">
            <x v="40"/>
          </reference>
        </references>
      </pivotArea>
    </format>
    <format dxfId="240">
      <pivotArea dataOnly="0" labelOnly="1" outline="0" fieldPosition="0">
        <references count="3">
          <reference field="4" count="1" selected="0">
            <x v="0"/>
          </reference>
          <reference field="5" count="1">
            <x v="106"/>
          </reference>
          <reference field="18" count="1" selected="0">
            <x v="41"/>
          </reference>
        </references>
      </pivotArea>
    </format>
    <format dxfId="239">
      <pivotArea dataOnly="0" labelOnly="1" outline="0" fieldPosition="0">
        <references count="3">
          <reference field="4" count="1" selected="0">
            <x v="0"/>
          </reference>
          <reference field="5" count="1">
            <x v="66"/>
          </reference>
          <reference field="18" count="1" selected="0">
            <x v="42"/>
          </reference>
        </references>
      </pivotArea>
    </format>
    <format dxfId="238">
      <pivotArea dataOnly="0" labelOnly="1" outline="0" fieldPosition="0">
        <references count="3">
          <reference field="4" count="1" selected="0">
            <x v="0"/>
          </reference>
          <reference field="5" count="1">
            <x v="94"/>
          </reference>
          <reference field="18" count="1" selected="0">
            <x v="43"/>
          </reference>
        </references>
      </pivotArea>
    </format>
    <format dxfId="237">
      <pivotArea dataOnly="0" labelOnly="1" outline="0" fieldPosition="0">
        <references count="3">
          <reference field="4" count="1" selected="0">
            <x v="0"/>
          </reference>
          <reference field="5" count="1">
            <x v="77"/>
          </reference>
          <reference field="18" count="1" selected="0">
            <x v="93"/>
          </reference>
        </references>
      </pivotArea>
    </format>
    <format dxfId="236">
      <pivotArea dataOnly="0" labelOnly="1" outline="0" fieldPosition="0">
        <references count="3">
          <reference field="4" count="1" selected="0">
            <x v="0"/>
          </reference>
          <reference field="5" count="1">
            <x v="112"/>
          </reference>
          <reference field="18" count="1" selected="0">
            <x v="111"/>
          </reference>
        </references>
      </pivotArea>
    </format>
    <format dxfId="235">
      <pivotArea dataOnly="0" labelOnly="1" outline="0" fieldPosition="0">
        <references count="3">
          <reference field="4" count="1" selected="0">
            <x v="0"/>
          </reference>
          <reference field="5" count="1">
            <x v="115"/>
          </reference>
          <reference field="18" count="1" selected="0">
            <x v="114"/>
          </reference>
        </references>
      </pivotArea>
    </format>
    <format dxfId="234">
      <pivotArea dataOnly="0" labelOnly="1" outline="0" fieldPosition="0">
        <references count="3">
          <reference field="4" count="1" selected="0">
            <x v="1"/>
          </reference>
          <reference field="5" count="1">
            <x v="6"/>
          </reference>
          <reference field="18" count="1" selected="0">
            <x v="36"/>
          </reference>
        </references>
      </pivotArea>
    </format>
    <format dxfId="233">
      <pivotArea dataOnly="0" labelOnly="1" outline="0" fieldPosition="0">
        <references count="3">
          <reference field="4" count="1" selected="0">
            <x v="1"/>
          </reference>
          <reference field="5" count="1">
            <x v="29"/>
          </reference>
          <reference field="18" count="1" selected="0">
            <x v="94"/>
          </reference>
        </references>
      </pivotArea>
    </format>
    <format dxfId="232">
      <pivotArea dataOnly="0" labelOnly="1" outline="0" fieldPosition="0">
        <references count="3">
          <reference field="4" count="1" selected="0">
            <x v="1"/>
          </reference>
          <reference field="5" count="1">
            <x v="118"/>
          </reference>
          <reference field="18" count="1" selected="0">
            <x v="116"/>
          </reference>
        </references>
      </pivotArea>
    </format>
    <format dxfId="231">
      <pivotArea dataOnly="0" labelOnly="1" outline="0" fieldPosition="0">
        <references count="3">
          <reference field="4" count="1" selected="0">
            <x v="2"/>
          </reference>
          <reference field="5" count="2">
            <x v="103"/>
            <x v="117"/>
          </reference>
          <reference field="18" count="1" selected="0">
            <x v="0"/>
          </reference>
        </references>
      </pivotArea>
    </format>
    <format dxfId="230">
      <pivotArea dataOnly="0" labelOnly="1" outline="0" fieldPosition="0">
        <references count="3">
          <reference field="4" count="1" selected="0">
            <x v="2"/>
          </reference>
          <reference field="5" count="1">
            <x v="54"/>
          </reference>
          <reference field="18" count="1" selected="0">
            <x v="62"/>
          </reference>
        </references>
      </pivotArea>
    </format>
    <format dxfId="229">
      <pivotArea dataOnly="0" labelOnly="1" outline="0" fieldPosition="0">
        <references count="3">
          <reference field="4" count="1" selected="0">
            <x v="2"/>
          </reference>
          <reference field="5" count="1">
            <x v="67"/>
          </reference>
          <reference field="18" count="1" selected="0">
            <x v="64"/>
          </reference>
        </references>
      </pivotArea>
    </format>
    <format dxfId="228">
      <pivotArea dataOnly="0" labelOnly="1" outline="0" fieldPosition="0">
        <references count="3">
          <reference field="4" count="1" selected="0">
            <x v="2"/>
          </reference>
          <reference field="5" count="1">
            <x v="107"/>
          </reference>
          <reference field="18" count="1" selected="0">
            <x v="65"/>
          </reference>
        </references>
      </pivotArea>
    </format>
    <format dxfId="227">
      <pivotArea dataOnly="0" labelOnly="1" outline="0" fieldPosition="0">
        <references count="3">
          <reference field="4" count="1" selected="0">
            <x v="2"/>
          </reference>
          <reference field="5" count="1">
            <x v="5"/>
          </reference>
          <reference field="18" count="1" selected="0">
            <x v="66"/>
          </reference>
        </references>
      </pivotArea>
    </format>
    <format dxfId="226">
      <pivotArea dataOnly="0" labelOnly="1" outline="0" fieldPosition="0">
        <references count="3">
          <reference field="4" count="1" selected="0">
            <x v="2"/>
          </reference>
          <reference field="5" count="1">
            <x v="3"/>
          </reference>
          <reference field="18" count="1" selected="0">
            <x v="83"/>
          </reference>
        </references>
      </pivotArea>
    </format>
    <format dxfId="225">
      <pivotArea dataOnly="0" labelOnly="1" outline="0" fieldPosition="0">
        <references count="3">
          <reference field="4" count="1" selected="0">
            <x v="2"/>
          </reference>
          <reference field="5" count="1">
            <x v="7"/>
          </reference>
          <reference field="18" count="1" selected="0">
            <x v="84"/>
          </reference>
        </references>
      </pivotArea>
    </format>
    <format dxfId="224">
      <pivotArea dataOnly="0" labelOnly="1" outline="0" fieldPosition="0">
        <references count="3">
          <reference field="4" count="1" selected="0">
            <x v="2"/>
          </reference>
          <reference field="5" count="1">
            <x v="2"/>
          </reference>
          <reference field="18" count="1" selected="0">
            <x v="85"/>
          </reference>
        </references>
      </pivotArea>
    </format>
    <format dxfId="223">
      <pivotArea dataOnly="0" labelOnly="1" outline="0" fieldPosition="0">
        <references count="3">
          <reference field="4" count="1" selected="0">
            <x v="2"/>
          </reference>
          <reference field="5" count="1">
            <x v="0"/>
          </reference>
          <reference field="18" count="1" selected="0">
            <x v="86"/>
          </reference>
        </references>
      </pivotArea>
    </format>
    <format dxfId="222">
      <pivotArea dataOnly="0" labelOnly="1" outline="0" fieldPosition="0">
        <references count="3">
          <reference field="4" count="1" selected="0">
            <x v="2"/>
          </reference>
          <reference field="5" count="1">
            <x v="30"/>
          </reference>
          <reference field="18" count="1" selected="0">
            <x v="87"/>
          </reference>
        </references>
      </pivotArea>
    </format>
    <format dxfId="221">
      <pivotArea dataOnly="0" labelOnly="1" outline="0" fieldPosition="0">
        <references count="3">
          <reference field="4" count="1" selected="0">
            <x v="2"/>
          </reference>
          <reference field="5" count="1">
            <x v="83"/>
          </reference>
          <reference field="18" count="1" selected="0">
            <x v="88"/>
          </reference>
        </references>
      </pivotArea>
    </format>
    <format dxfId="220">
      <pivotArea dataOnly="0" labelOnly="1" outline="0" fieldPosition="0">
        <references count="3">
          <reference field="4" count="1" selected="0">
            <x v="2"/>
          </reference>
          <reference field="5" count="1">
            <x v="86"/>
          </reference>
          <reference field="18" count="1" selected="0">
            <x v="89"/>
          </reference>
        </references>
      </pivotArea>
    </format>
    <format dxfId="219">
      <pivotArea dataOnly="0" labelOnly="1" outline="0" fieldPosition="0">
        <references count="3">
          <reference field="4" count="1" selected="0">
            <x v="2"/>
          </reference>
          <reference field="5" count="1">
            <x v="102"/>
          </reference>
          <reference field="18" count="1" selected="0">
            <x v="90"/>
          </reference>
        </references>
      </pivotArea>
    </format>
    <format dxfId="218">
      <pivotArea dataOnly="0" labelOnly="1" outline="0" fieldPosition="0">
        <references count="3">
          <reference field="4" count="1" selected="0">
            <x v="2"/>
          </reference>
          <reference field="5" count="1">
            <x v="14"/>
          </reference>
          <reference field="18" count="1" selected="0">
            <x v="91"/>
          </reference>
        </references>
      </pivotArea>
    </format>
    <format dxfId="217">
      <pivotArea dataOnly="0" labelOnly="1" outline="0" fieldPosition="0">
        <references count="3">
          <reference field="4" count="1" selected="0">
            <x v="2"/>
          </reference>
          <reference field="5" count="1">
            <x v="63"/>
          </reference>
          <reference field="18" count="1" selected="0">
            <x v="92"/>
          </reference>
        </references>
      </pivotArea>
    </format>
    <format dxfId="216">
      <pivotArea dataOnly="0" labelOnly="1" outline="0" fieldPosition="0">
        <references count="3">
          <reference field="4" count="1" selected="0">
            <x v="2"/>
          </reference>
          <reference field="5" count="1">
            <x v="114"/>
          </reference>
          <reference field="18" count="1" selected="0">
            <x v="113"/>
          </reference>
        </references>
      </pivotArea>
    </format>
    <format dxfId="215">
      <pivotArea dataOnly="0" labelOnly="1" outline="0" fieldPosition="0">
        <references count="3">
          <reference field="4" count="1" selected="0">
            <x v="2"/>
          </reference>
          <reference field="5" count="1">
            <x v="122"/>
          </reference>
          <reference field="18" count="1" selected="0">
            <x v="120"/>
          </reference>
        </references>
      </pivotArea>
    </format>
    <format dxfId="214">
      <pivotArea dataOnly="0" labelOnly="1" outline="0" fieldPosition="0">
        <references count="3">
          <reference field="4" count="1" selected="0">
            <x v="2"/>
          </reference>
          <reference field="5" count="1">
            <x v="123"/>
          </reference>
          <reference field="18" count="1" selected="0">
            <x v="121"/>
          </reference>
        </references>
      </pivotArea>
    </format>
    <format dxfId="213">
      <pivotArea dataOnly="0" labelOnly="1" outline="0" fieldPosition="0">
        <references count="3">
          <reference field="4" count="1" selected="0">
            <x v="3"/>
          </reference>
          <reference field="5" count="1">
            <x v="61"/>
          </reference>
          <reference field="18" count="1" selected="0">
            <x v="101"/>
          </reference>
        </references>
      </pivotArea>
    </format>
    <format dxfId="212">
      <pivotArea dataOnly="0" labelOnly="1" outline="0" fieldPosition="0">
        <references count="3">
          <reference field="4" count="1" selected="0">
            <x v="3"/>
          </reference>
          <reference field="5" count="1">
            <x v="21"/>
          </reference>
          <reference field="18" count="1" selected="0">
            <x v="105"/>
          </reference>
        </references>
      </pivotArea>
    </format>
    <format dxfId="211">
      <pivotArea dataOnly="0" labelOnly="1" outline="0" fieldPosition="0">
        <references count="3">
          <reference field="4" count="1" selected="0">
            <x v="3"/>
          </reference>
          <reference field="5" count="1">
            <x v="22"/>
          </reference>
          <reference field="18" count="1" selected="0">
            <x v="106"/>
          </reference>
        </references>
      </pivotArea>
    </format>
    <format dxfId="210">
      <pivotArea dataOnly="0" labelOnly="1" outline="0" fieldPosition="0">
        <references count="3">
          <reference field="4" count="1" selected="0">
            <x v="3"/>
          </reference>
          <reference field="5" count="1">
            <x v="120"/>
          </reference>
          <reference field="18" count="1" selected="0">
            <x v="118"/>
          </reference>
        </references>
      </pivotArea>
    </format>
    <format dxfId="209">
      <pivotArea dataOnly="0" labelOnly="1" outline="0" fieldPosition="0">
        <references count="3">
          <reference field="4" count="1" selected="0">
            <x v="3"/>
          </reference>
          <reference field="5" count="1">
            <x v="125"/>
          </reference>
          <reference field="18" count="1" selected="0">
            <x v="123"/>
          </reference>
        </references>
      </pivotArea>
    </format>
    <format dxfId="208">
      <pivotArea dataOnly="0" labelOnly="1" outline="0" fieldPosition="0">
        <references count="3">
          <reference field="4" count="1" selected="0">
            <x v="3"/>
          </reference>
          <reference field="5" count="1">
            <x v="130"/>
          </reference>
          <reference field="18" count="1" selected="0">
            <x v="128"/>
          </reference>
        </references>
      </pivotArea>
    </format>
    <format dxfId="207">
      <pivotArea dataOnly="0" labelOnly="1" outline="0" fieldPosition="0">
        <references count="3">
          <reference field="4" count="1" selected="0">
            <x v="3"/>
          </reference>
          <reference field="5" count="1">
            <x v="134"/>
          </reference>
          <reference field="18" count="1" selected="0">
            <x v="129"/>
          </reference>
        </references>
      </pivotArea>
    </format>
    <format dxfId="206">
      <pivotArea dataOnly="0" labelOnly="1" outline="0" fieldPosition="0">
        <references count="3">
          <reference field="4" count="1" selected="0">
            <x v="4"/>
          </reference>
          <reference field="5" count="1">
            <x v="50"/>
          </reference>
          <reference field="18" count="1" selected="0">
            <x v="49"/>
          </reference>
        </references>
      </pivotArea>
    </format>
    <format dxfId="205">
      <pivotArea dataOnly="0" labelOnly="1" outline="0" fieldPosition="0">
        <references count="3">
          <reference field="4" count="1" selected="0">
            <x v="4"/>
          </reference>
          <reference field="5" count="1">
            <x v="26"/>
          </reference>
          <reference field="18" count="1" selected="0">
            <x v="75"/>
          </reference>
        </references>
      </pivotArea>
    </format>
    <format dxfId="204">
      <pivotArea dataOnly="0" labelOnly="1" outline="0" fieldPosition="0">
        <references count="3">
          <reference field="4" count="1" selected="0">
            <x v="4"/>
          </reference>
          <reference field="5" count="1">
            <x v="46"/>
          </reference>
          <reference field="18" count="1" selected="0">
            <x v="77"/>
          </reference>
        </references>
      </pivotArea>
    </format>
    <format dxfId="203">
      <pivotArea dataOnly="0" labelOnly="1" outline="0" fieldPosition="0">
        <references count="3">
          <reference field="4" count="1" selected="0">
            <x v="4"/>
          </reference>
          <reference field="5" count="1">
            <x v="45"/>
          </reference>
          <reference field="18" count="1" selected="0">
            <x v="78"/>
          </reference>
        </references>
      </pivotArea>
    </format>
    <format dxfId="202">
      <pivotArea dataOnly="0" labelOnly="1" outline="0" fieldPosition="0">
        <references count="3">
          <reference field="4" count="1" selected="0">
            <x v="4"/>
          </reference>
          <reference field="5" count="1">
            <x v="35"/>
          </reference>
          <reference field="18" count="1" selected="0">
            <x v="79"/>
          </reference>
        </references>
      </pivotArea>
    </format>
    <format dxfId="201">
      <pivotArea dataOnly="0" labelOnly="1" outline="0" fieldPosition="0">
        <references count="3">
          <reference field="4" count="1" selected="0">
            <x v="4"/>
          </reference>
          <reference field="5" count="1">
            <x v="108"/>
          </reference>
          <reference field="18" count="1" selected="0">
            <x v="107"/>
          </reference>
        </references>
      </pivotArea>
    </format>
    <format dxfId="200">
      <pivotArea dataOnly="0" labelOnly="1" outline="0" fieldPosition="0">
        <references count="3">
          <reference field="4" count="1" selected="0">
            <x v="4"/>
          </reference>
          <reference field="5" count="1">
            <x v="110"/>
          </reference>
          <reference field="18" count="1" selected="0">
            <x v="109"/>
          </reference>
        </references>
      </pivotArea>
    </format>
    <format dxfId="199">
      <pivotArea dataOnly="0" labelOnly="1" outline="0" fieldPosition="0">
        <references count="3">
          <reference field="4" count="1" selected="0">
            <x v="4"/>
          </reference>
          <reference field="5" count="1">
            <x v="119"/>
          </reference>
          <reference field="18" count="1" selected="0">
            <x v="117"/>
          </reference>
        </references>
      </pivotArea>
    </format>
    <format dxfId="198">
      <pivotArea dataOnly="0" labelOnly="1" outline="0" fieldPosition="0">
        <references count="3">
          <reference field="4" count="1" selected="0">
            <x v="4"/>
          </reference>
          <reference field="5" count="1">
            <x v="121"/>
          </reference>
          <reference field="18" count="1" selected="0">
            <x v="119"/>
          </reference>
        </references>
      </pivotArea>
    </format>
    <format dxfId="197">
      <pivotArea dataOnly="0" labelOnly="1" outline="0" fieldPosition="0">
        <references count="3">
          <reference field="4" count="1" selected="0">
            <x v="5"/>
          </reference>
          <reference field="5" count="1">
            <x v="48"/>
          </reference>
          <reference field="18" count="1" selected="0">
            <x v="102"/>
          </reference>
        </references>
      </pivotArea>
    </format>
    <format dxfId="196">
      <pivotArea dataOnly="0" labelOnly="1" outline="0" fieldPosition="0">
        <references count="3">
          <reference field="4" count="1" selected="0">
            <x v="5"/>
          </reference>
          <reference field="5" count="1">
            <x v="15"/>
          </reference>
          <reference field="18" count="1" selected="0">
            <x v="103"/>
          </reference>
        </references>
      </pivotArea>
    </format>
    <format dxfId="195">
      <pivotArea dataOnly="0" labelOnly="1" outline="0" fieldPosition="0">
        <references count="3">
          <reference field="4" count="1" selected="0">
            <x v="5"/>
          </reference>
          <reference field="5" count="1">
            <x v="135"/>
          </reference>
          <reference field="18" count="1" selected="0">
            <x v="133"/>
          </reference>
        </references>
      </pivotArea>
    </format>
    <format dxfId="194">
      <pivotArea dataOnly="0" labelOnly="1" outline="0" fieldPosition="0">
        <references count="3">
          <reference field="4" count="1" selected="0">
            <x v="6"/>
          </reference>
          <reference field="5" count="1">
            <x v="49"/>
          </reference>
          <reference field="18" count="1" selected="0">
            <x v="57"/>
          </reference>
        </references>
      </pivotArea>
    </format>
    <format dxfId="193">
      <pivotArea dataOnly="0" labelOnly="1" outline="0" fieldPosition="0">
        <references count="3">
          <reference field="4" count="1" selected="0">
            <x v="6"/>
          </reference>
          <reference field="5" count="1">
            <x v="24"/>
          </reference>
          <reference field="18" count="1" selected="0">
            <x v="58"/>
          </reference>
        </references>
      </pivotArea>
    </format>
    <format dxfId="192">
      <pivotArea dataOnly="0" labelOnly="1" outline="0" fieldPosition="0">
        <references count="3">
          <reference field="4" count="1" selected="0">
            <x v="6"/>
          </reference>
          <reference field="5" count="1">
            <x v="68"/>
          </reference>
          <reference field="18" count="1" selected="0">
            <x v="59"/>
          </reference>
        </references>
      </pivotArea>
    </format>
    <format dxfId="191">
      <pivotArea dataOnly="0" labelOnly="1" outline="0" fieldPosition="0">
        <references count="3">
          <reference field="4" count="1" selected="0">
            <x v="7"/>
          </reference>
          <reference field="5" count="1">
            <x v="93"/>
          </reference>
          <reference field="18" count="1" selected="0">
            <x v="60"/>
          </reference>
        </references>
      </pivotArea>
    </format>
    <format dxfId="190">
      <pivotArea dataOnly="0" labelOnly="1" outline="0" fieldPosition="0">
        <references count="3">
          <reference field="4" count="1" selected="0">
            <x v="7"/>
          </reference>
          <reference field="5" count="1">
            <x v="69"/>
          </reference>
          <reference field="18" count="1" selected="0">
            <x v="80"/>
          </reference>
        </references>
      </pivotArea>
    </format>
    <format dxfId="189">
      <pivotArea dataOnly="0" labelOnly="1" outline="0" fieldPosition="0">
        <references count="3">
          <reference field="4" count="1" selected="0">
            <x v="8"/>
          </reference>
          <reference field="5" count="1">
            <x v="55"/>
          </reference>
          <reference field="18" count="1" selected="0">
            <x v="44"/>
          </reference>
        </references>
      </pivotArea>
    </format>
    <format dxfId="188">
      <pivotArea dataOnly="0" labelOnly="1" outline="0" fieldPosition="0">
        <references count="3">
          <reference field="4" count="1" selected="0">
            <x v="8"/>
          </reference>
          <reference field="5" count="1">
            <x v="47"/>
          </reference>
          <reference field="18" count="1" selected="0">
            <x v="46"/>
          </reference>
        </references>
      </pivotArea>
    </format>
    <format dxfId="187">
      <pivotArea dataOnly="0" labelOnly="1" outline="0" fieldPosition="0">
        <references count="3">
          <reference field="4" count="1" selected="0">
            <x v="8"/>
          </reference>
          <reference field="5" count="1">
            <x v="72"/>
          </reference>
          <reference field="18" count="1" selected="0">
            <x v="47"/>
          </reference>
        </references>
      </pivotArea>
    </format>
    <format dxfId="186">
      <pivotArea dataOnly="0" labelOnly="1" outline="0" fieldPosition="0">
        <references count="3">
          <reference field="4" count="1" selected="0">
            <x v="8"/>
          </reference>
          <reference field="5" count="1">
            <x v="43"/>
          </reference>
          <reference field="18" count="1" selected="0">
            <x v="48"/>
          </reference>
        </references>
      </pivotArea>
    </format>
    <format dxfId="185">
      <pivotArea dataOnly="0" labelOnly="1" outline="0" fieldPosition="0">
        <references count="3">
          <reference field="4" count="1" selected="0">
            <x v="8"/>
          </reference>
          <reference field="5" count="1">
            <x v="33"/>
          </reference>
          <reference field="18" count="1" selected="0">
            <x v="52"/>
          </reference>
        </references>
      </pivotArea>
    </format>
    <format dxfId="184">
      <pivotArea dataOnly="0" labelOnly="1" outline="0" fieldPosition="0">
        <references count="3">
          <reference field="4" count="1" selected="0">
            <x v="8"/>
          </reference>
          <reference field="5" count="1">
            <x v="34"/>
          </reference>
          <reference field="18" count="1" selected="0">
            <x v="53"/>
          </reference>
        </references>
      </pivotArea>
    </format>
    <format dxfId="183">
      <pivotArea dataOnly="0" labelOnly="1" outline="0" fieldPosition="0">
        <references count="3">
          <reference field="4" count="1" selected="0">
            <x v="8"/>
          </reference>
          <reference field="5" count="1">
            <x v="32"/>
          </reference>
          <reference field="18" count="1" selected="0">
            <x v="54"/>
          </reference>
        </references>
      </pivotArea>
    </format>
    <format dxfId="182">
      <pivotArea dataOnly="0" labelOnly="1" outline="0" fieldPosition="0">
        <references count="3">
          <reference field="4" count="1" selected="0">
            <x v="8"/>
          </reference>
          <reference field="5" count="1">
            <x v="74"/>
          </reference>
          <reference field="18" count="1" selected="0">
            <x v="55"/>
          </reference>
        </references>
      </pivotArea>
    </format>
    <format dxfId="181">
      <pivotArea dataOnly="0" labelOnly="1" outline="0" fieldPosition="0">
        <references count="3">
          <reference field="4" count="1" selected="0">
            <x v="8"/>
          </reference>
          <reference field="5" count="1">
            <x v="87"/>
          </reference>
          <reference field="18" count="1" selected="0">
            <x v="56"/>
          </reference>
        </references>
      </pivotArea>
    </format>
    <format dxfId="180">
      <pivotArea dataOnly="0" labelOnly="1" outline="0" fieldPosition="0">
        <references count="3">
          <reference field="4" count="1" selected="0">
            <x v="8"/>
          </reference>
          <reference field="5" count="1">
            <x v="20"/>
          </reference>
          <reference field="18" count="1" selected="0">
            <x v="71"/>
          </reference>
        </references>
      </pivotArea>
    </format>
    <format dxfId="179">
      <pivotArea dataOnly="0" labelOnly="1" outline="0" fieldPosition="0">
        <references count="3">
          <reference field="4" count="1" selected="0">
            <x v="8"/>
          </reference>
          <reference field="5" count="1">
            <x v="16"/>
          </reference>
          <reference field="18" count="1" selected="0">
            <x v="72"/>
          </reference>
        </references>
      </pivotArea>
    </format>
    <format dxfId="178">
      <pivotArea dataOnly="0" labelOnly="1" outline="0" fieldPosition="0">
        <references count="3">
          <reference field="4" count="1" selected="0">
            <x v="8"/>
          </reference>
          <reference field="5" count="1">
            <x v="11"/>
          </reference>
          <reference field="18" count="1" selected="0">
            <x v="73"/>
          </reference>
        </references>
      </pivotArea>
    </format>
    <format dxfId="177">
      <pivotArea dataOnly="0" labelOnly="1" outline="0" fieldPosition="0">
        <references count="3">
          <reference field="4" count="1" selected="0">
            <x v="8"/>
          </reference>
          <reference field="5" count="1">
            <x v="76"/>
          </reference>
          <reference field="18" count="1" selected="0">
            <x v="74"/>
          </reference>
        </references>
      </pivotArea>
    </format>
    <format dxfId="176">
      <pivotArea dataOnly="0" labelOnly="1" outline="0" fieldPosition="0">
        <references count="3">
          <reference field="4" count="1" selected="0">
            <x v="8"/>
          </reference>
          <reference field="5" count="1">
            <x v="71"/>
          </reference>
          <reference field="18" count="1" selected="0">
            <x v="76"/>
          </reference>
        </references>
      </pivotArea>
    </format>
    <format dxfId="175">
      <pivotArea dataOnly="0" labelOnly="1" outline="0" fieldPosition="0">
        <references count="3">
          <reference field="4" count="1" selected="0">
            <x v="8"/>
          </reference>
          <reference field="5" count="1">
            <x v="113"/>
          </reference>
          <reference field="18" count="1" selected="0">
            <x v="112"/>
          </reference>
        </references>
      </pivotArea>
    </format>
    <format dxfId="174">
      <pivotArea dataOnly="0" labelOnly="1" outline="0" fieldPosition="0">
        <references count="3">
          <reference field="4" count="1" selected="0">
            <x v="9"/>
          </reference>
          <reference field="5" count="1">
            <x v="57"/>
          </reference>
          <reference field="18" count="1" selected="0">
            <x v="100"/>
          </reference>
        </references>
      </pivotArea>
    </format>
    <format dxfId="173">
      <pivotArea dataOnly="0" labelOnly="1" outline="0" fieldPosition="0">
        <references count="3">
          <reference field="4" count="1" selected="0">
            <x v="9"/>
          </reference>
          <reference field="5" count="1">
            <x v="126"/>
          </reference>
          <reference field="18" count="1" selected="0">
            <x v="124"/>
          </reference>
        </references>
      </pivotArea>
    </format>
    <format dxfId="172">
      <pivotArea dataOnly="0" labelOnly="1" outline="0" fieldPosition="0">
        <references count="3">
          <reference field="4" count="1" selected="0">
            <x v="9"/>
          </reference>
          <reference field="5" count="1">
            <x v="127"/>
          </reference>
          <reference field="18" count="1" selected="0">
            <x v="125"/>
          </reference>
        </references>
      </pivotArea>
    </format>
    <format dxfId="171">
      <pivotArea dataOnly="0" labelOnly="1" outline="0" fieldPosition="0">
        <references count="3">
          <reference field="4" count="1" selected="0">
            <x v="10"/>
          </reference>
          <reference field="5" count="2">
            <x v="85"/>
            <x v="117"/>
          </reference>
          <reference field="18" count="1" selected="0">
            <x v="0"/>
          </reference>
        </references>
      </pivotArea>
    </format>
    <format dxfId="170">
      <pivotArea dataOnly="0" labelOnly="1" outline="0" fieldPosition="0">
        <references count="3">
          <reference field="4" count="1" selected="0">
            <x v="10"/>
          </reference>
          <reference field="5" count="1">
            <x v="95"/>
          </reference>
          <reference field="18" count="1" selected="0">
            <x v="1"/>
          </reference>
        </references>
      </pivotArea>
    </format>
    <format dxfId="169">
      <pivotArea dataOnly="0" labelOnly="1" outline="0" fieldPosition="0">
        <references count="3">
          <reference field="4" count="1" selected="0">
            <x v="10"/>
          </reference>
          <reference field="5" count="1">
            <x v="73"/>
          </reference>
          <reference field="18" count="1" selected="0">
            <x v="2"/>
          </reference>
        </references>
      </pivotArea>
    </format>
    <format dxfId="168">
      <pivotArea dataOnly="0" labelOnly="1" outline="0" fieldPosition="0">
        <references count="3">
          <reference field="4" count="1" selected="0">
            <x v="10"/>
          </reference>
          <reference field="5" count="1">
            <x v="97"/>
          </reference>
          <reference field="18" count="1" selected="0">
            <x v="3"/>
          </reference>
        </references>
      </pivotArea>
    </format>
    <format dxfId="167">
      <pivotArea dataOnly="0" labelOnly="1" outline="0" fieldPosition="0">
        <references count="3">
          <reference field="4" count="1" selected="0">
            <x v="10"/>
          </reference>
          <reference field="5" count="1">
            <x v="96"/>
          </reference>
          <reference field="18" count="1" selected="0">
            <x v="4"/>
          </reference>
        </references>
      </pivotArea>
    </format>
    <format dxfId="166">
      <pivotArea dataOnly="0" labelOnly="1" outline="0" fieldPosition="0">
        <references count="3">
          <reference field="4" count="1" selected="0">
            <x v="10"/>
          </reference>
          <reference field="5" count="1">
            <x v="98"/>
          </reference>
          <reference field="18" count="1" selected="0">
            <x v="5"/>
          </reference>
        </references>
      </pivotArea>
    </format>
    <format dxfId="165">
      <pivotArea dataOnly="0" labelOnly="1" outline="0" fieldPosition="0">
        <references count="3">
          <reference field="4" count="1" selected="0">
            <x v="10"/>
          </reference>
          <reference field="5" count="1">
            <x v="88"/>
          </reference>
          <reference field="18" count="1" selected="0">
            <x v="6"/>
          </reference>
        </references>
      </pivotArea>
    </format>
    <format dxfId="164">
      <pivotArea dataOnly="0" labelOnly="1" outline="0" fieldPosition="0">
        <references count="3">
          <reference field="4" count="1" selected="0">
            <x v="10"/>
          </reference>
          <reference field="5" count="1">
            <x v="44"/>
          </reference>
          <reference field="18" count="1" selected="0">
            <x v="7"/>
          </reference>
        </references>
      </pivotArea>
    </format>
    <format dxfId="163">
      <pivotArea dataOnly="0" labelOnly="1" outline="0" fieldPosition="0">
        <references count="3">
          <reference field="4" count="1" selected="0">
            <x v="10"/>
          </reference>
          <reference field="5" count="1">
            <x v="92"/>
          </reference>
          <reference field="18" count="1" selected="0">
            <x v="8"/>
          </reference>
        </references>
      </pivotArea>
    </format>
    <format dxfId="162">
      <pivotArea dataOnly="0" labelOnly="1" outline="0" fieldPosition="0">
        <references count="3">
          <reference field="4" count="1" selected="0">
            <x v="10"/>
          </reference>
          <reference field="5" count="1">
            <x v="9"/>
          </reference>
          <reference field="18" count="1" selected="0">
            <x v="9"/>
          </reference>
        </references>
      </pivotArea>
    </format>
    <format dxfId="161">
      <pivotArea dataOnly="0" labelOnly="1" outline="0" fieldPosition="0">
        <references count="3">
          <reference field="4" count="1" selected="0">
            <x v="10"/>
          </reference>
          <reference field="5" count="1">
            <x v="10"/>
          </reference>
          <reference field="18" count="1" selected="0">
            <x v="10"/>
          </reference>
        </references>
      </pivotArea>
    </format>
    <format dxfId="160">
      <pivotArea dataOnly="0" labelOnly="1" outline="0" fieldPosition="0">
        <references count="3">
          <reference field="4" count="1" selected="0">
            <x v="10"/>
          </reference>
          <reference field="5" count="1">
            <x v="8"/>
          </reference>
          <reference field="18" count="1" selected="0">
            <x v="11"/>
          </reference>
        </references>
      </pivotArea>
    </format>
    <format dxfId="159">
      <pivotArea dataOnly="0" labelOnly="1" outline="0" fieldPosition="0">
        <references count="3">
          <reference field="4" count="1" selected="0">
            <x v="10"/>
          </reference>
          <reference field="5" count="1">
            <x v="23"/>
          </reference>
          <reference field="18" count="1" selected="0">
            <x v="12"/>
          </reference>
        </references>
      </pivotArea>
    </format>
    <format dxfId="158">
      <pivotArea dataOnly="0" labelOnly="1" outline="0" fieldPosition="0">
        <references count="3">
          <reference field="4" count="1" selected="0">
            <x v="10"/>
          </reference>
          <reference field="5" count="1">
            <x v="28"/>
          </reference>
          <reference field="18" count="1" selected="0">
            <x v="13"/>
          </reference>
        </references>
      </pivotArea>
    </format>
    <format dxfId="157">
      <pivotArea dataOnly="0" labelOnly="1" outline="0" fieldPosition="0">
        <references count="3">
          <reference field="4" count="1" selected="0">
            <x v="10"/>
          </reference>
          <reference field="5" count="1">
            <x v="27"/>
          </reference>
          <reference field="18" count="1" selected="0">
            <x v="14"/>
          </reference>
        </references>
      </pivotArea>
    </format>
    <format dxfId="156">
      <pivotArea dataOnly="0" labelOnly="1" outline="0" fieldPosition="0">
        <references count="3">
          <reference field="4" count="1" selected="0">
            <x v="10"/>
          </reference>
          <reference field="5" count="1">
            <x v="42"/>
          </reference>
          <reference field="18" count="1" selected="0">
            <x v="15"/>
          </reference>
        </references>
      </pivotArea>
    </format>
    <format dxfId="155">
      <pivotArea dataOnly="0" labelOnly="1" outline="0" fieldPosition="0">
        <references count="3">
          <reference field="4" count="1" selected="0">
            <x v="10"/>
          </reference>
          <reference field="5" count="1">
            <x v="18"/>
          </reference>
          <reference field="18" count="1" selected="0">
            <x v="16"/>
          </reference>
        </references>
      </pivotArea>
    </format>
    <format dxfId="154">
      <pivotArea dataOnly="0" labelOnly="1" outline="0" fieldPosition="0">
        <references count="3">
          <reference field="4" count="1" selected="0">
            <x v="10"/>
          </reference>
          <reference field="5" count="1">
            <x v="19"/>
          </reference>
          <reference field="18" count="1" selected="0">
            <x v="17"/>
          </reference>
        </references>
      </pivotArea>
    </format>
    <format dxfId="153">
      <pivotArea dataOnly="0" labelOnly="1" outline="0" fieldPosition="0">
        <references count="3">
          <reference field="4" count="1" selected="0">
            <x v="10"/>
          </reference>
          <reference field="5" count="1">
            <x v="52"/>
          </reference>
          <reference field="18" count="1" selected="0">
            <x v="18"/>
          </reference>
        </references>
      </pivotArea>
    </format>
    <format dxfId="152">
      <pivotArea dataOnly="0" labelOnly="1" outline="0" fieldPosition="0">
        <references count="3">
          <reference field="4" count="1" selected="0">
            <x v="10"/>
          </reference>
          <reference field="5" count="1">
            <x v="53"/>
          </reference>
          <reference field="18" count="1" selected="0">
            <x v="19"/>
          </reference>
        </references>
      </pivotArea>
    </format>
    <format dxfId="151">
      <pivotArea dataOnly="0" labelOnly="1" outline="0" fieldPosition="0">
        <references count="3">
          <reference field="4" count="1" selected="0">
            <x v="10"/>
          </reference>
          <reference field="5" count="1">
            <x v="105"/>
          </reference>
          <reference field="18" count="1" selected="0">
            <x v="20"/>
          </reference>
        </references>
      </pivotArea>
    </format>
    <format dxfId="150">
      <pivotArea dataOnly="0" labelOnly="1" outline="0" fieldPosition="0">
        <references count="3">
          <reference field="4" count="1" selected="0">
            <x v="10"/>
          </reference>
          <reference field="5" count="1">
            <x v="65"/>
          </reference>
          <reference field="18" count="1" selected="0">
            <x v="21"/>
          </reference>
        </references>
      </pivotArea>
    </format>
    <format dxfId="149">
      <pivotArea dataOnly="0" labelOnly="1" outline="0" fieldPosition="0">
        <references count="3">
          <reference field="4" count="1" selected="0">
            <x v="10"/>
          </reference>
          <reference field="5" count="1">
            <x v="75"/>
          </reference>
          <reference field="18" count="1" selected="0">
            <x v="82"/>
          </reference>
        </references>
      </pivotArea>
    </format>
    <format dxfId="148">
      <pivotArea dataOnly="0" labelOnly="1" outline="0" fieldPosition="0">
        <references count="3">
          <reference field="4" count="1" selected="0">
            <x v="10"/>
          </reference>
          <reference field="5" count="1">
            <x v="132"/>
          </reference>
          <reference field="18" count="1" selected="0">
            <x v="131"/>
          </reference>
        </references>
      </pivotArea>
    </format>
    <format dxfId="147">
      <pivotArea dataOnly="0" labelOnly="1" outline="0" fieldPosition="0">
        <references count="3">
          <reference field="4" count="1" selected="0">
            <x v="11"/>
          </reference>
          <reference field="5" count="1">
            <x v="60"/>
          </reference>
          <reference field="18" count="1" selected="0">
            <x v="98"/>
          </reference>
        </references>
      </pivotArea>
    </format>
    <format dxfId="146">
      <pivotArea dataOnly="0" labelOnly="1" outline="0" fieldPosition="0">
        <references count="3">
          <reference field="4" count="1" selected="0">
            <x v="11"/>
          </reference>
          <reference field="5" count="1">
            <x v="59"/>
          </reference>
          <reference field="18" count="1" selected="0">
            <x v="99"/>
          </reference>
        </references>
      </pivotArea>
    </format>
    <format dxfId="145">
      <pivotArea dataOnly="0" labelOnly="1" outline="0" fieldPosition="0">
        <references count="3">
          <reference field="4" count="1" selected="0">
            <x v="11"/>
          </reference>
          <reference field="5" count="1">
            <x v="128"/>
          </reference>
          <reference field="18" count="1" selected="0">
            <x v="126"/>
          </reference>
        </references>
      </pivotArea>
    </format>
    <format dxfId="144">
      <pivotArea dataOnly="0" labelOnly="1" outline="0" fieldPosition="0">
        <references count="3">
          <reference field="4" count="1" selected="0">
            <x v="11"/>
          </reference>
          <reference field="5" count="1">
            <x v="129"/>
          </reference>
          <reference field="18" count="1" selected="0">
            <x v="127"/>
          </reference>
        </references>
      </pivotArea>
    </format>
    <format dxfId="143">
      <pivotArea dataOnly="0" labelOnly="1" outline="0" fieldPosition="0">
        <references count="3">
          <reference field="4" count="1" selected="0">
            <x v="12"/>
          </reference>
          <reference field="5" count="1">
            <x v="64"/>
          </reference>
          <reference field="18" count="1" selected="0">
            <x v="104"/>
          </reference>
        </references>
      </pivotArea>
    </format>
    <format dxfId="142">
      <pivotArea dataOnly="0" labelOnly="1" outline="0" fieldPosition="0">
        <references count="3">
          <reference field="4" count="1" selected="0">
            <x v="13"/>
          </reference>
          <reference field="5" count="1">
            <x v="90"/>
          </reference>
          <reference field="18" count="1" selected="0">
            <x v="50"/>
          </reference>
        </references>
      </pivotArea>
    </format>
    <format dxfId="141">
      <pivotArea dataOnly="0" labelOnly="1" outline="0" fieldPosition="0">
        <references count="3">
          <reference field="4" count="1" selected="0">
            <x v="13"/>
          </reference>
          <reference field="5" count="1">
            <x v="91"/>
          </reference>
          <reference field="18" count="1" selected="0">
            <x v="51"/>
          </reference>
        </references>
      </pivotArea>
    </format>
    <format dxfId="140">
      <pivotArea dataOnly="0" labelOnly="1" outline="0" fieldPosition="0">
        <references count="3">
          <reference field="4" count="1" selected="0">
            <x v="14"/>
          </reference>
          <reference field="5" count="1">
            <x v="80"/>
          </reference>
          <reference field="18" count="1" selected="0">
            <x v="22"/>
          </reference>
        </references>
      </pivotArea>
    </format>
    <format dxfId="139">
      <pivotArea dataOnly="0" labelOnly="1" outline="0" fieldPosition="0">
        <references count="3">
          <reference field="4" count="1" selected="0">
            <x v="14"/>
          </reference>
          <reference field="5" count="1">
            <x v="82"/>
          </reference>
          <reference field="18" count="1" selected="0">
            <x v="23"/>
          </reference>
        </references>
      </pivotArea>
    </format>
    <format dxfId="138">
      <pivotArea dataOnly="0" labelOnly="1" outline="0" fieldPosition="0">
        <references count="3">
          <reference field="4" count="1" selected="0">
            <x v="14"/>
          </reference>
          <reference field="5" count="1">
            <x v="36"/>
          </reference>
          <reference field="18" count="1" selected="0">
            <x v="24"/>
          </reference>
        </references>
      </pivotArea>
    </format>
    <format dxfId="137">
      <pivotArea dataOnly="0" labelOnly="1" outline="0" fieldPosition="0">
        <references count="3">
          <reference field="4" count="1" selected="0">
            <x v="14"/>
          </reference>
          <reference field="5" count="1">
            <x v="12"/>
          </reference>
          <reference field="18" count="1" selected="0">
            <x v="25"/>
          </reference>
        </references>
      </pivotArea>
    </format>
    <format dxfId="136">
      <pivotArea dataOnly="0" labelOnly="1" outline="0" fieldPosition="0">
        <references count="3">
          <reference field="4" count="1" selected="0">
            <x v="14"/>
          </reference>
          <reference field="5" count="1">
            <x v="39"/>
          </reference>
          <reference field="18" count="1" selected="0">
            <x v="26"/>
          </reference>
        </references>
      </pivotArea>
    </format>
    <format dxfId="135">
      <pivotArea dataOnly="0" labelOnly="1" outline="0" fieldPosition="0">
        <references count="3">
          <reference field="4" count="1" selected="0">
            <x v="14"/>
          </reference>
          <reference field="5" count="1">
            <x v="81"/>
          </reference>
          <reference field="18" count="1" selected="0">
            <x v="27"/>
          </reference>
        </references>
      </pivotArea>
    </format>
    <format dxfId="134">
      <pivotArea dataOnly="0" labelOnly="1" outline="0" fieldPosition="0">
        <references count="3">
          <reference field="4" count="1" selected="0">
            <x v="14"/>
          </reference>
          <reference field="5" count="1">
            <x v="38"/>
          </reference>
          <reference field="18" count="1" selected="0">
            <x v="28"/>
          </reference>
        </references>
      </pivotArea>
    </format>
    <format dxfId="133">
      <pivotArea dataOnly="0" labelOnly="1" outline="0" fieldPosition="0">
        <references count="3">
          <reference field="4" count="1" selected="0">
            <x v="14"/>
          </reference>
          <reference field="5" count="1">
            <x v="79"/>
          </reference>
          <reference field="18" count="1" selected="0">
            <x v="29"/>
          </reference>
        </references>
      </pivotArea>
    </format>
    <format dxfId="132">
      <pivotArea dataOnly="0" labelOnly="1" outline="0" fieldPosition="0">
        <references count="3">
          <reference field="4" count="1" selected="0">
            <x v="14"/>
          </reference>
          <reference field="5" count="1">
            <x v="101"/>
          </reference>
          <reference field="18" count="1" selected="0">
            <x v="30"/>
          </reference>
        </references>
      </pivotArea>
    </format>
    <format dxfId="131">
      <pivotArea dataOnly="0" labelOnly="1" outline="0" fieldPosition="0">
        <references count="3">
          <reference field="4" count="1" selected="0">
            <x v="14"/>
          </reference>
          <reference field="5" count="1">
            <x v="99"/>
          </reference>
          <reference field="18" count="1" selected="0">
            <x v="31"/>
          </reference>
        </references>
      </pivotArea>
    </format>
    <format dxfId="130">
      <pivotArea dataOnly="0" labelOnly="1" outline="0" fieldPosition="0">
        <references count="3">
          <reference field="4" count="1" selected="0">
            <x v="14"/>
          </reference>
          <reference field="5" count="1">
            <x v="100"/>
          </reference>
          <reference field="18" count="1" selected="0">
            <x v="32"/>
          </reference>
        </references>
      </pivotArea>
    </format>
    <format dxfId="129">
      <pivotArea dataOnly="0" labelOnly="1" outline="0" fieldPosition="0">
        <references count="3">
          <reference field="4" count="1" selected="0">
            <x v="14"/>
          </reference>
          <reference field="5" count="1">
            <x v="41"/>
          </reference>
          <reference field="18" count="1" selected="0">
            <x v="33"/>
          </reference>
        </references>
      </pivotArea>
    </format>
    <format dxfId="128">
      <pivotArea dataOnly="0" labelOnly="1" outline="0" fieldPosition="0">
        <references count="3">
          <reference field="4" count="1" selected="0">
            <x v="14"/>
          </reference>
          <reference field="5" count="1">
            <x v="40"/>
          </reference>
          <reference field="18" count="1" selected="0">
            <x v="34"/>
          </reference>
        </references>
      </pivotArea>
    </format>
    <format dxfId="127">
      <pivotArea dataOnly="0" labelOnly="1" outline="0" fieldPosition="0">
        <references count="3">
          <reference field="4" count="1" selected="0">
            <x v="14"/>
          </reference>
          <reference field="5" count="1">
            <x v="89"/>
          </reference>
          <reference field="18" count="1" selected="0">
            <x v="35"/>
          </reference>
        </references>
      </pivotArea>
    </format>
    <format dxfId="126">
      <pivotArea dataOnly="0" labelOnly="1" outline="0" fieldPosition="0">
        <references count="3">
          <reference field="4" count="1" selected="0">
            <x v="14"/>
          </reference>
          <reference field="5" count="1">
            <x v="4"/>
          </reference>
          <reference field="18" count="1" selected="0">
            <x v="67"/>
          </reference>
        </references>
      </pivotArea>
    </format>
    <format dxfId="125">
      <pivotArea dataOnly="0" labelOnly="1" outline="0" fieldPosition="0">
        <references count="3">
          <reference field="4" count="1" selected="0">
            <x v="14"/>
          </reference>
          <reference field="5" count="1">
            <x v="13"/>
          </reference>
          <reference field="18" count="1" selected="0">
            <x v="68"/>
          </reference>
        </references>
      </pivotArea>
    </format>
    <format dxfId="124">
      <pivotArea dataOnly="0" labelOnly="1" outline="0" fieldPosition="0">
        <references count="3">
          <reference field="4" count="1" selected="0">
            <x v="14"/>
          </reference>
          <reference field="5" count="1">
            <x v="104"/>
          </reference>
          <reference field="18" count="1" selected="0">
            <x v="69"/>
          </reference>
        </references>
      </pivotArea>
    </format>
    <format dxfId="123">
      <pivotArea dataOnly="0" labelOnly="1" outline="0" fieldPosition="0">
        <references count="3">
          <reference field="4" count="1" selected="0">
            <x v="14"/>
          </reference>
          <reference field="5" count="1">
            <x v="37"/>
          </reference>
          <reference field="18" count="1" selected="0">
            <x v="70"/>
          </reference>
        </references>
      </pivotArea>
    </format>
    <format dxfId="122">
      <pivotArea dataOnly="0" labelOnly="1" outline="0" fieldPosition="0">
        <references count="3">
          <reference field="4" count="1" selected="0">
            <x v="14"/>
          </reference>
          <reference field="5" count="1">
            <x v="78"/>
          </reference>
          <reference field="18" count="1" selected="0">
            <x v="81"/>
          </reference>
        </references>
      </pivotArea>
    </format>
    <format dxfId="121">
      <pivotArea dataOnly="0" labelOnly="1" outline="0" fieldPosition="0">
        <references count="3">
          <reference field="4" count="1" selected="0">
            <x v="14"/>
          </reference>
          <reference field="5" count="1">
            <x v="111"/>
          </reference>
          <reference field="18" count="1" selected="0">
            <x v="110"/>
          </reference>
        </references>
      </pivotArea>
    </format>
    <format dxfId="120">
      <pivotArea dataOnly="0" labelOnly="1" outline="0" fieldPosition="0">
        <references count="3">
          <reference field="4" count="1" selected="0">
            <x v="14"/>
          </reference>
          <reference field="5" count="1">
            <x v="131"/>
          </reference>
          <reference field="18" count="1" selected="0">
            <x v="130"/>
          </reference>
        </references>
      </pivotArea>
    </format>
    <format dxfId="119">
      <pivotArea dataOnly="0" labelOnly="1" outline="0" fieldPosition="0">
        <references count="3">
          <reference field="4" count="1" selected="0">
            <x v="14"/>
          </reference>
          <reference field="5" count="1">
            <x v="133"/>
          </reference>
          <reference field="18" count="1" selected="0">
            <x v="132"/>
          </reference>
        </references>
      </pivotArea>
    </format>
    <format dxfId="118">
      <pivotArea dataOnly="0" labelOnly="1" outline="0" fieldPosition="0">
        <references count="3">
          <reference field="4" count="1" selected="0">
            <x v="15"/>
          </reference>
          <reference field="5" count="1">
            <x v="117"/>
          </reference>
          <reference field="18" count="1" selected="0">
            <x v="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6.xml><?xml version="1.0" encoding="utf-8"?>
<pivotTableDefinition xmlns="http://schemas.openxmlformats.org/spreadsheetml/2006/main" name="PivotTable4" cacheId="64"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location ref="H4:M171" firstHeaderRow="0" firstDataRow="1" firstDataCol="1" rowPageCount="2" colPageCount="1"/>
  <pivotFields count="42">
    <pivotField axis="axisPage" multipleItemSelectionAllowed="1" showAll="0">
      <items count="3">
        <item h="1" x="0"/>
        <item x="1"/>
        <item t="default"/>
      </items>
    </pivotField>
    <pivotField showAll="0"/>
    <pivotField showAll="0"/>
    <pivotField showAll="0"/>
    <pivotField showAll="0"/>
    <pivotField axis="axisRow" showAll="0" sortType="descending">
      <items count="22">
        <item x="1"/>
        <item x="4"/>
        <item x="0"/>
        <item x="6"/>
        <item x="8"/>
        <item x="7"/>
        <item x="5"/>
        <item x="9"/>
        <item x="2"/>
        <item x="10"/>
        <item x="11"/>
        <item x="12"/>
        <item x="13"/>
        <item x="14"/>
        <item x="15"/>
        <item x="16"/>
        <item x="18"/>
        <item x="17"/>
        <item x="19"/>
        <item x="20"/>
        <item x="3"/>
        <item t="default"/>
      </items>
      <autoSortScope>
        <pivotArea dataOnly="0" outline="0" fieldPosition="0">
          <references count="1">
            <reference field="4294967294" count="1" selected="0">
              <x v="0"/>
            </reference>
          </references>
        </pivotArea>
      </autoSortScope>
    </pivotField>
    <pivotField showAll="0"/>
    <pivotField showAll="0"/>
    <pivotField showAll="0"/>
    <pivotField showAll="0"/>
    <pivotField showAll="0"/>
    <pivotField axis="axisRow" showAll="0" sortType="descending">
      <items count="241">
        <item x="0"/>
        <item x="36"/>
        <item x="29"/>
        <item x="2"/>
        <item x="35"/>
        <item x="51"/>
        <item x="6"/>
        <item x="13"/>
        <item x="8"/>
        <item x="9"/>
        <item x="10"/>
        <item x="11"/>
        <item x="12"/>
        <item x="37"/>
        <item x="14"/>
        <item x="15"/>
        <item x="16"/>
        <item x="222"/>
        <item x="83"/>
        <item x="75"/>
        <item x="43"/>
        <item x="21"/>
        <item x="25"/>
        <item x="23"/>
        <item x="48"/>
        <item x="163"/>
        <item x="161"/>
        <item x="162"/>
        <item x="108"/>
        <item x="30"/>
        <item x="31"/>
        <item x="32"/>
        <item x="33"/>
        <item x="34"/>
        <item x="207"/>
        <item x="239"/>
        <item x="50"/>
        <item x="53"/>
        <item x="39"/>
        <item x="1"/>
        <item x="143"/>
        <item x="144"/>
        <item x="42"/>
        <item x="22"/>
        <item x="105"/>
        <item x="17"/>
        <item x="226"/>
        <item x="52"/>
        <item x="195"/>
        <item x="185"/>
        <item x="186"/>
        <item x="219"/>
        <item x="57"/>
        <item x="102"/>
        <item x="60"/>
        <item x="49"/>
        <item x="69"/>
        <item x="68"/>
        <item x="165"/>
        <item x="93"/>
        <item x="59"/>
        <item x="66"/>
        <item x="73"/>
        <item x="24"/>
        <item x="82"/>
        <item x="200"/>
        <item x="71"/>
        <item x="182"/>
        <item x="181"/>
        <item x="28"/>
        <item x="44"/>
        <item x="54"/>
        <item x="3"/>
        <item x="135"/>
        <item x="132"/>
        <item x="138"/>
        <item x="81"/>
        <item x="84"/>
        <item x="85"/>
        <item x="206"/>
        <item x="217"/>
        <item x="109"/>
        <item x="211"/>
        <item x="213"/>
        <item x="209"/>
        <item x="208"/>
        <item x="72"/>
        <item x="74"/>
        <item x="184"/>
        <item x="103"/>
        <item x="167"/>
        <item x="98"/>
        <item x="99"/>
        <item x="110"/>
        <item x="111"/>
        <item x="77"/>
        <item x="79"/>
        <item x="76"/>
        <item x="78"/>
        <item x="80"/>
        <item x="106"/>
        <item x="107"/>
        <item x="87"/>
        <item x="88"/>
        <item x="89"/>
        <item x="86"/>
        <item x="112"/>
        <item x="113"/>
        <item x="114"/>
        <item x="115"/>
        <item x="116"/>
        <item x="117"/>
        <item x="118"/>
        <item x="119"/>
        <item x="156"/>
        <item x="160"/>
        <item x="122"/>
        <item x="123"/>
        <item x="124"/>
        <item x="125"/>
        <item x="55"/>
        <item x="127"/>
        <item x="128"/>
        <item x="63"/>
        <item x="129"/>
        <item x="133"/>
        <item x="134"/>
        <item x="146"/>
        <item x="136"/>
        <item x="137"/>
        <item x="64"/>
        <item x="65"/>
        <item x="140"/>
        <item x="141"/>
        <item x="149"/>
        <item x="150"/>
        <item x="18"/>
        <item x="145"/>
        <item x="121"/>
        <item x="147"/>
        <item x="191"/>
        <item x="189"/>
        <item x="192"/>
        <item x="190"/>
        <item x="152"/>
        <item x="153"/>
        <item x="154"/>
        <item x="148"/>
        <item x="62"/>
        <item x="157"/>
        <item x="158"/>
        <item x="159"/>
        <item x="41"/>
        <item x="194"/>
        <item x="193"/>
        <item x="188"/>
        <item x="155"/>
        <item x="4"/>
        <item x="38"/>
        <item x="168"/>
        <item x="58"/>
        <item x="92"/>
        <item x="171"/>
        <item x="214"/>
        <item x="100"/>
        <item x="177"/>
        <item x="178"/>
        <item x="104"/>
        <item x="170"/>
        <item x="183"/>
        <item x="139"/>
        <item x="151"/>
        <item x="120"/>
        <item x="26"/>
        <item x="187"/>
        <item x="7"/>
        <item x="126"/>
        <item x="221"/>
        <item x="231"/>
        <item x="230"/>
        <item x="234"/>
        <item x="236"/>
        <item x="46"/>
        <item x="19"/>
        <item x="197"/>
        <item x="45"/>
        <item x="199"/>
        <item x="27"/>
        <item x="142"/>
        <item x="179"/>
        <item x="180"/>
        <item x="220"/>
        <item x="201"/>
        <item x="202"/>
        <item x="166"/>
        <item x="210"/>
        <item x="97"/>
        <item x="212"/>
        <item x="205"/>
        <item x="20"/>
        <item x="215"/>
        <item x="130"/>
        <item x="169"/>
        <item x="176"/>
        <item x="172"/>
        <item x="173"/>
        <item x="237"/>
        <item x="223"/>
        <item x="224"/>
        <item x="225"/>
        <item x="198"/>
        <item x="235"/>
        <item x="228"/>
        <item x="229"/>
        <item x="47"/>
        <item x="216"/>
        <item x="232"/>
        <item x="233"/>
        <item x="164"/>
        <item x="5"/>
        <item x="40"/>
        <item x="238"/>
        <item x="61"/>
        <item x="96"/>
        <item x="95"/>
        <item x="131"/>
        <item x="174"/>
        <item x="67"/>
        <item x="218"/>
        <item x="175"/>
        <item x="227"/>
        <item x="196"/>
        <item x="56"/>
        <item x="94"/>
        <item x="91"/>
        <item x="90"/>
        <item x="203"/>
        <item x="204"/>
        <item x="101"/>
        <item x="70"/>
        <item t="default"/>
      </items>
      <autoSortScope>
        <pivotArea dataOnly="0" outline="0" fieldPosition="0">
          <references count="1">
            <reference field="4294967294" count="1" selected="0">
              <x v="1"/>
            </reference>
          </references>
        </pivotArea>
      </autoSortScope>
    </pivotField>
    <pivotField showAll="0"/>
    <pivotField showAll="0"/>
    <pivotField showAll="0" defaultSubtotal="0"/>
    <pivotField showAll="0"/>
    <pivotField dataField="1" showAll="0"/>
    <pivotField showAll="0"/>
    <pivotField showAll="0"/>
    <pivotField showAll="0"/>
    <pivotField showAll="0" defaultSubtotal="0"/>
    <pivotField axis="axisPage" multipleItemSelectionAllowed="1" showAll="0">
      <items count="6">
        <item h="1" x="4"/>
        <item x="0"/>
        <item h="1" x="1"/>
        <item h="1" x="3"/>
        <item h="1" x="2"/>
        <item t="default"/>
      </items>
    </pivotField>
    <pivotField showAll="0"/>
    <pivotField showAll="0"/>
    <pivotField showAll="0"/>
    <pivotField showAll="0"/>
    <pivotField showAll="0"/>
    <pivotField showAll="0"/>
    <pivotField showAll="0"/>
    <pivotField showAll="0"/>
    <pivotField showAll="0"/>
    <pivotField dataField="1" showAll="0" defaultSubtotal="0"/>
    <pivotField showAll="0" defaultSubtotal="0"/>
    <pivotField dataField="1" showAll="0" defaultSubtotal="0"/>
    <pivotField showAll="0" defaultSubtotal="0"/>
    <pivotField showAll="0" defaultSubtotal="0"/>
    <pivotField showAll="0" defaultSubtotal="0"/>
    <pivotField dataField="1" dragToRow="0" dragToCol="0" dragToPage="0" showAll="0" defaultSubtotal="0"/>
    <pivotField axis="axisRow" showAll="0" defaultSubtotal="0">
      <items count="12">
        <item x="3"/>
        <item x="8"/>
        <item x="0"/>
        <item x="10"/>
        <item x="5"/>
        <item x="11"/>
        <item x="4"/>
        <item x="1"/>
        <item x="6"/>
        <item x="9"/>
        <item x="7"/>
        <item x="2"/>
      </items>
    </pivotField>
    <pivotField dataField="1" dragToRow="0" dragToCol="0" dragToPage="0" showAll="0" defaultSubtotal="0"/>
    <pivotField dragToRow="0" dragToCol="0" dragToPage="0" showAll="0" defaultSubtotal="0"/>
    <pivotField dragToRow="0" dragToCol="0" dragToPage="0" showAll="0" defaultSubtotal="0"/>
  </pivotFields>
  <rowFields count="3">
    <field x="38"/>
    <field x="5"/>
    <field x="11"/>
  </rowFields>
  <rowItems count="167">
    <i>
      <x/>
    </i>
    <i r="1">
      <x/>
    </i>
    <i r="2">
      <x v="183"/>
    </i>
    <i r="2">
      <x v="3"/>
    </i>
    <i r="2">
      <x v="175"/>
    </i>
    <i r="2">
      <x v="72"/>
    </i>
    <i r="2">
      <x v="157"/>
    </i>
    <i r="2">
      <x v="45"/>
    </i>
    <i r="2">
      <x v="7"/>
    </i>
    <i r="2">
      <x v="199"/>
    </i>
    <i r="2">
      <x v="219"/>
    </i>
    <i r="2">
      <x v="136"/>
    </i>
    <i>
      <x v="1"/>
    </i>
    <i r="1">
      <x v="1"/>
    </i>
    <i r="2">
      <x v="43"/>
    </i>
    <i r="2">
      <x v="69"/>
    </i>
    <i r="2">
      <x v="173"/>
    </i>
    <i r="2">
      <x v="187"/>
    </i>
    <i r="2">
      <x v="22"/>
    </i>
    <i>
      <x v="2"/>
    </i>
    <i r="1">
      <x v="2"/>
    </i>
    <i r="2">
      <x v="42"/>
    </i>
    <i r="2">
      <x v="1"/>
    </i>
    <i r="2">
      <x v="2"/>
    </i>
    <i r="2">
      <x v="214"/>
    </i>
    <i r="2">
      <x v="13"/>
    </i>
    <i r="2">
      <x v="36"/>
    </i>
    <i r="2">
      <x v="220"/>
    </i>
    <i r="2">
      <x v="4"/>
    </i>
    <i r="2">
      <x v="5"/>
    </i>
    <i r="2">
      <x v="185"/>
    </i>
    <i r="2">
      <x v="152"/>
    </i>
    <i r="2">
      <x v="37"/>
    </i>
    <i r="2">
      <x v="24"/>
    </i>
    <i r="2">
      <x v="158"/>
    </i>
    <i r="2">
      <x v="182"/>
    </i>
    <i r="2">
      <x v="70"/>
    </i>
    <i r="2">
      <x v="20"/>
    </i>
    <i r="2">
      <x v="71"/>
    </i>
    <i r="2">
      <x v="120"/>
    </i>
    <i r="2">
      <x v="55"/>
    </i>
    <i>
      <x v="3"/>
    </i>
    <i r="1">
      <x v="3"/>
    </i>
    <i r="2">
      <x v="232"/>
    </i>
    <i>
      <x v="5"/>
    </i>
    <i r="1">
      <x v="19"/>
    </i>
    <i r="2">
      <x v="236"/>
    </i>
    <i r="2">
      <x v="198"/>
    </i>
    <i r="2">
      <x v="237"/>
    </i>
    <i r="1">
      <x v="18"/>
    </i>
    <i r="2">
      <x v="192"/>
    </i>
    <i r="2">
      <x v="193"/>
    </i>
    <i r="1">
      <x v="10"/>
    </i>
    <i r="2">
      <x v="235"/>
    </i>
    <i r="2">
      <x v="104"/>
    </i>
    <i r="2">
      <x v="234"/>
    </i>
    <i r="2">
      <x v="59"/>
    </i>
    <i r="2">
      <x v="161"/>
    </i>
    <i r="1">
      <x v="13"/>
    </i>
    <i r="2">
      <x v="134"/>
    </i>
    <i r="2">
      <x v="135"/>
    </i>
    <i r="1">
      <x v="9"/>
    </i>
    <i r="2">
      <x v="103"/>
    </i>
    <i r="2">
      <x v="102"/>
    </i>
    <i r="1">
      <x v="17"/>
    </i>
    <i r="2">
      <x v="231"/>
    </i>
    <i r="1">
      <x v="11"/>
    </i>
    <i r="2">
      <x v="196"/>
    </i>
    <i r="2">
      <x v="164"/>
    </i>
    <i r="1">
      <x v="5"/>
    </i>
    <i r="2">
      <x v="60"/>
    </i>
    <i r="1">
      <x v="16"/>
    </i>
    <i r="2">
      <x v="153"/>
    </i>
    <i>
      <x v="6"/>
    </i>
    <i r="1">
      <x v="6"/>
    </i>
    <i r="2">
      <x v="239"/>
    </i>
    <i r="2">
      <x v="222"/>
    </i>
    <i r="2">
      <x v="130"/>
    </i>
    <i r="2">
      <x v="148"/>
    </i>
    <i r="2">
      <x v="131"/>
    </i>
    <i r="2">
      <x v="57"/>
    </i>
    <i r="2">
      <x v="56"/>
    </i>
    <i r="2">
      <x v="123"/>
    </i>
    <i r="2">
      <x v="54"/>
    </i>
    <i>
      <x v="7"/>
    </i>
    <i r="1">
      <x v="8"/>
    </i>
    <i r="2">
      <x v="97"/>
    </i>
    <i r="2">
      <x v="98"/>
    </i>
    <i r="2">
      <x v="105"/>
    </i>
    <i r="2">
      <x v="96"/>
    </i>
    <i r="2">
      <x v="19"/>
    </i>
    <i r="2">
      <x v="87"/>
    </i>
    <i r="2">
      <x v="86"/>
    </i>
    <i r="2">
      <x v="18"/>
    </i>
    <i r="2">
      <x v="64"/>
    </i>
    <i r="2">
      <x v="95"/>
    </i>
    <i>
      <x v="8"/>
    </i>
    <i r="1">
      <x v="12"/>
    </i>
    <i r="2">
      <x v="75"/>
    </i>
    <i r="2">
      <x v="89"/>
    </i>
    <i r="2">
      <x v="74"/>
    </i>
    <i r="2">
      <x v="170"/>
    </i>
    <i r="2">
      <x v="167"/>
    </i>
    <i r="2">
      <x v="73"/>
    </i>
    <i r="2">
      <x v="172"/>
    </i>
    <i r="2">
      <x v="44"/>
    </i>
    <i r="2">
      <x v="188"/>
    </i>
    <i r="2">
      <x v="28"/>
    </i>
    <i r="2">
      <x v="124"/>
    </i>
    <i>
      <x v="9"/>
    </i>
    <i r="1">
      <x v="14"/>
    </i>
    <i r="2">
      <x v="67"/>
    </i>
    <i r="2">
      <x v="49"/>
    </i>
    <i r="2">
      <x v="194"/>
    </i>
    <i r="2">
      <x v="88"/>
    </i>
    <i r="2">
      <x v="27"/>
    </i>
    <i r="2">
      <x v="58"/>
    </i>
    <i r="2">
      <x v="189"/>
    </i>
    <i r="2">
      <x v="50"/>
    </i>
    <i r="2">
      <x v="190"/>
    </i>
    <i r="2">
      <x v="90"/>
    </i>
    <i r="2">
      <x v="68"/>
    </i>
    <i r="2">
      <x v="204"/>
    </i>
    <i r="2">
      <x v="205"/>
    </i>
    <i r="2">
      <x v="202"/>
    </i>
    <i r="2">
      <x v="169"/>
    </i>
    <i r="2">
      <x v="25"/>
    </i>
    <i r="2">
      <x v="229"/>
    </i>
    <i r="2">
      <x v="114"/>
    </i>
    <i r="2">
      <x v="171"/>
    </i>
    <i r="2">
      <x v="156"/>
    </i>
    <i r="2">
      <x v="218"/>
    </i>
    <i r="2">
      <x v="26"/>
    </i>
    <i r="2">
      <x v="203"/>
    </i>
    <i r="2">
      <x v="115"/>
    </i>
    <i>
      <x v="10"/>
    </i>
    <i r="1">
      <x v="15"/>
    </i>
    <i r="2">
      <x v="155"/>
    </i>
    <i r="2">
      <x v="143"/>
    </i>
    <i r="2">
      <x v="141"/>
    </i>
    <i r="2">
      <x v="140"/>
    </i>
    <i r="2">
      <x v="142"/>
    </i>
    <i>
      <x v="11"/>
    </i>
    <i r="1">
      <x v="20"/>
    </i>
    <i r="2">
      <x v="215"/>
    </i>
    <i r="2">
      <x v="51"/>
    </i>
    <i r="2">
      <x v="228"/>
    </i>
    <i r="2">
      <x v="35"/>
    </i>
    <i r="2">
      <x v="82"/>
    </i>
    <i r="2">
      <x v="177"/>
    </i>
    <i r="2">
      <x v="179"/>
    </i>
    <i r="2">
      <x v="211"/>
    </i>
    <i r="2">
      <x v="83"/>
    </i>
    <i r="2">
      <x v="85"/>
    </i>
    <i r="2">
      <x v="206"/>
    </i>
    <i r="2">
      <x v="181"/>
    </i>
    <i r="2">
      <x v="80"/>
    </i>
    <i r="2">
      <x v="34"/>
    </i>
    <i r="2">
      <x v="191"/>
    </i>
    <i r="2">
      <x v="178"/>
    </i>
    <i r="2">
      <x v="84"/>
    </i>
    <i r="2">
      <x v="79"/>
    </i>
    <i r="2">
      <x v="230"/>
    </i>
    <i r="2">
      <x v="180"/>
    </i>
    <i r="2">
      <x v="17"/>
    </i>
    <i r="2">
      <x v="163"/>
    </i>
    <i t="grand">
      <x/>
    </i>
  </rowItems>
  <colFields count="1">
    <field x="-2"/>
  </colFields>
  <colItems count="5">
    <i>
      <x/>
    </i>
    <i i="1">
      <x v="1"/>
    </i>
    <i i="2">
      <x v="2"/>
    </i>
    <i i="3">
      <x v="3"/>
    </i>
    <i i="4">
      <x v="4"/>
    </i>
  </colItems>
  <pageFields count="2">
    <pageField fld="0" hier="-1"/>
    <pageField fld="21" hier="-1"/>
  </pageFields>
  <dataFields count="5">
    <dataField name="Sum of HH" fld="16" baseField="5" baseItem="20" numFmtId="165"/>
    <dataField name="Sum of Shelter Gap" fld="31" baseField="0" baseItem="0" numFmtId="165"/>
    <dataField name="Sum of Shelter Possible" fld="33" baseField="0" baseItem="0" numFmtId="165"/>
    <dataField name="Gap " fld="39" baseField="5" baseItem="0" numFmtId="170"/>
    <dataField name="Possible Units" fld="37" baseField="5" baseItem="0" numFmtId="170"/>
  </dataFields>
  <formats count="109">
    <format dxfId="539">
      <pivotArea outline="0" collapsedLevelsAreSubtotals="1" fieldPosition="0">
        <references count="1">
          <reference field="4294967294" count="1" selected="0">
            <x v="3"/>
          </reference>
        </references>
      </pivotArea>
    </format>
    <format dxfId="538">
      <pivotArea outline="0" collapsedLevelsAreSubtotals="1" fieldPosition="0">
        <references count="1">
          <reference field="4294967294" count="1" selected="0">
            <x v="0"/>
          </reference>
        </references>
      </pivotArea>
    </format>
    <format dxfId="537">
      <pivotArea outline="0" fieldPosition="0">
        <references count="1">
          <reference field="4294967294" count="1">
            <x v="4"/>
          </reference>
        </references>
      </pivotArea>
    </format>
    <format dxfId="536">
      <pivotArea outline="0" fieldPosition="0">
        <references count="1">
          <reference field="4294967294" count="1">
            <x v="3"/>
          </reference>
        </references>
      </pivotArea>
    </format>
    <format dxfId="535">
      <pivotArea outline="0" collapsedLevelsAreSubtotals="1" fieldPosition="0">
        <references count="1">
          <reference field="4294967294" count="2" selected="0">
            <x v="1"/>
            <x v="2"/>
          </reference>
        </references>
      </pivotArea>
    </format>
    <format dxfId="534">
      <pivotArea collapsedLevelsAreSubtotals="1" fieldPosition="0">
        <references count="2">
          <reference field="4294967294" count="1" selected="0">
            <x v="1"/>
          </reference>
          <reference field="11" count="16">
            <x v="3"/>
            <x v="33"/>
            <x v="43"/>
            <x v="51"/>
            <x v="64"/>
            <x v="89"/>
            <x v="96"/>
            <x v="97"/>
            <x v="98"/>
            <x v="124"/>
            <x v="155"/>
            <x v="172"/>
            <x v="177"/>
            <x v="183"/>
            <x v="214"/>
            <x v="215"/>
          </reference>
        </references>
      </pivotArea>
    </format>
    <format dxfId="533">
      <pivotArea dataOnly="0" labelOnly="1" fieldPosition="0">
        <references count="1">
          <reference field="11" count="16">
            <x v="3"/>
            <x v="33"/>
            <x v="43"/>
            <x v="51"/>
            <x v="64"/>
            <x v="89"/>
            <x v="96"/>
            <x v="97"/>
            <x v="98"/>
            <x v="124"/>
            <x v="155"/>
            <x v="172"/>
            <x v="177"/>
            <x v="183"/>
            <x v="214"/>
            <x v="215"/>
          </reference>
        </references>
      </pivotArea>
    </format>
    <format dxfId="532">
      <pivotArea type="all" dataOnly="0" outline="0" fieldPosition="0"/>
    </format>
    <format dxfId="531">
      <pivotArea collapsedLevelsAreSubtotals="1" fieldPosition="0">
        <references count="1">
          <reference field="38" count="1">
            <x v="0"/>
          </reference>
        </references>
      </pivotArea>
    </format>
    <format dxfId="530">
      <pivotArea collapsedLevelsAreSubtotals="1" fieldPosition="0">
        <references count="2">
          <reference field="5" count="1">
            <x v="0"/>
          </reference>
          <reference field="38" count="1" selected="0">
            <x v="0"/>
          </reference>
        </references>
      </pivotArea>
    </format>
    <format dxfId="529">
      <pivotArea collapsedLevelsAreSubtotals="1" fieldPosition="0">
        <references count="3">
          <reference field="5" count="1" selected="0">
            <x v="0"/>
          </reference>
          <reference field="11" count="10">
            <x v="3"/>
            <x v="7"/>
            <x v="45"/>
            <x v="72"/>
            <x v="136"/>
            <x v="157"/>
            <x v="175"/>
            <x v="183"/>
            <x v="199"/>
            <x v="219"/>
          </reference>
          <reference field="38" count="1" selected="0">
            <x v="0"/>
          </reference>
        </references>
      </pivotArea>
    </format>
    <format dxfId="528">
      <pivotArea dataOnly="0" labelOnly="1" fieldPosition="0">
        <references count="1">
          <reference field="38" count="1">
            <x v="0"/>
          </reference>
        </references>
      </pivotArea>
    </format>
    <format dxfId="527">
      <pivotArea dataOnly="0" labelOnly="1" fieldPosition="0">
        <references count="2">
          <reference field="5" count="1">
            <x v="0"/>
          </reference>
          <reference field="38" count="1" selected="0">
            <x v="0"/>
          </reference>
        </references>
      </pivotArea>
    </format>
    <format dxfId="526">
      <pivotArea dataOnly="0" labelOnly="1" fieldPosition="0">
        <references count="3">
          <reference field="5" count="1" selected="0">
            <x v="0"/>
          </reference>
          <reference field="11" count="10">
            <x v="3"/>
            <x v="7"/>
            <x v="45"/>
            <x v="72"/>
            <x v="136"/>
            <x v="157"/>
            <x v="175"/>
            <x v="183"/>
            <x v="199"/>
            <x v="219"/>
          </reference>
          <reference field="38" count="1" selected="0">
            <x v="0"/>
          </reference>
        </references>
      </pivotArea>
    </format>
    <format dxfId="525">
      <pivotArea collapsedLevelsAreSubtotals="1" fieldPosition="0">
        <references count="1">
          <reference field="38" count="1">
            <x v="1"/>
          </reference>
        </references>
      </pivotArea>
    </format>
    <format dxfId="524">
      <pivotArea collapsedLevelsAreSubtotals="1" fieldPosition="0">
        <references count="2">
          <reference field="5" count="1">
            <x v="1"/>
          </reference>
          <reference field="38" count="1" selected="0">
            <x v="1"/>
          </reference>
        </references>
      </pivotArea>
    </format>
    <format dxfId="523">
      <pivotArea collapsedLevelsAreSubtotals="1" fieldPosition="0">
        <references count="3">
          <reference field="5" count="1" selected="0">
            <x v="1"/>
          </reference>
          <reference field="11" count="5">
            <x v="22"/>
            <x v="43"/>
            <x v="69"/>
            <x v="173"/>
            <x v="187"/>
          </reference>
          <reference field="38" count="1" selected="0">
            <x v="1"/>
          </reference>
        </references>
      </pivotArea>
    </format>
    <format dxfId="522">
      <pivotArea dataOnly="0" labelOnly="1" fieldPosition="0">
        <references count="1">
          <reference field="38" count="1">
            <x v="1"/>
          </reference>
        </references>
      </pivotArea>
    </format>
    <format dxfId="521">
      <pivotArea dataOnly="0" labelOnly="1" fieldPosition="0">
        <references count="2">
          <reference field="5" count="1">
            <x v="1"/>
          </reference>
          <reference field="38" count="1" selected="0">
            <x v="1"/>
          </reference>
        </references>
      </pivotArea>
    </format>
    <format dxfId="520">
      <pivotArea dataOnly="0" labelOnly="1" fieldPosition="0">
        <references count="3">
          <reference field="5" count="1" selected="0">
            <x v="1"/>
          </reference>
          <reference field="11" count="5">
            <x v="22"/>
            <x v="43"/>
            <x v="69"/>
            <x v="173"/>
            <x v="187"/>
          </reference>
          <reference field="38" count="1" selected="0">
            <x v="1"/>
          </reference>
        </references>
      </pivotArea>
    </format>
    <format dxfId="519">
      <pivotArea collapsedLevelsAreSubtotals="1" fieldPosition="0">
        <references count="1">
          <reference field="38" count="1">
            <x v="2"/>
          </reference>
        </references>
      </pivotArea>
    </format>
    <format dxfId="518">
      <pivotArea collapsedLevelsAreSubtotals="1" fieldPosition="0">
        <references count="2">
          <reference field="5" count="1">
            <x v="2"/>
          </reference>
          <reference field="38" count="1" selected="0">
            <x v="2"/>
          </reference>
        </references>
      </pivotArea>
    </format>
    <format dxfId="517">
      <pivotArea collapsedLevelsAreSubtotals="1" fieldPosition="0">
        <references count="3">
          <reference field="5" count="1" selected="0">
            <x v="2"/>
          </reference>
          <reference field="11" count="21">
            <x v="1"/>
            <x v="2"/>
            <x v="4"/>
            <x v="5"/>
            <x v="13"/>
            <x v="14"/>
            <x v="20"/>
            <x v="24"/>
            <x v="36"/>
            <x v="37"/>
            <x v="42"/>
            <x v="55"/>
            <x v="70"/>
            <x v="71"/>
            <x v="120"/>
            <x v="152"/>
            <x v="158"/>
            <x v="182"/>
            <x v="185"/>
            <x v="214"/>
            <x v="220"/>
          </reference>
          <reference field="38" count="1" selected="0">
            <x v="2"/>
          </reference>
        </references>
      </pivotArea>
    </format>
    <format dxfId="516">
      <pivotArea dataOnly="0" labelOnly="1" fieldPosition="0">
        <references count="1">
          <reference field="38" count="1">
            <x v="2"/>
          </reference>
        </references>
      </pivotArea>
    </format>
    <format dxfId="515">
      <pivotArea dataOnly="0" labelOnly="1" fieldPosition="0">
        <references count="2">
          <reference field="5" count="1">
            <x v="2"/>
          </reference>
          <reference field="38" count="1" selected="0">
            <x v="2"/>
          </reference>
        </references>
      </pivotArea>
    </format>
    <format dxfId="514">
      <pivotArea dataOnly="0" labelOnly="1" fieldPosition="0">
        <references count="3">
          <reference field="5" count="1" selected="0">
            <x v="2"/>
          </reference>
          <reference field="11" count="21">
            <x v="1"/>
            <x v="2"/>
            <x v="4"/>
            <x v="5"/>
            <x v="13"/>
            <x v="14"/>
            <x v="20"/>
            <x v="24"/>
            <x v="36"/>
            <x v="37"/>
            <x v="42"/>
            <x v="55"/>
            <x v="70"/>
            <x v="71"/>
            <x v="120"/>
            <x v="152"/>
            <x v="158"/>
            <x v="182"/>
            <x v="185"/>
            <x v="214"/>
            <x v="220"/>
          </reference>
          <reference field="38" count="1" selected="0">
            <x v="2"/>
          </reference>
        </references>
      </pivotArea>
    </format>
    <format dxfId="513">
      <pivotArea collapsedLevelsAreSubtotals="1" fieldPosition="0">
        <references count="1">
          <reference field="38" count="1">
            <x v="3"/>
          </reference>
        </references>
      </pivotArea>
    </format>
    <format dxfId="512">
      <pivotArea collapsedLevelsAreSubtotals="1" fieldPosition="0">
        <references count="2">
          <reference field="5" count="1">
            <x v="3"/>
          </reference>
          <reference field="38" count="1" selected="0">
            <x v="3"/>
          </reference>
        </references>
      </pivotArea>
    </format>
    <format dxfId="511">
      <pivotArea collapsedLevelsAreSubtotals="1" fieldPosition="0">
        <references count="3">
          <reference field="5" count="1" selected="0">
            <x v="3"/>
          </reference>
          <reference field="11" count="1">
            <x v="232"/>
          </reference>
          <reference field="38" count="1" selected="0">
            <x v="3"/>
          </reference>
        </references>
      </pivotArea>
    </format>
    <format dxfId="510">
      <pivotArea dataOnly="0" labelOnly="1" fieldPosition="0">
        <references count="1">
          <reference field="38" count="1">
            <x v="3"/>
          </reference>
        </references>
      </pivotArea>
    </format>
    <format dxfId="509">
      <pivotArea dataOnly="0" labelOnly="1" fieldPosition="0">
        <references count="2">
          <reference field="5" count="1">
            <x v="3"/>
          </reference>
          <reference field="38" count="1" selected="0">
            <x v="3"/>
          </reference>
        </references>
      </pivotArea>
    </format>
    <format dxfId="508">
      <pivotArea dataOnly="0" labelOnly="1" fieldPosition="0">
        <references count="3">
          <reference field="5" count="1" selected="0">
            <x v="3"/>
          </reference>
          <reference field="11" count="1">
            <x v="232"/>
          </reference>
          <reference field="38" count="1" selected="0">
            <x v="3"/>
          </reference>
        </references>
      </pivotArea>
    </format>
    <format dxfId="507">
      <pivotArea collapsedLevelsAreSubtotals="1" fieldPosition="0">
        <references count="1">
          <reference field="38" count="1">
            <x v="5"/>
          </reference>
        </references>
      </pivotArea>
    </format>
    <format dxfId="506">
      <pivotArea collapsedLevelsAreSubtotals="1" fieldPosition="0">
        <references count="2">
          <reference field="5" count="1">
            <x v="13"/>
          </reference>
          <reference field="38" count="1" selected="0">
            <x v="5"/>
          </reference>
        </references>
      </pivotArea>
    </format>
    <format dxfId="505">
      <pivotArea collapsedLevelsAreSubtotals="1" fieldPosition="0">
        <references count="3">
          <reference field="5" count="1" selected="0">
            <x v="13"/>
          </reference>
          <reference field="11" count="4">
            <x v="126"/>
            <x v="134"/>
            <x v="135"/>
            <x v="146"/>
          </reference>
          <reference field="38" count="1" selected="0">
            <x v="5"/>
          </reference>
        </references>
      </pivotArea>
    </format>
    <format dxfId="504">
      <pivotArea collapsedLevelsAreSubtotals="1" fieldPosition="0">
        <references count="2">
          <reference field="5" count="1">
            <x v="18"/>
          </reference>
          <reference field="38" count="1" selected="0">
            <x v="5"/>
          </reference>
        </references>
      </pivotArea>
    </format>
    <format dxfId="503">
      <pivotArea collapsedLevelsAreSubtotals="1" fieldPosition="0">
        <references count="3">
          <reference field="5" count="1" selected="0">
            <x v="18"/>
          </reference>
          <reference field="11" count="2">
            <x v="192"/>
            <x v="193"/>
          </reference>
          <reference field="38" count="1" selected="0">
            <x v="5"/>
          </reference>
        </references>
      </pivotArea>
    </format>
    <format dxfId="502">
      <pivotArea collapsedLevelsAreSubtotals="1" fieldPosition="0">
        <references count="2">
          <reference field="5" count="1">
            <x v="9"/>
          </reference>
          <reference field="38" count="1" selected="0">
            <x v="5"/>
          </reference>
        </references>
      </pivotArea>
    </format>
    <format dxfId="501">
      <pivotArea collapsedLevelsAreSubtotals="1" fieldPosition="0">
        <references count="3">
          <reference field="5" count="1" selected="0">
            <x v="9"/>
          </reference>
          <reference field="11" count="2">
            <x v="102"/>
            <x v="103"/>
          </reference>
          <reference field="38" count="1" selected="0">
            <x v="5"/>
          </reference>
        </references>
      </pivotArea>
    </format>
    <format dxfId="500">
      <pivotArea collapsedLevelsAreSubtotals="1" fieldPosition="0">
        <references count="2">
          <reference field="5" count="1">
            <x v="17"/>
          </reference>
          <reference field="38" count="1" selected="0">
            <x v="5"/>
          </reference>
        </references>
      </pivotArea>
    </format>
    <format dxfId="499">
      <pivotArea collapsedLevelsAreSubtotals="1" fieldPosition="0">
        <references count="3">
          <reference field="5" count="1" selected="0">
            <x v="17"/>
          </reference>
          <reference field="11" count="1">
            <x v="231"/>
          </reference>
          <reference field="38" count="1" selected="0">
            <x v="5"/>
          </reference>
        </references>
      </pivotArea>
    </format>
    <format dxfId="498">
      <pivotArea collapsedLevelsAreSubtotals="1" fieldPosition="0">
        <references count="2">
          <reference field="5" count="1">
            <x v="10"/>
          </reference>
          <reference field="38" count="1" selected="0">
            <x v="5"/>
          </reference>
        </references>
      </pivotArea>
    </format>
    <format dxfId="497">
      <pivotArea collapsedLevelsAreSubtotals="1" fieldPosition="0">
        <references count="3">
          <reference field="5" count="1" selected="0">
            <x v="10"/>
          </reference>
          <reference field="11" count="3">
            <x v="59"/>
            <x v="104"/>
            <x v="161"/>
          </reference>
          <reference field="38" count="1" selected="0">
            <x v="5"/>
          </reference>
        </references>
      </pivotArea>
    </format>
    <format dxfId="496">
      <pivotArea collapsedLevelsAreSubtotals="1" fieldPosition="0">
        <references count="2">
          <reference field="5" count="1">
            <x v="11"/>
          </reference>
          <reference field="38" count="1" selected="0">
            <x v="5"/>
          </reference>
        </references>
      </pivotArea>
    </format>
    <format dxfId="495">
      <pivotArea collapsedLevelsAreSubtotals="1" fieldPosition="0">
        <references count="3">
          <reference field="5" count="1" selected="0">
            <x v="11"/>
          </reference>
          <reference field="11" count="2">
            <x v="164"/>
            <x v="196"/>
          </reference>
          <reference field="38" count="1" selected="0">
            <x v="5"/>
          </reference>
        </references>
      </pivotArea>
    </format>
    <format dxfId="494">
      <pivotArea collapsedLevelsAreSubtotals="1" fieldPosition="0">
        <references count="2">
          <reference field="5" count="1">
            <x v="16"/>
          </reference>
          <reference field="38" count="1" selected="0">
            <x v="5"/>
          </reference>
        </references>
      </pivotArea>
    </format>
    <format dxfId="493">
      <pivotArea collapsedLevelsAreSubtotals="1" fieldPosition="0">
        <references count="3">
          <reference field="5" count="1" selected="0">
            <x v="16"/>
          </reference>
          <reference field="11" count="1">
            <x v="153"/>
          </reference>
          <reference field="38" count="1" selected="0">
            <x v="5"/>
          </reference>
        </references>
      </pivotArea>
    </format>
    <format dxfId="492">
      <pivotArea collapsedLevelsAreSubtotals="1" fieldPosition="0">
        <references count="2">
          <reference field="5" count="1">
            <x v="5"/>
          </reference>
          <reference field="38" count="1" selected="0">
            <x v="5"/>
          </reference>
        </references>
      </pivotArea>
    </format>
    <format dxfId="491">
      <pivotArea collapsedLevelsAreSubtotals="1" fieldPosition="0">
        <references count="3">
          <reference field="5" count="1" selected="0">
            <x v="5"/>
          </reference>
          <reference field="11" count="1">
            <x v="60"/>
          </reference>
          <reference field="38" count="1" selected="0">
            <x v="5"/>
          </reference>
        </references>
      </pivotArea>
    </format>
    <format dxfId="490">
      <pivotArea collapsedLevelsAreSubtotals="1" fieldPosition="0">
        <references count="2">
          <reference field="5" count="1">
            <x v="19"/>
          </reference>
          <reference field="38" count="1" selected="0">
            <x v="5"/>
          </reference>
        </references>
      </pivotArea>
    </format>
    <format dxfId="489">
      <pivotArea collapsedLevelsAreSubtotals="1" fieldPosition="0">
        <references count="3">
          <reference field="5" count="1" selected="0">
            <x v="19"/>
          </reference>
          <reference field="11" count="1">
            <x v="198"/>
          </reference>
          <reference field="38" count="1" selected="0">
            <x v="5"/>
          </reference>
        </references>
      </pivotArea>
    </format>
    <format dxfId="488">
      <pivotArea dataOnly="0" labelOnly="1" fieldPosition="0">
        <references count="1">
          <reference field="38" count="1">
            <x v="5"/>
          </reference>
        </references>
      </pivotArea>
    </format>
    <format dxfId="487">
      <pivotArea dataOnly="0" labelOnly="1" fieldPosition="0">
        <references count="2">
          <reference field="5" count="9">
            <x v="5"/>
            <x v="9"/>
            <x v="10"/>
            <x v="11"/>
            <x v="13"/>
            <x v="16"/>
            <x v="17"/>
            <x v="18"/>
            <x v="19"/>
          </reference>
          <reference field="38" count="1" selected="0">
            <x v="5"/>
          </reference>
        </references>
      </pivotArea>
    </format>
    <format dxfId="486">
      <pivotArea dataOnly="0" labelOnly="1" fieldPosition="0">
        <references count="3">
          <reference field="5" count="1" selected="0">
            <x v="13"/>
          </reference>
          <reference field="11" count="17">
            <x v="59"/>
            <x v="60"/>
            <x v="102"/>
            <x v="103"/>
            <x v="104"/>
            <x v="126"/>
            <x v="134"/>
            <x v="135"/>
            <x v="146"/>
            <x v="153"/>
            <x v="161"/>
            <x v="164"/>
            <x v="192"/>
            <x v="193"/>
            <x v="196"/>
            <x v="198"/>
            <x v="231"/>
          </reference>
          <reference field="38" count="1" selected="0">
            <x v="5"/>
          </reference>
        </references>
      </pivotArea>
    </format>
    <format dxfId="485">
      <pivotArea collapsedLevelsAreSubtotals="1" fieldPosition="0">
        <references count="1">
          <reference field="38" count="1">
            <x v="6"/>
          </reference>
        </references>
      </pivotArea>
    </format>
    <format dxfId="484">
      <pivotArea collapsedLevelsAreSubtotals="1" fieldPosition="0">
        <references count="2">
          <reference field="5" count="1">
            <x v="6"/>
          </reference>
          <reference field="38" count="1" selected="0">
            <x v="6"/>
          </reference>
        </references>
      </pivotArea>
    </format>
    <format dxfId="483">
      <pivotArea collapsedLevelsAreSubtotals="1" fieldPosition="0">
        <references count="3">
          <reference field="5" count="1" selected="0">
            <x v="6"/>
          </reference>
          <reference field="11" count="8">
            <x v="54"/>
            <x v="56"/>
            <x v="57"/>
            <x v="123"/>
            <x v="130"/>
            <x v="131"/>
            <x v="148"/>
            <x v="222"/>
          </reference>
          <reference field="38" count="1" selected="0">
            <x v="6"/>
          </reference>
        </references>
      </pivotArea>
    </format>
    <format dxfId="482">
      <pivotArea dataOnly="0" labelOnly="1" fieldPosition="0">
        <references count="1">
          <reference field="38" count="1">
            <x v="6"/>
          </reference>
        </references>
      </pivotArea>
    </format>
    <format dxfId="481">
      <pivotArea dataOnly="0" labelOnly="1" fieldPosition="0">
        <references count="2">
          <reference field="5" count="1">
            <x v="6"/>
          </reference>
          <reference field="38" count="1" selected="0">
            <x v="6"/>
          </reference>
        </references>
      </pivotArea>
    </format>
    <format dxfId="480">
      <pivotArea dataOnly="0" labelOnly="1" fieldPosition="0">
        <references count="3">
          <reference field="5" count="1" selected="0">
            <x v="6"/>
          </reference>
          <reference field="11" count="8">
            <x v="54"/>
            <x v="56"/>
            <x v="57"/>
            <x v="123"/>
            <x v="130"/>
            <x v="131"/>
            <x v="148"/>
            <x v="222"/>
          </reference>
          <reference field="38" count="1" selected="0">
            <x v="6"/>
          </reference>
        </references>
      </pivotArea>
    </format>
    <format dxfId="479">
      <pivotArea collapsedLevelsAreSubtotals="1" fieldPosition="0">
        <references count="1">
          <reference field="38" count="1">
            <x v="7"/>
          </reference>
        </references>
      </pivotArea>
    </format>
    <format dxfId="478">
      <pivotArea collapsedLevelsAreSubtotals="1" fieldPosition="0">
        <references count="2">
          <reference field="5" count="1">
            <x v="8"/>
          </reference>
          <reference field="38" count="1" selected="0">
            <x v="7"/>
          </reference>
        </references>
      </pivotArea>
    </format>
    <format dxfId="477">
      <pivotArea collapsedLevelsAreSubtotals="1" fieldPosition="0">
        <references count="3">
          <reference field="5" count="1" selected="0">
            <x v="8"/>
          </reference>
          <reference field="11" count="11">
            <x v="18"/>
            <x v="19"/>
            <x v="64"/>
            <x v="76"/>
            <x v="86"/>
            <x v="87"/>
            <x v="95"/>
            <x v="96"/>
            <x v="97"/>
            <x v="98"/>
            <x v="105"/>
          </reference>
          <reference field="38" count="1" selected="0">
            <x v="7"/>
          </reference>
        </references>
      </pivotArea>
    </format>
    <format dxfId="476">
      <pivotArea dataOnly="0" labelOnly="1" fieldPosition="0">
        <references count="1">
          <reference field="38" count="1">
            <x v="7"/>
          </reference>
        </references>
      </pivotArea>
    </format>
    <format dxfId="475">
      <pivotArea dataOnly="0" labelOnly="1" fieldPosition="0">
        <references count="2">
          <reference field="5" count="1">
            <x v="8"/>
          </reference>
          <reference field="38" count="1" selected="0">
            <x v="7"/>
          </reference>
        </references>
      </pivotArea>
    </format>
    <format dxfId="474">
      <pivotArea dataOnly="0" labelOnly="1" fieldPosition="0">
        <references count="3">
          <reference field="5" count="1" selected="0">
            <x v="8"/>
          </reference>
          <reference field="11" count="11">
            <x v="18"/>
            <x v="19"/>
            <x v="64"/>
            <x v="76"/>
            <x v="86"/>
            <x v="87"/>
            <x v="95"/>
            <x v="96"/>
            <x v="97"/>
            <x v="98"/>
            <x v="105"/>
          </reference>
          <reference field="38" count="1" selected="0">
            <x v="7"/>
          </reference>
        </references>
      </pivotArea>
    </format>
    <format dxfId="473">
      <pivotArea collapsedLevelsAreSubtotals="1" fieldPosition="0">
        <references count="1">
          <reference field="38" count="1">
            <x v="8"/>
          </reference>
        </references>
      </pivotArea>
    </format>
    <format dxfId="472">
      <pivotArea collapsedLevelsAreSubtotals="1" fieldPosition="0">
        <references count="2">
          <reference field="5" count="1">
            <x v="12"/>
          </reference>
          <reference field="38" count="1" selected="0">
            <x v="8"/>
          </reference>
        </references>
      </pivotArea>
    </format>
    <format dxfId="471">
      <pivotArea collapsedLevelsAreSubtotals="1" fieldPosition="0">
        <references count="3">
          <reference field="5" count="1" selected="0">
            <x v="12"/>
          </reference>
          <reference field="11" count="14">
            <x v="28"/>
            <x v="44"/>
            <x v="51"/>
            <x v="73"/>
            <x v="74"/>
            <x v="75"/>
            <x v="89"/>
            <x v="101"/>
            <x v="124"/>
            <x v="167"/>
            <x v="168"/>
            <x v="170"/>
            <x v="172"/>
            <x v="188"/>
          </reference>
          <reference field="38" count="1" selected="0">
            <x v="8"/>
          </reference>
        </references>
      </pivotArea>
    </format>
    <format dxfId="470">
      <pivotArea dataOnly="0" labelOnly="1" fieldPosition="0">
        <references count="1">
          <reference field="38" count="1">
            <x v="8"/>
          </reference>
        </references>
      </pivotArea>
    </format>
    <format dxfId="469">
      <pivotArea dataOnly="0" labelOnly="1" fieldPosition="0">
        <references count="2">
          <reference field="5" count="1">
            <x v="12"/>
          </reference>
          <reference field="38" count="1" selected="0">
            <x v="8"/>
          </reference>
        </references>
      </pivotArea>
    </format>
    <format dxfId="468">
      <pivotArea dataOnly="0" labelOnly="1" fieldPosition="0">
        <references count="3">
          <reference field="5" count="1" selected="0">
            <x v="12"/>
          </reference>
          <reference field="11" count="14">
            <x v="28"/>
            <x v="44"/>
            <x v="51"/>
            <x v="73"/>
            <x v="74"/>
            <x v="75"/>
            <x v="89"/>
            <x v="101"/>
            <x v="124"/>
            <x v="167"/>
            <x v="168"/>
            <x v="170"/>
            <x v="172"/>
            <x v="188"/>
          </reference>
          <reference field="38" count="1" selected="0">
            <x v="8"/>
          </reference>
        </references>
      </pivotArea>
    </format>
    <format dxfId="467">
      <pivotArea collapsedLevelsAreSubtotals="1" fieldPosition="0">
        <references count="1">
          <reference field="38" count="1">
            <x v="9"/>
          </reference>
        </references>
      </pivotArea>
    </format>
    <format dxfId="466">
      <pivotArea collapsedLevelsAreSubtotals="1" fieldPosition="0">
        <references count="2">
          <reference field="5" count="1">
            <x v="14"/>
          </reference>
          <reference field="38" count="1" selected="0">
            <x v="9"/>
          </reference>
        </references>
      </pivotArea>
    </format>
    <format dxfId="465">
      <pivotArea collapsedLevelsAreSubtotals="1" fieldPosition="0">
        <references count="3">
          <reference field="5" count="1" selected="0">
            <x v="14"/>
          </reference>
          <reference field="11" count="24">
            <x v="25"/>
            <x v="26"/>
            <x v="27"/>
            <x v="49"/>
            <x v="50"/>
            <x v="58"/>
            <x v="67"/>
            <x v="68"/>
            <x v="88"/>
            <x v="90"/>
            <x v="114"/>
            <x v="115"/>
            <x v="156"/>
            <x v="169"/>
            <x v="171"/>
            <x v="189"/>
            <x v="190"/>
            <x v="194"/>
            <x v="202"/>
            <x v="203"/>
            <x v="204"/>
            <x v="205"/>
            <x v="218"/>
            <x v="229"/>
          </reference>
          <reference field="38" count="1" selected="0">
            <x v="9"/>
          </reference>
        </references>
      </pivotArea>
    </format>
    <format dxfId="464">
      <pivotArea dataOnly="0" labelOnly="1" fieldPosition="0">
        <references count="1">
          <reference field="38" count="1">
            <x v="9"/>
          </reference>
        </references>
      </pivotArea>
    </format>
    <format dxfId="463">
      <pivotArea dataOnly="0" labelOnly="1" fieldPosition="0">
        <references count="2">
          <reference field="5" count="1">
            <x v="14"/>
          </reference>
          <reference field="38" count="1" selected="0">
            <x v="9"/>
          </reference>
        </references>
      </pivotArea>
    </format>
    <format dxfId="462">
      <pivotArea dataOnly="0" labelOnly="1" fieldPosition="0">
        <references count="3">
          <reference field="5" count="1" selected="0">
            <x v="14"/>
          </reference>
          <reference field="11" count="24">
            <x v="25"/>
            <x v="26"/>
            <x v="27"/>
            <x v="49"/>
            <x v="50"/>
            <x v="58"/>
            <x v="67"/>
            <x v="68"/>
            <x v="88"/>
            <x v="90"/>
            <x v="114"/>
            <x v="115"/>
            <x v="156"/>
            <x v="169"/>
            <x v="171"/>
            <x v="189"/>
            <x v="190"/>
            <x v="194"/>
            <x v="202"/>
            <x v="203"/>
            <x v="204"/>
            <x v="205"/>
            <x v="218"/>
            <x v="229"/>
          </reference>
          <reference field="38" count="1" selected="0">
            <x v="9"/>
          </reference>
        </references>
      </pivotArea>
    </format>
    <format dxfId="461">
      <pivotArea collapsedLevelsAreSubtotals="1" fieldPosition="0">
        <references count="1">
          <reference field="38" count="1">
            <x v="10"/>
          </reference>
        </references>
      </pivotArea>
    </format>
    <format dxfId="460">
      <pivotArea collapsedLevelsAreSubtotals="1" fieldPosition="0">
        <references count="2">
          <reference field="5" count="1">
            <x v="15"/>
          </reference>
          <reference field="38" count="1" selected="0">
            <x v="10"/>
          </reference>
        </references>
      </pivotArea>
    </format>
    <format dxfId="459">
      <pivotArea collapsedLevelsAreSubtotals="1" fieldPosition="0">
        <references count="3">
          <reference field="5" count="1" selected="0">
            <x v="15"/>
          </reference>
          <reference field="11" count="5">
            <x v="140"/>
            <x v="141"/>
            <x v="142"/>
            <x v="143"/>
            <x v="155"/>
          </reference>
          <reference field="38" count="1" selected="0">
            <x v="10"/>
          </reference>
        </references>
      </pivotArea>
    </format>
    <format dxfId="458">
      <pivotArea dataOnly="0" labelOnly="1" fieldPosition="0">
        <references count="1">
          <reference field="38" count="1">
            <x v="10"/>
          </reference>
        </references>
      </pivotArea>
    </format>
    <format dxfId="457">
      <pivotArea dataOnly="0" labelOnly="1" fieldPosition="0">
        <references count="2">
          <reference field="5" count="1">
            <x v="15"/>
          </reference>
          <reference field="38" count="1" selected="0">
            <x v="10"/>
          </reference>
        </references>
      </pivotArea>
    </format>
    <format dxfId="456">
      <pivotArea dataOnly="0" labelOnly="1" fieldPosition="0">
        <references count="3">
          <reference field="5" count="1" selected="0">
            <x v="15"/>
          </reference>
          <reference field="11" count="5">
            <x v="140"/>
            <x v="141"/>
            <x v="142"/>
            <x v="143"/>
            <x v="155"/>
          </reference>
          <reference field="38" count="1" selected="0">
            <x v="10"/>
          </reference>
        </references>
      </pivotArea>
    </format>
    <format dxfId="455">
      <pivotArea collapsedLevelsAreSubtotals="1" fieldPosition="0">
        <references count="1">
          <reference field="38" count="1">
            <x v="11"/>
          </reference>
        </references>
      </pivotArea>
    </format>
    <format dxfId="454">
      <pivotArea collapsedLevelsAreSubtotals="1" fieldPosition="0">
        <references count="2">
          <reference field="5" count="1">
            <x v="20"/>
          </reference>
          <reference field="38" count="1" selected="0">
            <x v="11"/>
          </reference>
        </references>
      </pivotArea>
    </format>
    <format dxfId="453">
      <pivotArea collapsedLevelsAreSubtotals="1" fieldPosition="0">
        <references count="3">
          <reference field="5" count="1" selected="0">
            <x v="20"/>
          </reference>
          <reference field="11" count="21">
            <x v="17"/>
            <x v="34"/>
            <x v="35"/>
            <x v="79"/>
            <x v="80"/>
            <x v="82"/>
            <x v="83"/>
            <x v="84"/>
            <x v="85"/>
            <x v="163"/>
            <x v="177"/>
            <x v="178"/>
            <x v="179"/>
            <x v="180"/>
            <x v="181"/>
            <x v="191"/>
            <x v="206"/>
            <x v="211"/>
            <x v="215"/>
            <x v="228"/>
            <x v="230"/>
          </reference>
          <reference field="38" count="1" selected="0">
            <x v="11"/>
          </reference>
        </references>
      </pivotArea>
    </format>
    <format dxfId="452">
      <pivotArea dataOnly="0" labelOnly="1" fieldPosition="0">
        <references count="1">
          <reference field="38" count="1">
            <x v="11"/>
          </reference>
        </references>
      </pivotArea>
    </format>
    <format dxfId="451">
      <pivotArea dataOnly="0" labelOnly="1" fieldPosition="0">
        <references count="2">
          <reference field="5" count="1">
            <x v="20"/>
          </reference>
          <reference field="38" count="1" selected="0">
            <x v="11"/>
          </reference>
        </references>
      </pivotArea>
    </format>
    <format dxfId="450">
      <pivotArea dataOnly="0" labelOnly="1" fieldPosition="0">
        <references count="3">
          <reference field="5" count="1" selected="0">
            <x v="20"/>
          </reference>
          <reference field="11" count="21">
            <x v="17"/>
            <x v="34"/>
            <x v="35"/>
            <x v="79"/>
            <x v="80"/>
            <x v="82"/>
            <x v="83"/>
            <x v="84"/>
            <x v="85"/>
            <x v="163"/>
            <x v="177"/>
            <x v="178"/>
            <x v="179"/>
            <x v="180"/>
            <x v="181"/>
            <x v="191"/>
            <x v="206"/>
            <x v="211"/>
            <x v="215"/>
            <x v="228"/>
            <x v="230"/>
          </reference>
          <reference field="38" count="1" selected="0">
            <x v="11"/>
          </reference>
        </references>
      </pivotArea>
    </format>
    <format dxfId="449">
      <pivotArea outline="0" collapsedLevelsAreSubtotals="1" fieldPosition="0">
        <references count="1">
          <reference field="4294967294" count="1" selected="0">
            <x v="0"/>
          </reference>
        </references>
      </pivotArea>
    </format>
    <format dxfId="448">
      <pivotArea dataOnly="0" labelOnly="1" outline="0" fieldPosition="0">
        <references count="1">
          <reference field="4294967294" count="1">
            <x v="0"/>
          </reference>
        </references>
      </pivotArea>
    </format>
    <format dxfId="447">
      <pivotArea outline="0" collapsedLevelsAreSubtotals="1" fieldPosition="0">
        <references count="1">
          <reference field="4294967294" count="1" selected="0">
            <x v="2"/>
          </reference>
        </references>
      </pivotArea>
    </format>
    <format dxfId="446">
      <pivotArea dataOnly="0" labelOnly="1" outline="0" fieldPosition="0">
        <references count="1">
          <reference field="4294967294" count="1">
            <x v="2"/>
          </reference>
        </references>
      </pivotArea>
    </format>
    <format dxfId="445">
      <pivotArea outline="0" collapsedLevelsAreSubtotals="1" fieldPosition="0">
        <references count="1">
          <reference field="4294967294" count="1" selected="0">
            <x v="4"/>
          </reference>
        </references>
      </pivotArea>
    </format>
    <format dxfId="444">
      <pivotArea dataOnly="0" labelOnly="1" outline="0" fieldPosition="0">
        <references count="1">
          <reference field="4294967294" count="1">
            <x v="4"/>
          </reference>
        </references>
      </pivotArea>
    </format>
    <format dxfId="443">
      <pivotArea outline="0" collapsedLevelsAreSubtotals="1" fieldPosition="0">
        <references count="1">
          <reference field="4294967294" count="2" selected="0">
            <x v="0"/>
            <x v="1"/>
          </reference>
        </references>
      </pivotArea>
    </format>
    <format dxfId="442">
      <pivotArea field="0" type="button" dataOnly="0" labelOnly="1" outline="0" axis="axisPage" fieldPosition="0"/>
    </format>
    <format dxfId="441">
      <pivotArea dataOnly="0" labelOnly="1" outline="0" fieldPosition="0">
        <references count="1">
          <reference field="0" count="0"/>
        </references>
      </pivotArea>
    </format>
    <format dxfId="440">
      <pivotArea field="21" type="button" dataOnly="0" labelOnly="1" outline="0" axis="axisPage" fieldPosition="1"/>
    </format>
    <format dxfId="439">
      <pivotArea dataOnly="0" labelOnly="1" outline="0" fieldPosition="0">
        <references count="1">
          <reference field="21" count="0"/>
        </references>
      </pivotArea>
    </format>
    <format dxfId="438">
      <pivotArea field="38" type="button" dataOnly="0" labelOnly="1" outline="0" axis="axisRow" fieldPosition="0"/>
    </format>
    <format dxfId="437">
      <pivotArea dataOnly="0" labelOnly="1" fieldPosition="0">
        <references count="1">
          <reference field="38" count="11">
            <x v="0"/>
            <x v="1"/>
            <x v="2"/>
            <x v="3"/>
            <x v="5"/>
            <x v="6"/>
            <x v="7"/>
            <x v="8"/>
            <x v="9"/>
            <x v="10"/>
            <x v="11"/>
          </reference>
        </references>
      </pivotArea>
    </format>
    <format dxfId="436">
      <pivotArea dataOnly="0" labelOnly="1" grandRow="1" outline="0" fieldPosition="0"/>
    </format>
    <format dxfId="435">
      <pivotArea dataOnly="0" labelOnly="1" fieldPosition="0">
        <references count="2">
          <reference field="5" count="19">
            <x v="0"/>
            <x v="1"/>
            <x v="2"/>
            <x v="3"/>
            <x v="5"/>
            <x v="6"/>
            <x v="8"/>
            <x v="9"/>
            <x v="10"/>
            <x v="11"/>
            <x v="12"/>
            <x v="13"/>
            <x v="14"/>
            <x v="15"/>
            <x v="16"/>
            <x v="17"/>
            <x v="18"/>
            <x v="19"/>
            <x v="20"/>
          </reference>
          <reference field="38" count="1" selected="0">
            <x v="0"/>
          </reference>
        </references>
      </pivotArea>
    </format>
    <format dxfId="434">
      <pivotArea dataOnly="0" labelOnly="1" fieldPosition="0">
        <references count="3">
          <reference field="5" count="1" selected="0">
            <x v="0"/>
          </reference>
          <reference field="11" count="50">
            <x v="1"/>
            <x v="2"/>
            <x v="3"/>
            <x v="4"/>
            <x v="5"/>
            <x v="7"/>
            <x v="13"/>
            <x v="20"/>
            <x v="22"/>
            <x v="24"/>
            <x v="36"/>
            <x v="37"/>
            <x v="42"/>
            <x v="43"/>
            <x v="45"/>
            <x v="55"/>
            <x v="59"/>
            <x v="69"/>
            <x v="70"/>
            <x v="71"/>
            <x v="72"/>
            <x v="102"/>
            <x v="103"/>
            <x v="104"/>
            <x v="120"/>
            <x v="126"/>
            <x v="134"/>
            <x v="135"/>
            <x v="136"/>
            <x v="152"/>
            <x v="157"/>
            <x v="158"/>
            <x v="173"/>
            <x v="175"/>
            <x v="182"/>
            <x v="183"/>
            <x v="185"/>
            <x v="187"/>
            <x v="192"/>
            <x v="193"/>
            <x v="198"/>
            <x v="199"/>
            <x v="214"/>
            <x v="219"/>
            <x v="220"/>
            <x v="231"/>
            <x v="232"/>
            <x v="235"/>
            <x v="236"/>
            <x v="237"/>
          </reference>
          <reference field="38" count="1" selected="0">
            <x v="0"/>
          </reference>
        </references>
      </pivotArea>
    </format>
    <format dxfId="433">
      <pivotArea dataOnly="0" labelOnly="1" fieldPosition="0">
        <references count="3">
          <reference field="5" count="1" selected="0">
            <x v="10"/>
          </reference>
          <reference field="11" count="50">
            <x v="18"/>
            <x v="19"/>
            <x v="27"/>
            <x v="28"/>
            <x v="44"/>
            <x v="49"/>
            <x v="50"/>
            <x v="51"/>
            <x v="54"/>
            <x v="56"/>
            <x v="57"/>
            <x v="58"/>
            <x v="60"/>
            <x v="64"/>
            <x v="67"/>
            <x v="68"/>
            <x v="73"/>
            <x v="74"/>
            <x v="75"/>
            <x v="86"/>
            <x v="87"/>
            <x v="88"/>
            <x v="89"/>
            <x v="90"/>
            <x v="95"/>
            <x v="96"/>
            <x v="97"/>
            <x v="98"/>
            <x v="105"/>
            <x v="123"/>
            <x v="124"/>
            <x v="130"/>
            <x v="131"/>
            <x v="148"/>
            <x v="153"/>
            <x v="161"/>
            <x v="164"/>
            <x v="167"/>
            <x v="168"/>
            <x v="170"/>
            <x v="172"/>
            <x v="188"/>
            <x v="189"/>
            <x v="190"/>
            <x v="194"/>
            <x v="196"/>
            <x v="204"/>
            <x v="205"/>
            <x v="222"/>
            <x v="239"/>
          </reference>
          <reference field="38" count="1" selected="0">
            <x v="5"/>
          </reference>
        </references>
      </pivotArea>
    </format>
    <format dxfId="432">
      <pivotArea dataOnly="0" labelOnly="1" fieldPosition="0">
        <references count="3">
          <reference field="5" count="1" selected="0">
            <x v="14"/>
          </reference>
          <reference field="11" count="37">
            <x v="17"/>
            <x v="25"/>
            <x v="26"/>
            <x v="34"/>
            <x v="35"/>
            <x v="79"/>
            <x v="80"/>
            <x v="82"/>
            <x v="83"/>
            <x v="84"/>
            <x v="85"/>
            <x v="114"/>
            <x v="115"/>
            <x v="140"/>
            <x v="141"/>
            <x v="142"/>
            <x v="143"/>
            <x v="155"/>
            <x v="156"/>
            <x v="163"/>
            <x v="169"/>
            <x v="171"/>
            <x v="177"/>
            <x v="178"/>
            <x v="179"/>
            <x v="180"/>
            <x v="181"/>
            <x v="191"/>
            <x v="202"/>
            <x v="203"/>
            <x v="206"/>
            <x v="211"/>
            <x v="215"/>
            <x v="218"/>
            <x v="228"/>
            <x v="229"/>
            <x v="230"/>
          </reference>
          <reference field="38" count="1" selected="0">
            <x v="9"/>
          </reference>
        </references>
      </pivotArea>
    </format>
    <format dxfId="431">
      <pivotArea dataOnly="0" labelOnly="1" outline="0" fieldPosition="0">
        <references count="1">
          <reference field="4294967294" count="2">
            <x v="0"/>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7.xml><?xml version="1.0" encoding="utf-8"?>
<pivotTableDefinition xmlns="http://schemas.openxmlformats.org/spreadsheetml/2006/main" name="PivotTable5" cacheId="64" applyNumberFormats="0" applyBorderFormats="0" applyFontFormats="0" applyPatternFormats="0" applyAlignmentFormats="0" applyWidthHeightFormats="1" dataCaption="Values" grandTotalCaption="Total" updatedVersion="5" minRefreshableVersion="3" useAutoFormatting="1" itemPrintTitles="1" createdVersion="4" indent="0" outline="1" outlineData="1" multipleFieldFilters="0" rowHeaderCaption="Township">
  <location ref="C21:H33" firstHeaderRow="0" firstDataRow="1" firstDataCol="1" rowPageCount="2" colPageCount="1"/>
  <pivotFields count="42">
    <pivotField axis="axisPage" multipleItemSelectionAllowed="1" showAll="0">
      <items count="3">
        <item h="1" x="0"/>
        <item x="1"/>
        <item t="default"/>
      </items>
    </pivotField>
    <pivotField showAll="0"/>
    <pivotField showAll="0"/>
    <pivotField showAll="0"/>
    <pivotField showAll="0"/>
    <pivotField showAll="0" sortType="descending">
      <items count="22">
        <item x="1"/>
        <item x="4"/>
        <item x="0"/>
        <item x="6"/>
        <item x="8"/>
        <item x="7"/>
        <item x="5"/>
        <item x="9"/>
        <item x="2"/>
        <item x="10"/>
        <item x="11"/>
        <item x="12"/>
        <item x="13"/>
        <item x="14"/>
        <item x="15"/>
        <item x="16"/>
        <item x="18"/>
        <item x="17"/>
        <item x="19"/>
        <item x="20"/>
        <item x="3"/>
        <item t="default"/>
      </items>
      <autoSortScope>
        <pivotArea dataOnly="0" outline="0" fieldPosition="0">
          <references count="1">
            <reference field="4294967294" count="1" selected="0">
              <x v="3"/>
            </reference>
          </references>
        </pivotArea>
      </autoSortScope>
    </pivotField>
    <pivotField showAll="0"/>
    <pivotField showAll="0"/>
    <pivotField showAll="0"/>
    <pivotField showAll="0"/>
    <pivotField showAll="0"/>
    <pivotField showAll="0" sortType="descending">
      <autoSortScope>
        <pivotArea dataOnly="0" outline="0" fieldPosition="0">
          <references count="1">
            <reference field="4294967294" count="1" selected="0">
              <x v="3"/>
            </reference>
          </references>
        </pivotArea>
      </autoSortScope>
    </pivotField>
    <pivotField dataField="1" showAll="0"/>
    <pivotField showAll="0"/>
    <pivotField showAll="0" defaultSubtotal="0"/>
    <pivotField showAll="0"/>
    <pivotField dataField="1" showAll="0"/>
    <pivotField dataField="1" showAll="0"/>
    <pivotField showAll="0"/>
    <pivotField showAll="0"/>
    <pivotField showAll="0" defaultSubtotal="0"/>
    <pivotField axis="axisPage" multipleItemSelectionAllowed="1" showAll="0">
      <items count="6">
        <item h="1" x="4"/>
        <item x="0"/>
        <item h="1" x="1"/>
        <item h="1" x="3"/>
        <item h="1" x="2"/>
        <item t="default"/>
      </items>
    </pivotField>
    <pivotField showAll="0"/>
    <pivotField showAll="0"/>
    <pivotField showAll="0"/>
    <pivotField showAll="0"/>
    <pivotField showAll="0"/>
    <pivotField showAll="0"/>
    <pivotField showAll="0"/>
    <pivotField showAll="0"/>
    <pivotField showAll="0"/>
    <pivotField dataField="1" showAll="0" defaultSubtotal="0"/>
    <pivotField showAll="0" defaultSubtotal="0"/>
    <pivotField dataField="1" showAll="0" defaultSubtotal="0"/>
    <pivotField showAll="0" defaultSubtotal="0"/>
    <pivotField showAll="0" defaultSubtotal="0"/>
    <pivotField showAll="0" defaultSubtotal="0"/>
    <pivotField dragToRow="0" dragToCol="0" dragToPage="0" showAll="0" defaultSubtotal="0"/>
    <pivotField axis="axisRow" showAll="0" defaultSubtotal="0">
      <items count="12">
        <item x="3"/>
        <item x="8"/>
        <item x="0"/>
        <item x="10"/>
        <item x="5"/>
        <item x="4"/>
        <item x="1"/>
        <item x="6"/>
        <item x="9"/>
        <item x="7"/>
        <item x="2"/>
        <item n="Other Townships" x="11"/>
      </items>
    </pivotField>
    <pivotField dragToRow="0" dragToCol="0" dragToPage="0" showAll="0" defaultSubtotal="0"/>
    <pivotField dragToRow="0" dragToCol="0" dragToPage="0" showAll="0" defaultSubtotal="0"/>
    <pivotField dragToRow="0" dragToCol="0" dragToPage="0" showAll="0" defaultSubtotal="0"/>
  </pivotFields>
  <rowFields count="1">
    <field x="38"/>
  </rowFields>
  <rowItems count="12">
    <i>
      <x/>
    </i>
    <i>
      <x v="1"/>
    </i>
    <i>
      <x v="2"/>
    </i>
    <i>
      <x v="3"/>
    </i>
    <i>
      <x v="5"/>
    </i>
    <i>
      <x v="6"/>
    </i>
    <i>
      <x v="7"/>
    </i>
    <i>
      <x v="8"/>
    </i>
    <i>
      <x v="9"/>
    </i>
    <i>
      <x v="10"/>
    </i>
    <i>
      <x v="11"/>
    </i>
    <i t="grand">
      <x/>
    </i>
  </rowItems>
  <colFields count="1">
    <field x="-2"/>
  </colFields>
  <colItems count="5">
    <i>
      <x/>
    </i>
    <i i="1">
      <x v="1"/>
    </i>
    <i i="2">
      <x v="2"/>
    </i>
    <i i="3">
      <x v="3"/>
    </i>
    <i i="4">
      <x v="4"/>
    </i>
  </colItems>
  <pageFields count="2">
    <pageField fld="0" hier="-1"/>
    <pageField fld="21" hier="-1"/>
  </pageFields>
  <dataFields count="5">
    <dataField name="# HH" fld="16" baseField="5" baseItem="20" numFmtId="165"/>
    <dataField name="# Ind." fld="17" baseField="5" baseItem="20" numFmtId="3"/>
    <dataField name="# Camps" fld="12" subtotal="count" baseField="0" baseItem="0"/>
    <dataField name="# Shelter Gap" fld="31" baseField="0" baseItem="0" numFmtId="165"/>
    <dataField name="# Const. Shelter" fld="33" baseField="0" baseItem="0" numFmtId="165"/>
  </dataFields>
  <formats count="10">
    <format dxfId="117">
      <pivotArea outline="0" collapsedLevelsAreSubtotals="1" fieldPosition="0">
        <references count="1">
          <reference field="4294967294" count="1" selected="0">
            <x v="0"/>
          </reference>
        </references>
      </pivotArea>
    </format>
    <format dxfId="116">
      <pivotArea outline="0" collapsedLevelsAreSubtotals="1" fieldPosition="0">
        <references count="1">
          <reference field="4294967294" count="2" selected="0">
            <x v="3"/>
            <x v="4"/>
          </reference>
        </references>
      </pivotArea>
    </format>
    <format dxfId="115">
      <pivotArea outline="0" fieldPosition="0">
        <references count="1">
          <reference field="4294967294" count="1">
            <x v="1"/>
          </reference>
        </references>
      </pivotArea>
    </format>
    <format dxfId="114">
      <pivotArea field="5" type="button" dataOnly="0" labelOnly="1" outline="0"/>
    </format>
    <format dxfId="113">
      <pivotArea dataOnly="0" labelOnly="1" outline="0" fieldPosition="0">
        <references count="1">
          <reference field="4294967294" count="5">
            <x v="0"/>
            <x v="1"/>
            <x v="2"/>
            <x v="3"/>
            <x v="4"/>
          </reference>
        </references>
      </pivotArea>
    </format>
    <format dxfId="112">
      <pivotArea field="5" type="button" dataOnly="0" labelOnly="1" outline="0"/>
    </format>
    <format dxfId="111">
      <pivotArea dataOnly="0" labelOnly="1" outline="0" fieldPosition="0">
        <references count="1">
          <reference field="4294967294" count="5">
            <x v="0"/>
            <x v="1"/>
            <x v="2"/>
            <x v="3"/>
            <x v="4"/>
          </reference>
        </references>
      </pivotArea>
    </format>
    <format dxfId="110">
      <pivotArea dataOnly="0" labelOnly="1" outline="0" fieldPosition="0">
        <references count="1">
          <reference field="4294967294" count="5">
            <x v="0"/>
            <x v="1"/>
            <x v="2"/>
            <x v="3"/>
            <x v="4"/>
          </reference>
        </references>
      </pivotArea>
    </format>
    <format dxfId="109">
      <pivotArea field="5" type="button" dataOnly="0" labelOnly="1" outline="0"/>
    </format>
    <format dxfId="108">
      <pivotArea type="all" dataOnly="0" outline="0" fieldPosition="0"/>
    </format>
  </formats>
  <pivotTableStyleInfo name="PivotStyleMedium9"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8.xml><?xml version="1.0" encoding="utf-8"?>
<pivotTableDefinition xmlns="http://schemas.openxmlformats.org/spreadsheetml/2006/main" name="PivotTable4" cacheId="71"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11">
  <location ref="A72:D79" firstHeaderRow="0" firstDataRow="1" firstDataCol="1" rowPageCount="3" colPageCount="1"/>
  <pivotFields count="47">
    <pivotField showAll="0" defaultSubtotal="0"/>
    <pivotField showAll="0"/>
    <pivotField axis="axisRow" showAll="0">
      <items count="14">
        <item x="11"/>
        <item x="6"/>
        <item x="8"/>
        <item x="3"/>
        <item x="4"/>
        <item x="1"/>
        <item x="2"/>
        <item x="10"/>
        <item x="9"/>
        <item x="5"/>
        <item x="0"/>
        <item x="7"/>
        <item x="12"/>
        <item t="default"/>
      </items>
    </pivotField>
    <pivotField showAll="0"/>
    <pivotField multipleItemSelectionAllowed="1" showAll="0"/>
    <pivotField showAll="0"/>
    <pivotField showAll="0"/>
    <pivotField showAll="0" defaultSubtotal="0"/>
    <pivotField name="NFI Core Kit2" showAll="0" defaultSubtotal="0"/>
    <pivotField showAll="0" defaultSubtotal="0"/>
    <pivotField showAll="0" defaultSubtotal="0"/>
    <pivotField name="Tarpaulin2" showAll="0" defaultSubtotal="0"/>
    <pivotField name="Blanket2" showAll="0" defaultSubtotal="0"/>
    <pivotField name="Kitchen Set2" showAll="0" defaultSubtotal="0"/>
    <pivotField showAll="0" defaultSubtotal="0"/>
    <pivotField showAll="0" defaultSubtotal="0"/>
    <pivotField showAll="0" defaultSubtotal="0"/>
    <pivotField dataField="1" showAll="0" defaultSubtotal="0"/>
    <pivotField dataField="1" showAll="0" defaultSubtotal="0"/>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multipleItemSelectionAllowed="1" showAll="0" defaultSubtotal="0"/>
    <pivotField showAll="0" defaultSubtotal="0"/>
    <pivotField showAll="0" defaultSubtotal="0"/>
    <pivotField showAll="0" defaultSubtotal="0"/>
    <pivotField axis="axisPage" multipleItemSelectionAllowed="1" showAll="0" defaultSubtotal="0">
      <items count="2">
        <item h="1" x="0"/>
        <item x="1"/>
      </items>
    </pivotField>
    <pivotField showAll="0" defaultSubtotal="0"/>
    <pivotField showAll="0" defaultSubtotal="0"/>
    <pivotField multipleItemSelectionAllowed="1" showAll="0" defaultSubtotal="0"/>
    <pivotField axis="axisPage" multipleItemSelectionAllowed="1" showAll="0" defaultSubtotal="0">
      <items count="3">
        <item h="1" x="2"/>
        <item h="1" x="0"/>
        <item x="1"/>
      </items>
    </pivotField>
    <pivotField axis="axisPage" multipleItemSelectionAllowed="1" showAll="0" defaultSubtotal="0">
      <items count="6">
        <item h="1" x="0"/>
        <item x="2"/>
        <item h="1" x="3"/>
        <item h="1" x="4"/>
        <item h="1" x="1"/>
        <item h="1" x="5"/>
      </items>
    </pivotField>
    <pivotField showAll="0" defaultSubtotal="0"/>
    <pivotField showAll="0" defaultSubtotal="0"/>
    <pivotField showAll="0" defaultSubtotal="0"/>
  </pivotFields>
  <rowFields count="1">
    <field x="2"/>
  </rowFields>
  <rowItems count="7">
    <i>
      <x v="1"/>
    </i>
    <i>
      <x v="3"/>
    </i>
    <i>
      <x v="5"/>
    </i>
    <i>
      <x v="7"/>
    </i>
    <i>
      <x v="9"/>
    </i>
    <i>
      <x v="10"/>
    </i>
    <i t="grand">
      <x/>
    </i>
  </rowItems>
  <colFields count="1">
    <field x="-2"/>
  </colFields>
  <colItems count="3">
    <i>
      <x/>
    </i>
    <i i="1">
      <x v="1"/>
    </i>
    <i i="2">
      <x v="2"/>
    </i>
  </colItems>
  <pageFields count="3">
    <pageField fld="42" hier="-1"/>
    <pageField fld="43" hier="-1"/>
    <pageField fld="38" hier="-1"/>
  </pageFields>
  <dataFields count="3">
    <dataField name="Winter Clothes Adult " fld="17" baseField="2" baseItem="6"/>
    <dataField name="Winter Clothes Children " fld="18" baseField="2" baseItem="6"/>
    <dataField name="Winter Blanket " fld="20" baseField="2" baseItem="6"/>
  </dataFields>
  <formats count="10">
    <format dxfId="38">
      <pivotArea outline="0" collapsedLevelsAreSubtotals="1" fieldPosition="0"/>
    </format>
    <format dxfId="37">
      <pivotArea type="all" dataOnly="0" outline="0" fieldPosition="0"/>
    </format>
    <format dxfId="36">
      <pivotArea field="42" type="button" dataOnly="0" labelOnly="1" outline="0" axis="axisPage" fieldPosition="0"/>
    </format>
    <format dxfId="35">
      <pivotArea dataOnly="0" labelOnly="1" outline="0" fieldPosition="0">
        <references count="1">
          <reference field="42" count="0"/>
        </references>
      </pivotArea>
    </format>
    <format dxfId="34">
      <pivotArea field="43" type="button" dataOnly="0" labelOnly="1" outline="0" axis="axisPage" fieldPosition="1"/>
    </format>
    <format dxfId="33">
      <pivotArea dataOnly="0" labelOnly="1" outline="0" fieldPosition="0">
        <references count="1">
          <reference field="43" count="0"/>
        </references>
      </pivotArea>
    </format>
    <format dxfId="32">
      <pivotArea field="38" type="button" dataOnly="0" labelOnly="1" outline="0" axis="axisPage" fieldPosition="2"/>
    </format>
    <format dxfId="31">
      <pivotArea dataOnly="0" labelOnly="1" outline="0" fieldPosition="0">
        <references count="1">
          <reference field="38" count="0"/>
        </references>
      </pivotArea>
    </format>
    <format dxfId="30">
      <pivotArea field="2" type="button" dataOnly="0" labelOnly="1" outline="0" axis="axisRow" fieldPosition="0"/>
    </format>
    <format dxfId="29">
      <pivotArea dataOnly="0" labelOnly="1" outline="0" fieldPosition="0">
        <references count="1">
          <reference field="4294967294" count="3">
            <x v="0"/>
            <x v="1"/>
            <x v="2"/>
          </reference>
        </references>
      </pivotArea>
    </format>
  </formats>
  <chartFormats count="3">
    <chartFormat chart="10" format="6" series="1">
      <pivotArea type="data" outline="0" fieldPosition="0">
        <references count="1">
          <reference field="4294967294" count="1" selected="0">
            <x v="0"/>
          </reference>
        </references>
      </pivotArea>
    </chartFormat>
    <chartFormat chart="10" format="7" series="1">
      <pivotArea type="data" outline="0" fieldPosition="0">
        <references count="1">
          <reference field="4294967294" count="1" selected="0">
            <x v="1"/>
          </reference>
        </references>
      </pivotArea>
    </chartFormat>
    <chartFormat chart="10" format="8" series="1">
      <pivotArea type="data" outline="0" fieldPosition="0">
        <references count="1">
          <reference field="4294967294" count="1" selected="0">
            <x v="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9.xml><?xml version="1.0" encoding="utf-8"?>
<pivotTableDefinition xmlns="http://schemas.openxmlformats.org/spreadsheetml/2006/main" name="PivotTable3" cacheId="71" applyNumberFormats="0" applyBorderFormats="0" applyFontFormats="0" applyPatternFormats="0" applyAlignmentFormats="0" applyWidthHeightFormats="1" dataCaption="Values" updatedVersion="5" minRefreshableVersion="3" useAutoFormatting="1" colGrandTotals="0" itemPrintTitles="1" createdVersion="4" indent="0" outline="1" outlineData="1" multipleFieldFilters="0" chartFormat="7">
  <location ref="A62:G65" firstHeaderRow="0" firstDataRow="1" firstDataCol="1" rowPageCount="2" colPageCount="1"/>
  <pivotFields count="47">
    <pivotField showAll="0" defaultSubtotal="0"/>
    <pivotField showAll="0"/>
    <pivotField axis="axisRow" showAll="0">
      <items count="14">
        <item x="11"/>
        <item x="6"/>
        <item x="8"/>
        <item x="3"/>
        <item x="4"/>
        <item x="1"/>
        <item x="2"/>
        <item x="10"/>
        <item x="9"/>
        <item x="5"/>
        <item x="0"/>
        <item x="7"/>
        <item x="12"/>
        <item t="default"/>
      </items>
    </pivotField>
    <pivotField showAll="0"/>
    <pivotField multipleItemSelectionAllowed="1" showAll="0"/>
    <pivotField showAll="0"/>
    <pivotField showAll="0"/>
    <pivotField showAll="0" defaultSubtotal="0"/>
    <pivotField name="NFI Core Kit2" showAll="0" defaultSubtotal="0"/>
    <pivotField showAll="0" defaultSubtotal="0"/>
    <pivotField dataField="1" showAll="0" defaultSubtotal="0"/>
    <pivotField name="Tarpaulin2" dataField="1" showAll="0" defaultSubtotal="0"/>
    <pivotField name="Blanket2" dataField="1" showAll="0" defaultSubtotal="0"/>
    <pivotField name="Kitchen Set2" dataField="1" showAll="0" defaultSubtotal="0"/>
    <pivotField showAll="0" defaultSubtotal="0"/>
    <pivotField dataField="1"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Page" multipleItemSelectionAllowed="1" showAll="0" defaultSubtotal="0">
      <items count="3">
        <item x="1"/>
        <item x="2"/>
        <item h="1" x="0"/>
      </items>
    </pivotField>
    <pivotField axis="axisPage" multipleItemSelectionAllowed="1" showAll="0" defaultSubtotal="0">
      <items count="3">
        <item h="1" x="2"/>
        <item h="1" x="0"/>
        <item x="1"/>
      </items>
    </pivotField>
    <pivotField showAll="0" defaultSubtotal="0"/>
    <pivotField showAll="0" defaultSubtotal="0"/>
    <pivotField showAll="0" defaultSubtotal="0"/>
    <pivotField showAll="0" defaultSubtotal="0"/>
  </pivotFields>
  <rowFields count="1">
    <field x="2"/>
  </rowFields>
  <rowItems count="3">
    <i>
      <x v="9"/>
    </i>
    <i>
      <x v="10"/>
    </i>
    <i t="grand">
      <x/>
    </i>
  </rowItems>
  <colFields count="1">
    <field x="-2"/>
  </colFields>
  <colItems count="6">
    <i>
      <x/>
    </i>
    <i i="1">
      <x v="1"/>
    </i>
    <i i="2">
      <x v="2"/>
    </i>
    <i i="3">
      <x v="3"/>
    </i>
    <i i="4">
      <x v="4"/>
    </i>
    <i i="5">
      <x v="5"/>
    </i>
  </colItems>
  <pageFields count="2">
    <pageField fld="42" hier="-1"/>
    <pageField fld="41" hier="-1"/>
  </pageFields>
  <dataFields count="6">
    <dataField name="Mosquito net " fld="10" baseField="0" baseItem="0"/>
    <dataField name="Tarpaulin" fld="11" baseField="0" baseItem="0"/>
    <dataField name="Blanket" fld="12" baseField="0" baseItem="0"/>
    <dataField name="Kitchen Set" fld="13" baseField="0" baseItem="0"/>
    <dataField name="Plastic Bucket " fld="15" baseField="0" baseItem="0"/>
    <dataField name="Plastic Mat " fld="16" baseField="0" baseItem="0"/>
  </dataFields>
  <formats count="2">
    <format dxfId="40">
      <pivotArea outline="0" collapsedLevelsAreSubtotals="1" fieldPosition="0"/>
    </format>
    <format dxfId="39">
      <pivotArea type="all" dataOnly="0" outline="0" fieldPosition="0"/>
    </format>
  </formats>
  <chartFormats count="6">
    <chartFormat chart="5" format="35" series="1">
      <pivotArea type="data" outline="0" fieldPosition="0">
        <references count="1">
          <reference field="4294967294" count="1" selected="0">
            <x v="0"/>
          </reference>
        </references>
      </pivotArea>
    </chartFormat>
    <chartFormat chart="5" format="36" series="1">
      <pivotArea type="data" outline="0" fieldPosition="0">
        <references count="1">
          <reference field="4294967294" count="1" selected="0">
            <x v="1"/>
          </reference>
        </references>
      </pivotArea>
    </chartFormat>
    <chartFormat chart="5" format="37" series="1">
      <pivotArea type="data" outline="0" fieldPosition="0">
        <references count="1">
          <reference field="4294967294" count="1" selected="0">
            <x v="2"/>
          </reference>
        </references>
      </pivotArea>
    </chartFormat>
    <chartFormat chart="5" format="38" series="1">
      <pivotArea type="data" outline="0" fieldPosition="0">
        <references count="1">
          <reference field="4294967294" count="1" selected="0">
            <x v="3"/>
          </reference>
        </references>
      </pivotArea>
    </chartFormat>
    <chartFormat chart="5" format="40" series="1">
      <pivotArea type="data" outline="0" fieldPosition="0">
        <references count="1">
          <reference field="4294967294" count="1" selected="0">
            <x v="4"/>
          </reference>
        </references>
      </pivotArea>
    </chartFormat>
    <chartFormat chart="5" format="41" series="1">
      <pivotArea type="data" outline="0" fieldPosition="0">
        <references count="1">
          <reference field="4294967294" count="1" selected="0">
            <x v="5"/>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PivotTable4" cacheId="64" dataPosition="0"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6">
  <location ref="A46:D50" firstHeaderRow="1" firstDataRow="2" firstDataCol="1" rowPageCount="2" colPageCount="1"/>
  <pivotFields count="42">
    <pivotField axis="axisRow" multipleItemSelectionAllowed="1" showAll="0">
      <items count="3">
        <item x="1"/>
        <item x="0"/>
        <item t="default"/>
      </items>
    </pivotField>
    <pivotField axis="axisPage" subtotalTop="0" multipleItemSelectionAllowed="1" showAll="0">
      <items count="3">
        <item x="0"/>
        <item x="1"/>
        <item t="default"/>
      </items>
    </pivotField>
    <pivotField showAll="0" defaultSubtotal="0"/>
    <pivotField showAll="0" defaultSubtotal="0"/>
    <pivotField showAll="0" defaultSubtotal="0"/>
    <pivotField showAll="0" defaultSubtotal="0">
      <items count="21">
        <item x="1"/>
        <item x="4"/>
        <item x="0"/>
        <item x="6"/>
        <item x="8"/>
        <item x="7"/>
        <item x="5"/>
        <item x="9"/>
        <item x="2"/>
        <item x="10"/>
        <item x="11"/>
        <item x="12"/>
        <item x="13"/>
        <item x="14"/>
        <item x="15"/>
        <item x="16"/>
        <item x="18"/>
        <item x="17"/>
        <item x="19"/>
        <item x="20"/>
        <item x="3"/>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ubtotalTop="0" showAll="0"/>
    <pivotField dataField="1" subtotalTop="0" showAll="0"/>
    <pivotField showAll="0" defaultSubtotal="0"/>
    <pivotField axis="axisCol" showAll="0" defaultSubtotal="0">
      <items count="2">
        <item x="0"/>
        <item x="1"/>
      </items>
    </pivotField>
    <pivotField axis="axisPage" showAll="0" defaultSubtotal="0">
      <items count="2">
        <item x="1"/>
        <item x="0"/>
      </items>
    </pivotField>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dragToRow="0" dragToCol="0" dragToPage="0" showAll="0" defaultSubtotal="0"/>
    <pivotField showAll="0" defaultSubtotal="0">
      <items count="12">
        <item x="3"/>
        <item x="8"/>
        <item x="0"/>
        <item x="10"/>
        <item x="5"/>
        <item x="11"/>
        <item x="4"/>
        <item x="1"/>
        <item x="6"/>
        <item x="9"/>
        <item x="7"/>
        <item x="2"/>
      </items>
    </pivotField>
    <pivotField dragToRow="0" dragToCol="0" dragToPage="0" showAll="0" defaultSubtotal="0"/>
    <pivotField dragToRow="0" dragToCol="0" dragToPage="0" showAll="0" defaultSubtotal="0"/>
    <pivotField dragToRow="0" dragToCol="0" dragToPage="0" showAll="0" defaultSubtotal="0"/>
  </pivotFields>
  <rowFields count="1">
    <field x="0"/>
  </rowFields>
  <rowItems count="3">
    <i>
      <x/>
    </i>
    <i>
      <x v="1"/>
    </i>
    <i t="grand">
      <x/>
    </i>
  </rowItems>
  <colFields count="1">
    <field x="19"/>
  </colFields>
  <colItems count="3">
    <i>
      <x/>
    </i>
    <i>
      <x v="1"/>
    </i>
    <i t="grand">
      <x/>
    </i>
  </colItems>
  <pageFields count="2">
    <pageField fld="1" hier="-1"/>
    <pageField fld="20" item="1" hier="-1"/>
  </pageFields>
  <dataFields count="1">
    <dataField name="Sum of Total" fld="17" baseField="2" baseItem="0"/>
  </dataFields>
  <formats count="13">
    <format dxfId="775">
      <pivotArea type="all" dataOnly="0" outline="0" fieldPosition="0"/>
    </format>
    <format dxfId="774">
      <pivotArea field="1" type="button" dataOnly="0" labelOnly="1" outline="0" axis="axisPage" fieldPosition="0"/>
    </format>
    <format dxfId="773">
      <pivotArea grandRow="1" outline="0" collapsedLevelsAreSubtotals="1" fieldPosition="0"/>
    </format>
    <format dxfId="772">
      <pivotArea dataOnly="0" labelOnly="1" grandRow="1" outline="0" fieldPosition="0"/>
    </format>
    <format dxfId="771">
      <pivotArea outline="0" collapsedLevelsAreSubtotals="1" fieldPosition="0"/>
    </format>
    <format dxfId="770">
      <pivotArea dataOnly="0" labelOnly="1" fieldPosition="0">
        <references count="1">
          <reference field="0" count="0"/>
        </references>
      </pivotArea>
    </format>
    <format dxfId="769">
      <pivotArea dataOnly="0" labelOnly="1" grandRow="1" outline="0" fieldPosition="0"/>
    </format>
    <format dxfId="768">
      <pivotArea type="topRight" dataOnly="0" labelOnly="1" outline="0" fieldPosition="0"/>
    </format>
    <format dxfId="767">
      <pivotArea type="all" dataOnly="0" outline="0" fieldPosition="0"/>
    </format>
    <format dxfId="766">
      <pivotArea dataOnly="0" labelOnly="1" outline="0" fieldPosition="0">
        <references count="1">
          <reference field="1" count="0"/>
        </references>
      </pivotArea>
    </format>
    <format dxfId="765">
      <pivotArea type="all" dataOnly="0" outline="0" fieldPosition="0"/>
    </format>
    <format dxfId="764">
      <pivotArea collapsedLevelsAreSubtotals="1" fieldPosition="0">
        <references count="1">
          <reference field="0" count="0"/>
        </references>
      </pivotArea>
    </format>
    <format dxfId="763">
      <pivotArea dataOnly="0" labelOnly="1" fieldPosition="0">
        <references count="1">
          <reference field="0" count="0"/>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0.xml><?xml version="1.0" encoding="utf-8"?>
<pivotTableDefinition xmlns="http://schemas.openxmlformats.org/spreadsheetml/2006/main" name="PivotTable3" cacheId="48" applyNumberFormats="0" applyBorderFormats="0" applyFontFormats="0" applyPatternFormats="0" applyAlignmentFormats="0" applyWidthHeightFormats="1" dataCaption="Values" updatedVersion="4" minRefreshableVersion="3" useAutoFormatting="1" itemPrintTitles="1" createdVersion="4" indent="0" outline="1" outlineData="1" multipleFieldFilters="0">
  <location ref="Q16:T21" firstHeaderRow="0" firstDataRow="1" firstDataCol="1"/>
  <pivotFields count="14">
    <pivotField showAll="0"/>
    <pivotField axis="axisRow" showAll="0">
      <items count="5">
        <item x="0"/>
        <item x="1"/>
        <item x="2"/>
        <item x="3"/>
        <item t="default"/>
      </items>
    </pivotField>
    <pivotField showAll="0"/>
    <pivotField showAll="0"/>
    <pivotField showAll="0"/>
    <pivotField showAll="0"/>
    <pivotField showAll="0"/>
    <pivotField showAll="0"/>
    <pivotField showAll="0"/>
    <pivotField dataField="1" showAll="0"/>
    <pivotField dataField="1" showAll="0"/>
    <pivotField dataField="1" showAll="0"/>
    <pivotField showAll="0" defaultSubtotal="0"/>
    <pivotField showAll="0" defaultSubtotal="0"/>
  </pivotFields>
  <rowFields count="1">
    <field x="1"/>
  </rowFields>
  <rowItems count="5">
    <i>
      <x/>
    </i>
    <i>
      <x v="1"/>
    </i>
    <i>
      <x v="2"/>
    </i>
    <i>
      <x v="3"/>
    </i>
    <i t="grand">
      <x/>
    </i>
  </rowItems>
  <colFields count="1">
    <field x="-2"/>
  </colFields>
  <colItems count="3">
    <i>
      <x/>
    </i>
    <i i="1">
      <x v="1"/>
    </i>
    <i i="2">
      <x v="2"/>
    </i>
  </colItems>
  <dataFields count="3">
    <dataField name="Sum of WC_Adult_Gap" fld="9" baseField="0" baseItem="0"/>
    <dataField name="Sum of WC_Child_Gap" fld="10" baseField="0" baseItem="0"/>
    <dataField name="Sum of WI_Other_Gap" fld="11" baseField="0" baseItem="0"/>
  </dataFields>
  <formats count="2">
    <format dxfId="28">
      <pivotArea outline="0" collapsedLevelsAreSubtotals="1" fieldPosition="0"/>
    </format>
    <format dxfId="27">
      <pivotArea type="all" dataOnly="0"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1.xml><?xml version="1.0" encoding="utf-8"?>
<pivotTableDefinition xmlns="http://schemas.openxmlformats.org/spreadsheetml/2006/main" name="PivotTable1" cacheId="64" applyNumberFormats="0" applyBorderFormats="0" applyFontFormats="0" applyPatternFormats="0" applyAlignmentFormats="0" applyWidthHeightFormats="1" dataCaption="Values" updatedVersion="5" minRefreshableVersion="3" showDrill="0" rowGrandTotals="0" colGrandTotals="0" itemPrintTitles="1" createdVersion="4" indent="0" compact="0" compactData="0" multipleFieldFilters="0">
  <location ref="G3:J246" firstHeaderRow="1" firstDataRow="1" firstDataCol="3"/>
  <pivotFields count="42">
    <pivotField axis="axisRow" compact="0" outline="0" showAll="0" defaultSubtotal="0">
      <items count="2">
        <item x="0"/>
        <item x="1"/>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items count="21">
        <item x="1"/>
        <item x="4"/>
        <item x="0"/>
        <item x="6"/>
        <item x="8"/>
        <item x="7"/>
        <item x="5"/>
        <item x="9"/>
        <item x="2"/>
        <item x="10"/>
        <item x="11"/>
        <item x="12"/>
        <item x="13"/>
        <item x="14"/>
        <item x="15"/>
        <item x="16"/>
        <item x="18"/>
        <item x="17"/>
        <item x="19"/>
        <item x="20"/>
        <item x="3"/>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sortType="ascending" defaultSubtotal="0">
      <items count="240">
        <item x="0"/>
        <item x="36"/>
        <item x="29"/>
        <item x="2"/>
        <item x="35"/>
        <item x="51"/>
        <item x="6"/>
        <item x="13"/>
        <item x="8"/>
        <item x="9"/>
        <item x="10"/>
        <item x="11"/>
        <item x="12"/>
        <item x="37"/>
        <item x="14"/>
        <item x="15"/>
        <item x="16"/>
        <item x="222"/>
        <item x="83"/>
        <item x="75"/>
        <item x="43"/>
        <item x="21"/>
        <item x="25"/>
        <item x="23"/>
        <item x="101"/>
        <item x="48"/>
        <item x="163"/>
        <item x="161"/>
        <item x="162"/>
        <item x="108"/>
        <item x="30"/>
        <item x="31"/>
        <item x="32"/>
        <item x="33"/>
        <item x="34"/>
        <item x="207"/>
        <item x="239"/>
        <item x="50"/>
        <item x="53"/>
        <item x="39"/>
        <item x="96"/>
        <item x="1"/>
        <item x="143"/>
        <item x="144"/>
        <item x="42"/>
        <item x="22"/>
        <item x="105"/>
        <item x="17"/>
        <item x="226"/>
        <item x="52"/>
        <item x="195"/>
        <item x="185"/>
        <item x="186"/>
        <item x="219"/>
        <item x="57"/>
        <item x="102"/>
        <item x="60"/>
        <item x="49"/>
        <item x="69"/>
        <item x="68"/>
        <item x="165"/>
        <item x="93"/>
        <item x="59"/>
        <item x="66"/>
        <item x="67"/>
        <item x="73"/>
        <item x="24"/>
        <item x="82"/>
        <item x="200"/>
        <item x="71"/>
        <item x="182"/>
        <item x="181"/>
        <item x="28"/>
        <item x="44"/>
        <item x="54"/>
        <item x="3"/>
        <item x="135"/>
        <item x="132"/>
        <item x="138"/>
        <item x="81"/>
        <item x="196"/>
        <item x="90"/>
        <item x="84"/>
        <item x="85"/>
        <item x="206"/>
        <item x="217"/>
        <item x="109"/>
        <item x="211"/>
        <item x="213"/>
        <item x="209"/>
        <item x="208"/>
        <item x="72"/>
        <item x="74"/>
        <item x="184"/>
        <item x="103"/>
        <item x="167"/>
        <item x="98"/>
        <item x="99"/>
        <item x="110"/>
        <item x="111"/>
        <item x="77"/>
        <item x="79"/>
        <item x="76"/>
        <item x="78"/>
        <item x="80"/>
        <item x="106"/>
        <item x="107"/>
        <item x="87"/>
        <item x="88"/>
        <item x="89"/>
        <item x="86"/>
        <item x="112"/>
        <item x="113"/>
        <item x="114"/>
        <item x="115"/>
        <item x="116"/>
        <item x="117"/>
        <item x="118"/>
        <item x="119"/>
        <item x="156"/>
        <item x="160"/>
        <item x="122"/>
        <item x="123"/>
        <item x="124"/>
        <item x="125"/>
        <item x="55"/>
        <item x="127"/>
        <item x="128"/>
        <item x="63"/>
        <item x="95"/>
        <item x="131"/>
        <item x="129"/>
        <item x="133"/>
        <item x="134"/>
        <item x="146"/>
        <item x="136"/>
        <item x="137"/>
        <item x="64"/>
        <item x="65"/>
        <item x="140"/>
        <item x="141"/>
        <item x="149"/>
        <item x="150"/>
        <item x="18"/>
        <item x="145"/>
        <item x="121"/>
        <item x="147"/>
        <item x="191"/>
        <item x="189"/>
        <item x="192"/>
        <item x="190"/>
        <item x="152"/>
        <item x="153"/>
        <item x="154"/>
        <item x="148"/>
        <item x="62"/>
        <item x="157"/>
        <item x="158"/>
        <item x="159"/>
        <item x="41"/>
        <item x="56"/>
        <item x="194"/>
        <item x="193"/>
        <item x="188"/>
        <item x="155"/>
        <item x="4"/>
        <item x="38"/>
        <item x="168"/>
        <item x="58"/>
        <item x="92"/>
        <item x="171"/>
        <item x="214"/>
        <item x="100"/>
        <item x="174"/>
        <item x="203"/>
        <item x="70"/>
        <item x="177"/>
        <item x="178"/>
        <item x="104"/>
        <item x="170"/>
        <item x="183"/>
        <item x="139"/>
        <item x="151"/>
        <item x="120"/>
        <item x="218"/>
        <item x="26"/>
        <item x="187"/>
        <item x="7"/>
        <item x="126"/>
        <item x="221"/>
        <item x="231"/>
        <item x="230"/>
        <item x="234"/>
        <item x="236"/>
        <item x="46"/>
        <item x="19"/>
        <item x="197"/>
        <item x="45"/>
        <item x="204"/>
        <item x="199"/>
        <item x="94"/>
        <item x="91"/>
        <item x="27"/>
        <item x="142"/>
        <item x="179"/>
        <item x="180"/>
        <item x="220"/>
        <item x="201"/>
        <item x="202"/>
        <item x="166"/>
        <item x="210"/>
        <item x="97"/>
        <item x="212"/>
        <item x="205"/>
        <item x="20"/>
        <item x="215"/>
        <item x="130"/>
        <item x="169"/>
        <item x="175"/>
        <item x="176"/>
        <item x="172"/>
        <item x="173"/>
        <item x="237"/>
        <item x="223"/>
        <item x="224"/>
        <item x="225"/>
        <item x="198"/>
        <item x="235"/>
        <item x="228"/>
        <item x="229"/>
        <item x="47"/>
        <item x="216"/>
        <item x="232"/>
        <item x="233"/>
        <item x="164"/>
        <item x="5"/>
        <item x="40"/>
        <item x="227"/>
        <item x="238"/>
        <item x="61"/>
      </items>
      <extLst>
        <ext xmlns:x14="http://schemas.microsoft.com/office/spreadsheetml/2009/9/main" uri="{2946ED86-A175-432a-8AC1-64E0C546D7DE}">
          <x14:pivotField fillDownLabels="1"/>
        </ext>
      </extLst>
    </pivotField>
    <pivotField axis="axisRow" compact="0" outline="0" showAll="0" defaultSubtotal="0">
      <items count="243">
        <item x="171"/>
        <item x="185"/>
        <item x="174"/>
        <item x="178"/>
        <item x="175"/>
        <item x="181"/>
        <item x="182"/>
        <item x="169"/>
        <item x="168"/>
        <item x="163"/>
        <item x="164"/>
        <item x="165"/>
        <item x="167"/>
        <item x="183"/>
        <item x="184"/>
        <item x="186"/>
        <item x="147"/>
        <item x="187"/>
        <item x="188"/>
        <item x="158"/>
        <item x="162"/>
        <item x="166"/>
        <item x="177"/>
        <item x="157"/>
        <item x="233"/>
        <item x="239"/>
        <item x="209"/>
        <item x="210"/>
        <item x="216"/>
        <item x="237"/>
        <item x="214"/>
        <item x="234"/>
        <item x="217"/>
        <item x="176"/>
        <item x="133"/>
        <item x="231"/>
        <item x="240"/>
        <item x="238"/>
        <item x="211"/>
        <item x="212"/>
        <item x="223"/>
        <item x="25"/>
        <item x="22"/>
        <item x="235"/>
        <item x="24"/>
        <item x="34"/>
        <item x="19"/>
        <item x="57"/>
        <item x="3"/>
        <item x="2"/>
        <item x="18"/>
        <item x="17"/>
        <item x="5"/>
        <item x="4"/>
        <item x="20"/>
        <item x="131"/>
        <item x="135"/>
        <item x="109"/>
        <item x="172"/>
        <item x="132"/>
        <item x="123"/>
        <item x="105"/>
        <item x="112"/>
        <item x="111"/>
        <item x="128"/>
        <item x="87"/>
        <item x="204"/>
        <item x="205"/>
        <item x="134"/>
        <item x="140"/>
        <item x="137"/>
        <item x="141"/>
        <item x="144"/>
        <item x="59"/>
        <item x="200"/>
        <item x="90"/>
        <item x="94"/>
        <item x="93"/>
        <item x="98"/>
        <item x="170"/>
        <item x="179"/>
        <item x="180"/>
        <item x="127"/>
        <item x="126"/>
        <item x="21"/>
        <item x="129"/>
        <item x="125"/>
        <item x="55"/>
        <item x="9"/>
        <item x="115"/>
        <item x="114"/>
        <item x="119"/>
        <item x="116"/>
        <item x="121"/>
        <item x="117"/>
        <item x="118"/>
        <item x="120"/>
        <item x="227"/>
        <item x="189"/>
        <item x="38"/>
        <item x="202"/>
        <item x="40"/>
        <item x="124"/>
        <item x="85"/>
        <item x="199"/>
        <item x="43"/>
        <item x="218"/>
        <item x="230"/>
        <item x="225"/>
        <item x="16"/>
        <item x="242"/>
        <item x="219"/>
        <item x="67"/>
        <item x="108"/>
        <item x="220"/>
        <item x="221"/>
        <item x="222"/>
        <item x="107"/>
        <item x="110"/>
        <item x="122"/>
        <item x="83"/>
        <item x="84"/>
        <item x="106"/>
        <item x="77"/>
        <item x="78"/>
        <item x="81"/>
        <item x="82"/>
        <item x="149"/>
        <item x="161"/>
        <item x="72"/>
        <item x="203"/>
        <item x="50"/>
        <item x="74"/>
        <item x="101"/>
        <item x="23"/>
        <item x="224"/>
        <item x="153"/>
        <item x="1"/>
        <item x="54"/>
        <item x="29"/>
        <item x="37"/>
        <item x="8"/>
        <item x="0"/>
        <item x="15"/>
        <item x="6"/>
        <item x="48"/>
        <item x="236"/>
        <item x="35"/>
        <item x="143"/>
        <item x="130"/>
        <item x="36"/>
        <item x="30"/>
        <item x="44"/>
        <item x="46"/>
        <item x="45"/>
        <item x="47"/>
        <item x="232"/>
        <item x="31"/>
        <item x="14"/>
        <item x="39"/>
        <item x="51"/>
        <item x="53"/>
        <item x="41"/>
        <item x="7"/>
        <item x="13"/>
        <item x="28"/>
        <item x="71"/>
        <item x="103"/>
        <item x="113"/>
        <item x="201"/>
        <item x="104"/>
        <item x="241"/>
        <item x="66"/>
        <item x="139"/>
        <item x="159"/>
        <item x="208"/>
        <item x="229"/>
        <item x="160"/>
        <item x="26"/>
        <item x="228"/>
        <item x="99"/>
        <item x="100"/>
        <item x="12"/>
        <item x="10"/>
        <item x="11"/>
        <item x="52"/>
        <item x="73"/>
        <item x="213"/>
        <item x="173"/>
        <item x="86"/>
        <item x="215"/>
        <item x="191"/>
        <item x="155"/>
        <item x="192"/>
        <item x="193"/>
        <item x="148"/>
        <item x="64"/>
        <item x="62"/>
        <item x="88"/>
        <item x="145"/>
        <item x="150"/>
        <item x="136"/>
        <item x="196"/>
        <item x="60"/>
        <item x="69"/>
        <item x="68"/>
        <item x="63"/>
        <item x="142"/>
        <item x="61"/>
        <item x="146"/>
        <item x="138"/>
        <item x="154"/>
        <item x="156"/>
        <item x="58"/>
        <item x="89"/>
        <item x="195"/>
        <item x="32"/>
        <item x="33"/>
        <item x="75"/>
        <item x="226"/>
        <item x="27"/>
        <item x="76"/>
        <item x="197"/>
        <item x="151"/>
        <item x="194"/>
        <item x="190"/>
        <item x="79"/>
        <item x="152"/>
        <item x="42"/>
        <item x="80"/>
        <item x="65"/>
        <item x="49"/>
        <item x="97"/>
        <item x="96"/>
        <item x="56"/>
        <item x="198"/>
        <item x="95"/>
        <item x="92"/>
        <item x="91"/>
        <item x="206"/>
        <item x="207"/>
        <item x="102"/>
        <item x="70"/>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showAll="0" defaultSubtotal="0">
      <items count="12">
        <item x="3"/>
        <item x="8"/>
        <item x="0"/>
        <item x="10"/>
        <item x="5"/>
        <item x="11"/>
        <item x="4"/>
        <item x="1"/>
        <item x="6"/>
        <item x="9"/>
        <item x="7"/>
        <item x="2"/>
      </items>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s>
  <rowFields count="3">
    <field x="11"/>
    <field x="12"/>
    <field x="0"/>
  </rowFields>
  <rowItems count="243">
    <i>
      <x/>
      <x v="142"/>
      <x/>
    </i>
    <i>
      <x v="1"/>
      <x v="150"/>
      <x v="1"/>
    </i>
    <i>
      <x v="2"/>
      <x v="139"/>
      <x v="1"/>
    </i>
    <i>
      <x v="3"/>
      <x v="49"/>
      <x v="1"/>
    </i>
    <i>
      <x v="4"/>
      <x v="147"/>
      <x v="1"/>
    </i>
    <i>
      <x v="5"/>
      <x v="160"/>
      <x v="1"/>
    </i>
    <i>
      <x v="6"/>
      <x v="144"/>
      <x/>
    </i>
    <i>
      <x v="7"/>
      <x v="164"/>
      <x v="1"/>
    </i>
    <i>
      <x v="8"/>
      <x v="141"/>
      <x/>
    </i>
    <i>
      <x v="9"/>
      <x v="88"/>
      <x/>
    </i>
    <i>
      <x v="10"/>
      <x v="183"/>
      <x/>
    </i>
    <i>
      <x v="11"/>
      <x v="184"/>
      <x/>
    </i>
    <i>
      <x v="12"/>
      <x v="182"/>
      <x/>
    </i>
    <i>
      <x v="13"/>
      <x v="140"/>
      <x v="1"/>
    </i>
    <i>
      <x v="14"/>
      <x v="158"/>
      <x/>
    </i>
    <i>
      <x v="15"/>
      <x v="143"/>
      <x/>
    </i>
    <i>
      <x v="16"/>
      <x v="109"/>
      <x/>
    </i>
    <i>
      <x v="17"/>
      <x v="108"/>
      <x v="1"/>
    </i>
    <i>
      <x v="18"/>
      <x v="121"/>
      <x v="1"/>
    </i>
    <i>
      <x v="19"/>
      <x v="221"/>
      <x v="1"/>
    </i>
    <i>
      <x v="20"/>
      <x v="105"/>
      <x v="1"/>
    </i>
    <i>
      <x v="21"/>
      <x v="84"/>
      <x/>
    </i>
    <i>
      <x v="22"/>
      <x v="41"/>
      <x v="1"/>
    </i>
    <i>
      <x v="23"/>
      <x v="134"/>
      <x/>
    </i>
    <i>
      <x v="24"/>
      <x v="241"/>
      <x v="1"/>
    </i>
    <i>
      <x v="25"/>
      <x v="145"/>
      <x v="1"/>
    </i>
    <i>
      <x v="26"/>
      <x v="11"/>
      <x v="1"/>
    </i>
    <i>
      <x v="27"/>
      <x v="9"/>
      <x v="1"/>
    </i>
    <i>
      <x v="28"/>
      <x v="10"/>
      <x v="1"/>
    </i>
    <i>
      <x v="29"/>
      <x v="118"/>
      <x v="1"/>
    </i>
    <i>
      <x v="30"/>
      <x v="151"/>
      <x/>
    </i>
    <i>
      <x v="31"/>
      <x v="157"/>
      <x/>
    </i>
    <i>
      <x v="32"/>
      <x v="216"/>
      <x/>
    </i>
    <i>
      <x v="33"/>
      <x v="217"/>
      <x/>
    </i>
    <i>
      <x v="34"/>
      <x v="45"/>
      <x/>
    </i>
    <i>
      <x v="35"/>
      <x v="27"/>
      <x v="1"/>
    </i>
    <i>
      <x v="36"/>
      <x v="110"/>
      <x v="1"/>
    </i>
    <i>
      <x v="37"/>
      <x v="131"/>
      <x v="1"/>
    </i>
    <i>
      <x v="38"/>
      <x v="161"/>
      <x v="1"/>
    </i>
    <i>
      <x v="39"/>
      <x v="159"/>
      <x/>
    </i>
    <i>
      <x v="40"/>
      <x v="232"/>
      <x v="1"/>
    </i>
    <i>
      <x v="41"/>
      <x v="137"/>
      <x v="1"/>
    </i>
    <i r="1">
      <x v="166"/>
      <x v="1"/>
    </i>
    <i r="1">
      <x v="167"/>
      <x v="1"/>
    </i>
    <i r="1">
      <x v="169"/>
      <x v="1"/>
    </i>
    <i>
      <x v="42"/>
      <x v="199"/>
      <x v="1"/>
    </i>
    <i>
      <x v="43"/>
      <x v="209"/>
      <x v="1"/>
    </i>
    <i>
      <x v="44"/>
      <x v="228"/>
      <x v="1"/>
    </i>
    <i>
      <x v="45"/>
      <x v="42"/>
      <x v="1"/>
    </i>
    <i>
      <x v="46"/>
      <x v="117"/>
      <x v="1"/>
    </i>
    <i>
      <x v="47"/>
      <x v="51"/>
      <x v="1"/>
    </i>
    <i>
      <x v="48"/>
      <x v="176"/>
      <x v="1"/>
    </i>
    <i>
      <x v="49"/>
      <x v="185"/>
      <x/>
    </i>
    <i>
      <x v="50"/>
      <x v="222"/>
      <x v="1"/>
    </i>
    <i>
      <x v="51"/>
      <x v="17"/>
      <x v="1"/>
    </i>
    <i>
      <x v="52"/>
      <x v="18"/>
      <x v="1"/>
    </i>
    <i>
      <x v="53"/>
      <x v="116"/>
      <x v="1"/>
    </i>
    <i>
      <x v="54"/>
      <x v="47"/>
      <x/>
    </i>
    <i>
      <x v="55"/>
      <x v="170"/>
      <x v="1"/>
    </i>
    <i>
      <x v="56"/>
      <x v="203"/>
      <x v="1"/>
    </i>
    <i>
      <x v="57"/>
      <x v="231"/>
      <x v="1"/>
    </i>
    <i>
      <x v="58"/>
      <x v="204"/>
      <x v="1"/>
    </i>
    <i>
      <x v="59"/>
      <x v="205"/>
      <x v="1"/>
    </i>
    <i>
      <x v="60"/>
      <x v="12"/>
      <x v="1"/>
    </i>
    <i>
      <x v="61"/>
      <x v="76"/>
      <x v="1"/>
    </i>
    <i>
      <x v="62"/>
      <x v="73"/>
      <x v="1"/>
    </i>
    <i>
      <x v="63"/>
      <x v="172"/>
      <x/>
    </i>
    <i>
      <x v="64"/>
      <x v="112"/>
      <x/>
    </i>
    <i>
      <x v="65"/>
      <x v="132"/>
      <x v="1"/>
    </i>
    <i>
      <x v="66"/>
      <x v="44"/>
      <x v="1"/>
    </i>
    <i>
      <x v="67"/>
      <x v="120"/>
      <x v="1"/>
    </i>
    <i>
      <x v="68"/>
      <x v="130"/>
      <x v="1"/>
    </i>
    <i>
      <x v="69"/>
      <x v="129"/>
      <x/>
    </i>
    <i>
      <x v="70"/>
      <x v="14"/>
      <x v="1"/>
    </i>
    <i>
      <x v="71"/>
      <x v="13"/>
      <x v="1"/>
    </i>
    <i>
      <x v="72"/>
      <x v="165"/>
      <x v="1"/>
    </i>
    <i>
      <x v="73"/>
      <x v="152"/>
      <x v="1"/>
    </i>
    <i>
      <x v="74"/>
      <x v="138"/>
      <x v="1"/>
    </i>
    <i>
      <x v="75"/>
      <x v="48"/>
      <x v="1"/>
    </i>
    <i>
      <x v="76"/>
      <x v="70"/>
      <x v="1"/>
    </i>
    <i>
      <x v="77"/>
      <x v="68"/>
      <x v="1"/>
    </i>
    <i>
      <x v="78"/>
      <x v="69"/>
      <x v="1"/>
    </i>
    <i>
      <x v="79"/>
      <x v="126"/>
      <x/>
    </i>
    <i>
      <x v="80"/>
      <x v="235"/>
      <x v="1"/>
    </i>
    <i>
      <x v="81"/>
      <x v="238"/>
      <x v="1"/>
    </i>
    <i>
      <x v="82"/>
      <x v="103"/>
      <x/>
    </i>
    <i>
      <x v="83"/>
      <x v="189"/>
      <x/>
    </i>
    <i>
      <x v="84"/>
      <x v="26"/>
      <x v="1"/>
    </i>
    <i>
      <x v="85"/>
      <x v="114"/>
      <x v="1"/>
    </i>
    <i>
      <x v="86"/>
      <x v="63"/>
      <x v="1"/>
    </i>
    <i>
      <x v="87"/>
      <x v="30"/>
      <x v="1"/>
    </i>
    <i>
      <x v="88"/>
      <x v="28"/>
      <x v="1"/>
    </i>
    <i>
      <x v="89"/>
      <x v="39"/>
      <x v="1"/>
    </i>
    <i>
      <x v="90"/>
      <x v="38"/>
      <x v="1"/>
    </i>
    <i>
      <x v="91"/>
      <x v="186"/>
      <x v="1"/>
    </i>
    <i>
      <x v="92"/>
      <x v="218"/>
      <x v="1"/>
    </i>
    <i>
      <x v="93"/>
      <x v="15"/>
      <x v="1"/>
    </i>
    <i>
      <x v="94"/>
      <x v="61"/>
      <x v="1"/>
    </i>
    <i>
      <x v="95"/>
      <x v="7"/>
      <x v="1"/>
    </i>
    <i>
      <x v="96"/>
      <x v="180"/>
      <x/>
    </i>
    <i>
      <x v="97"/>
      <x v="181"/>
      <x/>
    </i>
    <i>
      <x v="98"/>
      <x v="62"/>
      <x v="1"/>
    </i>
    <i>
      <x v="99"/>
      <x v="168"/>
      <x v="1"/>
    </i>
    <i>
      <x v="100"/>
      <x v="124"/>
      <x v="1"/>
    </i>
    <i>
      <x v="101"/>
      <x v="229"/>
      <x v="1"/>
    </i>
    <i>
      <x v="102"/>
      <x v="123"/>
      <x v="1"/>
    </i>
    <i>
      <x v="103"/>
      <x v="226"/>
      <x v="1"/>
    </i>
    <i>
      <x v="104"/>
      <x v="125"/>
      <x v="1"/>
    </i>
    <i>
      <x v="105"/>
      <x v="113"/>
      <x/>
    </i>
    <i>
      <x v="106"/>
      <x v="57"/>
      <x/>
    </i>
    <i>
      <x v="107"/>
      <x v="198"/>
      <x v="1"/>
    </i>
    <i>
      <x v="108"/>
      <x v="214"/>
      <x v="1"/>
    </i>
    <i>
      <x v="109"/>
      <x v="75"/>
      <x v="1"/>
    </i>
    <i>
      <x v="110"/>
      <x v="65"/>
      <x v="1"/>
    </i>
    <i>
      <x v="111"/>
      <x v="90"/>
      <x/>
    </i>
    <i>
      <x v="112"/>
      <x v="89"/>
      <x/>
    </i>
    <i>
      <x v="113"/>
      <x v="92"/>
      <x/>
    </i>
    <i>
      <x v="114"/>
      <x v="94"/>
      <x/>
    </i>
    <i>
      <x v="115"/>
      <x v="95"/>
      <x/>
    </i>
    <i>
      <x v="116"/>
      <x v="91"/>
      <x/>
    </i>
    <i>
      <x v="117"/>
      <x v="96"/>
      <x/>
    </i>
    <i>
      <x v="118"/>
      <x v="93"/>
      <x/>
    </i>
    <i>
      <x v="119"/>
      <x v="19"/>
      <x v="1"/>
    </i>
    <i>
      <x v="120"/>
      <x v="20"/>
      <x v="1"/>
    </i>
    <i>
      <x v="121"/>
      <x v="102"/>
      <x/>
    </i>
    <i>
      <x v="122"/>
      <x v="86"/>
      <x/>
    </i>
    <i>
      <x v="123"/>
      <x v="83"/>
      <x/>
    </i>
    <i>
      <x v="124"/>
      <x v="82"/>
      <x/>
    </i>
    <i>
      <x v="125"/>
      <x v="87"/>
      <x v="1"/>
    </i>
    <i>
      <x v="126"/>
      <x v="85"/>
      <x/>
    </i>
    <i>
      <x v="127"/>
      <x v="149"/>
      <x/>
    </i>
    <i>
      <x v="128"/>
      <x v="206"/>
      <x v="1"/>
    </i>
    <i>
      <x v="129"/>
      <x v="233"/>
      <x v="1"/>
    </i>
    <i>
      <x v="130"/>
      <x v="34"/>
      <x/>
    </i>
    <i>
      <x v="131"/>
      <x v="55"/>
      <x v="1"/>
    </i>
    <i>
      <x v="132"/>
      <x v="56"/>
      <x/>
    </i>
    <i>
      <x v="133"/>
      <x v="201"/>
      <x/>
    </i>
    <i>
      <x v="134"/>
      <x v="195"/>
      <x v="1"/>
    </i>
    <i>
      <x v="135"/>
      <x v="210"/>
      <x/>
    </i>
    <i>
      <x v="136"/>
      <x v="173"/>
      <x/>
    </i>
    <i>
      <x v="137"/>
      <x v="196"/>
      <x v="1"/>
    </i>
    <i>
      <x v="138"/>
      <x v="230"/>
      <x v="1"/>
    </i>
    <i>
      <x v="139"/>
      <x v="207"/>
      <x/>
    </i>
    <i>
      <x v="140"/>
      <x v="148"/>
      <x/>
    </i>
    <i>
      <x v="141"/>
      <x v="223"/>
      <x v="1"/>
    </i>
    <i>
      <x v="142"/>
      <x v="227"/>
      <x v="1"/>
    </i>
    <i>
      <x v="143"/>
      <x v="50"/>
      <x v="1"/>
    </i>
    <i>
      <x v="144"/>
      <x v="16"/>
      <x/>
    </i>
    <i>
      <x v="145"/>
      <x v="60"/>
      <x v="1"/>
    </i>
    <i>
      <x v="146"/>
      <x v="127"/>
      <x/>
    </i>
    <i>
      <x v="147"/>
      <x v="194"/>
      <x v="1"/>
    </i>
    <i>
      <x v="148"/>
      <x v="191"/>
      <x v="1"/>
    </i>
    <i>
      <x v="149"/>
      <x v="224"/>
      <x v="1"/>
    </i>
    <i>
      <x v="150"/>
      <x v="193"/>
      <x v="1"/>
    </i>
    <i>
      <x v="151"/>
      <x v="211"/>
      <x/>
    </i>
    <i>
      <x v="152"/>
      <x v="192"/>
      <x/>
    </i>
    <i>
      <x v="153"/>
      <x v="212"/>
      <x/>
    </i>
    <i>
      <x v="154"/>
      <x v="200"/>
      <x v="1"/>
    </i>
    <i>
      <x v="155"/>
      <x v="197"/>
      <x v="1"/>
    </i>
    <i>
      <x v="156"/>
      <x v="174"/>
      <x/>
    </i>
    <i>
      <x v="157"/>
      <x v="177"/>
      <x/>
    </i>
    <i>
      <x v="158"/>
      <x v="128"/>
      <x/>
    </i>
    <i>
      <x v="159"/>
      <x v="162"/>
      <x v="1"/>
    </i>
    <i>
      <x v="160"/>
      <x v="234"/>
      <x v="1"/>
    </i>
    <i>
      <x v="161"/>
      <x v="202"/>
      <x v="1"/>
    </i>
    <i>
      <x v="162"/>
      <x v="215"/>
      <x v="1"/>
    </i>
    <i>
      <x v="163"/>
      <x v="225"/>
      <x v="1"/>
    </i>
    <i>
      <x v="164"/>
      <x v="23"/>
      <x v="1"/>
    </i>
    <i>
      <x v="165"/>
      <x v="53"/>
      <x v="1"/>
    </i>
    <i>
      <x v="166"/>
      <x v="99"/>
      <x v="1"/>
    </i>
    <i>
      <x v="167"/>
      <x v="79"/>
      <x/>
    </i>
    <i>
      <x v="168"/>
      <x v="213"/>
      <x v="1"/>
    </i>
    <i>
      <x v="169"/>
      <x v="77"/>
      <x v="1"/>
    </i>
    <i>
      <x v="170"/>
      <x v="188"/>
      <x/>
    </i>
    <i>
      <x v="171"/>
      <x v="32"/>
      <x v="1"/>
    </i>
    <i>
      <x v="172"/>
      <x v="133"/>
      <x v="1"/>
    </i>
    <i>
      <x v="173"/>
      <x v="33"/>
      <x/>
    </i>
    <i>
      <x v="174"/>
      <x v="239"/>
      <x v="1"/>
    </i>
    <i>
      <x v="175"/>
      <x v="242"/>
      <x v="1"/>
    </i>
    <i>
      <x v="176"/>
      <x v="80"/>
      <x/>
    </i>
    <i>
      <x v="177"/>
      <x v="81"/>
      <x/>
    </i>
    <i>
      <x v="178"/>
      <x v="122"/>
      <x v="1"/>
    </i>
    <i>
      <x v="179"/>
      <x v="58"/>
      <x/>
    </i>
    <i>
      <x v="180"/>
      <x v="1"/>
      <x v="1"/>
    </i>
    <i>
      <x v="181"/>
      <x v="71"/>
      <x v="1"/>
    </i>
    <i>
      <x v="182"/>
      <x v="136"/>
      <x v="1"/>
    </i>
    <i>
      <x v="183"/>
      <x v="119"/>
      <x v="1"/>
    </i>
    <i>
      <x v="184"/>
      <x v="115"/>
      <x v="1"/>
    </i>
    <i>
      <x v="185"/>
      <x v="178"/>
      <x v="1"/>
    </i>
    <i>
      <x v="186"/>
      <x v="98"/>
      <x/>
    </i>
    <i>
      <x v="187"/>
      <x v="163"/>
      <x v="1"/>
    </i>
    <i>
      <x v="188"/>
      <x v="64"/>
      <x v="1"/>
    </i>
    <i>
      <x v="189"/>
      <x v="135"/>
      <x v="1"/>
    </i>
    <i>
      <x v="190"/>
      <x v="31"/>
      <x v="1"/>
    </i>
    <i>
      <x v="191"/>
      <x v="24"/>
      <x v="1"/>
    </i>
    <i>
      <x v="192"/>
      <x v="29"/>
      <x v="1"/>
    </i>
    <i>
      <x v="193"/>
      <x v="25"/>
      <x v="1"/>
    </i>
    <i>
      <x v="194"/>
      <x v="153"/>
      <x v="1"/>
    </i>
    <i>
      <x v="195"/>
      <x v="46"/>
      <x v="1"/>
    </i>
    <i>
      <x v="196"/>
      <x v="104"/>
      <x/>
    </i>
    <i>
      <x v="197"/>
      <x v="154"/>
      <x v="1"/>
    </i>
    <i>
      <x v="198"/>
      <x v="240"/>
      <x v="1"/>
    </i>
    <i>
      <x v="199"/>
      <x v="100"/>
      <x/>
    </i>
    <i>
      <x v="200"/>
      <x v="236"/>
      <x v="1"/>
    </i>
    <i>
      <x v="201"/>
      <x v="237"/>
      <x v="1"/>
    </i>
    <i>
      <x v="202"/>
      <x v="220"/>
      <x v="1"/>
    </i>
    <i>
      <x v="203"/>
      <x v="72"/>
      <x v="1"/>
    </i>
    <i>
      <x v="204"/>
      <x v="5"/>
      <x v="1"/>
    </i>
    <i>
      <x v="205"/>
      <x v="6"/>
      <x v="1"/>
    </i>
    <i>
      <x v="206"/>
      <x v="40"/>
      <x v="1"/>
    </i>
    <i>
      <x v="207"/>
      <x v="66"/>
      <x v="1"/>
    </i>
    <i>
      <x v="208"/>
      <x v="67"/>
      <x v="1"/>
    </i>
    <i>
      <x v="209"/>
      <x v="8"/>
      <x v="1"/>
    </i>
    <i>
      <x v="210"/>
      <x v="187"/>
      <x/>
    </i>
    <i>
      <x v="211"/>
      <x v="78"/>
      <x v="1"/>
    </i>
    <i>
      <x v="212"/>
      <x v="190"/>
      <x/>
    </i>
    <i>
      <x v="213"/>
      <x v="175"/>
      <x v="1"/>
    </i>
    <i>
      <x v="214"/>
      <x v="54"/>
      <x v="1"/>
    </i>
    <i>
      <x v="215"/>
      <x v="106"/>
      <x/>
    </i>
    <i>
      <x v="216"/>
      <x v="59"/>
      <x v="1"/>
    </i>
    <i>
      <x v="217"/>
      <x/>
      <x v="1"/>
    </i>
    <i>
      <x v="218"/>
      <x v="22"/>
      <x v="1"/>
    </i>
    <i>
      <x v="219"/>
      <x v="3"/>
      <x v="1"/>
    </i>
    <i>
      <x v="220"/>
      <x v="2"/>
      <x v="1"/>
    </i>
    <i>
      <x v="221"/>
      <x v="4"/>
      <x v="1"/>
    </i>
    <i>
      <x v="222"/>
      <x v="36"/>
      <x v="1"/>
    </i>
    <i>
      <x v="223"/>
      <x v="219"/>
      <x/>
    </i>
    <i>
      <x v="224"/>
      <x v="97"/>
      <x/>
    </i>
    <i>
      <x v="225"/>
      <x v="179"/>
      <x/>
    </i>
    <i>
      <x v="226"/>
      <x v="74"/>
      <x v="1"/>
    </i>
    <i>
      <x v="227"/>
      <x v="37"/>
      <x v="1"/>
    </i>
    <i>
      <x v="228"/>
      <x v="35"/>
      <x/>
    </i>
    <i>
      <x v="229"/>
      <x v="156"/>
      <x/>
    </i>
    <i>
      <x v="230"/>
      <x v="155"/>
      <x v="1"/>
    </i>
    <i>
      <x v="231"/>
      <x v="111"/>
      <x v="1"/>
    </i>
    <i>
      <x v="232"/>
      <x v="43"/>
      <x/>
    </i>
    <i>
      <x v="233"/>
      <x v="146"/>
      <x/>
    </i>
    <i>
      <x v="234"/>
      <x v="21"/>
      <x v="1"/>
    </i>
    <i>
      <x v="235"/>
      <x v="52"/>
      <x v="1"/>
    </i>
    <i>
      <x v="236"/>
      <x v="101"/>
      <x v="1"/>
    </i>
    <i>
      <x v="237"/>
      <x v="107"/>
      <x v="1"/>
    </i>
    <i>
      <x v="238"/>
      <x v="171"/>
      <x/>
    </i>
    <i>
      <x v="239"/>
      <x v="208"/>
      <x v="1"/>
    </i>
  </rowItems>
  <colItems count="1">
    <i/>
  </colItems>
  <dataFields count="1">
    <dataField name="Sum of HH" fld="16" baseField="11"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Lst>
</pivotTableDefinition>
</file>

<file path=xl/pivotTables/pivotTable22.xml><?xml version="1.0" encoding="utf-8"?>
<pivotTableDefinition xmlns="http://schemas.openxmlformats.org/spreadsheetml/2006/main" name="TCL" cacheId="64" applyNumberFormats="0" applyBorderFormats="0" applyFontFormats="0" applyPatternFormats="0" applyAlignmentFormats="0" applyWidthHeightFormats="1" dataCaption="Values" updatedVersion="5" minRefreshableVersion="3" showDrill="0" useAutoFormatting="1" rowGrandTotals="0" colGrandTotals="0" itemPrintTitles="1" createdVersion="4" indent="0" compact="0" compactData="0" multipleFieldFilters="0">
  <location ref="A3:B246" firstHeaderRow="1" firstDataRow="1" firstDataCol="2" rowPageCount="1" colPageCount="1"/>
  <pivotFields count="42">
    <pivotField axis="axisPage" compact="0" outline="0" multipleItemSelectionAllowed="1" showAll="0" defaultSubtotal="0">
      <items count="2">
        <item x="1"/>
        <item x="0"/>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21">
        <item x="1"/>
        <item x="4"/>
        <item x="0"/>
        <item x="6"/>
        <item x="8"/>
        <item x="7"/>
        <item x="5"/>
        <item x="9"/>
        <item x="2"/>
        <item x="10"/>
        <item x="11"/>
        <item x="12"/>
        <item x="13"/>
        <item x="14"/>
        <item x="15"/>
        <item x="16"/>
        <item x="18"/>
        <item x="17"/>
        <item x="19"/>
        <item x="20"/>
        <item x="3"/>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240">
        <item x="0"/>
        <item x="36"/>
        <item x="29"/>
        <item x="2"/>
        <item x="35"/>
        <item x="51"/>
        <item x="6"/>
        <item x="13"/>
        <item x="8"/>
        <item x="9"/>
        <item x="10"/>
        <item x="11"/>
        <item x="12"/>
        <item x="37"/>
        <item x="14"/>
        <item x="15"/>
        <item x="16"/>
        <item x="222"/>
        <item x="83"/>
        <item x="43"/>
        <item x="21"/>
        <item x="25"/>
        <item x="23"/>
        <item x="48"/>
        <item x="163"/>
        <item x="161"/>
        <item x="162"/>
        <item x="108"/>
        <item x="30"/>
        <item x="31"/>
        <item x="32"/>
        <item x="33"/>
        <item x="34"/>
        <item x="207"/>
        <item x="239"/>
        <item x="50"/>
        <item x="53"/>
        <item x="39"/>
        <item x="1"/>
        <item x="143"/>
        <item x="144"/>
        <item x="22"/>
        <item x="105"/>
        <item x="17"/>
        <item x="226"/>
        <item x="52"/>
        <item x="185"/>
        <item x="186"/>
        <item x="219"/>
        <item x="57"/>
        <item x="102"/>
        <item x="60"/>
        <item x="69"/>
        <item x="68"/>
        <item x="165"/>
        <item x="93"/>
        <item x="59"/>
        <item x="66"/>
        <item x="73"/>
        <item x="24"/>
        <item x="82"/>
        <item x="200"/>
        <item x="71"/>
        <item x="182"/>
        <item x="181"/>
        <item x="28"/>
        <item x="44"/>
        <item x="54"/>
        <item x="3"/>
        <item x="135"/>
        <item x="132"/>
        <item x="138"/>
        <item x="81"/>
        <item x="84"/>
        <item x="85"/>
        <item x="206"/>
        <item x="217"/>
        <item x="109"/>
        <item x="211"/>
        <item x="213"/>
        <item x="209"/>
        <item x="208"/>
        <item x="72"/>
        <item x="184"/>
        <item x="103"/>
        <item x="167"/>
        <item x="98"/>
        <item x="99"/>
        <item x="110"/>
        <item x="111"/>
        <item x="77"/>
        <item x="76"/>
        <item x="80"/>
        <item x="106"/>
        <item x="107"/>
        <item x="87"/>
        <item x="88"/>
        <item x="89"/>
        <item x="86"/>
        <item x="112"/>
        <item x="113"/>
        <item x="114"/>
        <item x="115"/>
        <item x="116"/>
        <item x="117"/>
        <item x="118"/>
        <item x="119"/>
        <item x="156"/>
        <item x="160"/>
        <item x="122"/>
        <item x="123"/>
        <item x="124"/>
        <item x="125"/>
        <item x="55"/>
        <item x="127"/>
        <item x="128"/>
        <item x="63"/>
        <item x="129"/>
        <item x="133"/>
        <item x="134"/>
        <item x="146"/>
        <item x="136"/>
        <item x="137"/>
        <item x="64"/>
        <item x="140"/>
        <item x="141"/>
        <item x="18"/>
        <item x="145"/>
        <item x="121"/>
        <item x="147"/>
        <item x="191"/>
        <item x="189"/>
        <item x="190"/>
        <item x="152"/>
        <item x="153"/>
        <item x="154"/>
        <item x="148"/>
        <item x="62"/>
        <item x="157"/>
        <item x="158"/>
        <item x="159"/>
        <item x="41"/>
        <item x="194"/>
        <item x="193"/>
        <item x="155"/>
        <item x="4"/>
        <item x="38"/>
        <item x="168"/>
        <item x="58"/>
        <item x="92"/>
        <item x="171"/>
        <item x="214"/>
        <item x="100"/>
        <item x="177"/>
        <item x="178"/>
        <item x="104"/>
        <item x="170"/>
        <item x="183"/>
        <item x="139"/>
        <item x="151"/>
        <item x="120"/>
        <item x="26"/>
        <item x="187"/>
        <item x="7"/>
        <item x="126"/>
        <item x="221"/>
        <item x="231"/>
        <item x="230"/>
        <item x="234"/>
        <item x="236"/>
        <item x="46"/>
        <item x="19"/>
        <item x="197"/>
        <item x="45"/>
        <item x="199"/>
        <item x="142"/>
        <item x="179"/>
        <item x="180"/>
        <item x="220"/>
        <item x="201"/>
        <item x="202"/>
        <item x="166"/>
        <item x="210"/>
        <item x="97"/>
        <item x="212"/>
        <item x="205"/>
        <item x="20"/>
        <item x="215"/>
        <item x="130"/>
        <item x="169"/>
        <item x="176"/>
        <item x="172"/>
        <item x="173"/>
        <item x="237"/>
        <item x="224"/>
        <item x="225"/>
        <item x="198"/>
        <item x="235"/>
        <item x="228"/>
        <item x="229"/>
        <item x="47"/>
        <item x="216"/>
        <item x="232"/>
        <item x="233"/>
        <item x="164"/>
        <item x="5"/>
        <item x="40"/>
        <item x="238"/>
        <item x="61"/>
        <item x="74"/>
        <item x="27"/>
        <item x="223"/>
        <item x="75"/>
        <item x="195"/>
        <item x="149"/>
        <item x="192"/>
        <item x="78"/>
        <item x="150"/>
        <item x="42"/>
        <item x="188"/>
        <item x="79"/>
        <item x="65"/>
        <item x="49"/>
        <item x="96"/>
        <item x="95"/>
        <item x="131"/>
        <item x="174"/>
        <item x="67"/>
        <item x="218"/>
        <item x="175"/>
        <item x="227"/>
        <item x="196"/>
        <item x="56"/>
        <item x="94"/>
        <item x="91"/>
        <item x="90"/>
        <item x="203"/>
        <item x="204"/>
        <item x="101"/>
        <item x="70"/>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showAll="0" defaultSubtotal="0">
      <items count="12">
        <item x="3"/>
        <item x="8"/>
        <item x="0"/>
        <item x="10"/>
        <item x="5"/>
        <item x="11"/>
        <item x="4"/>
        <item x="1"/>
        <item x="6"/>
        <item x="9"/>
        <item x="7"/>
        <item x="2"/>
      </items>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s>
  <rowFields count="2">
    <field x="5"/>
    <field x="11"/>
  </rowFields>
  <rowItems count="243">
    <i>
      <x/>
      <x v="3"/>
    </i>
    <i r="1">
      <x v="7"/>
    </i>
    <i r="1">
      <x v="22"/>
    </i>
    <i r="1">
      <x v="38"/>
    </i>
    <i r="1">
      <x v="43"/>
    </i>
    <i r="1">
      <x v="49"/>
    </i>
    <i r="1">
      <x v="68"/>
    </i>
    <i r="1">
      <x v="126"/>
    </i>
    <i r="1">
      <x v="145"/>
    </i>
    <i r="1">
      <x v="163"/>
    </i>
    <i r="1">
      <x v="171"/>
    </i>
    <i r="1">
      <x v="184"/>
    </i>
    <i r="1">
      <x v="186"/>
    </i>
    <i r="1">
      <x v="195"/>
    </i>
    <i r="1">
      <x v="205"/>
    </i>
    <i r="1">
      <x v="211"/>
    </i>
    <i>
      <x v="1"/>
      <x v="21"/>
    </i>
    <i r="1">
      <x v="32"/>
    </i>
    <i r="1">
      <x v="41"/>
    </i>
    <i r="1">
      <x v="59"/>
    </i>
    <i r="1">
      <x v="65"/>
    </i>
    <i r="1">
      <x v="161"/>
    </i>
    <i r="1">
      <x v="202"/>
    </i>
    <i r="1">
      <x v="210"/>
    </i>
    <i>
      <x v="2"/>
      <x/>
    </i>
    <i r="1">
      <x v="1"/>
    </i>
    <i r="1">
      <x v="2"/>
    </i>
    <i r="1">
      <x v="4"/>
    </i>
    <i r="1">
      <x v="5"/>
    </i>
    <i r="1">
      <x v="6"/>
    </i>
    <i r="1">
      <x v="8"/>
    </i>
    <i r="1">
      <x v="9"/>
    </i>
    <i r="1">
      <x v="13"/>
    </i>
    <i r="1">
      <x v="14"/>
    </i>
    <i r="1">
      <x v="15"/>
    </i>
    <i r="1">
      <x v="19"/>
    </i>
    <i r="1">
      <x v="20"/>
    </i>
    <i r="1">
      <x v="23"/>
    </i>
    <i r="1">
      <x v="28"/>
    </i>
    <i r="1">
      <x v="29"/>
    </i>
    <i r="1">
      <x v="35"/>
    </i>
    <i r="1">
      <x v="36"/>
    </i>
    <i r="1">
      <x v="37"/>
    </i>
    <i r="1">
      <x v="66"/>
    </i>
    <i r="1">
      <x v="67"/>
    </i>
    <i r="1">
      <x v="73"/>
    </i>
    <i r="1">
      <x v="99"/>
    </i>
    <i r="1">
      <x v="100"/>
    </i>
    <i r="1">
      <x v="101"/>
    </i>
    <i r="1">
      <x v="102"/>
    </i>
    <i r="1">
      <x v="103"/>
    </i>
    <i r="1">
      <x v="104"/>
    </i>
    <i r="1">
      <x v="105"/>
    </i>
    <i r="1">
      <x v="106"/>
    </i>
    <i r="1">
      <x v="109"/>
    </i>
    <i r="1">
      <x v="110"/>
    </i>
    <i r="1">
      <x v="111"/>
    </i>
    <i r="1">
      <x v="112"/>
    </i>
    <i r="1">
      <x v="113"/>
    </i>
    <i r="1">
      <x v="114"/>
    </i>
    <i r="1">
      <x v="115"/>
    </i>
    <i r="1">
      <x v="125"/>
    </i>
    <i r="1">
      <x v="141"/>
    </i>
    <i r="1">
      <x v="146"/>
    </i>
    <i r="1">
      <x v="153"/>
    </i>
    <i r="1">
      <x v="154"/>
    </i>
    <i r="1">
      <x v="162"/>
    </i>
    <i r="1">
      <x v="170"/>
    </i>
    <i r="1">
      <x v="172"/>
    </i>
    <i r="1">
      <x v="173"/>
    </i>
    <i r="1">
      <x v="174"/>
    </i>
    <i r="1">
      <x v="187"/>
    </i>
    <i r="1">
      <x v="194"/>
    </i>
    <i r="1">
      <x v="199"/>
    </i>
    <i r="1">
      <x v="200"/>
    </i>
    <i r="1">
      <x v="203"/>
    </i>
    <i r="1">
      <x v="206"/>
    </i>
    <i r="1">
      <x v="207"/>
    </i>
    <i r="1">
      <x v="218"/>
    </i>
    <i r="1">
      <x v="222"/>
    </i>
    <i>
      <x v="3"/>
      <x v="148"/>
    </i>
    <i r="1">
      <x v="232"/>
    </i>
    <i>
      <x v="4"/>
      <x v="62"/>
    </i>
    <i>
      <x v="5"/>
      <x v="56"/>
    </i>
    <i>
      <x v="6"/>
      <x v="30"/>
    </i>
    <i r="1">
      <x v="31"/>
    </i>
    <i r="1">
      <x v="51"/>
    </i>
    <i r="1">
      <x v="52"/>
    </i>
    <i r="1">
      <x v="53"/>
    </i>
    <i r="1">
      <x v="116"/>
    </i>
    <i r="1">
      <x v="123"/>
    </i>
    <i r="1">
      <x v="124"/>
    </i>
    <i r="1">
      <x v="137"/>
    </i>
    <i r="1">
      <x v="208"/>
    </i>
    <i r="1">
      <x v="221"/>
    </i>
    <i r="1">
      <x v="239"/>
    </i>
    <i>
      <x v="7"/>
      <x v="74"/>
    </i>
    <i>
      <x v="8"/>
      <x v="10"/>
    </i>
    <i r="1">
      <x v="11"/>
    </i>
    <i r="1">
      <x v="12"/>
    </i>
    <i r="1">
      <x v="18"/>
    </i>
    <i r="1">
      <x v="38"/>
    </i>
    <i r="1">
      <x v="45"/>
    </i>
    <i r="1">
      <x v="57"/>
    </i>
    <i r="1">
      <x v="60"/>
    </i>
    <i r="1">
      <x v="72"/>
    </i>
    <i r="1">
      <x v="82"/>
    </i>
    <i r="1">
      <x v="86"/>
    </i>
    <i r="1">
      <x v="87"/>
    </i>
    <i r="1">
      <x v="90"/>
    </i>
    <i r="1">
      <x v="91"/>
    </i>
    <i r="1">
      <x v="92"/>
    </i>
    <i r="1">
      <x v="98"/>
    </i>
    <i r="1">
      <x v="121"/>
    </i>
    <i r="1">
      <x v="122"/>
    </i>
    <i r="1">
      <x v="129"/>
    </i>
    <i r="1">
      <x v="138"/>
    </i>
    <i r="1">
      <x v="139"/>
    </i>
    <i r="1">
      <x v="140"/>
    </i>
    <i r="1">
      <x v="182"/>
    </i>
    <i r="1">
      <x v="209"/>
    </i>
    <i r="1">
      <x v="212"/>
    </i>
    <i r="1">
      <x v="216"/>
    </i>
    <i r="1">
      <x v="220"/>
    </i>
    <i>
      <x v="9"/>
      <x v="95"/>
    </i>
    <i r="1">
      <x v="96"/>
    </i>
    <i>
      <x v="10"/>
      <x v="55"/>
    </i>
    <i r="1">
      <x v="97"/>
    </i>
    <i r="1">
      <x v="149"/>
    </i>
    <i r="1">
      <x v="233"/>
    </i>
    <i r="1">
      <x v="234"/>
    </i>
    <i r="1">
      <x v="235"/>
    </i>
    <i>
      <x v="11"/>
      <x v="147"/>
    </i>
    <i r="1">
      <x v="152"/>
    </i>
    <i r="1">
      <x v="183"/>
    </i>
    <i r="1">
      <x v="223"/>
    </i>
    <i r="1">
      <x v="224"/>
    </i>
    <i>
      <x v="12"/>
      <x v="27"/>
    </i>
    <i r="1">
      <x v="38"/>
    </i>
    <i r="1">
      <x v="42"/>
    </i>
    <i r="1">
      <x v="50"/>
    </i>
    <i r="1">
      <x v="69"/>
    </i>
    <i r="1">
      <x v="70"/>
    </i>
    <i r="1">
      <x v="71"/>
    </i>
    <i r="1">
      <x v="77"/>
    </i>
    <i r="1">
      <x v="84"/>
    </i>
    <i r="1">
      <x v="88"/>
    </i>
    <i r="1">
      <x v="89"/>
    </i>
    <i r="1">
      <x v="94"/>
    </i>
    <i r="1">
      <x v="117"/>
    </i>
    <i r="1">
      <x v="118"/>
    </i>
    <i r="1">
      <x v="128"/>
    </i>
    <i r="1">
      <x v="155"/>
    </i>
    <i r="1">
      <x v="156"/>
    </i>
    <i r="1">
      <x v="158"/>
    </i>
    <i r="1">
      <x v="160"/>
    </i>
    <i r="1">
      <x v="164"/>
    </i>
    <i r="1">
      <x v="175"/>
    </i>
    <i r="1">
      <x v="188"/>
    </i>
    <i r="1">
      <x v="238"/>
    </i>
    <i>
      <x v="13"/>
      <x v="39"/>
    </i>
    <i r="1">
      <x v="40"/>
    </i>
    <i r="1">
      <x v="119"/>
    </i>
    <i r="1">
      <x v="120"/>
    </i>
    <i r="1">
      <x v="135"/>
    </i>
    <i r="1">
      <x v="136"/>
    </i>
    <i r="1">
      <x v="214"/>
    </i>
    <i r="1">
      <x v="217"/>
    </i>
    <i>
      <x v="14"/>
      <x v="24"/>
    </i>
    <i r="1">
      <x v="25"/>
    </i>
    <i r="1">
      <x v="26"/>
    </i>
    <i r="1">
      <x v="46"/>
    </i>
    <i r="1">
      <x v="47"/>
    </i>
    <i r="1">
      <x v="54"/>
    </i>
    <i r="1">
      <x v="63"/>
    </i>
    <i r="1">
      <x v="64"/>
    </i>
    <i r="1">
      <x v="83"/>
    </i>
    <i r="1">
      <x v="85"/>
    </i>
    <i r="1">
      <x v="107"/>
    </i>
    <i r="1">
      <x v="108"/>
    </i>
    <i r="1">
      <x v="127"/>
    </i>
    <i r="1">
      <x v="144"/>
    </i>
    <i r="1">
      <x v="157"/>
    </i>
    <i r="1">
      <x v="159"/>
    </i>
    <i r="1">
      <x v="176"/>
    </i>
    <i r="1">
      <x v="177"/>
    </i>
    <i r="1">
      <x v="181"/>
    </i>
    <i r="1">
      <x v="189"/>
    </i>
    <i r="1">
      <x v="190"/>
    </i>
    <i r="1">
      <x v="191"/>
    </i>
    <i r="1">
      <x v="192"/>
    </i>
    <i r="1">
      <x v="204"/>
    </i>
    <i r="1">
      <x v="229"/>
    </i>
    <i>
      <x v="15"/>
      <x v="130"/>
    </i>
    <i r="1">
      <x v="131"/>
    </i>
    <i r="1">
      <x v="132"/>
    </i>
    <i r="1">
      <x v="133"/>
    </i>
    <i r="1">
      <x v="134"/>
    </i>
    <i r="1">
      <x v="215"/>
    </i>
    <i r="1">
      <x v="219"/>
    </i>
    <i>
      <x v="16"/>
      <x v="142"/>
    </i>
    <i r="1">
      <x v="143"/>
    </i>
    <i>
      <x v="17"/>
      <x v="150"/>
    </i>
    <i r="1">
      <x v="196"/>
    </i>
    <i r="1">
      <x v="213"/>
    </i>
    <i r="1">
      <x v="231"/>
    </i>
    <i>
      <x v="18"/>
      <x v="38"/>
    </i>
    <i r="1">
      <x v="61"/>
    </i>
    <i r="1">
      <x v="179"/>
    </i>
    <i r="1">
      <x v="180"/>
    </i>
    <i>
      <x v="19"/>
      <x v="185"/>
    </i>
    <i r="1">
      <x v="236"/>
    </i>
    <i r="1">
      <x v="237"/>
    </i>
    <i>
      <x v="20"/>
      <x v="16"/>
    </i>
    <i r="1">
      <x v="17"/>
    </i>
    <i r="1">
      <x v="33"/>
    </i>
    <i r="1">
      <x v="34"/>
    </i>
    <i r="1">
      <x v="44"/>
    </i>
    <i r="1">
      <x v="48"/>
    </i>
    <i r="1">
      <x v="58"/>
    </i>
    <i r="1">
      <x v="75"/>
    </i>
    <i r="1">
      <x v="76"/>
    </i>
    <i r="1">
      <x v="78"/>
    </i>
    <i r="1">
      <x v="79"/>
    </i>
    <i r="1">
      <x v="80"/>
    </i>
    <i r="1">
      <x v="81"/>
    </i>
    <i r="1">
      <x v="93"/>
    </i>
    <i r="1">
      <x v="151"/>
    </i>
    <i r="1">
      <x v="165"/>
    </i>
    <i r="1">
      <x v="166"/>
    </i>
    <i r="1">
      <x v="167"/>
    </i>
    <i r="1">
      <x v="168"/>
    </i>
    <i r="1">
      <x v="169"/>
    </i>
    <i r="1">
      <x v="178"/>
    </i>
    <i r="1">
      <x v="193"/>
    </i>
    <i r="1">
      <x v="197"/>
    </i>
    <i r="1">
      <x v="198"/>
    </i>
    <i r="1">
      <x v="201"/>
    </i>
    <i r="1">
      <x v="225"/>
    </i>
    <i r="1">
      <x v="226"/>
    </i>
    <i r="1">
      <x v="227"/>
    </i>
    <i r="1">
      <x v="228"/>
    </i>
    <i r="1">
      <x v="230"/>
    </i>
  </rowItems>
  <colItems count="1">
    <i/>
  </colItems>
  <pageFields count="1">
    <pageField fld="0" hier="-1"/>
  </pageFields>
  <pivotTableStyleInfo name="PivotStyleLight16" showRowHeaders="0"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Lst>
</pivotTableDefinition>
</file>

<file path=xl/pivotTables/pivotTable23.xml><?xml version="1.0" encoding="utf-8"?>
<pivotTableDefinition xmlns="http://schemas.openxmlformats.org/spreadsheetml/2006/main" name="PivotTable3" cacheId="64" applyNumberFormats="0" applyBorderFormats="0" applyFontFormats="0" applyPatternFormats="0" applyAlignmentFormats="0" applyWidthHeightFormats="1" dataCaption="Values" updatedVersion="5" minRefreshableVersion="3" showDrill="0" useAutoFormatting="1" rowGrandTotals="0" colGrandTotals="0" itemPrintTitles="1" createdVersion="4" indent="0" compact="0" compactData="0" multipleFieldFilters="0">
  <location ref="U4:V247" firstHeaderRow="1" firstDataRow="1" firstDataCol="2" rowPageCount="1" colPageCount="1"/>
  <pivotFields count="42">
    <pivotField axis="axisPage" compact="0" outline="0" showAll="0" defaultSubtotal="0">
      <items count="2">
        <item x="0"/>
        <item x="1"/>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items count="21">
        <item x="1"/>
        <item x="4"/>
        <item x="0"/>
        <item x="6"/>
        <item x="8"/>
        <item x="7"/>
        <item x="5"/>
        <item x="9"/>
        <item x="2"/>
        <item x="10"/>
        <item x="11"/>
        <item x="12"/>
        <item x="13"/>
        <item x="14"/>
        <item x="15"/>
        <item x="16"/>
        <item x="18"/>
        <item x="17"/>
        <item x="19"/>
        <item x="20"/>
        <item x="3"/>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243">
        <item x="171"/>
        <item x="185"/>
        <item x="174"/>
        <item x="178"/>
        <item x="175"/>
        <item x="181"/>
        <item x="182"/>
        <item x="169"/>
        <item x="168"/>
        <item x="163"/>
        <item x="164"/>
        <item x="165"/>
        <item x="167"/>
        <item x="183"/>
        <item x="184"/>
        <item x="186"/>
        <item x="147"/>
        <item x="187"/>
        <item x="188"/>
        <item x="158"/>
        <item x="162"/>
        <item x="166"/>
        <item x="177"/>
        <item x="157"/>
        <item x="233"/>
        <item x="239"/>
        <item x="209"/>
        <item x="210"/>
        <item x="216"/>
        <item x="237"/>
        <item x="214"/>
        <item x="234"/>
        <item x="217"/>
        <item x="176"/>
        <item x="133"/>
        <item x="231"/>
        <item x="240"/>
        <item x="238"/>
        <item x="211"/>
        <item x="212"/>
        <item x="223"/>
        <item x="25"/>
        <item x="22"/>
        <item x="235"/>
        <item x="24"/>
        <item x="34"/>
        <item x="19"/>
        <item x="57"/>
        <item x="3"/>
        <item x="2"/>
        <item x="18"/>
        <item x="17"/>
        <item x="5"/>
        <item x="4"/>
        <item x="20"/>
        <item x="131"/>
        <item x="135"/>
        <item x="109"/>
        <item x="172"/>
        <item x="132"/>
        <item x="123"/>
        <item x="105"/>
        <item x="112"/>
        <item x="111"/>
        <item x="128"/>
        <item x="87"/>
        <item x="204"/>
        <item x="205"/>
        <item x="134"/>
        <item x="140"/>
        <item x="137"/>
        <item x="141"/>
        <item x="144"/>
        <item x="59"/>
        <item x="200"/>
        <item x="90"/>
        <item x="94"/>
        <item x="93"/>
        <item x="98"/>
        <item x="170"/>
        <item x="179"/>
        <item x="180"/>
        <item x="127"/>
        <item x="126"/>
        <item x="21"/>
        <item x="129"/>
        <item x="125"/>
        <item x="55"/>
        <item x="9"/>
        <item x="115"/>
        <item x="114"/>
        <item x="119"/>
        <item x="116"/>
        <item x="121"/>
        <item x="117"/>
        <item x="118"/>
        <item x="120"/>
        <item x="227"/>
        <item x="189"/>
        <item x="38"/>
        <item x="202"/>
        <item x="40"/>
        <item x="124"/>
        <item x="85"/>
        <item x="199"/>
        <item x="43"/>
        <item x="218"/>
        <item x="230"/>
        <item x="225"/>
        <item x="16"/>
        <item x="242"/>
        <item x="219"/>
        <item x="67"/>
        <item x="108"/>
        <item x="220"/>
        <item x="221"/>
        <item x="222"/>
        <item x="107"/>
        <item x="110"/>
        <item x="122"/>
        <item x="83"/>
        <item x="84"/>
        <item x="106"/>
        <item x="77"/>
        <item x="78"/>
        <item x="81"/>
        <item x="82"/>
        <item x="149"/>
        <item x="161"/>
        <item x="72"/>
        <item x="203"/>
        <item x="50"/>
        <item x="74"/>
        <item x="101"/>
        <item x="23"/>
        <item x="224"/>
        <item x="153"/>
        <item x="1"/>
        <item x="54"/>
        <item x="29"/>
        <item x="37"/>
        <item x="8"/>
        <item x="0"/>
        <item x="15"/>
        <item x="6"/>
        <item x="48"/>
        <item x="236"/>
        <item x="35"/>
        <item x="143"/>
        <item x="130"/>
        <item x="36"/>
        <item x="30"/>
        <item x="44"/>
        <item x="46"/>
        <item x="45"/>
        <item x="47"/>
        <item x="232"/>
        <item x="31"/>
        <item x="14"/>
        <item x="39"/>
        <item x="51"/>
        <item x="53"/>
        <item x="41"/>
        <item x="7"/>
        <item x="13"/>
        <item x="28"/>
        <item x="71"/>
        <item x="103"/>
        <item x="113"/>
        <item x="201"/>
        <item x="104"/>
        <item x="241"/>
        <item x="66"/>
        <item x="139"/>
        <item x="159"/>
        <item x="208"/>
        <item x="229"/>
        <item x="160"/>
        <item x="26"/>
        <item x="228"/>
        <item x="99"/>
        <item x="100"/>
        <item x="12"/>
        <item x="10"/>
        <item x="11"/>
        <item x="52"/>
        <item x="73"/>
        <item x="213"/>
        <item x="173"/>
        <item x="86"/>
        <item x="215"/>
        <item x="75"/>
        <item x="226"/>
        <item x="27"/>
        <item x="76"/>
        <item x="197"/>
        <item x="79"/>
        <item x="42"/>
        <item x="191"/>
        <item x="155"/>
        <item x="192"/>
        <item x="193"/>
        <item x="148"/>
        <item x="64"/>
        <item x="62"/>
        <item x="88"/>
        <item x="145"/>
        <item x="150"/>
        <item x="136"/>
        <item x="196"/>
        <item x="60"/>
        <item x="69"/>
        <item x="68"/>
        <item x="63"/>
        <item x="142"/>
        <item x="61"/>
        <item x="146"/>
        <item x="138"/>
        <item x="154"/>
        <item x="156"/>
        <item x="58"/>
        <item x="89"/>
        <item x="195"/>
        <item x="32"/>
        <item x="33"/>
        <item x="151"/>
        <item x="194"/>
        <item x="190"/>
        <item x="152"/>
        <item x="80"/>
        <item x="65"/>
        <item x="49"/>
        <item x="97"/>
        <item x="96"/>
        <item x="56"/>
        <item x="198"/>
        <item x="95"/>
        <item x="92"/>
        <item x="91"/>
        <item x="206"/>
        <item x="207"/>
        <item x="102"/>
        <item x="70"/>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5">
        <item x="4"/>
        <item x="0"/>
        <item x="1"/>
        <item x="3"/>
        <item x="2"/>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showAll="0" defaultSubtotal="0">
      <items count="12">
        <item x="3"/>
        <item x="8"/>
        <item x="0"/>
        <item x="10"/>
        <item x="5"/>
        <item x="11"/>
        <item x="4"/>
        <item x="1"/>
        <item x="6"/>
        <item x="9"/>
        <item x="7"/>
        <item x="2"/>
      </items>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s>
  <rowFields count="2">
    <field x="12"/>
    <field x="21"/>
  </rowFields>
  <rowItems count="243">
    <i>
      <x/>
      <x v="1"/>
    </i>
    <i>
      <x v="1"/>
      <x v="1"/>
    </i>
    <i>
      <x v="2"/>
      <x v="1"/>
    </i>
    <i>
      <x v="3"/>
      <x v="1"/>
    </i>
    <i>
      <x v="4"/>
      <x v="1"/>
    </i>
    <i>
      <x v="5"/>
      <x v="1"/>
    </i>
    <i>
      <x v="6"/>
      <x v="1"/>
    </i>
    <i>
      <x v="7"/>
      <x v="1"/>
    </i>
    <i>
      <x v="8"/>
      <x v="1"/>
    </i>
    <i>
      <x v="9"/>
      <x v="1"/>
    </i>
    <i>
      <x v="10"/>
      <x v="1"/>
    </i>
    <i>
      <x v="11"/>
      <x v="1"/>
    </i>
    <i>
      <x v="12"/>
      <x v="1"/>
    </i>
    <i>
      <x v="13"/>
      <x v="1"/>
    </i>
    <i>
      <x v="14"/>
      <x v="1"/>
    </i>
    <i>
      <x v="15"/>
      <x v="1"/>
    </i>
    <i>
      <x v="16"/>
      <x v="1"/>
    </i>
    <i>
      <x v="17"/>
      <x v="1"/>
    </i>
    <i>
      <x v="18"/>
      <x v="1"/>
    </i>
    <i>
      <x v="19"/>
      <x v="1"/>
    </i>
    <i>
      <x v="20"/>
      <x v="1"/>
    </i>
    <i>
      <x v="21"/>
      <x v="1"/>
    </i>
    <i>
      <x v="22"/>
      <x v="1"/>
    </i>
    <i>
      <x v="23"/>
      <x v="1"/>
    </i>
    <i>
      <x v="24"/>
      <x v="1"/>
    </i>
    <i>
      <x v="25"/>
      <x v="1"/>
    </i>
    <i>
      <x v="26"/>
      <x v="1"/>
    </i>
    <i>
      <x v="27"/>
      <x v="1"/>
    </i>
    <i>
      <x v="28"/>
      <x v="1"/>
    </i>
    <i>
      <x v="29"/>
      <x v="1"/>
    </i>
    <i>
      <x v="30"/>
      <x v="1"/>
    </i>
    <i>
      <x v="31"/>
      <x v="1"/>
    </i>
    <i>
      <x v="32"/>
      <x v="1"/>
    </i>
    <i>
      <x v="33"/>
      <x v="1"/>
    </i>
    <i>
      <x v="34"/>
      <x v="1"/>
    </i>
    <i>
      <x v="35"/>
      <x/>
    </i>
    <i>
      <x v="36"/>
      <x v="1"/>
    </i>
    <i>
      <x v="37"/>
      <x v="1"/>
    </i>
    <i>
      <x v="38"/>
      <x v="1"/>
    </i>
    <i>
      <x v="39"/>
      <x v="1"/>
    </i>
    <i>
      <x v="40"/>
      <x v="1"/>
    </i>
    <i>
      <x v="41"/>
      <x v="1"/>
    </i>
    <i>
      <x v="42"/>
      <x v="1"/>
    </i>
    <i>
      <x v="43"/>
      <x v="1"/>
    </i>
    <i>
      <x v="44"/>
      <x v="2"/>
    </i>
    <i>
      <x v="45"/>
      <x v="1"/>
    </i>
    <i>
      <x v="46"/>
      <x v="1"/>
    </i>
    <i>
      <x v="47"/>
      <x v="1"/>
    </i>
    <i>
      <x v="48"/>
      <x v="1"/>
    </i>
    <i>
      <x v="49"/>
      <x v="1"/>
    </i>
    <i>
      <x v="50"/>
      <x v="1"/>
    </i>
    <i>
      <x v="51"/>
      <x v="1"/>
    </i>
    <i>
      <x v="52"/>
      <x v="1"/>
    </i>
    <i>
      <x v="53"/>
      <x v="1"/>
    </i>
    <i>
      <x v="54"/>
      <x v="1"/>
    </i>
    <i>
      <x v="55"/>
      <x v="1"/>
    </i>
    <i>
      <x v="56"/>
      <x v="1"/>
    </i>
    <i>
      <x v="57"/>
      <x v="1"/>
    </i>
    <i>
      <x v="58"/>
      <x v="1"/>
    </i>
    <i>
      <x v="59"/>
      <x v="2"/>
    </i>
    <i>
      <x v="60"/>
      <x v="2"/>
    </i>
    <i>
      <x v="61"/>
      <x v="1"/>
    </i>
    <i>
      <x v="62"/>
      <x v="2"/>
    </i>
    <i>
      <x v="63"/>
      <x v="2"/>
    </i>
    <i>
      <x v="64"/>
      <x v="2"/>
    </i>
    <i>
      <x v="65"/>
      <x v="1"/>
    </i>
    <i>
      <x v="66"/>
      <x v="1"/>
    </i>
    <i>
      <x v="67"/>
      <x v="1"/>
    </i>
    <i>
      <x v="68"/>
      <x v="1"/>
    </i>
    <i>
      <x v="69"/>
      <x v="1"/>
    </i>
    <i>
      <x v="70"/>
      <x v="1"/>
    </i>
    <i>
      <x v="71"/>
      <x v="1"/>
    </i>
    <i>
      <x v="72"/>
      <x v="1"/>
    </i>
    <i>
      <x v="73"/>
      <x v="1"/>
    </i>
    <i>
      <x v="74"/>
      <x v="2"/>
    </i>
    <i>
      <x v="75"/>
      <x v="1"/>
    </i>
    <i>
      <x v="76"/>
      <x v="1"/>
    </i>
    <i>
      <x v="77"/>
      <x v="1"/>
    </i>
    <i>
      <x v="78"/>
      <x v="1"/>
    </i>
    <i>
      <x v="79"/>
      <x v="1"/>
    </i>
    <i>
      <x v="80"/>
      <x v="1"/>
    </i>
    <i>
      <x v="81"/>
      <x v="1"/>
    </i>
    <i>
      <x v="82"/>
      <x v="1"/>
    </i>
    <i>
      <x v="83"/>
      <x v="1"/>
    </i>
    <i>
      <x v="84"/>
      <x v="1"/>
    </i>
    <i>
      <x v="85"/>
      <x v="1"/>
    </i>
    <i>
      <x v="86"/>
      <x v="1"/>
    </i>
    <i>
      <x v="87"/>
      <x v="1"/>
    </i>
    <i>
      <x v="88"/>
      <x v="1"/>
    </i>
    <i>
      <x v="89"/>
      <x v="1"/>
    </i>
    <i>
      <x v="90"/>
      <x v="1"/>
    </i>
    <i>
      <x v="91"/>
      <x v="1"/>
    </i>
    <i>
      <x v="92"/>
      <x v="1"/>
    </i>
    <i>
      <x v="93"/>
      <x v="1"/>
    </i>
    <i>
      <x v="94"/>
      <x v="1"/>
    </i>
    <i>
      <x v="95"/>
      <x v="1"/>
    </i>
    <i>
      <x v="96"/>
      <x v="1"/>
    </i>
    <i>
      <x v="97"/>
      <x v="1"/>
    </i>
    <i>
      <x v="98"/>
      <x v="1"/>
    </i>
    <i>
      <x v="99"/>
      <x v="1"/>
    </i>
    <i>
      <x v="100"/>
      <x v="1"/>
    </i>
    <i>
      <x v="101"/>
      <x v="1"/>
    </i>
    <i>
      <x v="102"/>
      <x v="1"/>
    </i>
    <i>
      <x v="103"/>
      <x v="1"/>
    </i>
    <i>
      <x v="104"/>
      <x v="1"/>
    </i>
    <i>
      <x v="105"/>
      <x v="1"/>
    </i>
    <i>
      <x v="106"/>
      <x v="1"/>
    </i>
    <i>
      <x v="107"/>
      <x v="1"/>
    </i>
    <i>
      <x v="108"/>
      <x v="1"/>
    </i>
    <i>
      <x v="109"/>
      <x v="1"/>
    </i>
    <i>
      <x v="110"/>
      <x v="1"/>
    </i>
    <i>
      <x v="111"/>
      <x v="1"/>
    </i>
    <i>
      <x v="112"/>
      <x v="1"/>
    </i>
    <i>
      <x v="113"/>
      <x v="1"/>
    </i>
    <i>
      <x v="114"/>
      <x v="1"/>
    </i>
    <i>
      <x v="115"/>
      <x v="1"/>
    </i>
    <i>
      <x v="116"/>
      <x v="1"/>
    </i>
    <i>
      <x v="117"/>
      <x v="1"/>
    </i>
    <i>
      <x v="118"/>
      <x v="1"/>
    </i>
    <i>
      <x v="119"/>
      <x v="1"/>
    </i>
    <i>
      <x v="120"/>
      <x v="1"/>
    </i>
    <i>
      <x v="121"/>
      <x v="1"/>
    </i>
    <i>
      <x v="122"/>
      <x v="1"/>
    </i>
    <i>
      <x v="123"/>
      <x v="1"/>
    </i>
    <i>
      <x v="124"/>
      <x v="1"/>
    </i>
    <i>
      <x v="125"/>
      <x v="2"/>
    </i>
    <i>
      <x v="126"/>
      <x v="1"/>
    </i>
    <i>
      <x v="127"/>
      <x v="1"/>
    </i>
    <i>
      <x v="128"/>
      <x v="1"/>
    </i>
    <i>
      <x v="129"/>
      <x v="1"/>
    </i>
    <i>
      <x v="130"/>
      <x v="2"/>
    </i>
    <i>
      <x v="131"/>
      <x v="1"/>
    </i>
    <i>
      <x v="132"/>
      <x v="3"/>
    </i>
    <i>
      <x v="133"/>
      <x v="1"/>
    </i>
    <i>
      <x v="134"/>
      <x v="2"/>
    </i>
    <i>
      <x v="135"/>
      <x v="1"/>
    </i>
    <i>
      <x v="136"/>
      <x v="1"/>
    </i>
    <i>
      <x v="137"/>
      <x v="2"/>
    </i>
    <i>
      <x v="138"/>
      <x v="1"/>
    </i>
    <i>
      <x v="139"/>
      <x v="1"/>
    </i>
    <i>
      <x v="140"/>
      <x v="1"/>
    </i>
    <i>
      <x v="141"/>
      <x v="1"/>
    </i>
    <i>
      <x v="142"/>
      <x v="1"/>
    </i>
    <i>
      <x v="143"/>
      <x v="1"/>
    </i>
    <i>
      <x v="144"/>
      <x v="1"/>
    </i>
    <i>
      <x v="145"/>
      <x v="1"/>
    </i>
    <i>
      <x v="146"/>
      <x v="1"/>
    </i>
    <i>
      <x v="147"/>
      <x v="1"/>
    </i>
    <i>
      <x v="148"/>
      <x v="1"/>
    </i>
    <i>
      <x v="149"/>
      <x v="1"/>
    </i>
    <i>
      <x v="150"/>
      <x v="1"/>
    </i>
    <i>
      <x v="151"/>
      <x v="1"/>
    </i>
    <i>
      <x v="152"/>
      <x v="1"/>
    </i>
    <i>
      <x v="153"/>
      <x v="1"/>
    </i>
    <i>
      <x v="154"/>
      <x v="1"/>
    </i>
    <i>
      <x v="155"/>
      <x v="1"/>
    </i>
    <i>
      <x v="156"/>
      <x v="1"/>
    </i>
    <i>
      <x v="157"/>
      <x v="1"/>
    </i>
    <i>
      <x v="158"/>
      <x v="1"/>
    </i>
    <i>
      <x v="159"/>
      <x v="1"/>
    </i>
    <i>
      <x v="160"/>
      <x v="1"/>
    </i>
    <i>
      <x v="161"/>
      <x v="1"/>
    </i>
    <i>
      <x v="162"/>
      <x v="1"/>
    </i>
    <i>
      <x v="163"/>
      <x v="1"/>
    </i>
    <i>
      <x v="164"/>
      <x v="1"/>
    </i>
    <i>
      <x v="165"/>
      <x v="1"/>
    </i>
    <i>
      <x v="166"/>
      <x v="2"/>
    </i>
    <i>
      <x v="167"/>
      <x v="2"/>
    </i>
    <i>
      <x v="168"/>
      <x v="2"/>
    </i>
    <i>
      <x v="169"/>
      <x v="2"/>
    </i>
    <i>
      <x v="170"/>
      <x v="2"/>
    </i>
    <i>
      <x v="171"/>
      <x v="1"/>
    </i>
    <i>
      <x v="172"/>
      <x v="1"/>
    </i>
    <i>
      <x v="173"/>
      <x v="1"/>
    </i>
    <i>
      <x v="174"/>
      <x v="1"/>
    </i>
    <i>
      <x v="175"/>
      <x v="1"/>
    </i>
    <i>
      <x v="176"/>
      <x/>
    </i>
    <i>
      <x v="177"/>
      <x v="1"/>
    </i>
    <i>
      <x v="178"/>
      <x v="1"/>
    </i>
    <i>
      <x v="179"/>
      <x v="1"/>
    </i>
    <i>
      <x v="180"/>
      <x v="1"/>
    </i>
    <i>
      <x v="181"/>
      <x v="1"/>
    </i>
    <i>
      <x v="182"/>
      <x v="1"/>
    </i>
    <i>
      <x v="183"/>
      <x v="1"/>
    </i>
    <i>
      <x v="184"/>
      <x v="2"/>
    </i>
    <i>
      <x v="185"/>
      <x v="4"/>
    </i>
    <i>
      <x v="186"/>
      <x v="1"/>
    </i>
    <i>
      <x v="187"/>
      <x v="1"/>
    </i>
    <i>
      <x v="188"/>
      <x v="1"/>
    </i>
    <i>
      <x v="189"/>
      <x v="1"/>
    </i>
    <i>
      <x v="190"/>
      <x v="1"/>
    </i>
    <i>
      <x v="191"/>
      <x v="1"/>
    </i>
    <i>
      <x v="192"/>
      <x v="1"/>
    </i>
    <i>
      <x v="193"/>
      <x v="1"/>
    </i>
    <i>
      <x v="194"/>
      <x v="1"/>
    </i>
    <i>
      <x v="195"/>
      <x v="2"/>
    </i>
    <i>
      <x v="196"/>
      <x v="1"/>
    </i>
    <i>
      <x v="197"/>
      <x v="1"/>
    </i>
    <i>
      <x v="198"/>
      <x v="1"/>
    </i>
    <i>
      <x v="199"/>
      <x v="1"/>
    </i>
    <i>
      <x v="200"/>
      <x v="1"/>
    </i>
    <i>
      <x v="201"/>
      <x v="1"/>
    </i>
    <i>
      <x v="202"/>
      <x v="2"/>
    </i>
    <i>
      <x v="203"/>
      <x v="1"/>
    </i>
    <i>
      <x v="204"/>
      <x v="1"/>
    </i>
    <i>
      <x v="205"/>
      <x v="1"/>
    </i>
    <i>
      <x v="206"/>
      <x v="2"/>
    </i>
    <i>
      <x v="207"/>
      <x v="2"/>
    </i>
    <i>
      <x v="208"/>
      <x v="1"/>
    </i>
    <i>
      <x v="209"/>
      <x v="1"/>
    </i>
    <i>
      <x v="210"/>
      <x v="1"/>
    </i>
    <i>
      <x v="211"/>
      <x v="1"/>
    </i>
    <i>
      <x v="212"/>
      <x v="1"/>
    </i>
    <i>
      <x v="213"/>
      <x v="1"/>
    </i>
    <i>
      <x v="214"/>
      <x v="1"/>
    </i>
    <i>
      <x v="215"/>
      <x v="1"/>
    </i>
    <i>
      <x v="216"/>
      <x v="2"/>
    </i>
    <i>
      <x v="217"/>
      <x v="1"/>
    </i>
    <i>
      <x v="218"/>
      <x v="1"/>
    </i>
    <i>
      <x v="219"/>
      <x v="1"/>
    </i>
    <i>
      <x v="220"/>
      <x v="2"/>
    </i>
    <i>
      <x v="221"/>
      <x v="1"/>
    </i>
    <i>
      <x v="222"/>
      <x v="2"/>
    </i>
    <i>
      <x v="223"/>
      <x v="1"/>
    </i>
    <i>
      <x v="224"/>
      <x v="1"/>
    </i>
    <i>
      <x v="225"/>
      <x v="1"/>
    </i>
    <i>
      <x v="226"/>
      <x v="1"/>
    </i>
    <i>
      <x v="227"/>
      <x v="1"/>
    </i>
    <i>
      <x v="228"/>
      <x v="1"/>
    </i>
    <i>
      <x v="229"/>
      <x v="1"/>
    </i>
    <i>
      <x v="230"/>
      <x v="1"/>
    </i>
    <i>
      <x v="231"/>
      <x v="1"/>
    </i>
    <i>
      <x v="232"/>
      <x v="2"/>
    </i>
    <i>
      <x v="233"/>
      <x v="2"/>
    </i>
    <i>
      <x v="234"/>
      <x v="1"/>
    </i>
    <i>
      <x v="235"/>
      <x v="1"/>
    </i>
    <i>
      <x v="236"/>
      <x v="2"/>
    </i>
    <i>
      <x v="237"/>
      <x v="1"/>
    </i>
    <i>
      <x v="238"/>
      <x v="1"/>
    </i>
    <i>
      <x v="239"/>
      <x v="1"/>
    </i>
    <i>
      <x v="240"/>
      <x v="1"/>
    </i>
    <i>
      <x v="241"/>
      <x/>
    </i>
    <i>
      <x v="242"/>
      <x v="1"/>
    </i>
  </rowItems>
  <colItems count="1">
    <i/>
  </colItems>
  <pageFields count="1">
    <pageField fld="0" hier="-1"/>
  </page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Lst>
</pivotTableDefinition>
</file>

<file path=xl/pivotTables/pivotTable24.xml><?xml version="1.0" encoding="utf-8"?>
<pivotTableDefinition xmlns="http://schemas.openxmlformats.org/spreadsheetml/2006/main" name="PivotTable2" cacheId="64" applyNumberFormats="0" applyBorderFormats="0" applyFontFormats="0" applyPatternFormats="0" applyAlignmentFormats="0" applyWidthHeightFormats="1" dataCaption="Values" updatedVersion="5" minRefreshableVersion="3" showDrill="0" rowGrandTotals="0" colGrandTotals="0" itemPrintTitles="1" createdVersion="4" indent="0" compact="0" compactData="0" multipleFieldFilters="0">
  <location ref="M3:R246" firstHeaderRow="0" firstDataRow="1" firstDataCol="4" rowPageCount="1" colPageCount="1"/>
  <pivotFields count="42">
    <pivotField axis="axisPage" compact="0" outline="0" showAll="0" defaultSubtotal="0">
      <items count="2">
        <item x="0"/>
        <item x="1"/>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21">
        <item x="1"/>
        <item x="4"/>
        <item x="0"/>
        <item x="6"/>
        <item x="8"/>
        <item x="7"/>
        <item x="5"/>
        <item x="9"/>
        <item x="2"/>
        <item x="10"/>
        <item x="11"/>
        <item x="12"/>
        <item x="13"/>
        <item x="14"/>
        <item x="15"/>
        <item x="16"/>
        <item x="18"/>
        <item x="17"/>
        <item x="19"/>
        <item x="20"/>
        <item x="3"/>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240">
        <item x="0"/>
        <item x="36"/>
        <item x="29"/>
        <item x="2"/>
        <item x="35"/>
        <item x="51"/>
        <item x="6"/>
        <item x="13"/>
        <item x="8"/>
        <item x="9"/>
        <item x="10"/>
        <item x="11"/>
        <item x="12"/>
        <item x="37"/>
        <item x="14"/>
        <item x="15"/>
        <item x="16"/>
        <item x="222"/>
        <item x="83"/>
        <item x="43"/>
        <item x="21"/>
        <item x="25"/>
        <item x="23"/>
        <item x="48"/>
        <item x="163"/>
        <item x="161"/>
        <item x="162"/>
        <item x="108"/>
        <item x="30"/>
        <item x="31"/>
        <item x="32"/>
        <item x="33"/>
        <item x="34"/>
        <item x="207"/>
        <item x="239"/>
        <item x="50"/>
        <item x="53"/>
        <item x="39"/>
        <item x="1"/>
        <item x="143"/>
        <item x="144"/>
        <item x="22"/>
        <item x="105"/>
        <item x="17"/>
        <item x="226"/>
        <item x="52"/>
        <item x="185"/>
        <item x="186"/>
        <item x="219"/>
        <item x="57"/>
        <item x="102"/>
        <item x="60"/>
        <item x="69"/>
        <item x="68"/>
        <item x="165"/>
        <item x="93"/>
        <item x="59"/>
        <item x="66"/>
        <item x="73"/>
        <item x="24"/>
        <item x="82"/>
        <item x="200"/>
        <item x="71"/>
        <item x="182"/>
        <item x="181"/>
        <item x="28"/>
        <item x="44"/>
        <item x="54"/>
        <item x="3"/>
        <item x="135"/>
        <item x="132"/>
        <item x="138"/>
        <item x="81"/>
        <item x="84"/>
        <item x="85"/>
        <item x="206"/>
        <item x="217"/>
        <item x="109"/>
        <item x="211"/>
        <item x="213"/>
        <item x="209"/>
        <item x="208"/>
        <item x="72"/>
        <item x="184"/>
        <item x="103"/>
        <item x="167"/>
        <item x="98"/>
        <item x="99"/>
        <item x="110"/>
        <item x="111"/>
        <item x="77"/>
        <item x="76"/>
        <item x="80"/>
        <item x="106"/>
        <item x="107"/>
        <item x="87"/>
        <item x="88"/>
        <item x="89"/>
        <item x="86"/>
        <item x="112"/>
        <item x="113"/>
        <item x="114"/>
        <item x="115"/>
        <item x="116"/>
        <item x="117"/>
        <item x="118"/>
        <item x="119"/>
        <item x="156"/>
        <item x="160"/>
        <item x="122"/>
        <item x="123"/>
        <item x="124"/>
        <item x="125"/>
        <item x="55"/>
        <item x="127"/>
        <item x="128"/>
        <item x="63"/>
        <item x="129"/>
        <item x="133"/>
        <item x="134"/>
        <item x="146"/>
        <item x="136"/>
        <item x="137"/>
        <item x="64"/>
        <item x="140"/>
        <item x="141"/>
        <item x="18"/>
        <item x="145"/>
        <item x="121"/>
        <item x="147"/>
        <item x="191"/>
        <item x="189"/>
        <item x="190"/>
        <item x="152"/>
        <item x="153"/>
        <item x="154"/>
        <item x="148"/>
        <item x="62"/>
        <item x="157"/>
        <item x="158"/>
        <item x="159"/>
        <item x="41"/>
        <item x="194"/>
        <item x="193"/>
        <item x="155"/>
        <item x="4"/>
        <item x="38"/>
        <item x="168"/>
        <item x="58"/>
        <item x="92"/>
        <item x="171"/>
        <item x="214"/>
        <item x="100"/>
        <item x="177"/>
        <item x="178"/>
        <item x="104"/>
        <item x="170"/>
        <item x="183"/>
        <item x="139"/>
        <item x="151"/>
        <item x="120"/>
        <item x="26"/>
        <item x="187"/>
        <item x="7"/>
        <item x="126"/>
        <item x="221"/>
        <item x="231"/>
        <item x="230"/>
        <item x="234"/>
        <item x="236"/>
        <item x="46"/>
        <item x="19"/>
        <item x="197"/>
        <item x="45"/>
        <item x="199"/>
        <item x="142"/>
        <item x="179"/>
        <item x="180"/>
        <item x="220"/>
        <item x="201"/>
        <item x="202"/>
        <item x="166"/>
        <item x="210"/>
        <item x="97"/>
        <item x="212"/>
        <item x="205"/>
        <item x="20"/>
        <item x="215"/>
        <item x="130"/>
        <item x="169"/>
        <item x="176"/>
        <item x="172"/>
        <item x="173"/>
        <item x="237"/>
        <item x="224"/>
        <item x="225"/>
        <item x="198"/>
        <item x="235"/>
        <item x="228"/>
        <item x="229"/>
        <item x="47"/>
        <item x="216"/>
        <item x="232"/>
        <item x="233"/>
        <item x="164"/>
        <item x="5"/>
        <item x="40"/>
        <item x="238"/>
        <item x="61"/>
        <item x="74"/>
        <item x="27"/>
        <item x="223"/>
        <item x="75"/>
        <item x="195"/>
        <item x="149"/>
        <item x="192"/>
        <item x="78"/>
        <item x="150"/>
        <item x="42"/>
        <item x="188"/>
        <item x="79"/>
        <item x="65"/>
        <item x="49"/>
        <item x="96"/>
        <item x="95"/>
        <item x="131"/>
        <item x="174"/>
        <item x="67"/>
        <item x="218"/>
        <item x="175"/>
        <item x="227"/>
        <item x="196"/>
        <item x="56"/>
        <item x="94"/>
        <item x="91"/>
        <item x="90"/>
        <item x="203"/>
        <item x="204"/>
        <item x="101"/>
        <item x="70"/>
      </items>
      <extLst>
        <ext xmlns:x14="http://schemas.microsoft.com/office/spreadsheetml/2009/9/main" uri="{2946ED86-A175-432a-8AC1-64E0C546D7DE}">
          <x14:pivotField fillDownLabels="1"/>
        </ext>
      </extLst>
    </pivotField>
    <pivotField axis="axisRow" compact="0" outline="0" showAll="0" defaultSubtotal="0">
      <items count="243">
        <item x="171"/>
        <item x="185"/>
        <item x="174"/>
        <item x="178"/>
        <item x="175"/>
        <item x="181"/>
        <item x="182"/>
        <item x="169"/>
        <item x="168"/>
        <item x="163"/>
        <item x="164"/>
        <item x="165"/>
        <item x="167"/>
        <item x="183"/>
        <item x="184"/>
        <item x="186"/>
        <item x="147"/>
        <item x="187"/>
        <item x="188"/>
        <item x="158"/>
        <item x="162"/>
        <item x="166"/>
        <item x="177"/>
        <item x="157"/>
        <item x="233"/>
        <item x="239"/>
        <item x="209"/>
        <item x="210"/>
        <item x="216"/>
        <item x="237"/>
        <item x="214"/>
        <item x="234"/>
        <item x="217"/>
        <item x="176"/>
        <item x="133"/>
        <item x="231"/>
        <item x="240"/>
        <item x="238"/>
        <item x="211"/>
        <item x="212"/>
        <item x="223"/>
        <item x="25"/>
        <item x="22"/>
        <item x="235"/>
        <item x="24"/>
        <item x="34"/>
        <item x="19"/>
        <item x="57"/>
        <item x="3"/>
        <item x="2"/>
        <item x="18"/>
        <item x="17"/>
        <item x="5"/>
        <item x="4"/>
        <item x="20"/>
        <item x="131"/>
        <item x="135"/>
        <item x="109"/>
        <item x="172"/>
        <item x="132"/>
        <item x="123"/>
        <item x="105"/>
        <item x="112"/>
        <item x="111"/>
        <item x="128"/>
        <item x="87"/>
        <item x="204"/>
        <item x="205"/>
        <item x="134"/>
        <item x="140"/>
        <item x="137"/>
        <item x="141"/>
        <item x="144"/>
        <item x="59"/>
        <item x="200"/>
        <item x="90"/>
        <item x="94"/>
        <item x="93"/>
        <item x="98"/>
        <item x="170"/>
        <item x="179"/>
        <item x="180"/>
        <item x="127"/>
        <item x="126"/>
        <item x="21"/>
        <item x="129"/>
        <item x="125"/>
        <item x="55"/>
        <item x="9"/>
        <item x="115"/>
        <item x="114"/>
        <item x="119"/>
        <item x="116"/>
        <item x="121"/>
        <item x="117"/>
        <item x="118"/>
        <item x="120"/>
        <item x="227"/>
        <item x="189"/>
        <item x="38"/>
        <item x="202"/>
        <item x="40"/>
        <item x="124"/>
        <item x="85"/>
        <item x="199"/>
        <item x="43"/>
        <item x="218"/>
        <item x="230"/>
        <item x="225"/>
        <item x="16"/>
        <item x="242"/>
        <item x="219"/>
        <item x="67"/>
        <item x="108"/>
        <item x="220"/>
        <item x="221"/>
        <item x="222"/>
        <item x="107"/>
        <item x="110"/>
        <item x="122"/>
        <item x="83"/>
        <item x="84"/>
        <item x="106"/>
        <item x="77"/>
        <item x="78"/>
        <item x="81"/>
        <item x="82"/>
        <item x="149"/>
        <item x="161"/>
        <item x="72"/>
        <item x="203"/>
        <item x="50"/>
        <item x="74"/>
        <item x="101"/>
        <item x="23"/>
        <item x="224"/>
        <item x="153"/>
        <item x="1"/>
        <item x="54"/>
        <item x="29"/>
        <item x="37"/>
        <item x="8"/>
        <item x="0"/>
        <item x="15"/>
        <item x="6"/>
        <item x="48"/>
        <item x="236"/>
        <item x="35"/>
        <item x="143"/>
        <item x="130"/>
        <item x="36"/>
        <item x="30"/>
        <item x="44"/>
        <item x="46"/>
        <item x="45"/>
        <item x="47"/>
        <item x="232"/>
        <item x="31"/>
        <item x="14"/>
        <item x="39"/>
        <item x="51"/>
        <item x="53"/>
        <item x="41"/>
        <item x="7"/>
        <item x="13"/>
        <item x="28"/>
        <item x="71"/>
        <item x="103"/>
        <item x="113"/>
        <item x="201"/>
        <item x="104"/>
        <item x="241"/>
        <item x="66"/>
        <item x="139"/>
        <item x="159"/>
        <item x="208"/>
        <item x="229"/>
        <item x="160"/>
        <item x="26"/>
        <item x="228"/>
        <item x="99"/>
        <item x="100"/>
        <item x="12"/>
        <item x="10"/>
        <item x="11"/>
        <item x="52"/>
        <item x="73"/>
        <item x="213"/>
        <item x="173"/>
        <item x="86"/>
        <item x="215"/>
        <item x="191"/>
        <item x="155"/>
        <item x="192"/>
        <item x="193"/>
        <item x="148"/>
        <item x="64"/>
        <item x="62"/>
        <item x="88"/>
        <item x="145"/>
        <item x="150"/>
        <item x="136"/>
        <item x="196"/>
        <item x="60"/>
        <item x="69"/>
        <item x="68"/>
        <item x="63"/>
        <item x="142"/>
        <item x="61"/>
        <item x="146"/>
        <item x="138"/>
        <item x="154"/>
        <item x="156"/>
        <item x="58"/>
        <item x="89"/>
        <item x="195"/>
        <item x="32"/>
        <item x="33"/>
        <item x="75"/>
        <item x="226"/>
        <item x="27"/>
        <item x="76"/>
        <item x="197"/>
        <item x="151"/>
        <item x="194"/>
        <item x="190"/>
        <item x="79"/>
        <item x="152"/>
        <item x="42"/>
        <item x="80"/>
        <item x="65"/>
        <item x="49"/>
        <item x="97"/>
        <item x="96"/>
        <item x="56"/>
        <item x="198"/>
        <item x="95"/>
        <item x="92"/>
        <item x="91"/>
        <item x="206"/>
        <item x="207"/>
        <item x="102"/>
        <item x="70"/>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axis="axisRow" compact="0" outline="0" showAll="0" defaultSubtotal="0">
      <items count="12">
        <item x="3"/>
        <item x="8"/>
        <item x="0"/>
        <item x="10"/>
        <item x="5"/>
        <item x="11"/>
        <item x="4"/>
        <item x="1"/>
        <item x="6"/>
        <item x="9"/>
        <item x="7"/>
        <item x="2"/>
      </items>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s>
  <rowFields count="4">
    <field x="12"/>
    <field x="11"/>
    <field x="38"/>
    <field x="5"/>
  </rowFields>
  <rowItems count="243">
    <i>
      <x/>
      <x v="189"/>
      <x v="9"/>
      <x v="14"/>
    </i>
    <i>
      <x v="1"/>
      <x v="157"/>
      <x v="9"/>
      <x v="14"/>
    </i>
    <i>
      <x v="2"/>
      <x v="191"/>
      <x v="9"/>
      <x v="14"/>
    </i>
    <i>
      <x v="3"/>
      <x v="190"/>
      <x v="9"/>
      <x v="14"/>
    </i>
    <i>
      <x v="4"/>
      <x v="192"/>
      <x v="9"/>
      <x v="14"/>
    </i>
    <i>
      <x v="5"/>
      <x v="176"/>
      <x v="9"/>
      <x v="14"/>
    </i>
    <i>
      <x v="6"/>
      <x v="177"/>
      <x v="9"/>
      <x v="14"/>
    </i>
    <i>
      <x v="7"/>
      <x v="85"/>
      <x v="9"/>
      <x v="14"/>
    </i>
    <i>
      <x v="8"/>
      <x v="181"/>
      <x v="9"/>
      <x v="14"/>
    </i>
    <i>
      <x v="9"/>
      <x v="25"/>
      <x v="9"/>
      <x v="14"/>
    </i>
    <i>
      <x v="10"/>
      <x v="26"/>
      <x v="9"/>
      <x v="14"/>
    </i>
    <i>
      <x v="11"/>
      <x v="24"/>
      <x v="9"/>
      <x v="14"/>
    </i>
    <i>
      <x v="12"/>
      <x v="54"/>
      <x v="9"/>
      <x v="14"/>
    </i>
    <i>
      <x v="13"/>
      <x v="64"/>
      <x v="9"/>
      <x v="14"/>
    </i>
    <i>
      <x v="14"/>
      <x v="63"/>
      <x v="9"/>
      <x v="14"/>
    </i>
    <i>
      <x v="15"/>
      <x v="83"/>
      <x v="9"/>
      <x v="14"/>
    </i>
    <i>
      <x v="16"/>
      <x v="127"/>
      <x v="9"/>
      <x v="14"/>
    </i>
    <i>
      <x v="17"/>
      <x v="46"/>
      <x v="9"/>
      <x v="14"/>
    </i>
    <i>
      <x v="18"/>
      <x v="47"/>
      <x v="9"/>
      <x v="14"/>
    </i>
    <i>
      <x v="19"/>
      <x v="107"/>
      <x v="9"/>
      <x v="14"/>
    </i>
    <i>
      <x v="20"/>
      <x v="108"/>
      <x v="9"/>
      <x v="14"/>
    </i>
    <i>
      <x v="21"/>
      <x v="204"/>
      <x v="9"/>
      <x v="14"/>
    </i>
    <i>
      <x v="22"/>
      <x v="229"/>
      <x v="9"/>
      <x v="14"/>
    </i>
    <i>
      <x v="23"/>
      <x v="144"/>
      <x v="9"/>
      <x v="14"/>
    </i>
    <i>
      <x v="24"/>
      <x v="167"/>
      <x v="11"/>
      <x v="20"/>
    </i>
    <i>
      <x v="25"/>
      <x v="169"/>
      <x v="11"/>
      <x v="20"/>
    </i>
    <i>
      <x v="26"/>
      <x v="75"/>
      <x v="11"/>
      <x v="20"/>
    </i>
    <i>
      <x v="27"/>
      <x v="33"/>
      <x v="11"/>
      <x v="20"/>
    </i>
    <i>
      <x v="28"/>
      <x v="79"/>
      <x v="11"/>
      <x v="20"/>
    </i>
    <i>
      <x v="29"/>
      <x v="168"/>
      <x v="11"/>
      <x v="20"/>
    </i>
    <i>
      <x v="30"/>
      <x v="78"/>
      <x v="11"/>
      <x v="20"/>
    </i>
    <i>
      <x v="31"/>
      <x v="166"/>
      <x v="11"/>
      <x v="20"/>
    </i>
    <i>
      <x v="32"/>
      <x v="151"/>
      <x v="11"/>
      <x v="20"/>
    </i>
    <i>
      <x v="33"/>
      <x v="226"/>
      <x v="11"/>
      <x v="20"/>
    </i>
    <i>
      <x v="34"/>
      <x v="225"/>
      <x v="11"/>
      <x v="20"/>
    </i>
    <i>
      <x v="35"/>
      <x v="198"/>
      <x v="11"/>
      <x v="20"/>
    </i>
    <i>
      <x v="36"/>
      <x v="193"/>
      <x v="11"/>
      <x v="20"/>
    </i>
    <i>
      <x v="37"/>
      <x v="197"/>
      <x v="11"/>
      <x v="20"/>
    </i>
    <i>
      <x v="38"/>
      <x v="81"/>
      <x v="11"/>
      <x v="20"/>
    </i>
    <i>
      <x v="39"/>
      <x v="80"/>
      <x v="11"/>
      <x v="20"/>
    </i>
    <i>
      <x v="40"/>
      <x v="178"/>
      <x v="11"/>
      <x v="20"/>
    </i>
    <i>
      <x v="41"/>
      <x v="21"/>
      <x v="1"/>
      <x v="1"/>
    </i>
    <i>
      <x v="42"/>
      <x v="41"/>
      <x v="1"/>
      <x v="1"/>
    </i>
    <i>
      <x v="43"/>
      <x v="202"/>
      <x v="1"/>
      <x v="1"/>
    </i>
    <i>
      <x v="44"/>
      <x v="59"/>
      <x v="1"/>
      <x v="1"/>
    </i>
    <i>
      <x v="45"/>
      <x v="32"/>
      <x v="1"/>
      <x v="1"/>
    </i>
    <i>
      <x v="46"/>
      <x v="171"/>
      <x/>
      <x/>
    </i>
    <i>
      <x v="47"/>
      <x v="49"/>
      <x/>
      <x/>
    </i>
    <i>
      <x v="48"/>
      <x v="68"/>
      <x/>
      <x/>
    </i>
    <i>
      <x v="49"/>
      <x v="3"/>
      <x/>
      <x/>
    </i>
    <i>
      <x v="50"/>
      <x v="126"/>
      <x/>
      <x/>
    </i>
    <i>
      <x v="51"/>
      <x v="43"/>
      <x/>
      <x/>
    </i>
    <i>
      <x v="52"/>
      <x v="205"/>
      <x/>
      <x/>
    </i>
    <i>
      <x v="53"/>
      <x v="145"/>
      <x/>
      <x/>
    </i>
    <i>
      <x v="54"/>
      <x v="186"/>
      <x/>
      <x/>
    </i>
    <i>
      <x v="55"/>
      <x v="117"/>
      <x v="8"/>
      <x v="12"/>
    </i>
    <i>
      <x v="56"/>
      <x v="118"/>
      <x v="8"/>
      <x v="12"/>
    </i>
    <i>
      <x v="57"/>
      <x v="94"/>
      <x v="8"/>
      <x v="12"/>
    </i>
    <i>
      <x v="58"/>
      <x v="156"/>
      <x v="8"/>
      <x v="12"/>
    </i>
    <i>
      <x v="59"/>
      <x v="188"/>
      <x v="8"/>
      <x v="12"/>
    </i>
    <i>
      <x v="60"/>
      <x v="128"/>
      <x v="8"/>
      <x v="12"/>
    </i>
    <i>
      <x v="61"/>
      <x v="84"/>
      <x v="8"/>
      <x v="12"/>
    </i>
    <i>
      <x v="62"/>
      <x v="88"/>
      <x v="8"/>
      <x v="12"/>
    </i>
    <i>
      <x v="63"/>
      <x v="77"/>
      <x v="8"/>
      <x v="12"/>
    </i>
    <i>
      <x v="64"/>
      <x v="164"/>
      <x v="8"/>
      <x v="12"/>
    </i>
    <i>
      <x v="65"/>
      <x v="98"/>
      <x v="7"/>
      <x v="8"/>
    </i>
    <i>
      <x v="66"/>
      <x v="179"/>
      <x v="5"/>
      <x v="18"/>
    </i>
    <i>
      <x v="67"/>
      <x v="180"/>
      <x v="5"/>
      <x v="18"/>
    </i>
    <i>
      <x v="68"/>
      <x v="70"/>
      <x v="8"/>
      <x v="12"/>
    </i>
    <i>
      <x v="69"/>
      <x v="71"/>
      <x v="8"/>
      <x v="12"/>
    </i>
    <i>
      <x v="70"/>
      <x v="69"/>
      <x v="8"/>
      <x v="12"/>
    </i>
    <i>
      <x v="71"/>
      <x v="158"/>
      <x v="8"/>
      <x v="12"/>
    </i>
    <i>
      <x v="72"/>
      <x v="175"/>
      <x v="8"/>
      <x v="12"/>
    </i>
    <i>
      <x v="73"/>
      <x v="56"/>
      <x v="5"/>
      <x v="5"/>
    </i>
    <i>
      <x v="74"/>
      <x v="196"/>
      <x v="5"/>
      <x v="17"/>
    </i>
    <i>
      <x v="75"/>
      <x v="97"/>
      <x v="5"/>
      <x v="10"/>
    </i>
    <i>
      <x v="76"/>
      <x v="55"/>
      <x v="5"/>
      <x v="10"/>
    </i>
    <i>
      <x v="77"/>
      <x v="149"/>
      <x v="5"/>
      <x v="10"/>
    </i>
    <i>
      <x v="78"/>
      <x v="183"/>
      <x v="5"/>
      <x v="11"/>
    </i>
    <i>
      <x v="79"/>
      <x v="147"/>
      <x v="5"/>
      <x v="11"/>
    </i>
    <i>
      <x v="80"/>
      <x v="153"/>
      <x v="2"/>
      <x v="2"/>
    </i>
    <i>
      <x v="81"/>
      <x v="154"/>
      <x v="2"/>
      <x v="2"/>
    </i>
    <i>
      <x v="82"/>
      <x v="112"/>
      <x v="2"/>
      <x v="2"/>
    </i>
    <i>
      <x v="83"/>
      <x v="111"/>
      <x v="2"/>
      <x v="2"/>
    </i>
    <i>
      <x v="84"/>
      <x v="20"/>
      <x v="2"/>
      <x v="2"/>
    </i>
    <i>
      <x v="85"/>
      <x v="114"/>
      <x v="2"/>
      <x v="2"/>
    </i>
    <i>
      <x v="86"/>
      <x v="110"/>
      <x v="2"/>
      <x v="2"/>
    </i>
    <i>
      <x v="87"/>
      <x v="113"/>
      <x v="2"/>
      <x v="2"/>
    </i>
    <i>
      <x v="88"/>
      <x v="9"/>
      <x v="2"/>
      <x v="2"/>
    </i>
    <i>
      <x v="89"/>
      <x v="100"/>
      <x v="2"/>
      <x v="2"/>
    </i>
    <i>
      <x v="90"/>
      <x v="99"/>
      <x v="2"/>
      <x v="2"/>
    </i>
    <i>
      <x v="91"/>
      <x v="104"/>
      <x v="2"/>
      <x v="2"/>
    </i>
    <i>
      <x v="92"/>
      <x v="101"/>
      <x v="2"/>
      <x v="2"/>
    </i>
    <i>
      <x v="93"/>
      <x v="106"/>
      <x v="2"/>
      <x v="2"/>
    </i>
    <i>
      <x v="94"/>
      <x v="102"/>
      <x v="2"/>
      <x v="2"/>
    </i>
    <i>
      <x v="95"/>
      <x v="103"/>
      <x v="2"/>
      <x v="2"/>
    </i>
    <i>
      <x v="96"/>
      <x v="105"/>
      <x v="2"/>
      <x v="2"/>
    </i>
    <i>
      <x v="97"/>
      <x v="194"/>
      <x v="2"/>
      <x v="2"/>
    </i>
    <i>
      <x v="98"/>
      <x v="162"/>
      <x v="2"/>
      <x v="2"/>
    </i>
    <i>
      <x v="99"/>
      <x v="146"/>
      <x v="2"/>
      <x v="2"/>
    </i>
    <i>
      <x v="100"/>
      <x v="174"/>
      <x v="2"/>
      <x v="2"/>
    </i>
    <i>
      <x v="101"/>
      <x v="206"/>
      <x v="2"/>
      <x v="2"/>
    </i>
    <i>
      <x v="102"/>
      <x v="109"/>
      <x v="2"/>
      <x v="2"/>
    </i>
    <i>
      <x v="103"/>
      <x v="73"/>
      <x v="2"/>
      <x v="2"/>
    </i>
    <i>
      <x v="104"/>
      <x v="172"/>
      <x v="2"/>
      <x v="2"/>
    </i>
    <i>
      <x v="105"/>
      <x v="19"/>
      <x v="2"/>
      <x v="2"/>
    </i>
    <i>
      <x v="106"/>
      <x v="187"/>
      <x v="2"/>
      <x v="2"/>
    </i>
    <i>
      <x v="107"/>
      <x v="230"/>
      <x v="11"/>
      <x v="20"/>
    </i>
    <i>
      <x v="108"/>
      <x v="17"/>
      <x v="11"/>
      <x v="20"/>
    </i>
    <i>
      <x v="109"/>
      <x v="16"/>
      <x v="11"/>
      <x v="20"/>
    </i>
    <i>
      <x v="110"/>
      <x v="34"/>
      <x v="11"/>
      <x v="20"/>
    </i>
    <i>
      <x v="111"/>
      <x v="201"/>
      <x v="11"/>
      <x v="20"/>
    </i>
    <i>
      <x v="112"/>
      <x v="227"/>
      <x v="11"/>
      <x v="20"/>
    </i>
    <i>
      <x v="113"/>
      <x v="93"/>
      <x v="11"/>
      <x v="20"/>
    </i>
    <i>
      <x v="114"/>
      <x v="76"/>
      <x v="11"/>
      <x v="20"/>
    </i>
    <i>
      <x v="115"/>
      <x v="228"/>
      <x v="11"/>
      <x v="20"/>
    </i>
    <i>
      <x v="116"/>
      <x v="48"/>
      <x v="11"/>
      <x v="20"/>
    </i>
    <i>
      <x v="117"/>
      <x v="42"/>
      <x v="8"/>
      <x v="12"/>
    </i>
    <i>
      <x v="118"/>
      <x v="27"/>
      <x v="8"/>
      <x v="12"/>
    </i>
    <i>
      <x v="119"/>
      <x v="160"/>
      <x v="8"/>
      <x v="12"/>
    </i>
    <i>
      <x v="120"/>
      <x v="60"/>
      <x v="7"/>
      <x v="8"/>
    </i>
    <i>
      <x v="121"/>
      <x v="18"/>
      <x v="7"/>
      <x v="8"/>
    </i>
    <i>
      <x v="122"/>
      <x v="155"/>
      <x v="8"/>
      <x v="12"/>
    </i>
    <i>
      <x v="123"/>
      <x v="91"/>
      <x v="7"/>
      <x v="8"/>
    </i>
    <i>
      <x v="124"/>
      <x v="90"/>
      <x v="7"/>
      <x v="8"/>
    </i>
    <i>
      <x v="125"/>
      <x v="92"/>
      <x v="7"/>
      <x v="8"/>
    </i>
    <i>
      <x v="126"/>
      <x v="72"/>
      <x v="7"/>
      <x v="8"/>
    </i>
    <i>
      <x v="127"/>
      <x v="129"/>
      <x v="7"/>
      <x v="8"/>
    </i>
    <i>
      <x v="128"/>
      <x v="140"/>
      <x v="7"/>
      <x v="8"/>
    </i>
    <i>
      <x v="129"/>
      <x v="62"/>
      <x v="4"/>
      <x v="4"/>
    </i>
    <i>
      <x v="130"/>
      <x v="61"/>
      <x v="5"/>
      <x v="18"/>
    </i>
    <i>
      <x v="131"/>
      <x v="35"/>
      <x v="2"/>
      <x v="2"/>
    </i>
    <i>
      <x v="132"/>
      <x v="58"/>
      <x v="11"/>
      <x v="20"/>
    </i>
    <i>
      <x v="133"/>
      <x v="152"/>
      <x v="5"/>
      <x v="11"/>
    </i>
    <i>
      <x v="134"/>
      <x v="22"/>
      <x/>
      <x/>
    </i>
    <i>
      <x v="135"/>
      <x v="165"/>
      <x v="11"/>
      <x v="20"/>
    </i>
    <i>
      <x v="136"/>
      <x v="159"/>
      <x v="9"/>
      <x v="14"/>
    </i>
    <i>
      <x v="137"/>
      <x v="38"/>
      <x/>
      <x/>
    </i>
    <i>
      <x v="138"/>
      <x v="67"/>
      <x v="2"/>
      <x v="2"/>
    </i>
    <i>
      <x v="139"/>
      <x v="2"/>
      <x v="2"/>
      <x v="2"/>
    </i>
    <i>
      <x v="140"/>
      <x v="13"/>
      <x v="2"/>
      <x v="2"/>
    </i>
    <i>
      <x v="141"/>
      <x v="8"/>
      <x v="2"/>
      <x v="2"/>
    </i>
    <i>
      <x v="142"/>
      <x/>
      <x v="2"/>
      <x v="2"/>
    </i>
    <i>
      <x v="143"/>
      <x v="15"/>
      <x v="2"/>
      <x v="2"/>
    </i>
    <i>
      <x v="144"/>
      <x v="6"/>
      <x v="2"/>
      <x v="2"/>
    </i>
    <i>
      <x v="145"/>
      <x v="23"/>
      <x v="2"/>
      <x v="2"/>
    </i>
    <i>
      <x v="146"/>
      <x v="203"/>
      <x v="2"/>
      <x v="2"/>
    </i>
    <i>
      <x v="147"/>
      <x v="4"/>
      <x v="2"/>
      <x v="2"/>
    </i>
    <i>
      <x v="148"/>
      <x v="125"/>
      <x v="2"/>
      <x v="2"/>
    </i>
    <i>
      <x v="149"/>
      <x v="115"/>
      <x v="2"/>
      <x v="2"/>
    </i>
    <i>
      <x v="150"/>
      <x v="1"/>
      <x v="2"/>
      <x v="2"/>
    </i>
    <i>
      <x v="151"/>
      <x v="28"/>
      <x v="2"/>
      <x v="2"/>
    </i>
    <i>
      <x v="152"/>
      <x v="66"/>
      <x v="2"/>
      <x v="2"/>
    </i>
    <i>
      <x v="153"/>
      <x v="170"/>
      <x v="2"/>
      <x v="2"/>
    </i>
    <i>
      <x v="154"/>
      <x v="173"/>
      <x v="2"/>
      <x v="2"/>
    </i>
    <i>
      <x v="155"/>
      <x v="200"/>
      <x v="2"/>
      <x v="2"/>
    </i>
    <i>
      <x v="156"/>
      <x v="199"/>
      <x v="2"/>
      <x v="2"/>
    </i>
    <i>
      <x v="157"/>
      <x v="29"/>
      <x v="2"/>
      <x v="2"/>
    </i>
    <i>
      <x v="158"/>
      <x v="14"/>
      <x v="2"/>
      <x v="2"/>
    </i>
    <i>
      <x v="159"/>
      <x v="37"/>
      <x v="2"/>
      <x v="2"/>
    </i>
    <i>
      <x v="160"/>
      <x v="5"/>
      <x v="2"/>
      <x v="2"/>
    </i>
    <i>
      <x v="161"/>
      <x v="36"/>
      <x v="2"/>
      <x v="2"/>
    </i>
    <i>
      <x v="162"/>
      <x v="141"/>
      <x v="2"/>
      <x v="2"/>
    </i>
    <i>
      <x v="163"/>
      <x v="163"/>
      <x/>
      <x/>
    </i>
    <i>
      <x v="164"/>
      <x v="7"/>
      <x/>
      <x/>
    </i>
    <i>
      <x v="165"/>
      <x v="65"/>
      <x v="1"/>
      <x v="1"/>
    </i>
    <i>
      <x v="166"/>
      <x v="38"/>
      <x v="7"/>
      <x v="8"/>
    </i>
    <i>
      <x v="167"/>
      <x v="38"/>
      <x v="8"/>
      <x v="12"/>
    </i>
    <i>
      <x v="168"/>
      <x v="89"/>
      <x v="8"/>
      <x v="12"/>
    </i>
    <i>
      <x v="169"/>
      <x v="38"/>
      <x v="5"/>
      <x v="18"/>
    </i>
    <i>
      <x v="170"/>
      <x v="50"/>
      <x v="8"/>
      <x v="12"/>
    </i>
    <i>
      <x v="171"/>
      <x v="207"/>
      <x v="2"/>
      <x v="2"/>
    </i>
    <i>
      <x v="172"/>
      <x v="57"/>
      <x v="7"/>
      <x v="8"/>
    </i>
    <i>
      <x v="173"/>
      <x v="122"/>
      <x v="7"/>
      <x v="8"/>
    </i>
    <i>
      <x v="174"/>
      <x v="138"/>
      <x v="7"/>
      <x v="8"/>
    </i>
    <i>
      <x v="175"/>
      <x v="185"/>
      <x v="5"/>
      <x v="19"/>
    </i>
    <i>
      <x v="176"/>
      <x v="44"/>
      <x v="11"/>
      <x v="20"/>
    </i>
    <i>
      <x v="177"/>
      <x v="139"/>
      <x v="7"/>
      <x v="8"/>
    </i>
    <i>
      <x v="178"/>
      <x v="161"/>
      <x v="1"/>
      <x v="1"/>
    </i>
    <i>
      <x v="179"/>
      <x v="195"/>
      <x/>
      <x/>
    </i>
    <i>
      <x v="180"/>
      <x v="86"/>
      <x v="7"/>
      <x v="8"/>
    </i>
    <i>
      <x v="181"/>
      <x v="87"/>
      <x v="7"/>
      <x v="8"/>
    </i>
    <i>
      <x v="182"/>
      <x v="12"/>
      <x v="7"/>
      <x v="8"/>
    </i>
    <i>
      <x v="183"/>
      <x v="10"/>
      <x v="7"/>
      <x v="8"/>
    </i>
    <i>
      <x v="184"/>
      <x v="11"/>
      <x v="7"/>
      <x v="8"/>
    </i>
    <i>
      <x v="185"/>
      <x v="45"/>
      <x v="7"/>
      <x v="8"/>
    </i>
    <i>
      <x v="186"/>
      <x v="82"/>
      <x v="7"/>
      <x v="8"/>
    </i>
    <i>
      <x v="187"/>
      <x v="182"/>
      <x v="7"/>
      <x v="8"/>
    </i>
    <i>
      <x v="188"/>
      <x v="150"/>
      <x v="5"/>
      <x v="17"/>
    </i>
    <i>
      <x v="189"/>
      <x v="74"/>
      <x v="5"/>
      <x v="7"/>
    </i>
    <i>
      <x v="190"/>
      <x v="184"/>
      <x/>
      <x/>
    </i>
    <i>
      <x v="191"/>
      <x v="131"/>
      <x v="10"/>
      <x v="15"/>
    </i>
    <i>
      <x v="192"/>
      <x v="134"/>
      <x v="10"/>
      <x v="15"/>
    </i>
    <i>
      <x v="193"/>
      <x v="132"/>
      <x v="10"/>
      <x v="15"/>
    </i>
    <i>
      <x v="194"/>
      <x v="130"/>
      <x v="10"/>
      <x v="15"/>
    </i>
    <i>
      <x v="195"/>
      <x v="120"/>
      <x v="5"/>
      <x v="13"/>
    </i>
    <i>
      <x v="196"/>
      <x v="123"/>
      <x v="6"/>
      <x v="6"/>
    </i>
    <i>
      <x v="197"/>
      <x v="137"/>
      <x v="6"/>
      <x v="6"/>
    </i>
    <i>
      <x v="198"/>
      <x v="95"/>
      <x v="5"/>
      <x v="9"/>
    </i>
    <i>
      <x v="199"/>
      <x v="39"/>
      <x v="5"/>
      <x v="13"/>
    </i>
    <i>
      <x v="200"/>
      <x v="136"/>
      <x v="5"/>
      <x v="13"/>
    </i>
    <i>
      <x v="201"/>
      <x v="119"/>
      <x v="5"/>
      <x v="13"/>
    </i>
    <i>
      <x v="202"/>
      <x v="142"/>
      <x v="5"/>
      <x v="16"/>
    </i>
    <i>
      <x v="203"/>
      <x v="51"/>
      <x v="6"/>
      <x v="6"/>
    </i>
    <i>
      <x v="204"/>
      <x v="52"/>
      <x v="6"/>
      <x v="6"/>
    </i>
    <i>
      <x v="205"/>
      <x v="53"/>
      <x v="6"/>
      <x v="6"/>
    </i>
    <i>
      <x v="206"/>
      <x v="116"/>
      <x v="6"/>
      <x v="6"/>
    </i>
    <i>
      <x v="207"/>
      <x v="124"/>
      <x v="6"/>
      <x v="6"/>
    </i>
    <i>
      <x v="208"/>
      <x v="208"/>
      <x v="6"/>
      <x v="6"/>
    </i>
    <i>
      <x v="209"/>
      <x v="40"/>
      <x v="5"/>
      <x v="13"/>
    </i>
    <i>
      <x v="210"/>
      <x v="121"/>
      <x v="7"/>
      <x v="8"/>
    </i>
    <i>
      <x v="211"/>
      <x v="133"/>
      <x v="10"/>
      <x v="15"/>
    </i>
    <i>
      <x v="212"/>
      <x v="135"/>
      <x v="5"/>
      <x v="13"/>
    </i>
    <i>
      <x v="213"/>
      <x v="148"/>
      <x v="3"/>
      <x v="3"/>
    </i>
    <i>
      <x v="214"/>
      <x v="96"/>
      <x v="5"/>
      <x v="9"/>
    </i>
    <i>
      <x v="215"/>
      <x v="143"/>
      <x v="5"/>
      <x v="16"/>
    </i>
    <i>
      <x v="216"/>
      <x v="30"/>
      <x v="6"/>
      <x v="6"/>
    </i>
    <i>
      <x v="217"/>
      <x v="31"/>
      <x v="6"/>
      <x v="6"/>
    </i>
    <i>
      <x v="218"/>
      <x v="209"/>
      <x v="7"/>
      <x v="8"/>
    </i>
    <i>
      <x v="219"/>
      <x v="211"/>
      <x/>
      <x/>
    </i>
    <i>
      <x v="220"/>
      <x v="210"/>
      <x v="1"/>
      <x v="1"/>
    </i>
    <i>
      <x v="221"/>
      <x v="212"/>
      <x v="7"/>
      <x v="8"/>
    </i>
    <i>
      <x v="222"/>
      <x v="213"/>
      <x v="5"/>
      <x v="17"/>
    </i>
    <i>
      <x v="223"/>
      <x v="214"/>
      <x v="5"/>
      <x v="13"/>
    </i>
    <i>
      <x v="224"/>
      <x v="215"/>
      <x v="10"/>
      <x v="15"/>
    </i>
    <i>
      <x v="225"/>
      <x v="219"/>
      <x v="10"/>
      <x v="15"/>
    </i>
    <i>
      <x v="226"/>
      <x v="216"/>
      <x v="7"/>
      <x v="8"/>
    </i>
    <i>
      <x v="227"/>
      <x v="217"/>
      <x v="5"/>
      <x v="13"/>
    </i>
    <i>
      <x v="228"/>
      <x v="218"/>
      <x v="2"/>
      <x v="2"/>
    </i>
    <i>
      <x v="229"/>
      <x v="220"/>
      <x v="7"/>
      <x v="8"/>
    </i>
    <i>
      <x v="230"/>
      <x v="221"/>
      <x v="6"/>
      <x v="6"/>
    </i>
    <i>
      <x v="231"/>
      <x v="222"/>
      <x v="2"/>
      <x v="2"/>
    </i>
    <i>
      <x v="232"/>
      <x v="223"/>
      <x v="5"/>
      <x v="11"/>
    </i>
    <i>
      <x v="233"/>
      <x v="224"/>
      <x v="5"/>
      <x v="11"/>
    </i>
    <i>
      <x v="234"/>
      <x v="232"/>
      <x v="3"/>
      <x v="3"/>
    </i>
    <i>
      <x v="235"/>
      <x v="231"/>
      <x v="5"/>
      <x v="17"/>
    </i>
    <i>
      <x v="236"/>
      <x v="233"/>
      <x v="5"/>
      <x v="10"/>
    </i>
    <i>
      <x v="237"/>
      <x v="234"/>
      <x v="5"/>
      <x v="10"/>
    </i>
    <i>
      <x v="238"/>
      <x v="235"/>
      <x v="5"/>
      <x v="10"/>
    </i>
    <i>
      <x v="239"/>
      <x v="236"/>
      <x v="5"/>
      <x v="19"/>
    </i>
    <i>
      <x v="240"/>
      <x v="237"/>
      <x v="5"/>
      <x v="19"/>
    </i>
    <i>
      <x v="241"/>
      <x v="238"/>
      <x v="8"/>
      <x v="12"/>
    </i>
    <i>
      <x v="242"/>
      <x v="239"/>
      <x v="6"/>
      <x v="6"/>
    </i>
  </rowItems>
  <colFields count="1">
    <field x="-2"/>
  </colFields>
  <colItems count="2">
    <i>
      <x/>
    </i>
    <i i="1">
      <x v="1"/>
    </i>
  </colItems>
  <pageFields count="1">
    <pageField fld="0" hier="-1"/>
  </pageFields>
  <dataFields count="2">
    <dataField name="Sum of HH" fld="16" baseField="11" baseItem="0"/>
    <dataField name="Sum of Total" fld="17" baseField="5" baseItem="14"/>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Lst>
</pivotTableDefinition>
</file>

<file path=xl/pivotTables/pivotTable3.xml><?xml version="1.0" encoding="utf-8"?>
<pivotTableDefinition xmlns="http://schemas.openxmlformats.org/spreadsheetml/2006/main" name="PivotTable2" cacheId="64" dataPosition="0"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11">
  <location ref="P11:Q45" firstHeaderRow="1" firstDataRow="1" firstDataCol="1" rowPageCount="1" colPageCount="1"/>
  <pivotFields count="42">
    <pivotField multipleItemSelectionAllowed="1" showAll="0"/>
    <pivotField axis="axisPage" subtotalTop="0" multipleItemSelectionAllowed="1" showAll="0">
      <items count="3">
        <item x="0"/>
        <item x="1"/>
        <item t="default"/>
      </items>
    </pivotField>
    <pivotField showAll="0" defaultSubtotal="0"/>
    <pivotField showAll="0" defaultSubtotal="0"/>
    <pivotField showAll="0" defaultSubtotal="0"/>
    <pivotField axis="axisRow" showAll="0" defaultSubtotal="0">
      <items count="21">
        <item x="1"/>
        <item x="4"/>
        <item x="0"/>
        <item x="6"/>
        <item x="8"/>
        <item x="7"/>
        <item x="5"/>
        <item x="9"/>
        <item x="2"/>
        <item x="10"/>
        <item x="11"/>
        <item x="12"/>
        <item x="13"/>
        <item x="14"/>
        <item x="15"/>
        <item x="16"/>
        <item x="18"/>
        <item x="17"/>
        <item x="19"/>
        <item x="20"/>
        <item x="3"/>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ubtotalTop="0" showAll="0"/>
    <pivotField dataField="1" subtotalTop="0" showAll="0"/>
    <pivotField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dragToRow="0" dragToCol="0" dragToPage="0" showAll="0" defaultSubtotal="0"/>
    <pivotField axis="axisRow" showAll="0" defaultSubtotal="0">
      <items count="12">
        <item x="3"/>
        <item x="8"/>
        <item x="0"/>
        <item x="10"/>
        <item x="5"/>
        <item x="11"/>
        <item x="4"/>
        <item x="1"/>
        <item x="6"/>
        <item x="9"/>
        <item x="7"/>
        <item x="2"/>
      </items>
    </pivotField>
    <pivotField dragToRow="0" dragToCol="0" dragToPage="0" showAll="0" defaultSubtotal="0"/>
    <pivotField dragToRow="0" dragToCol="0" dragToPage="0" showAll="0" defaultSubtotal="0"/>
    <pivotField dragToRow="0" dragToCol="0" dragToPage="0" showAll="0" defaultSubtotal="0"/>
  </pivotFields>
  <rowFields count="2">
    <field x="38"/>
    <field x="5"/>
  </rowFields>
  <rowItems count="34">
    <i>
      <x/>
    </i>
    <i r="1">
      <x/>
    </i>
    <i>
      <x v="1"/>
    </i>
    <i r="1">
      <x v="1"/>
    </i>
    <i>
      <x v="2"/>
    </i>
    <i r="1">
      <x v="2"/>
    </i>
    <i>
      <x v="3"/>
    </i>
    <i r="1">
      <x v="3"/>
    </i>
    <i>
      <x v="4"/>
    </i>
    <i r="1">
      <x v="4"/>
    </i>
    <i>
      <x v="5"/>
    </i>
    <i r="1">
      <x v="5"/>
    </i>
    <i r="1">
      <x v="7"/>
    </i>
    <i r="1">
      <x v="9"/>
    </i>
    <i r="1">
      <x v="10"/>
    </i>
    <i r="1">
      <x v="11"/>
    </i>
    <i r="1">
      <x v="13"/>
    </i>
    <i r="1">
      <x v="16"/>
    </i>
    <i r="1">
      <x v="17"/>
    </i>
    <i r="1">
      <x v="18"/>
    </i>
    <i r="1">
      <x v="19"/>
    </i>
    <i>
      <x v="6"/>
    </i>
    <i r="1">
      <x v="6"/>
    </i>
    <i>
      <x v="7"/>
    </i>
    <i r="1">
      <x v="8"/>
    </i>
    <i>
      <x v="8"/>
    </i>
    <i r="1">
      <x v="12"/>
    </i>
    <i>
      <x v="9"/>
    </i>
    <i r="1">
      <x v="14"/>
    </i>
    <i>
      <x v="10"/>
    </i>
    <i r="1">
      <x v="15"/>
    </i>
    <i>
      <x v="11"/>
    </i>
    <i r="1">
      <x v="20"/>
    </i>
    <i t="grand">
      <x/>
    </i>
  </rowItems>
  <colItems count="1">
    <i/>
  </colItems>
  <pageFields count="1">
    <pageField fld="1" hier="-1"/>
  </pageFields>
  <dataFields count="1">
    <dataField name="Population" fld="17" baseField="5" baseItem="22"/>
  </dataFields>
  <formats count="5">
    <format dxfId="780">
      <pivotArea type="all" dataOnly="0" outline="0" fieldPosition="0"/>
    </format>
    <format dxfId="779">
      <pivotArea field="1" type="button" dataOnly="0" labelOnly="1" outline="0" axis="axisPage" fieldPosition="0"/>
    </format>
    <format dxfId="778">
      <pivotArea dataOnly="0" labelOnly="1" outline="0" fieldPosition="0">
        <references count="1">
          <reference field="4294967294" count="1">
            <x v="0"/>
          </reference>
        </references>
      </pivotArea>
    </format>
    <format dxfId="777">
      <pivotArea grandRow="1" outline="0" collapsedLevelsAreSubtotals="1" fieldPosition="0"/>
    </format>
    <format dxfId="776">
      <pivotArea dataOnly="0" labelOnly="1" grandRow="1" outline="0" fieldPosition="0"/>
    </format>
  </formats>
  <chartFormats count="2">
    <chartFormat chart="4" format="2" series="1">
      <pivotArea type="data" outline="0" fieldPosition="0">
        <references count="1">
          <reference field="4294967294" count="1" selected="0">
            <x v="0"/>
          </reference>
        </references>
      </pivotArea>
    </chartFormat>
    <chartFormat chart="6" format="3"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xml><?xml version="1.0" encoding="utf-8"?>
<pivotTableDefinition xmlns="http://schemas.openxmlformats.org/spreadsheetml/2006/main" name="PivotTable1" cacheId="64" dataPosition="0"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6">
  <location ref="A9:C34" firstHeaderRow="0" firstDataRow="1" firstDataCol="1" rowPageCount="3" colPageCount="1"/>
  <pivotFields count="42">
    <pivotField axis="axisRow" multipleItemSelectionAllowed="1" showAll="0">
      <items count="3">
        <item x="1"/>
        <item x="0"/>
        <item t="default"/>
      </items>
    </pivotField>
    <pivotField axis="axisPage" subtotalTop="0" multipleItemSelectionAllowed="1" showAll="0">
      <items count="3">
        <item x="0"/>
        <item x="1"/>
        <item t="default"/>
      </items>
    </pivotField>
    <pivotField showAll="0" defaultSubtotal="0"/>
    <pivotField showAll="0" defaultSubtotal="0"/>
    <pivotField showAll="0" defaultSubtotal="0"/>
    <pivotField axis="axisPage" multipleItemSelectionAllowed="1" showAll="0" defaultSubtotal="0">
      <items count="21">
        <item x="1"/>
        <item x="4"/>
        <item x="0"/>
        <item x="6"/>
        <item x="8"/>
        <item x="7"/>
        <item x="5"/>
        <item x="9"/>
        <item x="2"/>
        <item x="10"/>
        <item x="11"/>
        <item x="12"/>
        <item x="13"/>
        <item x="14"/>
        <item x="15"/>
        <item x="16"/>
        <item x="18"/>
        <item x="17"/>
        <item x="19"/>
        <item x="20"/>
        <item x="3"/>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dataField="1" subtotalTop="0" showAll="0"/>
    <pivotField dataField="1" subtotalTop="0" showAll="0"/>
    <pivotField showAll="0" defaultSubtotal="0"/>
    <pivotField showAll="0" defaultSubtotal="0"/>
    <pivotField axis="axisPage" showAll="0" defaultSubtotal="0">
      <items count="2">
        <item x="1"/>
        <item x="0"/>
      </items>
    </pivotField>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dragToRow="0" dragToCol="0" dragToPage="0" showAll="0" defaultSubtotal="0"/>
    <pivotField axis="axisRow" showAll="0" defaultSubtotal="0">
      <items count="12">
        <item x="3"/>
        <item x="8"/>
        <item x="0"/>
        <item x="10"/>
        <item x="5"/>
        <item x="11"/>
        <item x="4"/>
        <item x="1"/>
        <item x="6"/>
        <item x="9"/>
        <item x="7"/>
        <item x="2"/>
      </items>
    </pivotField>
    <pivotField dragToRow="0" dragToCol="0" dragToPage="0" showAll="0" defaultSubtotal="0"/>
    <pivotField dragToRow="0" dragToCol="0" dragToPage="0" showAll="0" defaultSubtotal="0"/>
    <pivotField dragToRow="0" dragToCol="0" dragToPage="0" showAll="0" defaultSubtotal="0"/>
  </pivotFields>
  <rowFields count="2">
    <field x="0"/>
    <field x="38"/>
  </rowFields>
  <rowItems count="25">
    <i>
      <x/>
    </i>
    <i r="1">
      <x/>
    </i>
    <i r="1">
      <x v="1"/>
    </i>
    <i r="1">
      <x v="2"/>
    </i>
    <i r="1">
      <x v="3"/>
    </i>
    <i r="1">
      <x v="5"/>
    </i>
    <i r="1">
      <x v="6"/>
    </i>
    <i r="1">
      <x v="7"/>
    </i>
    <i r="1">
      <x v="8"/>
    </i>
    <i r="1">
      <x v="9"/>
    </i>
    <i r="1">
      <x v="10"/>
    </i>
    <i r="1">
      <x v="11"/>
    </i>
    <i>
      <x v="1"/>
    </i>
    <i r="1">
      <x/>
    </i>
    <i r="1">
      <x v="1"/>
    </i>
    <i r="1">
      <x v="2"/>
    </i>
    <i r="1">
      <x v="4"/>
    </i>
    <i r="1">
      <x v="5"/>
    </i>
    <i r="1">
      <x v="6"/>
    </i>
    <i r="1">
      <x v="7"/>
    </i>
    <i r="1">
      <x v="8"/>
    </i>
    <i r="1">
      <x v="9"/>
    </i>
    <i r="1">
      <x v="10"/>
    </i>
    <i r="1">
      <x v="11"/>
    </i>
    <i t="grand">
      <x/>
    </i>
  </rowItems>
  <colFields count="1">
    <field x="-2"/>
  </colFields>
  <colItems count="2">
    <i>
      <x/>
    </i>
    <i i="1">
      <x v="1"/>
    </i>
  </colItems>
  <pageFields count="3">
    <pageField fld="1" hier="-1"/>
    <pageField fld="5" hier="-1"/>
    <pageField fld="20" item="1" hier="-1"/>
  </pageFields>
  <dataFields count="2">
    <dataField name="Households" fld="16" baseField="2" baseItem="0"/>
    <dataField name="Population" fld="17" baseField="2" baseItem="0"/>
  </dataFields>
  <formats count="20">
    <format dxfId="800">
      <pivotArea type="all" dataOnly="0" outline="0" fieldPosition="0"/>
    </format>
    <format dxfId="799">
      <pivotArea field="1" type="button" dataOnly="0" labelOnly="1" outline="0" axis="axisPage" fieldPosition="0"/>
    </format>
    <format dxfId="798">
      <pivotArea dataOnly="0" labelOnly="1" outline="0" fieldPosition="0">
        <references count="1">
          <reference field="4294967294" count="2">
            <x v="0"/>
            <x v="1"/>
          </reference>
        </references>
      </pivotArea>
    </format>
    <format dxfId="797">
      <pivotArea grandRow="1" outline="0" collapsedLevelsAreSubtotals="1" fieldPosition="0"/>
    </format>
    <format dxfId="796">
      <pivotArea dataOnly="0" labelOnly="1" grandRow="1" outline="0" fieldPosition="0"/>
    </format>
    <format dxfId="795">
      <pivotArea outline="0" collapsedLevelsAreSubtotals="1" fieldPosition="0"/>
    </format>
    <format dxfId="794">
      <pivotArea dataOnly="0" labelOnly="1" fieldPosition="0">
        <references count="1">
          <reference field="0" count="0"/>
        </references>
      </pivotArea>
    </format>
    <format dxfId="793">
      <pivotArea dataOnly="0" labelOnly="1" grandRow="1" outline="0" fieldPosition="0"/>
    </format>
    <format dxfId="792">
      <pivotArea outline="0" collapsedLevelsAreSubtotals="1" fieldPosition="0">
        <references count="1">
          <reference field="4294967294" count="1" selected="0">
            <x v="1"/>
          </reference>
        </references>
      </pivotArea>
    </format>
    <format dxfId="791">
      <pivotArea dataOnly="0" labelOnly="1" outline="0" fieldPosition="0">
        <references count="1">
          <reference field="4294967294" count="1">
            <x v="1"/>
          </reference>
        </references>
      </pivotArea>
    </format>
    <format dxfId="790">
      <pivotArea type="all" dataOnly="0" outline="0" fieldPosition="0"/>
    </format>
    <format dxfId="789">
      <pivotArea field="1" type="button" dataOnly="0" labelOnly="1" outline="0" axis="axisPage" fieldPosition="0"/>
    </format>
    <format dxfId="788">
      <pivotArea dataOnly="0" labelOnly="1" outline="0" fieldPosition="0">
        <references count="1">
          <reference field="1" count="0"/>
        </references>
      </pivotArea>
    </format>
    <format dxfId="787">
      <pivotArea field="5" type="button" dataOnly="0" labelOnly="1" outline="0" axis="axisPage" fieldPosition="1"/>
    </format>
    <format dxfId="786">
      <pivotArea dataOnly="0" labelOnly="1" outline="0" fieldPosition="0">
        <references count="1">
          <reference field="5" count="0"/>
        </references>
      </pivotArea>
    </format>
    <format dxfId="785">
      <pivotArea field="1" type="button" dataOnly="0" labelOnly="1" outline="0" axis="axisPage" fieldPosition="0"/>
    </format>
    <format dxfId="784">
      <pivotArea dataOnly="0" labelOnly="1" outline="0" fieldPosition="0">
        <references count="1">
          <reference field="1" count="0"/>
        </references>
      </pivotArea>
    </format>
    <format dxfId="783">
      <pivotArea field="5" type="button" dataOnly="0" labelOnly="1" outline="0" axis="axisPage" fieldPosition="1"/>
    </format>
    <format dxfId="782">
      <pivotArea dataOnly="0" labelOnly="1" outline="0" fieldPosition="0">
        <references count="1">
          <reference field="5" count="0"/>
        </references>
      </pivotArea>
    </format>
    <format dxfId="781">
      <pivotArea field="0" grandRow="1" outline="0" collapsedLevelsAreSubtotals="1" axis="axisRow" fieldPosition="0">
        <references count="1">
          <reference field="4294967294" count="1" selected="0">
            <x v="1"/>
          </reference>
        </references>
      </pivotArea>
    </format>
  </formats>
  <chartFormats count="2">
    <chartFormat chart="4" format="1" series="1">
      <pivotArea type="data" outline="0" fieldPosition="0">
        <references count="1">
          <reference field="4294967294" count="1" selected="0">
            <x v="0"/>
          </reference>
        </references>
      </pivotArea>
    </chartFormat>
    <chartFormat chart="4" format="2" series="1">
      <pivotArea type="data" outline="0" fieldPosition="0">
        <references count="1">
          <reference field="4294967294"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5.xml><?xml version="1.0" encoding="utf-8"?>
<pivotTableDefinition xmlns="http://schemas.openxmlformats.org/spreadsheetml/2006/main" name="PivotTable5" cacheId="64"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6">
  <location ref="A81:D92" firstHeaderRow="0" firstDataRow="1" firstDataCol="1" rowPageCount="2" colPageCount="1"/>
  <pivotFields count="42">
    <pivotField axis="axisPage" multipleItemSelectionAllowed="1" showAll="0">
      <items count="3">
        <item x="1"/>
        <item h="1" x="0"/>
        <item t="default"/>
      </items>
    </pivotField>
    <pivotField axis="axisRow" multipleItemSelectionAllowed="1" showAll="0">
      <items count="3">
        <item x="0"/>
        <item sd="0" x="1"/>
        <item t="default"/>
      </items>
    </pivotField>
    <pivotField showAll="0" defaultSubtotal="0"/>
    <pivotField showAll="0" defaultSubtotal="0"/>
    <pivotField showAll="0" defaultSubtotal="0"/>
    <pivotField showAll="0" defaultSubtotal="0">
      <items count="21">
        <item x="1"/>
        <item x="4"/>
        <item x="0"/>
        <item x="6"/>
        <item x="8"/>
        <item x="7"/>
        <item x="5"/>
        <item x="9"/>
        <item x="2"/>
        <item x="10"/>
        <item x="11"/>
        <item x="12"/>
        <item x="13"/>
        <item x="14"/>
        <item x="15"/>
        <item x="16"/>
        <item x="18"/>
        <item x="17"/>
        <item x="19"/>
        <item x="20"/>
        <item x="3"/>
      </items>
    </pivotField>
    <pivotField showAll="0" defaultSubtotal="0"/>
    <pivotField showAll="0" defaultSubtotal="0"/>
    <pivotField showAll="0" defaultSubtotal="0"/>
    <pivotField showAll="0" defaultSubtotal="0"/>
    <pivotField showAll="0" defaultSubtotal="0"/>
    <pivotField dataField="1" showAll="0" defaultSubtotal="0"/>
    <pivotField showAll="0" defaultSubtotal="0"/>
    <pivotField showAll="0"/>
    <pivotField showAll="0" defaultSubtotal="0"/>
    <pivotField showAll="0" defaultSubtotal="0"/>
    <pivotField showAll="0"/>
    <pivotField dataField="1" showAll="0"/>
    <pivotField showAll="0" defaultSubtotal="0"/>
    <pivotField axis="axisRow" showAll="0" defaultSubtotal="0">
      <items count="2">
        <item x="0"/>
        <item x="1"/>
      </items>
    </pivotField>
    <pivotField axis="axisPage" multipleItemSelectionAllowed="1" showAll="0" defaultSubtotal="0">
      <items count="2">
        <item h="1" x="1"/>
        <item x="0"/>
      </items>
    </pivotField>
    <pivotField axis="axisRow" showAll="0">
      <items count="6">
        <item x="4"/>
        <item x="0"/>
        <item x="1"/>
        <item x="3"/>
        <item x="2"/>
        <item t="default"/>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dragToRow="0" dragToCol="0" dragToPage="0" showAll="0" defaultSubtotal="0"/>
    <pivotField showAll="0" defaultSubtotal="0">
      <items count="12">
        <item x="3"/>
        <item x="8"/>
        <item x="0"/>
        <item x="10"/>
        <item x="5"/>
        <item x="11"/>
        <item x="4"/>
        <item x="1"/>
        <item x="6"/>
        <item x="9"/>
        <item x="7"/>
        <item x="2"/>
      </items>
    </pivotField>
    <pivotField dragToRow="0" dragToCol="0" dragToPage="0" showAll="0" defaultSubtotal="0"/>
    <pivotField dragToRow="0" dragToCol="0" dragToPage="0" showAll="0" defaultSubtotal="0"/>
    <pivotField dragToRow="0" dragToCol="0" dragToPage="0" showAll="0" defaultSubtotal="0"/>
  </pivotFields>
  <rowFields count="3">
    <field x="1"/>
    <field x="19"/>
    <field x="21"/>
  </rowFields>
  <rowItems count="11">
    <i>
      <x/>
    </i>
    <i r="1">
      <x/>
    </i>
    <i r="2">
      <x/>
    </i>
    <i r="2">
      <x v="1"/>
    </i>
    <i r="2">
      <x v="2"/>
    </i>
    <i r="1">
      <x v="1"/>
    </i>
    <i r="2">
      <x/>
    </i>
    <i r="2">
      <x v="1"/>
    </i>
    <i r="2">
      <x v="2"/>
    </i>
    <i>
      <x v="1"/>
    </i>
    <i t="grand">
      <x/>
    </i>
  </rowItems>
  <colFields count="1">
    <field x="-2"/>
  </colFields>
  <colItems count="3">
    <i>
      <x/>
    </i>
    <i i="1">
      <x v="1"/>
    </i>
    <i i="2">
      <x v="2"/>
    </i>
  </colItems>
  <pageFields count="2">
    <pageField fld="0" hier="-1"/>
    <pageField fld="20" hier="-1"/>
  </pageFields>
  <dataFields count="3">
    <dataField name="Count of Camp" fld="11" subtotal="count" baseField="0" baseItem="0"/>
    <dataField name="Sum of Total" fld="17" baseField="2" baseItem="0"/>
    <dataField name="Sum of Total2" fld="17" showDataAs="percentOfTotal" baseField="20" baseItem="1" numFmtId="10"/>
  </dataFields>
  <formats count="21">
    <format dxfId="821">
      <pivotArea type="all" dataOnly="0" outline="0" fieldPosition="0"/>
    </format>
    <format dxfId="820">
      <pivotArea grandRow="1" outline="0" collapsedLevelsAreSubtotals="1" fieldPosition="0"/>
    </format>
    <format dxfId="819">
      <pivotArea dataOnly="0" labelOnly="1" grandRow="1" outline="0" fieldPosition="0"/>
    </format>
    <format dxfId="818">
      <pivotArea outline="0" collapsedLevelsAreSubtotals="1" fieldPosition="0"/>
    </format>
    <format dxfId="817">
      <pivotArea dataOnly="0" labelOnly="1" fieldPosition="0">
        <references count="1">
          <reference field="0" count="0"/>
        </references>
      </pivotArea>
    </format>
    <format dxfId="816">
      <pivotArea dataOnly="0" labelOnly="1" grandRow="1" outline="0" fieldPosition="0"/>
    </format>
    <format dxfId="815">
      <pivotArea outline="0" fieldPosition="0">
        <references count="1">
          <reference field="4294967294" count="1">
            <x v="2"/>
          </reference>
        </references>
      </pivotArea>
    </format>
    <format dxfId="814">
      <pivotArea collapsedLevelsAreSubtotals="1" fieldPosition="0">
        <references count="4">
          <reference field="4294967294" count="1" selected="0">
            <x v="2"/>
          </reference>
          <reference field="1" count="1" selected="0">
            <x v="0"/>
          </reference>
          <reference field="19" count="1" selected="0">
            <x v="0"/>
          </reference>
          <reference field="21" count="3">
            <x v="0"/>
            <x v="1"/>
            <x v="2"/>
          </reference>
        </references>
      </pivotArea>
    </format>
    <format dxfId="813">
      <pivotArea collapsedLevelsAreSubtotals="1" fieldPosition="0">
        <references count="3">
          <reference field="4294967294" count="1" selected="0">
            <x v="2"/>
          </reference>
          <reference field="1" count="1" selected="0">
            <x v="0"/>
          </reference>
          <reference field="19" count="1">
            <x v="1"/>
          </reference>
        </references>
      </pivotArea>
    </format>
    <format dxfId="812">
      <pivotArea collapsedLevelsAreSubtotals="1" fieldPosition="0">
        <references count="4">
          <reference field="4294967294" count="1" selected="0">
            <x v="2"/>
          </reference>
          <reference field="1" count="1" selected="0">
            <x v="0"/>
          </reference>
          <reference field="19" count="1" selected="0">
            <x v="1"/>
          </reference>
          <reference field="21" count="3">
            <x v="0"/>
            <x v="1"/>
            <x v="2"/>
          </reference>
        </references>
      </pivotArea>
    </format>
    <format dxfId="811">
      <pivotArea collapsedLevelsAreSubtotals="1" fieldPosition="0">
        <references count="2">
          <reference field="4294967294" count="1" selected="0">
            <x v="2"/>
          </reference>
          <reference field="1" count="1">
            <x v="1"/>
          </reference>
        </references>
      </pivotArea>
    </format>
    <format dxfId="810">
      <pivotArea field="1" grandRow="1" outline="0" collapsedLevelsAreSubtotals="1" axis="axisRow" fieldPosition="0">
        <references count="1">
          <reference field="4294967294" count="1" selected="0">
            <x v="2"/>
          </reference>
        </references>
      </pivotArea>
    </format>
    <format dxfId="809">
      <pivotArea field="0" type="button" dataOnly="0" labelOnly="1" outline="0" axis="axisPage" fieldPosition="0"/>
    </format>
    <format dxfId="808">
      <pivotArea dataOnly="0" labelOnly="1" outline="0" fieldPosition="0">
        <references count="1">
          <reference field="0" count="0"/>
        </references>
      </pivotArea>
    </format>
    <format dxfId="807">
      <pivotArea field="0" type="button" dataOnly="0" labelOnly="1" outline="0" axis="axisPage" fieldPosition="0"/>
    </format>
    <format dxfId="806">
      <pivotArea dataOnly="0" labelOnly="1" outline="0" fieldPosition="0">
        <references count="1">
          <reference field="0" count="0"/>
        </references>
      </pivotArea>
    </format>
    <format dxfId="805">
      <pivotArea collapsedLevelsAreSubtotals="1" fieldPosition="0">
        <references count="1">
          <reference field="1" count="1">
            <x v="0"/>
          </reference>
        </references>
      </pivotArea>
    </format>
    <format dxfId="804">
      <pivotArea field="1" type="button" dataOnly="0" labelOnly="1" outline="0" axis="axisRow" fieldPosition="0"/>
    </format>
    <format dxfId="803">
      <pivotArea dataOnly="0" labelOnly="1" fieldPosition="0">
        <references count="1">
          <reference field="1" count="1">
            <x v="0"/>
          </reference>
        </references>
      </pivotArea>
    </format>
    <format dxfId="802">
      <pivotArea dataOnly="0" labelOnly="1" outline="0" fieldPosition="0">
        <references count="1">
          <reference field="4294967294" count="3">
            <x v="0"/>
            <x v="1"/>
            <x v="2"/>
          </reference>
        </references>
      </pivotArea>
    </format>
    <format dxfId="801">
      <pivotArea type="all" dataOnly="0"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6.xml><?xml version="1.0" encoding="utf-8"?>
<pivotTableDefinition xmlns="http://schemas.openxmlformats.org/spreadsheetml/2006/main" name="PivotTable6" cacheId="64"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location ref="A68:D73" firstHeaderRow="1" firstDataRow="2" firstDataCol="1" rowPageCount="2" colPageCount="1"/>
  <pivotFields count="42">
    <pivotField axis="axisPage" multipleItemSelectionAllowed="1" showAll="0">
      <items count="3">
        <item x="1"/>
        <item h="1" x="0"/>
        <item t="default"/>
      </items>
    </pivotField>
    <pivotField showAll="0"/>
    <pivotField showAll="0" defaultSubtotal="0"/>
    <pivotField showAll="0"/>
    <pivotField showAll="0" defaultSubtotal="0"/>
    <pivotField showAll="0" defaultSubtotal="0">
      <items count="21">
        <item x="1"/>
        <item x="4"/>
        <item x="0"/>
        <item x="6"/>
        <item x="8"/>
        <item x="7"/>
        <item x="5"/>
        <item x="9"/>
        <item x="2"/>
        <item x="10"/>
        <item x="11"/>
        <item x="12"/>
        <item x="13"/>
        <item x="14"/>
        <item x="15"/>
        <item x="16"/>
        <item x="18"/>
        <item x="17"/>
        <item x="19"/>
        <item x="20"/>
        <item x="3"/>
      </items>
    </pivotField>
    <pivotField showAll="0" defaultSubtotal="0"/>
    <pivotField showAll="0" defaultSubtotal="0"/>
    <pivotField showAll="0" defaultSubtotal="0"/>
    <pivotField showAll="0"/>
    <pivotField showAll="0" defaultSubtotal="0"/>
    <pivotField showAll="0" defaultSubtotal="0"/>
    <pivotField dataField="1" showAll="0" defaultSubtotal="0"/>
    <pivotField showAll="0"/>
    <pivotField showAll="0" defaultSubtotal="0"/>
    <pivotField showAll="0" defaultSubtotal="0"/>
    <pivotField showAll="0"/>
    <pivotField showAll="0"/>
    <pivotField showAll="0"/>
    <pivotField axis="axisCol" showAll="0">
      <items count="3">
        <item x="0"/>
        <item x="1"/>
        <item t="default"/>
      </items>
    </pivotField>
    <pivotField axis="axisPage" multipleItemSelectionAllowed="1" showAll="0" defaultSubtotal="0">
      <items count="2">
        <item h="1" x="1"/>
        <item x="0"/>
      </items>
    </pivotField>
    <pivotField axis="axisRow" showAll="0">
      <items count="6">
        <item x="0"/>
        <item x="1"/>
        <item x="4"/>
        <item x="3"/>
        <item x="2"/>
        <item t="default"/>
      </items>
    </pivotField>
    <pivotField showAll="0" defaultSubtotal="0"/>
    <pivotField showAll="0" defaultSubtotal="0"/>
    <pivotField showAll="0" defaultSubtotal="0"/>
    <pivotField showAll="0" defaultSubtotal="0"/>
    <pivotField showAll="0"/>
    <pivotField showAll="0"/>
    <pivotField showAl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dragToRow="0" dragToCol="0" dragToPage="0" showAll="0" defaultSubtotal="0"/>
    <pivotField showAll="0" defaultSubtotal="0">
      <items count="12">
        <item x="3"/>
        <item x="8"/>
        <item x="0"/>
        <item x="10"/>
        <item x="5"/>
        <item x="11"/>
        <item x="4"/>
        <item x="1"/>
        <item x="6"/>
        <item x="9"/>
        <item x="7"/>
        <item x="2"/>
      </items>
    </pivotField>
    <pivotField dragToRow="0" dragToCol="0" dragToPage="0" showAll="0" defaultSubtotal="0"/>
    <pivotField dragToRow="0" dragToCol="0" dragToPage="0" showAll="0" defaultSubtotal="0"/>
    <pivotField dragToRow="0" dragToCol="0" dragToPage="0" showAll="0" defaultSubtotal="0"/>
  </pivotFields>
  <rowFields count="1">
    <field x="21"/>
  </rowFields>
  <rowItems count="4">
    <i>
      <x/>
    </i>
    <i>
      <x v="1"/>
    </i>
    <i>
      <x v="2"/>
    </i>
    <i t="grand">
      <x/>
    </i>
  </rowItems>
  <colFields count="1">
    <field x="19"/>
  </colFields>
  <colItems count="3">
    <i>
      <x/>
    </i>
    <i>
      <x v="1"/>
    </i>
    <i t="grand">
      <x/>
    </i>
  </colItems>
  <pageFields count="2">
    <pageField fld="0" hier="-1"/>
    <pageField fld="20" hier="-1"/>
  </pageFields>
  <dataFields count="1">
    <dataField name="Count of CP_Pcode" fld="12" subtotal="count" baseField="0" baseItem="0"/>
  </dataFields>
  <formats count="2">
    <format dxfId="823">
      <pivotArea outline="0" collapsedLevelsAreSubtotals="1" fieldPosition="0"/>
    </format>
    <format dxfId="822">
      <pivotArea type="all" dataOnly="0"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7.xml><?xml version="1.0" encoding="utf-8"?>
<pivotTableDefinition xmlns="http://schemas.openxmlformats.org/spreadsheetml/2006/main" name="PivotTable7" cacheId="64" applyNumberFormats="0" applyBorderFormats="0" applyFontFormats="0" applyPatternFormats="0" applyAlignmentFormats="0" applyWidthHeightFormats="1" dataCaption="Values" updatedVersion="5" minRefreshableVersion="3" showDrill="0" showDataTips="0" itemPrintTitles="1" createdVersion="4" indent="0" compact="0" compactData="0" multipleFieldFilters="0">
  <location ref="A7:J165" firstHeaderRow="0" firstDataRow="1" firstDataCol="7" rowPageCount="2" colPageCount="1"/>
  <pivotFields count="42">
    <pivotField axis="axisPage" compact="0" outline="0" multipleItemSelectionAllowed="1" showAll="0">
      <items count="3">
        <item x="1"/>
        <item h="1" x="0"/>
        <item t="default"/>
      </items>
    </pivotField>
    <pivotField axis="axisRow" dataField="1" compact="0" outline="0" showAll="0">
      <items count="3">
        <item x="0"/>
        <item x="1"/>
        <item t="default"/>
      </items>
    </pivotField>
    <pivotField compact="0" outline="0" showAll="0" defaultSubtotal="0"/>
    <pivotField compact="0" outline="0" showAll="0"/>
    <pivotField compact="0" outline="0" showAll="0" defaultSubtotal="0"/>
    <pivotField axis="axisRow" compact="0" outline="0" showAll="0">
      <items count="22">
        <item x="1"/>
        <item x="4"/>
        <item x="0"/>
        <item x="6"/>
        <item x="8"/>
        <item x="7"/>
        <item x="5"/>
        <item x="9"/>
        <item x="2"/>
        <item x="10"/>
        <item x="11"/>
        <item x="12"/>
        <item x="13"/>
        <item x="14"/>
        <item x="15"/>
        <item x="16"/>
        <item x="18"/>
        <item x="17"/>
        <item x="19"/>
        <item x="20"/>
        <item x="3"/>
        <item t="default"/>
      </items>
    </pivotField>
    <pivotField compact="0" outline="0" showAll="0" defaultSubtotal="0"/>
    <pivotField compact="0" outline="0" showAll="0" defaultSubtotal="0"/>
    <pivotField compact="0" outline="0" showAll="0" defaultSubtotal="0"/>
    <pivotField compact="0" outline="0" showAll="0"/>
    <pivotField compact="0" outline="0" showAll="0" defaultSubtotal="0"/>
    <pivotField axis="axisRow" compact="0" outline="0" showAll="0" defaultSubtotal="0">
      <items count="240">
        <item x="0"/>
        <item x="36"/>
        <item x="29"/>
        <item x="2"/>
        <item x="35"/>
        <item x="51"/>
        <item x="6"/>
        <item x="13"/>
        <item x="8"/>
        <item x="9"/>
        <item x="10"/>
        <item x="11"/>
        <item x="12"/>
        <item x="37"/>
        <item x="14"/>
        <item x="15"/>
        <item x="16"/>
        <item x="222"/>
        <item x="83"/>
        <item x="43"/>
        <item x="21"/>
        <item x="25"/>
        <item x="23"/>
        <item x="48"/>
        <item x="163"/>
        <item x="161"/>
        <item x="162"/>
        <item x="108"/>
        <item x="30"/>
        <item x="31"/>
        <item x="32"/>
        <item x="33"/>
        <item x="34"/>
        <item x="207"/>
        <item x="239"/>
        <item x="50"/>
        <item x="53"/>
        <item x="39"/>
        <item x="1"/>
        <item x="143"/>
        <item x="144"/>
        <item x="22"/>
        <item x="105"/>
        <item x="17"/>
        <item x="226"/>
        <item x="52"/>
        <item x="185"/>
        <item x="186"/>
        <item x="219"/>
        <item x="57"/>
        <item x="102"/>
        <item x="60"/>
        <item x="69"/>
        <item x="68"/>
        <item x="165"/>
        <item x="93"/>
        <item x="59"/>
        <item x="66"/>
        <item x="73"/>
        <item x="24"/>
        <item x="82"/>
        <item x="200"/>
        <item x="71"/>
        <item x="182"/>
        <item x="181"/>
        <item x="28"/>
        <item x="44"/>
        <item x="54"/>
        <item x="3"/>
        <item x="135"/>
        <item x="132"/>
        <item x="138"/>
        <item x="81"/>
        <item x="84"/>
        <item x="85"/>
        <item x="206"/>
        <item x="217"/>
        <item x="109"/>
        <item x="211"/>
        <item x="213"/>
        <item x="209"/>
        <item x="208"/>
        <item x="72"/>
        <item x="184"/>
        <item x="103"/>
        <item x="167"/>
        <item x="98"/>
        <item x="99"/>
        <item x="110"/>
        <item x="111"/>
        <item x="77"/>
        <item x="76"/>
        <item x="80"/>
        <item x="106"/>
        <item x="107"/>
        <item x="87"/>
        <item x="88"/>
        <item x="89"/>
        <item x="86"/>
        <item x="112"/>
        <item x="113"/>
        <item x="114"/>
        <item x="115"/>
        <item x="116"/>
        <item x="117"/>
        <item x="118"/>
        <item x="119"/>
        <item x="156"/>
        <item x="160"/>
        <item x="122"/>
        <item x="123"/>
        <item x="124"/>
        <item x="125"/>
        <item x="55"/>
        <item x="127"/>
        <item x="128"/>
        <item x="63"/>
        <item x="129"/>
        <item x="133"/>
        <item x="134"/>
        <item x="146"/>
        <item x="136"/>
        <item x="137"/>
        <item x="64"/>
        <item x="140"/>
        <item x="141"/>
        <item x="18"/>
        <item x="145"/>
        <item x="121"/>
        <item x="147"/>
        <item x="191"/>
        <item x="189"/>
        <item x="190"/>
        <item x="152"/>
        <item x="153"/>
        <item x="154"/>
        <item x="148"/>
        <item x="62"/>
        <item x="157"/>
        <item x="158"/>
        <item x="159"/>
        <item x="41"/>
        <item x="194"/>
        <item x="193"/>
        <item x="155"/>
        <item x="4"/>
        <item x="38"/>
        <item x="168"/>
        <item x="58"/>
        <item x="92"/>
        <item x="171"/>
        <item x="214"/>
        <item x="100"/>
        <item x="177"/>
        <item x="178"/>
        <item x="104"/>
        <item x="170"/>
        <item x="183"/>
        <item x="139"/>
        <item x="151"/>
        <item x="120"/>
        <item x="26"/>
        <item x="187"/>
        <item x="7"/>
        <item x="126"/>
        <item x="221"/>
        <item x="231"/>
        <item x="230"/>
        <item x="234"/>
        <item x="236"/>
        <item x="46"/>
        <item x="19"/>
        <item x="197"/>
        <item x="45"/>
        <item x="199"/>
        <item x="142"/>
        <item x="179"/>
        <item x="180"/>
        <item x="220"/>
        <item x="201"/>
        <item x="202"/>
        <item x="166"/>
        <item x="210"/>
        <item x="97"/>
        <item x="212"/>
        <item x="205"/>
        <item x="20"/>
        <item x="215"/>
        <item x="130"/>
        <item x="169"/>
        <item x="176"/>
        <item x="172"/>
        <item x="173"/>
        <item x="237"/>
        <item x="224"/>
        <item x="225"/>
        <item x="198"/>
        <item x="235"/>
        <item x="228"/>
        <item x="229"/>
        <item x="47"/>
        <item x="216"/>
        <item x="232"/>
        <item x="233"/>
        <item x="164"/>
        <item x="5"/>
        <item x="40"/>
        <item x="238"/>
        <item x="61"/>
        <item x="74"/>
        <item x="27"/>
        <item x="223"/>
        <item x="75"/>
        <item x="195"/>
        <item x="149"/>
        <item x="192"/>
        <item x="78"/>
        <item x="150"/>
        <item x="42"/>
        <item x="188"/>
        <item x="79"/>
        <item x="65"/>
        <item x="49"/>
        <item x="96"/>
        <item x="95"/>
        <item x="131"/>
        <item x="174"/>
        <item x="67"/>
        <item x="218"/>
        <item x="175"/>
        <item x="227"/>
        <item x="196"/>
        <item x="56"/>
        <item x="94"/>
        <item x="91"/>
        <item x="90"/>
        <item x="203"/>
        <item x="204"/>
        <item x="101"/>
        <item x="70"/>
      </items>
    </pivotField>
    <pivotField axis="axisRow" compact="0" outline="0" showAll="0" defaultSubtotal="0">
      <items count="243">
        <item x="171"/>
        <item x="185"/>
        <item x="174"/>
        <item x="178"/>
        <item x="175"/>
        <item x="181"/>
        <item x="182"/>
        <item x="169"/>
        <item x="168"/>
        <item x="163"/>
        <item x="164"/>
        <item x="165"/>
        <item x="167"/>
        <item x="183"/>
        <item x="184"/>
        <item x="186"/>
        <item x="147"/>
        <item x="187"/>
        <item x="188"/>
        <item x="158"/>
        <item x="162"/>
        <item x="166"/>
        <item x="177"/>
        <item x="157"/>
        <item x="233"/>
        <item x="239"/>
        <item x="209"/>
        <item x="210"/>
        <item x="216"/>
        <item x="237"/>
        <item x="214"/>
        <item x="234"/>
        <item x="217"/>
        <item x="176"/>
        <item x="133"/>
        <item x="231"/>
        <item x="240"/>
        <item x="238"/>
        <item x="211"/>
        <item x="212"/>
        <item x="223"/>
        <item x="25"/>
        <item x="22"/>
        <item x="235"/>
        <item x="24"/>
        <item x="34"/>
        <item x="19"/>
        <item x="57"/>
        <item x="3"/>
        <item x="2"/>
        <item x="18"/>
        <item x="17"/>
        <item x="5"/>
        <item x="4"/>
        <item x="20"/>
        <item x="131"/>
        <item x="135"/>
        <item x="109"/>
        <item x="172"/>
        <item x="132"/>
        <item x="123"/>
        <item x="105"/>
        <item x="112"/>
        <item x="111"/>
        <item x="128"/>
        <item x="87"/>
        <item x="204"/>
        <item x="205"/>
        <item x="134"/>
        <item x="140"/>
        <item x="137"/>
        <item x="141"/>
        <item x="144"/>
        <item x="59"/>
        <item x="200"/>
        <item x="90"/>
        <item x="94"/>
        <item x="93"/>
        <item x="98"/>
        <item x="170"/>
        <item x="179"/>
        <item x="180"/>
        <item x="127"/>
        <item x="126"/>
        <item x="21"/>
        <item x="129"/>
        <item x="125"/>
        <item x="55"/>
        <item x="9"/>
        <item x="115"/>
        <item x="114"/>
        <item x="119"/>
        <item x="116"/>
        <item x="121"/>
        <item x="117"/>
        <item x="118"/>
        <item x="120"/>
        <item x="227"/>
        <item x="189"/>
        <item x="38"/>
        <item x="202"/>
        <item x="40"/>
        <item x="124"/>
        <item x="85"/>
        <item x="199"/>
        <item x="43"/>
        <item x="218"/>
        <item x="230"/>
        <item x="225"/>
        <item x="16"/>
        <item x="242"/>
        <item x="219"/>
        <item x="67"/>
        <item x="108"/>
        <item x="220"/>
        <item x="221"/>
        <item x="222"/>
        <item x="107"/>
        <item x="110"/>
        <item x="122"/>
        <item x="83"/>
        <item x="84"/>
        <item x="106"/>
        <item x="77"/>
        <item x="78"/>
        <item x="81"/>
        <item x="82"/>
        <item x="149"/>
        <item x="161"/>
        <item x="72"/>
        <item x="203"/>
        <item x="50"/>
        <item x="74"/>
        <item x="101"/>
        <item x="23"/>
        <item x="224"/>
        <item x="153"/>
        <item x="1"/>
        <item x="54"/>
        <item x="29"/>
        <item x="37"/>
        <item x="8"/>
        <item x="0"/>
        <item x="15"/>
        <item x="6"/>
        <item x="48"/>
        <item x="236"/>
        <item x="35"/>
        <item x="143"/>
        <item x="130"/>
        <item x="36"/>
        <item x="30"/>
        <item x="44"/>
        <item x="46"/>
        <item x="45"/>
        <item x="47"/>
        <item x="232"/>
        <item x="31"/>
        <item x="14"/>
        <item x="39"/>
        <item x="51"/>
        <item x="53"/>
        <item x="41"/>
        <item x="7"/>
        <item x="13"/>
        <item x="28"/>
        <item x="71"/>
        <item x="103"/>
        <item x="113"/>
        <item x="201"/>
        <item x="104"/>
        <item x="241"/>
        <item x="66"/>
        <item x="139"/>
        <item x="159"/>
        <item x="208"/>
        <item x="229"/>
        <item x="160"/>
        <item x="26"/>
        <item x="228"/>
        <item x="99"/>
        <item x="100"/>
        <item x="12"/>
        <item x="10"/>
        <item x="11"/>
        <item x="52"/>
        <item x="73"/>
        <item x="213"/>
        <item x="173"/>
        <item x="86"/>
        <item x="215"/>
        <item x="191"/>
        <item x="155"/>
        <item x="192"/>
        <item x="193"/>
        <item x="148"/>
        <item x="64"/>
        <item x="62"/>
        <item x="88"/>
        <item x="145"/>
        <item x="150"/>
        <item x="136"/>
        <item x="196"/>
        <item x="60"/>
        <item x="69"/>
        <item x="68"/>
        <item x="63"/>
        <item x="142"/>
        <item x="61"/>
        <item x="146"/>
        <item x="138"/>
        <item x="154"/>
        <item x="156"/>
        <item x="58"/>
        <item x="89"/>
        <item x="195"/>
        <item x="32"/>
        <item x="33"/>
        <item x="75"/>
        <item x="226"/>
        <item x="27"/>
        <item x="76"/>
        <item x="197"/>
        <item x="151"/>
        <item x="194"/>
        <item x="190"/>
        <item x="79"/>
        <item x="152"/>
        <item x="42"/>
        <item x="80"/>
        <item x="65"/>
        <item x="49"/>
        <item x="97"/>
        <item x="96"/>
        <item x="56"/>
        <item x="198"/>
        <item x="95"/>
        <item x="92"/>
        <item x="91"/>
        <item x="206"/>
        <item x="207"/>
        <item x="102"/>
        <item x="70"/>
      </items>
    </pivotField>
    <pivotField compact="0" outline="0" showAll="0"/>
    <pivotField compact="0" outline="0" showAll="0" defaultSubtotal="0"/>
    <pivotField compact="0" outline="0" showAll="0" defaultSubtotal="0"/>
    <pivotField dataField="1" compact="0" outline="0" showAll="0"/>
    <pivotField dataField="1" compact="0" outline="0" showAll="0" defaultSubtotal="0"/>
    <pivotField compact="0" outline="0" showAll="0"/>
    <pivotField axis="axisRow" compact="0" outline="0" showAll="0" defaultSubtotal="0">
      <items count="2">
        <item x="0"/>
        <item x="1"/>
      </items>
    </pivotField>
    <pivotField axis="axisPage" compact="0" outline="0" multipleItemSelectionAllowed="1" showAll="0" defaultSubtotal="0">
      <items count="2">
        <item h="1" x="1"/>
        <item x="0"/>
      </items>
    </pivotField>
    <pivotField name="Camps/Host Families" axis="axisRow" compact="0" outline="0" showAll="0" defaultSubtotal="0">
      <items count="5">
        <item x="0"/>
        <item h="1" x="1"/>
        <item h="1" x="4"/>
        <item h="1" x="3"/>
        <item h="1" x="2"/>
      </items>
    </pivotField>
    <pivotField compact="0" outline="0" showAll="0" defaultSubtotal="0">
      <items count="4">
        <item x="3"/>
        <item x="2"/>
        <item x="1"/>
        <item x="0"/>
      </items>
    </pivotField>
    <pivotField compact="0" outline="0" showAll="0" defaultSubtotal="0"/>
    <pivotField compact="0" outline="0" showAll="0" defaultSubtotal="0"/>
    <pivotField axis="axisRow" compact="0" outline="0" showAll="0" defaultSubtotal="0">
      <items count="6">
        <item x="3"/>
        <item x="1"/>
        <item x="4"/>
        <item x="2"/>
        <item n=" " x="0"/>
        <item x="5"/>
      </items>
    </pivotField>
    <pivotField compact="0" outline="0" showAll="0"/>
    <pivotField compact="0" outline="0" showAll="0"/>
    <pivotField compact="0" outline="0" showAll="0"/>
    <pivotField compact="0" outline="0" showAl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dragToRow="0" dragToCol="0" dragToPage="0" showAll="0" defaultSubtotal="0"/>
    <pivotField compact="0" outline="0" showAll="0" defaultSubtotal="0">
      <items count="12">
        <item x="3"/>
        <item x="8"/>
        <item x="0"/>
        <item x="10"/>
        <item x="5"/>
        <item x="11"/>
        <item x="4"/>
        <item x="1"/>
        <item x="6"/>
        <item x="9"/>
        <item x="7"/>
        <item x="2"/>
      </items>
    </pivotField>
    <pivotField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7">
    <field x="1"/>
    <field x="5"/>
    <field x="11"/>
    <field x="12"/>
    <field x="21"/>
    <field x="25"/>
    <field x="19"/>
  </rowFields>
  <rowItems count="158">
    <i>
      <x/>
      <x/>
      <x v="3"/>
      <x v="49"/>
      <x/>
      <x v="1"/>
      <x/>
    </i>
    <i r="2">
      <x v="7"/>
      <x v="164"/>
      <x/>
      <x/>
      <x/>
    </i>
    <i r="2">
      <x v="43"/>
      <x v="51"/>
      <x/>
      <x/>
      <x/>
    </i>
    <i r="2">
      <x v="68"/>
      <x v="48"/>
      <x/>
      <x v="3"/>
      <x/>
    </i>
    <i r="2">
      <x v="126"/>
      <x v="50"/>
      <x/>
      <x v="3"/>
      <x/>
    </i>
    <i r="2">
      <x v="145"/>
      <x v="53"/>
      <x/>
      <x v="1"/>
      <x/>
    </i>
    <i r="2">
      <x v="163"/>
      <x v="163"/>
      <x/>
      <x/>
      <x/>
    </i>
    <i r="2">
      <x v="171"/>
      <x v="46"/>
      <x/>
      <x/>
      <x/>
    </i>
    <i r="2">
      <x v="186"/>
      <x v="54"/>
      <x/>
      <x v="3"/>
      <x/>
    </i>
    <i r="2">
      <x v="205"/>
      <x v="52"/>
      <x/>
      <x v="3"/>
      <x/>
    </i>
    <i t="default" r="1">
      <x/>
    </i>
    <i r="1">
      <x v="1"/>
      <x v="21"/>
      <x v="41"/>
      <x/>
      <x v="3"/>
      <x/>
    </i>
    <i r="2">
      <x v="41"/>
      <x v="42"/>
      <x/>
      <x/>
      <x v="1"/>
    </i>
    <i r="2">
      <x v="65"/>
      <x v="165"/>
      <x/>
      <x v="3"/>
      <x/>
    </i>
    <i r="2">
      <x v="161"/>
      <x v="178"/>
      <x/>
      <x v="2"/>
      <x/>
    </i>
    <i r="2">
      <x v="210"/>
      <x v="220"/>
      <x/>
      <x v="2"/>
      <x/>
    </i>
    <i t="default" r="1">
      <x v="1"/>
    </i>
    <i r="1">
      <x v="2"/>
      <x v="1"/>
      <x v="150"/>
      <x/>
      <x/>
      <x/>
    </i>
    <i r="2">
      <x v="2"/>
      <x v="139"/>
      <x/>
      <x v="2"/>
      <x/>
    </i>
    <i r="2">
      <x v="4"/>
      <x v="147"/>
      <x/>
      <x v="3"/>
      <x/>
    </i>
    <i r="2">
      <x v="5"/>
      <x v="160"/>
      <x/>
      <x v="3"/>
      <x/>
    </i>
    <i r="2">
      <x v="13"/>
      <x v="140"/>
      <x/>
      <x/>
      <x/>
    </i>
    <i r="2">
      <x v="19"/>
      <x v="105"/>
      <x/>
      <x v="3"/>
      <x/>
    </i>
    <i r="2">
      <x v="23"/>
      <x v="145"/>
      <x/>
      <x v="3"/>
      <x/>
    </i>
    <i r="2">
      <x v="35"/>
      <x v="131"/>
      <x/>
      <x/>
      <x/>
    </i>
    <i r="2">
      <x v="36"/>
      <x v="161"/>
      <x/>
      <x v="3"/>
      <x/>
    </i>
    <i r="2">
      <x v="66"/>
      <x v="152"/>
      <x/>
      <x v="3"/>
      <x/>
    </i>
    <i r="2">
      <x v="67"/>
      <x v="138"/>
      <x/>
      <x v="3"/>
      <x/>
    </i>
    <i r="2">
      <x v="113"/>
      <x v="87"/>
      <x/>
      <x v="3"/>
      <x/>
    </i>
    <i r="2">
      <x v="141"/>
      <x v="162"/>
      <x/>
      <x v="3"/>
      <x/>
    </i>
    <i r="2">
      <x v="146"/>
      <x v="99"/>
      <x/>
      <x v="2"/>
      <x/>
    </i>
    <i r="2">
      <x v="170"/>
      <x v="153"/>
      <x/>
      <x v="3"/>
      <x/>
    </i>
    <i r="2">
      <x v="173"/>
      <x v="154"/>
      <x/>
      <x/>
      <x/>
    </i>
    <i r="2">
      <x v="200"/>
      <x v="155"/>
      <x/>
      <x/>
      <x/>
    </i>
    <i r="2">
      <x v="206"/>
      <x v="101"/>
      <x/>
      <x/>
      <x/>
    </i>
    <i r="2">
      <x v="218"/>
      <x v="228"/>
      <x/>
      <x/>
      <x/>
    </i>
    <i r="2">
      <x v="222"/>
      <x v="231"/>
      <x/>
      <x/>
      <x/>
    </i>
    <i t="default" r="1">
      <x v="2"/>
    </i>
    <i r="1">
      <x v="5"/>
      <x v="56"/>
      <x v="73"/>
      <x/>
      <x v="4"/>
      <x/>
    </i>
    <i t="default" r="1">
      <x v="5"/>
    </i>
    <i r="1">
      <x v="8"/>
      <x v="18"/>
      <x v="121"/>
      <x/>
      <x v="1"/>
      <x v="1"/>
    </i>
    <i r="2">
      <x v="60"/>
      <x v="120"/>
      <x/>
      <x v="1"/>
      <x v="1"/>
    </i>
    <i r="2">
      <x v="82"/>
      <x v="186"/>
      <x/>
      <x/>
      <x/>
    </i>
    <i r="2">
      <x v="90"/>
      <x v="124"/>
      <x/>
      <x/>
      <x/>
    </i>
    <i r="2">
      <x v="91"/>
      <x v="123"/>
      <x/>
      <x v="1"/>
      <x/>
    </i>
    <i r="2">
      <x v="98"/>
      <x v="65"/>
      <x/>
      <x/>
      <x/>
    </i>
    <i r="2">
      <x v="209"/>
      <x v="218"/>
      <x/>
      <x v="1"/>
      <x/>
    </i>
    <i r="2">
      <x v="212"/>
      <x v="221"/>
      <x/>
      <x v="1"/>
      <x v="1"/>
    </i>
    <i r="2">
      <x v="216"/>
      <x v="226"/>
      <x/>
      <x v="1"/>
      <x/>
    </i>
    <i r="2">
      <x v="220"/>
      <x v="229"/>
      <x/>
      <x/>
      <x/>
    </i>
    <i t="default" r="1">
      <x v="8"/>
    </i>
    <i r="1">
      <x v="10"/>
      <x v="55"/>
      <x v="76"/>
      <x/>
      <x/>
      <x/>
    </i>
    <i r="2">
      <x v="97"/>
      <x v="75"/>
      <x/>
      <x/>
      <x/>
    </i>
    <i r="2">
      <x v="149"/>
      <x v="77"/>
      <x/>
      <x/>
      <x/>
    </i>
    <i r="2">
      <x v="234"/>
      <x v="237"/>
      <x/>
      <x/>
      <x/>
    </i>
    <i r="2">
      <x v="235"/>
      <x v="238"/>
      <x/>
      <x v="2"/>
      <x/>
    </i>
    <i t="default" r="1">
      <x v="10"/>
    </i>
    <i r="1">
      <x v="11"/>
      <x v="152"/>
      <x v="133"/>
      <x/>
      <x/>
      <x/>
    </i>
    <i r="2">
      <x v="183"/>
      <x v="78"/>
      <x/>
      <x v="2"/>
      <x/>
    </i>
    <i t="default" r="1">
      <x v="11"/>
    </i>
    <i r="1">
      <x v="12"/>
      <x v="27"/>
      <x v="118"/>
      <x/>
      <x v="2"/>
      <x v="1"/>
    </i>
    <i r="2">
      <x v="42"/>
      <x v="117"/>
      <x/>
      <x v="2"/>
      <x v="1"/>
    </i>
    <i r="2">
      <x v="69"/>
      <x v="70"/>
      <x/>
      <x/>
      <x/>
    </i>
    <i r="2">
      <x v="70"/>
      <x v="68"/>
      <x/>
      <x v="1"/>
      <x/>
    </i>
    <i r="2">
      <x v="71"/>
      <x v="69"/>
      <x/>
      <x/>
      <x/>
    </i>
    <i r="2">
      <x v="84"/>
      <x v="61"/>
      <x/>
      <x v="1"/>
      <x/>
    </i>
    <i r="2">
      <x v="117"/>
      <x v="55"/>
      <x/>
      <x/>
      <x/>
    </i>
    <i r="2">
      <x v="155"/>
      <x v="122"/>
      <x/>
      <x v="1"/>
      <x v="1"/>
    </i>
    <i r="2">
      <x v="158"/>
      <x v="71"/>
      <x/>
      <x/>
      <x/>
    </i>
    <i r="2">
      <x v="160"/>
      <x v="119"/>
      <x/>
      <x v="1"/>
      <x v="1"/>
    </i>
    <i r="2">
      <x v="175"/>
      <x v="72"/>
      <x/>
      <x/>
      <x/>
    </i>
    <i t="default" r="1">
      <x v="12"/>
    </i>
    <i r="1">
      <x v="14"/>
      <x v="24"/>
      <x v="11"/>
      <x/>
      <x/>
      <x/>
    </i>
    <i r="2">
      <x v="25"/>
      <x v="9"/>
      <x/>
      <x/>
      <x/>
    </i>
    <i r="2">
      <x v="26"/>
      <x v="10"/>
      <x/>
      <x/>
      <x/>
    </i>
    <i r="2">
      <x v="46"/>
      <x v="17"/>
      <x/>
      <x/>
      <x/>
    </i>
    <i r="2">
      <x v="47"/>
      <x v="18"/>
      <x/>
      <x v="2"/>
      <x/>
    </i>
    <i r="2">
      <x v="54"/>
      <x v="12"/>
      <x/>
      <x/>
      <x/>
    </i>
    <i r="2">
      <x v="63"/>
      <x v="14"/>
      <x/>
      <x/>
      <x/>
    </i>
    <i r="2">
      <x v="64"/>
      <x v="13"/>
      <x/>
      <x/>
      <x/>
    </i>
    <i r="2">
      <x v="83"/>
      <x v="15"/>
      <x/>
      <x/>
      <x/>
    </i>
    <i r="2">
      <x v="85"/>
      <x v="7"/>
      <x/>
      <x/>
      <x/>
    </i>
    <i r="2">
      <x v="107"/>
      <x v="19"/>
      <x/>
      <x v="3"/>
      <x/>
    </i>
    <i r="2">
      <x v="108"/>
      <x v="20"/>
      <x/>
      <x v="3"/>
      <x/>
    </i>
    <i r="2">
      <x v="144"/>
      <x v="23"/>
      <x/>
      <x v="2"/>
      <x/>
    </i>
    <i r="2">
      <x v="157"/>
      <x v="1"/>
      <x/>
      <x/>
      <x/>
    </i>
    <i r="2">
      <x v="159"/>
      <x v="136"/>
      <x/>
      <x v="2"/>
      <x/>
    </i>
    <i r="2">
      <x v="176"/>
      <x v="5"/>
      <x/>
      <x/>
      <x/>
    </i>
    <i r="2">
      <x v="177"/>
      <x v="6"/>
      <x/>
      <x v="3"/>
      <x/>
    </i>
    <i r="2">
      <x v="181"/>
      <x v="8"/>
      <x/>
      <x/>
      <x/>
    </i>
    <i r="2">
      <x v="189"/>
      <x/>
      <x/>
      <x/>
      <x/>
    </i>
    <i r="2">
      <x v="190"/>
      <x v="3"/>
      <x/>
      <x v="3"/>
      <x/>
    </i>
    <i r="2">
      <x v="191"/>
      <x v="2"/>
      <x/>
      <x/>
      <x/>
    </i>
    <i r="2">
      <x v="192"/>
      <x v="4"/>
      <x/>
      <x/>
      <x/>
    </i>
    <i r="2">
      <x v="204"/>
      <x v="21"/>
      <x/>
      <x v="3"/>
      <x/>
    </i>
    <i r="2">
      <x v="229"/>
      <x v="22"/>
      <x/>
      <x v="3"/>
      <x/>
    </i>
    <i t="default" r="1">
      <x v="14"/>
    </i>
    <i r="1">
      <x v="17"/>
      <x v="231"/>
      <x v="235"/>
      <x/>
      <x/>
      <x/>
    </i>
    <i t="default" r="1">
      <x v="17"/>
    </i>
    <i r="1">
      <x v="18"/>
      <x v="179"/>
      <x v="66"/>
      <x/>
      <x/>
      <x/>
    </i>
    <i r="2">
      <x v="180"/>
      <x v="67"/>
      <x/>
      <x v="1"/>
      <x/>
    </i>
    <i t="default" r="1">
      <x v="18"/>
    </i>
    <i r="1">
      <x v="19"/>
      <x v="185"/>
      <x v="175"/>
      <x/>
      <x v="4"/>
      <x/>
    </i>
    <i r="2">
      <x v="236"/>
      <x v="239"/>
      <x/>
      <x v="4"/>
      <x/>
    </i>
    <i r="2">
      <x v="237"/>
      <x v="240"/>
      <x/>
      <x v="4"/>
      <x/>
    </i>
    <i t="default" r="1">
      <x v="19"/>
    </i>
    <i r="1">
      <x v="20"/>
      <x v="17"/>
      <x v="108"/>
      <x/>
      <x v="2"/>
      <x v="1"/>
    </i>
    <i r="2">
      <x v="33"/>
      <x v="27"/>
      <x/>
      <x v="3"/>
      <x/>
    </i>
    <i r="2">
      <x v="34"/>
      <x v="110"/>
      <x/>
      <x/>
      <x v="1"/>
    </i>
    <i r="2">
      <x v="48"/>
      <x v="116"/>
      <x/>
      <x v="2"/>
      <x v="1"/>
    </i>
    <i r="2">
      <x v="75"/>
      <x v="26"/>
      <x/>
      <x/>
      <x/>
    </i>
    <i r="2">
      <x v="76"/>
      <x v="114"/>
      <x/>
      <x v="2"/>
      <x v="1"/>
    </i>
    <i r="2">
      <x v="78"/>
      <x v="30"/>
      <x/>
      <x v="3"/>
      <x/>
    </i>
    <i r="2">
      <x v="79"/>
      <x v="28"/>
      <x/>
      <x v="2"/>
      <x/>
    </i>
    <i r="2">
      <x v="80"/>
      <x v="39"/>
      <x/>
      <x/>
      <x/>
    </i>
    <i r="2">
      <x v="81"/>
      <x v="38"/>
      <x/>
      <x/>
      <x/>
    </i>
    <i r="2">
      <x v="151"/>
      <x v="32"/>
      <x/>
      <x v="3"/>
      <x/>
    </i>
    <i r="2">
      <x v="165"/>
      <x v="135"/>
      <x/>
      <x v="2"/>
      <x v="1"/>
    </i>
    <i r="2">
      <x v="166"/>
      <x v="31"/>
      <x/>
      <x v="3"/>
      <x/>
    </i>
    <i r="2">
      <x v="167"/>
      <x v="24"/>
      <x/>
      <x/>
      <x/>
    </i>
    <i r="2">
      <x v="168"/>
      <x v="29"/>
      <x/>
      <x v="3"/>
      <x/>
    </i>
    <i r="2">
      <x v="169"/>
      <x v="25"/>
      <x/>
      <x v="3"/>
      <x/>
    </i>
    <i r="2">
      <x v="178"/>
      <x v="40"/>
      <x/>
      <x/>
      <x/>
    </i>
    <i r="2">
      <x v="193"/>
      <x v="36"/>
      <x/>
      <x v="3"/>
      <x/>
    </i>
    <i r="2">
      <x v="197"/>
      <x v="37"/>
      <x/>
      <x v="3"/>
      <x/>
    </i>
    <i r="2">
      <x v="201"/>
      <x v="111"/>
      <x/>
      <x v="2"/>
      <x v="1"/>
    </i>
    <i r="2">
      <x v="228"/>
      <x v="115"/>
      <x/>
      <x/>
      <x v="1"/>
    </i>
    <i r="2">
      <x v="230"/>
      <x v="107"/>
      <x/>
      <x/>
      <x v="1"/>
    </i>
    <i t="default" r="1">
      <x v="20"/>
    </i>
    <i t="default">
      <x/>
    </i>
    <i>
      <x v="1"/>
      <x v="3"/>
      <x v="232"/>
      <x v="234"/>
      <x/>
      <x/>
      <x/>
    </i>
    <i t="default" r="1">
      <x v="3"/>
    </i>
    <i r="1">
      <x v="6"/>
      <x v="51"/>
      <x v="203"/>
      <x/>
      <x/>
      <x/>
    </i>
    <i r="2">
      <x v="52"/>
      <x v="204"/>
      <x/>
      <x/>
      <x/>
    </i>
    <i r="2">
      <x v="53"/>
      <x v="205"/>
      <x/>
      <x v="5"/>
      <x/>
    </i>
    <i r="2">
      <x v="116"/>
      <x v="206"/>
      <x/>
      <x/>
      <x/>
    </i>
    <i r="2">
      <x v="123"/>
      <x v="196"/>
      <x/>
      <x/>
      <x/>
    </i>
    <i r="2">
      <x v="137"/>
      <x v="197"/>
      <x/>
      <x/>
      <x/>
    </i>
    <i r="2">
      <x v="208"/>
      <x v="208"/>
      <x/>
      <x/>
      <x/>
    </i>
    <i r="2">
      <x v="221"/>
      <x v="230"/>
      <x/>
      <x v="5"/>
      <x/>
    </i>
    <i r="2">
      <x v="239"/>
      <x v="242"/>
      <x/>
      <x v="4"/>
      <x/>
    </i>
    <i t="default" r="1">
      <x v="6"/>
    </i>
    <i r="1">
      <x v="9"/>
      <x v="95"/>
      <x v="198"/>
      <x/>
      <x/>
      <x/>
    </i>
    <i r="2">
      <x v="96"/>
      <x v="214"/>
      <x/>
      <x v="5"/>
      <x/>
    </i>
    <i t="default" r="1">
      <x v="9"/>
    </i>
    <i r="1">
      <x v="13"/>
      <x v="214"/>
      <x v="223"/>
      <x/>
      <x/>
      <x/>
    </i>
    <i r="2">
      <x v="217"/>
      <x v="227"/>
      <x/>
      <x v="5"/>
      <x/>
    </i>
    <i t="default" r="1">
      <x v="13"/>
    </i>
    <i r="1">
      <x v="15"/>
      <x v="130"/>
      <x v="194"/>
      <x/>
      <x/>
      <x/>
    </i>
    <i r="2">
      <x v="131"/>
      <x v="191"/>
      <x/>
      <x/>
      <x/>
    </i>
    <i r="2">
      <x v="132"/>
      <x v="193"/>
      <x/>
      <x v="5"/>
      <x/>
    </i>
    <i r="2">
      <x v="215"/>
      <x v="224"/>
      <x/>
      <x/>
      <x/>
    </i>
    <i r="2">
      <x v="219"/>
      <x v="225"/>
      <x/>
      <x/>
      <x/>
    </i>
    <i t="default" r="1">
      <x v="15"/>
    </i>
    <i r="1">
      <x v="16"/>
      <x v="142"/>
      <x v="202"/>
      <x/>
      <x/>
      <x/>
    </i>
    <i t="default" r="1">
      <x v="16"/>
    </i>
    <i t="default">
      <x v="1"/>
    </i>
    <i t="grand">
      <x/>
    </i>
  </rowItems>
  <colFields count="1">
    <field x="-2"/>
  </colFields>
  <colItems count="3">
    <i>
      <x/>
    </i>
    <i i="1">
      <x v="1"/>
    </i>
    <i i="2">
      <x v="2"/>
    </i>
  </colItems>
  <pageFields count="2">
    <pageField fld="0" hier="-1"/>
    <pageField fld="20" hier="-1"/>
  </pageFields>
  <dataFields count="3">
    <dataField name="HoH" fld="16" baseField="19" baseItem="0"/>
    <dataField name="Individual" fld="17" baseField="19" baseItem="0"/>
    <dataField name="Location" fld="1" subtotal="count" baseField="0" baseItem="0"/>
  </dataFields>
  <formats count="33">
    <format dxfId="756">
      <pivotArea outline="0" collapsedLevelsAreSubtotals="1" fieldPosition="0"/>
    </format>
    <format dxfId="755">
      <pivotArea dataOnly="0" labelOnly="1" outline="0" fieldPosition="0">
        <references count="1">
          <reference field="4294967294" count="2">
            <x v="0"/>
            <x v="1"/>
          </reference>
        </references>
      </pivotArea>
    </format>
    <format dxfId="754">
      <pivotArea grandRow="1" outline="0" collapsedLevelsAreSubtotals="1" fieldPosition="0"/>
    </format>
    <format dxfId="753">
      <pivotArea dataOnly="0" labelOnly="1" grandRow="1" outline="0" fieldPosition="0"/>
    </format>
    <format dxfId="752">
      <pivotArea grandRow="1" outline="0" collapsedLevelsAreSubtotals="1" fieldPosition="0"/>
    </format>
    <format dxfId="751">
      <pivotArea dataOnly="0" labelOnly="1" grandRow="1" outline="0" fieldPosition="0"/>
    </format>
    <format dxfId="750">
      <pivotArea field="21" type="button" dataOnly="0" labelOnly="1" outline="0" axis="axisRow" fieldPosition="4"/>
    </format>
    <format dxfId="749">
      <pivotArea field="25" type="button" dataOnly="0" labelOnly="1" outline="0" axis="axisRow" fieldPosition="5"/>
    </format>
    <format dxfId="748">
      <pivotArea field="25" type="button" dataOnly="0" labelOnly="1" outline="0" axis="axisRow" fieldPosition="5"/>
    </format>
    <format dxfId="747">
      <pivotArea field="1" type="button" dataOnly="0" labelOnly="1" outline="0" axis="axisRow" fieldPosition="0"/>
    </format>
    <format dxfId="746">
      <pivotArea field="5" type="button" dataOnly="0" labelOnly="1" outline="0" axis="axisRow" fieldPosition="1"/>
    </format>
    <format dxfId="745">
      <pivotArea field="11" type="button" dataOnly="0" labelOnly="1" outline="0" axis="axisRow" fieldPosition="2"/>
    </format>
    <format dxfId="744">
      <pivotArea field="12" type="button" dataOnly="0" labelOnly="1" outline="0" axis="axisRow" fieldPosition="3"/>
    </format>
    <format dxfId="743">
      <pivotArea field="21" type="button" dataOnly="0" labelOnly="1" outline="0" axis="axisRow" fieldPosition="4"/>
    </format>
    <format dxfId="742">
      <pivotArea field="22" type="button" dataOnly="0" labelOnly="1" outline="0"/>
    </format>
    <format dxfId="741">
      <pivotArea dataOnly="0" labelOnly="1" outline="0" fieldPosition="0">
        <references count="1">
          <reference field="4294967294" count="2">
            <x v="0"/>
            <x v="1"/>
          </reference>
        </references>
      </pivotArea>
    </format>
    <format dxfId="740">
      <pivotArea field="1" type="button" dataOnly="0" labelOnly="1" outline="0" axis="axisRow" fieldPosition="0"/>
    </format>
    <format dxfId="739">
      <pivotArea field="5" type="button" dataOnly="0" labelOnly="1" outline="0" axis="axisRow" fieldPosition="1"/>
    </format>
    <format dxfId="738">
      <pivotArea field="11" type="button" dataOnly="0" labelOnly="1" outline="0" axis="axisRow" fieldPosition="2"/>
    </format>
    <format dxfId="737">
      <pivotArea field="12" type="button" dataOnly="0" labelOnly="1" outline="0" axis="axisRow" fieldPosition="3"/>
    </format>
    <format dxfId="736">
      <pivotArea field="21" type="button" dataOnly="0" labelOnly="1" outline="0" axis="axisRow" fieldPosition="4"/>
    </format>
    <format dxfId="735">
      <pivotArea field="22" type="button" dataOnly="0" labelOnly="1" outline="0"/>
    </format>
    <format dxfId="734">
      <pivotArea dataOnly="0" labelOnly="1" outline="0" fieldPosition="0">
        <references count="1">
          <reference field="4294967294" count="2">
            <x v="0"/>
            <x v="1"/>
          </reference>
        </references>
      </pivotArea>
    </format>
    <format dxfId="733">
      <pivotArea dataOnly="0" labelOnly="1" outline="0" fieldPosition="0">
        <references count="3">
          <reference field="1" count="1" selected="0">
            <x v="0"/>
          </reference>
          <reference field="5" count="1" selected="0">
            <x v="0"/>
          </reference>
          <reference field="11" count="6">
            <x v="68"/>
            <x v="126"/>
            <x v="145"/>
            <x v="163"/>
            <x v="171"/>
            <x v="186"/>
          </reference>
        </references>
      </pivotArea>
    </format>
    <format dxfId="732">
      <pivotArea dataOnly="0" labelOnly="1" outline="0" fieldPosition="0">
        <references count="3">
          <reference field="1" count="1" selected="0">
            <x v="0"/>
          </reference>
          <reference field="5" count="1" selected="0">
            <x v="14"/>
          </reference>
          <reference field="11" count="7">
            <x v="25"/>
            <x v="26"/>
            <x v="46"/>
            <x v="47"/>
            <x v="54"/>
            <x v="63"/>
            <x v="64"/>
          </reference>
        </references>
      </pivotArea>
    </format>
    <format dxfId="731">
      <pivotArea dataOnly="0" labelOnly="1" outline="0" fieldPosition="0">
        <references count="3">
          <reference field="1" count="1" selected="0">
            <x v="0"/>
          </reference>
          <reference field="5" count="1" selected="0">
            <x v="20"/>
          </reference>
          <reference field="11" count="15">
            <x v="75"/>
            <x v="76"/>
            <x v="78"/>
            <x v="79"/>
            <x v="80"/>
            <x v="81"/>
            <x v="151"/>
            <x v="165"/>
            <x v="166"/>
            <x v="167"/>
            <x v="168"/>
            <x v="169"/>
            <x v="178"/>
            <x v="193"/>
            <x v="197"/>
          </reference>
        </references>
      </pivotArea>
    </format>
    <format dxfId="730">
      <pivotArea field="1" type="button" dataOnly="0" labelOnly="1" outline="0" axis="axisRow" fieldPosition="0"/>
    </format>
    <format dxfId="729">
      <pivotArea field="5" type="button" dataOnly="0" labelOnly="1" outline="0" axis="axisRow" fieldPosition="1"/>
    </format>
    <format dxfId="728">
      <pivotArea field="11" type="button" dataOnly="0" labelOnly="1" outline="0" axis="axisRow" fieldPosition="2"/>
    </format>
    <format dxfId="727">
      <pivotArea field="12" type="button" dataOnly="0" labelOnly="1" outline="0" axis="axisRow" fieldPosition="3"/>
    </format>
    <format dxfId="726">
      <pivotArea field="19" type="button" dataOnly="0" labelOnly="1" outline="0" axis="axisRow" fieldPosition="6"/>
    </format>
    <format dxfId="725">
      <pivotArea dataOnly="0" labelOnly="1" outline="0" fieldPosition="0">
        <references count="1">
          <reference field="4294967294" count="2">
            <x v="0"/>
            <x v="1"/>
          </reference>
        </references>
      </pivotArea>
    </format>
    <format dxfId="724">
      <pivotArea type="all" dataOnly="0" outline="0" fieldPosition="0"/>
    </format>
  </formats>
  <pivotTableStyleInfo name="PivotStyleMedium2"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8.xml><?xml version="1.0" encoding="utf-8"?>
<pivotTableDefinition xmlns="http://schemas.openxmlformats.org/spreadsheetml/2006/main" name="PivotTable1" cacheId="64" applyNumberFormats="0" applyBorderFormats="0" applyFontFormats="0" applyPatternFormats="0" applyAlignmentFormats="0" applyWidthHeightFormats="1" dataCaption="Values" updatedVersion="5" minRefreshableVersion="3" showDrill="0" useAutoFormatting="1" rowGrandTotals="0" colGrandTotals="0" itemPrintTitles="1" createdVersion="4" indent="0" compact="0" compactData="0" multipleFieldFilters="0">
  <location ref="A3:H141" firstHeaderRow="0" firstDataRow="1" firstDataCol="6" rowPageCount="1" colPageCount="1"/>
  <pivotFields count="42">
    <pivotField axis="axisPage" compact="0" outline="0" multipleItemSelectionAllowed="1" showAll="0" defaultSubtotal="0">
      <items count="2">
        <item h="1" x="0"/>
        <item x="1"/>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items count="21">
        <item x="1"/>
        <item x="4"/>
        <item x="0"/>
        <item x="6"/>
        <item x="8"/>
        <item x="7"/>
        <item x="5"/>
        <item x="9"/>
        <item x="2"/>
        <item x="10"/>
        <item x="11"/>
        <item x="12"/>
        <item x="13"/>
        <item x="14"/>
        <item x="15"/>
        <item x="16"/>
        <item x="18"/>
        <item x="17"/>
        <item x="19"/>
        <item x="20"/>
        <item x="3"/>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240">
        <item x="0"/>
        <item x="36"/>
        <item x="29"/>
        <item x="2"/>
        <item x="35"/>
        <item x="51"/>
        <item x="6"/>
        <item x="13"/>
        <item x="8"/>
        <item x="9"/>
        <item x="10"/>
        <item x="11"/>
        <item x="12"/>
        <item x="37"/>
        <item x="14"/>
        <item x="15"/>
        <item x="16"/>
        <item x="222"/>
        <item x="83"/>
        <item x="75"/>
        <item x="43"/>
        <item x="21"/>
        <item x="25"/>
        <item x="23"/>
        <item x="48"/>
        <item x="163"/>
        <item x="161"/>
        <item x="162"/>
        <item x="108"/>
        <item x="30"/>
        <item x="31"/>
        <item x="32"/>
        <item x="33"/>
        <item x="34"/>
        <item x="207"/>
        <item x="239"/>
        <item x="50"/>
        <item x="53"/>
        <item x="39"/>
        <item x="1"/>
        <item x="143"/>
        <item x="144"/>
        <item x="42"/>
        <item x="22"/>
        <item x="105"/>
        <item x="17"/>
        <item x="226"/>
        <item x="52"/>
        <item x="195"/>
        <item x="185"/>
        <item x="186"/>
        <item x="219"/>
        <item x="57"/>
        <item x="102"/>
        <item x="60"/>
        <item x="69"/>
        <item x="68"/>
        <item x="165"/>
        <item x="93"/>
        <item x="59"/>
        <item x="66"/>
        <item x="73"/>
        <item x="24"/>
        <item x="82"/>
        <item x="200"/>
        <item x="71"/>
        <item x="182"/>
        <item x="181"/>
        <item x="28"/>
        <item x="44"/>
        <item x="54"/>
        <item x="3"/>
        <item x="135"/>
        <item x="132"/>
        <item x="138"/>
        <item x="81"/>
        <item x="84"/>
        <item x="85"/>
        <item x="206"/>
        <item x="217"/>
        <item x="109"/>
        <item x="211"/>
        <item x="213"/>
        <item x="209"/>
        <item x="208"/>
        <item x="72"/>
        <item x="74"/>
        <item x="184"/>
        <item x="103"/>
        <item x="167"/>
        <item x="98"/>
        <item x="99"/>
        <item x="110"/>
        <item x="111"/>
        <item x="77"/>
        <item x="79"/>
        <item x="76"/>
        <item x="78"/>
        <item x="80"/>
        <item x="106"/>
        <item x="107"/>
        <item x="87"/>
        <item x="88"/>
        <item x="89"/>
        <item x="86"/>
        <item x="112"/>
        <item x="113"/>
        <item x="114"/>
        <item x="115"/>
        <item x="116"/>
        <item x="117"/>
        <item x="118"/>
        <item x="119"/>
        <item x="156"/>
        <item x="160"/>
        <item x="122"/>
        <item x="123"/>
        <item x="124"/>
        <item x="125"/>
        <item x="55"/>
        <item x="127"/>
        <item x="128"/>
        <item x="63"/>
        <item x="129"/>
        <item x="133"/>
        <item x="134"/>
        <item x="146"/>
        <item x="136"/>
        <item x="137"/>
        <item x="64"/>
        <item x="65"/>
        <item x="140"/>
        <item x="141"/>
        <item x="149"/>
        <item x="150"/>
        <item x="18"/>
        <item x="145"/>
        <item x="121"/>
        <item x="147"/>
        <item x="191"/>
        <item x="189"/>
        <item x="192"/>
        <item x="190"/>
        <item x="152"/>
        <item x="153"/>
        <item x="154"/>
        <item x="148"/>
        <item x="62"/>
        <item x="157"/>
        <item x="158"/>
        <item x="159"/>
        <item x="41"/>
        <item x="194"/>
        <item x="193"/>
        <item x="188"/>
        <item x="155"/>
        <item x="4"/>
        <item x="38"/>
        <item x="168"/>
        <item x="58"/>
        <item x="92"/>
        <item x="171"/>
        <item x="214"/>
        <item x="100"/>
        <item x="177"/>
        <item x="178"/>
        <item x="104"/>
        <item x="170"/>
        <item x="183"/>
        <item x="139"/>
        <item x="151"/>
        <item x="120"/>
        <item x="26"/>
        <item x="187"/>
        <item x="7"/>
        <item x="126"/>
        <item x="221"/>
        <item x="231"/>
        <item x="230"/>
        <item x="234"/>
        <item x="236"/>
        <item x="46"/>
        <item x="19"/>
        <item x="197"/>
        <item x="45"/>
        <item x="199"/>
        <item x="27"/>
        <item x="142"/>
        <item x="179"/>
        <item x="180"/>
        <item x="220"/>
        <item x="201"/>
        <item x="202"/>
        <item x="166"/>
        <item x="210"/>
        <item x="97"/>
        <item x="212"/>
        <item x="205"/>
        <item x="20"/>
        <item x="215"/>
        <item x="130"/>
        <item x="169"/>
        <item x="176"/>
        <item x="172"/>
        <item x="173"/>
        <item x="237"/>
        <item x="223"/>
        <item x="224"/>
        <item x="225"/>
        <item x="198"/>
        <item x="235"/>
        <item x="228"/>
        <item x="229"/>
        <item x="47"/>
        <item x="216"/>
        <item x="232"/>
        <item x="233"/>
        <item x="164"/>
        <item x="5"/>
        <item x="40"/>
        <item x="238"/>
        <item x="61"/>
        <item x="49"/>
        <item x="96"/>
        <item x="95"/>
        <item x="131"/>
        <item x="174"/>
        <item x="67"/>
        <item x="218"/>
        <item x="175"/>
        <item x="227"/>
        <item x="196"/>
        <item x="56"/>
        <item x="94"/>
        <item x="91"/>
        <item x="90"/>
        <item x="203"/>
        <item x="204"/>
        <item x="101"/>
        <item x="70"/>
      </items>
      <extLst>
        <ext xmlns:x14="http://schemas.microsoft.com/office/spreadsheetml/2009/9/main" uri="{2946ED86-A175-432a-8AC1-64E0C546D7DE}">
          <x14:pivotField fillDownLabels="1"/>
        </ext>
      </extLst>
    </pivotField>
    <pivotField name="CpPcode" axis="axisRow" compact="0" outline="0" showAll="0" defaultSubtotal="0">
      <items count="243">
        <item x="171"/>
        <item x="185"/>
        <item x="174"/>
        <item x="178"/>
        <item x="175"/>
        <item x="181"/>
        <item x="182"/>
        <item x="169"/>
        <item x="168"/>
        <item x="163"/>
        <item x="164"/>
        <item x="165"/>
        <item x="167"/>
        <item x="183"/>
        <item x="184"/>
        <item x="186"/>
        <item x="147"/>
        <item x="187"/>
        <item x="188"/>
        <item x="158"/>
        <item x="162"/>
        <item x="166"/>
        <item x="177"/>
        <item x="157"/>
        <item x="233"/>
        <item x="239"/>
        <item x="209"/>
        <item x="210"/>
        <item x="216"/>
        <item x="237"/>
        <item x="214"/>
        <item x="234"/>
        <item x="217"/>
        <item x="176"/>
        <item x="133"/>
        <item x="231"/>
        <item x="240"/>
        <item x="238"/>
        <item x="211"/>
        <item x="212"/>
        <item x="223"/>
        <item x="25"/>
        <item x="22"/>
        <item x="235"/>
        <item x="24"/>
        <item x="34"/>
        <item x="19"/>
        <item x="57"/>
        <item x="3"/>
        <item x="2"/>
        <item x="18"/>
        <item x="17"/>
        <item x="5"/>
        <item x="4"/>
        <item x="20"/>
        <item x="131"/>
        <item x="135"/>
        <item x="109"/>
        <item x="172"/>
        <item x="132"/>
        <item x="123"/>
        <item x="105"/>
        <item x="112"/>
        <item x="111"/>
        <item x="128"/>
        <item x="87"/>
        <item x="204"/>
        <item x="205"/>
        <item x="134"/>
        <item x="140"/>
        <item x="137"/>
        <item x="141"/>
        <item x="144"/>
        <item x="59"/>
        <item x="200"/>
        <item x="90"/>
        <item x="94"/>
        <item x="93"/>
        <item x="98"/>
        <item x="170"/>
        <item x="179"/>
        <item x="180"/>
        <item x="127"/>
        <item x="126"/>
        <item x="21"/>
        <item x="129"/>
        <item x="125"/>
        <item x="55"/>
        <item x="9"/>
        <item x="115"/>
        <item x="114"/>
        <item x="119"/>
        <item x="116"/>
        <item x="121"/>
        <item x="117"/>
        <item x="118"/>
        <item x="120"/>
        <item x="227"/>
        <item x="189"/>
        <item x="38"/>
        <item x="202"/>
        <item x="40"/>
        <item x="124"/>
        <item x="85"/>
        <item x="199"/>
        <item x="43"/>
        <item x="218"/>
        <item x="230"/>
        <item x="225"/>
        <item x="16"/>
        <item x="242"/>
        <item x="219"/>
        <item x="67"/>
        <item x="108"/>
        <item x="220"/>
        <item x="221"/>
        <item x="222"/>
        <item x="107"/>
        <item x="110"/>
        <item x="122"/>
        <item x="83"/>
        <item x="84"/>
        <item x="106"/>
        <item x="77"/>
        <item x="78"/>
        <item x="81"/>
        <item x="82"/>
        <item x="149"/>
        <item x="161"/>
        <item x="72"/>
        <item x="203"/>
        <item x="50"/>
        <item x="74"/>
        <item x="101"/>
        <item x="23"/>
        <item x="224"/>
        <item x="153"/>
        <item x="1"/>
        <item x="54"/>
        <item x="29"/>
        <item x="37"/>
        <item x="8"/>
        <item x="0"/>
        <item x="15"/>
        <item x="6"/>
        <item x="48"/>
        <item x="236"/>
        <item x="35"/>
        <item x="143"/>
        <item x="130"/>
        <item x="36"/>
        <item x="30"/>
        <item x="44"/>
        <item x="46"/>
        <item x="45"/>
        <item x="47"/>
        <item x="232"/>
        <item x="31"/>
        <item x="14"/>
        <item x="39"/>
        <item x="51"/>
        <item x="53"/>
        <item x="41"/>
        <item x="7"/>
        <item x="13"/>
        <item x="28"/>
        <item x="71"/>
        <item x="103"/>
        <item x="113"/>
        <item x="201"/>
        <item x="104"/>
        <item x="241"/>
        <item x="66"/>
        <item x="139"/>
        <item x="159"/>
        <item x="208"/>
        <item x="229"/>
        <item x="160"/>
        <item x="26"/>
        <item x="228"/>
        <item x="99"/>
        <item x="100"/>
        <item x="12"/>
        <item x="10"/>
        <item x="11"/>
        <item x="52"/>
        <item x="73"/>
        <item x="213"/>
        <item x="173"/>
        <item x="86"/>
        <item x="215"/>
        <item x="75"/>
        <item x="226"/>
        <item x="27"/>
        <item x="76"/>
        <item x="197"/>
        <item x="79"/>
        <item x="42"/>
        <item x="80"/>
        <item x="191"/>
        <item x="155"/>
        <item x="192"/>
        <item x="193"/>
        <item x="148"/>
        <item x="64"/>
        <item x="62"/>
        <item x="88"/>
        <item x="145"/>
        <item x="150"/>
        <item x="136"/>
        <item x="196"/>
        <item x="60"/>
        <item x="69"/>
        <item x="68"/>
        <item x="63"/>
        <item x="142"/>
        <item x="61"/>
        <item x="146"/>
        <item x="138"/>
        <item x="154"/>
        <item x="156"/>
        <item x="58"/>
        <item x="89"/>
        <item x="195"/>
        <item x="32"/>
        <item x="33"/>
        <item x="151"/>
        <item x="194"/>
        <item x="190"/>
        <item x="152"/>
        <item x="65"/>
        <item x="49"/>
        <item x="97"/>
        <item x="96"/>
        <item x="56"/>
        <item x="198"/>
        <item x="95"/>
        <item x="92"/>
        <item x="91"/>
        <item x="206"/>
        <item x="207"/>
        <item x="102"/>
        <item x="70"/>
      </items>
      <extLst>
        <ext xmlns:x14="http://schemas.microsoft.com/office/spreadsheetml/2009/9/main" uri="{2946ED86-A175-432a-8AC1-64E0C546D7DE}">
          <x14:pivotField fillDownLabels="1"/>
        </ext>
      </extLst>
    </pivotField>
    <pivotField axis="axisRow" compact="0" outline="0" showAll="0" defaultSubtotal="0">
      <items count="190">
        <item x="30"/>
        <item x="32"/>
        <item x="29"/>
        <item x="33"/>
        <item x="181"/>
        <item x="26"/>
        <item x="91"/>
        <item x="28"/>
        <item x="139"/>
        <item x="188"/>
        <item x="95"/>
        <item x="38"/>
        <item x="37"/>
        <item x="36"/>
        <item x="39"/>
        <item x="27"/>
        <item x="8"/>
        <item x="25"/>
        <item x="94"/>
        <item x="22"/>
        <item x="24"/>
        <item x="34"/>
        <item x="31"/>
        <item x="10"/>
        <item x="110"/>
        <item x="23"/>
        <item x="97"/>
        <item x="0"/>
        <item x="78"/>
        <item x="76"/>
        <item x="9"/>
        <item x="35"/>
        <item x="158"/>
        <item x="159"/>
        <item x="106"/>
        <item x="73"/>
        <item x="71"/>
        <item x="72"/>
        <item x="70"/>
        <item x="69"/>
        <item x="123"/>
        <item x="105"/>
        <item x="41"/>
        <item x="55"/>
        <item x="15"/>
        <item x="1"/>
        <item x="14"/>
        <item x="13"/>
        <item x="12"/>
        <item x="2"/>
        <item x="177"/>
        <item x="3"/>
        <item x="5"/>
        <item x="7"/>
        <item x="90"/>
        <item x="122"/>
        <item x="124"/>
        <item x="68"/>
        <item x="54"/>
        <item x="4"/>
        <item x="89"/>
        <item x="82"/>
        <item x="81"/>
        <item x="98"/>
        <item x="169"/>
        <item x="86"/>
        <item x="102"/>
        <item x="133"/>
        <item x="80"/>
        <item x="146"/>
        <item x="114"/>
        <item x="135"/>
        <item x="147"/>
        <item x="126"/>
        <item x="136"/>
        <item x="125"/>
        <item x="127"/>
        <item x="132"/>
        <item x="138"/>
        <item x="144"/>
        <item x="153"/>
        <item x="140"/>
        <item x="142"/>
        <item x="128"/>
        <item x="154"/>
        <item x="164"/>
        <item x="129"/>
        <item x="93"/>
        <item x="143"/>
        <item x="88"/>
        <item x="145"/>
        <item x="157"/>
        <item x="99"/>
        <item x="141"/>
        <item x="131"/>
        <item x="130"/>
        <item x="100"/>
        <item x="165"/>
        <item x="187"/>
        <item x="96"/>
        <item x="186"/>
        <item x="167"/>
        <item x="119"/>
        <item x="166"/>
        <item x="184"/>
        <item x="168"/>
        <item x="180"/>
        <item x="182"/>
        <item x="183"/>
        <item x="185"/>
        <item x="163"/>
        <item x="87"/>
        <item x="178"/>
        <item x="170"/>
        <item x="85"/>
        <item x="50"/>
        <item x="155"/>
        <item x="173"/>
        <item x="162"/>
        <item x="84"/>
        <item x="61"/>
        <item x="59"/>
        <item x="134"/>
        <item x="64"/>
        <item x="67"/>
        <item x="63"/>
        <item x="60"/>
        <item x="62"/>
        <item x="49"/>
        <item x="58"/>
        <item x="66"/>
        <item x="65"/>
        <item x="83"/>
        <item x="149"/>
        <item x="150"/>
        <item x="120"/>
        <item x="151"/>
        <item x="152"/>
        <item x="148"/>
        <item x="111"/>
        <item x="77"/>
        <item x="171"/>
        <item x="107"/>
        <item x="56"/>
        <item x="104"/>
        <item x="108"/>
        <item x="101"/>
        <item x="172"/>
        <item x="92"/>
        <item x="179"/>
        <item x="47"/>
        <item x="189"/>
        <item x="46"/>
        <item x="45"/>
        <item x="11"/>
        <item x="44"/>
        <item x="117"/>
        <item x="118"/>
        <item x="176"/>
        <item x="52"/>
        <item x="51"/>
        <item x="175"/>
        <item x="174"/>
        <item x="115"/>
        <item x="113"/>
        <item x="112"/>
        <item x="116"/>
        <item x="43"/>
        <item x="109"/>
        <item x="48"/>
        <item x="103"/>
        <item x="42"/>
        <item x="17"/>
        <item x="16"/>
        <item x="6"/>
        <item x="75"/>
        <item x="74"/>
        <item x="57"/>
        <item x="18"/>
        <item x="21"/>
        <item x="19"/>
        <item x="20"/>
        <item x="121"/>
        <item x="156"/>
        <item x="40"/>
        <item x="160"/>
        <item x="161"/>
        <item x="79"/>
        <item x="137"/>
        <item x="53"/>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2">
        <item x="0"/>
        <item x="1"/>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name="Accomodation" axis="axisRow" compact="0" outline="0" showAll="0" defaultSubtotal="0">
      <items count="5">
        <item x="4"/>
        <item x="0"/>
        <item h="1" x="1"/>
        <item h="1" x="3"/>
        <item h="1" x="2"/>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name="ResponsibleAgency" axis="axisRow" compact="0" outline="0" showAll="0" defaultSubtotal="0">
      <items count="6">
        <item x="3"/>
        <item x="1"/>
        <item x="4"/>
        <item x="2"/>
        <item x="0"/>
        <item x="5"/>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showAll="0" defaultSubtotal="0">
      <items count="12">
        <item x="3"/>
        <item x="8"/>
        <item x="0"/>
        <item x="10"/>
        <item x="5"/>
        <item x="11"/>
        <item x="4"/>
        <item x="1"/>
        <item x="6"/>
        <item x="9"/>
        <item x="7"/>
        <item x="2"/>
      </items>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s>
  <rowFields count="6">
    <field x="11"/>
    <field x="12"/>
    <field x="13"/>
    <field x="19"/>
    <field x="21"/>
    <field x="25"/>
  </rowFields>
  <rowItems count="138">
    <i>
      <x v="1"/>
      <x v="150"/>
      <x v="25"/>
      <x/>
      <x v="1"/>
      <x/>
    </i>
    <i>
      <x v="2"/>
      <x v="139"/>
      <x v="23"/>
      <x/>
      <x v="1"/>
      <x v="2"/>
    </i>
    <i>
      <x v="3"/>
      <x v="49"/>
      <x v="49"/>
      <x/>
      <x v="1"/>
      <x v="1"/>
    </i>
    <i>
      <x v="4"/>
      <x v="147"/>
      <x v="19"/>
      <x/>
      <x v="1"/>
      <x v="3"/>
    </i>
    <i>
      <x v="5"/>
      <x v="160"/>
      <x v="13"/>
      <x/>
      <x v="1"/>
      <x v="3"/>
    </i>
    <i>
      <x v="7"/>
      <x v="164"/>
      <x v="53"/>
      <x/>
      <x v="1"/>
      <x/>
    </i>
    <i>
      <x v="13"/>
      <x v="140"/>
      <x v="20"/>
      <x/>
      <x v="1"/>
      <x/>
    </i>
    <i>
      <x v="17"/>
      <x v="108"/>
      <x v="158"/>
      <x v="1"/>
      <x v="1"/>
      <x v="2"/>
    </i>
    <i>
      <x v="18"/>
      <x v="121"/>
      <x v="130"/>
      <x v="1"/>
      <x v="1"/>
      <x v="1"/>
    </i>
    <i>
      <x v="19"/>
      <x v="194"/>
      <x v="129"/>
      <x v="1"/>
      <x v="1"/>
      <x v="1"/>
    </i>
    <i>
      <x v="20"/>
      <x v="105"/>
      <x v="2"/>
      <x/>
      <x v="1"/>
      <x v="3"/>
    </i>
    <i>
      <x v="22"/>
      <x v="41"/>
      <x v="178"/>
      <x/>
      <x v="1"/>
      <x v="3"/>
    </i>
    <i>
      <x v="24"/>
      <x v="145"/>
      <x v="21"/>
      <x/>
      <x v="1"/>
      <x v="3"/>
    </i>
    <i>
      <x v="25"/>
      <x v="11"/>
      <x v="76"/>
      <x/>
      <x v="1"/>
      <x/>
    </i>
    <i>
      <x v="26"/>
      <x v="9"/>
      <x v="75"/>
      <x/>
      <x v="1"/>
      <x/>
    </i>
    <i>
      <x v="27"/>
      <x v="10"/>
      <x v="73"/>
      <x/>
      <x v="1"/>
      <x/>
    </i>
    <i>
      <x v="28"/>
      <x v="118"/>
      <x v="111"/>
      <x v="1"/>
      <x v="1"/>
      <x v="2"/>
    </i>
    <i>
      <x v="34"/>
      <x v="27"/>
      <x v="85"/>
      <x/>
      <x v="1"/>
      <x v="3"/>
    </i>
    <i>
      <x v="35"/>
      <x v="110"/>
      <x v="151"/>
      <x v="1"/>
      <x v="1"/>
      <x/>
    </i>
    <i>
      <x v="36"/>
      <x v="131"/>
      <x v="31"/>
      <x/>
      <x v="1"/>
      <x/>
    </i>
    <i>
      <x v="37"/>
      <x v="161"/>
      <x v="12"/>
      <x/>
      <x v="1"/>
      <x v="3"/>
    </i>
    <i>
      <x v="42"/>
      <x v="197"/>
      <x v="7"/>
      <x/>
      <x v="1"/>
      <x/>
    </i>
    <i>
      <x v="43"/>
      <x v="42"/>
      <x v="173"/>
      <x v="1"/>
      <x v="1"/>
      <x/>
    </i>
    <i>
      <x v="44"/>
      <x v="117"/>
      <x v="119"/>
      <x v="1"/>
      <x v="1"/>
      <x v="2"/>
    </i>
    <i>
      <x v="45"/>
      <x v="51"/>
      <x v="48"/>
      <x/>
      <x v="1"/>
      <x/>
    </i>
    <i>
      <x v="46"/>
      <x v="176"/>
      <x v="112"/>
      <x v="1"/>
      <x/>
      <x v="4"/>
    </i>
    <i>
      <x v="49"/>
      <x v="17"/>
      <x v="69"/>
      <x/>
      <x v="1"/>
      <x/>
    </i>
    <i>
      <x v="50"/>
      <x v="18"/>
      <x v="72"/>
      <x/>
      <x v="1"/>
      <x v="2"/>
    </i>
    <i>
      <x v="51"/>
      <x v="116"/>
      <x v="117"/>
      <x v="1"/>
      <x v="1"/>
      <x v="2"/>
    </i>
    <i>
      <x v="54"/>
      <x v="211"/>
      <x v="155"/>
      <x/>
      <x v="1"/>
      <x/>
    </i>
    <i>
      <x v="55"/>
      <x v="212"/>
      <x v="159"/>
      <x/>
      <x v="1"/>
      <x/>
    </i>
    <i>
      <x v="56"/>
      <x v="213"/>
      <x v="160"/>
      <x/>
      <x v="1"/>
      <x v="5"/>
    </i>
    <i>
      <x v="57"/>
      <x v="12"/>
      <x v="86"/>
      <x/>
      <x v="1"/>
      <x/>
    </i>
    <i>
      <x v="58"/>
      <x v="76"/>
      <x v="35"/>
      <x/>
      <x v="1"/>
      <x/>
    </i>
    <i>
      <x v="59"/>
      <x v="73"/>
      <x v="167"/>
      <x/>
      <x v="1"/>
      <x v="4"/>
    </i>
    <i>
      <x v="63"/>
      <x v="120"/>
      <x v="131"/>
      <x v="1"/>
      <x v="1"/>
      <x v="1"/>
    </i>
    <i>
      <x v="66"/>
      <x v="14"/>
      <x v="88"/>
      <x/>
      <x v="1"/>
      <x/>
    </i>
    <i>
      <x v="67"/>
      <x v="13"/>
      <x v="82"/>
      <x/>
      <x v="1"/>
      <x/>
    </i>
    <i>
      <x v="68"/>
      <x v="165"/>
      <x v="179"/>
      <x/>
      <x v="1"/>
      <x v="3"/>
    </i>
    <i>
      <x v="69"/>
      <x v="152"/>
      <x/>
      <x/>
      <x v="1"/>
      <x v="3"/>
    </i>
    <i>
      <x v="70"/>
      <x v="138"/>
      <x v="11"/>
      <x/>
      <x v="1"/>
      <x v="3"/>
    </i>
    <i>
      <x v="71"/>
      <x v="48"/>
      <x v="51"/>
      <x/>
      <x v="1"/>
      <x v="3"/>
    </i>
    <i>
      <x v="72"/>
      <x v="70"/>
      <x v="144"/>
      <x/>
      <x v="1"/>
      <x/>
    </i>
    <i>
      <x v="73"/>
      <x v="68"/>
      <x v="146"/>
      <x/>
      <x v="1"/>
      <x v="1"/>
    </i>
    <i>
      <x v="74"/>
      <x v="69"/>
      <x v="142"/>
      <x/>
      <x v="1"/>
      <x/>
    </i>
    <i>
      <x v="78"/>
      <x v="26"/>
      <x v="110"/>
      <x/>
      <x v="1"/>
      <x/>
    </i>
    <i>
      <x v="79"/>
      <x v="114"/>
      <x v="141"/>
      <x v="1"/>
      <x v="1"/>
      <x v="2"/>
    </i>
    <i>
      <x v="81"/>
      <x v="30"/>
      <x v="101"/>
      <x/>
      <x v="1"/>
      <x v="3"/>
    </i>
    <i>
      <x v="82"/>
      <x v="28"/>
      <x v="105"/>
      <x/>
      <x v="1"/>
      <x v="2"/>
    </i>
    <i>
      <x v="83"/>
      <x v="39"/>
      <x v="103"/>
      <x/>
      <x v="1"/>
      <x/>
    </i>
    <i>
      <x v="84"/>
      <x v="38"/>
      <x v="97"/>
      <x/>
      <x v="1"/>
      <x/>
    </i>
    <i>
      <x v="85"/>
      <x v="186"/>
      <x v="43"/>
      <x/>
      <x v="1"/>
      <x/>
    </i>
    <i>
      <x v="86"/>
      <x v="191"/>
      <x v="177"/>
      <x/>
      <x v="1"/>
      <x v="1"/>
    </i>
    <i>
      <x v="87"/>
      <x v="15"/>
      <x v="90"/>
      <x/>
      <x v="1"/>
      <x/>
    </i>
    <i>
      <x v="88"/>
      <x v="61"/>
      <x v="61"/>
      <x/>
      <x v="1"/>
      <x v="1"/>
    </i>
    <i>
      <x v="89"/>
      <x v="7"/>
      <x v="94"/>
      <x/>
      <x v="1"/>
      <x/>
    </i>
    <i>
      <x v="94"/>
      <x v="124"/>
      <x v="126"/>
      <x/>
      <x v="1"/>
      <x/>
    </i>
    <i>
      <x v="95"/>
      <x v="198"/>
      <x v="127"/>
      <x/>
      <x v="1"/>
      <x/>
    </i>
    <i>
      <x v="96"/>
      <x v="123"/>
      <x v="121"/>
      <x/>
      <x v="1"/>
      <x v="1"/>
    </i>
    <i>
      <x v="97"/>
      <x v="196"/>
      <x v="120"/>
      <x/>
      <x v="1"/>
      <x v="1"/>
    </i>
    <i>
      <x v="101"/>
      <x v="206"/>
      <x v="39"/>
      <x/>
      <x v="1"/>
      <x/>
    </i>
    <i>
      <x v="102"/>
      <x v="222"/>
      <x v="38"/>
      <x/>
      <x v="1"/>
      <x v="5"/>
    </i>
    <i>
      <x v="103"/>
      <x v="75"/>
      <x v="36"/>
      <x/>
      <x v="1"/>
      <x/>
    </i>
    <i>
      <x v="104"/>
      <x v="65"/>
      <x v="57"/>
      <x/>
      <x v="1"/>
      <x/>
    </i>
    <i>
      <x v="113"/>
      <x v="19"/>
      <x v="55"/>
      <x/>
      <x v="1"/>
      <x v="3"/>
    </i>
    <i>
      <x v="114"/>
      <x v="20"/>
      <x v="56"/>
      <x/>
      <x v="1"/>
      <x v="3"/>
    </i>
    <i>
      <x v="119"/>
      <x v="87"/>
      <x v="14"/>
      <x/>
      <x v="1"/>
      <x v="3"/>
    </i>
    <i>
      <x v="122"/>
      <x v="214"/>
      <x v="150"/>
      <x/>
      <x v="1"/>
      <x/>
    </i>
    <i>
      <x v="123"/>
      <x v="55"/>
      <x v="63"/>
      <x/>
      <x v="1"/>
      <x/>
    </i>
    <i>
      <x v="129"/>
      <x v="204"/>
      <x v="169"/>
      <x/>
      <x v="1"/>
      <x/>
    </i>
    <i>
      <x v="130"/>
      <x v="230"/>
      <x v="174"/>
      <x/>
      <x v="1"/>
      <x v="5"/>
    </i>
    <i>
      <x v="133"/>
      <x v="226"/>
      <x v="156"/>
      <x/>
      <x v="1"/>
      <x/>
    </i>
    <i>
      <x v="134"/>
      <x v="229"/>
      <x v="157"/>
      <x/>
      <x v="1"/>
      <x v="5"/>
    </i>
    <i>
      <x v="135"/>
      <x v="50"/>
      <x v="47"/>
      <x/>
      <x v="1"/>
      <x v="3"/>
    </i>
    <i>
      <x v="139"/>
      <x v="202"/>
      <x v="136"/>
      <x/>
      <x v="1"/>
      <x/>
    </i>
    <i>
      <x v="140"/>
      <x v="199"/>
      <x v="133"/>
      <x/>
      <x v="1"/>
      <x/>
    </i>
    <i>
      <x v="141"/>
      <x v="227"/>
      <x v="137"/>
      <x/>
      <x v="1"/>
      <x/>
    </i>
    <i>
      <x v="142"/>
      <x v="201"/>
      <x v="134"/>
      <x/>
      <x v="1"/>
      <x v="5"/>
    </i>
    <i>
      <x v="147"/>
      <x v="205"/>
      <x v="152"/>
      <x/>
      <x v="1"/>
      <x/>
    </i>
    <i>
      <x v="151"/>
      <x v="162"/>
      <x v="15"/>
      <x/>
      <x v="1"/>
      <x v="3"/>
    </i>
    <i>
      <x v="152"/>
      <x v="210"/>
      <x v="84"/>
      <x/>
      <x v="1"/>
      <x/>
    </i>
    <i>
      <x v="154"/>
      <x v="228"/>
      <x v="138"/>
      <x/>
      <x v="1"/>
      <x/>
    </i>
    <i>
      <x v="155"/>
      <x v="23"/>
      <x v="182"/>
      <x/>
      <x v="1"/>
      <x v="2"/>
    </i>
    <i>
      <x v="156"/>
      <x v="53"/>
      <x v="59"/>
      <x/>
      <x v="1"/>
      <x v="1"/>
    </i>
    <i>
      <x v="157"/>
      <x v="99"/>
      <x v="17"/>
      <x/>
      <x v="1"/>
      <x v="2"/>
    </i>
    <i>
      <x v="160"/>
      <x v="77"/>
      <x v="37"/>
      <x/>
      <x v="1"/>
      <x/>
    </i>
    <i>
      <x v="162"/>
      <x v="32"/>
      <x v="64"/>
      <x/>
      <x v="1"/>
      <x v="3"/>
    </i>
    <i>
      <x v="163"/>
      <x v="133"/>
      <x v="28"/>
      <x/>
      <x v="1"/>
      <x/>
    </i>
    <i>
      <x v="166"/>
      <x v="122"/>
      <x v="132"/>
      <x v="1"/>
      <x v="1"/>
      <x v="1"/>
    </i>
    <i>
      <x v="168"/>
      <x v="1"/>
      <x v="79"/>
      <x/>
      <x v="1"/>
      <x/>
    </i>
    <i>
      <x v="169"/>
      <x v="71"/>
      <x v="145"/>
      <x/>
      <x v="1"/>
      <x/>
    </i>
    <i>
      <x v="170"/>
      <x v="136"/>
      <x v="102"/>
      <x/>
      <x v="1"/>
      <x v="2"/>
    </i>
    <i>
      <x v="171"/>
      <x v="119"/>
      <x v="148"/>
      <x v="1"/>
      <x v="1"/>
      <x v="1"/>
    </i>
    <i>
      <x v="172"/>
      <x v="178"/>
      <x v="180"/>
      <x/>
      <x v="1"/>
      <x v="2"/>
    </i>
    <i>
      <x v="174"/>
      <x v="163"/>
      <x v="53"/>
      <x/>
      <x v="1"/>
      <x/>
    </i>
    <i>
      <x v="176"/>
      <x v="135"/>
      <x v="161"/>
      <x v="1"/>
      <x v="1"/>
      <x v="2"/>
    </i>
    <i>
      <x v="177"/>
      <x v="31"/>
      <x v="108"/>
      <x/>
      <x v="1"/>
      <x v="3"/>
    </i>
    <i>
      <x v="178"/>
      <x v="24"/>
      <x v="107"/>
      <x/>
      <x v="1"/>
      <x/>
    </i>
    <i>
      <x v="179"/>
      <x v="29"/>
      <x v="104"/>
      <x/>
      <x v="1"/>
      <x v="3"/>
    </i>
    <i>
      <x v="180"/>
      <x v="25"/>
      <x v="100"/>
      <x/>
      <x v="1"/>
      <x v="3"/>
    </i>
    <i>
      <x v="181"/>
      <x v="153"/>
      <x v="1"/>
      <x/>
      <x v="1"/>
      <x v="3"/>
    </i>
    <i>
      <x v="182"/>
      <x v="46"/>
      <x v="46"/>
      <x/>
      <x v="1"/>
      <x/>
    </i>
    <i>
      <x v="184"/>
      <x v="154"/>
      <x v="22"/>
      <x/>
      <x v="1"/>
      <x/>
    </i>
    <i>
      <x v="186"/>
      <x v="193"/>
      <x v="181"/>
      <x/>
      <x v="1"/>
      <x v="2"/>
    </i>
    <i>
      <x v="187"/>
      <x v="72"/>
      <x v="139"/>
      <x/>
      <x v="1"/>
      <x/>
    </i>
    <i>
      <x v="188"/>
      <x v="5"/>
      <x v="81"/>
      <x/>
      <x v="1"/>
      <x/>
    </i>
    <i>
      <x v="189"/>
      <x v="6"/>
      <x v="93"/>
      <x/>
      <x v="1"/>
      <x v="3"/>
    </i>
    <i>
      <x v="190"/>
      <x v="40"/>
      <x v="162"/>
      <x/>
      <x v="1"/>
      <x/>
    </i>
    <i>
      <x v="191"/>
      <x v="66"/>
      <x v="33"/>
      <x/>
      <x v="1"/>
      <x/>
    </i>
    <i>
      <x v="192"/>
      <x v="67"/>
      <x v="33"/>
      <x/>
      <x v="1"/>
      <x v="1"/>
    </i>
    <i>
      <x v="193"/>
      <x v="8"/>
      <x v="95"/>
      <x/>
      <x v="1"/>
      <x/>
    </i>
    <i>
      <x v="195"/>
      <x v="78"/>
      <x v="29"/>
      <x/>
      <x v="1"/>
      <x v="2"/>
    </i>
    <i>
      <x v="197"/>
      <x v="175"/>
      <x v="118"/>
      <x/>
      <x v="1"/>
      <x v="4"/>
    </i>
    <i>
      <x v="198"/>
      <x v="54"/>
      <x v="44"/>
      <x/>
      <x v="1"/>
      <x v="3"/>
    </i>
    <i>
      <x v="201"/>
      <x/>
      <x v="77"/>
      <x/>
      <x v="1"/>
      <x/>
    </i>
    <i>
      <x v="202"/>
      <x v="3"/>
      <x v="78"/>
      <x/>
      <x v="1"/>
      <x v="3"/>
    </i>
    <i>
      <x v="203"/>
      <x v="2"/>
      <x v="71"/>
      <x/>
      <x v="1"/>
      <x/>
    </i>
    <i>
      <x v="204"/>
      <x v="4"/>
      <x v="74"/>
      <x/>
      <x v="1"/>
      <x/>
    </i>
    <i>
      <x v="205"/>
      <x v="36"/>
      <x v="98"/>
      <x/>
      <x v="1"/>
      <x v="3"/>
    </i>
    <i>
      <x v="210"/>
      <x v="37"/>
      <x v="109"/>
      <x/>
      <x v="1"/>
      <x v="3"/>
    </i>
    <i>
      <x v="213"/>
      <x v="155"/>
      <x v="3"/>
      <x/>
      <x v="1"/>
      <x/>
    </i>
    <i>
      <x v="214"/>
      <x v="111"/>
      <x v="113"/>
      <x v="1"/>
      <x v="1"/>
      <x v="2"/>
    </i>
    <i>
      <x v="217"/>
      <x v="21"/>
      <x v="83"/>
      <x/>
      <x v="1"/>
      <x v="3"/>
    </i>
    <i>
      <x v="218"/>
      <x v="52"/>
      <x v="52"/>
      <x/>
      <x v="1"/>
      <x v="3"/>
    </i>
    <i>
      <x v="219"/>
      <x v="101"/>
      <x v="5"/>
      <x/>
      <x v="1"/>
      <x/>
    </i>
    <i>
      <x v="221"/>
      <x v="216"/>
      <x v="153"/>
      <x/>
      <x v="1"/>
      <x/>
    </i>
    <i>
      <x v="222"/>
      <x v="231"/>
      <x v="174"/>
      <x/>
      <x v="1"/>
      <x/>
    </i>
    <i>
      <x v="228"/>
      <x v="115"/>
      <x v="147"/>
      <x v="1"/>
      <x v="1"/>
      <x/>
    </i>
    <i>
      <x v="229"/>
      <x v="22"/>
      <x v="188"/>
      <x/>
      <x v="1"/>
      <x v="3"/>
    </i>
    <i>
      <x v="230"/>
      <x v="107"/>
      <x v="149"/>
      <x v="1"/>
      <x v="1"/>
      <x/>
    </i>
    <i>
      <x v="231"/>
      <x v="235"/>
      <x v="183"/>
      <x/>
      <x v="1"/>
      <x/>
    </i>
    <i>
      <x v="232"/>
      <x v="234"/>
      <x v="184"/>
      <x/>
      <x v="1"/>
      <x/>
    </i>
    <i>
      <x v="234"/>
      <x v="237"/>
      <x v="174"/>
      <x/>
      <x v="1"/>
      <x/>
    </i>
    <i>
      <x v="235"/>
      <x v="238"/>
      <x v="174"/>
      <x/>
      <x v="1"/>
      <x v="2"/>
    </i>
    <i>
      <x v="236"/>
      <x v="239"/>
      <x v="185"/>
      <x/>
      <x v="1"/>
      <x v="4"/>
    </i>
    <i>
      <x v="237"/>
      <x v="240"/>
      <x v="186"/>
      <x/>
      <x v="1"/>
      <x v="4"/>
    </i>
    <i>
      <x v="238"/>
      <x v="241"/>
      <x v="187"/>
      <x/>
      <x/>
      <x v="4"/>
    </i>
    <i>
      <x v="239"/>
      <x v="242"/>
      <x v="189"/>
      <x/>
      <x v="1"/>
      <x v="4"/>
    </i>
  </rowItems>
  <colFields count="1">
    <field x="-2"/>
  </colFields>
  <colItems count="2">
    <i>
      <x/>
    </i>
    <i i="1">
      <x v="1"/>
    </i>
  </colItems>
  <pageFields count="1">
    <pageField fld="0" hier="-1"/>
  </pageFields>
  <dataFields count="2">
    <dataField name="HouseHold" fld="16" baseField="11" baseItem="0"/>
    <dataField name="Individual" fld="17" baseField="11"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Lst>
</pivotTableDefinition>
</file>

<file path=xl/pivotTables/pivotTable9.xml><?xml version="1.0" encoding="utf-8"?>
<pivotTableDefinition xmlns="http://schemas.openxmlformats.org/spreadsheetml/2006/main" name="PivotTable1" cacheId="49" applyNumberFormats="0" applyBorderFormats="0" applyFontFormats="0" applyPatternFormats="0" applyAlignmentFormats="0" applyWidthHeightFormats="1" dataCaption="Values" updatedVersion="5" minRefreshableVersion="3" showDrill="0" useAutoFormatting="1" rowGrandTotals="0" colGrandTotals="0" itemPrintTitles="1" createdVersion="4" indent="0" compact="0" compactData="0" multipleFieldFilters="0">
  <location ref="A3:D22" firstHeaderRow="1" firstDataRow="1" firstDataCol="4" rowPageCount="1" colPageCount="1"/>
  <pivotFields count="23">
    <pivotField compact="0" outline="0" showAll="0" defaultSubtotal="0"/>
    <pivotField axis="axisRow" compact="0" outline="0" showAll="0" defaultSubtotal="0">
      <items count="16">
        <item h="1" x="1"/>
        <item h="1" x="8"/>
        <item h="1" x="6"/>
        <item h="1" x="13"/>
        <item h="1" x="4"/>
        <item h="1" x="9"/>
        <item h="1" x="2"/>
        <item h="1" x="10"/>
        <item x="5"/>
        <item h="1" x="15"/>
        <item h="1" x="7"/>
        <item h="1" x="0"/>
        <item h="1" x="11"/>
        <item h="1" x="12"/>
        <item h="1" x="3"/>
        <item h="1" x="14"/>
      </items>
    </pivotField>
    <pivotField compact="0" outline="0" showAll="0" defaultSubtotal="0"/>
    <pivotField compact="0" outline="0" showAll="0" defaultSubtotal="0"/>
    <pivotField axis="axisRow" compact="0" outline="0" showAll="0" defaultSubtotal="0">
      <items count="17">
        <item x="1"/>
        <item x="4"/>
        <item x="0"/>
        <item x="8"/>
        <item x="3"/>
        <item x="7"/>
        <item x="9"/>
        <item x="15"/>
        <item x="6"/>
        <item x="11"/>
        <item x="5"/>
        <item x="12"/>
        <item x="14"/>
        <item x="16"/>
        <item x="2"/>
        <item x="10"/>
        <item x="13"/>
      </items>
    </pivotField>
    <pivotField axis="axisRow" compact="0" outline="0" showAll="0" defaultSubtotal="0">
      <items count="143">
        <item x="0"/>
        <item x="2"/>
        <item x="3"/>
        <item x="4"/>
        <item x="5"/>
        <item x="6"/>
        <item x="7"/>
        <item x="8"/>
        <item x="9"/>
        <item x="10"/>
        <item x="11"/>
        <item x="12"/>
        <item x="13"/>
        <item x="14"/>
        <item x="15"/>
        <item x="16"/>
        <item x="17"/>
        <item x="18"/>
        <item x="19"/>
        <item x="20"/>
        <item x="21"/>
        <item x="23"/>
        <item x="24"/>
        <item x="25"/>
        <item x="26"/>
        <item x="27"/>
        <item x="28"/>
        <item x="30"/>
        <item x="31"/>
        <item x="32"/>
        <item x="33"/>
        <item x="34"/>
        <item x="35"/>
        <item x="36"/>
        <item x="37"/>
        <item x="38"/>
        <item x="39"/>
        <item x="40"/>
        <item x="41"/>
        <item x="42"/>
        <item x="43"/>
        <item x="44"/>
        <item x="45"/>
        <item x="47"/>
        <item x="48"/>
        <item x="49"/>
        <item x="50"/>
        <item x="51"/>
        <item x="52"/>
        <item x="53"/>
        <item x="54"/>
        <item x="55"/>
        <item x="56"/>
        <item x="57"/>
        <item x="58"/>
        <item x="60"/>
        <item x="61"/>
        <item x="62"/>
        <item x="63"/>
        <item x="65"/>
        <item x="66"/>
        <item x="67"/>
        <item x="68"/>
        <item x="69"/>
        <item x="70"/>
        <item x="72"/>
        <item x="73"/>
        <item x="74"/>
        <item x="75"/>
        <item x="79"/>
        <item x="80"/>
        <item x="81"/>
        <item x="84"/>
        <item x="85"/>
        <item x="86"/>
        <item x="88"/>
        <item x="90"/>
        <item x="91"/>
        <item x="92"/>
        <item x="93"/>
        <item x="94"/>
        <item x="95"/>
        <item x="96"/>
        <item x="97"/>
        <item x="98"/>
        <item x="99"/>
        <item x="100"/>
        <item x="101"/>
        <item x="102"/>
        <item x="104"/>
        <item x="105"/>
        <item x="106"/>
        <item x="107"/>
        <item x="108"/>
        <item x="109"/>
        <item x="110"/>
        <item x="111"/>
        <item x="112"/>
        <item x="113"/>
        <item x="114"/>
        <item x="116"/>
        <item x="117"/>
        <item x="118"/>
        <item x="119"/>
        <item x="120"/>
        <item x="121"/>
        <item x="122"/>
        <item x="123"/>
        <item x="124"/>
        <item x="126"/>
        <item x="127"/>
        <item x="128"/>
        <item x="129"/>
        <item x="130"/>
        <item x="131"/>
        <item x="132"/>
        <item x="133"/>
        <item x="134"/>
        <item x="135"/>
        <item x="136"/>
        <item x="137"/>
        <item x="138"/>
        <item x="139"/>
        <item x="142"/>
        <item x="59"/>
        <item x="71"/>
        <item x="77"/>
        <item x="78"/>
        <item x="82"/>
        <item x="89"/>
        <item x="141"/>
        <item x="103"/>
        <item x="125"/>
        <item x="140"/>
        <item x="76"/>
        <item x="64"/>
        <item x="87"/>
        <item x="29"/>
        <item x="1"/>
        <item x="46"/>
        <item x="83"/>
        <item x="115"/>
        <item x="22"/>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Row" compact="0" outline="0" showAll="0" defaultSubtotal="0">
      <items count="141">
        <item x="113"/>
        <item x="124"/>
        <item x="99"/>
        <item x="127"/>
        <item x="126"/>
        <item x="128"/>
        <item x="117"/>
        <item x="58"/>
        <item x="121"/>
        <item x="15"/>
        <item x="16"/>
        <item x="14"/>
        <item x="32"/>
        <item x="37"/>
        <item x="36"/>
        <item x="56"/>
        <item x="25"/>
        <item x="26"/>
        <item x="68"/>
        <item x="69"/>
        <item x="136"/>
        <item x="90"/>
        <item x="108"/>
        <item x="110"/>
        <item x="47"/>
        <item x="18"/>
        <item x="51"/>
        <item x="109"/>
        <item x="50"/>
        <item x="107"/>
        <item x="94"/>
        <item x="132"/>
        <item x="129"/>
        <item x="131"/>
        <item x="53"/>
        <item x="52"/>
        <item x="118"/>
        <item x="12"/>
        <item x="112"/>
        <item x="41"/>
        <item x="2"/>
        <item x="79"/>
        <item x="24"/>
        <item x="137"/>
        <item x="91"/>
        <item x="123"/>
        <item x="72"/>
        <item x="73"/>
        <item x="62"/>
        <item x="98"/>
        <item x="57"/>
        <item x="49"/>
        <item x="66"/>
        <item x="119"/>
        <item x="120"/>
        <item x="43"/>
        <item x="44"/>
        <item x="42"/>
        <item x="100"/>
        <item x="116"/>
        <item x="65"/>
        <item x="33"/>
        <item x="93"/>
        <item x="122"/>
        <item x="96"/>
        <item x="70"/>
        <item x="67"/>
        <item x="92"/>
        <item x="138"/>
        <item x="11"/>
        <item x="8"/>
        <item x="19"/>
        <item x="135"/>
        <item x="48"/>
        <item x="27"/>
        <item x="23"/>
        <item x="17"/>
        <item x="102"/>
        <item x="35"/>
        <item x="9"/>
        <item x="97"/>
        <item x="61"/>
        <item x="60"/>
        <item x="45"/>
        <item x="95"/>
        <item x="106"/>
        <item x="101"/>
        <item x="40"/>
        <item x="6"/>
        <item x="13"/>
        <item x="3"/>
        <item x="0"/>
        <item x="39"/>
        <item x="111"/>
        <item x="114"/>
        <item x="134"/>
        <item x="133"/>
        <item x="7"/>
        <item x="4"/>
        <item x="20"/>
        <item x="86"/>
        <item x="105"/>
        <item x="5"/>
        <item x="38"/>
        <item x="34"/>
        <item x="75"/>
        <item x="85"/>
        <item x="104"/>
        <item x="54"/>
        <item x="55"/>
        <item x="130"/>
        <item x="10"/>
        <item x="81"/>
        <item x="80"/>
        <item x="74"/>
        <item x="84"/>
        <item x="63"/>
        <item x="21"/>
        <item x="88"/>
        <item x="28"/>
        <item x="30"/>
        <item x="31"/>
        <item x="59"/>
        <item x="71"/>
        <item x="77"/>
        <item x="78"/>
        <item x="82"/>
        <item x="89"/>
        <item x="140"/>
        <item x="76"/>
        <item x="103"/>
        <item x="125"/>
        <item x="139"/>
        <item x="64"/>
        <item x="87"/>
        <item x="29"/>
        <item x="1"/>
        <item x="46"/>
        <item x="83"/>
        <item x="115"/>
        <item x="22"/>
      </items>
    </pivotField>
    <pivotField axis="axisPage" compact="0" outline="0" multipleItemSelectionAllowed="1" showAll="0" defaultSubtotal="0">
      <items count="3">
        <item h="1" x="2"/>
        <item h="1" x="1"/>
        <item x="0"/>
      </items>
    </pivotField>
    <pivotField compact="0" outline="0" showAll="0" defaultSubtotal="0"/>
    <pivotField compact="0" outline="0" showAll="0" defaultSubtotal="0"/>
    <pivotField compact="0" outline="0" showAll="0" defaultSubtotal="0"/>
  </pivotFields>
  <rowFields count="4">
    <field x="1"/>
    <field x="4"/>
    <field x="5"/>
    <field x="18"/>
  </rowFields>
  <rowItems count="19">
    <i>
      <x v="8"/>
      <x/>
      <x v="22"/>
      <x v="42"/>
    </i>
    <i r="2">
      <x v="38"/>
      <x v="39"/>
    </i>
    <i r="2">
      <x v="90"/>
      <x v="101"/>
    </i>
    <i r="2">
      <x v="97"/>
      <x v="38"/>
    </i>
    <i r="2">
      <x v="121"/>
      <x v="43"/>
    </i>
    <i r="1">
      <x v="3"/>
      <x v="27"/>
      <x v="120"/>
    </i>
    <i r="2">
      <x v="28"/>
      <x v="121"/>
    </i>
    <i r="2">
      <x v="130"/>
      <x v="128"/>
    </i>
    <i r="1">
      <x v="4"/>
      <x v="55"/>
      <x v="82"/>
    </i>
    <i r="2">
      <x v="60"/>
      <x v="52"/>
    </i>
    <i r="1">
      <x v="8"/>
      <x v="53"/>
      <x v="50"/>
    </i>
    <i r="2">
      <x v="65"/>
      <x v="46"/>
    </i>
    <i r="1">
      <x v="9"/>
      <x v="126"/>
      <x v="124"/>
    </i>
    <i r="2">
      <x v="127"/>
      <x v="125"/>
    </i>
    <i r="1">
      <x v="11"/>
      <x v="128"/>
      <x v="126"/>
    </i>
    <i r="2">
      <x v="129"/>
      <x v="127"/>
    </i>
    <i r="1">
      <x v="13"/>
      <x v="103"/>
      <x v="53"/>
    </i>
    <i r="1">
      <x v="14"/>
      <x v="119"/>
      <x v="72"/>
    </i>
    <i r="1">
      <x v="16"/>
      <x v="136"/>
      <x v="134"/>
    </i>
  </rowItems>
  <colItems count="1">
    <i/>
  </colItems>
  <pageFields count="1">
    <pageField fld="19" hier="-1"/>
  </pageFields>
  <pivotTableStyleInfo name="PivotStyleMedium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ables/table1.xml><?xml version="1.0" encoding="utf-8"?>
<table xmlns="http://schemas.openxmlformats.org/spreadsheetml/2006/main" id="1" name="CampList" displayName="CampList" ref="A4:AK247" tableType="xml" totalsRowShown="0" headerRowDxfId="868" dataDxfId="866" headerRowBorderDxfId="867" tableBorderDxfId="865" totalsRowBorderDxfId="864" headerRowCellStyle="Normal_Sheet11">
  <autoFilter ref="A4:AK247">
    <filterColumn colId="0">
      <filters>
        <filter val="Open"/>
      </filters>
    </filterColumn>
    <filterColumn colId="20">
      <filters>
        <filter val="IDP"/>
      </filters>
    </filterColumn>
  </autoFilter>
  <sortState ref="A6:AK247">
    <sortCondition ref="F4:F247"/>
  </sortState>
  <tableColumns count="37">
    <tableColumn id="24" uniqueName="Status" name="Status" dataDxfId="863" dataCellStyle="Normal_Sheet3_1">
      <xmlColumnPr mapId="11" xpath="/dataroot/Camp_x005f_x0020_List/Status" xmlDataType="string"/>
    </tableColumn>
    <tableColumn id="2" uniqueName="State" name="State" dataDxfId="862">
      <xmlColumnPr mapId="11" xpath="/dataroot/Camp_x005f_x0020_List/State" xmlDataType="string"/>
    </tableColumn>
    <tableColumn id="12" uniqueName="S_Pcode" name="S_Pcode" dataDxfId="861">
      <xmlColumnPr mapId="11" xpath="/dataroot/Camp_x005f_x0020_List/S_Pcode" xmlDataType="string"/>
    </tableColumn>
    <tableColumn id="23" uniqueName="District" name="District" dataDxfId="860">
      <xmlColumnPr mapId="11" xpath="/dataroot/Camp_x005f_x0020_List/District" xmlDataType="string"/>
    </tableColumn>
    <tableColumn id="19" uniqueName="D_Pcode" name="D_Pcode" dataDxfId="859">
      <xmlColumnPr mapId="11" xpath="/dataroot/Camp_x005f_x0020_List/D_Pcode" xmlDataType="string"/>
    </tableColumn>
    <tableColumn id="3" uniqueName="Township" name="Township" dataDxfId="858">
      <xmlColumnPr mapId="11" xpath="/dataroot/Camp_x005f_x0020_List/Township" xmlDataType="string"/>
    </tableColumn>
    <tableColumn id="13" uniqueName="T_Pcode" name="T_Pcode" dataDxfId="857">
      <xmlColumnPr mapId="11" xpath="/dataroot/Camp_x005f_x0020_List/T_Pcode" xmlDataType="string"/>
    </tableColumn>
    <tableColumn id="14" uniqueName="VillageTracKTown" name="VillageTracKTown" dataDxfId="856">
      <xmlColumnPr mapId="11" xpath="/dataroot/Camp_x005f_x0020_List/VillageTracKTown" xmlDataType="string"/>
    </tableColumn>
    <tableColumn id="15" uniqueName="VTT_Pcode" name="VTT_Pcode" dataDxfId="855">
      <xmlColumnPr mapId="11" xpath="/dataroot/Camp_x005f_x0020_List/VTT_Pcode" xmlDataType="string"/>
    </tableColumn>
    <tableColumn id="16" uniqueName="VillageWard_Name" name="VillageWard_Name" dataDxfId="854">
      <xmlColumnPr mapId="11" xpath="/dataroot/Camp_x005f_x0020_List/VillageWard_Name" xmlDataType="string"/>
    </tableColumn>
    <tableColumn id="17" uniqueName="VW_Pcode" name="VW_Pcode" dataDxfId="853">
      <xmlColumnPr mapId="11" xpath="/dataroot/Camp_x005f_x0020_List/VW_Pcode" xmlDataType="string"/>
    </tableColumn>
    <tableColumn id="4" uniqueName="Camp" name="Camp" dataDxfId="852">
      <xmlColumnPr mapId="11" xpath="/dataroot/Camp_x005f_x0020_List/Camp" xmlDataType="string"/>
    </tableColumn>
    <tableColumn id="5" uniqueName="CP_Pcode" name="CP_Pcode" dataDxfId="851">
      <xmlColumnPr mapId="11" xpath="/dataroot/Camp_x005f_x0020_List/CP_Pcode" xmlDataType="string"/>
    </tableColumn>
    <tableColumn id="6" uniqueName="Longitude" name="Longitude" dataDxfId="850">
      <xmlColumnPr mapId="11" xpath="/dataroot/Camp_x005f_x0020_List/Longitude" xmlDataType="double"/>
    </tableColumn>
    <tableColumn id="7" uniqueName="Latitude" name="Latitude" dataDxfId="849">
      <xmlColumnPr mapId="11" xpath="/dataroot/Camp_x005f_x0020_List/Latitude" xmlDataType="double"/>
    </tableColumn>
    <tableColumn id="25" uniqueName="Altitude" name="Altitude" dataDxfId="848">
      <xmlColumnPr mapId="11" xpath="/dataroot/Camp_x005f_x0020_List/Altitude" xmlDataType="double"/>
    </tableColumn>
    <tableColumn id="8" uniqueName="HH" name="HH" dataDxfId="847">
      <xmlColumnPr mapId="11" xpath="/dataroot/Camp_x005f_x0020_List/HH" xmlDataType="double"/>
    </tableColumn>
    <tableColumn id="9" uniqueName="Total" name="Total" dataDxfId="846">
      <xmlColumnPr mapId="11" xpath="/dataroot/Camp_x005f_x0020_List/Total" xmlDataType="double"/>
    </tableColumn>
    <tableColumn id="11" uniqueName="Avg" name="Avg" dataDxfId="845">
      <calculatedColumnFormula>IF(CampList[[#This Row],[HH]]&gt;0,CampList[[#This Row],[Total]]/CampList[[#This Row],[HH]],"NA")</calculatedColumnFormula>
      <xmlColumnPr mapId="11" xpath="/dataroot/Camp_x005f_x0020_List/Avg" xmlDataType="string"/>
    </tableColumn>
    <tableColumn id="28" uniqueName="Accessibility" name="Accessibility" dataDxfId="844">
      <xmlColumnPr mapId="11" xpath="/dataroot/Camp_x005f_x0020_List/Accessibility" xmlDataType="string"/>
    </tableColumn>
    <tableColumn id="1" uniqueName="Affected Population" name="Affected Population" dataDxfId="843">
      <xmlColumnPr mapId="11" xpath="/dataroot/Camp_x005f_x0020_List/Affected_x005f_x0020_Population" xmlDataType="string"/>
    </tableColumn>
    <tableColumn id="29" uniqueName="Type of Accomodation" name="Type of Accomodation" dataDxfId="842">
      <xmlColumnPr mapId="11" xpath="/dataroot/Camp_x005f_x0020_List/Type_x005f_x0020_of_x005f_x0020_Accomodation" xmlDataType="string"/>
    </tableColumn>
    <tableColumn id="30" uniqueName="Type of Location" name="Type of Location" dataDxfId="841">
      <xmlColumnPr mapId="11" xpath="/dataroot/Camp_x005f_x0020_List/Type_x005f_x0020_of_x005f_x0020_Location" xmlDataType="string"/>
    </tableColumn>
    <tableColumn id="31" uniqueName="Opening Date" name="Opening Date" dataDxfId="840">
      <xmlColumnPr mapId="11" xpath="/dataroot/Camp_x005f_x0020_List/Opening_x005f_x0020_Date" xmlDataType="dateTime"/>
    </tableColumn>
    <tableColumn id="22" uniqueName="CM/FP" name="CM/FP" dataDxfId="839">
      <xmlColumnPr mapId="11" xpath="/dataroot/Camp_x005f_x0020_List/CM_x005f_x002F_FP" xmlDataType="double"/>
    </tableColumn>
    <tableColumn id="26" uniqueName="Responsible Agency" name="Responsible Agency" dataDxfId="838">
      <xmlColumnPr mapId="11" xpath="/dataroot/Camp_x005f_x0020_List/Responsible_x005f_x0020_Agency" xmlDataType="string"/>
    </tableColumn>
    <tableColumn id="18" uniqueName="Source" name="Source" dataDxfId="837">
      <xmlColumnPr mapId="11" xpath="/dataroot/Camp_x005f_x0020_List/Source" xmlDataType="string"/>
    </tableColumn>
    <tableColumn id="20" uniqueName="Method" name="Method" dataDxfId="836">
      <xmlColumnPr mapId="11" xpath="/dataroot/Camp_x005f_x0020_List/Method" xmlDataType="string"/>
    </tableColumn>
    <tableColumn id="10" uniqueName="Update Date" name="Update Date" dataDxfId="835">
      <xmlColumnPr mapId="11" xpath="/dataroot/Camp_x005f_x0020_List/Update_x005f_x0020_Date" xmlDataType="dateTime"/>
    </tableColumn>
    <tableColumn id="21" uniqueName="Comment" name="Comment" dataDxfId="834">
      <xmlColumnPr mapId="11" xpath="/dataroot/Camp_x005f_x0020_List/Comment" xmlDataType="string"/>
    </tableColumn>
    <tableColumn id="32" uniqueName="Priority" name="Priority" dataDxfId="833">
      <xmlColumnPr mapId="11" xpath="/dataroot/Camp_x005f_x0020_List/Priority" xmlDataType="string"/>
    </tableColumn>
    <tableColumn id="27" uniqueName="Shelter Gap" name="Shelter Gap" dataDxfId="832">
      <calculatedColumnFormula>IF(CampList[[#This Row],[Type of Accomodation]]="camp",MAX(0,CampList[[#This Row],[HH]]-SUMIF(Table_Shelter[Pcode],CampList[[#This Row],[CP_Pcode]],Table_Shelter[HH Covered])),0)</calculatedColumnFormula>
      <xmlColumnPr mapId="11" xpath="/dataroot/Camp_x005f_x0020_List/Shelter_x005f_x0020_Gap" xmlDataType="double"/>
    </tableColumn>
    <tableColumn id="33" uniqueName="Land Status" name="Land Status" dataDxfId="831">
      <xmlColumnPr mapId="11" xpath="/dataroot/Camp_x005f_x0020_List/Land_x005f_x0020_Status" xmlDataType="string"/>
    </tableColumn>
    <tableColumn id="34" uniqueName="Shelter Possible" name="Shelter Possible" dataDxfId="830">
      <calculatedColumnFormula>MIN(CampList[[#This Row],[Shelter Gap]],CampList[[#This Row],[Land Status]])</calculatedColumnFormula>
      <xmlColumnPr mapId="11" xpath="/dataroot/Camp_x005f_x0020_List/Shelter_x005f_x0020_Possible" xmlDataType="double"/>
    </tableColumn>
    <tableColumn id="35" uniqueName="Nearest_Town" name="Nearest_Town" dataDxfId="829">
      <calculatedColumnFormula>IFERROR(OFFSET(DistanceToCamp[Nearest Town],MATCH(CampList[[#This Row],[CP_Pcode]],DistanceToCamp[CP_Pcode],0)-1,0,1,1),"")</calculatedColumnFormula>
      <xmlColumnPr mapId="11" xpath="/dataroot/Camp_x005f_x0020_List/Nearest_Town" xmlDataType="string"/>
    </tableColumn>
    <tableColumn id="36" uniqueName="Distance" name="Distance" dataDxfId="828" dataCellStyle="Comma">
      <calculatedColumnFormula>IFERROR(OFFSET(DistanceToCamp[distance],MATCH(CampList[[#This Row],[CP_Pcode]],DistanceToCamp[CP_Pcode],0)-1,0,1,1),"")</calculatedColumnFormula>
      <xmlColumnPr mapId="11" xpath="/dataroot/Camp_x005f_x0020_List/Distance" xmlDataType="string"/>
    </tableColumn>
    <tableColumn id="37" uniqueName="Distance_Cat" name="Distance_Cat" dataDxfId="827">
      <calculatedColumnFormula>IFERROR(INT(CampList[[#This Row],[Distance]]/5)+1,"")</calculatedColumnFormula>
      <xmlColumnPr mapId="11" xpath="/dataroot/Camp_x005f_x0020_List/Distance_Cat" xmlDataType="string"/>
    </tableColumn>
  </tableColumns>
  <tableStyleInfo name="TableStyleMedium2" showFirstColumn="0" showLastColumn="0" showRowStripes="1" showColumnStripes="0"/>
</table>
</file>

<file path=xl/tables/table10.xml><?xml version="1.0" encoding="utf-8"?>
<table xmlns="http://schemas.openxmlformats.org/spreadsheetml/2006/main" id="5" name="Table5" displayName="Table5" ref="L1:L17" totalsRowShown="0" headerRowDxfId="5" dataDxfId="4">
  <autoFilter ref="L1:L17"/>
  <tableColumns count="1">
    <tableColumn id="1" name="Kachin" dataDxfId="3"/>
  </tableColumns>
  <tableStyleInfo name="TableStyleMedium2" showFirstColumn="0" showLastColumn="0" showRowStripes="1" showColumnStripes="0"/>
</table>
</file>

<file path=xl/tables/table11.xml><?xml version="1.0" encoding="utf-8"?>
<table xmlns="http://schemas.openxmlformats.org/spreadsheetml/2006/main" id="6" name="Table6" displayName="Table6" ref="N1:N7" totalsRowShown="0" headerRowDxfId="2" dataDxfId="1">
  <autoFilter ref="N1:N7"/>
  <tableColumns count="1">
    <tableColumn id="1" name="Shan_North" dataDxfId="0"/>
  </tableColumns>
  <tableStyleInfo name="TableStyleMedium2" showFirstColumn="0" showLastColumn="0" showRowStripes="1" showColumnStripes="0"/>
</table>
</file>

<file path=xl/tables/table2.xml><?xml version="1.0" encoding="utf-8"?>
<table xmlns="http://schemas.openxmlformats.org/spreadsheetml/2006/main" id="9" name="DistanceToCamp" displayName="DistanceToCamp" ref="A1:C160" totalsRowShown="0">
  <autoFilter ref="A1:C160"/>
  <sortState ref="A2:C160">
    <sortCondition ref="A19"/>
  </sortState>
  <tableColumns count="3">
    <tableColumn id="1" name="CP_Pcode" dataDxfId="826"/>
    <tableColumn id="2" name="Nearest Town" dataDxfId="825"/>
    <tableColumn id="3" name="distance" dataDxfId="824"/>
  </tableColumns>
  <tableStyleInfo name="TableStyleMedium2" showFirstColumn="0" showLastColumn="0" showRowStripes="1" showColumnStripes="0"/>
</table>
</file>

<file path=xl/tables/table3.xml><?xml version="1.0" encoding="utf-8"?>
<table xmlns="http://schemas.openxmlformats.org/spreadsheetml/2006/main" id="7" name="Table58" displayName="Table58" ref="T2:AG24" totalsRowCount="1" headerRowDxfId="718" dataDxfId="716" totalsRowDxfId="714" headerRowBorderDxfId="717" tableBorderDxfId="715" totalsRowBorderDxfId="713" dataCellStyle="Percent">
  <autoFilter ref="T2:AG23"/>
  <tableColumns count="14">
    <tableColumn id="1" name="Pcode" dataDxfId="712" totalsRowDxfId="711"/>
    <tableColumn id="2" name="Township" totalsRowLabel="Kachin/Shan" dataDxfId="710" totalsRowDxfId="709"/>
    <tableColumn id="3" name="Long." totalsRowLabel="96.00" dataDxfId="708" totalsRowDxfId="707"/>
    <tableColumn id="4" name="Lat." totalsRowLabel="27.00" dataDxfId="706" totalsRowDxfId="705"/>
    <tableColumn id="5" name="HS" totalsRowFunction="sum" dataDxfId="704" totalsRowDxfId="703">
      <calculatedColumnFormula>'CCCM Dashboard'!D12</calculatedColumnFormula>
    </tableColumn>
    <tableColumn id="6" name="Pop" totalsRowFunction="sum" dataDxfId="702" totalsRowDxfId="701" dataCellStyle="Comma">
      <calculatedColumnFormula>'CCCM Dashboard'!E12</calculatedColumnFormula>
    </tableColumn>
    <tableColumn id="7" name="N_cps" totalsRowFunction="custom" dataDxfId="700" totalsRowDxfId="699">
      <calculatedColumnFormula>CONCATENATE(AG3, " cp",IF(AG3&gt;1,"s",""))</calculatedColumnFormula>
      <totalsRowFormula>CONCATENATE(Table58[[#Totals],[Column1]]," camps")</totalsRowFormula>
    </tableColumn>
    <tableColumn id="8" name="Coverage" totalsRowFunction="custom" dataDxfId="698" totalsRowDxfId="697" dataCellStyle="Percent">
      <calculatedColumnFormula>'Shelter Coverage &amp; Gaps'!#REF!</calculatedColumnFormula>
      <totalsRowFormula>SUMPRODUCT(Table58[Pop]*Table58[Coverage])/Table58[[#Totals],[Pop]]</totalsRowFormula>
    </tableColumn>
    <tableColumn id="9" name="Hygiene" totalsRowFunction="custom" dataDxfId="696" totalsRowDxfId="695" dataCellStyle="Percent">
      <totalsRowFormula>SUMPRODUCT(Table58[Pop]*Table58[Hygiene])/Table58[[#Totals],[Pop]]</totalsRowFormula>
    </tableColumn>
    <tableColumn id="10" name="Core" totalsRowFunction="custom" dataDxfId="694" totalsRowDxfId="693" dataCellStyle="Percent">
      <totalsRowFormula>SUMPRODUCT(Table58[Pop]*Table58[Core])/Table58[[#Totals],[Pop]]</totalsRowFormula>
    </tableColumn>
    <tableColumn id="11" name="Sanitary" totalsRowFunction="custom" dataDxfId="692" totalsRowDxfId="691" dataCellStyle="Percent">
      <totalsRowFormula>SUMPRODUCT(Table58[Pop]*Table58[Sanitary])/Table58[[#Totals],[Pop]]</totalsRowFormula>
    </tableColumn>
    <tableColumn id="12" name="Y" totalsRowFunction="custom" dataDxfId="690" totalsRowDxfId="689">
      <calculatedColumnFormula>$S$3-ROUND((W3-$S$1)*$S$5,0)</calculatedColumnFormula>
      <totalsRowFormula>1000-ROUND((W24-23.5)*$S$5,0)</totalsRowFormula>
    </tableColumn>
    <tableColumn id="13" name="X" totalsRowFunction="custom" dataDxfId="688" totalsRowDxfId="687">
      <calculatedColumnFormula>ROUND((V3-$S$2)*$S$5,0)+$S$4</calculatedColumnFormula>
      <totalsRowFormula>ROUND((V24-96.5)*$S$5,0)+100</totalsRowFormula>
    </tableColumn>
    <tableColumn id="14" name="Column1" totalsRowFunction="sum" dataDxfId="686" totalsRowDxfId="685" dataCellStyle="Comma">
      <calculatedColumnFormula>'CCCM Dashboard'!F12</calculatedColumnFormula>
    </tableColumn>
  </tableColumns>
  <tableStyleInfo name="TableStyleMedium10" showFirstColumn="0" showLastColumn="0" showRowStripes="1" showColumnStripes="0"/>
</table>
</file>

<file path=xl/tables/table4.xml><?xml version="1.0" encoding="utf-8"?>
<table xmlns="http://schemas.openxmlformats.org/spreadsheetml/2006/main" id="4" name="Table_Shelter" displayName="Table_Shelter" ref="A4:W339" tableType="xml" totalsRowShown="0" headerRowDxfId="608" dataDxfId="606" headerRowBorderDxfId="607" tableBorderDxfId="605" totalsRowBorderDxfId="604">
  <autoFilter ref="A4:W339"/>
  <sortState ref="A5:W338">
    <sortCondition ref="F4:F338"/>
  </sortState>
  <tableColumns count="23">
    <tableColumn id="1" uniqueName="Update Date" name="Update Date" dataDxfId="603">
      <xmlColumnPr mapId="9" xpath="/dataroot/Shelter_x005f_x0020_Tracking/Update_x005f_x0020_Date" xmlDataType="dateTime"/>
    </tableColumn>
    <tableColumn id="2" uniqueName="Organization" name="Organization" dataDxfId="602">
      <xmlColumnPr mapId="9" xpath="/dataroot/Shelter_x005f_x0020_Tracking/Organization" xmlDataType="string"/>
    </tableColumn>
    <tableColumn id="3" uniqueName="ImplementingPartner" name="Implementing  Partner" dataDxfId="601">
      <xmlColumnPr mapId="9" xpath="/dataroot/Shelter_x005f_x0020_Tracking/ImplementingPartner" xmlDataType="string"/>
    </tableColumn>
    <tableColumn id="4" uniqueName="State" name="State" dataDxfId="600" dataCellStyle="Normal_Sheet3">
      <xmlColumnPr mapId="9" xpath="/dataroot/Shelter_x005f_x0020_Tracking/State" xmlDataType="string"/>
    </tableColumn>
    <tableColumn id="5" uniqueName="Township" name="Township" dataDxfId="599">
      <xmlColumnPr mapId="9" xpath="/dataroot/Shelter_x005f_x0020_Tracking/Township" xmlDataType="string"/>
    </tableColumn>
    <tableColumn id="6" uniqueName="CampName" name="CampName" dataDxfId="598">
      <xmlColumnPr mapId="9" xpath="/dataroot/Shelter_x005f_x0020_Tracking/CampName" xmlDataType="string"/>
    </tableColumn>
    <tableColumn id="7" uniqueName="HHperShelter" name="HH per Shelter" dataDxfId="597">
      <xmlColumnPr mapId="9" xpath="/dataroot/Shelter_x005f_x0020_Tracking/HHperShelter" xmlDataType="double"/>
    </tableColumn>
    <tableColumn id="8" uniqueName="#ofFamilyTentPlanned(Target)" name="# of Family Tent Planned(Target)" dataDxfId="596">
      <xmlColumnPr mapId="9" xpath="/dataroot/Shelter_x005f_x0020_Tracking/_x005f_x0023_ofFamilyTentPlanned_x005f_x0028_Target_x005f_x0029_" xmlDataType="double"/>
    </tableColumn>
    <tableColumn id="9" uniqueName="#ofFamilyTentDistributed" name="# of Family Tent Distributed" dataDxfId="595">
      <xmlColumnPr mapId="9" xpath="/dataroot/Shelter_x005f_x0020_Tracking/_x005f_x0023_ofFamilyTentDistributed" xmlDataType="double"/>
    </tableColumn>
    <tableColumn id="10" uniqueName="#ofTemporaryShelterUnitsPlanned(Target)" name="# of Temporary Shelter Units Planned (Target)" dataDxfId="594">
      <xmlColumnPr mapId="9" xpath="/dataroot/Shelter_x005f_x0020_Tracking/_x005f_x0023_ofTemporaryShelterUnitsPlanned_x005f_x0028_Target_x005f_x0029_" xmlDataType="double"/>
    </tableColumn>
    <tableColumn id="11" uniqueName="#ofTemporaryShelterUnitsBuilt" name="# of Temporary Shelter Units Built" dataDxfId="593">
      <xmlColumnPr mapId="9" xpath="/dataroot/Shelter_x005f_x0020_Tracking/_x005f_x0023_ofTemporaryShelterUnitsBuilt" xmlDataType="double"/>
    </tableColumn>
    <tableColumn id="12" uniqueName="#ofTemporaryShelterUnderConstruction" name="# of Temporary Shelter Under  Construction" dataDxfId="592">
      <xmlColumnPr mapId="9" xpath="/dataroot/Shelter_x005f_x0020_Tracking/_x005f_x0023_ofTemporaryShelterUnderConstruction" xmlDataType="string"/>
    </tableColumn>
    <tableColumn id="13" uniqueName="#ofPermanentHousePlanned(Target)" name="# of Permanent House Planned (Target)" dataDxfId="591">
      <xmlColumnPr mapId="9" xpath="/dataroot/Shelter_x005f_x0020_Tracking/_x005f_x0023_ofPermanentHousePlanned_x005f_x0028_Target_x005f_x0029_" xmlDataType="string"/>
    </tableColumn>
    <tableColumn id="14" uniqueName="#ofPermanentHouseBuilt" name="# of Permanent House Built" dataDxfId="590">
      <xmlColumnPr mapId="9" xpath="/dataroot/Shelter_x005f_x0020_Tracking/_x005f_x0023_ofPermanentHouseBuilt" xmlDataType="string"/>
    </tableColumn>
    <tableColumn id="15" uniqueName="#ofPermanentHouseUnderConstruction" name="# of Permanent House Under Construction" dataDxfId="589">
      <xmlColumnPr mapId="9" xpath="/dataroot/Shelter_x005f_x0020_Tracking/_x005f_x0023_ofPermanentHouseUnderConstruction" xmlDataType="string"/>
    </tableColumn>
    <tableColumn id="16" uniqueName="HHCovered" name="HH Covered" dataDxfId="588">
      <calculatedColumnFormula>IF(Table_Shelter[[#This Row],[Status]]="Open",IF(V5="NO",Table_Shelter[[#This Row],[HH per Shelter]]*(Table_Shelter[[#This Row],['# of Temporary Shelter Units Built]]+Table_Shelter[[#This Row],['# of Temporary Shelter Under  Construction]]+Table_Shelter[[#This Row],['# of Permanent House Under Construction]]),0),0)</calculatedColumnFormula>
      <xmlColumnPr mapId="9" xpath="/dataroot/Shelter_x005f_x0020_Tracking/HHCovered" xmlDataType="double"/>
    </tableColumn>
    <tableColumn id="21" uniqueName="Planned Renovation" name="Planned Renovation" dataDxfId="587">
      <xmlColumnPr mapId="9" xpath="/dataroot/Shelter_x005f_x0020_Tracking/Planned_x005f_x0020_Renovation" xmlDataType="double"/>
    </tableColumn>
    <tableColumn id="20" uniqueName="Renovated" name="Renovated" dataDxfId="586">
      <xmlColumnPr mapId="9" xpath="/dataroot/Shelter_x005f_x0020_Tracking/Renovated" xmlDataType="string"/>
    </tableColumn>
    <tableColumn id="17" uniqueName="Pcode" name="Pcode" dataDxfId="585">
      <calculatedColumnFormula>IFERROR(VLOOKUP(Table_Shelter[[#This Row],[CampName]],CL,2,0),"")</calculatedColumnFormula>
      <xmlColumnPr mapId="9" xpath="/dataroot/Shelter_x005f_x0020_Tracking/Pcode" xmlDataType="string"/>
    </tableColumn>
    <tableColumn id="18" uniqueName="Status" name="Status" dataDxfId="584">
      <calculatedColumnFormula>IFERROR(VLOOKUP(Table_Shelter[[#This Row],[CampName]],CL,3,0),"")</calculatedColumnFormula>
      <xmlColumnPr mapId="9" xpath="/dataroot/Shelter_x005f_x0020_Tracking/Status" xmlDataType="string"/>
    </tableColumn>
    <tableColumn id="19" uniqueName="Coverage" name="Coverage" dataDxfId="583">
      <calculatedColumnFormula>IFERROR(Table_Shelter[[#This Row],[HH Covered]]/VLOOKUP(Table_Shelter[[#This Row],[CampName]],CL,4,0),"")</calculatedColumnFormula>
      <xmlColumnPr mapId="9" xpath="/dataroot/Shelter_x005f_x0020_Tracking/Coverage" xmlDataType="double"/>
    </tableColumn>
    <tableColumn id="23" uniqueName="23" name="Replacement (YES/NO)" dataDxfId="582">
      <calculatedColumnFormula>VLOOKUP(Table_Shelter[[#This Row],[CampName]],CL,4,0)</calculatedColumnFormula>
    </tableColumn>
    <tableColumn id="22" uniqueName="Comments" name="Comments" dataDxfId="581">
      <xmlColumnPr mapId="9" xpath="/dataroot/Shelter_x005f_x0020_Tracking/Comments" xmlDataType="string"/>
    </tableColumn>
  </tableColumns>
  <tableStyleInfo name="TableStyleMedium2" showFirstColumn="0" showLastColumn="0" showRowStripes="1" showColumnStripes="0"/>
</table>
</file>

<file path=xl/tables/table5.xml><?xml version="1.0" encoding="utf-8"?>
<table xmlns="http://schemas.openxmlformats.org/spreadsheetml/2006/main" id="8" name="Shelter_Draw" displayName="Shelter_Draw" ref="S21:V31" totalsRowShown="0" headerRowDxfId="107" headerRowBorderDxfId="106" tableBorderDxfId="105" totalsRowBorderDxfId="104">
  <autoFilter ref="S21:V31"/>
  <tableColumns count="4">
    <tableColumn id="1" name="Township" dataDxfId="103">
      <calculatedColumnFormula>C22</calculatedColumnFormula>
    </tableColumn>
    <tableColumn id="2" name="V1" dataDxfId="102">
      <calculatedColumnFormula>D22-Shelter_Draw[[#This Row],[V2]]-Shelter_Draw[[#This Row],[V3]]</calculatedColumnFormula>
    </tableColumn>
    <tableColumn id="3" name="V2" dataDxfId="101">
      <calculatedColumnFormula>H22</calculatedColumnFormula>
    </tableColumn>
    <tableColumn id="4" name="V3" dataDxfId="100">
      <calculatedColumnFormula>G22-H22</calculatedColumnFormula>
    </tableColumn>
  </tableColumns>
  <tableStyleInfo name="TableStyleMedium2" showFirstColumn="0" showLastColumn="0" showRowStripes="1" showColumnStripes="0"/>
</table>
</file>

<file path=xl/tables/table6.xml><?xml version="1.0" encoding="utf-8"?>
<table xmlns="http://schemas.openxmlformats.org/spreadsheetml/2006/main" id="2" name="Table_NFI" displayName="Table_NFI" ref="A5:AU1194" tableType="xml" totalsRowShown="0" headerRowDxfId="93" dataDxfId="91" headerRowBorderDxfId="92" tableBorderDxfId="90" totalsRowBorderDxfId="89">
  <autoFilter ref="A5:AU1194"/>
  <sortState ref="A788:AU824">
    <sortCondition ref="G5:G1190"/>
  </sortState>
  <tableColumns count="47">
    <tableColumn id="23" uniqueName="Months" name="Months" dataDxfId="88">
      <calculatedColumnFormula>IF(ISBLANK(B6),"",(Report_Date-B6)/30)</calculatedColumnFormula>
      <xmlColumnPr mapId="8" xpath="/dataroot/NFI_x005f_x0020_Tracking/Months" xmlDataType="double"/>
    </tableColumn>
    <tableColumn id="1" uniqueName="Distribution Date" name="Distribution Date" dataDxfId="87">
      <xmlColumnPr mapId="8" xpath="/dataroot/NFI_x005f_x0020_Tracking/Distribution_x005f_x0020_Date" xmlDataType="dateTime"/>
    </tableColumn>
    <tableColumn id="2" uniqueName="Organization" name="Organization" dataDxfId="86">
      <xmlColumnPr mapId="8" xpath="/dataroot/NFI_x005f_x0020_Tracking/Organization" xmlDataType="string"/>
    </tableColumn>
    <tableColumn id="3" uniqueName="Implementing Partner" name="Implementing Partner" dataDxfId="85">
      <xmlColumnPr mapId="8" xpath="/dataroot/NFI_x005f_x0020_Tracking/Implementing_x005f_x0020_Partner" xmlDataType="string"/>
    </tableColumn>
    <tableColumn id="4" uniqueName="State" name="State" dataDxfId="84">
      <xmlColumnPr mapId="8" xpath="/dataroot/NFI_x005f_x0020_Tracking/State" xmlDataType="string"/>
    </tableColumn>
    <tableColumn id="5" uniqueName="Township" name="Township" dataDxfId="83">
      <xmlColumnPr mapId="8" xpath="/dataroot/NFI_x005f_x0020_Tracking/Township" xmlDataType="string"/>
    </tableColumn>
    <tableColumn id="6" uniqueName="Camp Name" name="Camp Name" dataDxfId="82">
      <xmlColumnPr mapId="8" xpath="/dataroot/NFI_x005f_x0020_Tracking/Camp_x005f_x0020_Name" xmlDataType="string"/>
    </tableColumn>
    <tableColumn id="7" uniqueName="Hygiene Kit" name="Hygiene Kit" dataDxfId="81">
      <xmlColumnPr mapId="8" xpath="/dataroot/NFI_x005f_x0020_Tracking/Hygiene_x005f_x0020_Kit" xmlDataType="string"/>
    </tableColumn>
    <tableColumn id="8" uniqueName="NFI Core Kit" name="NFI Core Kit" dataDxfId="80">
      <xmlColumnPr mapId="8" xpath="/dataroot/NFI_x005f_x0020_Tracking/NFI_x005f_x0020_Core_x005f_x0020_Kit" xmlDataType="string"/>
    </tableColumn>
    <tableColumn id="9" uniqueName="Sanitary Kit" name="Sanitary Kit" dataDxfId="79">
      <xmlColumnPr mapId="8" xpath="/dataroot/NFI_x005f_x0020_Tracking/Sanitary_x005f_x0020_Kit" xmlDataType="string"/>
    </tableColumn>
    <tableColumn id="10" uniqueName="Mosquito net" name="Mosquito net" dataDxfId="78">
      <xmlColumnPr mapId="8" xpath="/dataroot/NFI_x005f_x0020_Tracking/Mosquito_x005f_x0020_net" xmlDataType="double"/>
    </tableColumn>
    <tableColumn id="11" uniqueName="Tarpaulin" name="Tarpaulin" dataDxfId="77">
      <xmlColumnPr mapId="8" xpath="/dataroot/NFI_x005f_x0020_Tracking/Tarpaulin" xmlDataType="double"/>
    </tableColumn>
    <tableColumn id="12" uniqueName="Blanket" name="Blanket" dataDxfId="76">
      <xmlColumnPr mapId="8" xpath="/dataroot/NFI_x005f_x0020_Tracking/Blanket" xmlDataType="double"/>
    </tableColumn>
    <tableColumn id="13" uniqueName="Kitchen Set" name="Kitchen Set" dataDxfId="75">
      <xmlColumnPr mapId="8" xpath="/dataroot/NFI_x005f_x0020_Tracking/Kitchen_x005f_x0020_Set" xmlDataType="double"/>
    </tableColumn>
    <tableColumn id="14" uniqueName="Clothes Kit" name="Clothes Kit" dataDxfId="74">
      <xmlColumnPr mapId="8" xpath="/dataroot/NFI_x005f_x0020_Tracking/Clothes_x005f_x0020_Kit" xmlDataType="double"/>
    </tableColumn>
    <tableColumn id="26" uniqueName="Plastic Bucket" name="Plastic Bucket" dataDxfId="73">
      <xmlColumnPr mapId="8" xpath="/dataroot/NFI_x005f_x0020_Tracking/Plastic_x005f_x0020_Bucket" xmlDataType="double"/>
    </tableColumn>
    <tableColumn id="25" uniqueName="Plastic Mat" name="Plastic Mat" dataDxfId="72">
      <xmlColumnPr mapId="8" xpath="/dataroot/NFI_x005f_x0020_Tracking/Plastic_x005f_x0020_Mat" xmlDataType="double"/>
    </tableColumn>
    <tableColumn id="47" uniqueName="Winter Clothes Adult" name="Winter Clothes Adult" dataDxfId="71">
      <xmlColumnPr mapId="8" xpath="/dataroot/NFI_x005f_x0020_Tracking/Winter_x005f_x0020_Clothes_x005f_x0020_Adult" xmlDataType="string"/>
    </tableColumn>
    <tableColumn id="46" uniqueName="Winter Clothes Children" name="Winter Clothes Children" dataDxfId="70">
      <xmlColumnPr mapId="8" xpath="/dataroot/NFI_x005f_x0020_Tracking/Winter_x005f_x0020_Clothes_x005f_x0020_Children" xmlDataType="string"/>
    </tableColumn>
    <tableColumn id="45" uniqueName="Winter Items Other" name="Winter Items Other" dataDxfId="69">
      <xmlColumnPr mapId="8" xpath="/dataroot/NFI_x005f_x0020_Tracking/Winter_x005f_x0020_Items_x005f_x0020_Other" xmlDataType="string"/>
    </tableColumn>
    <tableColumn id="32" uniqueName="Winter Blanket" name="Winter Blanket" dataDxfId="68">
      <xmlColumnPr mapId="8" xpath="/dataroot/NFI_x005f_x0020_Tracking/Winter_x005f_x0020_Blanket" xmlDataType="string"/>
    </tableColumn>
    <tableColumn id="38" uniqueName="38" name="Jerry Can" dataDxfId="67"/>
    <tableColumn id="41" uniqueName="41" name="Shelter Tool kit" dataDxfId="66"/>
    <tableColumn id="40" uniqueName="40" name="Tent" dataDxfId="65"/>
    <tableColumn id="15" uniqueName="Hygiene Kit_LS" name="Hygiene Kit_LS" dataDxfId="64">
      <calculatedColumnFormula>IF(NFI_Expiration=1,IF($A6&lt;VLOOKUP(H$5,NFI,5,0),1,0)*Table_NFI[[#This Row],[Hygiene Kit]],Table_NFI[Hygiene Kit])</calculatedColumnFormula>
      <xmlColumnPr mapId="8" xpath="/dataroot/NFI_x005f_x0020_Tracking/Hygiene_x005f_x0020_Kit_LS" xmlDataType="string"/>
    </tableColumn>
    <tableColumn id="16" uniqueName="NFI Core Kit_LS" name="NFI Core Kit_LS" dataDxfId="63">
      <calculatedColumnFormula>IF(NFI_Expiration=1,IF($A6&lt;VLOOKUP(I$5,NFI,5,0),1,0)*Table_NFI[[#This Row],[NFI Core Kit]],Table_NFI[NFI Core Kit])</calculatedColumnFormula>
      <xmlColumnPr mapId="8" xpath="/dataroot/NFI_x005f_x0020_Tracking/NFI_x005f_x0020_Core_x005f_x0020_Kit_LS" xmlDataType="string"/>
    </tableColumn>
    <tableColumn id="17" uniqueName="Sanitary Kit_LS" name="Sanitary Kit_LS" dataDxfId="62">
      <calculatedColumnFormula>IF(NFI_Expiration=1,IF($A6&lt;VLOOKUP(J$5,NFI,5,0),1,0)*Table_NFI[[#This Row],[Sanitary Kit]],Table_NFI[Sanitary Kit])</calculatedColumnFormula>
      <xmlColumnPr mapId="8" xpath="/dataroot/NFI_x005f_x0020_Tracking/Sanitary_x005f_x0020_Kit_LS" xmlDataType="string"/>
    </tableColumn>
    <tableColumn id="18" uniqueName="Mosquito net_LS" name="Mosquito net_LS" dataDxfId="61">
      <calculatedColumnFormula>IF(NFI_Expiration=1,IF($A6&lt;VLOOKUP(K$5,NFI,5,0),1,0)*Table_NFI[[#This Row],[Mosquito net]],Table_NFI[Mosquito net])</calculatedColumnFormula>
      <xmlColumnPr mapId="8" xpath="/dataroot/NFI_x005f_x0020_Tracking/Mosquito_x005f_x0020_net_LS" xmlDataType="string"/>
    </tableColumn>
    <tableColumn id="19" uniqueName="Tarpaulin_LS" name="Tarpaulin_LS" dataDxfId="60">
      <calculatedColumnFormula>IF(NFI_Expiration=1,IF($A6&lt;VLOOKUP(L$5,NFI,5,0),1,0)*Table_NFI[[#This Row],[Tarpaulin]],Table_NFI[[#This Row],[Tarpaulin]])</calculatedColumnFormula>
      <xmlColumnPr mapId="8" xpath="/dataroot/NFI_x005f_x0020_Tracking/Tarpaulin_LS" xmlDataType="string"/>
    </tableColumn>
    <tableColumn id="20" uniqueName="Blanket_LS" name="Blanket_LS" dataDxfId="59">
      <calculatedColumnFormula>IF(NFI_Expiration=1,IF($A6&lt;VLOOKUP(M$5,NFI,5,0),1,0)*Table_NFI[[#This Row],[Blanket]],Table_NFI[[#This Row],[Blanket]])</calculatedColumnFormula>
      <xmlColumnPr mapId="8" xpath="/dataroot/NFI_x005f_x0020_Tracking/Blanket_LS" xmlDataType="string"/>
    </tableColumn>
    <tableColumn id="21" uniqueName="Kitchen Set_LS" name="Kitchen Set_LS" dataDxfId="58">
      <calculatedColumnFormula>IF(NFI_Expiration=1,IF($A6&lt;VLOOKUP(N$5,NFI,5,0),1,0)*Table_NFI[[#This Row],[Kitchen Set]],Table_NFI[Kitchen Set])</calculatedColumnFormula>
      <xmlColumnPr mapId="8" xpath="/dataroot/NFI_x005f_x0020_Tracking/Kitchen_x005f_x0020_Set_LS" xmlDataType="string"/>
    </tableColumn>
    <tableColumn id="22" uniqueName="Clothes Kit_LS" name="Clothes Kit_LS" dataDxfId="57">
      <calculatedColumnFormula>IF(NFI_Expiration=1,IF($A6&lt;VLOOKUP(O$5,NFI,5,0),1,0)*Table_NFI[[#This Row],[Clothes Kit]],Table_NFI[Clothes Kit])</calculatedColumnFormula>
      <xmlColumnPr mapId="8" xpath="/dataroot/NFI_x005f_x0020_Tracking/Clothes_x005f_x0020_Kit_LS" xmlDataType="string"/>
    </tableColumn>
    <tableColumn id="28" uniqueName="Plastic Bucket _LS" name="Plastic Bucket _LS" dataDxfId="56">
      <calculatedColumnFormula>IF(NFI_Expiration=1,IF($A6&lt;VLOOKUP(P$5,NFI,5,0),1,0)*Table_NFI[[#This Row],[Plastic Bucket]],Table_NFI[Plastic Bucket])</calculatedColumnFormula>
      <xmlColumnPr mapId="8" xpath="/dataroot/NFI_x005f_x0020_Tracking/Plastic_x005f_x0020_Bucket_x005f_x0020__LS" xmlDataType="string"/>
    </tableColumn>
    <tableColumn id="27" uniqueName="Plastic  Mat_LS" name="Plastic  Mat_LS" dataDxfId="55">
      <calculatedColumnFormula>IF(NFI_Expiration=1,IF($A6&lt;VLOOKUP(Q$5,NFI,5,0),1,0)*Table_NFI[[#This Row],[Plastic Mat]],Table_NFI[Plastic Mat])*IF(Table_NFI[[#This Row],[Distribution Date]]&gt;"2014-04-01",1,2.5)</calculatedColumnFormula>
      <xmlColumnPr mapId="8" xpath="/dataroot/NFI_x005f_x0020_Tracking/Plastic_x005f_x0020__x005f_x0020_Mat_LS" xmlDataType="string"/>
    </tableColumn>
    <tableColumn id="50" uniqueName="Winter Clothes Adult_LS" name="Winter Clothes Adult_LS" dataDxfId="54">
      <calculatedColumnFormula>IF(NFI_Expiration=1,IF($A6&lt;VLOOKUP(R$5,NFI,5,0),1,0)*Table_NFI[[#This Row],[Winter Clothes Adult]],Table_NFI[Winter Clothes Adult])</calculatedColumnFormula>
      <xmlColumnPr mapId="8" xpath="/dataroot/NFI_x005f_x0020_Tracking/Winter_x005f_x0020_Clothes_x005f_x0020_Adult_LS" xmlDataType="string"/>
    </tableColumn>
    <tableColumn id="49" uniqueName="Winter Clothes Children_LS" name="Winter Clothes Children_LS" dataDxfId="53">
      <calculatedColumnFormula>IF(NFI_Expiration=1,IF($A6&lt;VLOOKUP(S$5,NFI,5,0),1,0)*Table_NFI[[#This Row],[Winter Clothes Children]],Table_NFI[Winter Clothes Children])</calculatedColumnFormula>
      <xmlColumnPr mapId="8" xpath="/dataroot/NFI_x005f_x0020_Tracking/Winter_x005f_x0020_Clothes_x005f_x0020_Children_LS" xmlDataType="string"/>
    </tableColumn>
    <tableColumn id="48" uniqueName="Winter Items Other_LS" name="Winter Items Other_LS" dataDxfId="52">
      <calculatedColumnFormula>IF(NFI_Expiration=1,IF($A6&lt;VLOOKUP(T$5,NFI,5,0),1,0)*Table_NFI[[#This Row],[Winter Items Other]],Table_NFI[Winter Items Other])</calculatedColumnFormula>
      <xmlColumnPr mapId="8" xpath="/dataroot/NFI_x005f_x0020_Tracking/Winter_x005f_x0020_Items_x005f_x0020_Other_LS" xmlDataType="string"/>
    </tableColumn>
    <tableColumn id="33" uniqueName="Winter Blanket_LS" name="Winter Blanket_LS" dataDxfId="51">
      <calculatedColumnFormula>IF(NFI_Expiration=1,IF($A6&lt;VLOOKUP(M$5,NFI,5,0),1,0)*Table_NFI[[#This Row],[Winter Blanket]],Table_NFI[[#This Row],[Winter Blanket]])</calculatedColumnFormula>
      <xmlColumnPr mapId="8" xpath="/dataroot/NFI_x005f_x0020_Tracking/Winter_x005f_x0020_Blanket_LS" xmlDataType="string"/>
    </tableColumn>
    <tableColumn id="36" uniqueName="Winter" name="Winter" dataDxfId="50">
      <calculatedColumnFormula>IF(Table_NFI[[#This Row],[Winter Clothes Adult]]+Table_NFI[[#This Row],[Winter Clothes Children]]+Table_NFI[[#This Row],[Winter Items Other]]+Table_NFI[[#This Row],[Winter Blanket]]&gt;0,1,0)</calculatedColumnFormula>
      <xmlColumnPr mapId="8" xpath="/dataroot/NFI_x005f_x0020_Tracking/Winter" xmlDataType="double"/>
    </tableColumn>
    <tableColumn id="39" uniqueName="39" name="Jerry Can_LS" dataDxfId="49">
      <calculatedColumnFormula>IF(NFI_Expiration=1,IF($A6&lt;VLOOKUP(V$5,NFI,5,0),1,0)*Table_NFI[[#This Row],[Jerry Can]],Table_NFI[Jerry Can])</calculatedColumnFormula>
    </tableColumn>
    <tableColumn id="24" uniqueName="Pcode" name="Pcode" dataDxfId="48">
      <calculatedColumnFormula>IFERROR(VLOOKUP(Table_NFI[[#This Row],[Camp Name]],CL,2,0),"")</calculatedColumnFormula>
      <xmlColumnPr mapId="8" xpath="/dataroot/NFI_x005f_x0020_Tracking/Pcode" xmlDataType="string"/>
    </tableColumn>
    <tableColumn id="35" uniqueName="opening_date" name="opening_date" dataDxfId="47">
      <calculatedColumnFormula>IF(Table_NFI[[#This Row],[Pcode]]="","",IF(OFFSET(CampList[Opening Date],MATCH(Table_NFI[[#This Row],[Pcode]],CampList[CP_Pcode],0)-1,0,1,1)&gt;=NFI_Monitor_Date,1,0))</calculatedColumnFormula>
      <xmlColumnPr mapId="8" xpath="/dataroot/NFI_x005f_x0020_Tracking/opening_date" xmlDataType="double"/>
    </tableColumn>
    <tableColumn id="34" uniqueName="Status" name="Status" dataDxfId="46">
      <calculatedColumnFormula>IFERROR(VLOOKUP(Table_NFI[[#This Row],[Camp Name]],CL,3,0),"")</calculatedColumnFormula>
      <xmlColumnPr mapId="8" xpath="/dataroot/NFI_x005f_x0020_Tracking/Status" xmlDataType="string"/>
    </tableColumn>
    <tableColumn id="29" uniqueName="Priority" name="Priority" dataDxfId="45">
      <calculatedColumnFormula>IF(Table_NFI[[#This Row],[Pcode]]="","",OFFSET(CampList[Priority],MATCH(Table_NFI[[#This Row],[Pcode]],CampList[CP_Pcode],0)-1,0,1,1))</calculatedColumnFormula>
      <xmlColumnPr mapId="8" xpath="/dataroot/NFI_x005f_x0020_Tracking/Priority" xmlDataType="string"/>
    </tableColumn>
    <tableColumn id="30" uniqueName="Coverage" name="Coverage" dataDxfId="44">
      <calculatedColumnFormula>IFERROR(Table_NFI[[#This Row],[Kitchen Set]]/VLOOKUP(Table_NFI[[#This Row],[Camp Name]],CL,4,0),"")</calculatedColumnFormula>
      <xmlColumnPr mapId="8" xpath="/dataroot/NFI_x005f_x0020_Tracking/Coverage" xmlDataType="double"/>
    </tableColumn>
    <tableColumn id="31" uniqueName="Planned Distribution" name="Planned Distribution" dataDxfId="43">
      <xmlColumnPr mapId="8" xpath="/dataroot/NFI_x005f_x0020_Tracking/Planned_x005f_x0020_Distribution" xmlDataType="string"/>
    </tableColumn>
    <tableColumn id="37" uniqueName="Comment" name="Comment" dataDxfId="42">
      <xmlColumnPr mapId="8" xpath="/dataroot/NFI_x005f_x0020_Tracking/Comment" xmlDataType="string"/>
    </tableColumn>
  </tableColumns>
  <tableStyleInfo name="TableStyleLight1" showFirstColumn="0" showLastColumn="0" showRowStripes="1" showColumnStripes="0"/>
</table>
</file>

<file path=xl/tables/table7.xml><?xml version="1.0" encoding="utf-8"?>
<table xmlns="http://schemas.openxmlformats.org/spreadsheetml/2006/main" id="11" name="Table11" displayName="Table11" ref="A1:AQ7" totalsRowShown="0">
  <autoFilter ref="A1:AQ7"/>
  <tableColumns count="43">
    <tableColumn id="1" name="Months"/>
    <tableColumn id="2" name="Distribution Date" dataDxfId="41"/>
    <tableColumn id="3" name="Organization"/>
    <tableColumn id="4" name="Implementing Partner"/>
    <tableColumn id="5" name="State"/>
    <tableColumn id="6" name="Township"/>
    <tableColumn id="7" name="Camp Name"/>
    <tableColumn id="8" name="Hygiene Kit"/>
    <tableColumn id="9" name="NFI Core Kit"/>
    <tableColumn id="10" name="Sanitary Kit"/>
    <tableColumn id="11" name="Mosquito net"/>
    <tableColumn id="12" name="Tarpaulin"/>
    <tableColumn id="13" name="Blanket"/>
    <tableColumn id="14" name="Kitchen Set"/>
    <tableColumn id="15" name="Clothes Kit"/>
    <tableColumn id="16" name="Plastic Bucket"/>
    <tableColumn id="17" name="Plastic Mat"/>
    <tableColumn id="18" name="Winter Clothes Adult"/>
    <tableColumn id="19" name="Winter Clothes Children"/>
    <tableColumn id="20" name="Winter Items Other"/>
    <tableColumn id="21" name="Winter Blanket"/>
    <tableColumn id="22" name="Hygiene Kit_LS"/>
    <tableColumn id="23" name="NFI Core Kit_LS"/>
    <tableColumn id="24" name="Sanitary Kit_LS"/>
    <tableColumn id="25" name="Mosquito net_LS"/>
    <tableColumn id="26" name="Tarpaulin_LS"/>
    <tableColumn id="27" name="Blanket_LS"/>
    <tableColumn id="28" name="Kitchen Set_LS"/>
    <tableColumn id="29" name="Clothes Kit_LS"/>
    <tableColumn id="30" name="Plastic Bucket _LS"/>
    <tableColumn id="31" name="Plastic  Mat_LS"/>
    <tableColumn id="32" name="Winter Clothes Adult_LS"/>
    <tableColumn id="33" name="Winter Clothes Children_LS"/>
    <tableColumn id="34" name="Winter Items Other_LS"/>
    <tableColumn id="35" name="Winter Blanket_LS"/>
    <tableColumn id="36" name="Winter"/>
    <tableColumn id="37" name="Pcode"/>
    <tableColumn id="38" name="opening_date"/>
    <tableColumn id="39" name="Status"/>
    <tableColumn id="40" name="Priority"/>
    <tableColumn id="41" name="Coverage"/>
    <tableColumn id="42" name="Planned Distribution"/>
    <tableColumn id="43" name="Comment"/>
  </tableColumns>
  <tableStyleInfo name="TableStyleMedium2" showFirstColumn="0" showLastColumn="0" showRowStripes="1" showColumnStripes="0"/>
</table>
</file>

<file path=xl/tables/table8.xml><?xml version="1.0" encoding="utf-8"?>
<table xmlns="http://schemas.openxmlformats.org/spreadsheetml/2006/main" id="10" name="Table10" displayName="Table10" ref="A1:N168" totalsRowShown="0" headerRowDxfId="26" headerRowBorderDxfId="25" tableBorderDxfId="24" totalsRowBorderDxfId="23">
  <autoFilter ref="A1:N168"/>
  <tableColumns count="14">
    <tableColumn id="5" name="Pcode" dataDxfId="22"/>
    <tableColumn id="2" name="Priority" dataDxfId="21">
      <calculatedColumnFormula>OFFSET(CampList[Priority],MATCH(Table10[[#This Row],[Pcode]],CampList[CP_Pcode],0)-1,0,1,1)</calculatedColumnFormula>
    </tableColumn>
    <tableColumn id="1" name="Camp" dataDxfId="20">
      <calculatedColumnFormula>OFFSET(CampList[Camp],MATCH(Table10[[#This Row],[Pcode]],CampList[CP_Pcode],0)-1,0,1,1)</calculatedColumnFormula>
    </tableColumn>
    <tableColumn id="4" name="Township" dataDxfId="19">
      <calculatedColumnFormula>OFFSET(CampList[Township],MATCH(Table10[[#This Row],[Pcode]],CampList[CP_Pcode],0)-1,0,1,1)</calculatedColumnFormula>
    </tableColumn>
    <tableColumn id="6" name="HH" dataDxfId="18">
      <calculatedColumnFormula>OFFSET(CampList[HH],MATCH(Table10[[#This Row],[Pcode]],CampList[CP_Pcode],0)-1,0,1,1)</calculatedColumnFormula>
    </tableColumn>
    <tableColumn id="7" name="Ind" dataDxfId="17">
      <calculatedColumnFormula>OFFSET(CampList[Total],MATCH(Table10[[#This Row],[Pcode]],CampList[CP_Pcode],0)-1,0,1,1)</calculatedColumnFormula>
    </tableColumn>
    <tableColumn id="8" name="Winter Clothes Adult " dataDxfId="16">
      <calculatedColumnFormula>SUMIF('NFI Tracking'!AO$11:AO$1048576,Table10[[#This Row],[Pcode]],'NFI Tracking'!AI$11:AI$1048576)</calculatedColumnFormula>
    </tableColumn>
    <tableColumn id="9" name="Winter Clothes Children " dataDxfId="15">
      <calculatedColumnFormula>SUMIF('NFI Tracking'!AO$11:AO$1048576,Table10[[#This Row],[Pcode]],'NFI Tracking'!AJ$11:AJ$1048576)</calculatedColumnFormula>
    </tableColumn>
    <tableColumn id="10" name="Winter Items Other " dataDxfId="14">
      <calculatedColumnFormula>SUMIF('NFI Tracking'!AO$11:AO$1048576,Table10[[#This Row],[Pcode]],'NFI Tracking'!AK$11:AK$1048576)</calculatedColumnFormula>
    </tableColumn>
    <tableColumn id="11" name="WC_Adult_Gap" dataDxfId="13">
      <calculatedColumnFormula>MAX(Table10[[#This Row],[HH]]*VLOOKUP("Winter Clothes Adult",NFI,6)-Table10[[#This Row],[Winter Clothes Adult ]],0)</calculatedColumnFormula>
    </tableColumn>
    <tableColumn id="12" name="WC_Child_Gap" dataDxfId="12">
      <calculatedColumnFormula>MAX(Table10[[#This Row],[HH]]*VLOOKUP("Winter Clothes Children ",NFI,6)-Table10[[#This Row],[Winter Clothes Children ]],0)</calculatedColumnFormula>
    </tableColumn>
    <tableColumn id="13" name="WI_Other_Gap" dataDxfId="11">
      <calculatedColumnFormula>MAX(Table10[[#This Row],[HH]]*VLOOKUP("Winter Items Other ",NFI,6)-Table10[[#This Row],[Winter Items Other ]],0)</calculatedColumnFormula>
    </tableColumn>
    <tableColumn id="3" name="Planned Distribution" dataDxfId="10">
      <calculatedColumnFormula>IF(OR(Table10[[#This Row],[Winter Clothes Adult ]]&lt;&gt;0,Table10[[#This Row],[Winter Clothes Children ]]&lt;&gt;0,Table10[[#This Row],[Winter Items Other ]]&lt;&gt;0),"No","")</calculatedColumnFormula>
    </tableColumn>
    <tableColumn id="14" name="Check1" dataDxfId="9">
      <calculatedColumnFormula>COUNTIF(A:A,Table10[[#This Row],[Pcode]])-1</calculatedColumnFormula>
    </tableColumn>
  </tableColumns>
  <tableStyleInfo name="TableStyleMedium2" showFirstColumn="0" showLastColumn="0" showRowStripes="1" showColumnStripes="0"/>
</table>
</file>

<file path=xl/tables/table9.xml><?xml version="1.0" encoding="utf-8"?>
<table xmlns="http://schemas.openxmlformats.org/spreadsheetml/2006/main" id="3" name="Table3" displayName="Table3" ref="J1:J4" totalsRowShown="0" headerRowDxfId="8" dataDxfId="7">
  <autoFilter ref="J1:J4"/>
  <tableColumns count="1">
    <tableColumn id="1" name="State" dataDxfId="6"/>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ontrol" Target="../activeX/activeX2.xml"/><Relationship Id="rId5" Type="http://schemas.openxmlformats.org/officeDocument/2006/relationships/image" Target="../media/image1.emf"/><Relationship Id="rId4" Type="http://schemas.openxmlformats.org/officeDocument/2006/relationships/control" Target="../activeX/activeX1.xml"/></Relationships>
</file>

<file path=xl/worksheets/_rels/sheet10.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pivotTable" Target="../pivotTables/pivotTable11.xml"/><Relationship Id="rId1" Type="http://schemas.openxmlformats.org/officeDocument/2006/relationships/pivotTable" Target="../pivotTables/pivotTable10.xml"/><Relationship Id="rId4" Type="http://schemas.openxmlformats.org/officeDocument/2006/relationships/drawing" Target="../drawings/drawing9.xml"/></Relationships>
</file>

<file path=xl/worksheets/_rels/sheet12.xml.rels><?xml version="1.0" encoding="UTF-8" standalone="yes"?>
<Relationships xmlns="http://schemas.openxmlformats.org/package/2006/relationships"><Relationship Id="rId3" Type="http://schemas.openxmlformats.org/officeDocument/2006/relationships/pivotTable" Target="../pivotTables/pivotTable14.xml"/><Relationship Id="rId2" Type="http://schemas.openxmlformats.org/officeDocument/2006/relationships/pivotTable" Target="../pivotTables/pivotTable13.xml"/><Relationship Id="rId1" Type="http://schemas.openxmlformats.org/officeDocument/2006/relationships/pivotTable" Target="../pivotTables/pivotTable12.xml"/><Relationship Id="rId5" Type="http://schemas.openxmlformats.org/officeDocument/2006/relationships/drawing" Target="../drawings/drawing10.xml"/><Relationship Id="rId4"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2" Type="http://schemas.openxmlformats.org/officeDocument/2006/relationships/pivotTable" Target="../pivotTables/pivotTable16.xml"/><Relationship Id="rId1" Type="http://schemas.openxmlformats.org/officeDocument/2006/relationships/pivotTable" Target="../pivotTables/pivotTable15.xml"/></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3.xml"/><Relationship Id="rId7" Type="http://schemas.openxmlformats.org/officeDocument/2006/relationships/table" Target="../tables/table5.xml"/><Relationship Id="rId2" Type="http://schemas.openxmlformats.org/officeDocument/2006/relationships/printerSettings" Target="../printerSettings/printerSettings11.bin"/><Relationship Id="rId1" Type="http://schemas.openxmlformats.org/officeDocument/2006/relationships/pivotTable" Target="../pivotTables/pivotTable17.xml"/><Relationship Id="rId6" Type="http://schemas.openxmlformats.org/officeDocument/2006/relationships/image" Target="../media/image19.emf"/><Relationship Id="rId5" Type="http://schemas.openxmlformats.org/officeDocument/2006/relationships/control" Target="../activeX/activeX4.xml"/><Relationship Id="rId4" Type="http://schemas.openxmlformats.org/officeDocument/2006/relationships/vmlDrawing" Target="../drawings/vmlDrawing4.vml"/></Relationships>
</file>

<file path=xl/worksheets/_rels/sheet15.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drawing" Target="../drawings/drawing14.x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1" Type="http://schemas.openxmlformats.org/officeDocument/2006/relationships/table" Target="../tables/table7.xml"/></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14.bin"/><Relationship Id="rId2" Type="http://schemas.openxmlformats.org/officeDocument/2006/relationships/pivotTable" Target="../pivotTables/pivotTable19.xml"/><Relationship Id="rId1" Type="http://schemas.openxmlformats.org/officeDocument/2006/relationships/pivotTable" Target="../pivotTables/pivotTable18.xml"/><Relationship Id="rId4" Type="http://schemas.openxmlformats.org/officeDocument/2006/relationships/drawing" Target="../drawings/drawing16.xml"/></Relationships>
</file>

<file path=xl/worksheets/_rels/sheet19.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printerSettings" Target="../printerSettings/printerSettings15.bin"/><Relationship Id="rId1" Type="http://schemas.openxmlformats.org/officeDocument/2006/relationships/pivotTable" Target="../pivotTables/pivotTable20.xml"/></Relationships>
</file>

<file path=xl/worksheets/_rels/sheet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3" Type="http://schemas.openxmlformats.org/officeDocument/2006/relationships/pivotTable" Target="../pivotTables/pivotTable23.xml"/><Relationship Id="rId2" Type="http://schemas.openxmlformats.org/officeDocument/2006/relationships/pivotTable" Target="../pivotTables/pivotTable22.xml"/><Relationship Id="rId1" Type="http://schemas.openxmlformats.org/officeDocument/2006/relationships/pivotTable" Target="../pivotTables/pivotTable21.xml"/><Relationship Id="rId4" Type="http://schemas.openxmlformats.org/officeDocument/2006/relationships/pivotTable" Target="../pivotTables/pivotTable24.xml"/></Relationships>
</file>

<file path=xl/worksheets/_rels/sheet23.xml.rels><?xml version="1.0" encoding="UTF-8" standalone="yes"?>
<Relationships xmlns="http://schemas.openxmlformats.org/package/2006/relationships"><Relationship Id="rId3" Type="http://schemas.openxmlformats.org/officeDocument/2006/relationships/table" Target="../tables/table10.xml"/><Relationship Id="rId2" Type="http://schemas.openxmlformats.org/officeDocument/2006/relationships/table" Target="../tables/table9.xml"/><Relationship Id="rId1" Type="http://schemas.openxmlformats.org/officeDocument/2006/relationships/printerSettings" Target="../printerSettings/printerSettings17.bin"/><Relationship Id="rId4" Type="http://schemas.openxmlformats.org/officeDocument/2006/relationships/table" Target="../tables/table11.xml"/></Relationships>
</file>

<file path=xl/worksheets/_rels/sheet3.xml.rels><?xml version="1.0" encoding="UTF-8" standalone="yes"?>
<Relationships xmlns="http://schemas.openxmlformats.org/package/2006/relationships"><Relationship Id="rId1" Type="http://schemas.openxmlformats.org/officeDocument/2006/relationships/table" Target="../tables/table2.xml"/></Relationships>
</file>

<file path=xl/worksheets/_rels/sheet4.xml.rels><?xml version="1.0" encoding="UTF-8" standalone="yes"?>
<Relationships xmlns="http://schemas.openxmlformats.org/package/2006/relationships"><Relationship Id="rId8" Type="http://schemas.openxmlformats.org/officeDocument/2006/relationships/drawing" Target="../drawings/drawing3.xml"/><Relationship Id="rId3" Type="http://schemas.openxmlformats.org/officeDocument/2006/relationships/pivotTable" Target="../pivotTables/pivotTable3.xml"/><Relationship Id="rId7" Type="http://schemas.openxmlformats.org/officeDocument/2006/relationships/printerSettings" Target="../printerSettings/printerSettings3.bin"/><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pivotTable" Target="../pivotTables/pivotTable6.xml"/><Relationship Id="rId5" Type="http://schemas.openxmlformats.org/officeDocument/2006/relationships/pivotTable" Target="../pivotTables/pivotTable5.xml"/><Relationship Id="rId4" Type="http://schemas.openxmlformats.org/officeDocument/2006/relationships/pivotTable" Target="../pivotTables/pivotTable4.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pivotTable" Target="../pivotTables/pivotTable7.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ivotTable" Target="../pivotTables/pivotTable8.xml"/></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pivotTable" Target="../pivotTables/pivotTable9.xml"/></Relationships>
</file>

<file path=xl/worksheets/_rels/sheet9.xml.rels><?xml version="1.0" encoding="UTF-8" standalone="yes"?>
<Relationships xmlns="http://schemas.openxmlformats.org/package/2006/relationships"><Relationship Id="rId8" Type="http://schemas.openxmlformats.org/officeDocument/2006/relationships/ctrlProp" Target="../ctrlProps/ctrlProp2.xml"/><Relationship Id="rId3" Type="http://schemas.openxmlformats.org/officeDocument/2006/relationships/vmlDrawing" Target="../drawings/vmlDrawing2.vml"/><Relationship Id="rId7" Type="http://schemas.openxmlformats.org/officeDocument/2006/relationships/ctrlProp" Target="../ctrlProps/ctrlProp1.xml"/><Relationship Id="rId2" Type="http://schemas.openxmlformats.org/officeDocument/2006/relationships/drawing" Target="../drawings/drawing7.xml"/><Relationship Id="rId1" Type="http://schemas.openxmlformats.org/officeDocument/2006/relationships/printerSettings" Target="../printerSettings/printerSettings7.bin"/><Relationship Id="rId6" Type="http://schemas.openxmlformats.org/officeDocument/2006/relationships/image" Target="../media/image12.emf"/><Relationship Id="rId11" Type="http://schemas.openxmlformats.org/officeDocument/2006/relationships/table" Target="../tables/table3.xml"/><Relationship Id="rId5" Type="http://schemas.openxmlformats.org/officeDocument/2006/relationships/control" Target="../activeX/activeX3.xml"/><Relationship Id="rId10" Type="http://schemas.openxmlformats.org/officeDocument/2006/relationships/ctrlProp" Target="../ctrlProps/ctrlProp4.xml"/><Relationship Id="rId4" Type="http://schemas.openxmlformats.org/officeDocument/2006/relationships/vmlDrawing" Target="../drawings/vmlDrawing3.vml"/><Relationship Id="rId9" Type="http://schemas.openxmlformats.org/officeDocument/2006/relationships/ctrlProp" Target="../ctrlProps/ctrlProp3.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C1:V24"/>
  <sheetViews>
    <sheetView showZeros="0" zoomScale="80" zoomScaleNormal="80" workbookViewId="0">
      <selection activeCell="L39" sqref="L39"/>
    </sheetView>
  </sheetViews>
  <sheetFormatPr defaultColWidth="9.140625" defaultRowHeight="15" x14ac:dyDescent="0.25"/>
  <cols>
    <col min="1" max="1" width="2" style="6" customWidth="1"/>
    <col min="2" max="4" width="9.140625" style="6"/>
    <col min="5" max="5" width="3.28515625" style="6" customWidth="1"/>
    <col min="6" max="10" width="9.140625" style="6"/>
    <col min="11" max="11" width="3.28515625" style="6" customWidth="1"/>
    <col min="12" max="14" width="9.140625" style="6"/>
    <col min="15" max="15" width="3.28515625" style="6" customWidth="1"/>
    <col min="16" max="17" width="0" style="6" hidden="1" customWidth="1"/>
    <col min="18" max="18" width="9.140625" style="6" hidden="1" customWidth="1"/>
    <col min="19" max="19" width="3.28515625" style="6" hidden="1" customWidth="1"/>
    <col min="20" max="22" width="0" style="6" hidden="1" customWidth="1"/>
    <col min="23" max="16384" width="9.140625" style="6"/>
  </cols>
  <sheetData>
    <row r="1" spans="3:22" ht="5.25" customHeight="1" x14ac:dyDescent="0.25"/>
    <row r="2" spans="3:22" ht="8.25" customHeight="1" x14ac:dyDescent="0.25">
      <c r="C2" s="1003" t="s">
        <v>421</v>
      </c>
      <c r="D2" s="1003"/>
      <c r="E2" s="1003"/>
      <c r="F2" s="1003"/>
      <c r="G2" s="1003"/>
      <c r="H2" s="1003"/>
      <c r="I2" s="1003"/>
      <c r="J2" s="1003"/>
      <c r="K2" s="1003"/>
      <c r="L2" s="1003"/>
      <c r="M2" s="1003"/>
      <c r="N2" s="1003"/>
      <c r="O2" s="1003"/>
      <c r="P2" s="1003"/>
      <c r="Q2" s="1003"/>
      <c r="R2" s="1003"/>
      <c r="S2" s="1003"/>
      <c r="T2" s="1003"/>
      <c r="U2" s="1003"/>
      <c r="V2" s="1003"/>
    </row>
    <row r="3" spans="3:22" ht="18" customHeight="1" x14ac:dyDescent="0.25">
      <c r="C3" s="1003"/>
      <c r="D3" s="1003"/>
      <c r="E3" s="1003"/>
      <c r="F3" s="1003"/>
      <c r="G3" s="1003"/>
      <c r="H3" s="1003"/>
      <c r="I3" s="1003"/>
      <c r="J3" s="1003"/>
      <c r="K3" s="1003"/>
      <c r="L3" s="1003"/>
      <c r="M3" s="1003"/>
      <c r="N3" s="1003"/>
      <c r="O3" s="1003"/>
      <c r="P3" s="1003"/>
      <c r="Q3" s="1003"/>
      <c r="R3" s="1003"/>
      <c r="S3" s="1003"/>
      <c r="T3" s="1003"/>
      <c r="U3" s="1003"/>
      <c r="V3" s="1003"/>
    </row>
    <row r="4" spans="3:22" ht="11.25" customHeight="1" x14ac:dyDescent="0.25">
      <c r="C4" s="1003"/>
      <c r="D4" s="1003"/>
      <c r="E4" s="1003"/>
      <c r="F4" s="1003"/>
      <c r="G4" s="1003"/>
      <c r="H4" s="1003"/>
      <c r="I4" s="1003"/>
      <c r="J4" s="1003"/>
      <c r="K4" s="1003"/>
      <c r="L4" s="1003"/>
      <c r="M4" s="1003"/>
      <c r="N4" s="1003"/>
      <c r="O4" s="1003"/>
      <c r="P4" s="1003"/>
      <c r="Q4" s="1003"/>
      <c r="R4" s="1003"/>
      <c r="S4" s="1003"/>
      <c r="T4" s="1003"/>
      <c r="U4" s="1003"/>
      <c r="V4" s="1003"/>
    </row>
    <row r="5" spans="3:22" ht="15" customHeight="1" x14ac:dyDescent="0.25">
      <c r="C5" s="1005">
        <f>Definition!B23</f>
        <v>42522</v>
      </c>
      <c r="D5" s="1005"/>
      <c r="E5" s="1005"/>
      <c r="F5" s="1005"/>
      <c r="G5" s="1005"/>
      <c r="H5" s="1005"/>
      <c r="I5" s="1005"/>
      <c r="J5" s="1005"/>
      <c r="K5" s="1005"/>
      <c r="L5" s="1005"/>
      <c r="M5" s="1005"/>
      <c r="N5" s="1005"/>
      <c r="O5" s="1005"/>
    </row>
    <row r="6" spans="3:22" ht="8.25" customHeight="1" x14ac:dyDescent="0.25"/>
    <row r="7" spans="3:22" x14ac:dyDescent="0.25">
      <c r="C7" s="1002" t="s">
        <v>448</v>
      </c>
      <c r="D7" s="1002"/>
      <c r="E7" s="31"/>
      <c r="F7" s="1004" t="s">
        <v>453</v>
      </c>
      <c r="G7" s="1004"/>
      <c r="H7" s="1004"/>
      <c r="I7" s="1004"/>
      <c r="J7" s="1004"/>
      <c r="K7" s="31"/>
      <c r="L7" s="1004" t="s">
        <v>446</v>
      </c>
      <c r="M7" s="1004"/>
      <c r="N7" s="1004"/>
      <c r="O7" s="31"/>
      <c r="P7" s="1004" t="s">
        <v>451</v>
      </c>
      <c r="Q7" s="1004"/>
      <c r="R7" s="1004"/>
      <c r="S7" s="31"/>
      <c r="T7" s="1004" t="s">
        <v>452</v>
      </c>
      <c r="U7" s="1004"/>
      <c r="V7" s="1004"/>
    </row>
    <row r="8" spans="3:22" x14ac:dyDescent="0.25">
      <c r="C8" s="1002"/>
      <c r="D8" s="1002"/>
      <c r="E8" s="31"/>
      <c r="F8" s="31"/>
      <c r="G8" s="31"/>
      <c r="H8" s="31"/>
      <c r="I8" s="31"/>
      <c r="J8" s="31"/>
      <c r="K8" s="31"/>
      <c r="L8" s="31"/>
      <c r="M8" s="31"/>
      <c r="N8" s="31"/>
      <c r="O8" s="31"/>
      <c r="P8" s="31"/>
      <c r="Q8" s="31"/>
      <c r="R8" s="31"/>
      <c r="S8" s="31"/>
      <c r="T8" s="31"/>
      <c r="U8" s="31"/>
      <c r="V8" s="31"/>
    </row>
    <row r="9" spans="3:22" x14ac:dyDescent="0.25">
      <c r="C9" s="1002"/>
      <c r="D9" s="1002"/>
      <c r="E9" s="31"/>
      <c r="F9" s="31"/>
      <c r="G9" s="31"/>
      <c r="H9" s="31"/>
      <c r="I9" s="31"/>
      <c r="J9" s="31"/>
      <c r="K9" s="31"/>
      <c r="L9" s="86" t="s">
        <v>381</v>
      </c>
      <c r="M9" s="59" t="s">
        <v>380</v>
      </c>
      <c r="N9" s="60" t="s">
        <v>447</v>
      </c>
      <c r="O9" s="31"/>
      <c r="P9" s="29" t="s">
        <v>381</v>
      </c>
      <c r="Q9" s="59" t="s">
        <v>380</v>
      </c>
      <c r="R9" s="60" t="s">
        <v>447</v>
      </c>
      <c r="S9" s="31"/>
      <c r="T9" s="29" t="s">
        <v>381</v>
      </c>
      <c r="U9" s="30" t="s">
        <v>380</v>
      </c>
      <c r="V9" s="28" t="s">
        <v>447</v>
      </c>
    </row>
    <row r="10" spans="3:22" x14ac:dyDescent="0.25">
      <c r="C10" s="1002"/>
      <c r="D10" s="1002"/>
      <c r="E10" s="31"/>
      <c r="F10" s="31"/>
      <c r="G10" s="31"/>
      <c r="H10" s="31"/>
      <c r="I10" s="31"/>
      <c r="J10" s="31"/>
      <c r="K10" s="31"/>
      <c r="L10" s="31"/>
      <c r="M10" s="31"/>
      <c r="N10" s="31"/>
      <c r="O10" s="31"/>
      <c r="P10" s="31"/>
      <c r="Q10" s="31"/>
      <c r="R10" s="31"/>
      <c r="S10" s="31"/>
      <c r="T10" s="31"/>
      <c r="U10" s="31"/>
      <c r="V10" s="31"/>
    </row>
    <row r="11" spans="3:22" x14ac:dyDescent="0.25">
      <c r="C11" s="1002"/>
      <c r="D11" s="1002"/>
      <c r="E11" s="31"/>
      <c r="F11" s="31"/>
      <c r="G11" s="31"/>
      <c r="H11" s="31"/>
      <c r="I11" s="31"/>
      <c r="J11" s="31"/>
      <c r="K11" s="31"/>
      <c r="L11" s="31"/>
      <c r="M11" s="31"/>
      <c r="N11" s="31"/>
      <c r="O11" s="31"/>
      <c r="P11" s="31"/>
      <c r="Q11" s="31"/>
      <c r="R11" s="31"/>
      <c r="S11" s="31"/>
      <c r="T11" s="31"/>
      <c r="U11" s="31"/>
      <c r="V11" s="31"/>
    </row>
    <row r="12" spans="3:22" x14ac:dyDescent="0.25">
      <c r="C12" s="1002"/>
      <c r="D12" s="1002"/>
      <c r="E12" s="31"/>
      <c r="F12" s="31"/>
      <c r="G12" s="31"/>
      <c r="H12" s="31"/>
      <c r="I12" s="31"/>
      <c r="J12" s="31"/>
      <c r="K12" s="31"/>
      <c r="L12" s="31"/>
      <c r="M12" s="31"/>
      <c r="N12" s="31"/>
      <c r="O12" s="31"/>
      <c r="P12" s="31"/>
      <c r="Q12" s="31"/>
      <c r="R12" s="31"/>
      <c r="S12" s="31"/>
      <c r="T12" s="31"/>
      <c r="U12" s="31"/>
      <c r="V12" s="31"/>
    </row>
    <row r="14" spans="3:22" x14ac:dyDescent="0.25">
      <c r="C14" s="1002" t="s">
        <v>449</v>
      </c>
      <c r="D14" s="1002"/>
      <c r="E14" s="31"/>
      <c r="F14" s="31"/>
      <c r="G14" s="31"/>
      <c r="H14" s="31"/>
      <c r="I14" s="31"/>
      <c r="J14" s="31"/>
      <c r="K14" s="31"/>
      <c r="L14" s="31"/>
      <c r="M14" s="31"/>
      <c r="N14" s="31"/>
      <c r="O14" s="31"/>
      <c r="P14" s="31"/>
      <c r="Q14" s="31"/>
      <c r="R14" s="31"/>
      <c r="S14" s="31"/>
      <c r="T14" s="31"/>
      <c r="U14" s="31"/>
      <c r="V14" s="31"/>
    </row>
    <row r="15" spans="3:22" x14ac:dyDescent="0.25">
      <c r="C15" s="1002"/>
      <c r="D15" s="1002"/>
      <c r="E15" s="31"/>
      <c r="F15" s="31"/>
      <c r="G15" s="31"/>
      <c r="H15" s="31"/>
      <c r="I15" s="31"/>
      <c r="J15" s="31"/>
      <c r="K15" s="31"/>
      <c r="L15" s="31"/>
      <c r="M15" s="31"/>
      <c r="N15" s="31"/>
      <c r="O15" s="31"/>
      <c r="P15" s="31"/>
      <c r="Q15" s="31"/>
      <c r="R15" s="31"/>
      <c r="S15" s="31"/>
      <c r="T15" s="31"/>
      <c r="U15" s="31"/>
      <c r="V15" s="31"/>
    </row>
    <row r="16" spans="3:22" x14ac:dyDescent="0.25">
      <c r="C16" s="1002"/>
      <c r="D16" s="1002"/>
      <c r="E16" s="31"/>
      <c r="F16" s="31"/>
      <c r="G16" s="31"/>
      <c r="H16" s="31"/>
      <c r="I16" s="31"/>
      <c r="J16" s="31"/>
      <c r="K16" s="31"/>
      <c r="L16" s="86" t="s">
        <v>381</v>
      </c>
      <c r="M16" s="59" t="s">
        <v>380</v>
      </c>
      <c r="N16" s="60" t="s">
        <v>447</v>
      </c>
      <c r="O16" s="31"/>
      <c r="P16" s="29" t="s">
        <v>381</v>
      </c>
      <c r="Q16" s="59" t="s">
        <v>380</v>
      </c>
      <c r="R16" s="60" t="s">
        <v>447</v>
      </c>
      <c r="S16" s="31"/>
      <c r="T16" s="29" t="s">
        <v>381</v>
      </c>
      <c r="U16" s="30" t="s">
        <v>380</v>
      </c>
      <c r="V16" s="28" t="s">
        <v>447</v>
      </c>
    </row>
    <row r="17" spans="3:22" x14ac:dyDescent="0.25">
      <c r="C17" s="1002"/>
      <c r="D17" s="1002"/>
      <c r="E17" s="31"/>
      <c r="F17" s="31"/>
      <c r="G17" s="31"/>
      <c r="H17" s="31"/>
      <c r="I17" s="31"/>
      <c r="J17" s="31"/>
      <c r="K17" s="31"/>
      <c r="L17" s="31"/>
      <c r="M17" s="31"/>
      <c r="N17" s="31"/>
      <c r="O17" s="31"/>
      <c r="P17" s="31"/>
      <c r="Q17" s="31"/>
      <c r="R17" s="31"/>
      <c r="S17" s="31"/>
      <c r="T17" s="31"/>
      <c r="U17" s="31"/>
      <c r="V17" s="31"/>
    </row>
    <row r="18" spans="3:22" x14ac:dyDescent="0.25">
      <c r="C18" s="1002"/>
      <c r="D18" s="1002"/>
      <c r="E18" s="31"/>
      <c r="F18" s="31"/>
      <c r="G18" s="31"/>
      <c r="H18" s="31"/>
      <c r="I18" s="31"/>
      <c r="J18" s="31"/>
      <c r="K18" s="31"/>
      <c r="L18" s="31"/>
      <c r="M18" s="31"/>
      <c r="N18" s="31"/>
      <c r="O18" s="31"/>
      <c r="P18" s="31"/>
      <c r="Q18" s="31"/>
      <c r="R18" s="31"/>
      <c r="S18" s="31"/>
      <c r="T18" s="31"/>
      <c r="U18" s="31"/>
      <c r="V18" s="31"/>
    </row>
    <row r="19" spans="3:22" x14ac:dyDescent="0.25">
      <c r="C19" s="1002"/>
      <c r="D19" s="1002"/>
      <c r="E19" s="31"/>
      <c r="F19" s="31"/>
      <c r="G19" s="31"/>
      <c r="H19" s="31"/>
      <c r="I19" s="31"/>
      <c r="J19" s="31"/>
      <c r="K19" s="31"/>
      <c r="L19" s="31"/>
      <c r="M19" s="31"/>
      <c r="N19" s="31"/>
      <c r="O19" s="31"/>
      <c r="P19" s="31"/>
      <c r="Q19" s="31"/>
      <c r="R19" s="31"/>
      <c r="S19" s="31"/>
      <c r="T19" s="31"/>
      <c r="U19" s="31"/>
      <c r="V19" s="31"/>
    </row>
    <row r="21" spans="3:22" x14ac:dyDescent="0.25">
      <c r="C21" s="1002" t="s">
        <v>450</v>
      </c>
      <c r="D21" s="1002"/>
      <c r="E21" s="32"/>
      <c r="F21" s="32"/>
      <c r="G21" s="32"/>
      <c r="H21" s="32"/>
      <c r="I21" s="32"/>
      <c r="J21" s="32"/>
      <c r="K21" s="32"/>
      <c r="L21" s="31"/>
      <c r="M21" s="31"/>
      <c r="N21" s="31"/>
      <c r="O21" s="31"/>
      <c r="P21" s="31"/>
      <c r="Q21" s="31"/>
      <c r="R21" s="31"/>
      <c r="S21" s="31"/>
      <c r="T21" s="31"/>
      <c r="U21" s="31"/>
      <c r="V21" s="31"/>
    </row>
    <row r="22" spans="3:22" x14ac:dyDescent="0.25">
      <c r="C22" s="1002"/>
      <c r="D22" s="1002"/>
      <c r="E22" s="32"/>
      <c r="F22" s="32"/>
      <c r="G22" s="32"/>
      <c r="H22" s="32"/>
      <c r="I22" s="32"/>
      <c r="J22" s="32"/>
      <c r="K22" s="32"/>
      <c r="L22" s="32"/>
      <c r="M22" s="59" t="s">
        <v>380</v>
      </c>
      <c r="N22" s="32"/>
      <c r="O22" s="31"/>
      <c r="P22" s="31"/>
      <c r="Q22" s="31"/>
      <c r="R22" s="31"/>
      <c r="S22" s="31"/>
      <c r="T22" s="11"/>
      <c r="U22" s="11"/>
      <c r="V22" s="11"/>
    </row>
    <row r="23" spans="3:22" x14ac:dyDescent="0.25">
      <c r="C23" s="1002"/>
      <c r="D23" s="1002"/>
      <c r="E23" s="32"/>
      <c r="F23" s="32"/>
      <c r="G23" s="32"/>
      <c r="H23" s="32"/>
      <c r="I23" s="32"/>
      <c r="J23" s="32"/>
      <c r="K23" s="32"/>
      <c r="L23" s="60" t="s">
        <v>381</v>
      </c>
      <c r="M23" s="60" t="s">
        <v>380</v>
      </c>
      <c r="N23" s="60" t="s">
        <v>447</v>
      </c>
      <c r="O23" s="31"/>
      <c r="P23" s="29" t="s">
        <v>381</v>
      </c>
      <c r="Q23" s="59" t="s">
        <v>380</v>
      </c>
      <c r="R23" s="60" t="s">
        <v>447</v>
      </c>
      <c r="S23" s="31"/>
      <c r="T23" s="29" t="s">
        <v>381</v>
      </c>
      <c r="U23" s="30" t="s">
        <v>380</v>
      </c>
      <c r="V23" s="28" t="s">
        <v>447</v>
      </c>
    </row>
    <row r="24" spans="3:22" x14ac:dyDescent="0.25">
      <c r="C24" s="1002"/>
      <c r="D24" s="1002"/>
      <c r="E24" s="32"/>
      <c r="F24" s="32"/>
      <c r="G24" s="32"/>
      <c r="H24" s="32"/>
      <c r="I24" s="32"/>
      <c r="J24" s="32"/>
      <c r="K24" s="32"/>
      <c r="L24" s="32"/>
      <c r="M24" s="32"/>
      <c r="N24" s="32"/>
      <c r="O24" s="31"/>
      <c r="P24" s="31"/>
      <c r="Q24" s="31"/>
      <c r="R24" s="31"/>
      <c r="S24" s="31"/>
      <c r="T24" s="11"/>
      <c r="U24" s="11"/>
      <c r="V24" s="11"/>
    </row>
  </sheetData>
  <mergeCells count="9">
    <mergeCell ref="C7:D12"/>
    <mergeCell ref="C14:D19"/>
    <mergeCell ref="C21:D24"/>
    <mergeCell ref="C2:V4"/>
    <mergeCell ref="T7:V7"/>
    <mergeCell ref="P7:R7"/>
    <mergeCell ref="L7:N7"/>
    <mergeCell ref="F7:J7"/>
    <mergeCell ref="C5:O5"/>
  </mergeCells>
  <hyperlinks>
    <hyperlink ref="L9" location="Rakhine_CCCM_D!A1" display="Rakhine"/>
    <hyperlink ref="M9" location="'CCCM Dashboard'!A1" display="Kachin"/>
    <hyperlink ref="L16" location="Rakhine_Shelter_D!A1" display="Rakhine"/>
    <hyperlink ref="M16" location="'Shelter Coverage &amp; Gaps'!A1" display="Kachin"/>
    <hyperlink ref="M23" location="Kachin_CCCM_D!A1" display="Kachin"/>
    <hyperlink ref="M22" location="'NFI Summary'!A1" display="Kachin"/>
  </hyperlinks>
  <pageMargins left="0.7" right="0.7" top="0.75" bottom="0.75" header="0.3" footer="0.3"/>
  <pageSetup scale="93" orientation="landscape" r:id="rId1"/>
  <drawing r:id="rId2"/>
  <legacyDrawing r:id="rId3"/>
  <controls>
    <mc:AlternateContent xmlns:mc="http://schemas.openxmlformats.org/markup-compatibility/2006">
      <mc:Choice Requires="x14">
        <control shapeId="1025" r:id="rId4" name="Main_Export_Data">
          <controlPr defaultSize="0" autoLine="0" r:id="rId5">
            <anchor moveWithCells="1">
              <from>
                <xdr:col>25</xdr:col>
                <xdr:colOff>180975</xdr:colOff>
                <xdr:row>6</xdr:row>
                <xdr:rowOff>0</xdr:rowOff>
              </from>
              <to>
                <xdr:col>27</xdr:col>
                <xdr:colOff>476250</xdr:colOff>
                <xdr:row>8</xdr:row>
                <xdr:rowOff>57150</xdr:rowOff>
              </to>
            </anchor>
          </controlPr>
        </control>
      </mc:Choice>
      <mc:Fallback>
        <control shapeId="1025" r:id="rId4" name="Main_Export_Data"/>
      </mc:Fallback>
    </mc:AlternateContent>
    <mc:AlternateContent xmlns:mc="http://schemas.openxmlformats.org/markup-compatibility/2006">
      <mc:Choice Requires="x14">
        <control shapeId="1026" r:id="rId6" name="Print_Report">
          <controlPr defaultSize="0" autoLine="0" r:id="rId7">
            <anchor moveWithCells="1">
              <from>
                <xdr:col>25</xdr:col>
                <xdr:colOff>133350</xdr:colOff>
                <xdr:row>10</xdr:row>
                <xdr:rowOff>9525</xdr:rowOff>
              </from>
              <to>
                <xdr:col>27</xdr:col>
                <xdr:colOff>504825</xdr:colOff>
                <xdr:row>11</xdr:row>
                <xdr:rowOff>142875</xdr:rowOff>
              </to>
            </anchor>
          </controlPr>
        </control>
      </mc:Choice>
      <mc:Fallback>
        <control shapeId="1026" r:id="rId6" name="Print_Report"/>
      </mc:Fallback>
    </mc:AlternateContent>
  </control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FF0000"/>
  </sheetPr>
  <dimension ref="A1:AT339"/>
  <sheetViews>
    <sheetView showZeros="0" zoomScale="70" zoomScaleNormal="70" workbookViewId="0">
      <pane xSplit="1" ySplit="4" topLeftCell="B5" activePane="bottomRight" state="frozen"/>
      <selection activeCell="AS915" sqref="AS915"/>
      <selection pane="topRight" activeCell="AS915" sqref="AS915"/>
      <selection pane="bottomLeft" activeCell="AS915" sqref="AS915"/>
      <selection pane="bottomRight" activeCell="G18" sqref="G18"/>
    </sheetView>
  </sheetViews>
  <sheetFormatPr defaultColWidth="9.140625" defaultRowHeight="15" x14ac:dyDescent="0.25"/>
  <cols>
    <col min="1" max="1" width="21.7109375" customWidth="1"/>
    <col min="2" max="2" width="16" customWidth="1"/>
    <col min="3" max="3" width="14.85546875" customWidth="1"/>
    <col min="4" max="4" width="13.42578125" customWidth="1"/>
    <col min="5" max="5" width="17.140625" customWidth="1"/>
    <col min="6" max="6" width="42.140625" customWidth="1"/>
    <col min="7" max="7" width="17.7109375" customWidth="1"/>
    <col min="8" max="8" width="17.85546875" customWidth="1"/>
    <col min="9" max="9" width="14.28515625" customWidth="1"/>
    <col min="10" max="10" width="19.85546875" customWidth="1"/>
    <col min="11" max="11" width="15.85546875" customWidth="1"/>
    <col min="12" max="12" width="15.42578125" customWidth="1"/>
    <col min="13" max="13" width="18.5703125" customWidth="1"/>
    <col min="14" max="14" width="23.7109375" customWidth="1"/>
    <col min="15" max="15" width="19.5703125" customWidth="1"/>
    <col min="16" max="16" width="16.5703125" customWidth="1"/>
    <col min="17" max="17" width="20" style="4" customWidth="1"/>
    <col min="18" max="18" width="16.140625" style="4" customWidth="1"/>
    <col min="19" max="19" width="32.28515625" customWidth="1"/>
    <col min="20" max="20" width="12.5703125" customWidth="1"/>
    <col min="21" max="21" width="13.7109375" customWidth="1"/>
    <col min="22" max="22" width="20.42578125" style="421" customWidth="1"/>
    <col min="23" max="23" width="43.85546875" bestFit="1" customWidth="1"/>
    <col min="24" max="16384" width="9.140625" style="4"/>
  </cols>
  <sheetData>
    <row r="1" spans="1:46" s="18" customFormat="1" ht="36" x14ac:dyDescent="0.25">
      <c r="A1" s="319"/>
      <c r="B1" s="297"/>
      <c r="C1" s="297"/>
      <c r="D1" s="297"/>
      <c r="E1" s="297"/>
      <c r="F1" s="297"/>
      <c r="G1" s="297"/>
      <c r="H1" s="297"/>
      <c r="I1" s="297"/>
      <c r="J1" s="297"/>
      <c r="K1" s="297"/>
      <c r="L1" s="297"/>
      <c r="M1" s="297"/>
      <c r="N1" s="297"/>
      <c r="O1" s="297"/>
      <c r="P1" s="297"/>
      <c r="Q1" s="241"/>
      <c r="R1" s="241"/>
      <c r="S1" s="241"/>
      <c r="T1" s="241"/>
      <c r="U1" s="241"/>
      <c r="V1" s="436"/>
      <c r="W1" s="242"/>
      <c r="AS1" s="57"/>
      <c r="AT1" s="57"/>
    </row>
    <row r="2" spans="1:46" s="18" customFormat="1" ht="36" x14ac:dyDescent="0.25">
      <c r="A2" s="1016" t="s">
        <v>1283</v>
      </c>
      <c r="B2" s="1010"/>
      <c r="C2" s="1010"/>
      <c r="D2" s="263"/>
      <c r="E2" s="263"/>
      <c r="F2" s="263"/>
      <c r="G2" s="263"/>
      <c r="H2" s="263"/>
      <c r="I2" s="263"/>
      <c r="J2" s="263"/>
      <c r="K2" s="263"/>
      <c r="L2" s="263"/>
      <c r="M2" s="263"/>
      <c r="N2" s="263"/>
      <c r="O2" s="263"/>
      <c r="P2" s="263"/>
      <c r="Q2" s="209"/>
      <c r="R2" s="209"/>
      <c r="S2" s="209"/>
      <c r="T2" s="209"/>
      <c r="U2" s="209"/>
      <c r="V2" s="432"/>
      <c r="W2" s="243"/>
      <c r="AS2" s="57"/>
      <c r="AT2" s="57"/>
    </row>
    <row r="3" spans="1:46" s="18" customFormat="1" ht="18" customHeight="1" x14ac:dyDescent="0.25">
      <c r="A3" s="1017">
        <f>Definition!B23</f>
        <v>42522</v>
      </c>
      <c r="B3" s="1011"/>
      <c r="C3" s="1011"/>
      <c r="D3" s="1011"/>
      <c r="E3" s="1011"/>
      <c r="F3" s="1011"/>
      <c r="G3" s="1011"/>
      <c r="H3" s="1011"/>
      <c r="I3" s="1011"/>
      <c r="J3" s="1011"/>
      <c r="K3" s="1011"/>
      <c r="L3" s="1011"/>
      <c r="M3" s="1011"/>
      <c r="N3" s="1011"/>
      <c r="O3" s="1011"/>
      <c r="P3" s="1011"/>
      <c r="Q3" s="362"/>
      <c r="R3" s="245"/>
      <c r="S3" s="245"/>
      <c r="T3" s="245"/>
      <c r="U3" s="245"/>
      <c r="V3" s="245"/>
      <c r="W3" s="246"/>
      <c r="AS3" s="57"/>
      <c r="AT3" s="57"/>
    </row>
    <row r="4" spans="1:46" ht="57" customHeight="1" x14ac:dyDescent="0.25">
      <c r="A4" s="340" t="s">
        <v>503</v>
      </c>
      <c r="B4" s="341" t="s">
        <v>403</v>
      </c>
      <c r="C4" s="342" t="s">
        <v>1284</v>
      </c>
      <c r="D4" s="341" t="s">
        <v>396</v>
      </c>
      <c r="E4" s="341" t="s">
        <v>0</v>
      </c>
      <c r="F4" s="341" t="s">
        <v>512</v>
      </c>
      <c r="G4" s="341" t="s">
        <v>1285</v>
      </c>
      <c r="H4" s="343" t="s">
        <v>1294</v>
      </c>
      <c r="I4" s="343" t="s">
        <v>1286</v>
      </c>
      <c r="J4" s="344" t="s">
        <v>1287</v>
      </c>
      <c r="K4" s="344" t="s">
        <v>1288</v>
      </c>
      <c r="L4" s="344" t="s">
        <v>1289</v>
      </c>
      <c r="M4" s="345" t="s">
        <v>1290</v>
      </c>
      <c r="N4" s="345" t="s">
        <v>1291</v>
      </c>
      <c r="O4" s="345" t="s">
        <v>1292</v>
      </c>
      <c r="P4" s="346" t="s">
        <v>1293</v>
      </c>
      <c r="Q4" s="347" t="s">
        <v>1008</v>
      </c>
      <c r="R4" s="347" t="s">
        <v>1007</v>
      </c>
      <c r="S4" s="348" t="s">
        <v>560</v>
      </c>
      <c r="T4" s="349" t="s">
        <v>500</v>
      </c>
      <c r="U4" s="345" t="s">
        <v>442</v>
      </c>
      <c r="V4" s="553" t="s">
        <v>1308</v>
      </c>
      <c r="W4" s="350" t="s">
        <v>1048</v>
      </c>
    </row>
    <row r="5" spans="1:46" ht="16.149999999999999" customHeight="1" x14ac:dyDescent="0.25">
      <c r="A5" s="331">
        <v>41609</v>
      </c>
      <c r="B5" s="211" t="s">
        <v>454</v>
      </c>
      <c r="C5" s="211" t="s">
        <v>462</v>
      </c>
      <c r="D5" s="211" t="s">
        <v>380</v>
      </c>
      <c r="E5" s="216" t="s">
        <v>529</v>
      </c>
      <c r="F5" s="211" t="s">
        <v>62</v>
      </c>
      <c r="G5" s="183">
        <v>1</v>
      </c>
      <c r="H5" s="183"/>
      <c r="I5" s="183"/>
      <c r="J5" s="183">
        <v>20</v>
      </c>
      <c r="K5" s="183">
        <v>20</v>
      </c>
      <c r="L5" s="211"/>
      <c r="M5" s="211"/>
      <c r="N5" s="211"/>
      <c r="O5" s="211"/>
      <c r="P5" s="184">
        <f>IF(Table_Shelter[[#This Row],[Status]]="Open",IF(V5="NO",Table_Shelter[[#This Row],[HH per Shelter]]*(Table_Shelter[[#This Row],['# of Temporary Shelter Units Built]]+Table_Shelter[[#This Row],['# of Temporary Shelter Under  Construction]]+Table_Shelter[[#This Row],['# of Permanent House Under Construction]]),0),0)</f>
        <v>20</v>
      </c>
      <c r="Q5" s="184"/>
      <c r="R5" s="211"/>
      <c r="S5" s="211" t="str">
        <f>IFERROR(VLOOKUP(Table_Shelter[[#This Row],[CampName]],CL,2,0),"")</f>
        <v>MMR001CMP179</v>
      </c>
      <c r="T5" s="211" t="str">
        <f>IFERROR(VLOOKUP(Table_Shelter[[#This Row],[CampName]],CL,3,0),"")</f>
        <v>Open</v>
      </c>
      <c r="U5" s="332">
        <f>IFERROR(Table_Shelter[[#This Row],[HH Covered]]/VLOOKUP(Table_Shelter[[#This Row],[CampName]],CL,4,0),"")</f>
        <v>0.25974025974025972</v>
      </c>
      <c r="V5" s="552" t="s">
        <v>1310</v>
      </c>
      <c r="W5" s="333"/>
    </row>
    <row r="6" spans="1:46" ht="16.149999999999999" customHeight="1" x14ac:dyDescent="0.25">
      <c r="A6" s="331"/>
      <c r="B6" s="210" t="s">
        <v>864</v>
      </c>
      <c r="C6" s="210"/>
      <c r="D6" s="213" t="s">
        <v>380</v>
      </c>
      <c r="E6" s="435" t="s">
        <v>529</v>
      </c>
      <c r="F6" s="210" t="s">
        <v>62</v>
      </c>
      <c r="G6" s="139">
        <v>1</v>
      </c>
      <c r="H6" s="183">
        <v>25</v>
      </c>
      <c r="I6" s="183">
        <v>25</v>
      </c>
      <c r="J6" s="183"/>
      <c r="K6" s="183"/>
      <c r="L6" s="211"/>
      <c r="M6" s="211"/>
      <c r="N6" s="211"/>
      <c r="O6" s="211"/>
      <c r="P6" s="184">
        <f>IF(Table_Shelter[[#This Row],[Status]]="Open",IF(V6="NO",Table_Shelter[[#This Row],[HH per Shelter]]*(Table_Shelter[[#This Row],['# of Temporary Shelter Units Built]]+Table_Shelter[[#This Row],['# of Temporary Shelter Under  Construction]]+Table_Shelter[[#This Row],['# of Permanent House Under Construction]]),0),0)</f>
        <v>0</v>
      </c>
      <c r="Q6" s="184"/>
      <c r="R6" s="211"/>
      <c r="S6" s="211" t="str">
        <f>IFERROR(VLOOKUP(Table_Shelter[[#This Row],[CampName]],CL,2,0),"")</f>
        <v>MMR001CMP179</v>
      </c>
      <c r="T6" s="211" t="str">
        <f>IFERROR(VLOOKUP(Table_Shelter[[#This Row],[CampName]],CL,3,0),"")</f>
        <v>Open</v>
      </c>
      <c r="U6" s="332">
        <f>IFERROR(Table_Shelter[[#This Row],[HH Covered]]/VLOOKUP(Table_Shelter[[#This Row],[CampName]],CL,4,0),"")</f>
        <v>0</v>
      </c>
      <c r="V6" s="552" t="s">
        <v>1310</v>
      </c>
      <c r="W6" s="333"/>
    </row>
    <row r="7" spans="1:46" ht="16.149999999999999" customHeight="1" x14ac:dyDescent="0.25">
      <c r="A7" s="334"/>
      <c r="B7" s="210" t="s">
        <v>454</v>
      </c>
      <c r="C7" s="210" t="s">
        <v>508</v>
      </c>
      <c r="D7" s="210" t="s">
        <v>380</v>
      </c>
      <c r="E7" s="435" t="s">
        <v>529</v>
      </c>
      <c r="F7" s="210" t="s">
        <v>62</v>
      </c>
      <c r="G7" s="139">
        <v>1</v>
      </c>
      <c r="H7" s="139"/>
      <c r="I7" s="139"/>
      <c r="J7" s="139"/>
      <c r="K7" s="139"/>
      <c r="L7" s="210"/>
      <c r="M7" s="210"/>
      <c r="N7" s="210"/>
      <c r="O7" s="210"/>
      <c r="P7" s="184">
        <f>IF(Table_Shelter[[#This Row],[Status]]="Open",IF(V7="NO",Table_Shelter[[#This Row],[HH per Shelter]]*(Table_Shelter[[#This Row],['# of Temporary Shelter Units Built]]+Table_Shelter[[#This Row],['# of Temporary Shelter Under  Construction]]+Table_Shelter[[#This Row],['# of Permanent House Under Construction]]),0),0)</f>
        <v>0</v>
      </c>
      <c r="Q7" s="138">
        <v>44</v>
      </c>
      <c r="R7" s="210"/>
      <c r="S7" s="211" t="str">
        <f>IFERROR(VLOOKUP(Table_Shelter[[#This Row],[CampName]],CL,2,0),"")</f>
        <v>MMR001CMP179</v>
      </c>
      <c r="T7" s="211" t="str">
        <f>IFERROR(VLOOKUP(Table_Shelter[[#This Row],[CampName]],CL,3,0),"")</f>
        <v>Open</v>
      </c>
      <c r="U7" s="332">
        <f>IFERROR(Table_Shelter[[#This Row],[HH Covered]]/VLOOKUP(Table_Shelter[[#This Row],[CampName]],CL,4,0),"")</f>
        <v>0</v>
      </c>
      <c r="V7" s="552" t="s">
        <v>1310</v>
      </c>
      <c r="W7" s="333"/>
    </row>
    <row r="8" spans="1:46" ht="16.149999999999999" customHeight="1" x14ac:dyDescent="0.25">
      <c r="A8" s="334">
        <v>42416</v>
      </c>
      <c r="B8" s="210" t="s">
        <v>454</v>
      </c>
      <c r="C8" s="210" t="s">
        <v>508</v>
      </c>
      <c r="D8" s="210" t="s">
        <v>380</v>
      </c>
      <c r="E8" s="435" t="s">
        <v>529</v>
      </c>
      <c r="F8" s="210" t="s">
        <v>120</v>
      </c>
      <c r="G8" s="183">
        <v>1</v>
      </c>
      <c r="H8" s="183"/>
      <c r="I8" s="183"/>
      <c r="J8" s="183">
        <v>12</v>
      </c>
      <c r="K8" s="183">
        <v>12</v>
      </c>
      <c r="L8" s="211"/>
      <c r="M8" s="211"/>
      <c r="N8" s="211"/>
      <c r="O8" s="211"/>
      <c r="P8" s="184">
        <f>IF(Table_Shelter[[#This Row],[Status]]="Open",IF(V8="NO",Table_Shelter[[#This Row],[HH per Shelter]]*(Table_Shelter[[#This Row],['# of Temporary Shelter Units Built]]+Table_Shelter[[#This Row],['# of Temporary Shelter Under  Construction]]+Table_Shelter[[#This Row],['# of Permanent House Under Construction]]),0),0)</f>
        <v>12</v>
      </c>
      <c r="Q8" s="184"/>
      <c r="R8" s="211"/>
      <c r="S8" s="211" t="str">
        <f>IFERROR(VLOOKUP(Table_Shelter[[#This Row],[CampName]],CL,2,0),"")</f>
        <v>MMR001CMP168</v>
      </c>
      <c r="T8" s="211" t="str">
        <f>IFERROR(VLOOKUP(Table_Shelter[[#This Row],[CampName]],CL,3,0),"")</f>
        <v>Open</v>
      </c>
      <c r="U8" s="332">
        <f>IFERROR(Table_Shelter[[#This Row],[HH Covered]]/VLOOKUP(Table_Shelter[[#This Row],[CampName]],CL,4,0),"")</f>
        <v>0.18181818181818182</v>
      </c>
      <c r="V8" s="593" t="s">
        <v>1310</v>
      </c>
      <c r="W8" s="333"/>
    </row>
    <row r="9" spans="1:46" ht="16.149999999999999" customHeight="1" x14ac:dyDescent="0.25">
      <c r="A9" s="334"/>
      <c r="B9" s="210" t="s">
        <v>574</v>
      </c>
      <c r="C9" s="210" t="s">
        <v>461</v>
      </c>
      <c r="D9" s="210" t="s">
        <v>380</v>
      </c>
      <c r="E9" s="435" t="s">
        <v>5</v>
      </c>
      <c r="F9" s="210" t="s">
        <v>6</v>
      </c>
      <c r="G9" s="139">
        <v>1</v>
      </c>
      <c r="H9" s="139"/>
      <c r="I9" s="139"/>
      <c r="J9" s="139">
        <v>6</v>
      </c>
      <c r="K9" s="139">
        <v>6</v>
      </c>
      <c r="L9" s="210"/>
      <c r="M9" s="210"/>
      <c r="N9" s="210"/>
      <c r="O9" s="210"/>
      <c r="P9" s="184">
        <f>IF(Table_Shelter[[#This Row],[Status]]="Open",IF(V9="NO",Table_Shelter[[#This Row],[HH per Shelter]]*(Table_Shelter[[#This Row],['# of Temporary Shelter Units Built]]+Table_Shelter[[#This Row],['# of Temporary Shelter Under  Construction]]+Table_Shelter[[#This Row],['# of Permanent House Under Construction]]),0),0)</f>
        <v>6</v>
      </c>
      <c r="Q9" s="138"/>
      <c r="R9" s="210"/>
      <c r="S9" s="211" t="str">
        <f>IFERROR(VLOOKUP(Table_Shelter[[#This Row],[CampName]],CL,2,0),"")</f>
        <v>MMR001CMP050</v>
      </c>
      <c r="T9" s="211" t="str">
        <f>IFERROR(VLOOKUP(Table_Shelter[[#This Row],[CampName]],CL,3,0),"")</f>
        <v>Open</v>
      </c>
      <c r="U9" s="332">
        <f>IFERROR(Table_Shelter[[#This Row],[HH Covered]]/VLOOKUP(Table_Shelter[[#This Row],[CampName]],CL,4,0),"")</f>
        <v>2.1897810218978103E-2</v>
      </c>
      <c r="V9" s="552" t="s">
        <v>1310</v>
      </c>
      <c r="W9" s="333"/>
    </row>
    <row r="10" spans="1:46" ht="16.149999999999999" customHeight="1" x14ac:dyDescent="0.25">
      <c r="A10" s="603"/>
      <c r="B10" s="212" t="s">
        <v>454</v>
      </c>
      <c r="C10" s="212" t="s">
        <v>461</v>
      </c>
      <c r="D10" s="212" t="s">
        <v>380</v>
      </c>
      <c r="E10" s="217" t="s">
        <v>5</v>
      </c>
      <c r="F10" s="212" t="s">
        <v>6</v>
      </c>
      <c r="G10" s="143">
        <v>1</v>
      </c>
      <c r="H10" s="143"/>
      <c r="I10" s="143"/>
      <c r="J10" s="143">
        <v>144</v>
      </c>
      <c r="K10" s="143">
        <v>144</v>
      </c>
      <c r="L10" s="212"/>
      <c r="M10" s="212"/>
      <c r="N10" s="212"/>
      <c r="O10" s="212"/>
      <c r="P10" s="184">
        <f>IF(Table_Shelter[[#This Row],[Status]]="Open",IF(V10="NO",Table_Shelter[[#This Row],[HH per Shelter]]*(Table_Shelter[[#This Row],['# of Temporary Shelter Units Built]]+Table_Shelter[[#This Row],['# of Temporary Shelter Under  Construction]]+Table_Shelter[[#This Row],['# of Permanent House Under Construction]]),0),0)</f>
        <v>144</v>
      </c>
      <c r="Q10" s="142"/>
      <c r="R10" s="212"/>
      <c r="S10" s="211" t="str">
        <f>IFERROR(VLOOKUP(Table_Shelter[[#This Row],[CampName]],CL,2,0),"")</f>
        <v>MMR001CMP050</v>
      </c>
      <c r="T10" s="211" t="str">
        <f>IFERROR(VLOOKUP(Table_Shelter[[#This Row],[CampName]],CL,3,0),"")</f>
        <v>Open</v>
      </c>
      <c r="U10" s="332">
        <f>IFERROR(Table_Shelter[[#This Row],[HH Covered]]/VLOOKUP(Table_Shelter[[#This Row],[CampName]],CL,4,0),"")</f>
        <v>0.52554744525547448</v>
      </c>
      <c r="V10" s="552" t="s">
        <v>1310</v>
      </c>
      <c r="W10" s="333"/>
    </row>
    <row r="11" spans="1:46" ht="16.149999999999999" customHeight="1" x14ac:dyDescent="0.25">
      <c r="A11" s="334"/>
      <c r="B11" s="210" t="s">
        <v>454</v>
      </c>
      <c r="C11" s="210"/>
      <c r="D11" s="210" t="s">
        <v>380</v>
      </c>
      <c r="E11" s="435" t="s">
        <v>5</v>
      </c>
      <c r="F11" s="210" t="s">
        <v>6</v>
      </c>
      <c r="G11" s="139">
        <v>1</v>
      </c>
      <c r="H11" s="139"/>
      <c r="I11" s="139"/>
      <c r="J11" s="139">
        <v>20</v>
      </c>
      <c r="K11" s="139">
        <v>20</v>
      </c>
      <c r="L11" s="210"/>
      <c r="M11" s="210"/>
      <c r="N11" s="210"/>
      <c r="O11" s="210"/>
      <c r="P11" s="184">
        <f>IF(Table_Shelter[[#This Row],[Status]]="Open",IF(V11="NO",Table_Shelter[[#This Row],[HH per Shelter]]*(Table_Shelter[[#This Row],['# of Temporary Shelter Units Built]]+Table_Shelter[[#This Row],['# of Temporary Shelter Under  Construction]]+Table_Shelter[[#This Row],['# of Permanent House Under Construction]]),0),0)</f>
        <v>20</v>
      </c>
      <c r="Q11" s="138"/>
      <c r="R11" s="210"/>
      <c r="S11" s="211" t="str">
        <f>IFERROR(VLOOKUP(Table_Shelter[[#This Row],[CampName]],CL,2,0),"")</f>
        <v>MMR001CMP050</v>
      </c>
      <c r="T11" s="211" t="str">
        <f>IFERROR(VLOOKUP(Table_Shelter[[#This Row],[CampName]],CL,3,0),"")</f>
        <v>Open</v>
      </c>
      <c r="U11" s="332">
        <f>IFERROR(Table_Shelter[[#This Row],[HH Covered]]/VLOOKUP(Table_Shelter[[#This Row],[CampName]],CL,4,0),"")</f>
        <v>7.2992700729927001E-2</v>
      </c>
      <c r="V11" s="552" t="s">
        <v>1310</v>
      </c>
      <c r="W11" s="333"/>
    </row>
    <row r="12" spans="1:46" ht="16.149999999999999" customHeight="1" x14ac:dyDescent="0.25">
      <c r="A12" s="334">
        <v>42416</v>
      </c>
      <c r="B12" s="210" t="s">
        <v>454</v>
      </c>
      <c r="C12" s="210" t="s">
        <v>507</v>
      </c>
      <c r="D12" s="210" t="s">
        <v>380</v>
      </c>
      <c r="E12" s="435" t="s">
        <v>529</v>
      </c>
      <c r="F12" s="210" t="s">
        <v>41</v>
      </c>
      <c r="G12" s="139">
        <v>1</v>
      </c>
      <c r="H12" s="139"/>
      <c r="I12" s="139"/>
      <c r="J12" s="139">
        <v>15</v>
      </c>
      <c r="K12" s="139">
        <v>15</v>
      </c>
      <c r="L12" s="210"/>
      <c r="M12" s="210"/>
      <c r="N12" s="210"/>
      <c r="O12" s="210"/>
      <c r="P12" s="184">
        <f>IF(Table_Shelter[[#This Row],[Status]]="Open",IF(V12="NO",Table_Shelter[[#This Row],[HH per Shelter]]*(Table_Shelter[[#This Row],['# of Temporary Shelter Units Built]]+Table_Shelter[[#This Row],['# of Temporary Shelter Under  Construction]]+Table_Shelter[[#This Row],['# of Permanent House Under Construction]]),0),0)</f>
        <v>15</v>
      </c>
      <c r="Q12" s="138"/>
      <c r="R12" s="210"/>
      <c r="S12" s="211" t="str">
        <f>IFERROR(VLOOKUP(Table_Shelter[[#This Row],[CampName]],CL,2,0),"")</f>
        <v>MMR001CMP176</v>
      </c>
      <c r="T12" s="211" t="str">
        <f>IFERROR(VLOOKUP(Table_Shelter[[#This Row],[CampName]],CL,3,0),"")</f>
        <v>Open</v>
      </c>
      <c r="U12" s="332">
        <f>IFERROR(Table_Shelter[[#This Row],[HH Covered]]/VLOOKUP(Table_Shelter[[#This Row],[CampName]],CL,4,0),"")</f>
        <v>0.22388059701492538</v>
      </c>
      <c r="V12" s="552" t="s">
        <v>1310</v>
      </c>
      <c r="W12" s="333"/>
    </row>
    <row r="13" spans="1:46" ht="16.149999999999999" customHeight="1" x14ac:dyDescent="0.25">
      <c r="A13" s="334">
        <v>41974</v>
      </c>
      <c r="B13" s="210" t="s">
        <v>454</v>
      </c>
      <c r="C13" s="210" t="s">
        <v>507</v>
      </c>
      <c r="D13" s="218" t="s">
        <v>380</v>
      </c>
      <c r="E13" s="435" t="s">
        <v>529</v>
      </c>
      <c r="F13" s="210" t="s">
        <v>41</v>
      </c>
      <c r="G13" s="139">
        <v>1</v>
      </c>
      <c r="H13" s="139"/>
      <c r="I13" s="139"/>
      <c r="J13" s="139">
        <v>15</v>
      </c>
      <c r="K13" s="139">
        <v>15</v>
      </c>
      <c r="L13" s="210"/>
      <c r="M13" s="210"/>
      <c r="N13" s="210"/>
      <c r="O13" s="210"/>
      <c r="P13" s="142">
        <f>IF(Table_Shelter[[#This Row],[Status]]="Open",IF(V13="NO",Table_Shelter[[#This Row],[HH per Shelter]]*(Table_Shelter[[#This Row],['# of Temporary Shelter Units Built]]+Table_Shelter[[#This Row],['# of Temporary Shelter Under  Construction]]+Table_Shelter[[#This Row],['# of Permanent House Under Construction]]),0),0)</f>
        <v>15</v>
      </c>
      <c r="Q13" s="138"/>
      <c r="R13" s="138"/>
      <c r="S13" s="142" t="str">
        <f>IFERROR(VLOOKUP(Table_Shelter[[#This Row],[CampName]],CL,2,0),"")</f>
        <v>MMR001CMP176</v>
      </c>
      <c r="T13" s="142" t="str">
        <f>IFERROR(VLOOKUP(Table_Shelter[[#This Row],[CampName]],CL,3,0),"")</f>
        <v>Open</v>
      </c>
      <c r="U13" s="332">
        <f>IFERROR(Table_Shelter[[#This Row],[HH Covered]]/VLOOKUP(Table_Shelter[[#This Row],[CampName]],CL,4,0),"")</f>
        <v>0.22388059701492538</v>
      </c>
      <c r="V13" s="552" t="s">
        <v>1310</v>
      </c>
      <c r="W13" s="336"/>
    </row>
    <row r="14" spans="1:46" ht="16.149999999999999" customHeight="1" x14ac:dyDescent="0.25">
      <c r="A14" s="334">
        <v>41609</v>
      </c>
      <c r="B14" s="210" t="s">
        <v>454</v>
      </c>
      <c r="C14" s="210" t="s">
        <v>507</v>
      </c>
      <c r="D14" s="210" t="s">
        <v>380</v>
      </c>
      <c r="E14" s="435" t="s">
        <v>529</v>
      </c>
      <c r="F14" s="210" t="s">
        <v>41</v>
      </c>
      <c r="G14" s="139">
        <v>1</v>
      </c>
      <c r="H14" s="139"/>
      <c r="I14" s="139"/>
      <c r="J14" s="139">
        <v>25</v>
      </c>
      <c r="K14" s="139">
        <v>25</v>
      </c>
      <c r="L14" s="210"/>
      <c r="M14" s="210"/>
      <c r="N14" s="210"/>
      <c r="O14" s="210"/>
      <c r="P14" s="184">
        <f>IF(Table_Shelter[[#This Row],[Status]]="Open",IF(V14="NO",Table_Shelter[[#This Row],[HH per Shelter]]*(Table_Shelter[[#This Row],['# of Temporary Shelter Units Built]]+Table_Shelter[[#This Row],['# of Temporary Shelter Under  Construction]]+Table_Shelter[[#This Row],['# of Permanent House Under Construction]]),0),0)</f>
        <v>25</v>
      </c>
      <c r="Q14" s="138"/>
      <c r="R14" s="210"/>
      <c r="S14" s="211" t="str">
        <f>IFERROR(VLOOKUP(Table_Shelter[[#This Row],[CampName]],CL,2,0),"")</f>
        <v>MMR001CMP176</v>
      </c>
      <c r="T14" s="211" t="str">
        <f>IFERROR(VLOOKUP(Table_Shelter[[#This Row],[CampName]],CL,3,0),"")</f>
        <v>Open</v>
      </c>
      <c r="U14" s="332">
        <f>IFERROR(Table_Shelter[[#This Row],[HH Covered]]/VLOOKUP(Table_Shelter[[#This Row],[CampName]],CL,4,0),"")</f>
        <v>0.37313432835820898</v>
      </c>
      <c r="V14" s="552" t="s">
        <v>1310</v>
      </c>
      <c r="W14" s="333"/>
    </row>
    <row r="15" spans="1:46" ht="16.149999999999999" customHeight="1" x14ac:dyDescent="0.25">
      <c r="A15" s="334"/>
      <c r="B15" s="210" t="s">
        <v>864</v>
      </c>
      <c r="C15" s="210"/>
      <c r="D15" s="213" t="s">
        <v>380</v>
      </c>
      <c r="E15" s="435" t="s">
        <v>529</v>
      </c>
      <c r="F15" s="210" t="s">
        <v>41</v>
      </c>
      <c r="G15" s="139">
        <v>1</v>
      </c>
      <c r="H15" s="139">
        <v>10</v>
      </c>
      <c r="I15" s="139">
        <v>10</v>
      </c>
      <c r="J15" s="139"/>
      <c r="K15" s="139"/>
      <c r="L15" s="210"/>
      <c r="M15" s="210"/>
      <c r="N15" s="210"/>
      <c r="O15" s="210"/>
      <c r="P15" s="184">
        <f>IF(Table_Shelter[[#This Row],[Status]]="Open",IF(V15="NO",Table_Shelter[[#This Row],[HH per Shelter]]*(Table_Shelter[[#This Row],['# of Temporary Shelter Units Built]]+Table_Shelter[[#This Row],['# of Temporary Shelter Under  Construction]]+Table_Shelter[[#This Row],['# of Permanent House Under Construction]]),0),0)</f>
        <v>0</v>
      </c>
      <c r="Q15" s="138"/>
      <c r="R15" s="210"/>
      <c r="S15" s="211" t="str">
        <f>IFERROR(VLOOKUP(Table_Shelter[[#This Row],[CampName]],CL,2,0),"")</f>
        <v>MMR001CMP176</v>
      </c>
      <c r="T15" s="211" t="str">
        <f>IFERROR(VLOOKUP(Table_Shelter[[#This Row],[CampName]],CL,3,0),"")</f>
        <v>Open</v>
      </c>
      <c r="U15" s="332">
        <f>IFERROR(Table_Shelter[[#This Row],[HH Covered]]/VLOOKUP(Table_Shelter[[#This Row],[CampName]],CL,4,0),"")</f>
        <v>0</v>
      </c>
      <c r="V15" s="552" t="s">
        <v>1310</v>
      </c>
      <c r="W15" s="333"/>
    </row>
    <row r="16" spans="1:46" ht="16.149999999999999" customHeight="1" x14ac:dyDescent="0.25">
      <c r="A16" s="334"/>
      <c r="B16" s="210" t="s">
        <v>454</v>
      </c>
      <c r="C16" s="210" t="s">
        <v>507</v>
      </c>
      <c r="D16" s="218" t="s">
        <v>380</v>
      </c>
      <c r="E16" s="435" t="s">
        <v>529</v>
      </c>
      <c r="F16" s="210" t="s">
        <v>41</v>
      </c>
      <c r="G16" s="139">
        <v>1</v>
      </c>
      <c r="H16" s="139"/>
      <c r="I16" s="139"/>
      <c r="J16" s="139">
        <v>5</v>
      </c>
      <c r="K16" s="139">
        <v>5</v>
      </c>
      <c r="L16" s="210"/>
      <c r="M16" s="210"/>
      <c r="N16" s="210"/>
      <c r="O16" s="210"/>
      <c r="P16" s="142">
        <f>IF(Table_Shelter[[#This Row],[Status]]="Open",IF(V16="NO",Table_Shelter[[#This Row],[HH per Shelter]]*(Table_Shelter[[#This Row],['# of Temporary Shelter Units Built]]+Table_Shelter[[#This Row],['# of Temporary Shelter Under  Construction]]+Table_Shelter[[#This Row],['# of Permanent House Under Construction]]),0),0)</f>
        <v>5</v>
      </c>
      <c r="Q16" s="138"/>
      <c r="R16" s="138"/>
      <c r="S16" s="142" t="str">
        <f>IFERROR(VLOOKUP(Table_Shelter[[#This Row],[CampName]],CL,2,0),"")</f>
        <v>MMR001CMP176</v>
      </c>
      <c r="T16" s="142" t="str">
        <f>IFERROR(VLOOKUP(Table_Shelter[[#This Row],[CampName]],CL,3,0),"")</f>
        <v>Open</v>
      </c>
      <c r="U16" s="332">
        <f>IFERROR(Table_Shelter[[#This Row],[HH Covered]]/VLOOKUP(Table_Shelter[[#This Row],[CampName]],CL,4,0),"")</f>
        <v>7.4626865671641784E-2</v>
      </c>
      <c r="V16" s="552" t="s">
        <v>1310</v>
      </c>
      <c r="W16" s="336"/>
    </row>
    <row r="17" spans="1:23" ht="15" customHeight="1" x14ac:dyDescent="0.25">
      <c r="A17" s="334">
        <v>41974</v>
      </c>
      <c r="B17" s="210" t="s">
        <v>454</v>
      </c>
      <c r="C17" s="210" t="s">
        <v>507</v>
      </c>
      <c r="D17" s="210" t="s">
        <v>380</v>
      </c>
      <c r="E17" s="435" t="s">
        <v>529</v>
      </c>
      <c r="F17" s="210" t="s">
        <v>43</v>
      </c>
      <c r="G17" s="139">
        <v>1</v>
      </c>
      <c r="H17" s="139"/>
      <c r="I17" s="139"/>
      <c r="J17" s="139">
        <v>5</v>
      </c>
      <c r="K17" s="139">
        <v>5</v>
      </c>
      <c r="L17" s="210"/>
      <c r="M17" s="210"/>
      <c r="N17" s="210"/>
      <c r="O17" s="210"/>
      <c r="P17" s="142">
        <f>IF(Table_Shelter[[#This Row],[Status]]="Open",IF(V17="NO",Table_Shelter[[#This Row],[HH per Shelter]]*(Table_Shelter[[#This Row],['# of Temporary Shelter Units Built]]+Table_Shelter[[#This Row],['# of Temporary Shelter Under  Construction]]+Table_Shelter[[#This Row],['# of Permanent House Under Construction]]),0),0)</f>
        <v>5</v>
      </c>
      <c r="Q17" s="138"/>
      <c r="R17" s="138"/>
      <c r="S17" s="142" t="str">
        <f>IFERROR(VLOOKUP(Table_Shelter[[#This Row],[CampName]],CL,2,0),"")</f>
        <v>MMR001CMP190</v>
      </c>
      <c r="T17" s="142" t="str">
        <f>IFERROR(VLOOKUP(Table_Shelter[[#This Row],[CampName]],CL,3,0),"")</f>
        <v>Open</v>
      </c>
      <c r="U17" s="332">
        <f>IFERROR(Table_Shelter[[#This Row],[HH Covered]]/VLOOKUP(Table_Shelter[[#This Row],[CampName]],CL,4,0),"")</f>
        <v>0.35714285714285715</v>
      </c>
      <c r="V17" s="552" t="s">
        <v>1310</v>
      </c>
      <c r="W17" s="336"/>
    </row>
    <row r="18" spans="1:23" ht="13.9" customHeight="1" x14ac:dyDescent="0.25">
      <c r="A18" s="334">
        <v>41609</v>
      </c>
      <c r="B18" s="210" t="s">
        <v>454</v>
      </c>
      <c r="C18" s="210" t="s">
        <v>507</v>
      </c>
      <c r="D18" s="210" t="s">
        <v>380</v>
      </c>
      <c r="E18" s="435" t="s">
        <v>529</v>
      </c>
      <c r="F18" s="210" t="s">
        <v>43</v>
      </c>
      <c r="G18" s="139">
        <v>1</v>
      </c>
      <c r="H18" s="139"/>
      <c r="I18" s="139"/>
      <c r="J18" s="139">
        <v>5</v>
      </c>
      <c r="K18" s="139">
        <v>5</v>
      </c>
      <c r="L18" s="210"/>
      <c r="M18" s="210"/>
      <c r="N18" s="210"/>
      <c r="O18" s="210"/>
      <c r="P18" s="184">
        <f>IF(Table_Shelter[[#This Row],[Status]]="Open",IF(V18="NO",Table_Shelter[[#This Row],[HH per Shelter]]*(Table_Shelter[[#This Row],['# of Temporary Shelter Units Built]]+Table_Shelter[[#This Row],['# of Temporary Shelter Under  Construction]]+Table_Shelter[[#This Row],['# of Permanent House Under Construction]]),0),0)</f>
        <v>5</v>
      </c>
      <c r="Q18" s="138"/>
      <c r="R18" s="210"/>
      <c r="S18" s="211" t="str">
        <f>IFERROR(VLOOKUP(Table_Shelter[[#This Row],[CampName]],CL,2,0),"")</f>
        <v>MMR001CMP190</v>
      </c>
      <c r="T18" s="211" t="str">
        <f>IFERROR(VLOOKUP(Table_Shelter[[#This Row],[CampName]],CL,3,0),"")</f>
        <v>Open</v>
      </c>
      <c r="U18" s="332">
        <f>IFERROR(Table_Shelter[[#This Row],[HH Covered]]/VLOOKUP(Table_Shelter[[#This Row],[CampName]],CL,4,0),"")</f>
        <v>0.35714285714285715</v>
      </c>
      <c r="V18" s="552" t="s">
        <v>1310</v>
      </c>
      <c r="W18" s="333"/>
    </row>
    <row r="19" spans="1:23" ht="14.25" customHeight="1" x14ac:dyDescent="0.25">
      <c r="A19" s="334"/>
      <c r="B19" s="210" t="s">
        <v>454</v>
      </c>
      <c r="C19" s="210" t="s">
        <v>461</v>
      </c>
      <c r="D19" s="210" t="s">
        <v>380</v>
      </c>
      <c r="E19" s="435" t="s">
        <v>5</v>
      </c>
      <c r="F19" s="210" t="s">
        <v>514</v>
      </c>
      <c r="G19" s="139">
        <v>1</v>
      </c>
      <c r="H19" s="139"/>
      <c r="I19" s="139"/>
      <c r="J19" s="139">
        <v>32</v>
      </c>
      <c r="K19" s="139">
        <v>32</v>
      </c>
      <c r="L19" s="210"/>
      <c r="M19" s="210"/>
      <c r="N19" s="210"/>
      <c r="O19" s="210"/>
      <c r="P19" s="184">
        <f>IF(Table_Shelter[[#This Row],[Status]]="Open",IF(V19="NO",Table_Shelter[[#This Row],[HH per Shelter]]*(Table_Shelter[[#This Row],['# of Temporary Shelter Units Built]]+Table_Shelter[[#This Row],['# of Temporary Shelter Under  Construction]]+Table_Shelter[[#This Row],['# of Permanent House Under Construction]]),0),0)</f>
        <v>32</v>
      </c>
      <c r="Q19" s="138"/>
      <c r="R19" s="210"/>
      <c r="S19" s="211" t="str">
        <f>IFERROR(VLOOKUP(Table_Shelter[[#This Row],[CampName]],CL,2,0),"")</f>
        <v>MMR001CMP194</v>
      </c>
      <c r="T19" s="211" t="str">
        <f>IFERROR(VLOOKUP(Table_Shelter[[#This Row],[CampName]],CL,3,0),"")</f>
        <v>Open</v>
      </c>
      <c r="U19" s="332">
        <f>IFERROR(Table_Shelter[[#This Row],[HH Covered]]/VLOOKUP(Table_Shelter[[#This Row],[CampName]],CL,4,0),"")</f>
        <v>2.6666666666666665</v>
      </c>
      <c r="V19" s="552" t="s">
        <v>1310</v>
      </c>
      <c r="W19" s="333"/>
    </row>
    <row r="20" spans="1:23" ht="14.25" customHeight="1" x14ac:dyDescent="0.25">
      <c r="A20" s="334"/>
      <c r="B20" s="210" t="s">
        <v>454</v>
      </c>
      <c r="C20" s="210"/>
      <c r="D20" s="210" t="s">
        <v>380</v>
      </c>
      <c r="E20" s="435" t="s">
        <v>5</v>
      </c>
      <c r="F20" s="210" t="s">
        <v>514</v>
      </c>
      <c r="G20" s="139">
        <v>1</v>
      </c>
      <c r="H20" s="139"/>
      <c r="I20" s="139"/>
      <c r="J20" s="139">
        <v>10</v>
      </c>
      <c r="K20" s="139">
        <v>10</v>
      </c>
      <c r="L20" s="210"/>
      <c r="M20" s="210"/>
      <c r="N20" s="210"/>
      <c r="O20" s="210"/>
      <c r="P20" s="184">
        <f>IF(Table_Shelter[[#This Row],[Status]]="Open",IF(V20="NO",Table_Shelter[[#This Row],[HH per Shelter]]*(Table_Shelter[[#This Row],['# of Temporary Shelter Units Built]]+Table_Shelter[[#This Row],['# of Temporary Shelter Under  Construction]]+Table_Shelter[[#This Row],['# of Permanent House Under Construction]]),0),0)</f>
        <v>10</v>
      </c>
      <c r="Q20" s="138"/>
      <c r="R20" s="210"/>
      <c r="S20" s="211" t="str">
        <f>IFERROR(VLOOKUP(Table_Shelter[[#This Row],[CampName]],CL,2,0),"")</f>
        <v>MMR001CMP194</v>
      </c>
      <c r="T20" s="211" t="str">
        <f>IFERROR(VLOOKUP(Table_Shelter[[#This Row],[CampName]],CL,3,0),"")</f>
        <v>Open</v>
      </c>
      <c r="U20" s="332">
        <f>IFERROR(Table_Shelter[[#This Row],[HH Covered]]/VLOOKUP(Table_Shelter[[#This Row],[CampName]],CL,4,0),"")</f>
        <v>0.83333333333333337</v>
      </c>
      <c r="V20" s="593" t="s">
        <v>1310</v>
      </c>
      <c r="W20" s="333"/>
    </row>
    <row r="21" spans="1:23" ht="15" customHeight="1" x14ac:dyDescent="0.25">
      <c r="A21" s="334">
        <v>41609</v>
      </c>
      <c r="B21" s="210" t="s">
        <v>454</v>
      </c>
      <c r="C21" s="210" t="s">
        <v>462</v>
      </c>
      <c r="D21" s="210" t="s">
        <v>380</v>
      </c>
      <c r="E21" s="215" t="s">
        <v>529</v>
      </c>
      <c r="F21" s="210" t="s">
        <v>52</v>
      </c>
      <c r="G21" s="139">
        <v>1</v>
      </c>
      <c r="H21" s="139"/>
      <c r="I21" s="139"/>
      <c r="J21" s="139">
        <v>20</v>
      </c>
      <c r="K21" s="139">
        <v>20</v>
      </c>
      <c r="L21" s="210"/>
      <c r="M21" s="210"/>
      <c r="N21" s="210"/>
      <c r="O21" s="210"/>
      <c r="P21" s="184">
        <f>IF(Table_Shelter[[#This Row],[Status]]="Open",IF(V21="NO",Table_Shelter[[#This Row],[HH per Shelter]]*(Table_Shelter[[#This Row],['# of Temporary Shelter Units Built]]+Table_Shelter[[#This Row],['# of Temporary Shelter Under  Construction]]+Table_Shelter[[#This Row],['# of Permanent House Under Construction]]),0),0)</f>
        <v>20</v>
      </c>
      <c r="Q21" s="138"/>
      <c r="R21" s="210"/>
      <c r="S21" s="211" t="str">
        <f>IFERROR(VLOOKUP(Table_Shelter[[#This Row],[CampName]],CL,2,0),"")</f>
        <v>MMR001CMP169</v>
      </c>
      <c r="T21" s="211" t="str">
        <f>IFERROR(VLOOKUP(Table_Shelter[[#This Row],[CampName]],CL,3,0),"")</f>
        <v>Open</v>
      </c>
      <c r="U21" s="332">
        <f>IFERROR(Table_Shelter[[#This Row],[HH Covered]]/VLOOKUP(Table_Shelter[[#This Row],[CampName]],CL,4,0),"")</f>
        <v>0.55555555555555558</v>
      </c>
      <c r="V21" s="552" t="s">
        <v>1310</v>
      </c>
      <c r="W21" s="333"/>
    </row>
    <row r="22" spans="1:23" ht="15" customHeight="1" x14ac:dyDescent="0.25">
      <c r="A22" s="334"/>
      <c r="B22" s="210" t="s">
        <v>864</v>
      </c>
      <c r="C22" s="210"/>
      <c r="D22" s="210" t="s">
        <v>380</v>
      </c>
      <c r="E22" s="435" t="s">
        <v>529</v>
      </c>
      <c r="F22" s="210" t="s">
        <v>52</v>
      </c>
      <c r="G22" s="139">
        <v>1</v>
      </c>
      <c r="H22" s="139">
        <v>10</v>
      </c>
      <c r="I22" s="139">
        <v>10</v>
      </c>
      <c r="J22" s="139"/>
      <c r="K22" s="139"/>
      <c r="L22" s="210"/>
      <c r="M22" s="210"/>
      <c r="N22" s="210"/>
      <c r="O22" s="210"/>
      <c r="P22" s="184">
        <f>IF(Table_Shelter[[#This Row],[Status]]="Open",IF(V22="NO",Table_Shelter[[#This Row],[HH per Shelter]]*(Table_Shelter[[#This Row],['# of Temporary Shelter Units Built]]+Table_Shelter[[#This Row],['# of Temporary Shelter Under  Construction]]+Table_Shelter[[#This Row],['# of Permanent House Under Construction]]),0),0)</f>
        <v>0</v>
      </c>
      <c r="Q22" s="138"/>
      <c r="R22" s="210"/>
      <c r="S22" s="211" t="str">
        <f>IFERROR(VLOOKUP(Table_Shelter[[#This Row],[CampName]],CL,2,0),"")</f>
        <v>MMR001CMP169</v>
      </c>
      <c r="T22" s="211" t="str">
        <f>IFERROR(VLOOKUP(Table_Shelter[[#This Row],[CampName]],CL,3,0),"")</f>
        <v>Open</v>
      </c>
      <c r="U22" s="332">
        <f>IFERROR(Table_Shelter[[#This Row],[HH Covered]]/VLOOKUP(Table_Shelter[[#This Row],[CampName]],CL,4,0),"")</f>
        <v>0</v>
      </c>
      <c r="V22" s="552" t="s">
        <v>1310</v>
      </c>
      <c r="W22" s="333"/>
    </row>
    <row r="23" spans="1:23" ht="15" customHeight="1" x14ac:dyDescent="0.25">
      <c r="A23" s="334">
        <v>41974</v>
      </c>
      <c r="B23" s="210" t="s">
        <v>454</v>
      </c>
      <c r="C23" s="210" t="s">
        <v>507</v>
      </c>
      <c r="D23" s="213" t="s">
        <v>380</v>
      </c>
      <c r="E23" s="435" t="s">
        <v>529</v>
      </c>
      <c r="F23" s="210" t="s">
        <v>58</v>
      </c>
      <c r="G23" s="139">
        <v>1</v>
      </c>
      <c r="H23" s="139"/>
      <c r="I23" s="139"/>
      <c r="J23" s="139">
        <v>5</v>
      </c>
      <c r="K23" s="139">
        <v>5</v>
      </c>
      <c r="L23" s="210"/>
      <c r="M23" s="210"/>
      <c r="N23" s="210"/>
      <c r="O23" s="210"/>
      <c r="P23" s="142">
        <f>IF(Table_Shelter[[#This Row],[Status]]="Open",IF(V23="NO",Table_Shelter[[#This Row],[HH per Shelter]]*(Table_Shelter[[#This Row],['# of Temporary Shelter Units Built]]+Table_Shelter[[#This Row],['# of Temporary Shelter Under  Construction]]+Table_Shelter[[#This Row],['# of Permanent House Under Construction]]),0),0)</f>
        <v>0</v>
      </c>
      <c r="Q23" s="138"/>
      <c r="R23" s="138"/>
      <c r="S23" s="142" t="str">
        <f>IFERROR(VLOOKUP(Table_Shelter[[#This Row],[CampName]],CL,2,0),"")</f>
        <v>MMR001CMP188</v>
      </c>
      <c r="T23" s="142" t="str">
        <f>IFERROR(VLOOKUP(Table_Shelter[[#This Row],[CampName]],CL,3,0),"")</f>
        <v>Closed</v>
      </c>
      <c r="U23" s="332" t="str">
        <f>IFERROR(Table_Shelter[[#This Row],[HH Covered]]/VLOOKUP(Table_Shelter[[#This Row],[CampName]],CL,4,0),"")</f>
        <v/>
      </c>
      <c r="V23" s="552" t="s">
        <v>1310</v>
      </c>
      <c r="W23" s="336"/>
    </row>
    <row r="24" spans="1:23" ht="15" customHeight="1" x14ac:dyDescent="0.25">
      <c r="A24" s="334">
        <v>41609</v>
      </c>
      <c r="B24" s="210" t="s">
        <v>454</v>
      </c>
      <c r="C24" s="210" t="s">
        <v>507</v>
      </c>
      <c r="D24" s="210" t="s">
        <v>380</v>
      </c>
      <c r="E24" s="435" t="s">
        <v>529</v>
      </c>
      <c r="F24" s="210" t="s">
        <v>58</v>
      </c>
      <c r="G24" s="139">
        <v>1</v>
      </c>
      <c r="H24" s="139"/>
      <c r="I24" s="139"/>
      <c r="J24" s="139">
        <v>10</v>
      </c>
      <c r="K24" s="139">
        <v>10</v>
      </c>
      <c r="L24" s="210"/>
      <c r="M24" s="210"/>
      <c r="N24" s="210"/>
      <c r="O24" s="210"/>
      <c r="P24" s="184">
        <f>IF(Table_Shelter[[#This Row],[Status]]="Open",IF(V24="NO",Table_Shelter[[#This Row],[HH per Shelter]]*(Table_Shelter[[#This Row],['# of Temporary Shelter Units Built]]+Table_Shelter[[#This Row],['# of Temporary Shelter Under  Construction]]+Table_Shelter[[#This Row],['# of Permanent House Under Construction]]),0),0)</f>
        <v>0</v>
      </c>
      <c r="Q24" s="138"/>
      <c r="R24" s="210"/>
      <c r="S24" s="211" t="str">
        <f>IFERROR(VLOOKUP(Table_Shelter[[#This Row],[CampName]],CL,2,0),"")</f>
        <v>MMR001CMP188</v>
      </c>
      <c r="T24" s="211" t="str">
        <f>IFERROR(VLOOKUP(Table_Shelter[[#This Row],[CampName]],CL,3,0),"")</f>
        <v>Closed</v>
      </c>
      <c r="U24" s="332" t="str">
        <f>IFERROR(Table_Shelter[[#This Row],[HH Covered]]/VLOOKUP(Table_Shelter[[#This Row],[CampName]],CL,4,0),"")</f>
        <v/>
      </c>
      <c r="V24" s="552" t="s">
        <v>1310</v>
      </c>
      <c r="W24" s="333"/>
    </row>
    <row r="25" spans="1:23" ht="15" customHeight="1" x14ac:dyDescent="0.25">
      <c r="A25" s="334"/>
      <c r="B25" s="210"/>
      <c r="C25" s="210"/>
      <c r="D25" s="213" t="s">
        <v>380</v>
      </c>
      <c r="E25" s="435" t="s">
        <v>529</v>
      </c>
      <c r="F25" s="210" t="s">
        <v>58</v>
      </c>
      <c r="G25" s="139">
        <v>1</v>
      </c>
      <c r="H25" s="139"/>
      <c r="I25" s="139"/>
      <c r="J25" s="139">
        <v>10</v>
      </c>
      <c r="K25" s="139">
        <v>10</v>
      </c>
      <c r="L25" s="210"/>
      <c r="M25" s="210"/>
      <c r="N25" s="210"/>
      <c r="O25" s="210"/>
      <c r="P25" s="184">
        <f>IF(Table_Shelter[[#This Row],[Status]]="Open",IF(V25="NO",Table_Shelter[[#This Row],[HH per Shelter]]*(Table_Shelter[[#This Row],['# of Temporary Shelter Units Built]]+Table_Shelter[[#This Row],['# of Temporary Shelter Under  Construction]]+Table_Shelter[[#This Row],['# of Permanent House Under Construction]]),0),0)</f>
        <v>0</v>
      </c>
      <c r="Q25" s="138"/>
      <c r="R25" s="210"/>
      <c r="S25" s="211" t="str">
        <f>IFERROR(VLOOKUP(Table_Shelter[[#This Row],[CampName]],CL,2,0),"")</f>
        <v>MMR001CMP188</v>
      </c>
      <c r="T25" s="211" t="str">
        <f>IFERROR(VLOOKUP(Table_Shelter[[#This Row],[CampName]],CL,3,0),"")</f>
        <v>Closed</v>
      </c>
      <c r="U25" s="332" t="str">
        <f>IFERROR(Table_Shelter[[#This Row],[HH Covered]]/VLOOKUP(Table_Shelter[[#This Row],[CampName]],CL,4,0),"")</f>
        <v/>
      </c>
      <c r="V25" s="552" t="s">
        <v>1310</v>
      </c>
      <c r="W25" s="333"/>
    </row>
    <row r="26" spans="1:23" ht="15" customHeight="1" x14ac:dyDescent="0.25">
      <c r="A26" s="334">
        <v>41609</v>
      </c>
      <c r="B26" s="212" t="s">
        <v>454</v>
      </c>
      <c r="C26" s="212" t="s">
        <v>508</v>
      </c>
      <c r="D26" s="214" t="s">
        <v>380</v>
      </c>
      <c r="E26" s="217" t="s">
        <v>310</v>
      </c>
      <c r="F26" s="212" t="s">
        <v>334</v>
      </c>
      <c r="G26" s="143">
        <v>1</v>
      </c>
      <c r="H26" s="143"/>
      <c r="I26" s="143"/>
      <c r="J26" s="143">
        <v>35</v>
      </c>
      <c r="K26" s="143">
        <v>35</v>
      </c>
      <c r="L26" s="212"/>
      <c r="M26" s="212"/>
      <c r="N26" s="212"/>
      <c r="O26" s="212"/>
      <c r="P26" s="142">
        <f>IF(Table_Shelter[[#This Row],[Status]]="Open",IF(V26="NO",Table_Shelter[[#This Row],[HH per Shelter]]*(Table_Shelter[[#This Row],['# of Temporary Shelter Units Built]]+Table_Shelter[[#This Row],['# of Temporary Shelter Under  Construction]]+Table_Shelter[[#This Row],['# of Permanent House Under Construction]]),0),0)</f>
        <v>35</v>
      </c>
      <c r="Q26" s="142"/>
      <c r="R26" s="142"/>
      <c r="S26" s="142" t="str">
        <f>IFERROR(VLOOKUP(Table_Shelter[[#This Row],[CampName]],CL,2,0),"")</f>
        <v>MMR001CMP113</v>
      </c>
      <c r="T26" s="142" t="str">
        <f>IFERROR(VLOOKUP(Table_Shelter[[#This Row],[CampName]],CL,3,0),"")</f>
        <v>Open</v>
      </c>
      <c r="U26" s="332">
        <f>IFERROR(Table_Shelter[[#This Row],[HH Covered]]/VLOOKUP(Table_Shelter[[#This Row],[CampName]],CL,4,0),"")</f>
        <v>0.22580645161290322</v>
      </c>
      <c r="V26" s="552" t="s">
        <v>1310</v>
      </c>
      <c r="W26" s="336"/>
    </row>
    <row r="27" spans="1:23" ht="15" customHeight="1" x14ac:dyDescent="0.25">
      <c r="A27" s="334"/>
      <c r="B27" s="210" t="s">
        <v>864</v>
      </c>
      <c r="C27" s="210"/>
      <c r="D27" s="210" t="s">
        <v>380</v>
      </c>
      <c r="E27" s="435" t="s">
        <v>310</v>
      </c>
      <c r="F27" s="210" t="s">
        <v>334</v>
      </c>
      <c r="G27" s="139">
        <v>1</v>
      </c>
      <c r="H27" s="139">
        <v>41</v>
      </c>
      <c r="I27" s="139">
        <v>41</v>
      </c>
      <c r="J27" s="139"/>
      <c r="K27" s="139"/>
      <c r="L27" s="210"/>
      <c r="M27" s="210"/>
      <c r="N27" s="210"/>
      <c r="O27" s="210"/>
      <c r="P27" s="184">
        <f>IF(Table_Shelter[[#This Row],[Status]]="Open",IF(V27="NO",Table_Shelter[[#This Row],[HH per Shelter]]*(Table_Shelter[[#This Row],['# of Temporary Shelter Units Built]]+Table_Shelter[[#This Row],['# of Temporary Shelter Under  Construction]]+Table_Shelter[[#This Row],['# of Permanent House Under Construction]]),0),0)</f>
        <v>0</v>
      </c>
      <c r="Q27" s="138"/>
      <c r="R27" s="210"/>
      <c r="S27" s="211" t="str">
        <f>IFERROR(VLOOKUP(Table_Shelter[[#This Row],[CampName]],CL,2,0),"")</f>
        <v>MMR001CMP113</v>
      </c>
      <c r="T27" s="211" t="str">
        <f>IFERROR(VLOOKUP(Table_Shelter[[#This Row],[CampName]],CL,3,0),"")</f>
        <v>Open</v>
      </c>
      <c r="U27" s="332">
        <f>IFERROR(Table_Shelter[[#This Row],[HH Covered]]/VLOOKUP(Table_Shelter[[#This Row],[CampName]],CL,4,0),"")</f>
        <v>0</v>
      </c>
      <c r="V27" s="552" t="s">
        <v>1310</v>
      </c>
      <c r="W27" s="333"/>
    </row>
    <row r="28" spans="1:23" ht="15" customHeight="1" x14ac:dyDescent="0.25">
      <c r="A28" s="334"/>
      <c r="B28" s="212" t="s">
        <v>454</v>
      </c>
      <c r="C28" s="212" t="s">
        <v>508</v>
      </c>
      <c r="D28" s="214" t="s">
        <v>380</v>
      </c>
      <c r="E28" s="217" t="s">
        <v>310</v>
      </c>
      <c r="F28" s="212" t="s">
        <v>334</v>
      </c>
      <c r="G28" s="143">
        <v>1</v>
      </c>
      <c r="H28" s="143"/>
      <c r="I28" s="143"/>
      <c r="J28" s="337">
        <v>202</v>
      </c>
      <c r="K28" s="143">
        <v>202</v>
      </c>
      <c r="L28" s="212"/>
      <c r="M28" s="212"/>
      <c r="N28" s="212"/>
      <c r="O28" s="212"/>
      <c r="P28" s="184">
        <f>IF(Table_Shelter[[#This Row],[Status]]="Open",IF(V28="NO",Table_Shelter[[#This Row],[HH per Shelter]]*(Table_Shelter[[#This Row],['# of Temporary Shelter Units Built]]+Table_Shelter[[#This Row],['# of Temporary Shelter Under  Construction]]+Table_Shelter[[#This Row],['# of Permanent House Under Construction]]),0),0)</f>
        <v>202</v>
      </c>
      <c r="Q28" s="142"/>
      <c r="R28" s="212"/>
      <c r="S28" s="211" t="str">
        <f>IFERROR(VLOOKUP(Table_Shelter[[#This Row],[CampName]],CL,2,0),"")</f>
        <v>MMR001CMP113</v>
      </c>
      <c r="T28" s="211" t="str">
        <f>IFERROR(VLOOKUP(Table_Shelter[[#This Row],[CampName]],CL,3,0),"")</f>
        <v>Open</v>
      </c>
      <c r="U28" s="332">
        <f>IFERROR(Table_Shelter[[#This Row],[HH Covered]]/VLOOKUP(Table_Shelter[[#This Row],[CampName]],CL,4,0),"")</f>
        <v>1.3032258064516129</v>
      </c>
      <c r="V28" s="552" t="s">
        <v>1310</v>
      </c>
      <c r="W28" s="333"/>
    </row>
    <row r="29" spans="1:23" ht="15" customHeight="1" x14ac:dyDescent="0.25">
      <c r="A29" s="334">
        <v>41974</v>
      </c>
      <c r="B29" s="210" t="s">
        <v>454</v>
      </c>
      <c r="C29" s="210" t="s">
        <v>462</v>
      </c>
      <c r="D29" s="210" t="s">
        <v>380</v>
      </c>
      <c r="E29" s="215" t="s">
        <v>151</v>
      </c>
      <c r="F29" s="210" t="s">
        <v>188</v>
      </c>
      <c r="G29" s="139">
        <v>1</v>
      </c>
      <c r="H29" s="139"/>
      <c r="I29" s="139"/>
      <c r="J29" s="139">
        <v>90</v>
      </c>
      <c r="K29" s="139">
        <v>90</v>
      </c>
      <c r="L29" s="210"/>
      <c r="M29" s="210"/>
      <c r="N29" s="210"/>
      <c r="O29" s="210"/>
      <c r="P29" s="184">
        <f>IF(Table_Shelter[[#This Row],[Status]]="Open",IF(V29="NO",Table_Shelter[[#This Row],[HH per Shelter]]*(Table_Shelter[[#This Row],['# of Temporary Shelter Units Built]]+Table_Shelter[[#This Row],['# of Temporary Shelter Under  Construction]]+Table_Shelter[[#This Row],['# of Permanent House Under Construction]]),0),0)</f>
        <v>90</v>
      </c>
      <c r="Q29" s="138"/>
      <c r="R29" s="210"/>
      <c r="S29" s="211" t="str">
        <f>IFERROR(VLOOKUP(Table_Shelter[[#This Row],[CampName]],CL,2,0),"")</f>
        <v>MMR001CMP129</v>
      </c>
      <c r="T29" s="211" t="str">
        <f>IFERROR(VLOOKUP(Table_Shelter[[#This Row],[CampName]],CL,3,0),"")</f>
        <v>Open</v>
      </c>
      <c r="U29" s="332">
        <f>IFERROR(Table_Shelter[[#This Row],[HH Covered]]/VLOOKUP(Table_Shelter[[#This Row],[CampName]],CL,4,0),"")</f>
        <v>0.36734693877551022</v>
      </c>
      <c r="V29" s="552" t="s">
        <v>1310</v>
      </c>
      <c r="W29" s="333"/>
    </row>
    <row r="30" spans="1:23" ht="15" customHeight="1" x14ac:dyDescent="0.25">
      <c r="A30" s="335">
        <v>41791</v>
      </c>
      <c r="B30" s="212" t="s">
        <v>454</v>
      </c>
      <c r="C30" s="212" t="s">
        <v>508</v>
      </c>
      <c r="D30" s="212" t="s">
        <v>380</v>
      </c>
      <c r="E30" s="217" t="s">
        <v>151</v>
      </c>
      <c r="F30" s="212" t="s">
        <v>188</v>
      </c>
      <c r="G30" s="143">
        <v>1</v>
      </c>
      <c r="H30" s="143"/>
      <c r="I30" s="143"/>
      <c r="J30" s="143">
        <v>100</v>
      </c>
      <c r="K30" s="143">
        <v>100</v>
      </c>
      <c r="L30" s="212"/>
      <c r="M30" s="212"/>
      <c r="N30" s="212"/>
      <c r="O30" s="212"/>
      <c r="P30" s="184">
        <f>IF(Table_Shelter[[#This Row],[Status]]="Open",IF(V30="NO",Table_Shelter[[#This Row],[HH per Shelter]]*(Table_Shelter[[#This Row],['# of Temporary Shelter Units Built]]+Table_Shelter[[#This Row],['# of Temporary Shelter Under  Construction]]+Table_Shelter[[#This Row],['# of Permanent House Under Construction]]),0),0)</f>
        <v>100</v>
      </c>
      <c r="Q30" s="142"/>
      <c r="R30" s="212"/>
      <c r="S30" s="211" t="str">
        <f>IFERROR(VLOOKUP(Table_Shelter[[#This Row],[CampName]],CL,2,0),"")</f>
        <v>MMR001CMP129</v>
      </c>
      <c r="T30" s="211" t="str">
        <f>IFERROR(VLOOKUP(Table_Shelter[[#This Row],[CampName]],CL,3,0),"")</f>
        <v>Open</v>
      </c>
      <c r="U30" s="332">
        <f>IFERROR(Table_Shelter[[#This Row],[HH Covered]]/VLOOKUP(Table_Shelter[[#This Row],[CampName]],CL,4,0),"")</f>
        <v>0.40816326530612246</v>
      </c>
      <c r="V30" s="552" t="s">
        <v>1310</v>
      </c>
      <c r="W30" s="333"/>
    </row>
    <row r="31" spans="1:23" ht="15" customHeight="1" x14ac:dyDescent="0.25">
      <c r="A31" s="334"/>
      <c r="B31" s="210" t="s">
        <v>454</v>
      </c>
      <c r="C31" s="210"/>
      <c r="D31" s="210" t="s">
        <v>380</v>
      </c>
      <c r="E31" s="435" t="s">
        <v>151</v>
      </c>
      <c r="F31" s="210" t="s">
        <v>188</v>
      </c>
      <c r="G31" s="139">
        <v>1</v>
      </c>
      <c r="H31" s="139"/>
      <c r="I31" s="139"/>
      <c r="J31" s="143">
        <v>150</v>
      </c>
      <c r="K31" s="139"/>
      <c r="L31" s="210"/>
      <c r="M31" s="210"/>
      <c r="N31" s="210"/>
      <c r="O31" s="210"/>
      <c r="P31" s="184">
        <f>IF(Table_Shelter[[#This Row],[Status]]="Open",IF(V31="NO",Table_Shelter[[#This Row],[HH per Shelter]]*(Table_Shelter[[#This Row],['# of Temporary Shelter Units Built]]+Table_Shelter[[#This Row],['# of Temporary Shelter Under  Construction]]+Table_Shelter[[#This Row],['# of Permanent House Under Construction]]),0),0)</f>
        <v>0</v>
      </c>
      <c r="Q31" s="138"/>
      <c r="R31" s="210"/>
      <c r="S31" s="211" t="str">
        <f>IFERROR(VLOOKUP(Table_Shelter[[#This Row],[CampName]],CL,2,0),"")</f>
        <v>MMR001CMP129</v>
      </c>
      <c r="T31" s="211" t="str">
        <f>IFERROR(VLOOKUP(Table_Shelter[[#This Row],[CampName]],CL,3,0),"")</f>
        <v>Open</v>
      </c>
      <c r="U31" s="332">
        <f>IFERROR(Table_Shelter[[#This Row],[HH Covered]]/VLOOKUP(Table_Shelter[[#This Row],[CampName]],CL,4,0),"")</f>
        <v>0</v>
      </c>
      <c r="V31" s="552" t="s">
        <v>1310</v>
      </c>
      <c r="W31" s="333"/>
    </row>
    <row r="32" spans="1:23" ht="15" customHeight="1" x14ac:dyDescent="0.25">
      <c r="A32" s="334">
        <v>41974</v>
      </c>
      <c r="B32" s="210" t="s">
        <v>454</v>
      </c>
      <c r="C32" s="210" t="s">
        <v>462</v>
      </c>
      <c r="D32" s="210" t="s">
        <v>380</v>
      </c>
      <c r="E32" s="215" t="s">
        <v>151</v>
      </c>
      <c r="F32" s="210" t="s">
        <v>1037</v>
      </c>
      <c r="G32" s="139">
        <v>1</v>
      </c>
      <c r="H32" s="139"/>
      <c r="I32" s="139"/>
      <c r="J32" s="139">
        <v>120</v>
      </c>
      <c r="K32" s="139">
        <v>120</v>
      </c>
      <c r="L32" s="210"/>
      <c r="M32" s="210"/>
      <c r="N32" s="210"/>
      <c r="O32" s="210"/>
      <c r="P32" s="184">
        <f>IF(Table_Shelter[[#This Row],[Status]]="Open",IF(V32="NO",Table_Shelter[[#This Row],[HH per Shelter]]*(Table_Shelter[[#This Row],['# of Temporary Shelter Units Built]]+Table_Shelter[[#This Row],['# of Temporary Shelter Under  Construction]]+Table_Shelter[[#This Row],['# of Permanent House Under Construction]]),0),0)</f>
        <v>120</v>
      </c>
      <c r="Q32" s="138"/>
      <c r="R32" s="210"/>
      <c r="S32" s="211" t="str">
        <f>IFERROR(VLOOKUP(Table_Shelter[[#This Row],[CampName]],CL,2,0),"")</f>
        <v>MMR001CMP226</v>
      </c>
      <c r="T32" s="211" t="str">
        <f>IFERROR(VLOOKUP(Table_Shelter[[#This Row],[CampName]],CL,3,0),"")</f>
        <v>Open</v>
      </c>
      <c r="U32" s="332">
        <f>IFERROR(Table_Shelter[[#This Row],[HH Covered]]/VLOOKUP(Table_Shelter[[#This Row],[CampName]],CL,4,0),"")</f>
        <v>0.54794520547945202</v>
      </c>
      <c r="V32" s="552" t="s">
        <v>1310</v>
      </c>
      <c r="W32" s="333"/>
    </row>
    <row r="33" spans="1:23" ht="15" customHeight="1" x14ac:dyDescent="0.25">
      <c r="A33" s="603">
        <v>41974</v>
      </c>
      <c r="B33" s="212" t="s">
        <v>454</v>
      </c>
      <c r="C33" s="212" t="s">
        <v>507</v>
      </c>
      <c r="D33" s="212" t="s">
        <v>380</v>
      </c>
      <c r="E33" s="217" t="s">
        <v>529</v>
      </c>
      <c r="F33" s="212" t="s">
        <v>72</v>
      </c>
      <c r="G33" s="143">
        <v>1</v>
      </c>
      <c r="H33" s="143"/>
      <c r="I33" s="143"/>
      <c r="J33" s="143">
        <v>2</v>
      </c>
      <c r="K33" s="143">
        <v>2</v>
      </c>
      <c r="L33" s="212"/>
      <c r="M33" s="212"/>
      <c r="N33" s="212"/>
      <c r="O33" s="212"/>
      <c r="P33" s="142">
        <f>IF(Table_Shelter[[#This Row],[Status]]="Open",IF(V33="NO",Table_Shelter[[#This Row],[HH per Shelter]]*(Table_Shelter[[#This Row],['# of Temporary Shelter Units Built]]+Table_Shelter[[#This Row],['# of Temporary Shelter Under  Construction]]+Table_Shelter[[#This Row],['# of Permanent House Under Construction]]),0),0)</f>
        <v>2</v>
      </c>
      <c r="Q33" s="142"/>
      <c r="R33" s="142"/>
      <c r="S33" s="142" t="str">
        <f>IFERROR(VLOOKUP(Table_Shelter[[#This Row],[CampName]],CL,2,0),"")</f>
        <v>MMR001CMP109</v>
      </c>
      <c r="T33" s="142" t="str">
        <f>IFERROR(VLOOKUP(Table_Shelter[[#This Row],[CampName]],CL,3,0),"")</f>
        <v>Open</v>
      </c>
      <c r="U33" s="332">
        <f>IFERROR(Table_Shelter[[#This Row],[HH Covered]]/VLOOKUP(Table_Shelter[[#This Row],[CampName]],CL,4,0),"")</f>
        <v>0.33333333333333331</v>
      </c>
      <c r="V33" s="552" t="s">
        <v>1310</v>
      </c>
      <c r="W33" s="336"/>
    </row>
    <row r="34" spans="1:23" ht="15" customHeight="1" x14ac:dyDescent="0.25">
      <c r="A34" s="603">
        <v>41609</v>
      </c>
      <c r="B34" s="212" t="s">
        <v>454</v>
      </c>
      <c r="C34" s="212" t="s">
        <v>507</v>
      </c>
      <c r="D34" s="212" t="s">
        <v>380</v>
      </c>
      <c r="E34" s="217" t="s">
        <v>529</v>
      </c>
      <c r="F34" s="212" t="s">
        <v>72</v>
      </c>
      <c r="G34" s="143">
        <v>1</v>
      </c>
      <c r="H34" s="143"/>
      <c r="I34" s="143"/>
      <c r="J34" s="143">
        <v>4</v>
      </c>
      <c r="K34" s="143">
        <v>4</v>
      </c>
      <c r="L34" s="212"/>
      <c r="M34" s="212"/>
      <c r="N34" s="212"/>
      <c r="O34" s="212"/>
      <c r="P34" s="184">
        <f>IF(Table_Shelter[[#This Row],[Status]]="Open",IF(V34="NO",Table_Shelter[[#This Row],[HH per Shelter]]*(Table_Shelter[[#This Row],['# of Temporary Shelter Units Built]]+Table_Shelter[[#This Row],['# of Temporary Shelter Under  Construction]]+Table_Shelter[[#This Row],['# of Permanent House Under Construction]]),0),0)</f>
        <v>4</v>
      </c>
      <c r="Q34" s="142"/>
      <c r="R34" s="212"/>
      <c r="S34" s="211" t="str">
        <f>IFERROR(VLOOKUP(Table_Shelter[[#This Row],[CampName]],CL,2,0),"")</f>
        <v>MMR001CMP109</v>
      </c>
      <c r="T34" s="211" t="str">
        <f>IFERROR(VLOOKUP(Table_Shelter[[#This Row],[CampName]],CL,3,0),"")</f>
        <v>Open</v>
      </c>
      <c r="U34" s="332">
        <f>IFERROR(Table_Shelter[[#This Row],[HH Covered]]/VLOOKUP(Table_Shelter[[#This Row],[CampName]],CL,4,0),"")</f>
        <v>0.66666666666666663</v>
      </c>
      <c r="V34" s="552" t="s">
        <v>1310</v>
      </c>
      <c r="W34" s="333"/>
    </row>
    <row r="35" spans="1:23" ht="15" customHeight="1" x14ac:dyDescent="0.25">
      <c r="A35" s="334">
        <v>41974</v>
      </c>
      <c r="B35" s="210" t="s">
        <v>454</v>
      </c>
      <c r="C35" s="210" t="s">
        <v>507</v>
      </c>
      <c r="D35" s="210" t="s">
        <v>380</v>
      </c>
      <c r="E35" s="435" t="s">
        <v>27</v>
      </c>
      <c r="F35" s="210" t="s">
        <v>1106</v>
      </c>
      <c r="G35" s="139">
        <v>1</v>
      </c>
      <c r="H35" s="139"/>
      <c r="I35" s="139"/>
      <c r="J35" s="139">
        <v>5</v>
      </c>
      <c r="K35" s="139">
        <v>5</v>
      </c>
      <c r="L35" s="210"/>
      <c r="M35" s="210"/>
      <c r="N35" s="210"/>
      <c r="O35" s="210"/>
      <c r="P35" s="184">
        <f>IF(Table_Shelter[[#This Row],[Status]]="Open",IF(V35="NO",Table_Shelter[[#This Row],[HH per Shelter]]*(Table_Shelter[[#This Row],['# of Temporary Shelter Units Built]]+Table_Shelter[[#This Row],['# of Temporary Shelter Under  Construction]]+Table_Shelter[[#This Row],['# of Permanent House Under Construction]]),0),0)</f>
        <v>5</v>
      </c>
      <c r="Q35" s="138"/>
      <c r="R35" s="210"/>
      <c r="S35" s="211" t="str">
        <f>IFERROR(VLOOKUP(Table_Shelter[[#This Row],[CampName]],CL,2,0),"")</f>
        <v>MMR001CMP042</v>
      </c>
      <c r="T35" s="211" t="str">
        <f>IFERROR(VLOOKUP(Table_Shelter[[#This Row],[CampName]],CL,3,0),"")</f>
        <v>Open</v>
      </c>
      <c r="U35" s="332">
        <f>IFERROR(Table_Shelter[[#This Row],[HH Covered]]/VLOOKUP(Table_Shelter[[#This Row],[CampName]],CL,4,0),"")</f>
        <v>4.5871559633027525E-2</v>
      </c>
      <c r="V35" s="552" t="s">
        <v>1310</v>
      </c>
      <c r="W35" s="333"/>
    </row>
    <row r="36" spans="1:23" ht="15" customHeight="1" x14ac:dyDescent="0.25">
      <c r="A36" s="334"/>
      <c r="B36" s="210" t="s">
        <v>455</v>
      </c>
      <c r="C36" s="210" t="s">
        <v>507</v>
      </c>
      <c r="D36" s="210" t="s">
        <v>380</v>
      </c>
      <c r="E36" s="215" t="s">
        <v>27</v>
      </c>
      <c r="F36" s="210" t="s">
        <v>28</v>
      </c>
      <c r="G36" s="139">
        <v>1</v>
      </c>
      <c r="H36" s="139"/>
      <c r="I36" s="139"/>
      <c r="J36" s="139">
        <v>82</v>
      </c>
      <c r="K36" s="139">
        <v>82</v>
      </c>
      <c r="L36" s="210"/>
      <c r="M36" s="210"/>
      <c r="N36" s="210"/>
      <c r="O36" s="210"/>
      <c r="P36" s="184">
        <f>IF(Table_Shelter[[#This Row],[Status]]="Open",IF(V36="NO",Table_Shelter[[#This Row],[HH per Shelter]]*(Table_Shelter[[#This Row],['# of Temporary Shelter Units Built]]+Table_Shelter[[#This Row],['# of Temporary Shelter Under  Construction]]+Table_Shelter[[#This Row],['# of Permanent House Under Construction]]),0),0)</f>
        <v>82</v>
      </c>
      <c r="Q36" s="138"/>
      <c r="R36" s="210"/>
      <c r="S36" s="211" t="str">
        <f>IFERROR(VLOOKUP(Table_Shelter[[#This Row],[CampName]],CL,2,0),"")</f>
        <v>MMR001CMP042</v>
      </c>
      <c r="T36" s="211" t="str">
        <f>IFERROR(VLOOKUP(Table_Shelter[[#This Row],[CampName]],CL,3,0),"")</f>
        <v>Open</v>
      </c>
      <c r="U36" s="332">
        <f>IFERROR(Table_Shelter[[#This Row],[HH Covered]]/VLOOKUP(Table_Shelter[[#This Row],[CampName]],CL,4,0),"")</f>
        <v>0.75229357798165142</v>
      </c>
      <c r="V36" s="552" t="s">
        <v>1310</v>
      </c>
      <c r="W36" s="333"/>
    </row>
    <row r="37" spans="1:23" ht="15" customHeight="1" x14ac:dyDescent="0.25">
      <c r="A37" s="334"/>
      <c r="B37" s="210" t="s">
        <v>454</v>
      </c>
      <c r="C37" s="210" t="s">
        <v>507</v>
      </c>
      <c r="D37" s="218" t="s">
        <v>380</v>
      </c>
      <c r="E37" s="215" t="s">
        <v>27</v>
      </c>
      <c r="F37" s="210" t="s">
        <v>1106</v>
      </c>
      <c r="G37" s="139">
        <v>1</v>
      </c>
      <c r="H37" s="139"/>
      <c r="I37" s="139"/>
      <c r="J37" s="139">
        <v>20</v>
      </c>
      <c r="K37" s="139">
        <v>20</v>
      </c>
      <c r="L37" s="210"/>
      <c r="M37" s="210"/>
      <c r="N37" s="210"/>
      <c r="O37" s="210"/>
      <c r="P37" s="142">
        <f>IF(Table_Shelter[[#This Row],[Status]]="Open",IF(V37="NO",Table_Shelter[[#This Row],[HH per Shelter]]*(Table_Shelter[[#This Row],['# of Temporary Shelter Units Built]]+Table_Shelter[[#This Row],['# of Temporary Shelter Under  Construction]]+Table_Shelter[[#This Row],['# of Permanent House Under Construction]]),0),0)</f>
        <v>20</v>
      </c>
      <c r="Q37" s="138"/>
      <c r="R37" s="138"/>
      <c r="S37" s="142" t="str">
        <f>IFERROR(VLOOKUP(Table_Shelter[[#This Row],[CampName]],CL,2,0),"")</f>
        <v>MMR001CMP042</v>
      </c>
      <c r="T37" s="142" t="str">
        <f>IFERROR(VLOOKUP(Table_Shelter[[#This Row],[CampName]],CL,3,0),"")</f>
        <v>Open</v>
      </c>
      <c r="U37" s="332">
        <f>IFERROR(Table_Shelter[[#This Row],[HH Covered]]/VLOOKUP(Table_Shelter[[#This Row],[CampName]],CL,4,0),"")</f>
        <v>0.1834862385321101</v>
      </c>
      <c r="V37" s="552" t="s">
        <v>1310</v>
      </c>
      <c r="W37" s="336"/>
    </row>
    <row r="38" spans="1:23" ht="15" customHeight="1" x14ac:dyDescent="0.25">
      <c r="A38" s="335">
        <v>41974</v>
      </c>
      <c r="B38" s="212" t="s">
        <v>454</v>
      </c>
      <c r="C38" s="212" t="s">
        <v>507</v>
      </c>
      <c r="D38" s="212" t="s">
        <v>380</v>
      </c>
      <c r="E38" s="217" t="s">
        <v>529</v>
      </c>
      <c r="F38" s="212" t="s">
        <v>76</v>
      </c>
      <c r="G38" s="143">
        <v>1</v>
      </c>
      <c r="H38" s="143"/>
      <c r="I38" s="143"/>
      <c r="J38" s="143">
        <v>45</v>
      </c>
      <c r="K38" s="143">
        <v>45</v>
      </c>
      <c r="L38" s="212"/>
      <c r="M38" s="212"/>
      <c r="N38" s="212"/>
      <c r="O38" s="212"/>
      <c r="P38" s="184">
        <f>IF(Table_Shelter[[#This Row],[Status]]="Open",IF(V38="NO",Table_Shelter[[#This Row],[HH per Shelter]]*(Table_Shelter[[#This Row],['# of Temporary Shelter Units Built]]+Table_Shelter[[#This Row],['# of Temporary Shelter Under  Construction]]+Table_Shelter[[#This Row],['# of Permanent House Under Construction]]),0),0)</f>
        <v>45</v>
      </c>
      <c r="Q38" s="142"/>
      <c r="R38" s="212"/>
      <c r="S38" s="211" t="str">
        <f>IFERROR(VLOOKUP(Table_Shelter[[#This Row],[CampName]],CL,2,0),"")</f>
        <v>MMR001CMP174</v>
      </c>
      <c r="T38" s="211" t="str">
        <f>IFERROR(VLOOKUP(Table_Shelter[[#This Row],[CampName]],CL,3,0),"")</f>
        <v>Open</v>
      </c>
      <c r="U38" s="332">
        <f>IFERROR(Table_Shelter[[#This Row],[HH Covered]]/VLOOKUP(Table_Shelter[[#This Row],[CampName]],CL,4,0),"")</f>
        <v>0.68181818181818177</v>
      </c>
      <c r="V38" s="552" t="s">
        <v>1310</v>
      </c>
      <c r="W38" s="333"/>
    </row>
    <row r="39" spans="1:23" ht="15" customHeight="1" x14ac:dyDescent="0.25">
      <c r="A39" s="603">
        <v>41791</v>
      </c>
      <c r="B39" s="139" t="s">
        <v>454</v>
      </c>
      <c r="C39" s="139" t="s">
        <v>507</v>
      </c>
      <c r="D39" s="218" t="s">
        <v>380</v>
      </c>
      <c r="E39" s="219" t="s">
        <v>529</v>
      </c>
      <c r="F39" s="139" t="s">
        <v>76</v>
      </c>
      <c r="G39" s="139">
        <v>1</v>
      </c>
      <c r="H39" s="143"/>
      <c r="I39" s="143"/>
      <c r="J39" s="143">
        <v>20</v>
      </c>
      <c r="K39" s="143">
        <v>20</v>
      </c>
      <c r="L39" s="143"/>
      <c r="M39" s="143"/>
      <c r="N39" s="143"/>
      <c r="O39" s="143"/>
      <c r="P39" s="142">
        <f>IF(Table_Shelter[[#This Row],[Status]]="Open",IF(V39="NO",Table_Shelter[[#This Row],[HH per Shelter]]*(Table_Shelter[[#This Row],['# of Temporary Shelter Units Built]]+Table_Shelter[[#This Row],['# of Temporary Shelter Under  Construction]]+Table_Shelter[[#This Row],['# of Permanent House Under Construction]]),0),0)</f>
        <v>20</v>
      </c>
      <c r="Q39" s="142"/>
      <c r="R39" s="142"/>
      <c r="S39" s="142" t="str">
        <f>IFERROR(VLOOKUP(Table_Shelter[[#This Row],[CampName]],CL,2,0),"")</f>
        <v>MMR001CMP174</v>
      </c>
      <c r="T39" s="142" t="str">
        <f>IFERROR(VLOOKUP(Table_Shelter[[#This Row],[CampName]],CL,3,0),"")</f>
        <v>Open</v>
      </c>
      <c r="U39" s="338">
        <f>IFERROR(Table_Shelter[[#This Row],[HH Covered]]/VLOOKUP(Table_Shelter[[#This Row],[CampName]],CL,4,0),"")</f>
        <v>0.30303030303030304</v>
      </c>
      <c r="V39" s="552" t="s">
        <v>1310</v>
      </c>
      <c r="W39" s="336"/>
    </row>
    <row r="40" spans="1:23" ht="15" customHeight="1" x14ac:dyDescent="0.25">
      <c r="A40" s="334"/>
      <c r="B40" s="210" t="s">
        <v>864</v>
      </c>
      <c r="C40" s="210"/>
      <c r="D40" s="210" t="s">
        <v>380</v>
      </c>
      <c r="E40" s="435" t="s">
        <v>529</v>
      </c>
      <c r="F40" s="210" t="s">
        <v>76</v>
      </c>
      <c r="G40" s="139">
        <v>1</v>
      </c>
      <c r="H40" s="139">
        <v>5</v>
      </c>
      <c r="I40" s="139">
        <v>5</v>
      </c>
      <c r="J40" s="139"/>
      <c r="K40" s="139"/>
      <c r="L40" s="210"/>
      <c r="M40" s="210"/>
      <c r="N40" s="210"/>
      <c r="O40" s="210"/>
      <c r="P40" s="184">
        <f>IF(Table_Shelter[[#This Row],[Status]]="Open",IF(V40="NO",Table_Shelter[[#This Row],[HH per Shelter]]*(Table_Shelter[[#This Row],['# of Temporary Shelter Units Built]]+Table_Shelter[[#This Row],['# of Temporary Shelter Under  Construction]]+Table_Shelter[[#This Row],['# of Permanent House Under Construction]]),0),0)</f>
        <v>0</v>
      </c>
      <c r="Q40" s="138"/>
      <c r="R40" s="210"/>
      <c r="S40" s="211" t="str">
        <f>IFERROR(VLOOKUP(Table_Shelter[[#This Row],[CampName]],CL,2,0),"")</f>
        <v>MMR001CMP174</v>
      </c>
      <c r="T40" s="211" t="str">
        <f>IFERROR(VLOOKUP(Table_Shelter[[#This Row],[CampName]],CL,3,0),"")</f>
        <v>Open</v>
      </c>
      <c r="U40" s="332">
        <f>IFERROR(Table_Shelter[[#This Row],[HH Covered]]/VLOOKUP(Table_Shelter[[#This Row],[CampName]],CL,4,0),"")</f>
        <v>0</v>
      </c>
      <c r="V40" s="552" t="s">
        <v>1310</v>
      </c>
      <c r="W40" s="333"/>
    </row>
    <row r="41" spans="1:23" ht="15" customHeight="1" x14ac:dyDescent="0.25">
      <c r="A41" s="335"/>
      <c r="B41" s="139" t="s">
        <v>454</v>
      </c>
      <c r="C41" s="139" t="s">
        <v>507</v>
      </c>
      <c r="D41" s="218" t="s">
        <v>380</v>
      </c>
      <c r="E41" s="219" t="s">
        <v>529</v>
      </c>
      <c r="F41" s="139" t="s">
        <v>76</v>
      </c>
      <c r="G41" s="139">
        <v>1</v>
      </c>
      <c r="H41" s="143"/>
      <c r="I41" s="143"/>
      <c r="J41" s="143">
        <v>10</v>
      </c>
      <c r="K41" s="143">
        <v>10</v>
      </c>
      <c r="L41" s="143"/>
      <c r="M41" s="143"/>
      <c r="N41" s="143"/>
      <c r="O41" s="143"/>
      <c r="P41" s="142">
        <f>IF(Table_Shelter[[#This Row],[Status]]="Open",IF(V41="NO",Table_Shelter[[#This Row],[HH per Shelter]]*(Table_Shelter[[#This Row],['# of Temporary Shelter Units Built]]+Table_Shelter[[#This Row],['# of Temporary Shelter Under  Construction]]+Table_Shelter[[#This Row],['# of Permanent House Under Construction]]),0),0)</f>
        <v>10</v>
      </c>
      <c r="Q41" s="142"/>
      <c r="R41" s="142"/>
      <c r="S41" s="142" t="str">
        <f>IFERROR(VLOOKUP(Table_Shelter[[#This Row],[CampName]],CL,2,0),"")</f>
        <v>MMR001CMP174</v>
      </c>
      <c r="T41" s="142" t="str">
        <f>IFERROR(VLOOKUP(Table_Shelter[[#This Row],[CampName]],CL,3,0),"")</f>
        <v>Open</v>
      </c>
      <c r="U41" s="338">
        <f>IFERROR(Table_Shelter[[#This Row],[HH Covered]]/VLOOKUP(Table_Shelter[[#This Row],[CampName]],CL,4,0),"")</f>
        <v>0.15151515151515152</v>
      </c>
      <c r="V41" s="552" t="s">
        <v>1310</v>
      </c>
      <c r="W41" s="336"/>
    </row>
    <row r="42" spans="1:23" ht="15" customHeight="1" x14ac:dyDescent="0.25">
      <c r="A42" s="603">
        <v>42416</v>
      </c>
      <c r="B42" s="210" t="s">
        <v>454</v>
      </c>
      <c r="C42" s="210" t="s">
        <v>462</v>
      </c>
      <c r="D42" s="210" t="s">
        <v>380</v>
      </c>
      <c r="E42" s="435" t="s">
        <v>237</v>
      </c>
      <c r="F42" s="210" t="s">
        <v>243</v>
      </c>
      <c r="G42" s="139">
        <v>1</v>
      </c>
      <c r="H42" s="139"/>
      <c r="I42" s="139"/>
      <c r="J42" s="139"/>
      <c r="K42" s="139"/>
      <c r="L42" s="210"/>
      <c r="M42" s="210"/>
      <c r="N42" s="210"/>
      <c r="O42" s="210"/>
      <c r="P42" s="184">
        <f>IF(Table_Shelter[[#This Row],[Status]]="Open",IF(V42="NO",Table_Shelter[[#This Row],[HH per Shelter]]*(Table_Shelter[[#This Row],['# of Temporary Shelter Units Built]]+Table_Shelter[[#This Row],['# of Temporary Shelter Under  Construction]]+Table_Shelter[[#This Row],['# of Permanent House Under Construction]]),0),0)</f>
        <v>0</v>
      </c>
      <c r="Q42" s="138">
        <v>13</v>
      </c>
      <c r="R42" s="138">
        <v>13</v>
      </c>
      <c r="S42" s="211" t="str">
        <f>IFERROR(VLOOKUP(Table_Shelter[[#This Row],[CampName]],CL,2,0),"")</f>
        <v>MMR001CMP012</v>
      </c>
      <c r="T42" s="211" t="str">
        <f>IFERROR(VLOOKUP(Table_Shelter[[#This Row],[CampName]],CL,3,0),"")</f>
        <v>Open</v>
      </c>
      <c r="U42" s="332">
        <f>IFERROR(Table_Shelter[[#This Row],[HH Covered]]/VLOOKUP(Table_Shelter[[#This Row],[CampName]],CL,4,0),"")</f>
        <v>0</v>
      </c>
      <c r="V42" s="552" t="s">
        <v>1310</v>
      </c>
      <c r="W42" s="333" t="s">
        <v>1349</v>
      </c>
    </row>
    <row r="43" spans="1:23" ht="15" customHeight="1" x14ac:dyDescent="0.25">
      <c r="A43" s="334"/>
      <c r="B43" s="210" t="s">
        <v>454</v>
      </c>
      <c r="C43" s="210"/>
      <c r="D43" s="210" t="s">
        <v>380</v>
      </c>
      <c r="E43" s="435" t="s">
        <v>237</v>
      </c>
      <c r="F43" s="210" t="s">
        <v>243</v>
      </c>
      <c r="G43" s="139">
        <v>1</v>
      </c>
      <c r="H43" s="139"/>
      <c r="I43" s="139"/>
      <c r="J43" s="139">
        <v>3</v>
      </c>
      <c r="K43" s="139">
        <v>3</v>
      </c>
      <c r="L43" s="210"/>
      <c r="M43" s="210"/>
      <c r="N43" s="210"/>
      <c r="O43" s="210"/>
      <c r="P43" s="184">
        <f>IF(Table_Shelter[[#This Row],[Status]]="Open",IF(V43="NO",Table_Shelter[[#This Row],[HH per Shelter]]*(Table_Shelter[[#This Row],['# of Temporary Shelter Units Built]]+Table_Shelter[[#This Row],['# of Temporary Shelter Under  Construction]]+Table_Shelter[[#This Row],['# of Permanent House Under Construction]]),0),0)</f>
        <v>3</v>
      </c>
      <c r="Q43" s="138"/>
      <c r="R43" s="210"/>
      <c r="S43" s="211" t="str">
        <f>IFERROR(VLOOKUP(Table_Shelter[[#This Row],[CampName]],CL,2,0),"")</f>
        <v>MMR001CMP012</v>
      </c>
      <c r="T43" s="211" t="str">
        <f>IFERROR(VLOOKUP(Table_Shelter[[#This Row],[CampName]],CL,3,0),"")</f>
        <v>Open</v>
      </c>
      <c r="U43" s="332">
        <f>IFERROR(Table_Shelter[[#This Row],[HH Covered]]/VLOOKUP(Table_Shelter[[#This Row],[CampName]],CL,4,0),"")</f>
        <v>0.5</v>
      </c>
      <c r="V43" s="552" t="s">
        <v>1310</v>
      </c>
      <c r="W43" s="333"/>
    </row>
    <row r="44" spans="1:23" ht="15" customHeight="1" x14ac:dyDescent="0.25">
      <c r="A44" s="334"/>
      <c r="B44" s="210" t="s">
        <v>454</v>
      </c>
      <c r="C44" s="210"/>
      <c r="D44" s="210" t="s">
        <v>380</v>
      </c>
      <c r="E44" s="435" t="s">
        <v>237</v>
      </c>
      <c r="F44" s="210" t="s">
        <v>245</v>
      </c>
      <c r="G44" s="139">
        <v>1</v>
      </c>
      <c r="H44" s="139"/>
      <c r="I44" s="139"/>
      <c r="J44" s="139">
        <v>6</v>
      </c>
      <c r="K44" s="139">
        <v>6</v>
      </c>
      <c r="L44" s="210"/>
      <c r="M44" s="210"/>
      <c r="N44" s="210"/>
      <c r="O44" s="210"/>
      <c r="P44" s="184">
        <f>IF(Table_Shelter[[#This Row],[Status]]="Open",IF(V44="NO",Table_Shelter[[#This Row],[HH per Shelter]]*(Table_Shelter[[#This Row],['# of Temporary Shelter Units Built]]+Table_Shelter[[#This Row],['# of Temporary Shelter Under  Construction]]+Table_Shelter[[#This Row],['# of Permanent House Under Construction]]),0),0)</f>
        <v>6</v>
      </c>
      <c r="Q44" s="138"/>
      <c r="R44" s="210"/>
      <c r="S44" s="211" t="str">
        <f>IFERROR(VLOOKUP(Table_Shelter[[#This Row],[CampName]],CL,2,0),"")</f>
        <v>MMR001CMP010</v>
      </c>
      <c r="T44" s="211" t="str">
        <f>IFERROR(VLOOKUP(Table_Shelter[[#This Row],[CampName]],CL,3,0),"")</f>
        <v>Open</v>
      </c>
      <c r="U44" s="332">
        <f>IFERROR(Table_Shelter[[#This Row],[HH Covered]]/VLOOKUP(Table_Shelter[[#This Row],[CampName]],CL,4,0),"")</f>
        <v>1</v>
      </c>
      <c r="V44" s="552" t="s">
        <v>1310</v>
      </c>
      <c r="W44" s="333"/>
    </row>
    <row r="45" spans="1:23" s="182" customFormat="1" ht="15" customHeight="1" x14ac:dyDescent="0.25">
      <c r="A45" s="334"/>
      <c r="B45" s="210" t="s">
        <v>454</v>
      </c>
      <c r="C45" s="210"/>
      <c r="D45" s="210" t="s">
        <v>380</v>
      </c>
      <c r="E45" s="435" t="s">
        <v>237</v>
      </c>
      <c r="F45" s="210" t="s">
        <v>247</v>
      </c>
      <c r="G45" s="139">
        <v>1</v>
      </c>
      <c r="H45" s="139"/>
      <c r="I45" s="139"/>
      <c r="J45" s="143">
        <v>3</v>
      </c>
      <c r="K45" s="139">
        <v>3</v>
      </c>
      <c r="L45" s="210"/>
      <c r="M45" s="210"/>
      <c r="N45" s="210"/>
      <c r="O45" s="210"/>
      <c r="P45" s="184">
        <f>IF(Table_Shelter[[#This Row],[Status]]="Open",IF(V45="NO",Table_Shelter[[#This Row],[HH per Shelter]]*(Table_Shelter[[#This Row],['# of Temporary Shelter Units Built]]+Table_Shelter[[#This Row],['# of Temporary Shelter Under  Construction]]+Table_Shelter[[#This Row],['# of Permanent House Under Construction]]),0),0)</f>
        <v>3</v>
      </c>
      <c r="Q45" s="138"/>
      <c r="R45" s="210"/>
      <c r="S45" s="211" t="str">
        <f>IFERROR(VLOOKUP(Table_Shelter[[#This Row],[CampName]],CL,2,0),"")</f>
        <v>MMR001CMP011</v>
      </c>
      <c r="T45" s="211" t="str">
        <f>IFERROR(VLOOKUP(Table_Shelter[[#This Row],[CampName]],CL,3,0),"")</f>
        <v>Open</v>
      </c>
      <c r="U45" s="332">
        <f>IFERROR(Table_Shelter[[#This Row],[HH Covered]]/VLOOKUP(Table_Shelter[[#This Row],[CampName]],CL,4,0),"")</f>
        <v>7.1428571428571425E-2</v>
      </c>
      <c r="V45" s="552" t="s">
        <v>1310</v>
      </c>
      <c r="W45" s="333"/>
    </row>
    <row r="46" spans="1:23" ht="15" customHeight="1" x14ac:dyDescent="0.25">
      <c r="A46" s="334">
        <v>42416</v>
      </c>
      <c r="B46" s="210" t="s">
        <v>454</v>
      </c>
      <c r="C46" s="210" t="s">
        <v>508</v>
      </c>
      <c r="D46" s="213" t="s">
        <v>380</v>
      </c>
      <c r="E46" s="435" t="s">
        <v>185</v>
      </c>
      <c r="F46" s="210" t="s">
        <v>192</v>
      </c>
      <c r="G46" s="139">
        <v>1</v>
      </c>
      <c r="H46" s="139"/>
      <c r="I46" s="139"/>
      <c r="J46" s="139">
        <v>82</v>
      </c>
      <c r="K46" s="139">
        <v>82</v>
      </c>
      <c r="L46" s="210"/>
      <c r="M46" s="210"/>
      <c r="N46" s="210"/>
      <c r="O46" s="210"/>
      <c r="P46" s="184">
        <f>IF(Table_Shelter[[#This Row],[Status]]="Open",IF(V46="NO",Table_Shelter[[#This Row],[HH per Shelter]]*(Table_Shelter[[#This Row],['# of Temporary Shelter Units Built]]+Table_Shelter[[#This Row],['# of Temporary Shelter Under  Construction]]+Table_Shelter[[#This Row],['# of Permanent House Under Construction]]),0),0)</f>
        <v>82</v>
      </c>
      <c r="Q46" s="138"/>
      <c r="R46" s="210"/>
      <c r="S46" s="211" t="str">
        <f>IFERROR(VLOOKUP(Table_Shelter[[#This Row],[CampName]],CL,2,0),"")</f>
        <v>MMR001CMP123</v>
      </c>
      <c r="T46" s="211" t="str">
        <f>IFERROR(VLOOKUP(Table_Shelter[[#This Row],[CampName]],CL,3,0),"")</f>
        <v>Open</v>
      </c>
      <c r="U46" s="332">
        <f>IFERROR(Table_Shelter[[#This Row],[HH Covered]]/VLOOKUP(Table_Shelter[[#This Row],[CampName]],CL,4,0),"")</f>
        <v>0.73873873873873874</v>
      </c>
      <c r="V46" s="552" t="s">
        <v>1310</v>
      </c>
      <c r="W46" s="333"/>
    </row>
    <row r="47" spans="1:23" ht="15" customHeight="1" x14ac:dyDescent="0.25">
      <c r="A47" s="334"/>
      <c r="B47" s="210" t="s">
        <v>454</v>
      </c>
      <c r="C47" s="210" t="s">
        <v>508</v>
      </c>
      <c r="D47" s="213" t="s">
        <v>380</v>
      </c>
      <c r="E47" s="435" t="s">
        <v>185</v>
      </c>
      <c r="F47" s="210" t="s">
        <v>192</v>
      </c>
      <c r="G47" s="139">
        <v>1</v>
      </c>
      <c r="H47" s="139"/>
      <c r="I47" s="139"/>
      <c r="J47" s="139">
        <v>123</v>
      </c>
      <c r="K47" s="139">
        <v>123</v>
      </c>
      <c r="L47" s="210"/>
      <c r="M47" s="210"/>
      <c r="N47" s="210"/>
      <c r="O47" s="210"/>
      <c r="P47" s="184">
        <f>IF(Table_Shelter[[#This Row],[Status]]="Open",IF(V47="NO",Table_Shelter[[#This Row],[HH per Shelter]]*(Table_Shelter[[#This Row],['# of Temporary Shelter Units Built]]+Table_Shelter[[#This Row],['# of Temporary Shelter Under  Construction]]+Table_Shelter[[#This Row],['# of Permanent House Under Construction]]),0),0)</f>
        <v>123</v>
      </c>
      <c r="Q47" s="138"/>
      <c r="R47" s="210"/>
      <c r="S47" s="211" t="str">
        <f>IFERROR(VLOOKUP(Table_Shelter[[#This Row],[CampName]],CL,2,0),"")</f>
        <v>MMR001CMP123</v>
      </c>
      <c r="T47" s="211" t="str">
        <f>IFERROR(VLOOKUP(Table_Shelter[[#This Row],[CampName]],CL,3,0),"")</f>
        <v>Open</v>
      </c>
      <c r="U47" s="332">
        <f>IFERROR(Table_Shelter[[#This Row],[HH Covered]]/VLOOKUP(Table_Shelter[[#This Row],[CampName]],CL,4,0),"")</f>
        <v>1.1081081081081081</v>
      </c>
      <c r="V47" s="552" t="s">
        <v>1310</v>
      </c>
      <c r="W47" s="333"/>
    </row>
    <row r="48" spans="1:23" ht="15" customHeight="1" x14ac:dyDescent="0.25">
      <c r="A48" s="334">
        <v>41809</v>
      </c>
      <c r="B48" s="210" t="s">
        <v>455</v>
      </c>
      <c r="C48" s="210" t="s">
        <v>507</v>
      </c>
      <c r="D48" s="210" t="s">
        <v>380</v>
      </c>
      <c r="E48" s="435" t="s">
        <v>310</v>
      </c>
      <c r="F48" s="210" t="s">
        <v>313</v>
      </c>
      <c r="G48" s="139">
        <v>1</v>
      </c>
      <c r="H48" s="139"/>
      <c r="I48" s="139"/>
      <c r="J48" s="139">
        <v>50</v>
      </c>
      <c r="K48" s="139">
        <v>55</v>
      </c>
      <c r="L48" s="210"/>
      <c r="M48" s="210"/>
      <c r="N48" s="210"/>
      <c r="O48" s="210"/>
      <c r="P48" s="184">
        <f>IF(Table_Shelter[[#This Row],[Status]]="Open",IF(V48="NO",Table_Shelter[[#This Row],[HH per Shelter]]*(Table_Shelter[[#This Row],['# of Temporary Shelter Units Built]]+Table_Shelter[[#This Row],['# of Temporary Shelter Under  Construction]]+Table_Shelter[[#This Row],['# of Permanent House Under Construction]]),0),0)</f>
        <v>55</v>
      </c>
      <c r="Q48" s="138"/>
      <c r="R48" s="210"/>
      <c r="S48" s="211" t="str">
        <f>IFERROR(VLOOKUP(Table_Shelter[[#This Row],[CampName]],CL,2,0),"")</f>
        <v>MMR001CMP028</v>
      </c>
      <c r="T48" s="211" t="str">
        <f>IFERROR(VLOOKUP(Table_Shelter[[#This Row],[CampName]],CL,3,0),"")</f>
        <v>Open</v>
      </c>
      <c r="U48" s="332">
        <f>IFERROR(Table_Shelter[[#This Row],[HH Covered]]/VLOOKUP(Table_Shelter[[#This Row],[CampName]],CL,4,0),"")</f>
        <v>0.55555555555555558</v>
      </c>
      <c r="V48" s="552" t="s">
        <v>1310</v>
      </c>
      <c r="W48" s="333"/>
    </row>
    <row r="49" spans="1:23" ht="15" customHeight="1" x14ac:dyDescent="0.25">
      <c r="A49" s="334">
        <v>41609</v>
      </c>
      <c r="B49" s="210" t="s">
        <v>454</v>
      </c>
      <c r="C49" s="210" t="s">
        <v>507</v>
      </c>
      <c r="D49" s="210" t="s">
        <v>380</v>
      </c>
      <c r="E49" s="435" t="s">
        <v>310</v>
      </c>
      <c r="F49" s="210" t="s">
        <v>313</v>
      </c>
      <c r="G49" s="139">
        <v>1</v>
      </c>
      <c r="H49" s="139"/>
      <c r="I49" s="139"/>
      <c r="J49" s="139">
        <v>5</v>
      </c>
      <c r="K49" s="139">
        <v>5</v>
      </c>
      <c r="L49" s="210"/>
      <c r="M49" s="210"/>
      <c r="N49" s="210"/>
      <c r="O49" s="210"/>
      <c r="P49" s="142">
        <f>IF(Table_Shelter[[#This Row],[Status]]="Open",IF(V49="NO",Table_Shelter[[#This Row],[HH per Shelter]]*(Table_Shelter[[#This Row],['# of Temporary Shelter Units Built]]+Table_Shelter[[#This Row],['# of Temporary Shelter Under  Construction]]+Table_Shelter[[#This Row],['# of Permanent House Under Construction]]),0),0)</f>
        <v>5</v>
      </c>
      <c r="Q49" s="138"/>
      <c r="R49" s="138"/>
      <c r="S49" s="142" t="str">
        <f>IFERROR(VLOOKUP(Table_Shelter[[#This Row],[CampName]],CL,2,0),"")</f>
        <v>MMR001CMP028</v>
      </c>
      <c r="T49" s="142" t="str">
        <f>IFERROR(VLOOKUP(Table_Shelter[[#This Row],[CampName]],CL,3,0),"")</f>
        <v>Open</v>
      </c>
      <c r="U49" s="332">
        <f>IFERROR(Table_Shelter[[#This Row],[HH Covered]]/VLOOKUP(Table_Shelter[[#This Row],[CampName]],CL,4,0),"")</f>
        <v>5.0505050505050504E-2</v>
      </c>
      <c r="V49" s="552" t="s">
        <v>1310</v>
      </c>
      <c r="W49" s="336"/>
    </row>
    <row r="50" spans="1:23" ht="15" customHeight="1" x14ac:dyDescent="0.25">
      <c r="A50" s="334"/>
      <c r="B50" s="210" t="s">
        <v>454</v>
      </c>
      <c r="C50" s="210" t="s">
        <v>507</v>
      </c>
      <c r="D50" s="210" t="s">
        <v>380</v>
      </c>
      <c r="E50" s="435" t="s">
        <v>310</v>
      </c>
      <c r="F50" s="210" t="s">
        <v>313</v>
      </c>
      <c r="G50" s="139">
        <v>1</v>
      </c>
      <c r="H50" s="139"/>
      <c r="I50" s="139"/>
      <c r="J50" s="139">
        <v>45</v>
      </c>
      <c r="K50" s="139">
        <v>45</v>
      </c>
      <c r="L50" s="210"/>
      <c r="M50" s="210"/>
      <c r="N50" s="210"/>
      <c r="O50" s="210"/>
      <c r="P50" s="184">
        <f>IF(Table_Shelter[[#This Row],[Status]]="Open",IF(V50="NO",Table_Shelter[[#This Row],[HH per Shelter]]*(Table_Shelter[[#This Row],['# of Temporary Shelter Units Built]]+Table_Shelter[[#This Row],['# of Temporary Shelter Under  Construction]]+Table_Shelter[[#This Row],['# of Permanent House Under Construction]]),0),0)</f>
        <v>45</v>
      </c>
      <c r="Q50" s="138"/>
      <c r="R50" s="210"/>
      <c r="S50" s="211" t="str">
        <f>IFERROR(VLOOKUP(Table_Shelter[[#This Row],[CampName]],CL,2,0),"")</f>
        <v>MMR001CMP028</v>
      </c>
      <c r="T50" s="211" t="str">
        <f>IFERROR(VLOOKUP(Table_Shelter[[#This Row],[CampName]],CL,3,0),"")</f>
        <v>Open</v>
      </c>
      <c r="U50" s="332">
        <f>IFERROR(Table_Shelter[[#This Row],[HH Covered]]/VLOOKUP(Table_Shelter[[#This Row],[CampName]],CL,4,0),"")</f>
        <v>0.45454545454545453</v>
      </c>
      <c r="V50" s="552" t="s">
        <v>1310</v>
      </c>
      <c r="W50" s="333"/>
    </row>
    <row r="51" spans="1:23" ht="15" customHeight="1" x14ac:dyDescent="0.25">
      <c r="A51" s="605">
        <v>42502</v>
      </c>
      <c r="B51" s="606" t="s">
        <v>454</v>
      </c>
      <c r="C51" s="607" t="s">
        <v>462</v>
      </c>
      <c r="D51" s="608" t="s">
        <v>380</v>
      </c>
      <c r="E51" s="435" t="s">
        <v>310</v>
      </c>
      <c r="F51" s="606" t="s">
        <v>336</v>
      </c>
      <c r="G51" s="606">
        <v>1</v>
      </c>
      <c r="H51" s="607"/>
      <c r="I51" s="607"/>
      <c r="J51" s="607"/>
      <c r="K51" s="607"/>
      <c r="L51" s="607"/>
      <c r="M51" s="607"/>
      <c r="N51" s="607"/>
      <c r="O51" s="607"/>
      <c r="P51" s="609">
        <f>IF(Table_Shelter[[#This Row],[Status]]="Open",IF(V51="NO",Table_Shelter[[#This Row],[HH per Shelter]]*(Table_Shelter[[#This Row],['# of Temporary Shelter Units Built]]+Table_Shelter[[#This Row],['# of Temporary Shelter Under  Construction]]+Table_Shelter[[#This Row],['# of Permanent House Under Construction]]),0),0)</f>
        <v>0</v>
      </c>
      <c r="Q51" s="609">
        <v>18</v>
      </c>
      <c r="R51" s="609"/>
      <c r="S51" s="610" t="str">
        <f>IFERROR(VLOOKUP(Table_Shelter[[#This Row],[CampName]],CL,2,0),"")</f>
        <v>MMR001CMP115</v>
      </c>
      <c r="T51" s="611" t="str">
        <f>IFERROR(VLOOKUP(Table_Shelter[[#This Row],[CampName]],CL,3,0),"")</f>
        <v>Open</v>
      </c>
      <c r="U51" s="612">
        <f>IFERROR(Table_Shelter[[#This Row],[HH Covered]]/VLOOKUP(Table_Shelter[[#This Row],[CampName]],CL,4,0),"")</f>
        <v>0</v>
      </c>
      <c r="V51" s="604" t="s">
        <v>1310</v>
      </c>
      <c r="W51" s="613"/>
    </row>
    <row r="52" spans="1:23" ht="15" customHeight="1" x14ac:dyDescent="0.25">
      <c r="A52" s="334"/>
      <c r="B52" s="210" t="s">
        <v>455</v>
      </c>
      <c r="C52" s="210" t="s">
        <v>507</v>
      </c>
      <c r="D52" s="210" t="s">
        <v>380</v>
      </c>
      <c r="E52" s="435" t="s">
        <v>310</v>
      </c>
      <c r="F52" s="210" t="s">
        <v>336</v>
      </c>
      <c r="G52" s="139">
        <v>1</v>
      </c>
      <c r="H52" s="139"/>
      <c r="I52" s="139"/>
      <c r="J52" s="139">
        <v>100</v>
      </c>
      <c r="K52" s="139">
        <v>100</v>
      </c>
      <c r="L52" s="210"/>
      <c r="M52" s="210"/>
      <c r="N52" s="210"/>
      <c r="O52" s="210"/>
      <c r="P52" s="184">
        <f>IF(Table_Shelter[[#This Row],[Status]]="Open",IF(V52="NO",Table_Shelter[[#This Row],[HH per Shelter]]*(Table_Shelter[[#This Row],['# of Temporary Shelter Units Built]]+Table_Shelter[[#This Row],['# of Temporary Shelter Under  Construction]]+Table_Shelter[[#This Row],['# of Permanent House Under Construction]]),0),0)</f>
        <v>100</v>
      </c>
      <c r="Q52" s="138"/>
      <c r="R52" s="210"/>
      <c r="S52" s="211" t="str">
        <f>IFERROR(VLOOKUP(Table_Shelter[[#This Row],[CampName]],CL,2,0),"")</f>
        <v>MMR001CMP115</v>
      </c>
      <c r="T52" s="211" t="str">
        <f>IFERROR(VLOOKUP(Table_Shelter[[#This Row],[CampName]],CL,3,0),"")</f>
        <v>Open</v>
      </c>
      <c r="U52" s="332">
        <f>IFERROR(Table_Shelter[[#This Row],[HH Covered]]/VLOOKUP(Table_Shelter[[#This Row],[CampName]],CL,4,0),"")</f>
        <v>0.68493150684931503</v>
      </c>
      <c r="V52" s="552" t="s">
        <v>1310</v>
      </c>
      <c r="W52" s="333"/>
    </row>
    <row r="53" spans="1:23" ht="16.149999999999999" customHeight="1" x14ac:dyDescent="0.25">
      <c r="A53" s="335">
        <v>41609</v>
      </c>
      <c r="B53" s="139" t="s">
        <v>454</v>
      </c>
      <c r="C53" s="139" t="s">
        <v>507</v>
      </c>
      <c r="D53" s="218" t="s">
        <v>380</v>
      </c>
      <c r="E53" s="219" t="s">
        <v>529</v>
      </c>
      <c r="F53" s="139" t="s">
        <v>44</v>
      </c>
      <c r="G53" s="139">
        <v>1</v>
      </c>
      <c r="H53" s="143"/>
      <c r="I53" s="143"/>
      <c r="J53" s="143">
        <v>10</v>
      </c>
      <c r="K53" s="143">
        <v>10</v>
      </c>
      <c r="L53" s="143"/>
      <c r="M53" s="143"/>
      <c r="N53" s="143"/>
      <c r="O53" s="143"/>
      <c r="P53" s="142">
        <f>IF(Table_Shelter[[#This Row],[Status]]="Open",IF(V53="NO",Table_Shelter[[#This Row],[HH per Shelter]]*(Table_Shelter[[#This Row],['# of Temporary Shelter Units Built]]+Table_Shelter[[#This Row],['# of Temporary Shelter Under  Construction]]+Table_Shelter[[#This Row],['# of Permanent House Under Construction]]),0),0)</f>
        <v>10</v>
      </c>
      <c r="Q53" s="142"/>
      <c r="R53" s="142"/>
      <c r="S53" s="142" t="str">
        <f>IFERROR(VLOOKUP(Table_Shelter[[#This Row],[CampName]],CL,2,0),"")</f>
        <v>MMR001CMP191</v>
      </c>
      <c r="T53" s="142" t="str">
        <f>IFERROR(VLOOKUP(Table_Shelter[[#This Row],[CampName]],CL,3,0),"")</f>
        <v>Open</v>
      </c>
      <c r="U53" s="338">
        <f>IFERROR(Table_Shelter[[#This Row],[HH Covered]]/VLOOKUP(Table_Shelter[[#This Row],[CampName]],CL,4,0),"")</f>
        <v>1.25</v>
      </c>
      <c r="V53" s="552" t="s">
        <v>1310</v>
      </c>
      <c r="W53" s="336"/>
    </row>
    <row r="54" spans="1:23" ht="15" customHeight="1" x14ac:dyDescent="0.25">
      <c r="A54" s="334"/>
      <c r="B54" s="210" t="s">
        <v>864</v>
      </c>
      <c r="C54" s="210"/>
      <c r="D54" s="210" t="s">
        <v>380</v>
      </c>
      <c r="E54" s="435" t="s">
        <v>529</v>
      </c>
      <c r="F54" s="210" t="s">
        <v>44</v>
      </c>
      <c r="G54" s="139">
        <v>1</v>
      </c>
      <c r="H54" s="139">
        <v>20</v>
      </c>
      <c r="I54" s="139">
        <v>20</v>
      </c>
      <c r="J54" s="139"/>
      <c r="K54" s="139"/>
      <c r="L54" s="210"/>
      <c r="M54" s="210"/>
      <c r="N54" s="210"/>
      <c r="O54" s="210"/>
      <c r="P54" s="184">
        <f>IF(Table_Shelter[[#This Row],[Status]]="Open",IF(V54="NO",Table_Shelter[[#This Row],[HH per Shelter]]*(Table_Shelter[[#This Row],['# of Temporary Shelter Units Built]]+Table_Shelter[[#This Row],['# of Temporary Shelter Under  Construction]]+Table_Shelter[[#This Row],['# of Permanent House Under Construction]]),0),0)</f>
        <v>0</v>
      </c>
      <c r="Q54" s="138"/>
      <c r="R54" s="210"/>
      <c r="S54" s="211" t="str">
        <f>IFERROR(VLOOKUP(Table_Shelter[[#This Row],[CampName]],CL,2,0),"")</f>
        <v>MMR001CMP191</v>
      </c>
      <c r="T54" s="211" t="str">
        <f>IFERROR(VLOOKUP(Table_Shelter[[#This Row],[CampName]],CL,3,0),"")</f>
        <v>Open</v>
      </c>
      <c r="U54" s="332">
        <f>IFERROR(Table_Shelter[[#This Row],[HH Covered]]/VLOOKUP(Table_Shelter[[#This Row],[CampName]],CL,4,0),"")</f>
        <v>0</v>
      </c>
      <c r="V54" s="552" t="s">
        <v>1310</v>
      </c>
      <c r="W54" s="333"/>
    </row>
    <row r="55" spans="1:23" ht="15" customHeight="1" x14ac:dyDescent="0.25">
      <c r="A55" s="334"/>
      <c r="B55" s="210" t="s">
        <v>454</v>
      </c>
      <c r="C55" s="210" t="s">
        <v>507</v>
      </c>
      <c r="D55" s="213" t="s">
        <v>380</v>
      </c>
      <c r="E55" s="435" t="s">
        <v>529</v>
      </c>
      <c r="F55" s="210" t="s">
        <v>44</v>
      </c>
      <c r="G55" s="139">
        <v>1</v>
      </c>
      <c r="H55" s="139"/>
      <c r="I55" s="139"/>
      <c r="J55" s="139">
        <v>5</v>
      </c>
      <c r="K55" s="139">
        <v>5</v>
      </c>
      <c r="L55" s="210"/>
      <c r="M55" s="210"/>
      <c r="N55" s="210"/>
      <c r="O55" s="210"/>
      <c r="P55" s="184">
        <f>IF(Table_Shelter[[#This Row],[Status]]="Open",IF(V55="NO",Table_Shelter[[#This Row],[HH per Shelter]]*(Table_Shelter[[#This Row],['# of Temporary Shelter Units Built]]+Table_Shelter[[#This Row],['# of Temporary Shelter Under  Construction]]+Table_Shelter[[#This Row],['# of Permanent House Under Construction]]),0),0)</f>
        <v>5</v>
      </c>
      <c r="Q55" s="138"/>
      <c r="R55" s="210"/>
      <c r="S55" s="211" t="str">
        <f>IFERROR(VLOOKUP(Table_Shelter[[#This Row],[CampName]],CL,2,0),"")</f>
        <v>MMR001CMP191</v>
      </c>
      <c r="T55" s="211" t="str">
        <f>IFERROR(VLOOKUP(Table_Shelter[[#This Row],[CampName]],CL,3,0),"")</f>
        <v>Open</v>
      </c>
      <c r="U55" s="332">
        <f>IFERROR(Table_Shelter[[#This Row],[HH Covered]]/VLOOKUP(Table_Shelter[[#This Row],[CampName]],CL,4,0),"")</f>
        <v>0.625</v>
      </c>
      <c r="V55" s="552" t="s">
        <v>1310</v>
      </c>
      <c r="W55" s="333"/>
    </row>
    <row r="56" spans="1:23" ht="15" customHeight="1" x14ac:dyDescent="0.25">
      <c r="A56" s="603"/>
      <c r="B56" s="212" t="s">
        <v>454</v>
      </c>
      <c r="C56" s="212" t="s">
        <v>462</v>
      </c>
      <c r="D56" s="212" t="s">
        <v>555</v>
      </c>
      <c r="E56" s="217" t="s">
        <v>166</v>
      </c>
      <c r="F56" s="212" t="s">
        <v>169</v>
      </c>
      <c r="G56" s="143">
        <v>1</v>
      </c>
      <c r="H56" s="143"/>
      <c r="I56" s="143"/>
      <c r="J56" s="143">
        <v>10</v>
      </c>
      <c r="K56" s="143">
        <v>10</v>
      </c>
      <c r="L56" s="212"/>
      <c r="M56" s="212"/>
      <c r="N56" s="212"/>
      <c r="O56" s="212"/>
      <c r="P56" s="184">
        <f>IF(Table_Shelter[[#This Row],[Status]]="Open",IF(V56="NO",Table_Shelter[[#This Row],[HH per Shelter]]*(Table_Shelter[[#This Row],['# of Temporary Shelter Units Built]]+Table_Shelter[[#This Row],['# of Temporary Shelter Under  Construction]]+Table_Shelter[[#This Row],['# of Permanent House Under Construction]]),0),0)</f>
        <v>10</v>
      </c>
      <c r="Q56" s="142"/>
      <c r="R56" s="212"/>
      <c r="S56" s="211" t="str">
        <f>IFERROR(VLOOKUP(Table_Shelter[[#This Row],[CampName]],CL,2,0),"")</f>
        <v>MMR015CMP010</v>
      </c>
      <c r="T56" s="211" t="str">
        <f>IFERROR(VLOOKUP(Table_Shelter[[#This Row],[CampName]],CL,3,0),"")</f>
        <v>Open</v>
      </c>
      <c r="U56" s="332">
        <f>IFERROR(Table_Shelter[[#This Row],[HH Covered]]/VLOOKUP(Table_Shelter[[#This Row],[CampName]],CL,4,0),"")</f>
        <v>0.3125</v>
      </c>
      <c r="V56" s="552" t="s">
        <v>1310</v>
      </c>
      <c r="W56" s="333"/>
    </row>
    <row r="57" spans="1:23" ht="15" customHeight="1" x14ac:dyDescent="0.25">
      <c r="A57" s="605">
        <v>42502</v>
      </c>
      <c r="B57" s="606" t="s">
        <v>454</v>
      </c>
      <c r="C57" s="607" t="s">
        <v>462</v>
      </c>
      <c r="D57" s="608" t="s">
        <v>380</v>
      </c>
      <c r="E57" s="435" t="s">
        <v>27</v>
      </c>
      <c r="F57" s="606" t="s">
        <v>364</v>
      </c>
      <c r="G57" s="606">
        <v>1</v>
      </c>
      <c r="H57" s="607"/>
      <c r="I57" s="607"/>
      <c r="J57" s="607"/>
      <c r="K57" s="607"/>
      <c r="L57" s="607"/>
      <c r="M57" s="607"/>
      <c r="N57" s="607"/>
      <c r="O57" s="607"/>
      <c r="P57" s="609">
        <f>IF(Table_Shelter[[#This Row],[Status]]="Open",IF(V57="NO",Table_Shelter[[#This Row],[HH per Shelter]]*(Table_Shelter[[#This Row],['# of Temporary Shelter Units Built]]+Table_Shelter[[#This Row],['# of Temporary Shelter Under  Construction]]+Table_Shelter[[#This Row],['# of Permanent House Under Construction]]),0),0)</f>
        <v>0</v>
      </c>
      <c r="Q57" s="609">
        <v>51</v>
      </c>
      <c r="R57" s="609"/>
      <c r="S57" s="610" t="str">
        <f>IFERROR(VLOOKUP(Table_Shelter[[#This Row],[CampName]],CL,2,0),"")</f>
        <v>MMR001CMP043</v>
      </c>
      <c r="T57" s="611" t="str">
        <f>IFERROR(VLOOKUP(Table_Shelter[[#This Row],[CampName]],CL,3,0),"")</f>
        <v>Open</v>
      </c>
      <c r="U57" s="612">
        <f>IFERROR(Table_Shelter[[#This Row],[HH Covered]]/VLOOKUP(Table_Shelter[[#This Row],[CampName]],CL,4,0),"")</f>
        <v>0</v>
      </c>
      <c r="V57" s="604" t="s">
        <v>1310</v>
      </c>
      <c r="W57" s="613"/>
    </row>
    <row r="58" spans="1:23" ht="15" customHeight="1" x14ac:dyDescent="0.25">
      <c r="A58" s="603">
        <v>42416</v>
      </c>
      <c r="B58" s="211" t="s">
        <v>454</v>
      </c>
      <c r="C58" s="210" t="s">
        <v>508</v>
      </c>
      <c r="D58" s="210" t="s">
        <v>380</v>
      </c>
      <c r="E58" s="435" t="s">
        <v>185</v>
      </c>
      <c r="F58" s="210" t="s">
        <v>194</v>
      </c>
      <c r="G58" s="139">
        <v>1</v>
      </c>
      <c r="H58" s="139"/>
      <c r="I58" s="139"/>
      <c r="J58" s="139"/>
      <c r="K58" s="139"/>
      <c r="L58" s="210"/>
      <c r="M58" s="210"/>
      <c r="N58" s="210"/>
      <c r="O58" s="210"/>
      <c r="P58" s="184">
        <f>IF(Table_Shelter[[#This Row],[Status]]="Open",IF(V58="NO",Table_Shelter[[#This Row],[HH per Shelter]]*(Table_Shelter[[#This Row],['# of Temporary Shelter Units Built]]+Table_Shelter[[#This Row],['# of Temporary Shelter Under  Construction]]+Table_Shelter[[#This Row],['# of Permanent House Under Construction]]),0),0)</f>
        <v>0</v>
      </c>
      <c r="Q58" s="138">
        <v>338</v>
      </c>
      <c r="R58" s="138">
        <v>338</v>
      </c>
      <c r="S58" s="211" t="str">
        <f>IFERROR(VLOOKUP(Table_Shelter[[#This Row],[CampName]],CL,2,0),"")</f>
        <v>MMR001CMP122</v>
      </c>
      <c r="T58" s="211" t="str">
        <f>IFERROR(VLOOKUP(Table_Shelter[[#This Row],[CampName]],CL,3,0),"")</f>
        <v>Open</v>
      </c>
      <c r="U58" s="332">
        <f>IFERROR(Table_Shelter[[#This Row],[HH Covered]]/VLOOKUP(Table_Shelter[[#This Row],[CampName]],CL,4,0),"")</f>
        <v>0</v>
      </c>
      <c r="V58" s="552" t="s">
        <v>1310</v>
      </c>
      <c r="W58" s="333"/>
    </row>
    <row r="59" spans="1:23" ht="15" customHeight="1" x14ac:dyDescent="0.25">
      <c r="A59" s="603">
        <v>41974</v>
      </c>
      <c r="B59" s="212" t="s">
        <v>454</v>
      </c>
      <c r="C59" s="212" t="s">
        <v>508</v>
      </c>
      <c r="D59" s="212" t="s">
        <v>380</v>
      </c>
      <c r="E59" s="217" t="s">
        <v>185</v>
      </c>
      <c r="F59" s="212" t="s">
        <v>194</v>
      </c>
      <c r="G59" s="143">
        <v>1</v>
      </c>
      <c r="H59" s="143"/>
      <c r="I59" s="143"/>
      <c r="J59" s="143">
        <v>280</v>
      </c>
      <c r="K59" s="143">
        <v>280</v>
      </c>
      <c r="L59" s="212"/>
      <c r="M59" s="212"/>
      <c r="N59" s="212"/>
      <c r="O59" s="212"/>
      <c r="P59" s="184">
        <f>IF(Table_Shelter[[#This Row],[Status]]="Open",IF(V59="NO",Table_Shelter[[#This Row],[HH per Shelter]]*(Table_Shelter[[#This Row],['# of Temporary Shelter Units Built]]+Table_Shelter[[#This Row],['# of Temporary Shelter Under  Construction]]+Table_Shelter[[#This Row],['# of Permanent House Under Construction]]),0),0)</f>
        <v>280</v>
      </c>
      <c r="Q59" s="142"/>
      <c r="R59" s="212"/>
      <c r="S59" s="211" t="str">
        <f>IFERROR(VLOOKUP(Table_Shelter[[#This Row],[CampName]],CL,2,0),"")</f>
        <v>MMR001CMP122</v>
      </c>
      <c r="T59" s="211" t="str">
        <f>IFERROR(VLOOKUP(Table_Shelter[[#This Row],[CampName]],CL,3,0),"")</f>
        <v>Open</v>
      </c>
      <c r="U59" s="332">
        <f>IFERROR(Table_Shelter[[#This Row],[HH Covered]]/VLOOKUP(Table_Shelter[[#This Row],[CampName]],CL,4,0),"")</f>
        <v>0.47781569965870307</v>
      </c>
      <c r="V59" s="552" t="s">
        <v>1310</v>
      </c>
      <c r="W59" s="333"/>
    </row>
    <row r="60" spans="1:23" ht="15" customHeight="1" x14ac:dyDescent="0.25">
      <c r="A60" s="334"/>
      <c r="B60" s="210" t="s">
        <v>455</v>
      </c>
      <c r="C60" s="210" t="s">
        <v>508</v>
      </c>
      <c r="D60" s="213" t="s">
        <v>380</v>
      </c>
      <c r="E60" s="435" t="s">
        <v>185</v>
      </c>
      <c r="F60" s="210" t="s">
        <v>194</v>
      </c>
      <c r="G60" s="139">
        <v>1</v>
      </c>
      <c r="H60" s="139"/>
      <c r="I60" s="139"/>
      <c r="J60" s="139">
        <v>338</v>
      </c>
      <c r="K60" s="139">
        <v>338</v>
      </c>
      <c r="L60" s="210"/>
      <c r="M60" s="210"/>
      <c r="N60" s="210"/>
      <c r="O60" s="210"/>
      <c r="P60" s="184">
        <f>IF(Table_Shelter[[#This Row],[Status]]="Open",IF(V60="NO",Table_Shelter[[#This Row],[HH per Shelter]]*(Table_Shelter[[#This Row],['# of Temporary Shelter Units Built]]+Table_Shelter[[#This Row],['# of Temporary Shelter Under  Construction]]+Table_Shelter[[#This Row],['# of Permanent House Under Construction]]),0),0)</f>
        <v>338</v>
      </c>
      <c r="Q60" s="138"/>
      <c r="R60" s="210"/>
      <c r="S60" s="211" t="str">
        <f>IFERROR(VLOOKUP(Table_Shelter[[#This Row],[CampName]],CL,2,0),"")</f>
        <v>MMR001CMP122</v>
      </c>
      <c r="T60" s="211" t="str">
        <f>IFERROR(VLOOKUP(Table_Shelter[[#This Row],[CampName]],CL,3,0),"")</f>
        <v>Open</v>
      </c>
      <c r="U60" s="332">
        <f>IFERROR(Table_Shelter[[#This Row],[HH Covered]]/VLOOKUP(Table_Shelter[[#This Row],[CampName]],CL,4,0),"")</f>
        <v>0.57679180887372017</v>
      </c>
      <c r="V60" s="552" t="s">
        <v>1310</v>
      </c>
      <c r="W60" s="333"/>
    </row>
    <row r="61" spans="1:23" ht="15" customHeight="1" x14ac:dyDescent="0.25">
      <c r="A61" s="334"/>
      <c r="B61" s="210" t="s">
        <v>848</v>
      </c>
      <c r="C61" s="210"/>
      <c r="D61" s="210" t="s">
        <v>380</v>
      </c>
      <c r="E61" s="435" t="s">
        <v>5</v>
      </c>
      <c r="F61" s="210" t="s">
        <v>14</v>
      </c>
      <c r="G61" s="139">
        <v>1</v>
      </c>
      <c r="H61" s="139"/>
      <c r="I61" s="139"/>
      <c r="J61" s="139">
        <v>38</v>
      </c>
      <c r="K61" s="139">
        <v>38</v>
      </c>
      <c r="L61" s="210"/>
      <c r="M61" s="210"/>
      <c r="N61" s="210"/>
      <c r="O61" s="210"/>
      <c r="P61" s="184">
        <f>IF(Table_Shelter[[#This Row],[Status]]="Open",IF(V61="NO",Table_Shelter[[#This Row],[HH per Shelter]]*(Table_Shelter[[#This Row],['# of Temporary Shelter Units Built]]+Table_Shelter[[#This Row],['# of Temporary Shelter Under  Construction]]+Table_Shelter[[#This Row],['# of Permanent House Under Construction]]),0),0)</f>
        <v>38</v>
      </c>
      <c r="Q61" s="138"/>
      <c r="R61" s="210"/>
      <c r="S61" s="211" t="str">
        <f>IFERROR(VLOOKUP(Table_Shelter[[#This Row],[CampName]],CL,2,0),"")</f>
        <v>MMR001CMP052</v>
      </c>
      <c r="T61" s="211" t="str">
        <f>IFERROR(VLOOKUP(Table_Shelter[[#This Row],[CampName]],CL,3,0),"")</f>
        <v>Open</v>
      </c>
      <c r="U61" s="332">
        <f>IFERROR(Table_Shelter[[#This Row],[HH Covered]]/VLOOKUP(Table_Shelter[[#This Row],[CampName]],CL,4,0),"")</f>
        <v>0.97435897435897434</v>
      </c>
      <c r="V61" s="552" t="s">
        <v>1310</v>
      </c>
      <c r="W61" s="333"/>
    </row>
    <row r="62" spans="1:23" ht="15" customHeight="1" x14ac:dyDescent="0.25">
      <c r="A62" s="334"/>
      <c r="B62" s="210" t="s">
        <v>454</v>
      </c>
      <c r="C62" s="210"/>
      <c r="D62" s="210" t="s">
        <v>380</v>
      </c>
      <c r="E62" s="435" t="s">
        <v>5</v>
      </c>
      <c r="F62" s="210" t="s">
        <v>14</v>
      </c>
      <c r="G62" s="139">
        <v>1</v>
      </c>
      <c r="H62" s="139"/>
      <c r="I62" s="139"/>
      <c r="J62" s="139">
        <v>5</v>
      </c>
      <c r="K62" s="139"/>
      <c r="L62" s="210"/>
      <c r="M62" s="210"/>
      <c r="N62" s="210"/>
      <c r="O62" s="210"/>
      <c r="P62" s="184">
        <f>IF(Table_Shelter[[#This Row],[Status]]="Open",IF(V62="NO",Table_Shelter[[#This Row],[HH per Shelter]]*(Table_Shelter[[#This Row],['# of Temporary Shelter Units Built]]+Table_Shelter[[#This Row],['# of Temporary Shelter Under  Construction]]+Table_Shelter[[#This Row],['# of Permanent House Under Construction]]),0),0)</f>
        <v>0</v>
      </c>
      <c r="Q62" s="138"/>
      <c r="R62" s="210"/>
      <c r="S62" s="211" t="str">
        <f>IFERROR(VLOOKUP(Table_Shelter[[#This Row],[CampName]],CL,2,0),"")</f>
        <v>MMR001CMP052</v>
      </c>
      <c r="T62" s="211" t="str">
        <f>IFERROR(VLOOKUP(Table_Shelter[[#This Row],[CampName]],CL,3,0),"")</f>
        <v>Open</v>
      </c>
      <c r="U62" s="332">
        <f>IFERROR(Table_Shelter[[#This Row],[HH Covered]]/VLOOKUP(Table_Shelter[[#This Row],[CampName]],CL,4,0),"")</f>
        <v>0</v>
      </c>
      <c r="V62" s="552" t="s">
        <v>1310</v>
      </c>
      <c r="W62" s="333"/>
    </row>
    <row r="63" spans="1:23" ht="15" customHeight="1" x14ac:dyDescent="0.25">
      <c r="A63" s="605">
        <v>42502</v>
      </c>
      <c r="B63" s="606" t="s">
        <v>454</v>
      </c>
      <c r="C63" s="607" t="s">
        <v>462</v>
      </c>
      <c r="D63" s="608" t="s">
        <v>380</v>
      </c>
      <c r="E63" s="215" t="s">
        <v>237</v>
      </c>
      <c r="F63" s="606" t="s">
        <v>253</v>
      </c>
      <c r="G63" s="606">
        <v>1</v>
      </c>
      <c r="H63" s="607"/>
      <c r="I63" s="607"/>
      <c r="J63" s="607"/>
      <c r="K63" s="607"/>
      <c r="L63" s="607"/>
      <c r="M63" s="607"/>
      <c r="N63" s="607"/>
      <c r="O63" s="607"/>
      <c r="P63" s="609">
        <f>IF(Table_Shelter[[#This Row],[Status]]="Open",IF(V63="NO",Table_Shelter[[#This Row],[HH per Shelter]]*(Table_Shelter[[#This Row],['# of Temporary Shelter Units Built]]+Table_Shelter[[#This Row],['# of Temporary Shelter Under  Construction]]+Table_Shelter[[#This Row],['# of Permanent House Under Construction]]),0),0)</f>
        <v>0</v>
      </c>
      <c r="Q63" s="609">
        <v>10</v>
      </c>
      <c r="R63" s="609"/>
      <c r="S63" s="610" t="str">
        <f>IFERROR(VLOOKUP(Table_Shelter[[#This Row],[CampName]],CL,2,0),"")</f>
        <v>MMR001CMP018</v>
      </c>
      <c r="T63" s="611" t="str">
        <f>IFERROR(VLOOKUP(Table_Shelter[[#This Row],[CampName]],CL,3,0),"")</f>
        <v>Open</v>
      </c>
      <c r="U63" s="612">
        <f>IFERROR(Table_Shelter[[#This Row],[HH Covered]]/VLOOKUP(Table_Shelter[[#This Row],[CampName]],CL,4,0),"")</f>
        <v>0</v>
      </c>
      <c r="V63" s="604" t="s">
        <v>1310</v>
      </c>
      <c r="W63" s="613"/>
    </row>
    <row r="64" spans="1:23" ht="15" customHeight="1" x14ac:dyDescent="0.25">
      <c r="A64" s="334">
        <v>41609</v>
      </c>
      <c r="B64" s="210" t="s">
        <v>454</v>
      </c>
      <c r="C64" s="210" t="s">
        <v>462</v>
      </c>
      <c r="D64" s="210" t="s">
        <v>380</v>
      </c>
      <c r="E64" s="435" t="s">
        <v>237</v>
      </c>
      <c r="F64" s="210" t="s">
        <v>253</v>
      </c>
      <c r="G64" s="139">
        <v>1</v>
      </c>
      <c r="H64" s="139"/>
      <c r="I64" s="139"/>
      <c r="J64" s="139">
        <v>30</v>
      </c>
      <c r="K64" s="139">
        <v>30</v>
      </c>
      <c r="L64" s="210"/>
      <c r="M64" s="210"/>
      <c r="N64" s="210"/>
      <c r="O64" s="210"/>
      <c r="P64" s="184">
        <f>IF(Table_Shelter[[#This Row],[Status]]="Open",IF(V64="NO",Table_Shelter[[#This Row],[HH per Shelter]]*(Table_Shelter[[#This Row],['# of Temporary Shelter Units Built]]+Table_Shelter[[#This Row],['# of Temporary Shelter Under  Construction]]+Table_Shelter[[#This Row],['# of Permanent House Under Construction]]),0),0)</f>
        <v>30</v>
      </c>
      <c r="Q64" s="138"/>
      <c r="R64" s="210"/>
      <c r="S64" s="211" t="str">
        <f>IFERROR(VLOOKUP(Table_Shelter[[#This Row],[CampName]],CL,2,0),"")</f>
        <v>MMR001CMP018</v>
      </c>
      <c r="T64" s="211" t="str">
        <f>IFERROR(VLOOKUP(Table_Shelter[[#This Row],[CampName]],CL,3,0),"")</f>
        <v>Open</v>
      </c>
      <c r="U64" s="332">
        <f>IFERROR(Table_Shelter[[#This Row],[HH Covered]]/VLOOKUP(Table_Shelter[[#This Row],[CampName]],CL,4,0),"")</f>
        <v>0.14705882352941177</v>
      </c>
      <c r="V64" s="552" t="s">
        <v>1310</v>
      </c>
      <c r="W64" s="333"/>
    </row>
    <row r="65" spans="1:23" ht="15" customHeight="1" x14ac:dyDescent="0.25">
      <c r="A65" s="334"/>
      <c r="B65" s="210" t="s">
        <v>849</v>
      </c>
      <c r="C65" s="210" t="s">
        <v>508</v>
      </c>
      <c r="D65" s="210" t="s">
        <v>380</v>
      </c>
      <c r="E65" s="435" t="s">
        <v>237</v>
      </c>
      <c r="F65" s="210" t="s">
        <v>253</v>
      </c>
      <c r="G65" s="139">
        <v>1</v>
      </c>
      <c r="H65" s="139"/>
      <c r="I65" s="139"/>
      <c r="J65" s="139">
        <v>20</v>
      </c>
      <c r="K65" s="139">
        <v>20</v>
      </c>
      <c r="L65" s="210"/>
      <c r="M65" s="210"/>
      <c r="N65" s="210"/>
      <c r="O65" s="210"/>
      <c r="P65" s="184">
        <f>IF(Table_Shelter[[#This Row],[Status]]="Open",IF(V65="NO",Table_Shelter[[#This Row],[HH per Shelter]]*(Table_Shelter[[#This Row],['# of Temporary Shelter Units Built]]+Table_Shelter[[#This Row],['# of Temporary Shelter Under  Construction]]+Table_Shelter[[#This Row],['# of Permanent House Under Construction]]),0),0)</f>
        <v>20</v>
      </c>
      <c r="Q65" s="138"/>
      <c r="R65" s="210"/>
      <c r="S65" s="211" t="str">
        <f>IFERROR(VLOOKUP(Table_Shelter[[#This Row],[CampName]],CL,2,0),"")</f>
        <v>MMR001CMP018</v>
      </c>
      <c r="T65" s="211" t="str">
        <f>IFERROR(VLOOKUP(Table_Shelter[[#This Row],[CampName]],CL,3,0),"")</f>
        <v>Open</v>
      </c>
      <c r="U65" s="332">
        <f>IFERROR(Table_Shelter[[#This Row],[HH Covered]]/VLOOKUP(Table_Shelter[[#This Row],[CampName]],CL,4,0),"")</f>
        <v>9.8039215686274508E-2</v>
      </c>
      <c r="V65" s="552" t="s">
        <v>1310</v>
      </c>
      <c r="W65" s="333"/>
    </row>
    <row r="66" spans="1:23" ht="15" customHeight="1" x14ac:dyDescent="0.25">
      <c r="A66" s="334"/>
      <c r="B66" s="210" t="s">
        <v>572</v>
      </c>
      <c r="C66" s="210" t="s">
        <v>462</v>
      </c>
      <c r="D66" s="213" t="s">
        <v>380</v>
      </c>
      <c r="E66" s="435" t="s">
        <v>237</v>
      </c>
      <c r="F66" s="210" t="s">
        <v>253</v>
      </c>
      <c r="G66" s="139">
        <v>1</v>
      </c>
      <c r="H66" s="139"/>
      <c r="I66" s="139"/>
      <c r="J66" s="139">
        <v>60</v>
      </c>
      <c r="K66" s="139">
        <v>60</v>
      </c>
      <c r="L66" s="210"/>
      <c r="M66" s="210"/>
      <c r="N66" s="210"/>
      <c r="O66" s="210"/>
      <c r="P66" s="184">
        <f>IF(Table_Shelter[[#This Row],[Status]]="Open",IF(V66="NO",Table_Shelter[[#This Row],[HH per Shelter]]*(Table_Shelter[[#This Row],['# of Temporary Shelter Units Built]]+Table_Shelter[[#This Row],['# of Temporary Shelter Under  Construction]]+Table_Shelter[[#This Row],['# of Permanent House Under Construction]]),0),0)</f>
        <v>60</v>
      </c>
      <c r="Q66" s="138"/>
      <c r="R66" s="210"/>
      <c r="S66" s="211" t="str">
        <f>IFERROR(VLOOKUP(Table_Shelter[[#This Row],[CampName]],CL,2,0),"")</f>
        <v>MMR001CMP018</v>
      </c>
      <c r="T66" s="211" t="str">
        <f>IFERROR(VLOOKUP(Table_Shelter[[#This Row],[CampName]],CL,3,0),"")</f>
        <v>Open</v>
      </c>
      <c r="U66" s="332">
        <f>IFERROR(Table_Shelter[[#This Row],[HH Covered]]/VLOOKUP(Table_Shelter[[#This Row],[CampName]],CL,4,0),"")</f>
        <v>0.29411764705882354</v>
      </c>
      <c r="V66" s="552" t="s">
        <v>1310</v>
      </c>
      <c r="W66" s="333"/>
    </row>
    <row r="67" spans="1:23" ht="15" customHeight="1" x14ac:dyDescent="0.25">
      <c r="A67" s="334"/>
      <c r="B67" s="210" t="s">
        <v>454</v>
      </c>
      <c r="C67" s="210"/>
      <c r="D67" s="210" t="s">
        <v>380</v>
      </c>
      <c r="E67" s="435" t="s">
        <v>237</v>
      </c>
      <c r="F67" s="210" t="s">
        <v>253</v>
      </c>
      <c r="G67" s="139">
        <v>1</v>
      </c>
      <c r="H67" s="139"/>
      <c r="I67" s="139"/>
      <c r="J67" s="139">
        <v>50</v>
      </c>
      <c r="K67" s="139">
        <v>50</v>
      </c>
      <c r="L67" s="210"/>
      <c r="M67" s="210"/>
      <c r="N67" s="210"/>
      <c r="O67" s="210"/>
      <c r="P67" s="184">
        <f>IF(Table_Shelter[[#This Row],[Status]]="Open",IF(V67="NO",Table_Shelter[[#This Row],[HH per Shelter]]*(Table_Shelter[[#This Row],['# of Temporary Shelter Units Built]]+Table_Shelter[[#This Row],['# of Temporary Shelter Under  Construction]]+Table_Shelter[[#This Row],['# of Permanent House Under Construction]]),0),0)</f>
        <v>50</v>
      </c>
      <c r="Q67" s="138"/>
      <c r="R67" s="210"/>
      <c r="S67" s="211" t="str">
        <f>IFERROR(VLOOKUP(Table_Shelter[[#This Row],[CampName]],CL,2,0),"")</f>
        <v>MMR001CMP018</v>
      </c>
      <c r="T67" s="211" t="str">
        <f>IFERROR(VLOOKUP(Table_Shelter[[#This Row],[CampName]],CL,3,0),"")</f>
        <v>Open</v>
      </c>
      <c r="U67" s="332">
        <f>IFERROR(Table_Shelter[[#This Row],[HH Covered]]/VLOOKUP(Table_Shelter[[#This Row],[CampName]],CL,4,0),"")</f>
        <v>0.24509803921568626</v>
      </c>
      <c r="V67" s="552" t="s">
        <v>1310</v>
      </c>
      <c r="W67" s="333"/>
    </row>
    <row r="68" spans="1:23" ht="15" customHeight="1" x14ac:dyDescent="0.25">
      <c r="A68" s="334"/>
      <c r="B68" s="210" t="s">
        <v>594</v>
      </c>
      <c r="C68" s="210" t="s">
        <v>508</v>
      </c>
      <c r="D68" s="210" t="s">
        <v>380</v>
      </c>
      <c r="E68" s="435" t="s">
        <v>237</v>
      </c>
      <c r="F68" s="210" t="s">
        <v>255</v>
      </c>
      <c r="G68" s="139">
        <v>1</v>
      </c>
      <c r="H68" s="139"/>
      <c r="I68" s="139"/>
      <c r="J68" s="139">
        <v>60</v>
      </c>
      <c r="K68" s="139">
        <v>60</v>
      </c>
      <c r="L68" s="210"/>
      <c r="M68" s="210"/>
      <c r="N68" s="210"/>
      <c r="O68" s="210"/>
      <c r="P68" s="184">
        <f>IF(Table_Shelter[[#This Row],[Status]]="Open",IF(V68="NO",Table_Shelter[[#This Row],[HH per Shelter]]*(Table_Shelter[[#This Row],['# of Temporary Shelter Units Built]]+Table_Shelter[[#This Row],['# of Temporary Shelter Under  Construction]]+Table_Shelter[[#This Row],['# of Permanent House Under Construction]]),0),0)</f>
        <v>60</v>
      </c>
      <c r="Q68" s="138"/>
      <c r="R68" s="210"/>
      <c r="S68" s="211" t="str">
        <f>IFERROR(VLOOKUP(Table_Shelter[[#This Row],[CampName]],CL,2,0),"")</f>
        <v>MMR001CMP019</v>
      </c>
      <c r="T68" s="211" t="str">
        <f>IFERROR(VLOOKUP(Table_Shelter[[#This Row],[CampName]],CL,3,0),"")</f>
        <v>Open</v>
      </c>
      <c r="U68" s="332">
        <f>IFERROR(Table_Shelter[[#This Row],[HH Covered]]/VLOOKUP(Table_Shelter[[#This Row],[CampName]],CL,4,0),"")</f>
        <v>0.58252427184466016</v>
      </c>
      <c r="V68" s="552" t="s">
        <v>1310</v>
      </c>
      <c r="W68" s="333"/>
    </row>
    <row r="69" spans="1:23" ht="15" customHeight="1" x14ac:dyDescent="0.25">
      <c r="A69" s="334"/>
      <c r="B69" s="210" t="s">
        <v>454</v>
      </c>
      <c r="C69" s="210" t="s">
        <v>508</v>
      </c>
      <c r="D69" s="210" t="s">
        <v>380</v>
      </c>
      <c r="E69" s="435" t="s">
        <v>237</v>
      </c>
      <c r="F69" s="210" t="s">
        <v>255</v>
      </c>
      <c r="G69" s="139">
        <v>1</v>
      </c>
      <c r="H69" s="139"/>
      <c r="I69" s="139"/>
      <c r="J69" s="139">
        <v>20</v>
      </c>
      <c r="K69" s="139">
        <v>20</v>
      </c>
      <c r="L69" s="210"/>
      <c r="M69" s="210"/>
      <c r="N69" s="210"/>
      <c r="O69" s="210"/>
      <c r="P69" s="184">
        <f>IF(Table_Shelter[[#This Row],[Status]]="Open",IF(V69="NO",Table_Shelter[[#This Row],[HH per Shelter]]*(Table_Shelter[[#This Row],['# of Temporary Shelter Units Built]]+Table_Shelter[[#This Row],['# of Temporary Shelter Under  Construction]]+Table_Shelter[[#This Row],['# of Permanent House Under Construction]]),0),0)</f>
        <v>20</v>
      </c>
      <c r="Q69" s="138"/>
      <c r="R69" s="210"/>
      <c r="S69" s="211" t="str">
        <f>IFERROR(VLOOKUP(Table_Shelter[[#This Row],[CampName]],CL,2,0),"")</f>
        <v>MMR001CMP019</v>
      </c>
      <c r="T69" s="211" t="str">
        <f>IFERROR(VLOOKUP(Table_Shelter[[#This Row],[CampName]],CL,3,0),"")</f>
        <v>Open</v>
      </c>
      <c r="U69" s="332">
        <f>IFERROR(Table_Shelter[[#This Row],[HH Covered]]/VLOOKUP(Table_Shelter[[#This Row],[CampName]],CL,4,0),"")</f>
        <v>0.1941747572815534</v>
      </c>
      <c r="V69" s="552" t="s">
        <v>1310</v>
      </c>
      <c r="W69" s="333"/>
    </row>
    <row r="70" spans="1:23" ht="15" customHeight="1" x14ac:dyDescent="0.25">
      <c r="A70" s="334">
        <v>42422</v>
      </c>
      <c r="B70" s="210" t="s">
        <v>455</v>
      </c>
      <c r="C70" s="210"/>
      <c r="D70" s="213" t="s">
        <v>380</v>
      </c>
      <c r="E70" s="435" t="s">
        <v>185</v>
      </c>
      <c r="F70" s="210" t="s">
        <v>196</v>
      </c>
      <c r="G70" s="139">
        <v>1</v>
      </c>
      <c r="H70" s="139"/>
      <c r="I70" s="139"/>
      <c r="J70" s="139">
        <v>118</v>
      </c>
      <c r="K70" s="139">
        <v>118</v>
      </c>
      <c r="L70" s="210"/>
      <c r="M70" s="210"/>
      <c r="N70" s="210"/>
      <c r="O70" s="210"/>
      <c r="P70" s="184">
        <f>IF(Table_Shelter[[#This Row],[Status]]="Open",IF(V70="NO",Table_Shelter[[#This Row],[HH per Shelter]]*(Table_Shelter[[#This Row],['# of Temporary Shelter Units Built]]+Table_Shelter[[#This Row],['# of Temporary Shelter Under  Construction]]+Table_Shelter[[#This Row],['# of Permanent House Under Construction]]),0),0)</f>
        <v>0</v>
      </c>
      <c r="Q70" s="138"/>
      <c r="R70" s="138"/>
      <c r="S70" s="211" t="str">
        <f>IFERROR(VLOOKUP(Table_Shelter[[#This Row],[CampName]],CL,2,0),"")</f>
        <v>MMR001CMP121</v>
      </c>
      <c r="T70" s="211" t="str">
        <f>IFERROR(VLOOKUP(Table_Shelter[[#This Row],[CampName]],CL,3,0),"")</f>
        <v>Open</v>
      </c>
      <c r="U70" s="332">
        <f>IFERROR(Table_Shelter[[#This Row],[HH Covered]]/VLOOKUP(Table_Shelter[[#This Row],[CampName]],CL,4,0),"")</f>
        <v>0</v>
      </c>
      <c r="V70" s="552" t="s">
        <v>1309</v>
      </c>
      <c r="W70" s="333"/>
    </row>
    <row r="71" spans="1:23" ht="15" customHeight="1" x14ac:dyDescent="0.25">
      <c r="A71" s="335">
        <v>42416</v>
      </c>
      <c r="B71" s="211" t="s">
        <v>454</v>
      </c>
      <c r="C71" s="210" t="s">
        <v>508</v>
      </c>
      <c r="D71" s="210" t="s">
        <v>380</v>
      </c>
      <c r="E71" s="435" t="s">
        <v>185</v>
      </c>
      <c r="F71" s="210" t="s">
        <v>196</v>
      </c>
      <c r="G71" s="139">
        <v>1</v>
      </c>
      <c r="H71" s="139"/>
      <c r="I71" s="139"/>
      <c r="J71" s="139"/>
      <c r="K71" s="139"/>
      <c r="L71" s="210"/>
      <c r="M71" s="210"/>
      <c r="N71" s="210"/>
      <c r="O71" s="210"/>
      <c r="P71" s="184">
        <f>IF(Table_Shelter[[#This Row],[Status]]="Open",IF(V71="NO",Table_Shelter[[#This Row],[HH per Shelter]]*(Table_Shelter[[#This Row],['# of Temporary Shelter Units Built]]+Table_Shelter[[#This Row],['# of Temporary Shelter Under  Construction]]+Table_Shelter[[#This Row],['# of Permanent House Under Construction]]),0),0)</f>
        <v>0</v>
      </c>
      <c r="Q71" s="138">
        <v>220</v>
      </c>
      <c r="R71" s="138">
        <v>220</v>
      </c>
      <c r="S71" s="211" t="str">
        <f>IFERROR(VLOOKUP(Table_Shelter[[#This Row],[CampName]],CL,2,0),"")</f>
        <v>MMR001CMP121</v>
      </c>
      <c r="T71" s="211" t="str">
        <f>IFERROR(VLOOKUP(Table_Shelter[[#This Row],[CampName]],CL,3,0),"")</f>
        <v>Open</v>
      </c>
      <c r="U71" s="332">
        <f>IFERROR(Table_Shelter[[#This Row],[HH Covered]]/VLOOKUP(Table_Shelter[[#This Row],[CampName]],CL,4,0),"")</f>
        <v>0</v>
      </c>
      <c r="V71" s="552" t="s">
        <v>1310</v>
      </c>
      <c r="W71" s="333"/>
    </row>
    <row r="72" spans="1:23" ht="15" customHeight="1" x14ac:dyDescent="0.25">
      <c r="A72" s="334">
        <v>41974</v>
      </c>
      <c r="B72" s="210" t="s">
        <v>454</v>
      </c>
      <c r="C72" s="210" t="s">
        <v>508</v>
      </c>
      <c r="D72" s="210" t="s">
        <v>380</v>
      </c>
      <c r="E72" s="435" t="s">
        <v>185</v>
      </c>
      <c r="F72" s="210" t="s">
        <v>196</v>
      </c>
      <c r="G72" s="139">
        <v>1</v>
      </c>
      <c r="H72" s="139"/>
      <c r="I72" s="139"/>
      <c r="J72" s="139">
        <v>278</v>
      </c>
      <c r="K72" s="139">
        <v>278</v>
      </c>
      <c r="L72" s="210"/>
      <c r="M72" s="210"/>
      <c r="N72" s="210"/>
      <c r="O72" s="210"/>
      <c r="P72" s="184">
        <f>IF(Table_Shelter[[#This Row],[Status]]="Open",IF(V72="NO",Table_Shelter[[#This Row],[HH per Shelter]]*(Table_Shelter[[#This Row],['# of Temporary Shelter Units Built]]+Table_Shelter[[#This Row],['# of Temporary Shelter Under  Construction]]+Table_Shelter[[#This Row],['# of Permanent House Under Construction]]),0),0)</f>
        <v>278</v>
      </c>
      <c r="Q72" s="138"/>
      <c r="R72" s="210"/>
      <c r="S72" s="211" t="str">
        <f>IFERROR(VLOOKUP(Table_Shelter[[#This Row],[CampName]],CL,2,0),"")</f>
        <v>MMR001CMP121</v>
      </c>
      <c r="T72" s="211" t="str">
        <f>IFERROR(VLOOKUP(Table_Shelter[[#This Row],[CampName]],CL,3,0),"")</f>
        <v>Open</v>
      </c>
      <c r="U72" s="332">
        <f>IFERROR(Table_Shelter[[#This Row],[HH Covered]]/VLOOKUP(Table_Shelter[[#This Row],[CampName]],CL,4,0),"")</f>
        <v>0.16920267802799757</v>
      </c>
      <c r="V72" s="552" t="s">
        <v>1310</v>
      </c>
      <c r="W72" s="333"/>
    </row>
    <row r="73" spans="1:23" ht="15" customHeight="1" x14ac:dyDescent="0.25">
      <c r="A73" s="334"/>
      <c r="B73" s="210" t="s">
        <v>455</v>
      </c>
      <c r="C73" s="210" t="s">
        <v>508</v>
      </c>
      <c r="D73" s="213" t="s">
        <v>380</v>
      </c>
      <c r="E73" s="435" t="s">
        <v>185</v>
      </c>
      <c r="F73" s="210" t="s">
        <v>196</v>
      </c>
      <c r="G73" s="139">
        <v>1</v>
      </c>
      <c r="H73" s="139"/>
      <c r="I73" s="139"/>
      <c r="J73" s="139">
        <v>700</v>
      </c>
      <c r="K73" s="139">
        <v>700</v>
      </c>
      <c r="L73" s="210"/>
      <c r="M73" s="210"/>
      <c r="N73" s="210"/>
      <c r="O73" s="210"/>
      <c r="P73" s="184">
        <f>IF(Table_Shelter[[#This Row],[Status]]="Open",IF(V73="NO",Table_Shelter[[#This Row],[HH per Shelter]]*(Table_Shelter[[#This Row],['# of Temporary Shelter Units Built]]+Table_Shelter[[#This Row],['# of Temporary Shelter Under  Construction]]+Table_Shelter[[#This Row],['# of Permanent House Under Construction]]),0),0)</f>
        <v>700</v>
      </c>
      <c r="Q73" s="138"/>
      <c r="R73" s="210"/>
      <c r="S73" s="211" t="str">
        <f>IFERROR(VLOOKUP(Table_Shelter[[#This Row],[CampName]],CL,2,0),"")</f>
        <v>MMR001CMP121</v>
      </c>
      <c r="T73" s="211" t="str">
        <f>IFERROR(VLOOKUP(Table_Shelter[[#This Row],[CampName]],CL,3,0),"")</f>
        <v>Open</v>
      </c>
      <c r="U73" s="332">
        <f>IFERROR(Table_Shelter[[#This Row],[HH Covered]]/VLOOKUP(Table_Shelter[[#This Row],[CampName]],CL,4,0),"")</f>
        <v>0.426049908703591</v>
      </c>
      <c r="V73" s="552" t="s">
        <v>1310</v>
      </c>
      <c r="W73" s="333"/>
    </row>
    <row r="74" spans="1:23" ht="15" customHeight="1" x14ac:dyDescent="0.25">
      <c r="A74" s="334"/>
      <c r="B74" s="210" t="s">
        <v>454</v>
      </c>
      <c r="C74" s="210" t="s">
        <v>461</v>
      </c>
      <c r="D74" s="213" t="s">
        <v>380</v>
      </c>
      <c r="E74" s="435" t="s">
        <v>185</v>
      </c>
      <c r="F74" s="210" t="s">
        <v>196</v>
      </c>
      <c r="G74" s="139">
        <v>1</v>
      </c>
      <c r="H74" s="139"/>
      <c r="I74" s="139"/>
      <c r="J74" s="220">
        <v>217</v>
      </c>
      <c r="K74" s="220">
        <v>217</v>
      </c>
      <c r="L74" s="210"/>
      <c r="M74" s="210"/>
      <c r="N74" s="210"/>
      <c r="O74" s="210"/>
      <c r="P74" s="184">
        <f>IF(Table_Shelter[[#This Row],[Status]]="Open",IF(V74="NO",Table_Shelter[[#This Row],[HH per Shelter]]*(Table_Shelter[[#This Row],['# of Temporary Shelter Units Built]]+Table_Shelter[[#This Row],['# of Temporary Shelter Under  Construction]]+Table_Shelter[[#This Row],['# of Permanent House Under Construction]]),0),0)</f>
        <v>217</v>
      </c>
      <c r="Q74" s="138"/>
      <c r="R74" s="210"/>
      <c r="S74" s="211" t="str">
        <f>IFERROR(VLOOKUP(Table_Shelter[[#This Row],[CampName]],CL,2,0),"")</f>
        <v>MMR001CMP121</v>
      </c>
      <c r="T74" s="211" t="str">
        <f>IFERROR(VLOOKUP(Table_Shelter[[#This Row],[CampName]],CL,3,0),"")</f>
        <v>Open</v>
      </c>
      <c r="U74" s="332">
        <f>IFERROR(Table_Shelter[[#This Row],[HH Covered]]/VLOOKUP(Table_Shelter[[#This Row],[CampName]],CL,4,0),"")</f>
        <v>0.13207547169811321</v>
      </c>
      <c r="V74" s="552" t="s">
        <v>1310</v>
      </c>
      <c r="W74" s="333"/>
    </row>
    <row r="75" spans="1:23" ht="15" customHeight="1" x14ac:dyDescent="0.25">
      <c r="A75" s="334"/>
      <c r="B75" s="210" t="s">
        <v>1100</v>
      </c>
      <c r="C75" s="210" t="s">
        <v>947</v>
      </c>
      <c r="D75" s="213" t="s">
        <v>555</v>
      </c>
      <c r="E75" s="435" t="s">
        <v>146</v>
      </c>
      <c r="F75" s="210" t="s">
        <v>372</v>
      </c>
      <c r="G75" s="139">
        <v>1</v>
      </c>
      <c r="H75" s="139"/>
      <c r="I75" s="139"/>
      <c r="J75" s="139">
        <v>121</v>
      </c>
      <c r="K75" s="139">
        <v>121</v>
      </c>
      <c r="L75" s="210"/>
      <c r="M75" s="210"/>
      <c r="N75" s="210"/>
      <c r="O75" s="210"/>
      <c r="P75" s="184">
        <f>IF(Table_Shelter[[#This Row],[Status]]="Open",IF(V75="NO",Table_Shelter[[#This Row],[HH per Shelter]]*(Table_Shelter[[#This Row],['# of Temporary Shelter Units Built]]+Table_Shelter[[#This Row],['# of Temporary Shelter Under  Construction]]+Table_Shelter[[#This Row],['# of Permanent House Under Construction]]),0),0)</f>
        <v>121</v>
      </c>
      <c r="Q75" s="138"/>
      <c r="R75" s="210"/>
      <c r="S75" s="211" t="str">
        <f>IFERROR(VLOOKUP(Table_Shelter[[#This Row],[CampName]],CL,2,0),"")</f>
        <v>MMR015CMP015</v>
      </c>
      <c r="T75" s="211" t="str">
        <f>IFERROR(VLOOKUP(Table_Shelter[[#This Row],[CampName]],CL,3,0),"")</f>
        <v>Open</v>
      </c>
      <c r="U75" s="332">
        <f>IFERROR(Table_Shelter[[#This Row],[HH Covered]]/VLOOKUP(Table_Shelter[[#This Row],[CampName]],CL,4,0),"")</f>
        <v>1.375</v>
      </c>
      <c r="V75" s="552" t="s">
        <v>1310</v>
      </c>
      <c r="W75" s="333"/>
    </row>
    <row r="76" spans="1:23" ht="15" customHeight="1" x14ac:dyDescent="0.25">
      <c r="A76" s="603"/>
      <c r="B76" s="139" t="s">
        <v>454</v>
      </c>
      <c r="C76" s="139" t="s">
        <v>462</v>
      </c>
      <c r="D76" s="218" t="s">
        <v>380</v>
      </c>
      <c r="E76" s="219" t="s">
        <v>529</v>
      </c>
      <c r="F76" s="139" t="s">
        <v>1123</v>
      </c>
      <c r="G76" s="139">
        <v>1</v>
      </c>
      <c r="H76" s="143"/>
      <c r="I76" s="143"/>
      <c r="J76" s="143">
        <v>50</v>
      </c>
      <c r="K76" s="143">
        <v>50</v>
      </c>
      <c r="L76" s="143"/>
      <c r="M76" s="143"/>
      <c r="N76" s="143"/>
      <c r="O76" s="143"/>
      <c r="P76" s="142">
        <f>IF(Table_Shelter[[#This Row],[Status]]="Open",IF(V76="NO",Table_Shelter[[#This Row],[HH per Shelter]]*(Table_Shelter[[#This Row],['# of Temporary Shelter Units Built]]+Table_Shelter[[#This Row],['# of Temporary Shelter Under  Construction]]+Table_Shelter[[#This Row],['# of Permanent House Under Construction]]),0),0)</f>
        <v>50</v>
      </c>
      <c r="Q76" s="142"/>
      <c r="R76" s="142"/>
      <c r="S76" s="142" t="str">
        <f>IFERROR(VLOOKUP(Table_Shelter[[#This Row],[CampName]],CL,2,0),"")</f>
        <v>MMR001CMP231</v>
      </c>
      <c r="T76" s="142" t="str">
        <f>IFERROR(VLOOKUP(Table_Shelter[[#This Row],[CampName]],CL,3,0),"")</f>
        <v>Open</v>
      </c>
      <c r="U76" s="338">
        <f>IFERROR(Table_Shelter[[#This Row],[HH Covered]]/VLOOKUP(Table_Shelter[[#This Row],[CampName]],CL,4,0),"")</f>
        <v>1</v>
      </c>
      <c r="V76" s="552" t="s">
        <v>1310</v>
      </c>
      <c r="W76" s="336"/>
    </row>
    <row r="77" spans="1:23" ht="15" customHeight="1" x14ac:dyDescent="0.25">
      <c r="A77" s="334"/>
      <c r="B77" s="210" t="s">
        <v>848</v>
      </c>
      <c r="C77" s="210"/>
      <c r="D77" s="210" t="s">
        <v>555</v>
      </c>
      <c r="E77" s="435" t="s">
        <v>146</v>
      </c>
      <c r="F77" s="210" t="s">
        <v>369</v>
      </c>
      <c r="G77" s="139">
        <v>1</v>
      </c>
      <c r="H77" s="139"/>
      <c r="I77" s="139"/>
      <c r="J77" s="139">
        <v>80</v>
      </c>
      <c r="K77" s="139">
        <v>80</v>
      </c>
      <c r="L77" s="210"/>
      <c r="M77" s="210"/>
      <c r="N77" s="210"/>
      <c r="O77" s="210"/>
      <c r="P77" s="184">
        <f>IF(Table_Shelter[[#This Row],[Status]]="Open",IF(V77="NO",Table_Shelter[[#This Row],[HH per Shelter]]*(Table_Shelter[[#This Row],['# of Temporary Shelter Units Built]]+Table_Shelter[[#This Row],['# of Temporary Shelter Under  Construction]]+Table_Shelter[[#This Row],['# of Permanent House Under Construction]]),0),0)</f>
        <v>80</v>
      </c>
      <c r="Q77" s="138"/>
      <c r="R77" s="210"/>
      <c r="S77" s="211" t="str">
        <f>IFERROR(VLOOKUP(Table_Shelter[[#This Row],[CampName]],CL,2,0),"")</f>
        <v>MMR015CMP016</v>
      </c>
      <c r="T77" s="211" t="str">
        <f>IFERROR(VLOOKUP(Table_Shelter[[#This Row],[CampName]],CL,3,0),"")</f>
        <v>Open</v>
      </c>
      <c r="U77" s="332">
        <f>IFERROR(Table_Shelter[[#This Row],[HH Covered]]/VLOOKUP(Table_Shelter[[#This Row],[CampName]],CL,4,0),"")</f>
        <v>1.2698412698412698</v>
      </c>
      <c r="V77" s="552" t="s">
        <v>1310</v>
      </c>
      <c r="W77" s="333"/>
    </row>
    <row r="78" spans="1:23" ht="15" customHeight="1" x14ac:dyDescent="0.25">
      <c r="A78" s="603"/>
      <c r="B78" s="212" t="s">
        <v>848</v>
      </c>
      <c r="C78" s="212"/>
      <c r="D78" s="212" t="s">
        <v>555</v>
      </c>
      <c r="E78" s="217" t="s">
        <v>146</v>
      </c>
      <c r="F78" s="212" t="s">
        <v>370</v>
      </c>
      <c r="G78" s="143">
        <v>1</v>
      </c>
      <c r="H78" s="143"/>
      <c r="I78" s="143"/>
      <c r="J78" s="143">
        <v>48</v>
      </c>
      <c r="K78" s="143">
        <v>48</v>
      </c>
      <c r="L78" s="212"/>
      <c r="M78" s="212"/>
      <c r="N78" s="212"/>
      <c r="O78" s="212"/>
      <c r="P78" s="184">
        <f>IF(Table_Shelter[[#This Row],[Status]]="Open",IF(V78="NO",Table_Shelter[[#This Row],[HH per Shelter]]*(Table_Shelter[[#This Row],['# of Temporary Shelter Units Built]]+Table_Shelter[[#This Row],['# of Temporary Shelter Under  Construction]]+Table_Shelter[[#This Row],['# of Permanent House Under Construction]]),0),0)</f>
        <v>48</v>
      </c>
      <c r="Q78" s="142"/>
      <c r="R78" s="212"/>
      <c r="S78" s="211" t="str">
        <f>IFERROR(VLOOKUP(Table_Shelter[[#This Row],[CampName]],CL,2,0),"")</f>
        <v>MMR015CMP017</v>
      </c>
      <c r="T78" s="211" t="str">
        <f>IFERROR(VLOOKUP(Table_Shelter[[#This Row],[CampName]],CL,3,0),"")</f>
        <v>Open</v>
      </c>
      <c r="U78" s="332">
        <f>IFERROR(Table_Shelter[[#This Row],[HH Covered]]/VLOOKUP(Table_Shelter[[#This Row],[CampName]],CL,4,0),"")</f>
        <v>1.5483870967741935</v>
      </c>
      <c r="V78" s="552" t="s">
        <v>1310</v>
      </c>
      <c r="W78" s="333"/>
    </row>
    <row r="79" spans="1:23" ht="15" customHeight="1" x14ac:dyDescent="0.25">
      <c r="A79" s="334"/>
      <c r="B79" s="210" t="s">
        <v>454</v>
      </c>
      <c r="C79" s="210" t="s">
        <v>462</v>
      </c>
      <c r="D79" s="210" t="s">
        <v>380</v>
      </c>
      <c r="E79" s="435" t="s">
        <v>237</v>
      </c>
      <c r="F79" s="210" t="s">
        <v>257</v>
      </c>
      <c r="G79" s="139">
        <v>1</v>
      </c>
      <c r="H79" s="139"/>
      <c r="I79" s="139"/>
      <c r="J79" s="139">
        <v>5</v>
      </c>
      <c r="K79" s="139">
        <v>5</v>
      </c>
      <c r="L79" s="210"/>
      <c r="M79" s="210"/>
      <c r="N79" s="210"/>
      <c r="O79" s="210"/>
      <c r="P79" s="184">
        <f>IF(Table_Shelter[[#This Row],[Status]]="Open",IF(V79="NO",Table_Shelter[[#This Row],[HH per Shelter]]*(Table_Shelter[[#This Row],['# of Temporary Shelter Units Built]]+Table_Shelter[[#This Row],['# of Temporary Shelter Under  Construction]]+Table_Shelter[[#This Row],['# of Permanent House Under Construction]]),0),0)</f>
        <v>5</v>
      </c>
      <c r="Q79" s="138"/>
      <c r="R79" s="210"/>
      <c r="S79" s="211" t="str">
        <f>IFERROR(VLOOKUP(Table_Shelter[[#This Row],[CampName]],CL,2,0),"")</f>
        <v>MMR001CMP013</v>
      </c>
      <c r="T79" s="211" t="str">
        <f>IFERROR(VLOOKUP(Table_Shelter[[#This Row],[CampName]],CL,3,0),"")</f>
        <v>Open</v>
      </c>
      <c r="U79" s="332">
        <f>IFERROR(Table_Shelter[[#This Row],[HH Covered]]/VLOOKUP(Table_Shelter[[#This Row],[CampName]],CL,4,0),"")</f>
        <v>0.11363636363636363</v>
      </c>
      <c r="V79" s="552" t="s">
        <v>1310</v>
      </c>
      <c r="W79" s="333"/>
    </row>
    <row r="80" spans="1:23" ht="15" customHeight="1" x14ac:dyDescent="0.25">
      <c r="A80" s="334"/>
      <c r="B80" s="210" t="s">
        <v>454</v>
      </c>
      <c r="C80" s="210" t="s">
        <v>462</v>
      </c>
      <c r="D80" s="210" t="s">
        <v>380</v>
      </c>
      <c r="E80" s="435" t="s">
        <v>173</v>
      </c>
      <c r="F80" s="210" t="s">
        <v>174</v>
      </c>
      <c r="G80" s="139">
        <v>1</v>
      </c>
      <c r="H80" s="139"/>
      <c r="I80" s="139"/>
      <c r="J80" s="139">
        <v>15</v>
      </c>
      <c r="K80" s="139">
        <v>15</v>
      </c>
      <c r="L80" s="210"/>
      <c r="M80" s="210"/>
      <c r="N80" s="210"/>
      <c r="O80" s="210"/>
      <c r="P80" s="184">
        <f>IF(Table_Shelter[[#This Row],[Status]]="Open",IF(V80="NO",Table_Shelter[[#This Row],[HH per Shelter]]*(Table_Shelter[[#This Row],['# of Temporary Shelter Units Built]]+Table_Shelter[[#This Row],['# of Temporary Shelter Under  Construction]]+Table_Shelter[[#This Row],['# of Permanent House Under Construction]]),0),0)</f>
        <v>15</v>
      </c>
      <c r="Q80" s="138"/>
      <c r="R80" s="210"/>
      <c r="S80" s="211" t="str">
        <f>IFERROR(VLOOKUP(Table_Shelter[[#This Row],[CampName]],CL,2,0),"")</f>
        <v>MMR001CMP078</v>
      </c>
      <c r="T80" s="211" t="str">
        <f>IFERROR(VLOOKUP(Table_Shelter[[#This Row],[CampName]],CL,3,0),"")</f>
        <v>Open</v>
      </c>
      <c r="U80" s="332">
        <f>IFERROR(Table_Shelter[[#This Row],[HH Covered]]/VLOOKUP(Table_Shelter[[#This Row],[CampName]],CL,4,0),"")</f>
        <v>1.1538461538461537</v>
      </c>
      <c r="V80" s="552" t="s">
        <v>1310</v>
      </c>
      <c r="W80" s="333"/>
    </row>
    <row r="81" spans="1:23" ht="15" customHeight="1" x14ac:dyDescent="0.25">
      <c r="A81" s="334">
        <v>41609</v>
      </c>
      <c r="B81" s="210" t="s">
        <v>454</v>
      </c>
      <c r="C81" s="210" t="s">
        <v>461</v>
      </c>
      <c r="D81" s="210" t="s">
        <v>380</v>
      </c>
      <c r="E81" s="435" t="s">
        <v>151</v>
      </c>
      <c r="F81" s="210" t="s">
        <v>518</v>
      </c>
      <c r="G81" s="139">
        <v>1</v>
      </c>
      <c r="H81" s="139"/>
      <c r="I81" s="139"/>
      <c r="J81" s="139">
        <v>60</v>
      </c>
      <c r="K81" s="139">
        <v>60</v>
      </c>
      <c r="L81" s="210"/>
      <c r="M81" s="210"/>
      <c r="N81" s="210"/>
      <c r="O81" s="210"/>
      <c r="P81" s="184">
        <f>IF(Table_Shelter[[#This Row],[Status]]="Open",IF(V81="NO",Table_Shelter[[#This Row],[HH per Shelter]]*(Table_Shelter[[#This Row],['# of Temporary Shelter Units Built]]+Table_Shelter[[#This Row],['# of Temporary Shelter Under  Construction]]+Table_Shelter[[#This Row],['# of Permanent House Under Construction]]),0),0)</f>
        <v>0</v>
      </c>
      <c r="Q81" s="138"/>
      <c r="R81" s="210"/>
      <c r="S81" s="211" t="str">
        <f>IFERROR(VLOOKUP(Table_Shelter[[#This Row],[CampName]],CL,2,0),"")</f>
        <v>MMR001CMP202</v>
      </c>
      <c r="T81" s="211" t="str">
        <f>IFERROR(VLOOKUP(Table_Shelter[[#This Row],[CampName]],CL,3,0),"")</f>
        <v>Closed</v>
      </c>
      <c r="U81" s="332" t="str">
        <f>IFERROR(Table_Shelter[[#This Row],[HH Covered]]/VLOOKUP(Table_Shelter[[#This Row],[CampName]],CL,4,0),"")</f>
        <v/>
      </c>
      <c r="V81" s="552" t="s">
        <v>1310</v>
      </c>
      <c r="W81" s="333"/>
    </row>
    <row r="82" spans="1:23" ht="15" customHeight="1" x14ac:dyDescent="0.25">
      <c r="A82" s="334"/>
      <c r="B82" s="210" t="s">
        <v>594</v>
      </c>
      <c r="C82" s="210" t="s">
        <v>461</v>
      </c>
      <c r="D82" s="210" t="s">
        <v>380</v>
      </c>
      <c r="E82" s="435" t="s">
        <v>151</v>
      </c>
      <c r="F82" s="210" t="s">
        <v>518</v>
      </c>
      <c r="G82" s="139">
        <v>1</v>
      </c>
      <c r="H82" s="139"/>
      <c r="I82" s="139"/>
      <c r="J82" s="139">
        <v>100</v>
      </c>
      <c r="K82" s="139">
        <v>100</v>
      </c>
      <c r="L82" s="210"/>
      <c r="M82" s="210"/>
      <c r="N82" s="210"/>
      <c r="O82" s="210"/>
      <c r="P82" s="184">
        <f>IF(Table_Shelter[[#This Row],[Status]]="Open",IF(V82="NO",Table_Shelter[[#This Row],[HH per Shelter]]*(Table_Shelter[[#This Row],['# of Temporary Shelter Units Built]]+Table_Shelter[[#This Row],['# of Temporary Shelter Under  Construction]]+Table_Shelter[[#This Row],['# of Permanent House Under Construction]]),0),0)</f>
        <v>0</v>
      </c>
      <c r="Q82" s="138"/>
      <c r="R82" s="210"/>
      <c r="S82" s="211" t="str">
        <f>IFERROR(VLOOKUP(Table_Shelter[[#This Row],[CampName]],CL,2,0),"")</f>
        <v>MMR001CMP202</v>
      </c>
      <c r="T82" s="211" t="str">
        <f>IFERROR(VLOOKUP(Table_Shelter[[#This Row],[CampName]],CL,3,0),"")</f>
        <v>Closed</v>
      </c>
      <c r="U82" s="332" t="str">
        <f>IFERROR(Table_Shelter[[#This Row],[HH Covered]]/VLOOKUP(Table_Shelter[[#This Row],[CampName]],CL,4,0),"")</f>
        <v/>
      </c>
      <c r="V82" s="552" t="s">
        <v>1310</v>
      </c>
      <c r="W82" s="333"/>
    </row>
    <row r="83" spans="1:23" ht="15" customHeight="1" x14ac:dyDescent="0.25">
      <c r="A83" s="334">
        <v>41974</v>
      </c>
      <c r="B83" s="210" t="s">
        <v>454</v>
      </c>
      <c r="C83" s="210" t="s">
        <v>462</v>
      </c>
      <c r="D83" s="210" t="s">
        <v>380</v>
      </c>
      <c r="E83" s="435" t="s">
        <v>151</v>
      </c>
      <c r="F83" s="210" t="s">
        <v>198</v>
      </c>
      <c r="G83" s="139">
        <v>1</v>
      </c>
      <c r="H83" s="139"/>
      <c r="I83" s="139"/>
      <c r="J83" s="139">
        <v>118</v>
      </c>
      <c r="K83" s="139">
        <v>118</v>
      </c>
      <c r="L83" s="210"/>
      <c r="M83" s="210"/>
      <c r="N83" s="210"/>
      <c r="O83" s="210"/>
      <c r="P83" s="184">
        <f>IF(Table_Shelter[[#This Row],[Status]]="Open",IF(V83="NO",Table_Shelter[[#This Row],[HH per Shelter]]*(Table_Shelter[[#This Row],['# of Temporary Shelter Units Built]]+Table_Shelter[[#This Row],['# of Temporary Shelter Under  Construction]]+Table_Shelter[[#This Row],['# of Permanent House Under Construction]]),0),0)</f>
        <v>118</v>
      </c>
      <c r="Q83" s="138"/>
      <c r="R83" s="210"/>
      <c r="S83" s="211" t="str">
        <f>IFERROR(VLOOKUP(Table_Shelter[[#This Row],[CampName]],CL,2,0),"")</f>
        <v>MMR001CMP128</v>
      </c>
      <c r="T83" s="211" t="str">
        <f>IFERROR(VLOOKUP(Table_Shelter[[#This Row],[CampName]],CL,3,0),"")</f>
        <v>Open</v>
      </c>
      <c r="U83" s="332">
        <f>IFERROR(Table_Shelter[[#This Row],[HH Covered]]/VLOOKUP(Table_Shelter[[#This Row],[CampName]],CL,4,0),"")</f>
        <v>0.21651376146788992</v>
      </c>
      <c r="V83" s="552" t="s">
        <v>1310</v>
      </c>
      <c r="W83" s="333"/>
    </row>
    <row r="84" spans="1:23" ht="15" customHeight="1" x14ac:dyDescent="0.25">
      <c r="A84" s="334"/>
      <c r="B84" s="210" t="s">
        <v>574</v>
      </c>
      <c r="C84" s="210"/>
      <c r="D84" s="210" t="s">
        <v>380</v>
      </c>
      <c r="E84" s="435" t="s">
        <v>151</v>
      </c>
      <c r="F84" s="210" t="s">
        <v>198</v>
      </c>
      <c r="G84" s="139">
        <v>1</v>
      </c>
      <c r="H84" s="139"/>
      <c r="I84" s="139"/>
      <c r="J84" s="139">
        <v>26</v>
      </c>
      <c r="K84" s="139">
        <v>26</v>
      </c>
      <c r="L84" s="210"/>
      <c r="M84" s="210"/>
      <c r="N84" s="210"/>
      <c r="O84" s="210"/>
      <c r="P84" s="184">
        <f>IF(Table_Shelter[[#This Row],[Status]]="Open",IF(V84="NO",Table_Shelter[[#This Row],[HH per Shelter]]*(Table_Shelter[[#This Row],['# of Temporary Shelter Units Built]]+Table_Shelter[[#This Row],['# of Temporary Shelter Under  Construction]]+Table_Shelter[[#This Row],['# of Permanent House Under Construction]]),0),0)</f>
        <v>26</v>
      </c>
      <c r="Q84" s="138"/>
      <c r="R84" s="210"/>
      <c r="S84" s="211" t="str">
        <f>IFERROR(VLOOKUP(Table_Shelter[[#This Row],[CampName]],CL,2,0),"")</f>
        <v>MMR001CMP128</v>
      </c>
      <c r="T84" s="211" t="str">
        <f>IFERROR(VLOOKUP(Table_Shelter[[#This Row],[CampName]],CL,3,0),"")</f>
        <v>Open</v>
      </c>
      <c r="U84" s="332">
        <f>IFERROR(Table_Shelter[[#This Row],[HH Covered]]/VLOOKUP(Table_Shelter[[#This Row],[CampName]],CL,4,0),"")</f>
        <v>4.7706422018348627E-2</v>
      </c>
      <c r="V84" s="552" t="s">
        <v>1310</v>
      </c>
      <c r="W84" s="333"/>
    </row>
    <row r="85" spans="1:23" ht="15" customHeight="1" x14ac:dyDescent="0.25">
      <c r="A85" s="334"/>
      <c r="B85" s="210" t="s">
        <v>454</v>
      </c>
      <c r="C85" s="210" t="s">
        <v>461</v>
      </c>
      <c r="D85" s="210" t="s">
        <v>380</v>
      </c>
      <c r="E85" s="435" t="s">
        <v>151</v>
      </c>
      <c r="F85" s="210" t="s">
        <v>198</v>
      </c>
      <c r="G85" s="139">
        <v>1</v>
      </c>
      <c r="H85" s="139"/>
      <c r="I85" s="139"/>
      <c r="J85" s="139">
        <v>350</v>
      </c>
      <c r="K85" s="139">
        <v>350</v>
      </c>
      <c r="L85" s="210"/>
      <c r="M85" s="210"/>
      <c r="N85" s="210"/>
      <c r="O85" s="210"/>
      <c r="P85" s="184">
        <f>IF(Table_Shelter[[#This Row],[Status]]="Open",IF(V85="NO",Table_Shelter[[#This Row],[HH per Shelter]]*(Table_Shelter[[#This Row],['# of Temporary Shelter Units Built]]+Table_Shelter[[#This Row],['# of Temporary Shelter Under  Construction]]+Table_Shelter[[#This Row],['# of Permanent House Under Construction]]),0),0)</f>
        <v>350</v>
      </c>
      <c r="Q85" s="138"/>
      <c r="R85" s="210"/>
      <c r="S85" s="211" t="str">
        <f>IFERROR(VLOOKUP(Table_Shelter[[#This Row],[CampName]],CL,2,0),"")</f>
        <v>MMR001CMP128</v>
      </c>
      <c r="T85" s="211" t="str">
        <f>IFERROR(VLOOKUP(Table_Shelter[[#This Row],[CampName]],CL,3,0),"")</f>
        <v>Open</v>
      </c>
      <c r="U85" s="332">
        <f>IFERROR(Table_Shelter[[#This Row],[HH Covered]]/VLOOKUP(Table_Shelter[[#This Row],[CampName]],CL,4,0),"")</f>
        <v>0.64220183486238536</v>
      </c>
      <c r="V85" s="552" t="s">
        <v>1310</v>
      </c>
      <c r="W85" s="333"/>
    </row>
    <row r="86" spans="1:23" ht="15" customHeight="1" x14ac:dyDescent="0.25">
      <c r="A86" s="334"/>
      <c r="B86" s="210" t="s">
        <v>454</v>
      </c>
      <c r="C86" s="210"/>
      <c r="D86" s="210" t="s">
        <v>380</v>
      </c>
      <c r="E86" s="215" t="s">
        <v>151</v>
      </c>
      <c r="F86" s="210" t="s">
        <v>198</v>
      </c>
      <c r="G86" s="139">
        <v>1</v>
      </c>
      <c r="H86" s="139"/>
      <c r="I86" s="139"/>
      <c r="J86" s="139">
        <v>150</v>
      </c>
      <c r="K86" s="139"/>
      <c r="L86" s="210"/>
      <c r="M86" s="210"/>
      <c r="N86" s="210"/>
      <c r="O86" s="210"/>
      <c r="P86" s="184">
        <f>IF(Table_Shelter[[#This Row],[Status]]="Open",IF(V86="NO",Table_Shelter[[#This Row],[HH per Shelter]]*(Table_Shelter[[#This Row],['# of Temporary Shelter Units Built]]+Table_Shelter[[#This Row],['# of Temporary Shelter Under  Construction]]+Table_Shelter[[#This Row],['# of Permanent House Under Construction]]),0),0)</f>
        <v>0</v>
      </c>
      <c r="Q86" s="138"/>
      <c r="R86" s="210"/>
      <c r="S86" s="211" t="str">
        <f>IFERROR(VLOOKUP(Table_Shelter[[#This Row],[CampName]],CL,2,0),"")</f>
        <v>MMR001CMP128</v>
      </c>
      <c r="T86" s="211" t="str">
        <f>IFERROR(VLOOKUP(Table_Shelter[[#This Row],[CampName]],CL,3,0),"")</f>
        <v>Open</v>
      </c>
      <c r="U86" s="332">
        <f>IFERROR(Table_Shelter[[#This Row],[HH Covered]]/VLOOKUP(Table_Shelter[[#This Row],[CampName]],CL,4,0),"")</f>
        <v>0</v>
      </c>
      <c r="V86" s="552" t="s">
        <v>1310</v>
      </c>
      <c r="W86" s="333"/>
    </row>
    <row r="87" spans="1:23" ht="15" customHeight="1" x14ac:dyDescent="0.25">
      <c r="A87" s="334"/>
      <c r="B87" s="210" t="s">
        <v>849</v>
      </c>
      <c r="C87" s="210" t="s">
        <v>462</v>
      </c>
      <c r="D87" s="213" t="s">
        <v>380</v>
      </c>
      <c r="E87" s="435" t="s">
        <v>237</v>
      </c>
      <c r="F87" s="210" t="s">
        <v>240</v>
      </c>
      <c r="G87" s="139">
        <v>1</v>
      </c>
      <c r="H87" s="139"/>
      <c r="I87" s="139"/>
      <c r="J87" s="139">
        <v>9</v>
      </c>
      <c r="K87" s="139">
        <v>9</v>
      </c>
      <c r="L87" s="210"/>
      <c r="M87" s="210"/>
      <c r="N87" s="210"/>
      <c r="O87" s="210"/>
      <c r="P87" s="184">
        <f>IF(Table_Shelter[[#This Row],[Status]]="Open",IF(V87="NO",Table_Shelter[[#This Row],[HH per Shelter]]*(Table_Shelter[[#This Row],['# of Temporary Shelter Units Built]]+Table_Shelter[[#This Row],['# of Temporary Shelter Under  Construction]]+Table_Shelter[[#This Row],['# of Permanent House Under Construction]]),0),0)</f>
        <v>9</v>
      </c>
      <c r="Q87" s="138"/>
      <c r="R87" s="210"/>
      <c r="S87" s="211" t="str">
        <f>IFERROR(VLOOKUP(Table_Shelter[[#This Row],[CampName]],CL,2,0),"")</f>
        <v>MMR001CMP015</v>
      </c>
      <c r="T87" s="211" t="str">
        <f>IFERROR(VLOOKUP(Table_Shelter[[#This Row],[CampName]],CL,3,0),"")</f>
        <v>Open</v>
      </c>
      <c r="U87" s="332">
        <f>IFERROR(Table_Shelter[[#This Row],[HH Covered]]/VLOOKUP(Table_Shelter[[#This Row],[CampName]],CL,4,0),"")</f>
        <v>9.375E-2</v>
      </c>
      <c r="V87" s="552" t="s">
        <v>1310</v>
      </c>
      <c r="W87" s="333"/>
    </row>
    <row r="88" spans="1:23" ht="15" customHeight="1" x14ac:dyDescent="0.25">
      <c r="A88" s="334"/>
      <c r="B88" s="210" t="s">
        <v>572</v>
      </c>
      <c r="C88" s="210" t="s">
        <v>462</v>
      </c>
      <c r="D88" s="210" t="s">
        <v>380</v>
      </c>
      <c r="E88" s="435" t="s">
        <v>237</v>
      </c>
      <c r="F88" s="210" t="s">
        <v>240</v>
      </c>
      <c r="G88" s="139">
        <v>1</v>
      </c>
      <c r="H88" s="139"/>
      <c r="I88" s="139"/>
      <c r="J88" s="139">
        <v>5</v>
      </c>
      <c r="K88" s="139">
        <v>5</v>
      </c>
      <c r="L88" s="210"/>
      <c r="M88" s="210"/>
      <c r="N88" s="210"/>
      <c r="O88" s="210"/>
      <c r="P88" s="184">
        <f>IF(Table_Shelter[[#This Row],[Status]]="Open",IF(V88="NO",Table_Shelter[[#This Row],[HH per Shelter]]*(Table_Shelter[[#This Row],['# of Temporary Shelter Units Built]]+Table_Shelter[[#This Row],['# of Temporary Shelter Under  Construction]]+Table_Shelter[[#This Row],['# of Permanent House Under Construction]]),0),0)</f>
        <v>5</v>
      </c>
      <c r="Q88" s="138"/>
      <c r="R88" s="210"/>
      <c r="S88" s="211" t="str">
        <f>IFERROR(VLOOKUP(Table_Shelter[[#This Row],[CampName]],CL,2,0),"")</f>
        <v>MMR001CMP015</v>
      </c>
      <c r="T88" s="211" t="str">
        <f>IFERROR(VLOOKUP(Table_Shelter[[#This Row],[CampName]],CL,3,0),"")</f>
        <v>Open</v>
      </c>
      <c r="U88" s="332">
        <f>IFERROR(Table_Shelter[[#This Row],[HH Covered]]/VLOOKUP(Table_Shelter[[#This Row],[CampName]],CL,4,0),"")</f>
        <v>5.2083333333333336E-2</v>
      </c>
      <c r="V88" s="552" t="s">
        <v>1310</v>
      </c>
      <c r="W88" s="333"/>
    </row>
    <row r="89" spans="1:23" ht="15" customHeight="1" x14ac:dyDescent="0.25">
      <c r="A89" s="334"/>
      <c r="B89" s="210" t="s">
        <v>454</v>
      </c>
      <c r="C89" s="210" t="s">
        <v>462</v>
      </c>
      <c r="D89" s="210" t="s">
        <v>380</v>
      </c>
      <c r="E89" s="435" t="s">
        <v>237</v>
      </c>
      <c r="F89" s="210" t="s">
        <v>240</v>
      </c>
      <c r="G89" s="139">
        <v>1</v>
      </c>
      <c r="H89" s="139"/>
      <c r="I89" s="139"/>
      <c r="J89" s="139">
        <v>10</v>
      </c>
      <c r="K89" s="139">
        <v>10</v>
      </c>
      <c r="L89" s="210"/>
      <c r="M89" s="210"/>
      <c r="N89" s="210"/>
      <c r="O89" s="210"/>
      <c r="P89" s="184">
        <f>IF(Table_Shelter[[#This Row],[Status]]="Open",IF(V89="NO",Table_Shelter[[#This Row],[HH per Shelter]]*(Table_Shelter[[#This Row],['# of Temporary Shelter Units Built]]+Table_Shelter[[#This Row],['# of Temporary Shelter Under  Construction]]+Table_Shelter[[#This Row],['# of Permanent House Under Construction]]),0),0)</f>
        <v>10</v>
      </c>
      <c r="Q89" s="138"/>
      <c r="R89" s="210"/>
      <c r="S89" s="211" t="str">
        <f>IFERROR(VLOOKUP(Table_Shelter[[#This Row],[CampName]],CL,2,0),"")</f>
        <v>MMR001CMP015</v>
      </c>
      <c r="T89" s="211" t="str">
        <f>IFERROR(VLOOKUP(Table_Shelter[[#This Row],[CampName]],CL,3,0),"")</f>
        <v>Open</v>
      </c>
      <c r="U89" s="332">
        <f>IFERROR(Table_Shelter[[#This Row],[HH Covered]]/VLOOKUP(Table_Shelter[[#This Row],[CampName]],CL,4,0),"")</f>
        <v>0.10416666666666667</v>
      </c>
      <c r="V89" s="552" t="s">
        <v>1310</v>
      </c>
      <c r="W89" s="333"/>
    </row>
    <row r="90" spans="1:23" ht="15" customHeight="1" x14ac:dyDescent="0.25">
      <c r="A90" s="603">
        <v>42416</v>
      </c>
      <c r="B90" s="210" t="s">
        <v>454</v>
      </c>
      <c r="C90" s="210" t="s">
        <v>462</v>
      </c>
      <c r="D90" s="210" t="s">
        <v>380</v>
      </c>
      <c r="E90" s="435" t="s">
        <v>237</v>
      </c>
      <c r="F90" s="600" t="s">
        <v>285</v>
      </c>
      <c r="G90" s="139">
        <v>1</v>
      </c>
      <c r="H90" s="139"/>
      <c r="I90" s="139"/>
      <c r="J90" s="139"/>
      <c r="K90" s="139"/>
      <c r="L90" s="210"/>
      <c r="M90" s="210"/>
      <c r="N90" s="210"/>
      <c r="O90" s="210"/>
      <c r="P90" s="184">
        <f>IF(Table_Shelter[[#This Row],[Status]]="Open",IF(V90="NO",Table_Shelter[[#This Row],[HH per Shelter]]*(Table_Shelter[[#This Row],['# of Temporary Shelter Units Built]]+Table_Shelter[[#This Row],['# of Temporary Shelter Under  Construction]]+Table_Shelter[[#This Row],['# of Permanent House Under Construction]]),0),0)</f>
        <v>0</v>
      </c>
      <c r="Q90" s="138">
        <v>5</v>
      </c>
      <c r="R90" s="138">
        <v>5</v>
      </c>
      <c r="S90" s="211" t="str">
        <f>IFERROR(VLOOKUP(Table_Shelter[[#This Row],[CampName]],CL,2,0),"")</f>
        <v>MMR001CMP014</v>
      </c>
      <c r="T90" s="211" t="str">
        <f>IFERROR(VLOOKUP(Table_Shelter[[#This Row],[CampName]],CL,3,0),"")</f>
        <v>Open</v>
      </c>
      <c r="U90" s="332">
        <f>IFERROR(Table_Shelter[[#This Row],[HH Covered]]/VLOOKUP(Table_Shelter[[#This Row],[CampName]],CL,4,0),"")</f>
        <v>0</v>
      </c>
      <c r="V90" s="333" t="s">
        <v>1310</v>
      </c>
      <c r="W90" s="594"/>
    </row>
    <row r="91" spans="1:23" ht="15" customHeight="1" x14ac:dyDescent="0.25">
      <c r="A91" s="334"/>
      <c r="B91" s="210" t="s">
        <v>572</v>
      </c>
      <c r="C91" s="210" t="s">
        <v>462</v>
      </c>
      <c r="D91" s="210" t="s">
        <v>380</v>
      </c>
      <c r="E91" s="215" t="s">
        <v>237</v>
      </c>
      <c r="F91" s="210" t="s">
        <v>285</v>
      </c>
      <c r="G91" s="139">
        <v>1</v>
      </c>
      <c r="H91" s="139"/>
      <c r="I91" s="139"/>
      <c r="J91" s="139">
        <v>60</v>
      </c>
      <c r="K91" s="220">
        <v>60</v>
      </c>
      <c r="L91" s="210"/>
      <c r="M91" s="210"/>
      <c r="N91" s="210"/>
      <c r="O91" s="210"/>
      <c r="P91" s="184">
        <f>IF(Table_Shelter[[#This Row],[Status]]="Open",IF(V91="NO",Table_Shelter[[#This Row],[HH per Shelter]]*(Table_Shelter[[#This Row],['# of Temporary Shelter Units Built]]+Table_Shelter[[#This Row],['# of Temporary Shelter Under  Construction]]+Table_Shelter[[#This Row],['# of Permanent House Under Construction]]),0),0)</f>
        <v>60</v>
      </c>
      <c r="Q91" s="138"/>
      <c r="R91" s="210"/>
      <c r="S91" s="211" t="str">
        <f>IFERROR(VLOOKUP(Table_Shelter[[#This Row],[CampName]],CL,2,0),"")</f>
        <v>MMR001CMP014</v>
      </c>
      <c r="T91" s="211" t="str">
        <f>IFERROR(VLOOKUP(Table_Shelter[[#This Row],[CampName]],CL,3,0),"")</f>
        <v>Open</v>
      </c>
      <c r="U91" s="332">
        <f>IFERROR(Table_Shelter[[#This Row],[HH Covered]]/VLOOKUP(Table_Shelter[[#This Row],[CampName]],CL,4,0),"")</f>
        <v>0.43478260869565216</v>
      </c>
      <c r="V91" s="552" t="s">
        <v>1310</v>
      </c>
      <c r="W91" s="333"/>
    </row>
    <row r="92" spans="1:23" ht="15" customHeight="1" x14ac:dyDescent="0.25">
      <c r="A92" s="334"/>
      <c r="B92" s="210" t="s">
        <v>454</v>
      </c>
      <c r="C92" s="210" t="s">
        <v>462</v>
      </c>
      <c r="D92" s="210" t="s">
        <v>380</v>
      </c>
      <c r="E92" s="215" t="s">
        <v>237</v>
      </c>
      <c r="F92" s="210" t="s">
        <v>285</v>
      </c>
      <c r="G92" s="139">
        <v>1</v>
      </c>
      <c r="H92" s="139"/>
      <c r="I92" s="139"/>
      <c r="J92" s="139">
        <v>60</v>
      </c>
      <c r="K92" s="139">
        <v>60</v>
      </c>
      <c r="L92" s="210"/>
      <c r="M92" s="210"/>
      <c r="N92" s="210"/>
      <c r="O92" s="210"/>
      <c r="P92" s="184">
        <f>IF(Table_Shelter[[#This Row],[Status]]="Open",IF(V92="NO",Table_Shelter[[#This Row],[HH per Shelter]]*(Table_Shelter[[#This Row],['# of Temporary Shelter Units Built]]+Table_Shelter[[#This Row],['# of Temporary Shelter Under  Construction]]+Table_Shelter[[#This Row],['# of Permanent House Under Construction]]),0),0)</f>
        <v>60</v>
      </c>
      <c r="Q92" s="138"/>
      <c r="R92" s="210"/>
      <c r="S92" s="211" t="str">
        <f>IFERROR(VLOOKUP(Table_Shelter[[#This Row],[CampName]],CL,2,0),"")</f>
        <v>MMR001CMP014</v>
      </c>
      <c r="T92" s="211" t="str">
        <f>IFERROR(VLOOKUP(Table_Shelter[[#This Row],[CampName]],CL,3,0),"")</f>
        <v>Open</v>
      </c>
      <c r="U92" s="332">
        <f>IFERROR(Table_Shelter[[#This Row],[HH Covered]]/VLOOKUP(Table_Shelter[[#This Row],[CampName]],CL,4,0),"")</f>
        <v>0.43478260869565216</v>
      </c>
      <c r="V92" s="552" t="s">
        <v>1310</v>
      </c>
      <c r="W92" s="333"/>
    </row>
    <row r="93" spans="1:23" ht="15" customHeight="1" x14ac:dyDescent="0.25">
      <c r="A93" s="334"/>
      <c r="B93" s="210" t="s">
        <v>454</v>
      </c>
      <c r="C93" s="210"/>
      <c r="D93" s="210" t="s">
        <v>380</v>
      </c>
      <c r="E93" s="435" t="s">
        <v>237</v>
      </c>
      <c r="F93" s="210" t="s">
        <v>285</v>
      </c>
      <c r="G93" s="139">
        <v>1</v>
      </c>
      <c r="H93" s="139"/>
      <c r="I93" s="139"/>
      <c r="J93" s="139">
        <v>5</v>
      </c>
      <c r="K93" s="139">
        <v>5</v>
      </c>
      <c r="L93" s="210"/>
      <c r="M93" s="210"/>
      <c r="N93" s="210"/>
      <c r="O93" s="210"/>
      <c r="P93" s="184">
        <f>IF(Table_Shelter[[#This Row],[Status]]="Open",IF(V93="NO",Table_Shelter[[#This Row],[HH per Shelter]]*(Table_Shelter[[#This Row],['# of Temporary Shelter Units Built]]+Table_Shelter[[#This Row],['# of Temporary Shelter Under  Construction]]+Table_Shelter[[#This Row],['# of Permanent House Under Construction]]),0),0)</f>
        <v>5</v>
      </c>
      <c r="Q93" s="138"/>
      <c r="R93" s="210"/>
      <c r="S93" s="211" t="str">
        <f>IFERROR(VLOOKUP(Table_Shelter[[#This Row],[CampName]],CL,2,0),"")</f>
        <v>MMR001CMP014</v>
      </c>
      <c r="T93" s="211" t="str">
        <f>IFERROR(VLOOKUP(Table_Shelter[[#This Row],[CampName]],CL,3,0),"")</f>
        <v>Open</v>
      </c>
      <c r="U93" s="332">
        <f>IFERROR(Table_Shelter[[#This Row],[HH Covered]]/VLOOKUP(Table_Shelter[[#This Row],[CampName]],CL,4,0),"")</f>
        <v>3.6231884057971016E-2</v>
      </c>
      <c r="V93" s="552" t="s">
        <v>1310</v>
      </c>
      <c r="W93" s="333"/>
    </row>
    <row r="94" spans="1:23" s="182" customFormat="1" ht="15" customHeight="1" x14ac:dyDescent="0.25">
      <c r="A94" s="335">
        <v>41974</v>
      </c>
      <c r="B94" s="212" t="s">
        <v>454</v>
      </c>
      <c r="C94" s="212" t="s">
        <v>507</v>
      </c>
      <c r="D94" s="212" t="s">
        <v>380</v>
      </c>
      <c r="E94" s="217" t="s">
        <v>27</v>
      </c>
      <c r="F94" s="212" t="s">
        <v>365</v>
      </c>
      <c r="G94" s="143">
        <v>1</v>
      </c>
      <c r="H94" s="143"/>
      <c r="I94" s="143"/>
      <c r="J94" s="143">
        <v>35</v>
      </c>
      <c r="K94" s="143">
        <v>35</v>
      </c>
      <c r="L94" s="212"/>
      <c r="M94" s="212"/>
      <c r="N94" s="212"/>
      <c r="O94" s="212"/>
      <c r="P94" s="142">
        <f>IF(Table_Shelter[[#This Row],[Status]]="Open",IF(V94="NO",Table_Shelter[[#This Row],[HH per Shelter]]*(Table_Shelter[[#This Row],['# of Temporary Shelter Units Built]]+Table_Shelter[[#This Row],['# of Temporary Shelter Under  Construction]]+Table_Shelter[[#This Row],['# of Permanent House Under Construction]]),0),0)</f>
        <v>35</v>
      </c>
      <c r="Q94" s="142"/>
      <c r="R94" s="142"/>
      <c r="S94" s="142" t="str">
        <f>IFERROR(VLOOKUP(Table_Shelter[[#This Row],[CampName]],CL,2,0),"")</f>
        <v>MMR001CMP195</v>
      </c>
      <c r="T94" s="142" t="str">
        <f>IFERROR(VLOOKUP(Table_Shelter[[#This Row],[CampName]],CL,3,0),"")</f>
        <v>Open</v>
      </c>
      <c r="U94" s="332">
        <f>IFERROR(Table_Shelter[[#This Row],[HH Covered]]/VLOOKUP(Table_Shelter[[#This Row],[CampName]],CL,4,0),"")</f>
        <v>0.24475524475524477</v>
      </c>
      <c r="V94" s="552" t="s">
        <v>1310</v>
      </c>
      <c r="W94" s="336"/>
    </row>
    <row r="95" spans="1:23" s="182" customFormat="1" ht="15" customHeight="1" x14ac:dyDescent="0.25">
      <c r="A95" s="603">
        <v>41791</v>
      </c>
      <c r="B95" s="139" t="s">
        <v>454</v>
      </c>
      <c r="C95" s="139" t="s">
        <v>507</v>
      </c>
      <c r="D95" s="218" t="s">
        <v>380</v>
      </c>
      <c r="E95" s="219" t="s">
        <v>27</v>
      </c>
      <c r="F95" s="139" t="s">
        <v>365</v>
      </c>
      <c r="G95" s="139">
        <v>1</v>
      </c>
      <c r="H95" s="143"/>
      <c r="I95" s="143"/>
      <c r="J95" s="143">
        <v>5</v>
      </c>
      <c r="K95" s="143">
        <v>5</v>
      </c>
      <c r="L95" s="143"/>
      <c r="M95" s="143"/>
      <c r="N95" s="143"/>
      <c r="O95" s="143"/>
      <c r="P95" s="142">
        <f>IF(Table_Shelter[[#This Row],[Status]]="Open",IF(V95="NO",Table_Shelter[[#This Row],[HH per Shelter]]*(Table_Shelter[[#This Row],['# of Temporary Shelter Units Built]]+Table_Shelter[[#This Row],['# of Temporary Shelter Under  Construction]]+Table_Shelter[[#This Row],['# of Permanent House Under Construction]]),0),0)</f>
        <v>5</v>
      </c>
      <c r="Q95" s="142"/>
      <c r="R95" s="142"/>
      <c r="S95" s="142" t="str">
        <f>IFERROR(VLOOKUP(Table_Shelter[[#This Row],[CampName]],CL,2,0),"")</f>
        <v>MMR001CMP195</v>
      </c>
      <c r="T95" s="142" t="str">
        <f>IFERROR(VLOOKUP(Table_Shelter[[#This Row],[CampName]],CL,3,0),"")</f>
        <v>Open</v>
      </c>
      <c r="U95" s="338">
        <f>IFERROR(Table_Shelter[[#This Row],[HH Covered]]/VLOOKUP(Table_Shelter[[#This Row],[CampName]],CL,4,0),"")</f>
        <v>3.4965034965034968E-2</v>
      </c>
      <c r="V95" s="552" t="s">
        <v>1310</v>
      </c>
      <c r="W95" s="336"/>
    </row>
    <row r="96" spans="1:23" ht="15" customHeight="1" x14ac:dyDescent="0.25">
      <c r="A96" s="335"/>
      <c r="B96" s="212" t="s">
        <v>454</v>
      </c>
      <c r="C96" s="212" t="s">
        <v>507</v>
      </c>
      <c r="D96" s="212" t="s">
        <v>380</v>
      </c>
      <c r="E96" s="217" t="s">
        <v>27</v>
      </c>
      <c r="F96" s="212" t="s">
        <v>365</v>
      </c>
      <c r="G96" s="143">
        <v>1</v>
      </c>
      <c r="H96" s="143"/>
      <c r="I96" s="143"/>
      <c r="J96" s="143">
        <v>33</v>
      </c>
      <c r="K96" s="143">
        <v>33</v>
      </c>
      <c r="L96" s="212"/>
      <c r="M96" s="212"/>
      <c r="N96" s="212"/>
      <c r="O96" s="212"/>
      <c r="P96" s="184">
        <f>IF(Table_Shelter[[#This Row],[Status]]="Open",IF(V96="NO",Table_Shelter[[#This Row],[HH per Shelter]]*(Table_Shelter[[#This Row],['# of Temporary Shelter Units Built]]+Table_Shelter[[#This Row],['# of Temporary Shelter Under  Construction]]+Table_Shelter[[#This Row],['# of Permanent House Under Construction]]),0),0)</f>
        <v>33</v>
      </c>
      <c r="Q96" s="142"/>
      <c r="R96" s="212"/>
      <c r="S96" s="211" t="str">
        <f>IFERROR(VLOOKUP(Table_Shelter[[#This Row],[CampName]],CL,2,0),"")</f>
        <v>MMR001CMP195</v>
      </c>
      <c r="T96" s="211" t="str">
        <f>IFERROR(VLOOKUP(Table_Shelter[[#This Row],[CampName]],CL,3,0),"")</f>
        <v>Open</v>
      </c>
      <c r="U96" s="332">
        <f>IFERROR(Table_Shelter[[#This Row],[HH Covered]]/VLOOKUP(Table_Shelter[[#This Row],[CampName]],CL,4,0),"")</f>
        <v>0.23076923076923078</v>
      </c>
      <c r="V96" s="552" t="s">
        <v>1310</v>
      </c>
      <c r="W96" s="333"/>
    </row>
    <row r="97" spans="1:23" ht="15" customHeight="1" x14ac:dyDescent="0.25">
      <c r="A97" s="334">
        <v>41974</v>
      </c>
      <c r="B97" s="210" t="s">
        <v>454</v>
      </c>
      <c r="C97" s="210" t="s">
        <v>507</v>
      </c>
      <c r="D97" s="210" t="s">
        <v>380</v>
      </c>
      <c r="E97" s="215" t="s">
        <v>529</v>
      </c>
      <c r="F97" s="210" t="s">
        <v>90</v>
      </c>
      <c r="G97" s="139">
        <v>1</v>
      </c>
      <c r="H97" s="139"/>
      <c r="I97" s="139"/>
      <c r="J97" s="139">
        <v>5</v>
      </c>
      <c r="K97" s="139">
        <v>5</v>
      </c>
      <c r="L97" s="210"/>
      <c r="M97" s="210"/>
      <c r="N97" s="210"/>
      <c r="O97" s="210"/>
      <c r="P97" s="142">
        <f>IF(Table_Shelter[[#This Row],[Status]]="Open",IF(V97="NO",Table_Shelter[[#This Row],[HH per Shelter]]*(Table_Shelter[[#This Row],['# of Temporary Shelter Units Built]]+Table_Shelter[[#This Row],['# of Temporary Shelter Under  Construction]]+Table_Shelter[[#This Row],['# of Permanent House Under Construction]]),0),0)</f>
        <v>5</v>
      </c>
      <c r="Q97" s="138"/>
      <c r="R97" s="138"/>
      <c r="S97" s="142" t="str">
        <f>IFERROR(VLOOKUP(Table_Shelter[[#This Row],[CampName]],CL,2,0),"")</f>
        <v>MMR001CMP181</v>
      </c>
      <c r="T97" s="142" t="str">
        <f>IFERROR(VLOOKUP(Table_Shelter[[#This Row],[CampName]],CL,3,0),"")</f>
        <v>Open</v>
      </c>
      <c r="U97" s="332">
        <f>IFERROR(Table_Shelter[[#This Row],[HH Covered]]/VLOOKUP(Table_Shelter[[#This Row],[CampName]],CL,4,0),"")</f>
        <v>0.2</v>
      </c>
      <c r="V97" s="552" t="s">
        <v>1310</v>
      </c>
      <c r="W97" s="336"/>
    </row>
    <row r="98" spans="1:23" ht="15" customHeight="1" x14ac:dyDescent="0.25">
      <c r="A98" s="603">
        <v>41791</v>
      </c>
      <c r="B98" s="139" t="s">
        <v>454</v>
      </c>
      <c r="C98" s="139" t="s">
        <v>507</v>
      </c>
      <c r="D98" s="218" t="s">
        <v>380</v>
      </c>
      <c r="E98" s="219" t="s">
        <v>529</v>
      </c>
      <c r="F98" s="139" t="s">
        <v>90</v>
      </c>
      <c r="G98" s="139">
        <v>1</v>
      </c>
      <c r="H98" s="143"/>
      <c r="I98" s="143"/>
      <c r="J98" s="143">
        <v>2</v>
      </c>
      <c r="K98" s="143">
        <v>2</v>
      </c>
      <c r="L98" s="143"/>
      <c r="M98" s="143"/>
      <c r="N98" s="143"/>
      <c r="O98" s="143"/>
      <c r="P98" s="142">
        <f>IF(Table_Shelter[[#This Row],[Status]]="Open",IF(V98="NO",Table_Shelter[[#This Row],[HH per Shelter]]*(Table_Shelter[[#This Row],['# of Temporary Shelter Units Built]]+Table_Shelter[[#This Row],['# of Temporary Shelter Under  Construction]]+Table_Shelter[[#This Row],['# of Permanent House Under Construction]]),0),0)</f>
        <v>2</v>
      </c>
      <c r="Q98" s="142"/>
      <c r="R98" s="142"/>
      <c r="S98" s="142" t="str">
        <f>IFERROR(VLOOKUP(Table_Shelter[[#This Row],[CampName]],CL,2,0),"")</f>
        <v>MMR001CMP181</v>
      </c>
      <c r="T98" s="142" t="str">
        <f>IFERROR(VLOOKUP(Table_Shelter[[#This Row],[CampName]],CL,3,0),"")</f>
        <v>Open</v>
      </c>
      <c r="U98" s="338">
        <f>IFERROR(Table_Shelter[[#This Row],[HH Covered]]/VLOOKUP(Table_Shelter[[#This Row],[CampName]],CL,4,0),"")</f>
        <v>0.08</v>
      </c>
      <c r="V98" s="552" t="s">
        <v>1310</v>
      </c>
      <c r="W98" s="336"/>
    </row>
    <row r="99" spans="1:23" ht="15" customHeight="1" x14ac:dyDescent="0.25">
      <c r="A99" s="334">
        <v>41609</v>
      </c>
      <c r="B99" s="210" t="s">
        <v>454</v>
      </c>
      <c r="C99" s="210" t="s">
        <v>507</v>
      </c>
      <c r="D99" s="210" t="s">
        <v>380</v>
      </c>
      <c r="E99" s="435" t="s">
        <v>529</v>
      </c>
      <c r="F99" s="210" t="s">
        <v>90</v>
      </c>
      <c r="G99" s="139">
        <v>1</v>
      </c>
      <c r="H99" s="139"/>
      <c r="I99" s="139"/>
      <c r="J99" s="139">
        <v>18</v>
      </c>
      <c r="K99" s="139">
        <v>18</v>
      </c>
      <c r="L99" s="210"/>
      <c r="M99" s="210"/>
      <c r="N99" s="210"/>
      <c r="O99" s="210"/>
      <c r="P99" s="184">
        <f>IF(Table_Shelter[[#This Row],[Status]]="Open",IF(V99="NO",Table_Shelter[[#This Row],[HH per Shelter]]*(Table_Shelter[[#This Row],['# of Temporary Shelter Units Built]]+Table_Shelter[[#This Row],['# of Temporary Shelter Under  Construction]]+Table_Shelter[[#This Row],['# of Permanent House Under Construction]]),0),0)</f>
        <v>18</v>
      </c>
      <c r="Q99" s="138"/>
      <c r="R99" s="210"/>
      <c r="S99" s="211" t="str">
        <f>IFERROR(VLOOKUP(Table_Shelter[[#This Row],[CampName]],CL,2,0),"")</f>
        <v>MMR001CMP181</v>
      </c>
      <c r="T99" s="211" t="str">
        <f>IFERROR(VLOOKUP(Table_Shelter[[#This Row],[CampName]],CL,3,0),"")</f>
        <v>Open</v>
      </c>
      <c r="U99" s="332">
        <f>IFERROR(Table_Shelter[[#This Row],[HH Covered]]/VLOOKUP(Table_Shelter[[#This Row],[CampName]],CL,4,0),"")</f>
        <v>0.72</v>
      </c>
      <c r="V99" s="552" t="s">
        <v>1310</v>
      </c>
      <c r="W99" s="333"/>
    </row>
    <row r="100" spans="1:23" ht="15" customHeight="1" x14ac:dyDescent="0.25">
      <c r="A100" s="334">
        <v>41974</v>
      </c>
      <c r="B100" s="210" t="s">
        <v>454</v>
      </c>
      <c r="C100" s="210" t="s">
        <v>507</v>
      </c>
      <c r="D100" s="210" t="s">
        <v>380</v>
      </c>
      <c r="E100" s="435" t="s">
        <v>529</v>
      </c>
      <c r="F100" s="210" t="s">
        <v>92</v>
      </c>
      <c r="G100" s="139">
        <v>1</v>
      </c>
      <c r="H100" s="139"/>
      <c r="I100" s="139"/>
      <c r="J100" s="139">
        <v>15</v>
      </c>
      <c r="K100" s="139">
        <v>15</v>
      </c>
      <c r="L100" s="210"/>
      <c r="M100" s="210"/>
      <c r="N100" s="210"/>
      <c r="O100" s="210"/>
      <c r="P100" s="184">
        <f>IF(Table_Shelter[[#This Row],[Status]]="Open",IF(V100="NO",Table_Shelter[[#This Row],[HH per Shelter]]*(Table_Shelter[[#This Row],['# of Temporary Shelter Units Built]]+Table_Shelter[[#This Row],['# of Temporary Shelter Under  Construction]]+Table_Shelter[[#This Row],['# of Permanent House Under Construction]]),0),0)</f>
        <v>15</v>
      </c>
      <c r="Q100" s="138"/>
      <c r="R100" s="210"/>
      <c r="S100" s="211" t="str">
        <f>IFERROR(VLOOKUP(Table_Shelter[[#This Row],[CampName]],CL,2,0),"")</f>
        <v>MMR001CMP167</v>
      </c>
      <c r="T100" s="211" t="str">
        <f>IFERROR(VLOOKUP(Table_Shelter[[#This Row],[CampName]],CL,3,0),"")</f>
        <v>Open</v>
      </c>
      <c r="U100" s="332">
        <f>IFERROR(Table_Shelter[[#This Row],[HH Covered]]/VLOOKUP(Table_Shelter[[#This Row],[CampName]],CL,4,0),"")</f>
        <v>1</v>
      </c>
      <c r="V100" s="552" t="s">
        <v>1310</v>
      </c>
      <c r="W100" s="333"/>
    </row>
    <row r="101" spans="1:23" ht="15" customHeight="1" x14ac:dyDescent="0.25">
      <c r="A101" s="334">
        <v>42416</v>
      </c>
      <c r="B101" s="210" t="s">
        <v>454</v>
      </c>
      <c r="C101" s="210" t="s">
        <v>507</v>
      </c>
      <c r="D101" s="213" t="s">
        <v>380</v>
      </c>
      <c r="E101" s="435" t="s">
        <v>5</v>
      </c>
      <c r="F101" s="210" t="s">
        <v>18</v>
      </c>
      <c r="G101" s="139">
        <v>1</v>
      </c>
      <c r="H101" s="139"/>
      <c r="I101" s="139"/>
      <c r="J101" s="139">
        <v>15</v>
      </c>
      <c r="K101" s="139">
        <v>15</v>
      </c>
      <c r="L101" s="210"/>
      <c r="M101" s="210"/>
      <c r="N101" s="210"/>
      <c r="O101" s="210"/>
      <c r="P101" s="184">
        <f>IF(Table_Shelter[[#This Row],[Status]]="Open",IF(V101="NO",Table_Shelter[[#This Row],[HH per Shelter]]*(Table_Shelter[[#This Row],['# of Temporary Shelter Units Built]]+Table_Shelter[[#This Row],['# of Temporary Shelter Under  Construction]]+Table_Shelter[[#This Row],['# of Permanent House Under Construction]]),0),0)</f>
        <v>15</v>
      </c>
      <c r="Q101" s="138"/>
      <c r="R101" s="210"/>
      <c r="S101" s="211" t="str">
        <f>IFERROR(VLOOKUP(Table_Shelter[[#This Row],[CampName]],CL,2,0),"")</f>
        <v>MMR001CMP049</v>
      </c>
      <c r="T101" s="211" t="str">
        <f>IFERROR(VLOOKUP(Table_Shelter[[#This Row],[CampName]],CL,3,0),"")</f>
        <v>Open</v>
      </c>
      <c r="U101" s="332">
        <f>IFERROR(Table_Shelter[[#This Row],[HH Covered]]/VLOOKUP(Table_Shelter[[#This Row],[CampName]],CL,4,0),"")</f>
        <v>0.12931034482758622</v>
      </c>
      <c r="V101" s="552" t="s">
        <v>1310</v>
      </c>
      <c r="W101" s="333"/>
    </row>
    <row r="102" spans="1:23" ht="15" customHeight="1" x14ac:dyDescent="0.25">
      <c r="A102" s="603">
        <v>41974</v>
      </c>
      <c r="B102" s="212" t="s">
        <v>454</v>
      </c>
      <c r="C102" s="212" t="s">
        <v>507</v>
      </c>
      <c r="D102" s="212" t="s">
        <v>380</v>
      </c>
      <c r="E102" s="217" t="s">
        <v>5</v>
      </c>
      <c r="F102" s="212" t="s">
        <v>18</v>
      </c>
      <c r="G102" s="143">
        <v>1</v>
      </c>
      <c r="H102" s="143"/>
      <c r="I102" s="143"/>
      <c r="J102" s="143">
        <v>15</v>
      </c>
      <c r="K102" s="143">
        <v>15</v>
      </c>
      <c r="L102" s="212"/>
      <c r="M102" s="212"/>
      <c r="N102" s="212"/>
      <c r="O102" s="212"/>
      <c r="P102" s="184">
        <f>IF(Table_Shelter[[#This Row],[Status]]="Open",IF(V102="NO",Table_Shelter[[#This Row],[HH per Shelter]]*(Table_Shelter[[#This Row],['# of Temporary Shelter Units Built]]+Table_Shelter[[#This Row],['# of Temporary Shelter Under  Construction]]+Table_Shelter[[#This Row],['# of Permanent House Under Construction]]),0),0)</f>
        <v>15</v>
      </c>
      <c r="Q102" s="142">
        <v>8</v>
      </c>
      <c r="R102" s="212"/>
      <c r="S102" s="211" t="str">
        <f>IFERROR(VLOOKUP(Table_Shelter[[#This Row],[CampName]],CL,2,0),"")</f>
        <v>MMR001CMP049</v>
      </c>
      <c r="T102" s="211" t="str">
        <f>IFERROR(VLOOKUP(Table_Shelter[[#This Row],[CampName]],CL,3,0),"")</f>
        <v>Open</v>
      </c>
      <c r="U102" s="332">
        <f>IFERROR(Table_Shelter[[#This Row],[HH Covered]]/VLOOKUP(Table_Shelter[[#This Row],[CampName]],CL,4,0),"")</f>
        <v>0.12931034482758622</v>
      </c>
      <c r="V102" s="552" t="s">
        <v>1310</v>
      </c>
      <c r="W102" s="333"/>
    </row>
    <row r="103" spans="1:23" ht="15" customHeight="1" x14ac:dyDescent="0.25">
      <c r="A103" s="334">
        <v>41609</v>
      </c>
      <c r="B103" s="212" t="s">
        <v>454</v>
      </c>
      <c r="C103" s="212" t="s">
        <v>507</v>
      </c>
      <c r="D103" s="212" t="s">
        <v>380</v>
      </c>
      <c r="E103" s="217" t="s">
        <v>5</v>
      </c>
      <c r="F103" s="212" t="s">
        <v>18</v>
      </c>
      <c r="G103" s="143">
        <v>1</v>
      </c>
      <c r="H103" s="139"/>
      <c r="I103" s="139"/>
      <c r="J103" s="139">
        <v>10</v>
      </c>
      <c r="K103" s="139">
        <v>10</v>
      </c>
      <c r="L103" s="210"/>
      <c r="M103" s="210"/>
      <c r="N103" s="210"/>
      <c r="O103" s="210"/>
      <c r="P103" s="142">
        <f>IF(Table_Shelter[[#This Row],[Status]]="Open",IF(V103="NO",Table_Shelter[[#This Row],[HH per Shelter]]*(Table_Shelter[[#This Row],['# of Temporary Shelter Units Built]]+Table_Shelter[[#This Row],['# of Temporary Shelter Under  Construction]]+Table_Shelter[[#This Row],['# of Permanent House Under Construction]]),0),0)</f>
        <v>10</v>
      </c>
      <c r="Q103" s="138"/>
      <c r="R103" s="138"/>
      <c r="S103" s="142" t="str">
        <f>IFERROR(VLOOKUP(Table_Shelter[[#This Row],[CampName]],CL,2,0),"")</f>
        <v>MMR001CMP049</v>
      </c>
      <c r="T103" s="142" t="str">
        <f>IFERROR(VLOOKUP(Table_Shelter[[#This Row],[CampName]],CL,3,0),"")</f>
        <v>Open</v>
      </c>
      <c r="U103" s="332">
        <f>IFERROR(Table_Shelter[[#This Row],[HH Covered]]/VLOOKUP(Table_Shelter[[#This Row],[CampName]],CL,4,0),"")</f>
        <v>8.6206896551724144E-2</v>
      </c>
      <c r="V103" s="552" t="s">
        <v>1310</v>
      </c>
      <c r="W103" s="336"/>
    </row>
    <row r="104" spans="1:23" ht="15" customHeight="1" x14ac:dyDescent="0.25">
      <c r="A104" s="334"/>
      <c r="B104" s="210" t="s">
        <v>848</v>
      </c>
      <c r="C104" s="210"/>
      <c r="D104" s="213" t="s">
        <v>380</v>
      </c>
      <c r="E104" s="435" t="s">
        <v>5</v>
      </c>
      <c r="F104" s="210" t="s">
        <v>18</v>
      </c>
      <c r="G104" s="139">
        <v>1</v>
      </c>
      <c r="H104" s="139"/>
      <c r="I104" s="139"/>
      <c r="J104" s="139">
        <v>12</v>
      </c>
      <c r="K104" s="139">
        <v>12</v>
      </c>
      <c r="L104" s="210"/>
      <c r="M104" s="210"/>
      <c r="N104" s="210"/>
      <c r="O104" s="210"/>
      <c r="P104" s="184">
        <f>IF(Table_Shelter[[#This Row],[Status]]="Open",IF(V104="NO",Table_Shelter[[#This Row],[HH per Shelter]]*(Table_Shelter[[#This Row],['# of Temporary Shelter Units Built]]+Table_Shelter[[#This Row],['# of Temporary Shelter Under  Construction]]+Table_Shelter[[#This Row],['# of Permanent House Under Construction]]),0),0)</f>
        <v>12</v>
      </c>
      <c r="Q104" s="138"/>
      <c r="R104" s="210"/>
      <c r="S104" s="211" t="str">
        <f>IFERROR(VLOOKUP(Table_Shelter[[#This Row],[CampName]],CL,2,0),"")</f>
        <v>MMR001CMP049</v>
      </c>
      <c r="T104" s="211" t="str">
        <f>IFERROR(VLOOKUP(Table_Shelter[[#This Row],[CampName]],CL,3,0),"")</f>
        <v>Open</v>
      </c>
      <c r="U104" s="332">
        <f>IFERROR(Table_Shelter[[#This Row],[HH Covered]]/VLOOKUP(Table_Shelter[[#This Row],[CampName]],CL,4,0),"")</f>
        <v>0.10344827586206896</v>
      </c>
      <c r="V104" s="552" t="s">
        <v>1310</v>
      </c>
      <c r="W104" s="333"/>
    </row>
    <row r="105" spans="1:23" ht="15" customHeight="1" x14ac:dyDescent="0.25">
      <c r="A105" s="334"/>
      <c r="B105" s="210" t="s">
        <v>454</v>
      </c>
      <c r="C105" s="210" t="s">
        <v>848</v>
      </c>
      <c r="D105" s="213" t="s">
        <v>380</v>
      </c>
      <c r="E105" s="435" t="s">
        <v>5</v>
      </c>
      <c r="F105" s="210" t="s">
        <v>18</v>
      </c>
      <c r="G105" s="139">
        <v>1</v>
      </c>
      <c r="H105" s="139"/>
      <c r="I105" s="139"/>
      <c r="J105" s="139">
        <v>30</v>
      </c>
      <c r="K105" s="139">
        <v>30</v>
      </c>
      <c r="L105" s="210"/>
      <c r="M105" s="210"/>
      <c r="N105" s="210"/>
      <c r="O105" s="210"/>
      <c r="P105" s="184">
        <f>IF(Table_Shelter[[#This Row],[Status]]="Open",IF(V105="NO",Table_Shelter[[#This Row],[HH per Shelter]]*(Table_Shelter[[#This Row],['# of Temporary Shelter Units Built]]+Table_Shelter[[#This Row],['# of Temporary Shelter Under  Construction]]+Table_Shelter[[#This Row],['# of Permanent House Under Construction]]),0),0)</f>
        <v>30</v>
      </c>
      <c r="Q105" s="138"/>
      <c r="R105" s="210"/>
      <c r="S105" s="211" t="str">
        <f>IFERROR(VLOOKUP(Table_Shelter[[#This Row],[CampName]],CL,2,0),"")</f>
        <v>MMR001CMP049</v>
      </c>
      <c r="T105" s="211" t="str">
        <f>IFERROR(VLOOKUP(Table_Shelter[[#This Row],[CampName]],CL,3,0),"")</f>
        <v>Open</v>
      </c>
      <c r="U105" s="332">
        <f>IFERROR(Table_Shelter[[#This Row],[HH Covered]]/VLOOKUP(Table_Shelter[[#This Row],[CampName]],CL,4,0),"")</f>
        <v>0.25862068965517243</v>
      </c>
      <c r="V105" s="552" t="s">
        <v>1310</v>
      </c>
      <c r="W105" s="333"/>
    </row>
    <row r="106" spans="1:23" ht="15" customHeight="1" x14ac:dyDescent="0.25">
      <c r="A106" s="335"/>
      <c r="B106" s="212" t="s">
        <v>454</v>
      </c>
      <c r="C106" s="212"/>
      <c r="D106" s="212" t="s">
        <v>380</v>
      </c>
      <c r="E106" s="217" t="s">
        <v>5</v>
      </c>
      <c r="F106" s="212" t="s">
        <v>18</v>
      </c>
      <c r="G106" s="143">
        <v>1</v>
      </c>
      <c r="H106" s="143"/>
      <c r="I106" s="143"/>
      <c r="J106" s="143">
        <v>15</v>
      </c>
      <c r="K106" s="143">
        <v>15</v>
      </c>
      <c r="L106" s="212"/>
      <c r="M106" s="212"/>
      <c r="N106" s="212"/>
      <c r="O106" s="212"/>
      <c r="P106" s="184">
        <f>IF(Table_Shelter[[#This Row],[Status]]="Open",IF(V106="NO",Table_Shelter[[#This Row],[HH per Shelter]]*(Table_Shelter[[#This Row],['# of Temporary Shelter Units Built]]+Table_Shelter[[#This Row],['# of Temporary Shelter Under  Construction]]+Table_Shelter[[#This Row],['# of Permanent House Under Construction]]),0),0)</f>
        <v>15</v>
      </c>
      <c r="Q106" s="142"/>
      <c r="R106" s="212"/>
      <c r="S106" s="211" t="str">
        <f>IFERROR(VLOOKUP(Table_Shelter[[#This Row],[CampName]],CL,2,0),"")</f>
        <v>MMR001CMP049</v>
      </c>
      <c r="T106" s="211" t="str">
        <f>IFERROR(VLOOKUP(Table_Shelter[[#This Row],[CampName]],CL,3,0),"")</f>
        <v>Open</v>
      </c>
      <c r="U106" s="332">
        <f>IFERROR(Table_Shelter[[#This Row],[HH Covered]]/VLOOKUP(Table_Shelter[[#This Row],[CampName]],CL,4,0),"")</f>
        <v>0.12931034482758622</v>
      </c>
      <c r="V106" s="552" t="s">
        <v>1310</v>
      </c>
      <c r="W106" s="333"/>
    </row>
    <row r="107" spans="1:23" ht="15" customHeight="1" x14ac:dyDescent="0.25">
      <c r="A107" s="335"/>
      <c r="B107" s="210" t="s">
        <v>454</v>
      </c>
      <c r="C107" s="210" t="s">
        <v>507</v>
      </c>
      <c r="D107" s="218" t="s">
        <v>380</v>
      </c>
      <c r="E107" s="435" t="s">
        <v>5</v>
      </c>
      <c r="F107" s="210" t="s">
        <v>18</v>
      </c>
      <c r="G107" s="139">
        <v>1</v>
      </c>
      <c r="H107" s="143"/>
      <c r="I107" s="143"/>
      <c r="J107" s="143">
        <v>5</v>
      </c>
      <c r="K107" s="143">
        <v>5</v>
      </c>
      <c r="L107" s="212"/>
      <c r="M107" s="212"/>
      <c r="N107" s="212"/>
      <c r="O107" s="212"/>
      <c r="P107" s="142">
        <f>IF(Table_Shelter[[#This Row],[Status]]="Open",IF(V107="NO",Table_Shelter[[#This Row],[HH per Shelter]]*(Table_Shelter[[#This Row],['# of Temporary Shelter Units Built]]+Table_Shelter[[#This Row],['# of Temporary Shelter Under  Construction]]+Table_Shelter[[#This Row],['# of Permanent House Under Construction]]),0),0)</f>
        <v>5</v>
      </c>
      <c r="Q107" s="142"/>
      <c r="R107" s="142"/>
      <c r="S107" s="142" t="str">
        <f>IFERROR(VLOOKUP(Table_Shelter[[#This Row],[CampName]],CL,2,0),"")</f>
        <v>MMR001CMP049</v>
      </c>
      <c r="T107" s="142" t="str">
        <f>IFERROR(VLOOKUP(Table_Shelter[[#This Row],[CampName]],CL,3,0),"")</f>
        <v>Open</v>
      </c>
      <c r="U107" s="332">
        <f>IFERROR(Table_Shelter[[#This Row],[HH Covered]]/VLOOKUP(Table_Shelter[[#This Row],[CampName]],CL,4,0),"")</f>
        <v>4.3103448275862072E-2</v>
      </c>
      <c r="V107" s="552" t="s">
        <v>1310</v>
      </c>
      <c r="W107" s="336"/>
    </row>
    <row r="108" spans="1:23" ht="15" customHeight="1" x14ac:dyDescent="0.25">
      <c r="A108" s="335"/>
      <c r="B108" s="212" t="s">
        <v>454</v>
      </c>
      <c r="C108" s="212"/>
      <c r="D108" s="212" t="s">
        <v>380</v>
      </c>
      <c r="E108" s="217" t="s">
        <v>185</v>
      </c>
      <c r="F108" s="212" t="s">
        <v>186</v>
      </c>
      <c r="G108" s="143">
        <v>1</v>
      </c>
      <c r="H108" s="143"/>
      <c r="I108" s="143"/>
      <c r="J108" s="143">
        <v>12</v>
      </c>
      <c r="K108" s="143">
        <v>12</v>
      </c>
      <c r="L108" s="212"/>
      <c r="M108" s="212"/>
      <c r="N108" s="212"/>
      <c r="O108" s="212"/>
      <c r="P108" s="184">
        <f>IF(Table_Shelter[[#This Row],[Status]]="Open",IF(V108="NO",Table_Shelter[[#This Row],[HH per Shelter]]*(Table_Shelter[[#This Row],['# of Temporary Shelter Units Built]]+Table_Shelter[[#This Row],['# of Temporary Shelter Under  Construction]]+Table_Shelter[[#This Row],['# of Permanent House Under Construction]]),0),0)</f>
        <v>12</v>
      </c>
      <c r="Q108" s="142"/>
      <c r="R108" s="212"/>
      <c r="S108" s="211" t="str">
        <f>IFERROR(VLOOKUP(Table_Shelter[[#This Row],[CampName]],CL,2,0),"")</f>
        <v>MMR001CMP071</v>
      </c>
      <c r="T108" s="211" t="str">
        <f>IFERROR(VLOOKUP(Table_Shelter[[#This Row],[CampName]],CL,3,0),"")</f>
        <v>Open</v>
      </c>
      <c r="U108" s="332">
        <f>IFERROR(Table_Shelter[[#This Row],[HH Covered]]/VLOOKUP(Table_Shelter[[#This Row],[CampName]],CL,4,0),"")</f>
        <v>0.33333333333333331</v>
      </c>
      <c r="V108" s="552" t="s">
        <v>1310</v>
      </c>
      <c r="W108" s="333"/>
    </row>
    <row r="109" spans="1:23" ht="15" customHeight="1" x14ac:dyDescent="0.25">
      <c r="A109" s="335"/>
      <c r="B109" s="210" t="s">
        <v>454</v>
      </c>
      <c r="C109" s="210" t="s">
        <v>462</v>
      </c>
      <c r="D109" s="218" t="s">
        <v>380</v>
      </c>
      <c r="E109" s="435" t="s">
        <v>185</v>
      </c>
      <c r="F109" s="210" t="s">
        <v>186</v>
      </c>
      <c r="G109" s="139">
        <v>1</v>
      </c>
      <c r="H109" s="143"/>
      <c r="I109" s="143"/>
      <c r="J109" s="143">
        <v>27</v>
      </c>
      <c r="K109" s="143">
        <v>27</v>
      </c>
      <c r="L109" s="212"/>
      <c r="M109" s="212"/>
      <c r="N109" s="212"/>
      <c r="O109" s="212"/>
      <c r="P109" s="142">
        <f>IF(Table_Shelter[[#This Row],[Status]]="Open",IF(V109="NO",Table_Shelter[[#This Row],[HH per Shelter]]*(Table_Shelter[[#This Row],['# of Temporary Shelter Units Built]]+Table_Shelter[[#This Row],['# of Temporary Shelter Under  Construction]]+Table_Shelter[[#This Row],['# of Permanent House Under Construction]]),0),0)</f>
        <v>27</v>
      </c>
      <c r="Q109" s="142"/>
      <c r="R109" s="142"/>
      <c r="S109" s="142" t="str">
        <f>IFERROR(VLOOKUP(Table_Shelter[[#This Row],[CampName]],CL,2,0),"")</f>
        <v>MMR001CMP071</v>
      </c>
      <c r="T109" s="142" t="str">
        <f>IFERROR(VLOOKUP(Table_Shelter[[#This Row],[CampName]],CL,3,0),"")</f>
        <v>Open</v>
      </c>
      <c r="U109" s="332">
        <f>IFERROR(Table_Shelter[[#This Row],[HH Covered]]/VLOOKUP(Table_Shelter[[#This Row],[CampName]],CL,4,0),"")</f>
        <v>0.75</v>
      </c>
      <c r="V109" s="552" t="s">
        <v>1310</v>
      </c>
      <c r="W109" s="336"/>
    </row>
    <row r="110" spans="1:23" ht="15" customHeight="1" x14ac:dyDescent="0.25">
      <c r="A110" s="334">
        <v>41974</v>
      </c>
      <c r="B110" s="210" t="s">
        <v>454</v>
      </c>
      <c r="C110" s="210" t="s">
        <v>462</v>
      </c>
      <c r="D110" s="210" t="s">
        <v>380</v>
      </c>
      <c r="E110" s="435" t="s">
        <v>185</v>
      </c>
      <c r="F110" s="210" t="s">
        <v>223</v>
      </c>
      <c r="G110" s="139">
        <v>1</v>
      </c>
      <c r="H110" s="139"/>
      <c r="I110" s="139"/>
      <c r="J110" s="139">
        <v>21</v>
      </c>
      <c r="K110" s="139">
        <v>21</v>
      </c>
      <c r="L110" s="210"/>
      <c r="M110" s="210"/>
      <c r="N110" s="210"/>
      <c r="O110" s="210"/>
      <c r="P110" s="184">
        <f>IF(Table_Shelter[[#This Row],[Status]]="Open",IF(V110="NO",Table_Shelter[[#This Row],[HH per Shelter]]*(Table_Shelter[[#This Row],['# of Temporary Shelter Units Built]]+Table_Shelter[[#This Row],['# of Temporary Shelter Under  Construction]]+Table_Shelter[[#This Row],['# of Permanent House Under Construction]]),0),0)</f>
        <v>21</v>
      </c>
      <c r="Q110" s="138"/>
      <c r="R110" s="210"/>
      <c r="S110" s="211" t="str">
        <f>IFERROR(VLOOKUP(Table_Shelter[[#This Row],[CampName]],CL,2,0),"")</f>
        <v>MMR001CMP069</v>
      </c>
      <c r="T110" s="211" t="str">
        <f>IFERROR(VLOOKUP(Table_Shelter[[#This Row],[CampName]],CL,3,0),"")</f>
        <v>Open</v>
      </c>
      <c r="U110" s="332">
        <f>IFERROR(Table_Shelter[[#This Row],[HH Covered]]/VLOOKUP(Table_Shelter[[#This Row],[CampName]],CL,4,0),"")</f>
        <v>0.16935483870967741</v>
      </c>
      <c r="V110" s="552" t="s">
        <v>1310</v>
      </c>
      <c r="W110" s="333"/>
    </row>
    <row r="111" spans="1:23" ht="15" customHeight="1" x14ac:dyDescent="0.25">
      <c r="A111" s="334"/>
      <c r="B111" s="210" t="s">
        <v>594</v>
      </c>
      <c r="C111" s="210"/>
      <c r="D111" s="213" t="s">
        <v>380</v>
      </c>
      <c r="E111" s="215" t="s">
        <v>185</v>
      </c>
      <c r="F111" s="210" t="s">
        <v>223</v>
      </c>
      <c r="G111" s="139">
        <v>1</v>
      </c>
      <c r="H111" s="139"/>
      <c r="I111" s="139"/>
      <c r="J111" s="139">
        <v>40</v>
      </c>
      <c r="K111" s="139">
        <v>40</v>
      </c>
      <c r="L111" s="210"/>
      <c r="M111" s="210"/>
      <c r="N111" s="210"/>
      <c r="O111" s="210"/>
      <c r="P111" s="184">
        <f>IF(Table_Shelter[[#This Row],[Status]]="Open",IF(V111="NO",Table_Shelter[[#This Row],[HH per Shelter]]*(Table_Shelter[[#This Row],['# of Temporary Shelter Units Built]]+Table_Shelter[[#This Row],['# of Temporary Shelter Under  Construction]]+Table_Shelter[[#This Row],['# of Permanent House Under Construction]]),0),0)</f>
        <v>40</v>
      </c>
      <c r="Q111" s="138"/>
      <c r="R111" s="210"/>
      <c r="S111" s="211" t="str">
        <f>IFERROR(VLOOKUP(Table_Shelter[[#This Row],[CampName]],CL,2,0),"")</f>
        <v>MMR001CMP069</v>
      </c>
      <c r="T111" s="211" t="str">
        <f>IFERROR(VLOOKUP(Table_Shelter[[#This Row],[CampName]],CL,3,0),"")</f>
        <v>Open</v>
      </c>
      <c r="U111" s="332">
        <f>IFERROR(Table_Shelter[[#This Row],[HH Covered]]/VLOOKUP(Table_Shelter[[#This Row],[CampName]],CL,4,0),"")</f>
        <v>0.32258064516129031</v>
      </c>
      <c r="V111" s="552" t="s">
        <v>1310</v>
      </c>
      <c r="W111" s="333"/>
    </row>
    <row r="112" spans="1:23" ht="15" customHeight="1" x14ac:dyDescent="0.25">
      <c r="A112" s="334"/>
      <c r="B112" s="210" t="s">
        <v>454</v>
      </c>
      <c r="C112" s="210"/>
      <c r="D112" s="210" t="s">
        <v>380</v>
      </c>
      <c r="E112" s="435" t="s">
        <v>185</v>
      </c>
      <c r="F112" s="210" t="s">
        <v>223</v>
      </c>
      <c r="G112" s="139">
        <v>1</v>
      </c>
      <c r="H112" s="139"/>
      <c r="I112" s="139"/>
      <c r="J112" s="139">
        <v>6</v>
      </c>
      <c r="K112" s="139">
        <v>6</v>
      </c>
      <c r="L112" s="210"/>
      <c r="M112" s="210"/>
      <c r="N112" s="210"/>
      <c r="O112" s="210"/>
      <c r="P112" s="184">
        <f>IF(Table_Shelter[[#This Row],[Status]]="Open",IF(V112="NO",Table_Shelter[[#This Row],[HH per Shelter]]*(Table_Shelter[[#This Row],['# of Temporary Shelter Units Built]]+Table_Shelter[[#This Row],['# of Temporary Shelter Under  Construction]]+Table_Shelter[[#This Row],['# of Permanent House Under Construction]]),0),0)</f>
        <v>6</v>
      </c>
      <c r="Q112" s="138"/>
      <c r="R112" s="210"/>
      <c r="S112" s="211" t="str">
        <f>IFERROR(VLOOKUP(Table_Shelter[[#This Row],[CampName]],CL,2,0),"")</f>
        <v>MMR001CMP069</v>
      </c>
      <c r="T112" s="211" t="str">
        <f>IFERROR(VLOOKUP(Table_Shelter[[#This Row],[CampName]],CL,3,0),"")</f>
        <v>Open</v>
      </c>
      <c r="U112" s="332">
        <f>IFERROR(Table_Shelter[[#This Row],[HH Covered]]/VLOOKUP(Table_Shelter[[#This Row],[CampName]],CL,4,0),"")</f>
        <v>4.8387096774193547E-2</v>
      </c>
      <c r="V112" s="552" t="s">
        <v>1310</v>
      </c>
      <c r="W112" s="333"/>
    </row>
    <row r="113" spans="1:23" ht="15" customHeight="1" x14ac:dyDescent="0.25">
      <c r="A113" s="334">
        <v>41791</v>
      </c>
      <c r="B113" s="210" t="s">
        <v>454</v>
      </c>
      <c r="C113" s="210" t="s">
        <v>462</v>
      </c>
      <c r="D113" s="213" t="s">
        <v>380</v>
      </c>
      <c r="E113" s="435" t="s">
        <v>185</v>
      </c>
      <c r="F113" s="210" t="s">
        <v>190</v>
      </c>
      <c r="G113" s="139">
        <v>1</v>
      </c>
      <c r="H113" s="139"/>
      <c r="I113" s="139"/>
      <c r="J113" s="139">
        <v>25</v>
      </c>
      <c r="K113" s="139">
        <v>25</v>
      </c>
      <c r="L113" s="210"/>
      <c r="M113" s="210"/>
      <c r="N113" s="210"/>
      <c r="O113" s="210"/>
      <c r="P113" s="184">
        <f>IF(Table_Shelter[[#This Row],[Status]]="Open",IF(V113="NO",Table_Shelter[[#This Row],[HH per Shelter]]*(Table_Shelter[[#This Row],['# of Temporary Shelter Units Built]]+Table_Shelter[[#This Row],['# of Temporary Shelter Under  Construction]]+Table_Shelter[[#This Row],['# of Permanent House Under Construction]]),0),0)</f>
        <v>25</v>
      </c>
      <c r="Q113" s="138"/>
      <c r="R113" s="210"/>
      <c r="S113" s="211" t="str">
        <f>IFERROR(VLOOKUP(Table_Shelter[[#This Row],[CampName]],CL,2,0),"")</f>
        <v>MMR001CMP070</v>
      </c>
      <c r="T113" s="211" t="str">
        <f>IFERROR(VLOOKUP(Table_Shelter[[#This Row],[CampName]],CL,3,0),"")</f>
        <v>Open</v>
      </c>
      <c r="U113" s="332">
        <f>IFERROR(Table_Shelter[[#This Row],[HH Covered]]/VLOOKUP(Table_Shelter[[#This Row],[CampName]],CL,4,0),"")</f>
        <v>0.13157894736842105</v>
      </c>
      <c r="V113" s="552" t="s">
        <v>1310</v>
      </c>
      <c r="W113" s="333"/>
    </row>
    <row r="114" spans="1:23" ht="15" customHeight="1" x14ac:dyDescent="0.25">
      <c r="A114" s="334"/>
      <c r="B114" s="210" t="s">
        <v>454</v>
      </c>
      <c r="C114" s="210"/>
      <c r="D114" s="210" t="s">
        <v>380</v>
      </c>
      <c r="E114" s="435" t="s">
        <v>185</v>
      </c>
      <c r="F114" s="210" t="s">
        <v>190</v>
      </c>
      <c r="G114" s="139">
        <v>1</v>
      </c>
      <c r="H114" s="139"/>
      <c r="I114" s="139"/>
      <c r="J114" s="139">
        <v>5</v>
      </c>
      <c r="K114" s="139">
        <v>57</v>
      </c>
      <c r="L114" s="210"/>
      <c r="M114" s="210"/>
      <c r="N114" s="210"/>
      <c r="O114" s="210"/>
      <c r="P114" s="184">
        <f>IF(Table_Shelter[[#This Row],[Status]]="Open",IF(V114="NO",Table_Shelter[[#This Row],[HH per Shelter]]*(Table_Shelter[[#This Row],['# of Temporary Shelter Units Built]]+Table_Shelter[[#This Row],['# of Temporary Shelter Under  Construction]]+Table_Shelter[[#This Row],['# of Permanent House Under Construction]]),0),0)</f>
        <v>57</v>
      </c>
      <c r="Q114" s="138"/>
      <c r="R114" s="210"/>
      <c r="S114" s="211" t="str">
        <f>IFERROR(VLOOKUP(Table_Shelter[[#This Row],[CampName]],CL,2,0),"")</f>
        <v>MMR001CMP070</v>
      </c>
      <c r="T114" s="211" t="str">
        <f>IFERROR(VLOOKUP(Table_Shelter[[#This Row],[CampName]],CL,3,0),"")</f>
        <v>Open</v>
      </c>
      <c r="U114" s="332">
        <f>IFERROR(Table_Shelter[[#This Row],[HH Covered]]/VLOOKUP(Table_Shelter[[#This Row],[CampName]],CL,4,0),"")</f>
        <v>0.3</v>
      </c>
      <c r="V114" s="552" t="s">
        <v>1310</v>
      </c>
      <c r="W114" s="333"/>
    </row>
    <row r="115" spans="1:23" ht="15" customHeight="1" x14ac:dyDescent="0.25">
      <c r="A115" s="335"/>
      <c r="B115" s="212" t="s">
        <v>594</v>
      </c>
      <c r="C115" s="212" t="s">
        <v>461</v>
      </c>
      <c r="D115" s="212" t="s">
        <v>380</v>
      </c>
      <c r="E115" s="217" t="s">
        <v>151</v>
      </c>
      <c r="F115" s="212" t="s">
        <v>158</v>
      </c>
      <c r="G115" s="143">
        <v>1</v>
      </c>
      <c r="H115" s="143"/>
      <c r="I115" s="143"/>
      <c r="J115" s="143">
        <v>100</v>
      </c>
      <c r="K115" s="143">
        <v>100</v>
      </c>
      <c r="L115" s="212"/>
      <c r="M115" s="212"/>
      <c r="N115" s="212"/>
      <c r="O115" s="212"/>
      <c r="P115" s="184">
        <f>IF(Table_Shelter[[#This Row],[Status]]="Open",IF(V115="NO",Table_Shelter[[#This Row],[HH per Shelter]]*(Table_Shelter[[#This Row],['# of Temporary Shelter Units Built]]+Table_Shelter[[#This Row],['# of Temporary Shelter Under  Construction]]+Table_Shelter[[#This Row],['# of Permanent House Under Construction]]),0),0)</f>
        <v>0</v>
      </c>
      <c r="Q115" s="142"/>
      <c r="R115" s="212"/>
      <c r="S115" s="211" t="str">
        <f>IFERROR(VLOOKUP(Table_Shelter[[#This Row],[CampName]],CL,2,0),"")</f>
        <v>MMR001CMP135</v>
      </c>
      <c r="T115" s="211" t="str">
        <f>IFERROR(VLOOKUP(Table_Shelter[[#This Row],[CampName]],CL,3,0),"")</f>
        <v>Closed</v>
      </c>
      <c r="U115" s="332" t="str">
        <f>IFERROR(Table_Shelter[[#This Row],[HH Covered]]/VLOOKUP(Table_Shelter[[#This Row],[CampName]],CL,4,0),"")</f>
        <v/>
      </c>
      <c r="V115" s="552" t="s">
        <v>1310</v>
      </c>
      <c r="W115" s="333"/>
    </row>
    <row r="116" spans="1:23" ht="15" customHeight="1" x14ac:dyDescent="0.25">
      <c r="A116" s="605">
        <v>42502</v>
      </c>
      <c r="B116" s="606" t="s">
        <v>454</v>
      </c>
      <c r="C116" s="607" t="s">
        <v>462</v>
      </c>
      <c r="D116" s="608" t="s">
        <v>380</v>
      </c>
      <c r="E116" s="435" t="s">
        <v>300</v>
      </c>
      <c r="F116" s="606" t="s">
        <v>1264</v>
      </c>
      <c r="G116" s="606">
        <v>1</v>
      </c>
      <c r="H116" s="607"/>
      <c r="I116" s="607"/>
      <c r="J116" s="607"/>
      <c r="K116" s="607"/>
      <c r="L116" s="607"/>
      <c r="M116" s="607"/>
      <c r="N116" s="607"/>
      <c r="O116" s="607"/>
      <c r="P116" s="609">
        <f>IF(Table_Shelter[[#This Row],[Status]]="Open",IF(V116="NO",Table_Shelter[[#This Row],[HH per Shelter]]*(Table_Shelter[[#This Row],['# of Temporary Shelter Units Built]]+Table_Shelter[[#This Row],['# of Temporary Shelter Under  Construction]]+Table_Shelter[[#This Row],['# of Permanent House Under Construction]]),0),0)</f>
        <v>0</v>
      </c>
      <c r="Q116" s="609">
        <v>2</v>
      </c>
      <c r="R116" s="609"/>
      <c r="S116" s="610" t="str">
        <f>IFERROR(VLOOKUP(Table_Shelter[[#This Row],[CampName]],CL,2,0),"")</f>
        <v>MMR001CMP234</v>
      </c>
      <c r="T116" s="611" t="str">
        <f>IFERROR(VLOOKUP(Table_Shelter[[#This Row],[CampName]],CL,3,0),"")</f>
        <v>Open</v>
      </c>
      <c r="U116" s="612">
        <f>IFERROR(Table_Shelter[[#This Row],[HH Covered]]/VLOOKUP(Table_Shelter[[#This Row],[CampName]],CL,4,0),"")</f>
        <v>0</v>
      </c>
      <c r="V116" s="604" t="s">
        <v>1310</v>
      </c>
      <c r="W116" s="613"/>
    </row>
    <row r="117" spans="1:23" ht="15" customHeight="1" x14ac:dyDescent="0.25">
      <c r="A117" s="334">
        <v>42416</v>
      </c>
      <c r="B117" s="210" t="s">
        <v>850</v>
      </c>
      <c r="C117" s="210"/>
      <c r="D117" s="213" t="s">
        <v>380</v>
      </c>
      <c r="E117" s="435" t="s">
        <v>300</v>
      </c>
      <c r="F117" s="210" t="s">
        <v>1264</v>
      </c>
      <c r="G117" s="139">
        <v>1</v>
      </c>
      <c r="H117" s="143"/>
      <c r="I117" s="143"/>
      <c r="J117" s="143">
        <v>60</v>
      </c>
      <c r="K117" s="143">
        <v>60</v>
      </c>
      <c r="L117" s="212"/>
      <c r="M117" s="212"/>
      <c r="N117" s="212"/>
      <c r="O117" s="212"/>
      <c r="P117" s="142">
        <f>IF(Table_Shelter[[#This Row],[Status]]="Open",IF(V117="NO",Table_Shelter[[#This Row],[HH per Shelter]]*(Table_Shelter[[#This Row],['# of Temporary Shelter Units Built]]+Table_Shelter[[#This Row],['# of Temporary Shelter Under  Construction]]+Table_Shelter[[#This Row],['# of Permanent House Under Construction]]),0),0)</f>
        <v>60</v>
      </c>
      <c r="Q117" s="142"/>
      <c r="R117" s="212"/>
      <c r="S117" s="212" t="str">
        <f>IFERROR(VLOOKUP(Table_Shelter[[#This Row],[CampName]],CL,2,0),"")</f>
        <v>MMR001CMP234</v>
      </c>
      <c r="T117" s="212" t="str">
        <f>IFERROR(VLOOKUP(Table_Shelter[[#This Row],[CampName]],CL,3,0),"")</f>
        <v>Open</v>
      </c>
      <c r="U117" s="332">
        <f>IFERROR(Table_Shelter[[#This Row],[HH Covered]]/VLOOKUP(Table_Shelter[[#This Row],[CampName]],CL,4,0),"")</f>
        <v>1.0169491525423728</v>
      </c>
      <c r="V117" s="552" t="s">
        <v>1310</v>
      </c>
      <c r="W117" s="333"/>
    </row>
    <row r="118" spans="1:23" ht="15" customHeight="1" x14ac:dyDescent="0.25">
      <c r="A118" s="334"/>
      <c r="B118" s="210" t="s">
        <v>454</v>
      </c>
      <c r="C118" s="210" t="s">
        <v>507</v>
      </c>
      <c r="D118" s="210" t="s">
        <v>380</v>
      </c>
      <c r="E118" s="435" t="s">
        <v>310</v>
      </c>
      <c r="F118" s="210" t="s">
        <v>320</v>
      </c>
      <c r="G118" s="139">
        <v>1</v>
      </c>
      <c r="H118" s="139"/>
      <c r="I118" s="139"/>
      <c r="J118" s="139">
        <v>25</v>
      </c>
      <c r="K118" s="139">
        <v>25</v>
      </c>
      <c r="L118" s="210"/>
      <c r="M118" s="210"/>
      <c r="N118" s="210"/>
      <c r="O118" s="210"/>
      <c r="P118" s="184">
        <f>IF(Table_Shelter[[#This Row],[Status]]="Open",IF(V118="NO",Table_Shelter[[#This Row],[HH per Shelter]]*(Table_Shelter[[#This Row],['# of Temporary Shelter Units Built]]+Table_Shelter[[#This Row],['# of Temporary Shelter Under  Construction]]+Table_Shelter[[#This Row],['# of Permanent House Under Construction]]),0),0)</f>
        <v>25</v>
      </c>
      <c r="Q118" s="138"/>
      <c r="R118" s="210"/>
      <c r="S118" s="211" t="str">
        <f>IFERROR(VLOOKUP(Table_Shelter[[#This Row],[CampName]],CL,2,0),"")</f>
        <v>MMR001CMP027</v>
      </c>
      <c r="T118" s="211" t="str">
        <f>IFERROR(VLOOKUP(Table_Shelter[[#This Row],[CampName]],CL,3,0),"")</f>
        <v>Open</v>
      </c>
      <c r="U118" s="332">
        <f>IFERROR(Table_Shelter[[#This Row],[HH Covered]]/VLOOKUP(Table_Shelter[[#This Row],[CampName]],CL,4,0),"")</f>
        <v>1.1363636363636365</v>
      </c>
      <c r="V118" s="552" t="s">
        <v>1310</v>
      </c>
      <c r="W118" s="333"/>
    </row>
    <row r="119" spans="1:23" ht="15" customHeight="1" x14ac:dyDescent="0.25">
      <c r="A119" s="334"/>
      <c r="B119" s="210" t="s">
        <v>455</v>
      </c>
      <c r="C119" s="210" t="s">
        <v>508</v>
      </c>
      <c r="D119" s="213" t="s">
        <v>380</v>
      </c>
      <c r="E119" s="435" t="s">
        <v>310</v>
      </c>
      <c r="F119" s="210" t="s">
        <v>322</v>
      </c>
      <c r="G119" s="139">
        <v>1</v>
      </c>
      <c r="H119" s="139"/>
      <c r="I119" s="139"/>
      <c r="J119" s="143">
        <v>604</v>
      </c>
      <c r="K119" s="139">
        <v>604</v>
      </c>
      <c r="L119" s="210"/>
      <c r="M119" s="210"/>
      <c r="N119" s="210"/>
      <c r="O119" s="210"/>
      <c r="P119" s="184">
        <f>IF(Table_Shelter[[#This Row],[Status]]="Open",IF(V119="NO",Table_Shelter[[#This Row],[HH per Shelter]]*(Table_Shelter[[#This Row],['# of Temporary Shelter Units Built]]+Table_Shelter[[#This Row],['# of Temporary Shelter Under  Construction]]+Table_Shelter[[#This Row],['# of Permanent House Under Construction]]),0),0)</f>
        <v>604</v>
      </c>
      <c r="Q119" s="138"/>
      <c r="R119" s="210"/>
      <c r="S119" s="211" t="str">
        <f>IFERROR(VLOOKUP(Table_Shelter[[#This Row],[CampName]],CL,2,0),"")</f>
        <v>MMR001CMP119</v>
      </c>
      <c r="T119" s="211" t="str">
        <f>IFERROR(VLOOKUP(Table_Shelter[[#This Row],[CampName]],CL,3,0),"")</f>
        <v>Open</v>
      </c>
      <c r="U119" s="332">
        <f>IFERROR(Table_Shelter[[#This Row],[HH Covered]]/VLOOKUP(Table_Shelter[[#This Row],[CampName]],CL,4,0),"")</f>
        <v>1.0307167235494881</v>
      </c>
      <c r="V119" s="552" t="s">
        <v>1310</v>
      </c>
      <c r="W119" s="333"/>
    </row>
    <row r="120" spans="1:23" s="182" customFormat="1" ht="15" customHeight="1" x14ac:dyDescent="0.25">
      <c r="A120" s="334"/>
      <c r="B120" s="210"/>
      <c r="C120" s="210"/>
      <c r="D120" s="210" t="s">
        <v>380</v>
      </c>
      <c r="E120" s="435" t="s">
        <v>185</v>
      </c>
      <c r="F120" s="210" t="s">
        <v>200</v>
      </c>
      <c r="G120" s="139">
        <v>1</v>
      </c>
      <c r="H120" s="139"/>
      <c r="I120" s="139"/>
      <c r="J120" s="139">
        <v>92</v>
      </c>
      <c r="K120" s="139">
        <v>92</v>
      </c>
      <c r="L120" s="210"/>
      <c r="M120" s="210"/>
      <c r="N120" s="210"/>
      <c r="O120" s="210"/>
      <c r="P120" s="184">
        <f>IF(Table_Shelter[[#This Row],[Status]]="Open",IF(V120="NO",Table_Shelter[[#This Row],[HH per Shelter]]*(Table_Shelter[[#This Row],['# of Temporary Shelter Units Built]]+Table_Shelter[[#This Row],['# of Temporary Shelter Under  Construction]]+Table_Shelter[[#This Row],['# of Permanent House Under Construction]]),0),0)</f>
        <v>92</v>
      </c>
      <c r="Q120" s="138"/>
      <c r="R120" s="210"/>
      <c r="S120" s="211" t="str">
        <f>IFERROR(VLOOKUP(Table_Shelter[[#This Row],[CampName]],CL,2,0),"")</f>
        <v>MMR001CMP064</v>
      </c>
      <c r="T120" s="211" t="str">
        <f>IFERROR(VLOOKUP(Table_Shelter[[#This Row],[CampName]],CL,3,0),"")</f>
        <v>Open</v>
      </c>
      <c r="U120" s="332">
        <f>IFERROR(Table_Shelter[[#This Row],[HH Covered]]/VLOOKUP(Table_Shelter[[#This Row],[CampName]],CL,4,0),"")</f>
        <v>46</v>
      </c>
      <c r="V120" s="552" t="s">
        <v>1310</v>
      </c>
      <c r="W120" s="333"/>
    </row>
    <row r="121" spans="1:23" ht="15" customHeight="1" x14ac:dyDescent="0.25">
      <c r="A121" s="334">
        <v>41609</v>
      </c>
      <c r="B121" s="210" t="s">
        <v>454</v>
      </c>
      <c r="C121" s="210" t="s">
        <v>507</v>
      </c>
      <c r="D121" s="210" t="s">
        <v>380</v>
      </c>
      <c r="E121" s="215" t="s">
        <v>310</v>
      </c>
      <c r="F121" s="210" t="s">
        <v>328</v>
      </c>
      <c r="G121" s="139">
        <v>1</v>
      </c>
      <c r="H121" s="139"/>
      <c r="I121" s="139"/>
      <c r="J121" s="139">
        <v>35</v>
      </c>
      <c r="K121" s="139">
        <v>35</v>
      </c>
      <c r="L121" s="210"/>
      <c r="M121" s="210"/>
      <c r="N121" s="210"/>
      <c r="O121" s="210"/>
      <c r="P121" s="142">
        <f>IF(Table_Shelter[[#This Row],[Status]]="Open",IF(V121="NO",Table_Shelter[[#This Row],[HH per Shelter]]*(Table_Shelter[[#This Row],['# of Temporary Shelter Units Built]]+Table_Shelter[[#This Row],['# of Temporary Shelter Under  Construction]]+Table_Shelter[[#This Row],['# of Permanent House Under Construction]]),0),0)</f>
        <v>35</v>
      </c>
      <c r="Q121" s="138"/>
      <c r="R121" s="138"/>
      <c r="S121" s="142" t="str">
        <f>IFERROR(VLOOKUP(Table_Shelter[[#This Row],[CampName]],CL,2,0),"")</f>
        <v>MMR001CMP031</v>
      </c>
      <c r="T121" s="142" t="str">
        <f>IFERROR(VLOOKUP(Table_Shelter[[#This Row],[CampName]],CL,3,0),"")</f>
        <v>Open</v>
      </c>
      <c r="U121" s="332">
        <f>IFERROR(Table_Shelter[[#This Row],[HH Covered]]/VLOOKUP(Table_Shelter[[#This Row],[CampName]],CL,4,0),"")</f>
        <v>0.24475524475524477</v>
      </c>
      <c r="V121" s="552" t="s">
        <v>1310</v>
      </c>
      <c r="W121" s="336"/>
    </row>
    <row r="122" spans="1:23" ht="15" customHeight="1" x14ac:dyDescent="0.25">
      <c r="A122" s="334"/>
      <c r="B122" s="210" t="s">
        <v>454</v>
      </c>
      <c r="C122" s="210" t="s">
        <v>507</v>
      </c>
      <c r="D122" s="210" t="s">
        <v>380</v>
      </c>
      <c r="E122" s="215" t="s">
        <v>310</v>
      </c>
      <c r="F122" s="210" t="s">
        <v>328</v>
      </c>
      <c r="G122" s="139">
        <v>1</v>
      </c>
      <c r="H122" s="139"/>
      <c r="I122" s="139"/>
      <c r="J122" s="139">
        <v>54</v>
      </c>
      <c r="K122" s="139">
        <v>54</v>
      </c>
      <c r="L122" s="210"/>
      <c r="M122" s="210"/>
      <c r="N122" s="210"/>
      <c r="O122" s="210"/>
      <c r="P122" s="184">
        <f>IF(Table_Shelter[[#This Row],[Status]]="Open",IF(V122="NO",Table_Shelter[[#This Row],[HH per Shelter]]*(Table_Shelter[[#This Row],['# of Temporary Shelter Units Built]]+Table_Shelter[[#This Row],['# of Temporary Shelter Under  Construction]]+Table_Shelter[[#This Row],['# of Permanent House Under Construction]]),0),0)</f>
        <v>54</v>
      </c>
      <c r="Q122" s="138"/>
      <c r="R122" s="210"/>
      <c r="S122" s="211" t="str">
        <f>IFERROR(VLOOKUP(Table_Shelter[[#This Row],[CampName]],CL,2,0),"")</f>
        <v>MMR001CMP031</v>
      </c>
      <c r="T122" s="211" t="str">
        <f>IFERROR(VLOOKUP(Table_Shelter[[#This Row],[CampName]],CL,3,0),"")</f>
        <v>Open</v>
      </c>
      <c r="U122" s="332">
        <f>IFERROR(Table_Shelter[[#This Row],[HH Covered]]/VLOOKUP(Table_Shelter[[#This Row],[CampName]],CL,4,0),"")</f>
        <v>0.3776223776223776</v>
      </c>
      <c r="V122" s="552" t="s">
        <v>1310</v>
      </c>
      <c r="W122" s="333"/>
    </row>
    <row r="123" spans="1:23" ht="15" customHeight="1" x14ac:dyDescent="0.25">
      <c r="A123" s="334"/>
      <c r="B123" s="210" t="s">
        <v>571</v>
      </c>
      <c r="C123" s="210"/>
      <c r="D123" s="210" t="s">
        <v>380</v>
      </c>
      <c r="E123" s="435" t="s">
        <v>310</v>
      </c>
      <c r="F123" s="210" t="s">
        <v>328</v>
      </c>
      <c r="G123" s="139">
        <v>1</v>
      </c>
      <c r="H123" s="139"/>
      <c r="I123" s="139"/>
      <c r="J123" s="139">
        <v>18</v>
      </c>
      <c r="K123" s="139">
        <v>18</v>
      </c>
      <c r="L123" s="210"/>
      <c r="M123" s="210"/>
      <c r="N123" s="210"/>
      <c r="O123" s="210"/>
      <c r="P123" s="184">
        <f>IF(Table_Shelter[[#This Row],[Status]]="Open",IF(V123="NO",Table_Shelter[[#This Row],[HH per Shelter]]*(Table_Shelter[[#This Row],['# of Temporary Shelter Units Built]]+Table_Shelter[[#This Row],['# of Temporary Shelter Under  Construction]]+Table_Shelter[[#This Row],['# of Permanent House Under Construction]]),0),0)</f>
        <v>18</v>
      </c>
      <c r="Q123" s="138"/>
      <c r="R123" s="210"/>
      <c r="S123" s="211" t="str">
        <f>IFERROR(VLOOKUP(Table_Shelter[[#This Row],[CampName]],CL,2,0),"")</f>
        <v>MMR001CMP031</v>
      </c>
      <c r="T123" s="211" t="str">
        <f>IFERROR(VLOOKUP(Table_Shelter[[#This Row],[CampName]],CL,3,0),"")</f>
        <v>Open</v>
      </c>
      <c r="U123" s="332">
        <f>IFERROR(Table_Shelter[[#This Row],[HH Covered]]/VLOOKUP(Table_Shelter[[#This Row],[CampName]],CL,4,0),"")</f>
        <v>0.12587412587412589</v>
      </c>
      <c r="V123" s="552" t="s">
        <v>1310</v>
      </c>
      <c r="W123" s="333"/>
    </row>
    <row r="124" spans="1:23" ht="15" customHeight="1" x14ac:dyDescent="0.25">
      <c r="A124" s="335"/>
      <c r="B124" s="212" t="s">
        <v>455</v>
      </c>
      <c r="C124" s="212" t="s">
        <v>508</v>
      </c>
      <c r="D124" s="214" t="s">
        <v>380</v>
      </c>
      <c r="E124" s="217" t="s">
        <v>310</v>
      </c>
      <c r="F124" s="212" t="s">
        <v>330</v>
      </c>
      <c r="G124" s="143">
        <v>1</v>
      </c>
      <c r="H124" s="143"/>
      <c r="I124" s="143"/>
      <c r="J124" s="337">
        <v>12</v>
      </c>
      <c r="K124" s="220">
        <v>12</v>
      </c>
      <c r="L124" s="212"/>
      <c r="M124" s="212"/>
      <c r="N124" s="212"/>
      <c r="O124" s="212"/>
      <c r="P124" s="184">
        <f>IF(Table_Shelter[[#This Row],[Status]]="Open",IF(V124="NO",Table_Shelter[[#This Row],[HH per Shelter]]*(Table_Shelter[[#This Row],['# of Temporary Shelter Units Built]]+Table_Shelter[[#This Row],['# of Temporary Shelter Under  Construction]]+Table_Shelter[[#This Row],['# of Permanent House Under Construction]]),0),0)</f>
        <v>12</v>
      </c>
      <c r="Q124" s="142"/>
      <c r="R124" s="212"/>
      <c r="S124" s="211" t="str">
        <f>IFERROR(VLOOKUP(Table_Shelter[[#This Row],[CampName]],CL,2,0),"")</f>
        <v>MMR001CMP029</v>
      </c>
      <c r="T124" s="211" t="str">
        <f>IFERROR(VLOOKUP(Table_Shelter[[#This Row],[CampName]],CL,3,0),"")</f>
        <v>Open</v>
      </c>
      <c r="U124" s="332">
        <f>IFERROR(Table_Shelter[[#This Row],[HH Covered]]/VLOOKUP(Table_Shelter[[#This Row],[CampName]],CL,4,0),"")</f>
        <v>5.4054054054054057E-2</v>
      </c>
      <c r="V124" s="552" t="s">
        <v>1310</v>
      </c>
      <c r="W124" s="333"/>
    </row>
    <row r="125" spans="1:23" ht="15" customHeight="1" x14ac:dyDescent="0.25">
      <c r="A125" s="335"/>
      <c r="B125" s="212" t="s">
        <v>454</v>
      </c>
      <c r="C125" s="212" t="s">
        <v>508</v>
      </c>
      <c r="D125" s="212" t="s">
        <v>380</v>
      </c>
      <c r="E125" s="217" t="s">
        <v>310</v>
      </c>
      <c r="F125" s="212" t="s">
        <v>330</v>
      </c>
      <c r="G125" s="143">
        <v>1</v>
      </c>
      <c r="H125" s="143"/>
      <c r="I125" s="143"/>
      <c r="J125" s="143">
        <v>78</v>
      </c>
      <c r="K125" s="143">
        <v>78</v>
      </c>
      <c r="L125" s="212"/>
      <c r="M125" s="212"/>
      <c r="N125" s="212"/>
      <c r="O125" s="212"/>
      <c r="P125" s="184">
        <f>IF(Table_Shelter[[#This Row],[Status]]="Open",IF(V125="NO",Table_Shelter[[#This Row],[HH per Shelter]]*(Table_Shelter[[#This Row],['# of Temporary Shelter Units Built]]+Table_Shelter[[#This Row],['# of Temporary Shelter Under  Construction]]+Table_Shelter[[#This Row],['# of Permanent House Under Construction]]),0),0)</f>
        <v>78</v>
      </c>
      <c r="Q125" s="142">
        <v>138</v>
      </c>
      <c r="R125" s="212"/>
      <c r="S125" s="211" t="str">
        <f>IFERROR(VLOOKUP(Table_Shelter[[#This Row],[CampName]],CL,2,0),"")</f>
        <v>MMR001CMP029</v>
      </c>
      <c r="T125" s="211" t="str">
        <f>IFERROR(VLOOKUP(Table_Shelter[[#This Row],[CampName]],CL,3,0),"")</f>
        <v>Open</v>
      </c>
      <c r="U125" s="332">
        <f>IFERROR(Table_Shelter[[#This Row],[HH Covered]]/VLOOKUP(Table_Shelter[[#This Row],[CampName]],CL,4,0),"")</f>
        <v>0.35135135135135137</v>
      </c>
      <c r="V125" s="552" t="s">
        <v>1310</v>
      </c>
      <c r="W125" s="333"/>
    </row>
    <row r="126" spans="1:23" ht="15" customHeight="1" x14ac:dyDescent="0.25">
      <c r="A126" s="334"/>
      <c r="B126" s="210" t="s">
        <v>454</v>
      </c>
      <c r="C126" s="210"/>
      <c r="D126" s="210" t="s">
        <v>380</v>
      </c>
      <c r="E126" s="435" t="s">
        <v>310</v>
      </c>
      <c r="F126" s="210" t="s">
        <v>330</v>
      </c>
      <c r="G126" s="139">
        <v>1</v>
      </c>
      <c r="H126" s="139"/>
      <c r="I126" s="139"/>
      <c r="J126" s="139">
        <v>120</v>
      </c>
      <c r="K126" s="139">
        <v>120</v>
      </c>
      <c r="L126" s="210"/>
      <c r="M126" s="210"/>
      <c r="N126" s="210"/>
      <c r="O126" s="210"/>
      <c r="P126" s="184">
        <f>IF(Table_Shelter[[#This Row],[Status]]="Open",IF(V126="NO",Table_Shelter[[#This Row],[HH per Shelter]]*(Table_Shelter[[#This Row],['# of Temporary Shelter Units Built]]+Table_Shelter[[#This Row],['# of Temporary Shelter Under  Construction]]+Table_Shelter[[#This Row],['# of Permanent House Under Construction]]),0),0)</f>
        <v>120</v>
      </c>
      <c r="Q126" s="138"/>
      <c r="R126" s="210"/>
      <c r="S126" s="211" t="str">
        <f>IFERROR(VLOOKUP(Table_Shelter[[#This Row],[CampName]],CL,2,0),"")</f>
        <v>MMR001CMP029</v>
      </c>
      <c r="T126" s="211" t="str">
        <f>IFERROR(VLOOKUP(Table_Shelter[[#This Row],[CampName]],CL,3,0),"")</f>
        <v>Open</v>
      </c>
      <c r="U126" s="332">
        <f>IFERROR(Table_Shelter[[#This Row],[HH Covered]]/VLOOKUP(Table_Shelter[[#This Row],[CampName]],CL,4,0),"")</f>
        <v>0.54054054054054057</v>
      </c>
      <c r="V126" s="552" t="s">
        <v>1310</v>
      </c>
      <c r="W126" s="333"/>
    </row>
    <row r="127" spans="1:23" ht="15" customHeight="1" x14ac:dyDescent="0.25">
      <c r="A127" s="331"/>
      <c r="B127" s="211" t="s">
        <v>572</v>
      </c>
      <c r="C127" s="211" t="s">
        <v>462</v>
      </c>
      <c r="D127" s="211" t="s">
        <v>380</v>
      </c>
      <c r="E127" s="216" t="s">
        <v>310</v>
      </c>
      <c r="F127" s="211" t="s">
        <v>324</v>
      </c>
      <c r="G127" s="183">
        <v>1</v>
      </c>
      <c r="H127" s="183"/>
      <c r="I127" s="183"/>
      <c r="J127" s="183">
        <v>50</v>
      </c>
      <c r="K127" s="183">
        <v>50</v>
      </c>
      <c r="L127" s="211"/>
      <c r="M127" s="211"/>
      <c r="N127" s="211"/>
      <c r="O127" s="211"/>
      <c r="P127" s="184">
        <f>IF(Table_Shelter[[#This Row],[Status]]="Open",IF(V127="NO",Table_Shelter[[#This Row],[HH per Shelter]]*(Table_Shelter[[#This Row],['# of Temporary Shelter Units Built]]+Table_Shelter[[#This Row],['# of Temporary Shelter Under  Construction]]+Table_Shelter[[#This Row],['# of Permanent House Under Construction]]),0),0)</f>
        <v>50</v>
      </c>
      <c r="Q127" s="184"/>
      <c r="R127" s="211"/>
      <c r="S127" s="211" t="str">
        <f>IFERROR(VLOOKUP(Table_Shelter[[#This Row],[CampName]],CL,2,0),"")</f>
        <v>MMR001CMP040</v>
      </c>
      <c r="T127" s="211" t="str">
        <f>IFERROR(VLOOKUP(Table_Shelter[[#This Row],[CampName]],CL,3,0),"")</f>
        <v>Open</v>
      </c>
      <c r="U127" s="332">
        <f>IFERROR(Table_Shelter[[#This Row],[HH Covered]]/VLOOKUP(Table_Shelter[[#This Row],[CampName]],CL,4,0),"")</f>
        <v>0.12626262626262627</v>
      </c>
      <c r="V127" s="552" t="s">
        <v>1310</v>
      </c>
      <c r="W127" s="333"/>
    </row>
    <row r="128" spans="1:23" ht="15" customHeight="1" x14ac:dyDescent="0.25">
      <c r="A128" s="331"/>
      <c r="B128" s="211" t="s">
        <v>454</v>
      </c>
      <c r="C128" s="211" t="s">
        <v>462</v>
      </c>
      <c r="D128" s="211" t="s">
        <v>380</v>
      </c>
      <c r="E128" s="216" t="s">
        <v>310</v>
      </c>
      <c r="F128" s="211" t="s">
        <v>324</v>
      </c>
      <c r="G128" s="183">
        <v>1</v>
      </c>
      <c r="H128" s="183"/>
      <c r="I128" s="183"/>
      <c r="J128" s="183">
        <v>400</v>
      </c>
      <c r="K128" s="183">
        <v>400</v>
      </c>
      <c r="L128" s="211"/>
      <c r="M128" s="211"/>
      <c r="N128" s="211"/>
      <c r="O128" s="211"/>
      <c r="P128" s="184">
        <f>IF(Table_Shelter[[#This Row],[Status]]="Open",IF(V128="NO",Table_Shelter[[#This Row],[HH per Shelter]]*(Table_Shelter[[#This Row],['# of Temporary Shelter Units Built]]+Table_Shelter[[#This Row],['# of Temporary Shelter Under  Construction]]+Table_Shelter[[#This Row],['# of Permanent House Under Construction]]),0),0)</f>
        <v>400</v>
      </c>
      <c r="Q128" s="184"/>
      <c r="R128" s="211"/>
      <c r="S128" s="211" t="str">
        <f>IFERROR(VLOOKUP(Table_Shelter[[#This Row],[CampName]],CL,2,0),"")</f>
        <v>MMR001CMP040</v>
      </c>
      <c r="T128" s="211" t="str">
        <f>IFERROR(VLOOKUP(Table_Shelter[[#This Row],[CampName]],CL,3,0),"")</f>
        <v>Open</v>
      </c>
      <c r="U128" s="332">
        <f>IFERROR(Table_Shelter[[#This Row],[HH Covered]]/VLOOKUP(Table_Shelter[[#This Row],[CampName]],CL,4,0),"")</f>
        <v>1.0101010101010102</v>
      </c>
      <c r="V128" s="552" t="s">
        <v>1310</v>
      </c>
      <c r="W128" s="333"/>
    </row>
    <row r="129" spans="1:23" ht="15" customHeight="1" x14ac:dyDescent="0.25">
      <c r="A129" s="331"/>
      <c r="B129" s="211" t="s">
        <v>852</v>
      </c>
      <c r="C129" s="211" t="s">
        <v>462</v>
      </c>
      <c r="D129" s="211" t="s">
        <v>380</v>
      </c>
      <c r="E129" s="216" t="s">
        <v>310</v>
      </c>
      <c r="F129" s="211" t="s">
        <v>324</v>
      </c>
      <c r="G129" s="183">
        <v>1</v>
      </c>
      <c r="H129" s="183"/>
      <c r="I129" s="183"/>
      <c r="J129" s="183">
        <v>10</v>
      </c>
      <c r="K129" s="183">
        <v>10</v>
      </c>
      <c r="L129" s="211"/>
      <c r="M129" s="211"/>
      <c r="N129" s="211"/>
      <c r="O129" s="211"/>
      <c r="P129" s="184">
        <f>IF(Table_Shelter[[#This Row],[Status]]="Open",IF(V129="NO",Table_Shelter[[#This Row],[HH per Shelter]]*(Table_Shelter[[#This Row],['# of Temporary Shelter Units Built]]+Table_Shelter[[#This Row],['# of Temporary Shelter Under  Construction]]+Table_Shelter[[#This Row],['# of Permanent House Under Construction]]),0),0)</f>
        <v>10</v>
      </c>
      <c r="Q129" s="184"/>
      <c r="R129" s="211"/>
      <c r="S129" s="211" t="str">
        <f>IFERROR(VLOOKUP(Table_Shelter[[#This Row],[CampName]],CL,2,0),"")</f>
        <v>MMR001CMP040</v>
      </c>
      <c r="T129" s="211" t="str">
        <f>IFERROR(VLOOKUP(Table_Shelter[[#This Row],[CampName]],CL,3,0),"")</f>
        <v>Open</v>
      </c>
      <c r="U129" s="332">
        <f>IFERROR(Table_Shelter[[#This Row],[HH Covered]]/VLOOKUP(Table_Shelter[[#This Row],[CampName]],CL,4,0),"")</f>
        <v>2.5252525252525252E-2</v>
      </c>
      <c r="V129" s="552" t="s">
        <v>1310</v>
      </c>
      <c r="W129" s="333"/>
    </row>
    <row r="130" spans="1:23" ht="15" customHeight="1" x14ac:dyDescent="0.25">
      <c r="A130" s="605">
        <v>42502</v>
      </c>
      <c r="B130" s="606" t="s">
        <v>454</v>
      </c>
      <c r="C130" s="607" t="s">
        <v>462</v>
      </c>
      <c r="D130" s="608" t="s">
        <v>380</v>
      </c>
      <c r="E130" s="435" t="s">
        <v>310</v>
      </c>
      <c r="F130" s="606" t="s">
        <v>326</v>
      </c>
      <c r="G130" s="606">
        <v>1</v>
      </c>
      <c r="H130" s="607"/>
      <c r="I130" s="607"/>
      <c r="J130" s="607"/>
      <c r="K130" s="607"/>
      <c r="L130" s="607"/>
      <c r="M130" s="607"/>
      <c r="N130" s="607"/>
      <c r="O130" s="607"/>
      <c r="P130" s="609">
        <f>IF(Table_Shelter[[#This Row],[Status]]="Open",IF(V130="NO",Table_Shelter[[#This Row],[HH per Shelter]]*(Table_Shelter[[#This Row],['# of Temporary Shelter Units Built]]+Table_Shelter[[#This Row],['# of Temporary Shelter Under  Construction]]+Table_Shelter[[#This Row],['# of Permanent House Under Construction]]),0),0)</f>
        <v>0</v>
      </c>
      <c r="Q130" s="609">
        <v>30</v>
      </c>
      <c r="R130" s="609"/>
      <c r="S130" s="610" t="str">
        <f>IFERROR(VLOOKUP(Table_Shelter[[#This Row],[CampName]],CL,2,0),"")</f>
        <v>MMR001CMP039</v>
      </c>
      <c r="T130" s="611" t="str">
        <f>IFERROR(VLOOKUP(Table_Shelter[[#This Row],[CampName]],CL,3,0),"")</f>
        <v>Open</v>
      </c>
      <c r="U130" s="612">
        <f>IFERROR(Table_Shelter[[#This Row],[HH Covered]]/VLOOKUP(Table_Shelter[[#This Row],[CampName]],CL,4,0),"")</f>
        <v>0</v>
      </c>
      <c r="V130" s="604" t="s">
        <v>1310</v>
      </c>
      <c r="W130" s="613"/>
    </row>
    <row r="131" spans="1:23" ht="15" customHeight="1" x14ac:dyDescent="0.25">
      <c r="A131" s="603"/>
      <c r="B131" s="212" t="s">
        <v>454</v>
      </c>
      <c r="C131" s="212" t="s">
        <v>462</v>
      </c>
      <c r="D131" s="212" t="s">
        <v>380</v>
      </c>
      <c r="E131" s="217" t="s">
        <v>310</v>
      </c>
      <c r="F131" s="212" t="s">
        <v>326</v>
      </c>
      <c r="G131" s="143">
        <v>1</v>
      </c>
      <c r="H131" s="143"/>
      <c r="I131" s="143"/>
      <c r="J131" s="143">
        <v>30</v>
      </c>
      <c r="K131" s="143">
        <v>30</v>
      </c>
      <c r="L131" s="212"/>
      <c r="M131" s="212"/>
      <c r="N131" s="212"/>
      <c r="O131" s="212"/>
      <c r="P131" s="184">
        <f>IF(Table_Shelter[[#This Row],[Status]]="Open",IF(V131="NO",Table_Shelter[[#This Row],[HH per Shelter]]*(Table_Shelter[[#This Row],['# of Temporary Shelter Units Built]]+Table_Shelter[[#This Row],['# of Temporary Shelter Under  Construction]]+Table_Shelter[[#This Row],['# of Permanent House Under Construction]]),0),0)</f>
        <v>30</v>
      </c>
      <c r="Q131" s="142"/>
      <c r="R131" s="212"/>
      <c r="S131" s="211" t="str">
        <f>IFERROR(VLOOKUP(Table_Shelter[[#This Row],[CampName]],CL,2,0),"")</f>
        <v>MMR001CMP039</v>
      </c>
      <c r="T131" s="211" t="str">
        <f>IFERROR(VLOOKUP(Table_Shelter[[#This Row],[CampName]],CL,3,0),"")</f>
        <v>Open</v>
      </c>
      <c r="U131" s="332">
        <f>IFERROR(Table_Shelter[[#This Row],[HH Covered]]/VLOOKUP(Table_Shelter[[#This Row],[CampName]],CL,4,0),"")</f>
        <v>0.65217391304347827</v>
      </c>
      <c r="V131" s="552" t="s">
        <v>1310</v>
      </c>
      <c r="W131" s="333"/>
    </row>
    <row r="132" spans="1:23" ht="15" customHeight="1" x14ac:dyDescent="0.25">
      <c r="A132" s="603"/>
      <c r="B132" s="212" t="s">
        <v>571</v>
      </c>
      <c r="C132" s="212"/>
      <c r="D132" s="212" t="s">
        <v>380</v>
      </c>
      <c r="E132" s="217" t="s">
        <v>310</v>
      </c>
      <c r="F132" s="212" t="s">
        <v>326</v>
      </c>
      <c r="G132" s="143">
        <v>1</v>
      </c>
      <c r="H132" s="143"/>
      <c r="I132" s="143"/>
      <c r="J132" s="143">
        <v>10</v>
      </c>
      <c r="K132" s="143">
        <v>10</v>
      </c>
      <c r="L132" s="212"/>
      <c r="M132" s="212"/>
      <c r="N132" s="212"/>
      <c r="O132" s="212"/>
      <c r="P132" s="184">
        <f>IF(Table_Shelter[[#This Row],[Status]]="Open",IF(V132="NO",Table_Shelter[[#This Row],[HH per Shelter]]*(Table_Shelter[[#This Row],['# of Temporary Shelter Units Built]]+Table_Shelter[[#This Row],['# of Temporary Shelter Under  Construction]]+Table_Shelter[[#This Row],['# of Permanent House Under Construction]]),0),0)</f>
        <v>10</v>
      </c>
      <c r="Q132" s="142"/>
      <c r="R132" s="212"/>
      <c r="S132" s="211" t="str">
        <f>IFERROR(VLOOKUP(Table_Shelter[[#This Row],[CampName]],CL,2,0),"")</f>
        <v>MMR001CMP039</v>
      </c>
      <c r="T132" s="211" t="str">
        <f>IFERROR(VLOOKUP(Table_Shelter[[#This Row],[CampName]],CL,3,0),"")</f>
        <v>Open</v>
      </c>
      <c r="U132" s="332">
        <f>IFERROR(Table_Shelter[[#This Row],[HH Covered]]/VLOOKUP(Table_Shelter[[#This Row],[CampName]],CL,4,0),"")</f>
        <v>0.21739130434782608</v>
      </c>
      <c r="V132" s="552" t="s">
        <v>1310</v>
      </c>
      <c r="W132" s="333"/>
    </row>
    <row r="133" spans="1:23" ht="15" customHeight="1" x14ac:dyDescent="0.25">
      <c r="A133" s="605">
        <v>42502</v>
      </c>
      <c r="B133" s="606" t="s">
        <v>454</v>
      </c>
      <c r="C133" s="607" t="s">
        <v>462</v>
      </c>
      <c r="D133" s="608" t="s">
        <v>380</v>
      </c>
      <c r="E133" s="614" t="s">
        <v>151</v>
      </c>
      <c r="F133" s="606" t="s">
        <v>887</v>
      </c>
      <c r="G133" s="606">
        <v>1</v>
      </c>
      <c r="H133" s="607"/>
      <c r="I133" s="607"/>
      <c r="J133" s="607">
        <v>85</v>
      </c>
      <c r="K133" s="607"/>
      <c r="L133" s="607">
        <v>85</v>
      </c>
      <c r="M133" s="607"/>
      <c r="N133" s="607"/>
      <c r="O133" s="607"/>
      <c r="P133" s="609">
        <f>IF(Table_Shelter[[#This Row],[Status]]="Open",IF(V133="NO",Table_Shelter[[#This Row],[HH per Shelter]]*(Table_Shelter[[#This Row],['# of Temporary Shelter Units Built]]+Table_Shelter[[#This Row],['# of Temporary Shelter Under  Construction]]+Table_Shelter[[#This Row],['# of Permanent House Under Construction]]),0),0)</f>
        <v>85</v>
      </c>
      <c r="Q133" s="609"/>
      <c r="R133" s="609"/>
      <c r="S133" s="610" t="str">
        <f>IFERROR(VLOOKUP(Table_Shelter[[#This Row],[CampName]],CL,2,0),"")</f>
        <v>MMR001CMP218</v>
      </c>
      <c r="T133" s="611" t="str">
        <f>IFERROR(VLOOKUP(Table_Shelter[[#This Row],[CampName]],CL,3,0),"")</f>
        <v>Open</v>
      </c>
      <c r="U133" s="612">
        <f>IFERROR(Table_Shelter[[#This Row],[HH Covered]]/VLOOKUP(Table_Shelter[[#This Row],[CampName]],CL,4,0),"")</f>
        <v>0.23287671232876711</v>
      </c>
      <c r="V133" s="655" t="s">
        <v>1310</v>
      </c>
      <c r="W133" s="613"/>
    </row>
    <row r="134" spans="1:23" ht="15" customHeight="1" x14ac:dyDescent="0.25">
      <c r="A134" s="603">
        <v>41791</v>
      </c>
      <c r="B134" s="212" t="s">
        <v>454</v>
      </c>
      <c r="C134" s="212" t="s">
        <v>462</v>
      </c>
      <c r="D134" s="212" t="s">
        <v>380</v>
      </c>
      <c r="E134" s="217" t="s">
        <v>151</v>
      </c>
      <c r="F134" s="212" t="s">
        <v>887</v>
      </c>
      <c r="G134" s="143">
        <v>1</v>
      </c>
      <c r="H134" s="143"/>
      <c r="I134" s="143"/>
      <c r="J134" s="143">
        <v>60</v>
      </c>
      <c r="K134" s="143">
        <v>60</v>
      </c>
      <c r="L134" s="212"/>
      <c r="M134" s="212"/>
      <c r="N134" s="212"/>
      <c r="O134" s="212"/>
      <c r="P134" s="184">
        <f>IF(Table_Shelter[[#This Row],[Status]]="Open",IF(V134="NO",Table_Shelter[[#This Row],[HH per Shelter]]*(Table_Shelter[[#This Row],['# of Temporary Shelter Units Built]]+Table_Shelter[[#This Row],['# of Temporary Shelter Under  Construction]]+Table_Shelter[[#This Row],['# of Permanent House Under Construction]]),0),0)</f>
        <v>60</v>
      </c>
      <c r="Q134" s="142"/>
      <c r="R134" s="212"/>
      <c r="S134" s="211" t="str">
        <f>IFERROR(VLOOKUP(Table_Shelter[[#This Row],[CampName]],CL,2,0),"")</f>
        <v>MMR001CMP218</v>
      </c>
      <c r="T134" s="211" t="str">
        <f>IFERROR(VLOOKUP(Table_Shelter[[#This Row],[CampName]],CL,3,0),"")</f>
        <v>Open</v>
      </c>
      <c r="U134" s="332">
        <f>IFERROR(Table_Shelter[[#This Row],[HH Covered]]/VLOOKUP(Table_Shelter[[#This Row],[CampName]],CL,4,0),"")</f>
        <v>0.16438356164383561</v>
      </c>
      <c r="V134" s="552" t="s">
        <v>1310</v>
      </c>
      <c r="W134" s="333"/>
    </row>
    <row r="135" spans="1:23" ht="15" customHeight="1" x14ac:dyDescent="0.25">
      <c r="A135" s="603"/>
      <c r="B135" s="212" t="s">
        <v>849</v>
      </c>
      <c r="C135" s="212" t="s">
        <v>462</v>
      </c>
      <c r="D135" s="212" t="s">
        <v>380</v>
      </c>
      <c r="E135" s="217" t="s">
        <v>151</v>
      </c>
      <c r="F135" s="212" t="s">
        <v>887</v>
      </c>
      <c r="G135" s="143">
        <v>1</v>
      </c>
      <c r="H135" s="143"/>
      <c r="I135" s="143"/>
      <c r="J135" s="143">
        <v>20</v>
      </c>
      <c r="K135" s="143">
        <v>20</v>
      </c>
      <c r="L135" s="212"/>
      <c r="M135" s="212"/>
      <c r="N135" s="212"/>
      <c r="O135" s="212"/>
      <c r="P135" s="184">
        <f>IF(Table_Shelter[[#This Row],[Status]]="Open",IF(V135="NO",Table_Shelter[[#This Row],[HH per Shelter]]*(Table_Shelter[[#This Row],['# of Temporary Shelter Units Built]]+Table_Shelter[[#This Row],['# of Temporary Shelter Under  Construction]]+Table_Shelter[[#This Row],['# of Permanent House Under Construction]]),0),0)</f>
        <v>20</v>
      </c>
      <c r="Q135" s="142"/>
      <c r="R135" s="212"/>
      <c r="S135" s="211" t="str">
        <f>IFERROR(VLOOKUP(Table_Shelter[[#This Row],[CampName]],CL,2,0),"")</f>
        <v>MMR001CMP218</v>
      </c>
      <c r="T135" s="211" t="str">
        <f>IFERROR(VLOOKUP(Table_Shelter[[#This Row],[CampName]],CL,3,0),"")</f>
        <v>Open</v>
      </c>
      <c r="U135" s="332">
        <f>IFERROR(Table_Shelter[[#This Row],[HH Covered]]/VLOOKUP(Table_Shelter[[#This Row],[CampName]],CL,4,0),"")</f>
        <v>5.4794520547945202E-2</v>
      </c>
      <c r="V135" s="552" t="s">
        <v>1310</v>
      </c>
      <c r="W135" s="333"/>
    </row>
    <row r="136" spans="1:23" ht="15" customHeight="1" x14ac:dyDescent="0.25">
      <c r="A136" s="603"/>
      <c r="B136" s="212" t="s">
        <v>455</v>
      </c>
      <c r="C136" s="212"/>
      <c r="D136" s="212" t="s">
        <v>380</v>
      </c>
      <c r="E136" s="217" t="s">
        <v>151</v>
      </c>
      <c r="F136" s="212" t="s">
        <v>887</v>
      </c>
      <c r="G136" s="143">
        <v>1</v>
      </c>
      <c r="H136" s="143"/>
      <c r="I136" s="143"/>
      <c r="J136" s="143">
        <v>144</v>
      </c>
      <c r="K136" s="143">
        <v>144</v>
      </c>
      <c r="L136" s="212"/>
      <c r="M136" s="212"/>
      <c r="N136" s="212"/>
      <c r="O136" s="212"/>
      <c r="P136" s="184">
        <f>IF(Table_Shelter[[#This Row],[Status]]="Open",IF(V136="NO",Table_Shelter[[#This Row],[HH per Shelter]]*(Table_Shelter[[#This Row],['# of Temporary Shelter Units Built]]+Table_Shelter[[#This Row],['# of Temporary Shelter Under  Construction]]+Table_Shelter[[#This Row],['# of Permanent House Under Construction]]),0),0)</f>
        <v>144</v>
      </c>
      <c r="Q136" s="142"/>
      <c r="R136" s="212"/>
      <c r="S136" s="211" t="str">
        <f>IFERROR(VLOOKUP(Table_Shelter[[#This Row],[CampName]],CL,2,0),"")</f>
        <v>MMR001CMP218</v>
      </c>
      <c r="T136" s="211" t="str">
        <f>IFERROR(VLOOKUP(Table_Shelter[[#This Row],[CampName]],CL,3,0),"")</f>
        <v>Open</v>
      </c>
      <c r="U136" s="332">
        <f>IFERROR(Table_Shelter[[#This Row],[HH Covered]]/VLOOKUP(Table_Shelter[[#This Row],[CampName]],CL,4,0),"")</f>
        <v>0.39452054794520547</v>
      </c>
      <c r="V136" s="552" t="s">
        <v>1310</v>
      </c>
      <c r="W136" s="333"/>
    </row>
    <row r="137" spans="1:23" ht="15" customHeight="1" x14ac:dyDescent="0.25">
      <c r="A137" s="603"/>
      <c r="B137" s="212" t="s">
        <v>1102</v>
      </c>
      <c r="C137" s="212"/>
      <c r="D137" s="212" t="s">
        <v>380</v>
      </c>
      <c r="E137" s="217" t="s">
        <v>151</v>
      </c>
      <c r="F137" s="212" t="s">
        <v>945</v>
      </c>
      <c r="G137" s="143">
        <v>1</v>
      </c>
      <c r="H137" s="143"/>
      <c r="I137" s="143"/>
      <c r="J137" s="143">
        <v>20</v>
      </c>
      <c r="K137" s="143">
        <v>20</v>
      </c>
      <c r="L137" s="212"/>
      <c r="M137" s="212"/>
      <c r="N137" s="212"/>
      <c r="O137" s="212"/>
      <c r="P137" s="184">
        <f>IF(Table_Shelter[[#This Row],[Status]]="Open",IF(V137="NO",Table_Shelter[[#This Row],[HH per Shelter]]*(Table_Shelter[[#This Row],['# of Temporary Shelter Units Built]]+Table_Shelter[[#This Row],['# of Temporary Shelter Under  Construction]]+Table_Shelter[[#This Row],['# of Permanent House Under Construction]]),0),0)</f>
        <v>20</v>
      </c>
      <c r="Q137" s="142"/>
      <c r="R137" s="212"/>
      <c r="S137" s="211" t="str">
        <f>IFERROR(VLOOKUP(Table_Shelter[[#This Row],[CampName]],CL,2,0),"")</f>
        <v>MMR001CMP223</v>
      </c>
      <c r="T137" s="211" t="str">
        <f>IFERROR(VLOOKUP(Table_Shelter[[#This Row],[CampName]],CL,3,0),"")</f>
        <v>Open</v>
      </c>
      <c r="U137" s="332">
        <f>IFERROR(Table_Shelter[[#This Row],[HH Covered]]/VLOOKUP(Table_Shelter[[#This Row],[CampName]],CL,4,0),"")</f>
        <v>0.16260162601626016</v>
      </c>
      <c r="V137" s="552" t="s">
        <v>1310</v>
      </c>
      <c r="W137" s="333"/>
    </row>
    <row r="138" spans="1:23" ht="15" customHeight="1" x14ac:dyDescent="0.25">
      <c r="A138" s="603"/>
      <c r="B138" s="212"/>
      <c r="C138" s="212"/>
      <c r="D138" s="212" t="s">
        <v>380</v>
      </c>
      <c r="E138" s="217" t="s">
        <v>151</v>
      </c>
      <c r="F138" s="212" t="s">
        <v>945</v>
      </c>
      <c r="G138" s="143">
        <v>1</v>
      </c>
      <c r="H138" s="143"/>
      <c r="I138" s="143"/>
      <c r="J138" s="143">
        <v>30</v>
      </c>
      <c r="K138" s="143">
        <v>30</v>
      </c>
      <c r="L138" s="212"/>
      <c r="M138" s="212"/>
      <c r="N138" s="212"/>
      <c r="O138" s="212"/>
      <c r="P138" s="184">
        <f>IF(Table_Shelter[[#This Row],[Status]]="Open",IF(V138="NO",Table_Shelter[[#This Row],[HH per Shelter]]*(Table_Shelter[[#This Row],['# of Temporary Shelter Units Built]]+Table_Shelter[[#This Row],['# of Temporary Shelter Under  Construction]]+Table_Shelter[[#This Row],['# of Permanent House Under Construction]]),0),0)</f>
        <v>30</v>
      </c>
      <c r="Q138" s="142"/>
      <c r="R138" s="212"/>
      <c r="S138" s="211" t="str">
        <f>IFERROR(VLOOKUP(Table_Shelter[[#This Row],[CampName]],CL,2,0),"")</f>
        <v>MMR001CMP223</v>
      </c>
      <c r="T138" s="211" t="str">
        <f>IFERROR(VLOOKUP(Table_Shelter[[#This Row],[CampName]],CL,3,0),"")</f>
        <v>Open</v>
      </c>
      <c r="U138" s="332">
        <f>IFERROR(Table_Shelter[[#This Row],[HH Covered]]/VLOOKUP(Table_Shelter[[#This Row],[CampName]],CL,4,0),"")</f>
        <v>0.24390243902439024</v>
      </c>
      <c r="V138" s="552" t="s">
        <v>1310</v>
      </c>
      <c r="W138" s="333"/>
    </row>
    <row r="139" spans="1:23" ht="15" customHeight="1" x14ac:dyDescent="0.25">
      <c r="A139" s="603"/>
      <c r="B139" s="212" t="s">
        <v>454</v>
      </c>
      <c r="C139" s="212" t="s">
        <v>462</v>
      </c>
      <c r="D139" s="212" t="s">
        <v>380</v>
      </c>
      <c r="E139" s="217" t="s">
        <v>237</v>
      </c>
      <c r="F139" s="212" t="s">
        <v>259</v>
      </c>
      <c r="G139" s="143">
        <v>1</v>
      </c>
      <c r="H139" s="143"/>
      <c r="I139" s="143"/>
      <c r="J139" s="143">
        <v>20</v>
      </c>
      <c r="K139" s="143">
        <v>20</v>
      </c>
      <c r="L139" s="212"/>
      <c r="M139" s="212"/>
      <c r="N139" s="212"/>
      <c r="O139" s="212"/>
      <c r="P139" s="184">
        <f>IF(Table_Shelter[[#This Row],[Status]]="Open",IF(V139="NO",Table_Shelter[[#This Row],[HH per Shelter]]*(Table_Shelter[[#This Row],['# of Temporary Shelter Units Built]]+Table_Shelter[[#This Row],['# of Temporary Shelter Under  Construction]]+Table_Shelter[[#This Row],['# of Permanent House Under Construction]]),0),0)</f>
        <v>20</v>
      </c>
      <c r="Q139" s="142"/>
      <c r="R139" s="212"/>
      <c r="S139" s="211" t="str">
        <f>IFERROR(VLOOKUP(Table_Shelter[[#This Row],[CampName]],CL,2,0),"")</f>
        <v>MMR001CMP016</v>
      </c>
      <c r="T139" s="211" t="str">
        <f>IFERROR(VLOOKUP(Table_Shelter[[#This Row],[CampName]],CL,3,0),"")</f>
        <v>Open</v>
      </c>
      <c r="U139" s="332">
        <f>IFERROR(Table_Shelter[[#This Row],[HH Covered]]/VLOOKUP(Table_Shelter[[#This Row],[CampName]],CL,4,0),"")</f>
        <v>0.33333333333333331</v>
      </c>
      <c r="V139" s="552" t="s">
        <v>1310</v>
      </c>
      <c r="W139" s="333"/>
    </row>
    <row r="140" spans="1:23" ht="15" customHeight="1" x14ac:dyDescent="0.25">
      <c r="A140" s="334">
        <v>41809</v>
      </c>
      <c r="B140" s="210" t="s">
        <v>454</v>
      </c>
      <c r="C140" s="210" t="s">
        <v>461</v>
      </c>
      <c r="D140" s="210" t="s">
        <v>380</v>
      </c>
      <c r="E140" s="435" t="s">
        <v>185</v>
      </c>
      <c r="F140" s="210" t="s">
        <v>202</v>
      </c>
      <c r="G140" s="139">
        <v>1</v>
      </c>
      <c r="H140" s="139"/>
      <c r="I140" s="139"/>
      <c r="J140" s="139">
        <v>80</v>
      </c>
      <c r="K140" s="139">
        <v>80</v>
      </c>
      <c r="L140" s="210"/>
      <c r="M140" s="210"/>
      <c r="N140" s="210"/>
      <c r="O140" s="210"/>
      <c r="P140" s="184">
        <f>IF(Table_Shelter[[#This Row],[Status]]="Open",IF(V140="NO",Table_Shelter[[#This Row],[HH per Shelter]]*(Table_Shelter[[#This Row],['# of Temporary Shelter Units Built]]+Table_Shelter[[#This Row],['# of Temporary Shelter Under  Construction]]+Table_Shelter[[#This Row],['# of Permanent House Under Construction]]),0),0)</f>
        <v>80</v>
      </c>
      <c r="Q140" s="138"/>
      <c r="R140" s="210"/>
      <c r="S140" s="211" t="str">
        <f>IFERROR(VLOOKUP(Table_Shelter[[#This Row],[CampName]],CL,2,0),"")</f>
        <v>MMR001CMP062</v>
      </c>
      <c r="T140" s="211" t="str">
        <f>IFERROR(VLOOKUP(Table_Shelter[[#This Row],[CampName]],CL,3,0),"")</f>
        <v>Open</v>
      </c>
      <c r="U140" s="332">
        <f>IFERROR(Table_Shelter[[#This Row],[HH Covered]]/VLOOKUP(Table_Shelter[[#This Row],[CampName]],CL,4,0),"")</f>
        <v>0.3065134099616858</v>
      </c>
      <c r="V140" s="552" t="s">
        <v>1310</v>
      </c>
      <c r="W140" s="333"/>
    </row>
    <row r="141" spans="1:23" ht="15" customHeight="1" x14ac:dyDescent="0.25">
      <c r="A141" s="334"/>
      <c r="B141" s="210" t="s">
        <v>848</v>
      </c>
      <c r="C141" s="210"/>
      <c r="D141" s="210" t="s">
        <v>380</v>
      </c>
      <c r="E141" s="435" t="s">
        <v>185</v>
      </c>
      <c r="F141" s="210" t="s">
        <v>202</v>
      </c>
      <c r="G141" s="139">
        <v>1</v>
      </c>
      <c r="H141" s="139"/>
      <c r="I141" s="139"/>
      <c r="J141" s="139">
        <v>18</v>
      </c>
      <c r="K141" s="139">
        <v>18</v>
      </c>
      <c r="L141" s="210"/>
      <c r="M141" s="210"/>
      <c r="N141" s="210"/>
      <c r="O141" s="210"/>
      <c r="P141" s="184">
        <f>IF(Table_Shelter[[#This Row],[Status]]="Open",IF(V141="NO",Table_Shelter[[#This Row],[HH per Shelter]]*(Table_Shelter[[#This Row],['# of Temporary Shelter Units Built]]+Table_Shelter[[#This Row],['# of Temporary Shelter Under  Construction]]+Table_Shelter[[#This Row],['# of Permanent House Under Construction]]),0),0)</f>
        <v>18</v>
      </c>
      <c r="Q141" s="138"/>
      <c r="R141" s="210"/>
      <c r="S141" s="211" t="str">
        <f>IFERROR(VLOOKUP(Table_Shelter[[#This Row],[CampName]],CL,2,0),"")</f>
        <v>MMR001CMP062</v>
      </c>
      <c r="T141" s="211" t="str">
        <f>IFERROR(VLOOKUP(Table_Shelter[[#This Row],[CampName]],CL,3,0),"")</f>
        <v>Open</v>
      </c>
      <c r="U141" s="332">
        <f>IFERROR(Table_Shelter[[#This Row],[HH Covered]]/VLOOKUP(Table_Shelter[[#This Row],[CampName]],CL,4,0),"")</f>
        <v>6.8965517241379309E-2</v>
      </c>
      <c r="V141" s="552" t="s">
        <v>1310</v>
      </c>
      <c r="W141" s="333"/>
    </row>
    <row r="142" spans="1:23" ht="15" customHeight="1" x14ac:dyDescent="0.25">
      <c r="A142" s="334"/>
      <c r="B142" s="210" t="s">
        <v>454</v>
      </c>
      <c r="C142" s="210"/>
      <c r="D142" s="210" t="s">
        <v>380</v>
      </c>
      <c r="E142" s="435" t="s">
        <v>185</v>
      </c>
      <c r="F142" s="210" t="s">
        <v>202</v>
      </c>
      <c r="G142" s="139">
        <v>1</v>
      </c>
      <c r="H142" s="139"/>
      <c r="I142" s="139"/>
      <c r="J142" s="139">
        <v>55</v>
      </c>
      <c r="K142" s="139">
        <v>55</v>
      </c>
      <c r="L142" s="210"/>
      <c r="M142" s="210"/>
      <c r="N142" s="210"/>
      <c r="O142" s="210"/>
      <c r="P142" s="184">
        <f>IF(Table_Shelter[[#This Row],[Status]]="Open",IF(V142="NO",Table_Shelter[[#This Row],[HH per Shelter]]*(Table_Shelter[[#This Row],['# of Temporary Shelter Units Built]]+Table_Shelter[[#This Row],['# of Temporary Shelter Under  Construction]]+Table_Shelter[[#This Row],['# of Permanent House Under Construction]]),0),0)</f>
        <v>55</v>
      </c>
      <c r="Q142" s="138"/>
      <c r="R142" s="210"/>
      <c r="S142" s="211" t="str">
        <f>IFERROR(VLOOKUP(Table_Shelter[[#This Row],[CampName]],CL,2,0),"")</f>
        <v>MMR001CMP062</v>
      </c>
      <c r="T142" s="211" t="str">
        <f>IFERROR(VLOOKUP(Table_Shelter[[#This Row],[CampName]],CL,3,0),"")</f>
        <v>Open</v>
      </c>
      <c r="U142" s="332">
        <f>IFERROR(Table_Shelter[[#This Row],[HH Covered]]/VLOOKUP(Table_Shelter[[#This Row],[CampName]],CL,4,0),"")</f>
        <v>0.21072796934865901</v>
      </c>
      <c r="V142" s="552" t="s">
        <v>1310</v>
      </c>
      <c r="W142" s="333"/>
    </row>
    <row r="143" spans="1:23" ht="15" customHeight="1" x14ac:dyDescent="0.25">
      <c r="A143" s="334"/>
      <c r="B143" s="210" t="s">
        <v>454</v>
      </c>
      <c r="C143" s="210" t="s">
        <v>462</v>
      </c>
      <c r="D143" s="210" t="s">
        <v>380</v>
      </c>
      <c r="E143" s="435" t="s">
        <v>237</v>
      </c>
      <c r="F143" s="210" t="s">
        <v>261</v>
      </c>
      <c r="G143" s="139">
        <v>1</v>
      </c>
      <c r="H143" s="139"/>
      <c r="I143" s="139"/>
      <c r="J143" s="139">
        <v>60</v>
      </c>
      <c r="K143" s="139">
        <v>60</v>
      </c>
      <c r="L143" s="210"/>
      <c r="M143" s="210"/>
      <c r="N143" s="210"/>
      <c r="O143" s="210"/>
      <c r="P143" s="184">
        <f>IF(Table_Shelter[[#This Row],[Status]]="Open",IF(V143="NO",Table_Shelter[[#This Row],[HH per Shelter]]*(Table_Shelter[[#This Row],['# of Temporary Shelter Units Built]]+Table_Shelter[[#This Row],['# of Temporary Shelter Under  Construction]]+Table_Shelter[[#This Row],['# of Permanent House Under Construction]]),0),0)</f>
        <v>60</v>
      </c>
      <c r="Q143" s="138"/>
      <c r="R143" s="210"/>
      <c r="S143" s="211" t="str">
        <f>IFERROR(VLOOKUP(Table_Shelter[[#This Row],[CampName]],CL,2,0),"")</f>
        <v>MMR001CMP008</v>
      </c>
      <c r="T143" s="211" t="str">
        <f>IFERROR(VLOOKUP(Table_Shelter[[#This Row],[CampName]],CL,3,0),"")</f>
        <v>Open</v>
      </c>
      <c r="U143" s="332">
        <f>IFERROR(Table_Shelter[[#This Row],[HH Covered]]/VLOOKUP(Table_Shelter[[#This Row],[CampName]],CL,4,0),"")</f>
        <v>0.59405940594059403</v>
      </c>
      <c r="V143" s="552" t="s">
        <v>1310</v>
      </c>
      <c r="W143" s="333"/>
    </row>
    <row r="144" spans="1:23" ht="15" customHeight="1" x14ac:dyDescent="0.25">
      <c r="A144" s="334"/>
      <c r="B144" s="210" t="s">
        <v>454</v>
      </c>
      <c r="C144" s="210"/>
      <c r="D144" s="210" t="s">
        <v>380</v>
      </c>
      <c r="E144" s="435" t="s">
        <v>237</v>
      </c>
      <c r="F144" s="210" t="s">
        <v>261</v>
      </c>
      <c r="G144" s="139">
        <v>1</v>
      </c>
      <c r="H144" s="139"/>
      <c r="I144" s="139"/>
      <c r="J144" s="139">
        <v>20</v>
      </c>
      <c r="K144" s="139">
        <v>20</v>
      </c>
      <c r="L144" s="210"/>
      <c r="M144" s="210"/>
      <c r="N144" s="210"/>
      <c r="O144" s="210"/>
      <c r="P144" s="184">
        <f>IF(Table_Shelter[[#This Row],[Status]]="Open",IF(V144="NO",Table_Shelter[[#This Row],[HH per Shelter]]*(Table_Shelter[[#This Row],['# of Temporary Shelter Units Built]]+Table_Shelter[[#This Row],['# of Temporary Shelter Under  Construction]]+Table_Shelter[[#This Row],['# of Permanent House Under Construction]]),0),0)</f>
        <v>20</v>
      </c>
      <c r="Q144" s="138"/>
      <c r="R144" s="210"/>
      <c r="S144" s="211" t="str">
        <f>IFERROR(VLOOKUP(Table_Shelter[[#This Row],[CampName]],CL,2,0),"")</f>
        <v>MMR001CMP008</v>
      </c>
      <c r="T144" s="211" t="str">
        <f>IFERROR(VLOOKUP(Table_Shelter[[#This Row],[CampName]],CL,3,0),"")</f>
        <v>Open</v>
      </c>
      <c r="U144" s="332">
        <f>IFERROR(Table_Shelter[[#This Row],[HH Covered]]/VLOOKUP(Table_Shelter[[#This Row],[CampName]],CL,4,0),"")</f>
        <v>0.19801980198019803</v>
      </c>
      <c r="V144" s="552" t="s">
        <v>1310</v>
      </c>
      <c r="W144" s="333"/>
    </row>
    <row r="145" spans="1:23" ht="15" customHeight="1" x14ac:dyDescent="0.25">
      <c r="A145" s="334">
        <v>41749</v>
      </c>
      <c r="B145" s="210" t="s">
        <v>454</v>
      </c>
      <c r="C145" s="210"/>
      <c r="D145" s="210" t="s">
        <v>380</v>
      </c>
      <c r="E145" s="435" t="s">
        <v>151</v>
      </c>
      <c r="F145" s="210" t="s">
        <v>878</v>
      </c>
      <c r="G145" s="139">
        <v>1</v>
      </c>
      <c r="H145" s="139">
        <v>200</v>
      </c>
      <c r="I145" s="139">
        <v>200</v>
      </c>
      <c r="J145" s="139"/>
      <c r="K145" s="139"/>
      <c r="L145" s="210"/>
      <c r="M145" s="210"/>
      <c r="N145" s="210"/>
      <c r="O145" s="210"/>
      <c r="P145" s="184">
        <f>IF(Table_Shelter[[#This Row],[Status]]="Open",IF(V145="NO",Table_Shelter[[#This Row],[HH per Shelter]]*(Table_Shelter[[#This Row],['# of Temporary Shelter Units Built]]+Table_Shelter[[#This Row],['# of Temporary Shelter Under  Construction]]+Table_Shelter[[#This Row],['# of Permanent House Under Construction]]),0),0)</f>
        <v>0</v>
      </c>
      <c r="Q145" s="138"/>
      <c r="R145" s="210"/>
      <c r="S145" s="211" t="str">
        <f>IFERROR(VLOOKUP(Table_Shelter[[#This Row],[CampName]],CL,2,0),"")</f>
        <v>MMR001CMP212</v>
      </c>
      <c r="T145" s="211" t="str">
        <f>IFERROR(VLOOKUP(Table_Shelter[[#This Row],[CampName]],CL,3,0),"")</f>
        <v>Closed</v>
      </c>
      <c r="U145" s="332" t="str">
        <f>IFERROR(Table_Shelter[[#This Row],[HH Covered]]/VLOOKUP(Table_Shelter[[#This Row],[CampName]],CL,4,0),"")</f>
        <v/>
      </c>
      <c r="V145" s="552" t="s">
        <v>1310</v>
      </c>
      <c r="W145" s="333"/>
    </row>
    <row r="146" spans="1:23" ht="15" customHeight="1" x14ac:dyDescent="0.25">
      <c r="A146" s="334"/>
      <c r="B146" s="210" t="s">
        <v>455</v>
      </c>
      <c r="C146" s="210" t="s">
        <v>462</v>
      </c>
      <c r="D146" s="210" t="s">
        <v>380</v>
      </c>
      <c r="E146" s="435" t="s">
        <v>151</v>
      </c>
      <c r="F146" s="210" t="s">
        <v>160</v>
      </c>
      <c r="G146" s="139">
        <v>1</v>
      </c>
      <c r="H146" s="139"/>
      <c r="I146" s="139"/>
      <c r="J146" s="139">
        <v>39</v>
      </c>
      <c r="K146" s="139">
        <v>39</v>
      </c>
      <c r="L146" s="210"/>
      <c r="M146" s="210"/>
      <c r="N146" s="210"/>
      <c r="O146" s="210"/>
      <c r="P146" s="184">
        <f>IF(Table_Shelter[[#This Row],[Status]]="Open",IF(V146="NO",Table_Shelter[[#This Row],[HH per Shelter]]*(Table_Shelter[[#This Row],['# of Temporary Shelter Units Built]]+Table_Shelter[[#This Row],['# of Temporary Shelter Under  Construction]]+Table_Shelter[[#This Row],['# of Permanent House Under Construction]]),0),0)</f>
        <v>39</v>
      </c>
      <c r="Q146" s="138"/>
      <c r="R146" s="210"/>
      <c r="S146" s="211" t="str">
        <f>IFERROR(VLOOKUP(Table_Shelter[[#This Row],[CampName]],CL,2,0),"")</f>
        <v>MMR001CMP133</v>
      </c>
      <c r="T146" s="211" t="str">
        <f>IFERROR(VLOOKUP(Table_Shelter[[#This Row],[CampName]],CL,3,0),"")</f>
        <v>Open</v>
      </c>
      <c r="U146" s="332">
        <f>IFERROR(Table_Shelter[[#This Row],[HH Covered]]/VLOOKUP(Table_Shelter[[#This Row],[CampName]],CL,4,0),"")</f>
        <v>0.3644859813084112</v>
      </c>
      <c r="V146" s="552" t="s">
        <v>1310</v>
      </c>
      <c r="W146" s="333"/>
    </row>
    <row r="147" spans="1:23" ht="15" customHeight="1" x14ac:dyDescent="0.25">
      <c r="A147" s="334"/>
      <c r="B147" s="210" t="s">
        <v>848</v>
      </c>
      <c r="C147" s="210"/>
      <c r="D147" s="210" t="s">
        <v>380</v>
      </c>
      <c r="E147" s="435" t="s">
        <v>151</v>
      </c>
      <c r="F147" s="210" t="s">
        <v>160</v>
      </c>
      <c r="G147" s="139">
        <v>1</v>
      </c>
      <c r="H147" s="139"/>
      <c r="I147" s="139"/>
      <c r="J147" s="139">
        <v>15</v>
      </c>
      <c r="K147" s="139">
        <v>15</v>
      </c>
      <c r="L147" s="210"/>
      <c r="M147" s="210"/>
      <c r="N147" s="210"/>
      <c r="O147" s="210"/>
      <c r="P147" s="184">
        <f>IF(Table_Shelter[[#This Row],[Status]]="Open",IF(V147="NO",Table_Shelter[[#This Row],[HH per Shelter]]*(Table_Shelter[[#This Row],['# of Temporary Shelter Units Built]]+Table_Shelter[[#This Row],['# of Temporary Shelter Under  Construction]]+Table_Shelter[[#This Row],['# of Permanent House Under Construction]]),0),0)</f>
        <v>15</v>
      </c>
      <c r="Q147" s="138"/>
      <c r="R147" s="210"/>
      <c r="S147" s="211" t="str">
        <f>IFERROR(VLOOKUP(Table_Shelter[[#This Row],[CampName]],CL,2,0),"")</f>
        <v>MMR001CMP133</v>
      </c>
      <c r="T147" s="211" t="str">
        <f>IFERROR(VLOOKUP(Table_Shelter[[#This Row],[CampName]],CL,3,0),"")</f>
        <v>Open</v>
      </c>
      <c r="U147" s="332">
        <f>IFERROR(Table_Shelter[[#This Row],[HH Covered]]/VLOOKUP(Table_Shelter[[#This Row],[CampName]],CL,4,0),"")</f>
        <v>0.14018691588785046</v>
      </c>
      <c r="V147" s="552" t="s">
        <v>1310</v>
      </c>
      <c r="W147" s="333"/>
    </row>
    <row r="148" spans="1:23" ht="15" customHeight="1" x14ac:dyDescent="0.25">
      <c r="A148" s="334"/>
      <c r="B148" s="210" t="s">
        <v>454</v>
      </c>
      <c r="C148" s="210" t="s">
        <v>462</v>
      </c>
      <c r="D148" s="218" t="s">
        <v>380</v>
      </c>
      <c r="E148" s="435" t="s">
        <v>151</v>
      </c>
      <c r="F148" s="210" t="s">
        <v>160</v>
      </c>
      <c r="G148" s="139">
        <v>1</v>
      </c>
      <c r="H148" s="139"/>
      <c r="I148" s="139"/>
      <c r="J148" s="139">
        <v>20</v>
      </c>
      <c r="K148" s="139">
        <v>20</v>
      </c>
      <c r="L148" s="210"/>
      <c r="M148" s="210"/>
      <c r="N148" s="210"/>
      <c r="O148" s="210"/>
      <c r="P148" s="142">
        <f>IF(Table_Shelter[[#This Row],[Status]]="Open",IF(V148="NO",Table_Shelter[[#This Row],[HH per Shelter]]*(Table_Shelter[[#This Row],['# of Temporary Shelter Units Built]]+Table_Shelter[[#This Row],['# of Temporary Shelter Under  Construction]]+Table_Shelter[[#This Row],['# of Permanent House Under Construction]]),0),0)</f>
        <v>20</v>
      </c>
      <c r="Q148" s="138"/>
      <c r="R148" s="138"/>
      <c r="S148" s="142" t="str">
        <f>IFERROR(VLOOKUP(Table_Shelter[[#This Row],[CampName]],CL,2,0),"")</f>
        <v>MMR001CMP133</v>
      </c>
      <c r="T148" s="142" t="str">
        <f>IFERROR(VLOOKUP(Table_Shelter[[#This Row],[CampName]],CL,3,0),"")</f>
        <v>Open</v>
      </c>
      <c r="U148" s="332">
        <f>IFERROR(Table_Shelter[[#This Row],[HH Covered]]/VLOOKUP(Table_Shelter[[#This Row],[CampName]],CL,4,0),"")</f>
        <v>0.18691588785046728</v>
      </c>
      <c r="V148" s="552" t="s">
        <v>1310</v>
      </c>
      <c r="W148" s="336"/>
    </row>
    <row r="149" spans="1:23" ht="15" customHeight="1" x14ac:dyDescent="0.25">
      <c r="A149" s="603">
        <v>41748</v>
      </c>
      <c r="B149" s="212" t="s">
        <v>454</v>
      </c>
      <c r="C149" s="212"/>
      <c r="D149" s="212" t="s">
        <v>380</v>
      </c>
      <c r="E149" s="217" t="s">
        <v>151</v>
      </c>
      <c r="F149" s="212" t="s">
        <v>154</v>
      </c>
      <c r="G149" s="143">
        <v>1</v>
      </c>
      <c r="H149" s="143">
        <v>200</v>
      </c>
      <c r="I149" s="143">
        <v>200</v>
      </c>
      <c r="J149" s="143"/>
      <c r="K149" s="143"/>
      <c r="L149" s="212"/>
      <c r="M149" s="212"/>
      <c r="N149" s="212"/>
      <c r="O149" s="212"/>
      <c r="P149" s="184">
        <f>IF(Table_Shelter[[#This Row],[Status]]="Open",IF(V149="NO",Table_Shelter[[#This Row],[HH per Shelter]]*(Table_Shelter[[#This Row],['# of Temporary Shelter Units Built]]+Table_Shelter[[#This Row],['# of Temporary Shelter Under  Construction]]+Table_Shelter[[#This Row],['# of Permanent House Under Construction]]),0),0)</f>
        <v>0</v>
      </c>
      <c r="Q149" s="142"/>
      <c r="R149" s="212"/>
      <c r="S149" s="211" t="str">
        <f>IFERROR(VLOOKUP(Table_Shelter[[#This Row],[CampName]],CL,2,0),"")</f>
        <v>MMR001CMP132</v>
      </c>
      <c r="T149" s="211" t="str">
        <f>IFERROR(VLOOKUP(Table_Shelter[[#This Row],[CampName]],CL,3,0),"")</f>
        <v>Open</v>
      </c>
      <c r="U149" s="332">
        <f>IFERROR(Table_Shelter[[#This Row],[HH Covered]]/VLOOKUP(Table_Shelter[[#This Row],[CampName]],CL,4,0),"")</f>
        <v>0</v>
      </c>
      <c r="V149" s="552" t="s">
        <v>1310</v>
      </c>
      <c r="W149" s="333"/>
    </row>
    <row r="150" spans="1:23" ht="15" customHeight="1" x14ac:dyDescent="0.25">
      <c r="A150" s="334"/>
      <c r="B150" s="210" t="s">
        <v>454</v>
      </c>
      <c r="C150" s="210" t="s">
        <v>461</v>
      </c>
      <c r="D150" s="210" t="s">
        <v>380</v>
      </c>
      <c r="E150" s="435" t="s">
        <v>151</v>
      </c>
      <c r="F150" s="210" t="s">
        <v>154</v>
      </c>
      <c r="G150" s="139">
        <v>1</v>
      </c>
      <c r="H150" s="139"/>
      <c r="I150" s="139"/>
      <c r="J150" s="139">
        <v>200</v>
      </c>
      <c r="K150" s="139">
        <v>200</v>
      </c>
      <c r="L150" s="210"/>
      <c r="M150" s="210"/>
      <c r="N150" s="210"/>
      <c r="O150" s="210"/>
      <c r="P150" s="184">
        <f>IF(Table_Shelter[[#This Row],[Status]]="Open",IF(V150="NO",Table_Shelter[[#This Row],[HH per Shelter]]*(Table_Shelter[[#This Row],['# of Temporary Shelter Units Built]]+Table_Shelter[[#This Row],['# of Temporary Shelter Under  Construction]]+Table_Shelter[[#This Row],['# of Permanent House Under Construction]]),0),0)</f>
        <v>200</v>
      </c>
      <c r="Q150" s="138"/>
      <c r="R150" s="210"/>
      <c r="S150" s="211" t="str">
        <f>IFERROR(VLOOKUP(Table_Shelter[[#This Row],[CampName]],CL,2,0),"")</f>
        <v>MMR001CMP132</v>
      </c>
      <c r="T150" s="211" t="str">
        <f>IFERROR(VLOOKUP(Table_Shelter[[#This Row],[CampName]],CL,3,0),"")</f>
        <v>Open</v>
      </c>
      <c r="U150" s="332">
        <f>IFERROR(Table_Shelter[[#This Row],[HH Covered]]/VLOOKUP(Table_Shelter[[#This Row],[CampName]],CL,4,0),"")</f>
        <v>0.4366812227074236</v>
      </c>
      <c r="V150" s="552" t="s">
        <v>1310</v>
      </c>
      <c r="W150" s="333"/>
    </row>
    <row r="151" spans="1:23" ht="15" customHeight="1" x14ac:dyDescent="0.25">
      <c r="A151" s="334"/>
      <c r="B151" s="210" t="s">
        <v>848</v>
      </c>
      <c r="C151" s="210"/>
      <c r="D151" s="210" t="s">
        <v>380</v>
      </c>
      <c r="E151" s="215" t="s">
        <v>185</v>
      </c>
      <c r="F151" s="210" t="s">
        <v>207</v>
      </c>
      <c r="G151" s="139">
        <v>1</v>
      </c>
      <c r="H151" s="139"/>
      <c r="I151" s="139"/>
      <c r="J151" s="139">
        <v>6</v>
      </c>
      <c r="K151" s="139">
        <v>6</v>
      </c>
      <c r="L151" s="210"/>
      <c r="M151" s="210"/>
      <c r="N151" s="210"/>
      <c r="O151" s="210"/>
      <c r="P151" s="184">
        <f>IF(Table_Shelter[[#This Row],[Status]]="Open",IF(V151="NO",Table_Shelter[[#This Row],[HH per Shelter]]*(Table_Shelter[[#This Row],['# of Temporary Shelter Units Built]]+Table_Shelter[[#This Row],['# of Temporary Shelter Under  Construction]]+Table_Shelter[[#This Row],['# of Permanent House Under Construction]]),0),0)</f>
        <v>0</v>
      </c>
      <c r="Q151" s="138"/>
      <c r="R151" s="210"/>
      <c r="S151" s="211" t="str">
        <f>IFERROR(VLOOKUP(Table_Shelter[[#This Row],[CampName]],CL,2,0),"")</f>
        <v>MMR001CMP058</v>
      </c>
      <c r="T151" s="211" t="str">
        <f>IFERROR(VLOOKUP(Table_Shelter[[#This Row],[CampName]],CL,3,0),"")</f>
        <v>Closed</v>
      </c>
      <c r="U151" s="332" t="str">
        <f>IFERROR(Table_Shelter[[#This Row],[HH Covered]]/VLOOKUP(Table_Shelter[[#This Row],[CampName]],CL,4,0),"")</f>
        <v/>
      </c>
      <c r="V151" s="552" t="s">
        <v>1310</v>
      </c>
      <c r="W151" s="333"/>
    </row>
    <row r="152" spans="1:23" ht="15" customHeight="1" x14ac:dyDescent="0.25">
      <c r="A152" s="334"/>
      <c r="B152" s="210" t="s">
        <v>454</v>
      </c>
      <c r="C152" s="210" t="s">
        <v>507</v>
      </c>
      <c r="D152" s="210" t="s">
        <v>380</v>
      </c>
      <c r="E152" s="215" t="s">
        <v>185</v>
      </c>
      <c r="F152" s="210" t="s">
        <v>207</v>
      </c>
      <c r="G152" s="139">
        <v>1</v>
      </c>
      <c r="H152" s="139"/>
      <c r="I152" s="139"/>
      <c r="J152" s="139"/>
      <c r="K152" s="139"/>
      <c r="L152" s="210"/>
      <c r="M152" s="210"/>
      <c r="N152" s="210"/>
      <c r="O152" s="210"/>
      <c r="P152" s="184">
        <f>IF(Table_Shelter[[#This Row],[Status]]="Open",IF(V152="NO",Table_Shelter[[#This Row],[HH per Shelter]]*(Table_Shelter[[#This Row],['# of Temporary Shelter Units Built]]+Table_Shelter[[#This Row],['# of Temporary Shelter Under  Construction]]+Table_Shelter[[#This Row],['# of Permanent House Under Construction]]),0),0)</f>
        <v>0</v>
      </c>
      <c r="Q152" s="138">
        <v>5</v>
      </c>
      <c r="R152" s="210"/>
      <c r="S152" s="211" t="str">
        <f>IFERROR(VLOOKUP(Table_Shelter[[#This Row],[CampName]],CL,2,0),"")</f>
        <v>MMR001CMP058</v>
      </c>
      <c r="T152" s="211" t="str">
        <f>IFERROR(VLOOKUP(Table_Shelter[[#This Row],[CampName]],CL,3,0),"")</f>
        <v>Closed</v>
      </c>
      <c r="U152" s="332" t="str">
        <f>IFERROR(Table_Shelter[[#This Row],[HH Covered]]/VLOOKUP(Table_Shelter[[#This Row],[CampName]],CL,4,0),"")</f>
        <v/>
      </c>
      <c r="V152" s="552" t="s">
        <v>1310</v>
      </c>
      <c r="W152" s="333"/>
    </row>
    <row r="153" spans="1:23" ht="15" customHeight="1" x14ac:dyDescent="0.25">
      <c r="A153" s="334">
        <v>41609</v>
      </c>
      <c r="B153" s="210" t="s">
        <v>454</v>
      </c>
      <c r="C153" s="210" t="s">
        <v>462</v>
      </c>
      <c r="D153" s="210" t="s">
        <v>555</v>
      </c>
      <c r="E153" s="215" t="s">
        <v>166</v>
      </c>
      <c r="F153" s="210" t="s">
        <v>167</v>
      </c>
      <c r="G153" s="139">
        <v>1</v>
      </c>
      <c r="H153" s="139"/>
      <c r="I153" s="139"/>
      <c r="J153" s="139">
        <v>10</v>
      </c>
      <c r="K153" s="139">
        <v>10</v>
      </c>
      <c r="L153" s="210"/>
      <c r="M153" s="210"/>
      <c r="N153" s="210"/>
      <c r="O153" s="210"/>
      <c r="P153" s="142">
        <f>IF(Table_Shelter[[#This Row],[Status]]="Open",IF(V153="NO",Table_Shelter[[#This Row],[HH per Shelter]]*(Table_Shelter[[#This Row],['# of Temporary Shelter Units Built]]+Table_Shelter[[#This Row],['# of Temporary Shelter Under  Construction]]+Table_Shelter[[#This Row],['# of Permanent House Under Construction]]),0),0)</f>
        <v>10</v>
      </c>
      <c r="Q153" s="138"/>
      <c r="R153" s="138"/>
      <c r="S153" s="142" t="str">
        <f>IFERROR(VLOOKUP(Table_Shelter[[#This Row],[CampName]],CL,2,0),"")</f>
        <v>MMR015CMP009</v>
      </c>
      <c r="T153" s="142" t="str">
        <f>IFERROR(VLOOKUP(Table_Shelter[[#This Row],[CampName]],CL,3,0),"")</f>
        <v>Open</v>
      </c>
      <c r="U153" s="332">
        <f>IFERROR(Table_Shelter[[#This Row],[HH Covered]]/VLOOKUP(Table_Shelter[[#This Row],[CampName]],CL,4,0),"")</f>
        <v>0.27027027027027029</v>
      </c>
      <c r="V153" s="552" t="s">
        <v>1310</v>
      </c>
      <c r="W153" s="336"/>
    </row>
    <row r="154" spans="1:23" ht="15" customHeight="1" x14ac:dyDescent="0.25">
      <c r="A154" s="334"/>
      <c r="B154" s="210" t="s">
        <v>454</v>
      </c>
      <c r="C154" s="210" t="s">
        <v>462</v>
      </c>
      <c r="D154" s="210" t="s">
        <v>555</v>
      </c>
      <c r="E154" s="215" t="s">
        <v>166</v>
      </c>
      <c r="F154" s="210" t="s">
        <v>167</v>
      </c>
      <c r="G154" s="139">
        <v>1</v>
      </c>
      <c r="H154" s="139"/>
      <c r="I154" s="139"/>
      <c r="J154" s="139">
        <v>30</v>
      </c>
      <c r="K154" s="139">
        <v>30</v>
      </c>
      <c r="L154" s="210"/>
      <c r="M154" s="210"/>
      <c r="N154" s="210"/>
      <c r="O154" s="210"/>
      <c r="P154" s="184">
        <f>IF(Table_Shelter[[#This Row],[Status]]="Open",IF(V154="NO",Table_Shelter[[#This Row],[HH per Shelter]]*(Table_Shelter[[#This Row],['# of Temporary Shelter Units Built]]+Table_Shelter[[#This Row],['# of Temporary Shelter Under  Construction]]+Table_Shelter[[#This Row],['# of Permanent House Under Construction]]),0),0)</f>
        <v>30</v>
      </c>
      <c r="Q154" s="138"/>
      <c r="R154" s="210"/>
      <c r="S154" s="211" t="str">
        <f>IFERROR(VLOOKUP(Table_Shelter[[#This Row],[CampName]],CL,2,0),"")</f>
        <v>MMR015CMP009</v>
      </c>
      <c r="T154" s="211" t="str">
        <f>IFERROR(VLOOKUP(Table_Shelter[[#This Row],[CampName]],CL,3,0),"")</f>
        <v>Open</v>
      </c>
      <c r="U154" s="332">
        <f>IFERROR(Table_Shelter[[#This Row],[HH Covered]]/VLOOKUP(Table_Shelter[[#This Row],[CampName]],CL,4,0),"")</f>
        <v>0.81081081081081086</v>
      </c>
      <c r="V154" s="552" t="s">
        <v>1310</v>
      </c>
      <c r="W154" s="333"/>
    </row>
    <row r="155" spans="1:23" ht="15" customHeight="1" x14ac:dyDescent="0.25">
      <c r="A155" s="603">
        <v>41609</v>
      </c>
      <c r="B155" s="139" t="s">
        <v>454</v>
      </c>
      <c r="C155" s="139" t="s">
        <v>508</v>
      </c>
      <c r="D155" s="218" t="s">
        <v>555</v>
      </c>
      <c r="E155" s="219" t="s">
        <v>166</v>
      </c>
      <c r="F155" s="139" t="s">
        <v>824</v>
      </c>
      <c r="G155" s="139">
        <v>1</v>
      </c>
      <c r="H155" s="143"/>
      <c r="I155" s="143"/>
      <c r="J155" s="143">
        <v>30</v>
      </c>
      <c r="K155" s="143">
        <v>30</v>
      </c>
      <c r="L155" s="143"/>
      <c r="M155" s="143"/>
      <c r="N155" s="143"/>
      <c r="O155" s="143"/>
      <c r="P155" s="142">
        <f>IF(Table_Shelter[[#This Row],[Status]]="Open",IF(V155="NO",Table_Shelter[[#This Row],[HH per Shelter]]*(Table_Shelter[[#This Row],['# of Temporary Shelter Units Built]]+Table_Shelter[[#This Row],['# of Temporary Shelter Under  Construction]]+Table_Shelter[[#This Row],['# of Permanent House Under Construction]]),0),0)</f>
        <v>30</v>
      </c>
      <c r="Q155" s="142"/>
      <c r="R155" s="142"/>
      <c r="S155" s="142" t="str">
        <f>IFERROR(VLOOKUP(Table_Shelter[[#This Row],[CampName]],CL,2,0),"")</f>
        <v>MMR015CMP209</v>
      </c>
      <c r="T155" s="142" t="str">
        <f>IFERROR(VLOOKUP(Table_Shelter[[#This Row],[CampName]],CL,3,0),"")</f>
        <v>Open</v>
      </c>
      <c r="U155" s="338">
        <f>IFERROR(Table_Shelter[[#This Row],[HH Covered]]/VLOOKUP(Table_Shelter[[#This Row],[CampName]],CL,4,0),"")</f>
        <v>0.967741935483871</v>
      </c>
      <c r="V155" s="552" t="s">
        <v>1310</v>
      </c>
      <c r="W155" s="336"/>
    </row>
    <row r="156" spans="1:23" ht="15" customHeight="1" x14ac:dyDescent="0.25">
      <c r="A156" s="334"/>
      <c r="B156" s="210" t="s">
        <v>454</v>
      </c>
      <c r="C156" s="210" t="s">
        <v>462</v>
      </c>
      <c r="D156" s="210" t="s">
        <v>380</v>
      </c>
      <c r="E156" s="435" t="s">
        <v>173</v>
      </c>
      <c r="F156" s="210" t="s">
        <v>176</v>
      </c>
      <c r="G156" s="139">
        <v>1</v>
      </c>
      <c r="H156" s="139"/>
      <c r="I156" s="139"/>
      <c r="J156" s="139">
        <v>10</v>
      </c>
      <c r="K156" s="139">
        <v>10</v>
      </c>
      <c r="L156" s="210"/>
      <c r="M156" s="210"/>
      <c r="N156" s="210"/>
      <c r="O156" s="210"/>
      <c r="P156" s="184">
        <f>IF(Table_Shelter[[#This Row],[Status]]="Open",IF(V156="NO",Table_Shelter[[#This Row],[HH per Shelter]]*(Table_Shelter[[#This Row],['# of Temporary Shelter Units Built]]+Table_Shelter[[#This Row],['# of Temporary Shelter Under  Construction]]+Table_Shelter[[#This Row],['# of Permanent House Under Construction]]),0),0)</f>
        <v>10</v>
      </c>
      <c r="Q156" s="138"/>
      <c r="R156" s="210"/>
      <c r="S156" s="211" t="str">
        <f>IFERROR(VLOOKUP(Table_Shelter[[#This Row],[CampName]],CL,2,0),"")</f>
        <v>MMR001CMP077</v>
      </c>
      <c r="T156" s="211" t="str">
        <f>IFERROR(VLOOKUP(Table_Shelter[[#This Row],[CampName]],CL,3,0),"")</f>
        <v>Open</v>
      </c>
      <c r="U156" s="332">
        <f>IFERROR(Table_Shelter[[#This Row],[HH Covered]]/VLOOKUP(Table_Shelter[[#This Row],[CampName]],CL,4,0),"")</f>
        <v>0.58823529411764708</v>
      </c>
      <c r="V156" s="552" t="s">
        <v>1310</v>
      </c>
      <c r="W156" s="333"/>
    </row>
    <row r="157" spans="1:23" ht="15" customHeight="1" x14ac:dyDescent="0.25">
      <c r="A157" s="603">
        <v>41809</v>
      </c>
      <c r="B157" s="212" t="s">
        <v>848</v>
      </c>
      <c r="C157" s="212"/>
      <c r="D157" s="212" t="s">
        <v>380</v>
      </c>
      <c r="E157" s="217" t="s">
        <v>151</v>
      </c>
      <c r="F157" s="212" t="s">
        <v>152</v>
      </c>
      <c r="G157" s="143">
        <v>1</v>
      </c>
      <c r="H157" s="143"/>
      <c r="I157" s="143"/>
      <c r="J157" s="143">
        <v>56</v>
      </c>
      <c r="K157" s="143">
        <v>60</v>
      </c>
      <c r="L157" s="212"/>
      <c r="M157" s="212"/>
      <c r="N157" s="212"/>
      <c r="O157" s="212"/>
      <c r="P157" s="184">
        <f>IF(Table_Shelter[[#This Row],[Status]]="Open",IF(V157="NO",Table_Shelter[[#This Row],[HH per Shelter]]*(Table_Shelter[[#This Row],['# of Temporary Shelter Units Built]]+Table_Shelter[[#This Row],['# of Temporary Shelter Under  Construction]]+Table_Shelter[[#This Row],['# of Permanent House Under Construction]]),0),0)</f>
        <v>60</v>
      </c>
      <c r="Q157" s="142"/>
      <c r="R157" s="212"/>
      <c r="S157" s="211" t="str">
        <f>IFERROR(VLOOKUP(Table_Shelter[[#This Row],[CampName]],CL,2,0),"")</f>
        <v>MMR001CMP066</v>
      </c>
      <c r="T157" s="211" t="str">
        <f>IFERROR(VLOOKUP(Table_Shelter[[#This Row],[CampName]],CL,3,0),"")</f>
        <v>Open</v>
      </c>
      <c r="U157" s="332">
        <f>IFERROR(Table_Shelter[[#This Row],[HH Covered]]/VLOOKUP(Table_Shelter[[#This Row],[CampName]],CL,4,0),"")</f>
        <v>0.27149321266968324</v>
      </c>
      <c r="V157" s="552" t="s">
        <v>1310</v>
      </c>
      <c r="W157" s="333"/>
    </row>
    <row r="158" spans="1:23" ht="15" customHeight="1" x14ac:dyDescent="0.25">
      <c r="A158" s="334">
        <v>41791</v>
      </c>
      <c r="B158" s="210" t="s">
        <v>454</v>
      </c>
      <c r="C158" s="210" t="s">
        <v>462</v>
      </c>
      <c r="D158" s="210" t="s">
        <v>380</v>
      </c>
      <c r="E158" s="435" t="s">
        <v>151</v>
      </c>
      <c r="F158" s="210" t="s">
        <v>152</v>
      </c>
      <c r="G158" s="139">
        <v>1</v>
      </c>
      <c r="H158" s="139"/>
      <c r="I158" s="139"/>
      <c r="J158" s="139">
        <v>15</v>
      </c>
      <c r="K158" s="139">
        <v>15</v>
      </c>
      <c r="L158" s="210"/>
      <c r="M158" s="210"/>
      <c r="N158" s="210"/>
      <c r="O158" s="210"/>
      <c r="P158" s="142">
        <f>IF(Table_Shelter[[#This Row],[Status]]="Open",IF(V158="NO",Table_Shelter[[#This Row],[HH per Shelter]]*(Table_Shelter[[#This Row],['# of Temporary Shelter Units Built]]+Table_Shelter[[#This Row],['# of Temporary Shelter Under  Construction]]+Table_Shelter[[#This Row],['# of Permanent House Under Construction]]),0),0)</f>
        <v>15</v>
      </c>
      <c r="Q158" s="138"/>
      <c r="R158" s="138"/>
      <c r="S158" s="142" t="str">
        <f>IFERROR(VLOOKUP(Table_Shelter[[#This Row],[CampName]],CL,2,0),"")</f>
        <v>MMR001CMP066</v>
      </c>
      <c r="T158" s="142" t="str">
        <f>IFERROR(VLOOKUP(Table_Shelter[[#This Row],[CampName]],CL,3,0),"")</f>
        <v>Open</v>
      </c>
      <c r="U158" s="332">
        <f>IFERROR(Table_Shelter[[#This Row],[HH Covered]]/VLOOKUP(Table_Shelter[[#This Row],[CampName]],CL,4,0),"")</f>
        <v>6.7873303167420809E-2</v>
      </c>
      <c r="V158" s="552" t="s">
        <v>1310</v>
      </c>
      <c r="W158" s="336"/>
    </row>
    <row r="159" spans="1:23" ht="15" customHeight="1" x14ac:dyDescent="0.25">
      <c r="A159" s="334">
        <v>41609</v>
      </c>
      <c r="B159" s="210" t="s">
        <v>454</v>
      </c>
      <c r="C159" s="210" t="s">
        <v>462</v>
      </c>
      <c r="D159" s="210" t="s">
        <v>380</v>
      </c>
      <c r="E159" s="435" t="s">
        <v>151</v>
      </c>
      <c r="F159" s="210" t="s">
        <v>152</v>
      </c>
      <c r="G159" s="139">
        <v>1</v>
      </c>
      <c r="H159" s="139"/>
      <c r="I159" s="139"/>
      <c r="J159" s="139">
        <v>20</v>
      </c>
      <c r="K159" s="139">
        <v>20</v>
      </c>
      <c r="L159" s="210"/>
      <c r="M159" s="210"/>
      <c r="N159" s="210"/>
      <c r="O159" s="210"/>
      <c r="P159" s="184">
        <f>IF(Table_Shelter[[#This Row],[Status]]="Open",IF(V159="NO",Table_Shelter[[#This Row],[HH per Shelter]]*(Table_Shelter[[#This Row],['# of Temporary Shelter Units Built]]+Table_Shelter[[#This Row],['# of Temporary Shelter Under  Construction]]+Table_Shelter[[#This Row],['# of Permanent House Under Construction]]),0),0)</f>
        <v>20</v>
      </c>
      <c r="Q159" s="138"/>
      <c r="R159" s="210"/>
      <c r="S159" s="211" t="str">
        <f>IFERROR(VLOOKUP(Table_Shelter[[#This Row],[CampName]],CL,2,0),"")</f>
        <v>MMR001CMP066</v>
      </c>
      <c r="T159" s="211" t="str">
        <f>IFERROR(VLOOKUP(Table_Shelter[[#This Row],[CampName]],CL,3,0),"")</f>
        <v>Open</v>
      </c>
      <c r="U159" s="332">
        <f>IFERROR(Table_Shelter[[#This Row],[HH Covered]]/VLOOKUP(Table_Shelter[[#This Row],[CampName]],CL,4,0),"")</f>
        <v>9.0497737556561084E-2</v>
      </c>
      <c r="V159" s="552" t="s">
        <v>1310</v>
      </c>
      <c r="W159" s="333"/>
    </row>
    <row r="160" spans="1:23" ht="15" customHeight="1" x14ac:dyDescent="0.25">
      <c r="A160" s="334"/>
      <c r="B160" s="210" t="s">
        <v>454</v>
      </c>
      <c r="C160" s="210"/>
      <c r="D160" s="210" t="s">
        <v>380</v>
      </c>
      <c r="E160" s="215" t="s">
        <v>151</v>
      </c>
      <c r="F160" s="210" t="s">
        <v>152</v>
      </c>
      <c r="G160" s="139">
        <v>1</v>
      </c>
      <c r="H160" s="139"/>
      <c r="I160" s="139"/>
      <c r="J160" s="139">
        <v>41</v>
      </c>
      <c r="K160" s="139">
        <v>10</v>
      </c>
      <c r="L160" s="210"/>
      <c r="M160" s="210"/>
      <c r="N160" s="210"/>
      <c r="O160" s="210"/>
      <c r="P160" s="184">
        <f>IF(Table_Shelter[[#This Row],[Status]]="Open",IF(V160="NO",Table_Shelter[[#This Row],[HH per Shelter]]*(Table_Shelter[[#This Row],['# of Temporary Shelter Units Built]]+Table_Shelter[[#This Row],['# of Temporary Shelter Under  Construction]]+Table_Shelter[[#This Row],['# of Permanent House Under Construction]]),0),0)</f>
        <v>10</v>
      </c>
      <c r="Q160" s="138"/>
      <c r="R160" s="210"/>
      <c r="S160" s="211" t="str">
        <f>IFERROR(VLOOKUP(Table_Shelter[[#This Row],[CampName]],CL,2,0),"")</f>
        <v>MMR001CMP066</v>
      </c>
      <c r="T160" s="211" t="str">
        <f>IFERROR(VLOOKUP(Table_Shelter[[#This Row],[CampName]],CL,3,0),"")</f>
        <v>Open</v>
      </c>
      <c r="U160" s="332">
        <f>IFERROR(Table_Shelter[[#This Row],[HH Covered]]/VLOOKUP(Table_Shelter[[#This Row],[CampName]],CL,4,0),"")</f>
        <v>4.5248868778280542E-2</v>
      </c>
      <c r="V160" s="552" t="s">
        <v>1310</v>
      </c>
      <c r="W160" s="333"/>
    </row>
    <row r="161" spans="1:23" ht="15" customHeight="1" x14ac:dyDescent="0.25">
      <c r="A161" s="334"/>
      <c r="B161" s="210" t="s">
        <v>849</v>
      </c>
      <c r="C161" s="210" t="s">
        <v>849</v>
      </c>
      <c r="D161" s="210" t="s">
        <v>380</v>
      </c>
      <c r="E161" s="215" t="s">
        <v>529</v>
      </c>
      <c r="F161" s="210" t="s">
        <v>54</v>
      </c>
      <c r="G161" s="139">
        <v>1</v>
      </c>
      <c r="H161" s="139"/>
      <c r="I161" s="139"/>
      <c r="J161" s="139">
        <v>10</v>
      </c>
      <c r="K161" s="139">
        <v>10</v>
      </c>
      <c r="L161" s="210"/>
      <c r="M161" s="210"/>
      <c r="N161" s="210"/>
      <c r="O161" s="210"/>
      <c r="P161" s="184">
        <f>IF(Table_Shelter[[#This Row],[Status]]="Open",IF(V161="NO",Table_Shelter[[#This Row],[HH per Shelter]]*(Table_Shelter[[#This Row],['# of Temporary Shelter Units Built]]+Table_Shelter[[#This Row],['# of Temporary Shelter Under  Construction]]+Table_Shelter[[#This Row],['# of Permanent House Under Construction]]),0),0)</f>
        <v>0</v>
      </c>
      <c r="Q161" s="138"/>
      <c r="R161" s="210"/>
      <c r="S161" s="211" t="str">
        <f>IFERROR(VLOOKUP(Table_Shelter[[#This Row],[CampName]],CL,2,0),"")</f>
        <v>MMR001CMP094</v>
      </c>
      <c r="T161" s="211" t="str">
        <f>IFERROR(VLOOKUP(Table_Shelter[[#This Row],[CampName]],CL,3,0),"")</f>
        <v>Closed</v>
      </c>
      <c r="U161" s="332" t="str">
        <f>IFERROR(Table_Shelter[[#This Row],[HH Covered]]/VLOOKUP(Table_Shelter[[#This Row],[CampName]],CL,4,0),"")</f>
        <v/>
      </c>
      <c r="V161" s="552" t="s">
        <v>1310</v>
      </c>
      <c r="W161" s="333"/>
    </row>
    <row r="162" spans="1:23" ht="15" customHeight="1" x14ac:dyDescent="0.25">
      <c r="A162" s="334"/>
      <c r="B162" s="210" t="s">
        <v>454</v>
      </c>
      <c r="C162" s="210" t="s">
        <v>507</v>
      </c>
      <c r="D162" s="210" t="s">
        <v>380</v>
      </c>
      <c r="E162" s="435" t="s">
        <v>529</v>
      </c>
      <c r="F162" s="210" t="s">
        <v>54</v>
      </c>
      <c r="G162" s="139">
        <v>1</v>
      </c>
      <c r="H162" s="139"/>
      <c r="I162" s="139"/>
      <c r="J162" s="139">
        <v>10</v>
      </c>
      <c r="K162" s="139">
        <v>10</v>
      </c>
      <c r="L162" s="210"/>
      <c r="M162" s="210"/>
      <c r="N162" s="210"/>
      <c r="O162" s="210"/>
      <c r="P162" s="184">
        <f>IF(Table_Shelter[[#This Row],[Status]]="Open",IF(V162="NO",Table_Shelter[[#This Row],[HH per Shelter]]*(Table_Shelter[[#This Row],['# of Temporary Shelter Units Built]]+Table_Shelter[[#This Row],['# of Temporary Shelter Under  Construction]]+Table_Shelter[[#This Row],['# of Permanent House Under Construction]]),0),0)</f>
        <v>0</v>
      </c>
      <c r="Q162" s="138"/>
      <c r="R162" s="210"/>
      <c r="S162" s="211" t="str">
        <f>IFERROR(VLOOKUP(Table_Shelter[[#This Row],[CampName]],CL,2,0),"")</f>
        <v>MMR001CMP094</v>
      </c>
      <c r="T162" s="211" t="str">
        <f>IFERROR(VLOOKUP(Table_Shelter[[#This Row],[CampName]],CL,3,0),"")</f>
        <v>Closed</v>
      </c>
      <c r="U162" s="332" t="str">
        <f>IFERROR(Table_Shelter[[#This Row],[HH Covered]]/VLOOKUP(Table_Shelter[[#This Row],[CampName]],CL,4,0),"")</f>
        <v/>
      </c>
      <c r="V162" s="552" t="s">
        <v>1310</v>
      </c>
      <c r="W162" s="333"/>
    </row>
    <row r="163" spans="1:23" ht="15" customHeight="1" x14ac:dyDescent="0.25">
      <c r="A163" s="603">
        <v>41791</v>
      </c>
      <c r="B163" s="139" t="s">
        <v>454</v>
      </c>
      <c r="C163" s="139" t="s">
        <v>507</v>
      </c>
      <c r="D163" s="218" t="s">
        <v>380</v>
      </c>
      <c r="E163" s="219" t="s">
        <v>237</v>
      </c>
      <c r="F163" s="139" t="s">
        <v>263</v>
      </c>
      <c r="G163" s="139">
        <v>1</v>
      </c>
      <c r="H163" s="143"/>
      <c r="I163" s="143"/>
      <c r="J163" s="143">
        <v>5</v>
      </c>
      <c r="K163" s="143">
        <v>5</v>
      </c>
      <c r="L163" s="143"/>
      <c r="M163" s="143"/>
      <c r="N163" s="143"/>
      <c r="O163" s="143"/>
      <c r="P163" s="142">
        <f>IF(Table_Shelter[[#This Row],[Status]]="Open",IF(V163="NO",Table_Shelter[[#This Row],[HH per Shelter]]*(Table_Shelter[[#This Row],['# of Temporary Shelter Units Built]]+Table_Shelter[[#This Row],['# of Temporary Shelter Under  Construction]]+Table_Shelter[[#This Row],['# of Permanent House Under Construction]]),0),0)</f>
        <v>5</v>
      </c>
      <c r="Q163" s="142"/>
      <c r="R163" s="142"/>
      <c r="S163" s="142" t="str">
        <f>IFERROR(VLOOKUP(Table_Shelter[[#This Row],[CampName]],CL,2,0),"")</f>
        <v>MMR001CMP020</v>
      </c>
      <c r="T163" s="142" t="str">
        <f>IFERROR(VLOOKUP(Table_Shelter[[#This Row],[CampName]],CL,3,0),"")</f>
        <v>Open</v>
      </c>
      <c r="U163" s="338">
        <f>IFERROR(Table_Shelter[[#This Row],[HH Covered]]/VLOOKUP(Table_Shelter[[#This Row],[CampName]],CL,4,0),"")</f>
        <v>0.23809523809523808</v>
      </c>
      <c r="V163" s="552" t="s">
        <v>1310</v>
      </c>
      <c r="W163" s="336"/>
    </row>
    <row r="164" spans="1:23" ht="15" customHeight="1" x14ac:dyDescent="0.25">
      <c r="A164" s="603"/>
      <c r="B164" s="212" t="s">
        <v>454</v>
      </c>
      <c r="C164" s="212" t="s">
        <v>507</v>
      </c>
      <c r="D164" s="212" t="s">
        <v>380</v>
      </c>
      <c r="E164" s="217" t="s">
        <v>237</v>
      </c>
      <c r="F164" s="212" t="s">
        <v>263</v>
      </c>
      <c r="G164" s="143">
        <v>1</v>
      </c>
      <c r="H164" s="143"/>
      <c r="I164" s="143"/>
      <c r="J164" s="143">
        <v>27</v>
      </c>
      <c r="K164" s="221">
        <v>27</v>
      </c>
      <c r="L164" s="212"/>
      <c r="M164" s="212"/>
      <c r="N164" s="212"/>
      <c r="O164" s="212"/>
      <c r="P164" s="184">
        <f>IF(Table_Shelter[[#This Row],[Status]]="Open",IF(V164="NO",Table_Shelter[[#This Row],[HH per Shelter]]*(Table_Shelter[[#This Row],['# of Temporary Shelter Units Built]]+Table_Shelter[[#This Row],['# of Temporary Shelter Under  Construction]]+Table_Shelter[[#This Row],['# of Permanent House Under Construction]]),0),0)</f>
        <v>27</v>
      </c>
      <c r="Q164" s="142"/>
      <c r="R164" s="212"/>
      <c r="S164" s="211" t="str">
        <f>IFERROR(VLOOKUP(Table_Shelter[[#This Row],[CampName]],CL,2,0),"")</f>
        <v>MMR001CMP020</v>
      </c>
      <c r="T164" s="211" t="str">
        <f>IFERROR(VLOOKUP(Table_Shelter[[#This Row],[CampName]],CL,3,0),"")</f>
        <v>Open</v>
      </c>
      <c r="U164" s="332">
        <f>IFERROR(Table_Shelter[[#This Row],[HH Covered]]/VLOOKUP(Table_Shelter[[#This Row],[CampName]],CL,4,0),"")</f>
        <v>1.2857142857142858</v>
      </c>
      <c r="V164" s="552" t="s">
        <v>1310</v>
      </c>
      <c r="W164" s="333"/>
    </row>
    <row r="165" spans="1:23" ht="15" customHeight="1" x14ac:dyDescent="0.25">
      <c r="A165" s="334">
        <v>41609</v>
      </c>
      <c r="B165" s="210" t="s">
        <v>454</v>
      </c>
      <c r="C165" s="210" t="s">
        <v>507</v>
      </c>
      <c r="D165" s="210" t="s">
        <v>380</v>
      </c>
      <c r="E165" s="435" t="s">
        <v>237</v>
      </c>
      <c r="F165" s="210" t="s">
        <v>265</v>
      </c>
      <c r="G165" s="139">
        <v>1</v>
      </c>
      <c r="H165" s="139"/>
      <c r="I165" s="139"/>
      <c r="J165" s="139">
        <v>15</v>
      </c>
      <c r="K165" s="139">
        <v>15</v>
      </c>
      <c r="L165" s="210"/>
      <c r="M165" s="210"/>
      <c r="N165" s="210"/>
      <c r="O165" s="210"/>
      <c r="P165" s="142">
        <f>IF(Table_Shelter[[#This Row],[Status]]="Open",IF(V165="NO",Table_Shelter[[#This Row],[HH per Shelter]]*(Table_Shelter[[#This Row],['# of Temporary Shelter Units Built]]+Table_Shelter[[#This Row],['# of Temporary Shelter Under  Construction]]+Table_Shelter[[#This Row],['# of Permanent House Under Construction]]),0),0)</f>
        <v>15</v>
      </c>
      <c r="Q165" s="138"/>
      <c r="R165" s="138"/>
      <c r="S165" s="142" t="str">
        <f>IFERROR(VLOOKUP(Table_Shelter[[#This Row],[CampName]],CL,2,0),"")</f>
        <v>MMR001CMP021</v>
      </c>
      <c r="T165" s="142" t="str">
        <f>IFERROR(VLOOKUP(Table_Shelter[[#This Row],[CampName]],CL,3,0),"")</f>
        <v>Open</v>
      </c>
      <c r="U165" s="332">
        <f>IFERROR(Table_Shelter[[#This Row],[HH Covered]]/VLOOKUP(Table_Shelter[[#This Row],[CampName]],CL,4,0),"")</f>
        <v>1.0714285714285714</v>
      </c>
      <c r="V165" s="552" t="s">
        <v>1310</v>
      </c>
      <c r="W165" s="336"/>
    </row>
    <row r="166" spans="1:23" ht="15" customHeight="1" x14ac:dyDescent="0.25">
      <c r="A166" s="334"/>
      <c r="B166" s="210" t="s">
        <v>454</v>
      </c>
      <c r="C166" s="210" t="s">
        <v>507</v>
      </c>
      <c r="D166" s="210" t="s">
        <v>380</v>
      </c>
      <c r="E166" s="435" t="s">
        <v>237</v>
      </c>
      <c r="F166" s="210" t="s">
        <v>265</v>
      </c>
      <c r="G166" s="139">
        <v>1</v>
      </c>
      <c r="H166" s="139"/>
      <c r="I166" s="139"/>
      <c r="J166" s="139">
        <v>4</v>
      </c>
      <c r="K166" s="139">
        <v>4</v>
      </c>
      <c r="L166" s="210"/>
      <c r="M166" s="210"/>
      <c r="N166" s="210"/>
      <c r="O166" s="210"/>
      <c r="P166" s="184">
        <f>IF(Table_Shelter[[#This Row],[Status]]="Open",IF(V166="NO",Table_Shelter[[#This Row],[HH per Shelter]]*(Table_Shelter[[#This Row],['# of Temporary Shelter Units Built]]+Table_Shelter[[#This Row],['# of Temporary Shelter Under  Construction]]+Table_Shelter[[#This Row],['# of Permanent House Under Construction]]),0),0)</f>
        <v>4</v>
      </c>
      <c r="Q166" s="138"/>
      <c r="R166" s="210"/>
      <c r="S166" s="211" t="str">
        <f>IFERROR(VLOOKUP(Table_Shelter[[#This Row],[CampName]],CL,2,0),"")</f>
        <v>MMR001CMP021</v>
      </c>
      <c r="T166" s="211" t="str">
        <f>IFERROR(VLOOKUP(Table_Shelter[[#This Row],[CampName]],CL,3,0),"")</f>
        <v>Open</v>
      </c>
      <c r="U166" s="332">
        <f>IFERROR(Table_Shelter[[#This Row],[HH Covered]]/VLOOKUP(Table_Shelter[[#This Row],[CampName]],CL,4,0),"")</f>
        <v>0.2857142857142857</v>
      </c>
      <c r="V166" s="552" t="s">
        <v>1310</v>
      </c>
      <c r="W166" s="333"/>
    </row>
    <row r="167" spans="1:23" ht="15" customHeight="1" x14ac:dyDescent="0.25">
      <c r="A167" s="603">
        <v>41609</v>
      </c>
      <c r="B167" s="211" t="s">
        <v>454</v>
      </c>
      <c r="C167" s="211" t="s">
        <v>507</v>
      </c>
      <c r="D167" s="211" t="s">
        <v>380</v>
      </c>
      <c r="E167" s="216" t="s">
        <v>529</v>
      </c>
      <c r="F167" s="211" t="s">
        <v>100</v>
      </c>
      <c r="G167" s="183">
        <v>1</v>
      </c>
      <c r="H167" s="143"/>
      <c r="I167" s="143"/>
      <c r="J167" s="143">
        <v>5</v>
      </c>
      <c r="K167" s="143">
        <v>5</v>
      </c>
      <c r="L167" s="212"/>
      <c r="M167" s="212"/>
      <c r="N167" s="212"/>
      <c r="O167" s="212"/>
      <c r="P167" s="142">
        <f>IF(Table_Shelter[[#This Row],[Status]]="Open",IF(V167="NO",Table_Shelter[[#This Row],[HH per Shelter]]*(Table_Shelter[[#This Row],['# of Temporary Shelter Units Built]]+Table_Shelter[[#This Row],['# of Temporary Shelter Under  Construction]]+Table_Shelter[[#This Row],['# of Permanent House Under Construction]]),0),0)</f>
        <v>5</v>
      </c>
      <c r="Q167" s="142"/>
      <c r="R167" s="142"/>
      <c r="S167" s="142" t="str">
        <f>IFERROR(VLOOKUP(Table_Shelter[[#This Row],[CampName]],CL,2,0),"")</f>
        <v>MMR001CMP091</v>
      </c>
      <c r="T167" s="142" t="str">
        <f>IFERROR(VLOOKUP(Table_Shelter[[#This Row],[CampName]],CL,3,0),"")</f>
        <v>Open</v>
      </c>
      <c r="U167" s="332">
        <f>IFERROR(Table_Shelter[[#This Row],[HH Covered]]/VLOOKUP(Table_Shelter[[#This Row],[CampName]],CL,4,0),"")</f>
        <v>1</v>
      </c>
      <c r="V167" s="552" t="s">
        <v>1310</v>
      </c>
      <c r="W167" s="336"/>
    </row>
    <row r="168" spans="1:23" ht="15" customHeight="1" x14ac:dyDescent="0.25">
      <c r="A168" s="331"/>
      <c r="B168" s="211" t="s">
        <v>454</v>
      </c>
      <c r="C168" s="211" t="s">
        <v>507</v>
      </c>
      <c r="D168" s="211" t="s">
        <v>380</v>
      </c>
      <c r="E168" s="216" t="s">
        <v>529</v>
      </c>
      <c r="F168" s="211" t="s">
        <v>100</v>
      </c>
      <c r="G168" s="183">
        <v>1</v>
      </c>
      <c r="H168" s="183"/>
      <c r="I168" s="183"/>
      <c r="J168" s="183">
        <v>5</v>
      </c>
      <c r="K168" s="183">
        <v>5</v>
      </c>
      <c r="L168" s="211"/>
      <c r="M168" s="211"/>
      <c r="N168" s="211"/>
      <c r="O168" s="211"/>
      <c r="P168" s="184">
        <f>IF(Table_Shelter[[#This Row],[Status]]="Open",IF(V168="NO",Table_Shelter[[#This Row],[HH per Shelter]]*(Table_Shelter[[#This Row],['# of Temporary Shelter Units Built]]+Table_Shelter[[#This Row],['# of Temporary Shelter Under  Construction]]+Table_Shelter[[#This Row],['# of Permanent House Under Construction]]),0),0)</f>
        <v>5</v>
      </c>
      <c r="Q168" s="184"/>
      <c r="R168" s="211"/>
      <c r="S168" s="211" t="str">
        <f>IFERROR(VLOOKUP(Table_Shelter[[#This Row],[CampName]],CL,2,0),"")</f>
        <v>MMR001CMP091</v>
      </c>
      <c r="T168" s="211" t="str">
        <f>IFERROR(VLOOKUP(Table_Shelter[[#This Row],[CampName]],CL,3,0),"")</f>
        <v>Open</v>
      </c>
      <c r="U168" s="332">
        <f>IFERROR(Table_Shelter[[#This Row],[HH Covered]]/VLOOKUP(Table_Shelter[[#This Row],[CampName]],CL,4,0),"")</f>
        <v>1</v>
      </c>
      <c r="V168" s="552" t="s">
        <v>1310</v>
      </c>
      <c r="W168" s="333"/>
    </row>
    <row r="169" spans="1:23" ht="15" customHeight="1" x14ac:dyDescent="0.25">
      <c r="A169" s="331"/>
      <c r="B169" s="211" t="s">
        <v>1100</v>
      </c>
      <c r="C169" s="211" t="s">
        <v>947</v>
      </c>
      <c r="D169" s="211" t="s">
        <v>555</v>
      </c>
      <c r="E169" s="216" t="s">
        <v>146</v>
      </c>
      <c r="F169" s="211" t="s">
        <v>368</v>
      </c>
      <c r="G169" s="183">
        <v>1</v>
      </c>
      <c r="H169" s="183"/>
      <c r="I169" s="183"/>
      <c r="J169" s="183">
        <v>63</v>
      </c>
      <c r="K169" s="183">
        <v>63</v>
      </c>
      <c r="L169" s="211"/>
      <c r="M169" s="211"/>
      <c r="N169" s="211"/>
      <c r="O169" s="211"/>
      <c r="P169" s="184">
        <f>IF(Table_Shelter[[#This Row],[Status]]="Open",IF(V169="NO",Table_Shelter[[#This Row],[HH per Shelter]]*(Table_Shelter[[#This Row],['# of Temporary Shelter Units Built]]+Table_Shelter[[#This Row],['# of Temporary Shelter Under  Construction]]+Table_Shelter[[#This Row],['# of Permanent House Under Construction]]),0),0)</f>
        <v>63</v>
      </c>
      <c r="Q169" s="184"/>
      <c r="R169" s="211"/>
      <c r="S169" s="211" t="str">
        <f>IFERROR(VLOOKUP(Table_Shelter[[#This Row],[CampName]],CL,2,0),"")</f>
        <v>MMR015CMP018</v>
      </c>
      <c r="T169" s="211" t="str">
        <f>IFERROR(VLOOKUP(Table_Shelter[[#This Row],[CampName]],CL,3,0),"")</f>
        <v>Open</v>
      </c>
      <c r="U169" s="332">
        <f>IFERROR(Table_Shelter[[#This Row],[HH Covered]]/VLOOKUP(Table_Shelter[[#This Row],[CampName]],CL,4,0),"")</f>
        <v>1</v>
      </c>
      <c r="V169" s="552" t="s">
        <v>1310</v>
      </c>
      <c r="W169" s="333"/>
    </row>
    <row r="170" spans="1:23" ht="15" customHeight="1" x14ac:dyDescent="0.25">
      <c r="A170" s="335">
        <v>41791</v>
      </c>
      <c r="B170" s="210" t="s">
        <v>454</v>
      </c>
      <c r="C170" s="210" t="s">
        <v>462</v>
      </c>
      <c r="D170" s="213" t="s">
        <v>380</v>
      </c>
      <c r="E170" s="435" t="s">
        <v>185</v>
      </c>
      <c r="F170" s="210" t="s">
        <v>209</v>
      </c>
      <c r="G170" s="139">
        <v>1</v>
      </c>
      <c r="H170" s="143"/>
      <c r="I170" s="143"/>
      <c r="J170" s="143">
        <v>10</v>
      </c>
      <c r="K170" s="143">
        <v>10</v>
      </c>
      <c r="L170" s="212"/>
      <c r="M170" s="212"/>
      <c r="N170" s="212"/>
      <c r="O170" s="212"/>
      <c r="P170" s="142">
        <f>IF(Table_Shelter[[#This Row],[Status]]="Open",IF(V170="NO",Table_Shelter[[#This Row],[HH per Shelter]]*(Table_Shelter[[#This Row],['# of Temporary Shelter Units Built]]+Table_Shelter[[#This Row],['# of Temporary Shelter Under  Construction]]+Table_Shelter[[#This Row],['# of Permanent House Under Construction]]),0),0)</f>
        <v>10</v>
      </c>
      <c r="Q170" s="142"/>
      <c r="R170" s="142"/>
      <c r="S170" s="142" t="str">
        <f>IFERROR(VLOOKUP(Table_Shelter[[#This Row],[CampName]],CL,2,0),"")</f>
        <v>MMR001CMP056</v>
      </c>
      <c r="T170" s="142" t="str">
        <f>IFERROR(VLOOKUP(Table_Shelter[[#This Row],[CampName]],CL,3,0),"")</f>
        <v>Open</v>
      </c>
      <c r="U170" s="332">
        <f>IFERROR(Table_Shelter[[#This Row],[HH Covered]]/VLOOKUP(Table_Shelter[[#This Row],[CampName]],CL,4,0),"")</f>
        <v>4.4247787610619468E-2</v>
      </c>
      <c r="V170" s="552" t="s">
        <v>1310</v>
      </c>
      <c r="W170" s="336"/>
    </row>
    <row r="171" spans="1:23" ht="15" customHeight="1" x14ac:dyDescent="0.25">
      <c r="A171" s="603">
        <v>41609</v>
      </c>
      <c r="B171" s="210" t="s">
        <v>454</v>
      </c>
      <c r="C171" s="210"/>
      <c r="D171" s="213" t="s">
        <v>380</v>
      </c>
      <c r="E171" s="435" t="s">
        <v>185</v>
      </c>
      <c r="F171" s="210" t="s">
        <v>209</v>
      </c>
      <c r="G171" s="139">
        <v>1</v>
      </c>
      <c r="H171" s="143"/>
      <c r="I171" s="143"/>
      <c r="J171" s="143">
        <v>50</v>
      </c>
      <c r="K171" s="143">
        <v>50</v>
      </c>
      <c r="L171" s="212"/>
      <c r="M171" s="212"/>
      <c r="N171" s="212"/>
      <c r="O171" s="212"/>
      <c r="P171" s="142">
        <f>IF(Table_Shelter[[#This Row],[Status]]="Open",IF(V171="NO",Table_Shelter[[#This Row],[HH per Shelter]]*(Table_Shelter[[#This Row],['# of Temporary Shelter Units Built]]+Table_Shelter[[#This Row],['# of Temporary Shelter Under  Construction]]+Table_Shelter[[#This Row],['# of Permanent House Under Construction]]),0),0)</f>
        <v>50</v>
      </c>
      <c r="Q171" s="142"/>
      <c r="R171" s="212"/>
      <c r="S171" s="212" t="str">
        <f>IFERROR(VLOOKUP(Table_Shelter[[#This Row],[CampName]],CL,2,0),"")</f>
        <v>MMR001CMP056</v>
      </c>
      <c r="T171" s="212" t="str">
        <f>IFERROR(VLOOKUP(Table_Shelter[[#This Row],[CampName]],CL,3,0),"")</f>
        <v>Open</v>
      </c>
      <c r="U171" s="332">
        <f>IFERROR(Table_Shelter[[#This Row],[HH Covered]]/VLOOKUP(Table_Shelter[[#This Row],[CampName]],CL,4,0),"")</f>
        <v>0.22123893805309736</v>
      </c>
      <c r="V171" s="552" t="s">
        <v>1310</v>
      </c>
      <c r="W171" s="333"/>
    </row>
    <row r="172" spans="1:23" ht="15" customHeight="1" x14ac:dyDescent="0.25">
      <c r="A172" s="603"/>
      <c r="B172" s="210" t="s">
        <v>849</v>
      </c>
      <c r="C172" s="210" t="s">
        <v>848</v>
      </c>
      <c r="D172" s="213" t="s">
        <v>380</v>
      </c>
      <c r="E172" s="435" t="s">
        <v>185</v>
      </c>
      <c r="F172" s="210" t="s">
        <v>209</v>
      </c>
      <c r="G172" s="139">
        <v>1</v>
      </c>
      <c r="H172" s="143"/>
      <c r="I172" s="143"/>
      <c r="J172" s="143">
        <v>32</v>
      </c>
      <c r="K172" s="143">
        <v>32</v>
      </c>
      <c r="L172" s="212"/>
      <c r="M172" s="212"/>
      <c r="N172" s="212"/>
      <c r="O172" s="212"/>
      <c r="P172" s="142">
        <f>IF(Table_Shelter[[#This Row],[Status]]="Open",IF(V172="NO",Table_Shelter[[#This Row],[HH per Shelter]]*(Table_Shelter[[#This Row],['# of Temporary Shelter Units Built]]+Table_Shelter[[#This Row],['# of Temporary Shelter Under  Construction]]+Table_Shelter[[#This Row],['# of Permanent House Under Construction]]),0),0)</f>
        <v>32</v>
      </c>
      <c r="Q172" s="142"/>
      <c r="R172" s="212"/>
      <c r="S172" s="212" t="str">
        <f>IFERROR(VLOOKUP(Table_Shelter[[#This Row],[CampName]],CL,2,0),"")</f>
        <v>MMR001CMP056</v>
      </c>
      <c r="T172" s="212" t="str">
        <f>IFERROR(VLOOKUP(Table_Shelter[[#This Row],[CampName]],CL,3,0),"")</f>
        <v>Open</v>
      </c>
      <c r="U172" s="332">
        <f>IFERROR(Table_Shelter[[#This Row],[HH Covered]]/VLOOKUP(Table_Shelter[[#This Row],[CampName]],CL,4,0),"")</f>
        <v>0.1415929203539823</v>
      </c>
      <c r="V172" s="552" t="s">
        <v>1310</v>
      </c>
      <c r="W172" s="333"/>
    </row>
    <row r="173" spans="1:23" ht="15" customHeight="1" x14ac:dyDescent="0.25">
      <c r="A173" s="603"/>
      <c r="B173" s="210" t="s">
        <v>848</v>
      </c>
      <c r="C173" s="210"/>
      <c r="D173" s="213" t="s">
        <v>380</v>
      </c>
      <c r="E173" s="435" t="s">
        <v>185</v>
      </c>
      <c r="F173" s="210" t="s">
        <v>209</v>
      </c>
      <c r="G173" s="139">
        <v>1</v>
      </c>
      <c r="H173" s="143"/>
      <c r="I173" s="143"/>
      <c r="J173" s="143">
        <v>144</v>
      </c>
      <c r="K173" s="143">
        <v>144</v>
      </c>
      <c r="L173" s="212"/>
      <c r="M173" s="212"/>
      <c r="N173" s="212"/>
      <c r="O173" s="212"/>
      <c r="P173" s="142">
        <f>IF(Table_Shelter[[#This Row],[Status]]="Open",IF(V173="NO",Table_Shelter[[#This Row],[HH per Shelter]]*(Table_Shelter[[#This Row],['# of Temporary Shelter Units Built]]+Table_Shelter[[#This Row],['# of Temporary Shelter Under  Construction]]+Table_Shelter[[#This Row],['# of Permanent House Under Construction]]),0),0)</f>
        <v>144</v>
      </c>
      <c r="Q173" s="142"/>
      <c r="R173" s="212"/>
      <c r="S173" s="212" t="str">
        <f>IFERROR(VLOOKUP(Table_Shelter[[#This Row],[CampName]],CL,2,0),"")</f>
        <v>MMR001CMP056</v>
      </c>
      <c r="T173" s="212" t="str">
        <f>IFERROR(VLOOKUP(Table_Shelter[[#This Row],[CampName]],CL,3,0),"")</f>
        <v>Open</v>
      </c>
      <c r="U173" s="332">
        <f>IFERROR(Table_Shelter[[#This Row],[HH Covered]]/VLOOKUP(Table_Shelter[[#This Row],[CampName]],CL,4,0),"")</f>
        <v>0.63716814159292035</v>
      </c>
      <c r="V173" s="552" t="s">
        <v>1310</v>
      </c>
      <c r="W173" s="333"/>
    </row>
    <row r="174" spans="1:23" ht="15" customHeight="1" x14ac:dyDescent="0.25">
      <c r="A174" s="603"/>
      <c r="B174" s="210" t="s">
        <v>454</v>
      </c>
      <c r="C174" s="210" t="s">
        <v>462</v>
      </c>
      <c r="D174" s="213" t="s">
        <v>380</v>
      </c>
      <c r="E174" s="435" t="s">
        <v>185</v>
      </c>
      <c r="F174" s="210" t="s">
        <v>209</v>
      </c>
      <c r="G174" s="139">
        <v>1</v>
      </c>
      <c r="H174" s="143"/>
      <c r="I174" s="143"/>
      <c r="J174" s="143">
        <v>40</v>
      </c>
      <c r="K174" s="143">
        <v>40</v>
      </c>
      <c r="L174" s="212"/>
      <c r="M174" s="212"/>
      <c r="N174" s="212"/>
      <c r="O174" s="212"/>
      <c r="P174" s="142">
        <f>IF(Table_Shelter[[#This Row],[Status]]="Open",IF(V174="NO",Table_Shelter[[#This Row],[HH per Shelter]]*(Table_Shelter[[#This Row],['# of Temporary Shelter Units Built]]+Table_Shelter[[#This Row],['# of Temporary Shelter Under  Construction]]+Table_Shelter[[#This Row],['# of Permanent House Under Construction]]),0),0)</f>
        <v>40</v>
      </c>
      <c r="Q174" s="142"/>
      <c r="R174" s="212"/>
      <c r="S174" s="212" t="str">
        <f>IFERROR(VLOOKUP(Table_Shelter[[#This Row],[CampName]],CL,2,0),"")</f>
        <v>MMR001CMP056</v>
      </c>
      <c r="T174" s="212" t="str">
        <f>IFERROR(VLOOKUP(Table_Shelter[[#This Row],[CampName]],CL,3,0),"")</f>
        <v>Open</v>
      </c>
      <c r="U174" s="332">
        <f>IFERROR(Table_Shelter[[#This Row],[HH Covered]]/VLOOKUP(Table_Shelter[[#This Row],[CampName]],CL,4,0),"")</f>
        <v>0.17699115044247787</v>
      </c>
      <c r="V174" s="552" t="s">
        <v>1310</v>
      </c>
      <c r="W174" s="333"/>
    </row>
    <row r="175" spans="1:23" ht="15" customHeight="1" x14ac:dyDescent="0.25">
      <c r="A175" s="603"/>
      <c r="B175" s="210" t="s">
        <v>594</v>
      </c>
      <c r="C175" s="210" t="s">
        <v>461</v>
      </c>
      <c r="D175" s="213" t="s">
        <v>380</v>
      </c>
      <c r="E175" s="435" t="s">
        <v>185</v>
      </c>
      <c r="F175" s="210" t="s">
        <v>211</v>
      </c>
      <c r="G175" s="139">
        <v>1</v>
      </c>
      <c r="H175" s="143"/>
      <c r="I175" s="143"/>
      <c r="J175" s="143">
        <v>92</v>
      </c>
      <c r="K175" s="143">
        <v>92</v>
      </c>
      <c r="L175" s="212"/>
      <c r="M175" s="212"/>
      <c r="N175" s="212"/>
      <c r="O175" s="212"/>
      <c r="P175" s="142">
        <f>IF(Table_Shelter[[#This Row],[Status]]="Open",IF(V175="NO",Table_Shelter[[#This Row],[HH per Shelter]]*(Table_Shelter[[#This Row],['# of Temporary Shelter Units Built]]+Table_Shelter[[#This Row],['# of Temporary Shelter Under  Construction]]+Table_Shelter[[#This Row],['# of Permanent House Under Construction]]),0),0)</f>
        <v>0</v>
      </c>
      <c r="Q175" s="142"/>
      <c r="R175" s="212"/>
      <c r="S175" s="212" t="str">
        <f>IFERROR(VLOOKUP(Table_Shelter[[#This Row],[CampName]],CL,2,0),"")</f>
        <v>MMR001CMP057</v>
      </c>
      <c r="T175" s="212" t="str">
        <f>IFERROR(VLOOKUP(Table_Shelter[[#This Row],[CampName]],CL,3,0),"")</f>
        <v>Closed</v>
      </c>
      <c r="U175" s="332" t="str">
        <f>IFERROR(Table_Shelter[[#This Row],[HH Covered]]/VLOOKUP(Table_Shelter[[#This Row],[CampName]],CL,4,0),"")</f>
        <v/>
      </c>
      <c r="V175" s="552" t="s">
        <v>1310</v>
      </c>
      <c r="W175" s="333"/>
    </row>
    <row r="176" spans="1:23" ht="15" customHeight="1" x14ac:dyDescent="0.25">
      <c r="A176" s="603"/>
      <c r="B176" s="210" t="s">
        <v>454</v>
      </c>
      <c r="C176" s="210" t="s">
        <v>462</v>
      </c>
      <c r="D176" s="213" t="s">
        <v>555</v>
      </c>
      <c r="E176" s="435" t="s">
        <v>230</v>
      </c>
      <c r="F176" s="210" t="s">
        <v>235</v>
      </c>
      <c r="G176" s="139">
        <v>1</v>
      </c>
      <c r="H176" s="143"/>
      <c r="I176" s="143"/>
      <c r="J176" s="143">
        <v>10</v>
      </c>
      <c r="K176" s="143">
        <v>10</v>
      </c>
      <c r="L176" s="212"/>
      <c r="M176" s="212"/>
      <c r="N176" s="212"/>
      <c r="O176" s="212"/>
      <c r="P176" s="142">
        <f>IF(Table_Shelter[[#This Row],[Status]]="Open",IF(V176="NO",Table_Shelter[[#This Row],[HH per Shelter]]*(Table_Shelter[[#This Row],['# of Temporary Shelter Units Built]]+Table_Shelter[[#This Row],['# of Temporary Shelter Under  Construction]]+Table_Shelter[[#This Row],['# of Permanent House Under Construction]]),0),0)</f>
        <v>10</v>
      </c>
      <c r="Q176" s="142"/>
      <c r="R176" s="212"/>
      <c r="S176" s="212" t="str">
        <f>IFERROR(VLOOKUP(Table_Shelter[[#This Row],[CampName]],CL,2,0),"")</f>
        <v>MMR015CMP005</v>
      </c>
      <c r="T176" s="212" t="str">
        <f>IFERROR(VLOOKUP(Table_Shelter[[#This Row],[CampName]],CL,3,0),"")</f>
        <v>Open</v>
      </c>
      <c r="U176" s="332">
        <f>IFERROR(Table_Shelter[[#This Row],[HH Covered]]/VLOOKUP(Table_Shelter[[#This Row],[CampName]],CL,4,0),"")</f>
        <v>8.1300813008130079E-2</v>
      </c>
      <c r="V176" s="552" t="s">
        <v>1310</v>
      </c>
      <c r="W176" s="333"/>
    </row>
    <row r="177" spans="1:23" ht="15" customHeight="1" x14ac:dyDescent="0.25">
      <c r="A177" s="603"/>
      <c r="B177" s="210" t="s">
        <v>594</v>
      </c>
      <c r="C177" s="210" t="s">
        <v>461</v>
      </c>
      <c r="D177" s="213" t="s">
        <v>380</v>
      </c>
      <c r="E177" s="435" t="s">
        <v>151</v>
      </c>
      <c r="F177" s="210" t="s">
        <v>520</v>
      </c>
      <c r="G177" s="139">
        <v>1</v>
      </c>
      <c r="H177" s="143"/>
      <c r="I177" s="143"/>
      <c r="J177" s="143">
        <v>24</v>
      </c>
      <c r="K177" s="143">
        <v>24</v>
      </c>
      <c r="L177" s="212"/>
      <c r="M177" s="212"/>
      <c r="N177" s="212"/>
      <c r="O177" s="212"/>
      <c r="P177" s="142">
        <f>IF(Table_Shelter[[#This Row],[Status]]="Open",IF(V177="NO",Table_Shelter[[#This Row],[HH per Shelter]]*(Table_Shelter[[#This Row],['# of Temporary Shelter Units Built]]+Table_Shelter[[#This Row],['# of Temporary Shelter Under  Construction]]+Table_Shelter[[#This Row],['# of Permanent House Under Construction]]),0),0)</f>
        <v>0</v>
      </c>
      <c r="Q177" s="142"/>
      <c r="R177" s="212"/>
      <c r="S177" s="212" t="str">
        <f>IFERROR(VLOOKUP(Table_Shelter[[#This Row],[CampName]],CL,2,0),"")</f>
        <v>MMR001CMP203</v>
      </c>
      <c r="T177" s="212" t="str">
        <f>IFERROR(VLOOKUP(Table_Shelter[[#This Row],[CampName]],CL,3,0),"")</f>
        <v>Closed</v>
      </c>
      <c r="U177" s="332" t="str">
        <f>IFERROR(Table_Shelter[[#This Row],[HH Covered]]/VLOOKUP(Table_Shelter[[#This Row],[CampName]],CL,4,0),"")</f>
        <v/>
      </c>
      <c r="V177" s="552" t="s">
        <v>1310</v>
      </c>
      <c r="W177" s="333"/>
    </row>
    <row r="178" spans="1:23" ht="15" customHeight="1" x14ac:dyDescent="0.25">
      <c r="A178" s="603">
        <v>41609</v>
      </c>
      <c r="B178" s="139" t="s">
        <v>454</v>
      </c>
      <c r="C178" s="139" t="s">
        <v>462</v>
      </c>
      <c r="D178" s="218" t="s">
        <v>555</v>
      </c>
      <c r="E178" s="219" t="s">
        <v>146</v>
      </c>
      <c r="F178" s="139" t="s">
        <v>371</v>
      </c>
      <c r="G178" s="139">
        <v>1</v>
      </c>
      <c r="H178" s="143"/>
      <c r="I178" s="143"/>
      <c r="J178" s="143">
        <v>5</v>
      </c>
      <c r="K178" s="143">
        <v>5</v>
      </c>
      <c r="L178" s="143"/>
      <c r="M178" s="143"/>
      <c r="N178" s="143"/>
      <c r="O178" s="143"/>
      <c r="P178" s="142">
        <f>IF(Table_Shelter[[#This Row],[Status]]="Open",IF(V178="NO",Table_Shelter[[#This Row],[HH per Shelter]]*(Table_Shelter[[#This Row],['# of Temporary Shelter Units Built]]+Table_Shelter[[#This Row],['# of Temporary Shelter Under  Construction]]+Table_Shelter[[#This Row],['# of Permanent House Under Construction]]),0),0)</f>
        <v>5</v>
      </c>
      <c r="Q178" s="142"/>
      <c r="R178" s="142"/>
      <c r="S178" s="142" t="str">
        <f>IFERROR(VLOOKUP(Table_Shelter[[#This Row],[CampName]],CL,2,0),"")</f>
        <v>MMR015CMP006</v>
      </c>
      <c r="T178" s="142" t="str">
        <f>IFERROR(VLOOKUP(Table_Shelter[[#This Row],[CampName]],CL,3,0),"")</f>
        <v>Open</v>
      </c>
      <c r="U178" s="338">
        <f>IFERROR(Table_Shelter[[#This Row],[HH Covered]]/VLOOKUP(Table_Shelter[[#This Row],[CampName]],CL,4,0),"")</f>
        <v>0.10204081632653061</v>
      </c>
      <c r="V178" s="552" t="s">
        <v>1310</v>
      </c>
      <c r="W178" s="336"/>
    </row>
    <row r="179" spans="1:23" ht="15" customHeight="1" x14ac:dyDescent="0.25">
      <c r="A179" s="603">
        <v>41974</v>
      </c>
      <c r="B179" s="210" t="s">
        <v>848</v>
      </c>
      <c r="C179" s="210"/>
      <c r="D179" s="213" t="s">
        <v>555</v>
      </c>
      <c r="E179" s="435" t="s">
        <v>230</v>
      </c>
      <c r="F179" s="210" t="s">
        <v>1056</v>
      </c>
      <c r="G179" s="139">
        <v>1</v>
      </c>
      <c r="H179" s="143"/>
      <c r="I179" s="143"/>
      <c r="J179" s="143">
        <v>44</v>
      </c>
      <c r="K179" s="143">
        <v>44</v>
      </c>
      <c r="L179" s="212"/>
      <c r="M179" s="212"/>
      <c r="N179" s="212"/>
      <c r="O179" s="212"/>
      <c r="P179" s="142">
        <f>IF(Table_Shelter[[#This Row],[Status]]="Open",IF(V179="NO",Table_Shelter[[#This Row],[HH per Shelter]]*(Table_Shelter[[#This Row],['# of Temporary Shelter Units Built]]+Table_Shelter[[#This Row],['# of Temporary Shelter Under  Construction]]+Table_Shelter[[#This Row],['# of Permanent House Under Construction]]),0),0)</f>
        <v>44</v>
      </c>
      <c r="Q179" s="142"/>
      <c r="R179" s="212"/>
      <c r="S179" s="212" t="str">
        <f>IFERROR(VLOOKUP(Table_Shelter[[#This Row],[CampName]],CL,2,0),"")</f>
        <v>MMR015CMP213</v>
      </c>
      <c r="T179" s="212" t="str">
        <f>IFERROR(VLOOKUP(Table_Shelter[[#This Row],[CampName]],CL,3,0),"")</f>
        <v>Open</v>
      </c>
      <c r="U179" s="332">
        <f>IFERROR(Table_Shelter[[#This Row],[HH Covered]]/VLOOKUP(Table_Shelter[[#This Row],[CampName]],CL,4,0),"")</f>
        <v>0.84615384615384615</v>
      </c>
      <c r="V179" s="552" t="s">
        <v>1310</v>
      </c>
      <c r="W179" s="333"/>
    </row>
    <row r="180" spans="1:23" ht="15" customHeight="1" x14ac:dyDescent="0.25">
      <c r="A180" s="603">
        <v>41770</v>
      </c>
      <c r="B180" s="210" t="s">
        <v>454</v>
      </c>
      <c r="C180" s="210"/>
      <c r="D180" s="213" t="s">
        <v>555</v>
      </c>
      <c r="E180" s="435" t="s">
        <v>230</v>
      </c>
      <c r="F180" s="210" t="s">
        <v>1056</v>
      </c>
      <c r="G180" s="139">
        <v>1</v>
      </c>
      <c r="H180" s="143">
        <v>110</v>
      </c>
      <c r="I180" s="143">
        <v>110</v>
      </c>
      <c r="J180" s="143"/>
      <c r="K180" s="143"/>
      <c r="L180" s="212"/>
      <c r="M180" s="212"/>
      <c r="N180" s="212"/>
      <c r="O180" s="212"/>
      <c r="P180" s="142">
        <f>IF(Table_Shelter[[#This Row],[Status]]="Open",IF(V180="NO",Table_Shelter[[#This Row],[HH per Shelter]]*(Table_Shelter[[#This Row],['# of Temporary Shelter Units Built]]+Table_Shelter[[#This Row],['# of Temporary Shelter Under  Construction]]+Table_Shelter[[#This Row],['# of Permanent House Under Construction]]),0),0)</f>
        <v>0</v>
      </c>
      <c r="Q180" s="142"/>
      <c r="R180" s="212"/>
      <c r="S180" s="212" t="str">
        <f>IFERROR(VLOOKUP(Table_Shelter[[#This Row],[CampName]],CL,2,0),"")</f>
        <v>MMR015CMP213</v>
      </c>
      <c r="T180" s="212" t="str">
        <f>IFERROR(VLOOKUP(Table_Shelter[[#This Row],[CampName]],CL,3,0),"")</f>
        <v>Open</v>
      </c>
      <c r="U180" s="332">
        <f>IFERROR(Table_Shelter[[#This Row],[HH Covered]]/VLOOKUP(Table_Shelter[[#This Row],[CampName]],CL,4,0),"")</f>
        <v>0</v>
      </c>
      <c r="V180" s="552" t="s">
        <v>1310</v>
      </c>
      <c r="W180" s="333"/>
    </row>
    <row r="181" spans="1:23" ht="15" customHeight="1" x14ac:dyDescent="0.25">
      <c r="A181" s="603"/>
      <c r="B181" s="210" t="s">
        <v>848</v>
      </c>
      <c r="C181" s="210"/>
      <c r="D181" s="213" t="s">
        <v>555</v>
      </c>
      <c r="E181" s="435" t="s">
        <v>230</v>
      </c>
      <c r="F181" s="210" t="s">
        <v>1066</v>
      </c>
      <c r="G181" s="139">
        <v>1</v>
      </c>
      <c r="H181" s="143"/>
      <c r="I181" s="143"/>
      <c r="J181" s="143">
        <v>20</v>
      </c>
      <c r="K181" s="143">
        <v>20</v>
      </c>
      <c r="L181" s="212"/>
      <c r="M181" s="212"/>
      <c r="N181" s="212"/>
      <c r="O181" s="212"/>
      <c r="P181" s="142">
        <f>IF(Table_Shelter[[#This Row],[Status]]="Open",IF(V181="NO",Table_Shelter[[#This Row],[HH per Shelter]]*(Table_Shelter[[#This Row],['# of Temporary Shelter Units Built]]+Table_Shelter[[#This Row],['# of Temporary Shelter Under  Construction]]+Table_Shelter[[#This Row],['# of Permanent House Under Construction]]),0),0)</f>
        <v>20</v>
      </c>
      <c r="Q181" s="142"/>
      <c r="R181" s="212"/>
      <c r="S181" s="212" t="str">
        <f>IFERROR(VLOOKUP(Table_Shelter[[#This Row],[CampName]],CL,2,0),"")</f>
        <v>MMR015CMP216</v>
      </c>
      <c r="T181" s="212" t="str">
        <f>IFERROR(VLOOKUP(Table_Shelter[[#This Row],[CampName]],CL,3,0),"")</f>
        <v>Open</v>
      </c>
      <c r="U181" s="332">
        <f>IFERROR(Table_Shelter[[#This Row],[HH Covered]]/VLOOKUP(Table_Shelter[[#This Row],[CampName]],CL,4,0),"")</f>
        <v>0.76923076923076927</v>
      </c>
      <c r="V181" s="552" t="s">
        <v>1310</v>
      </c>
      <c r="W181" s="333"/>
    </row>
    <row r="182" spans="1:23" ht="15" customHeight="1" x14ac:dyDescent="0.25">
      <c r="A182" s="603"/>
      <c r="B182" s="210" t="s">
        <v>454</v>
      </c>
      <c r="C182" s="210" t="s">
        <v>1266</v>
      </c>
      <c r="D182" s="218" t="s">
        <v>555</v>
      </c>
      <c r="E182" s="435" t="s">
        <v>230</v>
      </c>
      <c r="F182" s="210" t="s">
        <v>1066</v>
      </c>
      <c r="G182" s="139">
        <v>1</v>
      </c>
      <c r="H182" s="143"/>
      <c r="I182" s="143"/>
      <c r="J182" s="143">
        <v>10</v>
      </c>
      <c r="K182" s="143">
        <v>10</v>
      </c>
      <c r="L182" s="212"/>
      <c r="M182" s="212"/>
      <c r="N182" s="212"/>
      <c r="O182" s="212"/>
      <c r="P182" s="142">
        <f>IF(Table_Shelter[[#This Row],[Status]]="Open",IF(V182="NO",Table_Shelter[[#This Row],[HH per Shelter]]*(Table_Shelter[[#This Row],['# of Temporary Shelter Units Built]]+Table_Shelter[[#This Row],['# of Temporary Shelter Under  Construction]]+Table_Shelter[[#This Row],['# of Permanent House Under Construction]]),0),0)</f>
        <v>10</v>
      </c>
      <c r="Q182" s="142"/>
      <c r="R182" s="142"/>
      <c r="S182" s="142" t="str">
        <f>IFERROR(VLOOKUP(Table_Shelter[[#This Row],[CampName]],CL,2,0),"")</f>
        <v>MMR015CMP216</v>
      </c>
      <c r="T182" s="142" t="str">
        <f>IFERROR(VLOOKUP(Table_Shelter[[#This Row],[CampName]],CL,3,0),"")</f>
        <v>Open</v>
      </c>
      <c r="U182" s="332">
        <f>IFERROR(Table_Shelter[[#This Row],[HH Covered]]/VLOOKUP(Table_Shelter[[#This Row],[CampName]],CL,4,0),"")</f>
        <v>0.38461538461538464</v>
      </c>
      <c r="V182" s="552" t="s">
        <v>1310</v>
      </c>
      <c r="W182" s="336"/>
    </row>
    <row r="183" spans="1:23" ht="15" customHeight="1" x14ac:dyDescent="0.25">
      <c r="A183" s="335">
        <v>41791</v>
      </c>
      <c r="B183" s="139" t="s">
        <v>454</v>
      </c>
      <c r="C183" s="139" t="s">
        <v>507</v>
      </c>
      <c r="D183" s="218" t="s">
        <v>380</v>
      </c>
      <c r="E183" s="219" t="s">
        <v>5</v>
      </c>
      <c r="F183" s="139" t="s">
        <v>8</v>
      </c>
      <c r="G183" s="139">
        <v>1</v>
      </c>
      <c r="H183" s="143"/>
      <c r="I183" s="143"/>
      <c r="J183" s="143">
        <v>5</v>
      </c>
      <c r="K183" s="143">
        <v>5</v>
      </c>
      <c r="L183" s="143"/>
      <c r="M183" s="143"/>
      <c r="N183" s="143"/>
      <c r="O183" s="143"/>
      <c r="P183" s="142">
        <f>IF(Table_Shelter[[#This Row],[Status]]="Open",IF(V183="NO",Table_Shelter[[#This Row],[HH per Shelter]]*(Table_Shelter[[#This Row],['# of Temporary Shelter Units Built]]+Table_Shelter[[#This Row],['# of Temporary Shelter Under  Construction]]+Table_Shelter[[#This Row],['# of Permanent House Under Construction]]),0),0)</f>
        <v>5</v>
      </c>
      <c r="Q183" s="142"/>
      <c r="R183" s="142"/>
      <c r="S183" s="142" t="str">
        <f>IFERROR(VLOOKUP(Table_Shelter[[#This Row],[CampName]],CL,2,0),"")</f>
        <v>MMR001CMP051</v>
      </c>
      <c r="T183" s="142" t="str">
        <f>IFERROR(VLOOKUP(Table_Shelter[[#This Row],[CampName]],CL,3,0),"")</f>
        <v>Open</v>
      </c>
      <c r="U183" s="338">
        <f>IFERROR(Table_Shelter[[#This Row],[HH Covered]]/VLOOKUP(Table_Shelter[[#This Row],[CampName]],CL,4,0),"")</f>
        <v>0.35714285714285715</v>
      </c>
      <c r="V183" s="552" t="s">
        <v>1310</v>
      </c>
      <c r="W183" s="336"/>
    </row>
    <row r="184" spans="1:23" ht="15" customHeight="1" x14ac:dyDescent="0.25">
      <c r="A184" s="603">
        <v>41609</v>
      </c>
      <c r="B184" s="210" t="s">
        <v>454</v>
      </c>
      <c r="C184" s="210" t="s">
        <v>507</v>
      </c>
      <c r="D184" s="213" t="s">
        <v>380</v>
      </c>
      <c r="E184" s="435" t="s">
        <v>5</v>
      </c>
      <c r="F184" s="210" t="s">
        <v>8</v>
      </c>
      <c r="G184" s="139">
        <v>1</v>
      </c>
      <c r="H184" s="143"/>
      <c r="I184" s="143"/>
      <c r="J184" s="143">
        <v>13</v>
      </c>
      <c r="K184" s="143">
        <v>13</v>
      </c>
      <c r="L184" s="212"/>
      <c r="M184" s="212"/>
      <c r="N184" s="212"/>
      <c r="O184" s="212"/>
      <c r="P184" s="142">
        <f>IF(Table_Shelter[[#This Row],[Status]]="Open",IF(V184="NO",Table_Shelter[[#This Row],[HH per Shelter]]*(Table_Shelter[[#This Row],['# of Temporary Shelter Units Built]]+Table_Shelter[[#This Row],['# of Temporary Shelter Under  Construction]]+Table_Shelter[[#This Row],['# of Permanent House Under Construction]]),0),0)</f>
        <v>13</v>
      </c>
      <c r="Q184" s="142"/>
      <c r="R184" s="212"/>
      <c r="S184" s="212" t="str">
        <f>IFERROR(VLOOKUP(Table_Shelter[[#This Row],[CampName]],CL,2,0),"")</f>
        <v>MMR001CMP051</v>
      </c>
      <c r="T184" s="212" t="str">
        <f>IFERROR(VLOOKUP(Table_Shelter[[#This Row],[CampName]],CL,3,0),"")</f>
        <v>Open</v>
      </c>
      <c r="U184" s="332">
        <f>IFERROR(Table_Shelter[[#This Row],[HH Covered]]/VLOOKUP(Table_Shelter[[#This Row],[CampName]],CL,4,0),"")</f>
        <v>0.9285714285714286</v>
      </c>
      <c r="V184" s="552" t="s">
        <v>1310</v>
      </c>
      <c r="W184" s="333"/>
    </row>
    <row r="185" spans="1:23" ht="15" customHeight="1" x14ac:dyDescent="0.25">
      <c r="A185" s="603"/>
      <c r="B185" s="210" t="s">
        <v>455</v>
      </c>
      <c r="C185" s="210" t="s">
        <v>462</v>
      </c>
      <c r="D185" s="213" t="s">
        <v>555</v>
      </c>
      <c r="E185" s="435" t="s">
        <v>289</v>
      </c>
      <c r="F185" s="210" t="s">
        <v>292</v>
      </c>
      <c r="G185" s="139">
        <v>1</v>
      </c>
      <c r="H185" s="143"/>
      <c r="I185" s="143"/>
      <c r="J185" s="143">
        <v>78</v>
      </c>
      <c r="K185" s="143">
        <v>78</v>
      </c>
      <c r="L185" s="212"/>
      <c r="M185" s="212"/>
      <c r="N185" s="212"/>
      <c r="O185" s="212"/>
      <c r="P185" s="142">
        <f>IF(Table_Shelter[[#This Row],[Status]]="Open",IF(V185="NO",Table_Shelter[[#This Row],[HH per Shelter]]*(Table_Shelter[[#This Row],['# of Temporary Shelter Units Built]]+Table_Shelter[[#This Row],['# of Temporary Shelter Under  Construction]]+Table_Shelter[[#This Row],['# of Permanent House Under Construction]]),0),0)</f>
        <v>78</v>
      </c>
      <c r="Q185" s="142"/>
      <c r="R185" s="212"/>
      <c r="S185" s="212" t="str">
        <f>IFERROR(VLOOKUP(Table_Shelter[[#This Row],[CampName]],CL,2,0),"")</f>
        <v>MMR015CMP004</v>
      </c>
      <c r="T185" s="212" t="str">
        <f>IFERROR(VLOOKUP(Table_Shelter[[#This Row],[CampName]],CL,3,0),"")</f>
        <v>Open</v>
      </c>
      <c r="U185" s="332">
        <f>IFERROR(Table_Shelter[[#This Row],[HH Covered]]/VLOOKUP(Table_Shelter[[#This Row],[CampName]],CL,4,0),"")</f>
        <v>1.1142857142857143</v>
      </c>
      <c r="V185" s="552" t="s">
        <v>1310</v>
      </c>
      <c r="W185" s="333"/>
    </row>
    <row r="186" spans="1:23" ht="15" customHeight="1" x14ac:dyDescent="0.25">
      <c r="A186" s="335"/>
      <c r="B186" s="210" t="s">
        <v>454</v>
      </c>
      <c r="C186" s="210" t="s">
        <v>462</v>
      </c>
      <c r="D186" s="213" t="s">
        <v>555</v>
      </c>
      <c r="E186" s="435" t="s">
        <v>289</v>
      </c>
      <c r="F186" s="210" t="s">
        <v>292</v>
      </c>
      <c r="G186" s="139">
        <v>1</v>
      </c>
      <c r="H186" s="143"/>
      <c r="I186" s="143"/>
      <c r="J186" s="143">
        <v>20</v>
      </c>
      <c r="K186" s="143">
        <v>20</v>
      </c>
      <c r="L186" s="212"/>
      <c r="M186" s="212"/>
      <c r="N186" s="212"/>
      <c r="O186" s="212"/>
      <c r="P186" s="142">
        <f>IF(Table_Shelter[[#This Row],[Status]]="Open",IF(V186="NO",Table_Shelter[[#This Row],[HH per Shelter]]*(Table_Shelter[[#This Row],['# of Temporary Shelter Units Built]]+Table_Shelter[[#This Row],['# of Temporary Shelter Under  Construction]]+Table_Shelter[[#This Row],['# of Permanent House Under Construction]]),0),0)</f>
        <v>20</v>
      </c>
      <c r="Q186" s="142"/>
      <c r="R186" s="212"/>
      <c r="S186" s="212" t="str">
        <f>IFERROR(VLOOKUP(Table_Shelter[[#This Row],[CampName]],CL,2,0),"")</f>
        <v>MMR015CMP004</v>
      </c>
      <c r="T186" s="212" t="str">
        <f>IFERROR(VLOOKUP(Table_Shelter[[#This Row],[CampName]],CL,3,0),"")</f>
        <v>Open</v>
      </c>
      <c r="U186" s="332">
        <f>IFERROR(Table_Shelter[[#This Row],[HH Covered]]/VLOOKUP(Table_Shelter[[#This Row],[CampName]],CL,4,0),"")</f>
        <v>0.2857142857142857</v>
      </c>
      <c r="V186" s="552" t="s">
        <v>1310</v>
      </c>
      <c r="W186" s="333"/>
    </row>
    <row r="187" spans="1:23" ht="15" customHeight="1" x14ac:dyDescent="0.25">
      <c r="A187" s="335"/>
      <c r="B187" s="210" t="s">
        <v>455</v>
      </c>
      <c r="C187" s="210" t="s">
        <v>462</v>
      </c>
      <c r="D187" s="213" t="s">
        <v>555</v>
      </c>
      <c r="E187" s="435" t="s">
        <v>289</v>
      </c>
      <c r="F187" s="210" t="s">
        <v>290</v>
      </c>
      <c r="G187" s="139">
        <v>1</v>
      </c>
      <c r="H187" s="143"/>
      <c r="I187" s="143"/>
      <c r="J187" s="143">
        <v>30</v>
      </c>
      <c r="K187" s="143">
        <v>30</v>
      </c>
      <c r="L187" s="212"/>
      <c r="M187" s="212"/>
      <c r="N187" s="212"/>
      <c r="O187" s="212"/>
      <c r="P187" s="142">
        <f>IF(Table_Shelter[[#This Row],[Status]]="Open",IF(V187="NO",Table_Shelter[[#This Row],[HH per Shelter]]*(Table_Shelter[[#This Row],['# of Temporary Shelter Units Built]]+Table_Shelter[[#This Row],['# of Temporary Shelter Under  Construction]]+Table_Shelter[[#This Row],['# of Permanent House Under Construction]]),0),0)</f>
        <v>30</v>
      </c>
      <c r="Q187" s="142"/>
      <c r="R187" s="212"/>
      <c r="S187" s="212" t="str">
        <f>IFERROR(VLOOKUP(Table_Shelter[[#This Row],[CampName]],CL,2,0),"")</f>
        <v>MMR015CMP001</v>
      </c>
      <c r="T187" s="212" t="str">
        <f>IFERROR(VLOOKUP(Table_Shelter[[#This Row],[CampName]],CL,3,0),"")</f>
        <v>Open</v>
      </c>
      <c r="U187" s="332">
        <f>IFERROR(Table_Shelter[[#This Row],[HH Covered]]/VLOOKUP(Table_Shelter[[#This Row],[CampName]],CL,4,0),"")</f>
        <v>0.41095890410958902</v>
      </c>
      <c r="V187" s="552" t="s">
        <v>1310</v>
      </c>
      <c r="W187" s="333"/>
    </row>
    <row r="188" spans="1:23" ht="15" customHeight="1" x14ac:dyDescent="0.25">
      <c r="A188" s="334">
        <v>42416</v>
      </c>
      <c r="B188" s="210" t="s">
        <v>848</v>
      </c>
      <c r="C188" s="210"/>
      <c r="D188" s="213" t="s">
        <v>555</v>
      </c>
      <c r="E188" s="435" t="s">
        <v>289</v>
      </c>
      <c r="F188" s="210" t="s">
        <v>1058</v>
      </c>
      <c r="G188" s="139">
        <v>1</v>
      </c>
      <c r="H188" s="143"/>
      <c r="I188" s="143"/>
      <c r="J188" s="143">
        <v>25</v>
      </c>
      <c r="K188" s="143">
        <v>25</v>
      </c>
      <c r="L188" s="212"/>
      <c r="M188" s="212"/>
      <c r="N188" s="212"/>
      <c r="O188" s="212"/>
      <c r="P188" s="142">
        <f>IF(Table_Shelter[[#This Row],[Status]]="Open",IF(V188="NO",Table_Shelter[[#This Row],[HH per Shelter]]*(Table_Shelter[[#This Row],['# of Temporary Shelter Units Built]]+Table_Shelter[[#This Row],['# of Temporary Shelter Under  Construction]]+Table_Shelter[[#This Row],['# of Permanent House Under Construction]]),0),0)</f>
        <v>25</v>
      </c>
      <c r="Q188" s="142"/>
      <c r="R188" s="212"/>
      <c r="S188" s="212" t="str">
        <f>IFERROR(VLOOKUP(Table_Shelter[[#This Row],[CampName]],CL,2,0),"")</f>
        <v>MMR015CMP214</v>
      </c>
      <c r="T188" s="212" t="str">
        <f>IFERROR(VLOOKUP(Table_Shelter[[#This Row],[CampName]],CL,3,0),"")</f>
        <v>Open</v>
      </c>
      <c r="U188" s="332">
        <f>IFERROR(Table_Shelter[[#This Row],[HH Covered]]/VLOOKUP(Table_Shelter[[#This Row],[CampName]],CL,4,0),"")</f>
        <v>0.67567567567567566</v>
      </c>
      <c r="V188" s="333" t="s">
        <v>1310</v>
      </c>
      <c r="W188" s="594"/>
    </row>
    <row r="189" spans="1:23" ht="15" customHeight="1" x14ac:dyDescent="0.25">
      <c r="A189" s="335"/>
      <c r="B189" s="210" t="s">
        <v>848</v>
      </c>
      <c r="C189" s="210"/>
      <c r="D189" s="213" t="s">
        <v>555</v>
      </c>
      <c r="E189" s="215" t="s">
        <v>289</v>
      </c>
      <c r="F189" s="210" t="s">
        <v>1058</v>
      </c>
      <c r="G189" s="139">
        <v>1</v>
      </c>
      <c r="H189" s="143"/>
      <c r="I189" s="143"/>
      <c r="J189" s="143">
        <v>24</v>
      </c>
      <c r="K189" s="143">
        <v>12</v>
      </c>
      <c r="L189" s="212"/>
      <c r="M189" s="212"/>
      <c r="N189" s="212"/>
      <c r="O189" s="212"/>
      <c r="P189" s="142">
        <f>IF(Table_Shelter[[#This Row],[Status]]="Open",IF(V189="NO",Table_Shelter[[#This Row],[HH per Shelter]]*(Table_Shelter[[#This Row],['# of Temporary Shelter Units Built]]+Table_Shelter[[#This Row],['# of Temporary Shelter Under  Construction]]+Table_Shelter[[#This Row],['# of Permanent House Under Construction]]),0),0)</f>
        <v>12</v>
      </c>
      <c r="Q189" s="142"/>
      <c r="R189" s="212"/>
      <c r="S189" s="212" t="str">
        <f>IFERROR(VLOOKUP(Table_Shelter[[#This Row],[CampName]],CL,2,0),"")</f>
        <v>MMR015CMP214</v>
      </c>
      <c r="T189" s="212" t="str">
        <f>IFERROR(VLOOKUP(Table_Shelter[[#This Row],[CampName]],CL,3,0),"")</f>
        <v>Open</v>
      </c>
      <c r="U189" s="332">
        <f>IFERROR(Table_Shelter[[#This Row],[HH Covered]]/VLOOKUP(Table_Shelter[[#This Row],[CampName]],CL,4,0),"")</f>
        <v>0.32432432432432434</v>
      </c>
      <c r="V189" s="552" t="s">
        <v>1310</v>
      </c>
      <c r="W189" s="333"/>
    </row>
    <row r="190" spans="1:23" ht="15" customHeight="1" x14ac:dyDescent="0.25">
      <c r="A190" s="334">
        <v>42416</v>
      </c>
      <c r="B190" s="210" t="s">
        <v>848</v>
      </c>
      <c r="C190" s="210"/>
      <c r="D190" s="213" t="s">
        <v>555</v>
      </c>
      <c r="E190" s="215" t="s">
        <v>230</v>
      </c>
      <c r="F190" s="210" t="s">
        <v>361</v>
      </c>
      <c r="G190" s="139">
        <v>1</v>
      </c>
      <c r="H190" s="143"/>
      <c r="I190" s="143"/>
      <c r="J190" s="143">
        <v>9</v>
      </c>
      <c r="K190" s="143">
        <v>9</v>
      </c>
      <c r="L190" s="212"/>
      <c r="M190" s="212"/>
      <c r="N190" s="212"/>
      <c r="O190" s="212"/>
      <c r="P190" s="142">
        <f>IF(Table_Shelter[[#This Row],[Status]]="Open",IF(V190="NO",Table_Shelter[[#This Row],[HH per Shelter]]*(Table_Shelter[[#This Row],['# of Temporary Shelter Units Built]]+Table_Shelter[[#This Row],['# of Temporary Shelter Under  Construction]]+Table_Shelter[[#This Row],['# of Permanent House Under Construction]]),0),0)</f>
        <v>0</v>
      </c>
      <c r="Q190" s="142"/>
      <c r="R190" s="212"/>
      <c r="S190" s="212" t="str">
        <f>IFERROR(VLOOKUP(Table_Shelter[[#This Row],[CampName]],CL,2,0),"")</f>
        <v>MMR015CMP139</v>
      </c>
      <c r="T190" s="212" t="str">
        <f>IFERROR(VLOOKUP(Table_Shelter[[#This Row],[CampName]],CL,3,0),"")</f>
        <v>Closed</v>
      </c>
      <c r="U190" s="332" t="str">
        <f>IFERROR(Table_Shelter[[#This Row],[HH Covered]]/VLOOKUP(Table_Shelter[[#This Row],[CampName]],CL,4,0),"")</f>
        <v/>
      </c>
      <c r="V190" s="333" t="s">
        <v>1310</v>
      </c>
      <c r="W190" s="594"/>
    </row>
    <row r="191" spans="1:23" ht="15" customHeight="1" x14ac:dyDescent="0.25">
      <c r="A191" s="603"/>
      <c r="B191" s="210" t="s">
        <v>454</v>
      </c>
      <c r="C191" s="210" t="s">
        <v>462</v>
      </c>
      <c r="D191" s="213" t="s">
        <v>555</v>
      </c>
      <c r="E191" s="435" t="s">
        <v>146</v>
      </c>
      <c r="F191" s="210" t="s">
        <v>149</v>
      </c>
      <c r="G191" s="139">
        <v>1</v>
      </c>
      <c r="H191" s="143"/>
      <c r="I191" s="143"/>
      <c r="J191" s="143">
        <v>20</v>
      </c>
      <c r="K191" s="143">
        <v>20</v>
      </c>
      <c r="L191" s="212"/>
      <c r="M191" s="212"/>
      <c r="N191" s="212"/>
      <c r="O191" s="212"/>
      <c r="P191" s="142">
        <f>IF(Table_Shelter[[#This Row],[Status]]="Open",IF(V191="NO",Table_Shelter[[#This Row],[HH per Shelter]]*(Table_Shelter[[#This Row],['# of Temporary Shelter Units Built]]+Table_Shelter[[#This Row],['# of Temporary Shelter Under  Construction]]+Table_Shelter[[#This Row],['# of Permanent House Under Construction]]),0),0)</f>
        <v>20</v>
      </c>
      <c r="Q191" s="142"/>
      <c r="R191" s="212"/>
      <c r="S191" s="212" t="str">
        <f>IFERROR(VLOOKUP(Table_Shelter[[#This Row],[CampName]],CL,2,0),"")</f>
        <v>MMR015CMP007</v>
      </c>
      <c r="T191" s="212" t="str">
        <f>IFERROR(VLOOKUP(Table_Shelter[[#This Row],[CampName]],CL,3,0),"")</f>
        <v>Open</v>
      </c>
      <c r="U191" s="332">
        <f>IFERROR(Table_Shelter[[#This Row],[HH Covered]]/VLOOKUP(Table_Shelter[[#This Row],[CampName]],CL,4,0),"")</f>
        <v>0.32258064516129031</v>
      </c>
      <c r="V191" s="552" t="s">
        <v>1310</v>
      </c>
      <c r="W191" s="333"/>
    </row>
    <row r="192" spans="1:23" ht="15" customHeight="1" x14ac:dyDescent="0.25">
      <c r="A192" s="603"/>
      <c r="B192" s="210" t="s">
        <v>454</v>
      </c>
      <c r="C192" s="210" t="s">
        <v>848</v>
      </c>
      <c r="D192" s="213" t="s">
        <v>555</v>
      </c>
      <c r="E192" s="435" t="s">
        <v>146</v>
      </c>
      <c r="F192" s="210" t="s">
        <v>149</v>
      </c>
      <c r="G192" s="139">
        <v>1</v>
      </c>
      <c r="H192" s="143"/>
      <c r="I192" s="143"/>
      <c r="J192" s="143">
        <v>6</v>
      </c>
      <c r="K192" s="143">
        <v>6</v>
      </c>
      <c r="L192" s="212"/>
      <c r="M192" s="212"/>
      <c r="N192" s="212"/>
      <c r="O192" s="212"/>
      <c r="P192" s="142">
        <f>IF(Table_Shelter[[#This Row],[Status]]="Open",IF(V192="NO",Table_Shelter[[#This Row],[HH per Shelter]]*(Table_Shelter[[#This Row],['# of Temporary Shelter Units Built]]+Table_Shelter[[#This Row],['# of Temporary Shelter Under  Construction]]+Table_Shelter[[#This Row],['# of Permanent House Under Construction]]),0),0)</f>
        <v>6</v>
      </c>
      <c r="Q192" s="142"/>
      <c r="R192" s="212"/>
      <c r="S192" s="212" t="str">
        <f>IFERROR(VLOOKUP(Table_Shelter[[#This Row],[CampName]],CL,2,0),"")</f>
        <v>MMR015CMP007</v>
      </c>
      <c r="T192" s="212" t="str">
        <f>IFERROR(VLOOKUP(Table_Shelter[[#This Row],[CampName]],CL,3,0),"")</f>
        <v>Open</v>
      </c>
      <c r="U192" s="332">
        <f>IFERROR(Table_Shelter[[#This Row],[HH Covered]]/VLOOKUP(Table_Shelter[[#This Row],[CampName]],CL,4,0),"")</f>
        <v>9.6774193548387094E-2</v>
      </c>
      <c r="V192" s="552" t="s">
        <v>1310</v>
      </c>
      <c r="W192" s="333"/>
    </row>
    <row r="193" spans="1:23" ht="15" customHeight="1" x14ac:dyDescent="0.25">
      <c r="A193" s="335"/>
      <c r="B193" s="210" t="s">
        <v>454</v>
      </c>
      <c r="C193" s="210" t="s">
        <v>461</v>
      </c>
      <c r="D193" s="213" t="s">
        <v>380</v>
      </c>
      <c r="E193" s="435" t="s">
        <v>151</v>
      </c>
      <c r="F193" s="210" t="s">
        <v>867</v>
      </c>
      <c r="G193" s="139">
        <v>1</v>
      </c>
      <c r="H193" s="143"/>
      <c r="I193" s="143"/>
      <c r="J193" s="143">
        <v>36</v>
      </c>
      <c r="K193" s="143">
        <v>36</v>
      </c>
      <c r="L193" s="212"/>
      <c r="M193" s="212"/>
      <c r="N193" s="212"/>
      <c r="O193" s="212"/>
      <c r="P193" s="142">
        <f>IF(Table_Shelter[[#This Row],[Status]]="Open",IF(V193="NO",Table_Shelter[[#This Row],[HH per Shelter]]*(Table_Shelter[[#This Row],['# of Temporary Shelter Units Built]]+Table_Shelter[[#This Row],['# of Temporary Shelter Under  Construction]]+Table_Shelter[[#This Row],['# of Permanent House Under Construction]]),0),0)</f>
        <v>0</v>
      </c>
      <c r="Q193" s="142"/>
      <c r="R193" s="212"/>
      <c r="S193" s="212" t="str">
        <f>IFERROR(VLOOKUP(Table_Shelter[[#This Row],[CampName]],CL,2,0),"")</f>
        <v>MMR001CMP204</v>
      </c>
      <c r="T193" s="212" t="str">
        <f>IFERROR(VLOOKUP(Table_Shelter[[#This Row],[CampName]],CL,3,0),"")</f>
        <v>Closed</v>
      </c>
      <c r="U193" s="332" t="str">
        <f>IFERROR(Table_Shelter[[#This Row],[HH Covered]]/VLOOKUP(Table_Shelter[[#This Row],[CampName]],CL,4,0),"")</f>
        <v/>
      </c>
      <c r="V193" s="552" t="s">
        <v>1310</v>
      </c>
      <c r="W193" s="333"/>
    </row>
    <row r="194" spans="1:23" ht="15" customHeight="1" x14ac:dyDescent="0.25">
      <c r="A194" s="603">
        <v>41974</v>
      </c>
      <c r="B194" s="210" t="s">
        <v>454</v>
      </c>
      <c r="C194" s="210" t="s">
        <v>507</v>
      </c>
      <c r="D194" s="213" t="s">
        <v>380</v>
      </c>
      <c r="E194" s="215" t="s">
        <v>529</v>
      </c>
      <c r="F194" s="210" t="s">
        <v>613</v>
      </c>
      <c r="G194" s="139">
        <v>1</v>
      </c>
      <c r="H194" s="143"/>
      <c r="I194" s="143"/>
      <c r="J194" s="143">
        <v>5</v>
      </c>
      <c r="K194" s="143">
        <v>5</v>
      </c>
      <c r="L194" s="212"/>
      <c r="M194" s="212"/>
      <c r="N194" s="212"/>
      <c r="O194" s="212"/>
      <c r="P194" s="142">
        <f>IF(Table_Shelter[[#This Row],[Status]]="Open",IF(V194="NO",Table_Shelter[[#This Row],[HH per Shelter]]*(Table_Shelter[[#This Row],['# of Temporary Shelter Units Built]]+Table_Shelter[[#This Row],['# of Temporary Shelter Under  Construction]]+Table_Shelter[[#This Row],['# of Permanent House Under Construction]]),0),0)</f>
        <v>5</v>
      </c>
      <c r="Q194" s="142"/>
      <c r="R194" s="142"/>
      <c r="S194" s="142" t="str">
        <f>IFERROR(VLOOKUP(Table_Shelter[[#This Row],[CampName]],CL,2,0),"")</f>
        <v>MMR001CMP192</v>
      </c>
      <c r="T194" s="142" t="str">
        <f>IFERROR(VLOOKUP(Table_Shelter[[#This Row],[CampName]],CL,3,0),"")</f>
        <v>Open</v>
      </c>
      <c r="U194" s="332">
        <f>IFERROR(Table_Shelter[[#This Row],[HH Covered]]/VLOOKUP(Table_Shelter[[#This Row],[CampName]],CL,4,0),"")</f>
        <v>0.29411764705882354</v>
      </c>
      <c r="V194" s="552" t="s">
        <v>1310</v>
      </c>
      <c r="W194" s="336"/>
    </row>
    <row r="195" spans="1:23" ht="15" customHeight="1" x14ac:dyDescent="0.25">
      <c r="A195" s="603">
        <v>41609</v>
      </c>
      <c r="B195" s="210" t="s">
        <v>454</v>
      </c>
      <c r="C195" s="210" t="s">
        <v>507</v>
      </c>
      <c r="D195" s="213" t="s">
        <v>380</v>
      </c>
      <c r="E195" s="435" t="s">
        <v>529</v>
      </c>
      <c r="F195" s="210" t="s">
        <v>613</v>
      </c>
      <c r="G195" s="139">
        <v>1</v>
      </c>
      <c r="H195" s="143"/>
      <c r="I195" s="143"/>
      <c r="J195" s="143">
        <v>10</v>
      </c>
      <c r="K195" s="143">
        <v>10</v>
      </c>
      <c r="L195" s="212"/>
      <c r="M195" s="212"/>
      <c r="N195" s="212"/>
      <c r="O195" s="212"/>
      <c r="P195" s="142">
        <f>IF(Table_Shelter[[#This Row],[Status]]="Open",IF(V195="NO",Table_Shelter[[#This Row],[HH per Shelter]]*(Table_Shelter[[#This Row],['# of Temporary Shelter Units Built]]+Table_Shelter[[#This Row],['# of Temporary Shelter Under  Construction]]+Table_Shelter[[#This Row],['# of Permanent House Under Construction]]),0),0)</f>
        <v>10</v>
      </c>
      <c r="Q195" s="142"/>
      <c r="R195" s="212"/>
      <c r="S195" s="212" t="str">
        <f>IFERROR(VLOOKUP(Table_Shelter[[#This Row],[CampName]],CL,2,0),"")</f>
        <v>MMR001CMP192</v>
      </c>
      <c r="T195" s="212" t="str">
        <f>IFERROR(VLOOKUP(Table_Shelter[[#This Row],[CampName]],CL,3,0),"")</f>
        <v>Open</v>
      </c>
      <c r="U195" s="332">
        <f>IFERROR(Table_Shelter[[#This Row],[HH Covered]]/VLOOKUP(Table_Shelter[[#This Row],[CampName]],CL,4,0),"")</f>
        <v>0.58823529411764708</v>
      </c>
      <c r="V195" s="552" t="s">
        <v>1310</v>
      </c>
      <c r="W195" s="333"/>
    </row>
    <row r="196" spans="1:23" ht="15" customHeight="1" x14ac:dyDescent="0.25">
      <c r="A196" s="603"/>
      <c r="B196" s="210" t="s">
        <v>864</v>
      </c>
      <c r="C196" s="210"/>
      <c r="D196" s="213" t="s">
        <v>380</v>
      </c>
      <c r="E196" s="435" t="s">
        <v>529</v>
      </c>
      <c r="F196" s="210" t="s">
        <v>613</v>
      </c>
      <c r="G196" s="139">
        <v>1</v>
      </c>
      <c r="H196" s="143">
        <v>8</v>
      </c>
      <c r="I196" s="143">
        <v>8</v>
      </c>
      <c r="J196" s="143"/>
      <c r="K196" s="143"/>
      <c r="L196" s="212"/>
      <c r="M196" s="212"/>
      <c r="N196" s="212"/>
      <c r="O196" s="212"/>
      <c r="P196" s="142">
        <f>IF(Table_Shelter[[#This Row],[Status]]="Open",IF(V196="NO",Table_Shelter[[#This Row],[HH per Shelter]]*(Table_Shelter[[#This Row],['# of Temporary Shelter Units Built]]+Table_Shelter[[#This Row],['# of Temporary Shelter Under  Construction]]+Table_Shelter[[#This Row],['# of Permanent House Under Construction]]),0),0)</f>
        <v>0</v>
      </c>
      <c r="Q196" s="142"/>
      <c r="R196" s="212"/>
      <c r="S196" s="212" t="str">
        <f>IFERROR(VLOOKUP(Table_Shelter[[#This Row],[CampName]],CL,2,0),"")</f>
        <v>MMR001CMP192</v>
      </c>
      <c r="T196" s="212" t="str">
        <f>IFERROR(VLOOKUP(Table_Shelter[[#This Row],[CampName]],CL,3,0),"")</f>
        <v>Open</v>
      </c>
      <c r="U196" s="332">
        <f>IFERROR(Table_Shelter[[#This Row],[HH Covered]]/VLOOKUP(Table_Shelter[[#This Row],[CampName]],CL,4,0),"")</f>
        <v>0</v>
      </c>
      <c r="V196" s="552" t="s">
        <v>1310</v>
      </c>
      <c r="W196" s="333"/>
    </row>
    <row r="197" spans="1:23" ht="15" customHeight="1" x14ac:dyDescent="0.25">
      <c r="A197" s="334">
        <v>42416</v>
      </c>
      <c r="B197" s="210" t="s">
        <v>848</v>
      </c>
      <c r="C197" s="210"/>
      <c r="D197" s="218" t="s">
        <v>555</v>
      </c>
      <c r="E197" s="219" t="s">
        <v>781</v>
      </c>
      <c r="F197" s="139" t="s">
        <v>1279</v>
      </c>
      <c r="G197" s="139">
        <v>1</v>
      </c>
      <c r="H197" s="143"/>
      <c r="I197" s="143"/>
      <c r="J197" s="143">
        <v>25</v>
      </c>
      <c r="K197" s="143">
        <v>25</v>
      </c>
      <c r="L197" s="143"/>
      <c r="M197" s="143"/>
      <c r="N197" s="143"/>
      <c r="O197" s="143"/>
      <c r="P197" s="142">
        <f>IF(Table_Shelter[[#This Row],[Status]]="Open",IF(V197="NO",Table_Shelter[[#This Row],[HH per Shelter]]*(Table_Shelter[[#This Row],['# of Temporary Shelter Units Built]]+Table_Shelter[[#This Row],['# of Temporary Shelter Under  Construction]]+Table_Shelter[[#This Row],['# of Permanent House Under Construction]]),0),0)</f>
        <v>25</v>
      </c>
      <c r="Q197" s="142"/>
      <c r="R197" s="142"/>
      <c r="S197" s="142" t="str">
        <f>IFERROR(VLOOKUP(Table_Shelter[[#This Row],[CampName]],CL,2,0),"")</f>
        <v>MMR015CMP218</v>
      </c>
      <c r="T197" s="142" t="str">
        <f>IFERROR(VLOOKUP(Table_Shelter[[#This Row],[CampName]],CL,3,0),"")</f>
        <v>Open</v>
      </c>
      <c r="U197" s="338">
        <f>IFERROR(Table_Shelter[[#This Row],[HH Covered]]/VLOOKUP(Table_Shelter[[#This Row],[CampName]],CL,4,0),"")</f>
        <v>0.65789473684210531</v>
      </c>
      <c r="V197" s="597" t="s">
        <v>1310</v>
      </c>
      <c r="W197" s="594"/>
    </row>
    <row r="198" spans="1:23" ht="15" customHeight="1" x14ac:dyDescent="0.25">
      <c r="A198" s="603"/>
      <c r="B198" s="139" t="s">
        <v>454</v>
      </c>
      <c r="C198" s="139" t="s">
        <v>462</v>
      </c>
      <c r="D198" s="218" t="s">
        <v>555</v>
      </c>
      <c r="E198" s="219" t="s">
        <v>781</v>
      </c>
      <c r="F198" s="139" t="s">
        <v>1279</v>
      </c>
      <c r="G198" s="139">
        <v>1</v>
      </c>
      <c r="H198" s="143"/>
      <c r="I198" s="143"/>
      <c r="J198" s="143">
        <v>10</v>
      </c>
      <c r="K198" s="143">
        <v>10</v>
      </c>
      <c r="L198" s="143"/>
      <c r="M198" s="143"/>
      <c r="N198" s="143"/>
      <c r="O198" s="143"/>
      <c r="P198" s="142">
        <f>IF(Table_Shelter[[#This Row],[Status]]="Open",IF(V198="NO",Table_Shelter[[#This Row],[HH per Shelter]]*(Table_Shelter[[#This Row],['# of Temporary Shelter Units Built]]+Table_Shelter[[#This Row],['# of Temporary Shelter Under  Construction]]+Table_Shelter[[#This Row],['# of Permanent House Under Construction]]),0),0)</f>
        <v>10</v>
      </c>
      <c r="Q198" s="142"/>
      <c r="R198" s="142"/>
      <c r="S198" s="142" t="str">
        <f>IFERROR(VLOOKUP(Table_Shelter[[#This Row],[CampName]],CL,2,0),"")</f>
        <v>MMR015CMP218</v>
      </c>
      <c r="T198" s="142" t="str">
        <f>IFERROR(VLOOKUP(Table_Shelter[[#This Row],[CampName]],CL,3,0),"")</f>
        <v>Open</v>
      </c>
      <c r="U198" s="338">
        <f>IFERROR(Table_Shelter[[#This Row],[HH Covered]]/VLOOKUP(Table_Shelter[[#This Row],[CampName]],CL,4,0),"")</f>
        <v>0.26315789473684209</v>
      </c>
      <c r="V198" s="552" t="s">
        <v>1310</v>
      </c>
      <c r="W198" s="336"/>
    </row>
    <row r="199" spans="1:23" ht="15" customHeight="1" x14ac:dyDescent="0.25">
      <c r="A199" s="335"/>
      <c r="B199" s="210" t="s">
        <v>454</v>
      </c>
      <c r="C199" s="210" t="s">
        <v>462</v>
      </c>
      <c r="D199" s="213" t="s">
        <v>555</v>
      </c>
      <c r="E199" s="435" t="s">
        <v>298</v>
      </c>
      <c r="F199" s="210" t="s">
        <v>823</v>
      </c>
      <c r="G199" s="139">
        <v>1</v>
      </c>
      <c r="H199" s="143"/>
      <c r="I199" s="143"/>
      <c r="J199" s="143">
        <v>10</v>
      </c>
      <c r="K199" s="143">
        <v>10</v>
      </c>
      <c r="L199" s="212"/>
      <c r="M199" s="212"/>
      <c r="N199" s="212"/>
      <c r="O199" s="212"/>
      <c r="P199" s="142">
        <f>IF(Table_Shelter[[#This Row],[Status]]="Open",IF(V199="NO",Table_Shelter[[#This Row],[HH per Shelter]]*(Table_Shelter[[#This Row],['# of Temporary Shelter Units Built]]+Table_Shelter[[#This Row],['# of Temporary Shelter Under  Construction]]+Table_Shelter[[#This Row],['# of Permanent House Under Construction]]),0),0)</f>
        <v>10</v>
      </c>
      <c r="Q199" s="142"/>
      <c r="R199" s="212"/>
      <c r="S199" s="212" t="str">
        <f>IFERROR(VLOOKUP(Table_Shelter[[#This Row],[CampName]],CL,2,0),"")</f>
        <v>MMR015CMP014</v>
      </c>
      <c r="T199" s="212" t="str">
        <f>IFERROR(VLOOKUP(Table_Shelter[[#This Row],[CampName]],CL,3,0),"")</f>
        <v>Open</v>
      </c>
      <c r="U199" s="332">
        <f>IFERROR(Table_Shelter[[#This Row],[HH Covered]]/VLOOKUP(Table_Shelter[[#This Row],[CampName]],CL,4,0),"")</f>
        <v>1.1111111111111112</v>
      </c>
      <c r="V199" s="552" t="s">
        <v>1310</v>
      </c>
      <c r="W199" s="333"/>
    </row>
    <row r="200" spans="1:23" ht="15" customHeight="1" x14ac:dyDescent="0.25">
      <c r="A200" s="334">
        <v>42416</v>
      </c>
      <c r="B200" s="210" t="s">
        <v>848</v>
      </c>
      <c r="C200" s="210"/>
      <c r="D200" s="213" t="s">
        <v>555</v>
      </c>
      <c r="E200" s="435" t="s">
        <v>289</v>
      </c>
      <c r="F200" s="210" t="s">
        <v>1070</v>
      </c>
      <c r="G200" s="139">
        <v>1</v>
      </c>
      <c r="H200" s="143"/>
      <c r="I200" s="143"/>
      <c r="J200" s="143">
        <v>36</v>
      </c>
      <c r="K200" s="143">
        <v>36</v>
      </c>
      <c r="L200" s="212"/>
      <c r="M200" s="212"/>
      <c r="N200" s="212"/>
      <c r="O200" s="212"/>
      <c r="P200" s="142">
        <f>IF(Table_Shelter[[#This Row],[Status]]="Open",IF(V200="NO",Table_Shelter[[#This Row],[HH per Shelter]]*(Table_Shelter[[#This Row],['# of Temporary Shelter Units Built]]+Table_Shelter[[#This Row],['# of Temporary Shelter Under  Construction]]+Table_Shelter[[#This Row],['# of Permanent House Under Construction]]),0),0)</f>
        <v>36</v>
      </c>
      <c r="Q200" s="142"/>
      <c r="R200" s="212"/>
      <c r="S200" s="212" t="str">
        <f>IFERROR(VLOOKUP(Table_Shelter[[#This Row],[CampName]],CL,2,0),"")</f>
        <v>MMR015CMP215</v>
      </c>
      <c r="T200" s="212" t="str">
        <f>IFERROR(VLOOKUP(Table_Shelter[[#This Row],[CampName]],CL,3,0),"")</f>
        <v>Open</v>
      </c>
      <c r="U200" s="332">
        <f>IFERROR(Table_Shelter[[#This Row],[HH Covered]]/VLOOKUP(Table_Shelter[[#This Row],[CampName]],CL,4,0),"")</f>
        <v>0.29268292682926828</v>
      </c>
      <c r="V200" s="552" t="s">
        <v>1310</v>
      </c>
      <c r="W200" s="333"/>
    </row>
    <row r="201" spans="1:23" ht="15" customHeight="1" x14ac:dyDescent="0.25">
      <c r="A201" s="603"/>
      <c r="B201" s="210" t="s">
        <v>848</v>
      </c>
      <c r="C201" s="210"/>
      <c r="D201" s="213" t="s">
        <v>555</v>
      </c>
      <c r="E201" s="215" t="s">
        <v>289</v>
      </c>
      <c r="F201" s="210" t="s">
        <v>1070</v>
      </c>
      <c r="G201" s="139">
        <v>1</v>
      </c>
      <c r="H201" s="143"/>
      <c r="I201" s="143"/>
      <c r="J201" s="143">
        <v>50</v>
      </c>
      <c r="K201" s="143">
        <v>36</v>
      </c>
      <c r="L201" s="212"/>
      <c r="M201" s="212"/>
      <c r="N201" s="212"/>
      <c r="O201" s="212"/>
      <c r="P201" s="142">
        <f>IF(Table_Shelter[[#This Row],[Status]]="Open",IF(V201="NO",Table_Shelter[[#This Row],[HH per Shelter]]*(Table_Shelter[[#This Row],['# of Temporary Shelter Units Built]]+Table_Shelter[[#This Row],['# of Temporary Shelter Under  Construction]]+Table_Shelter[[#This Row],['# of Permanent House Under Construction]]),0),0)</f>
        <v>36</v>
      </c>
      <c r="Q201" s="142"/>
      <c r="R201" s="212"/>
      <c r="S201" s="212" t="str">
        <f>IFERROR(VLOOKUP(Table_Shelter[[#This Row],[CampName]],CL,2,0),"")</f>
        <v>MMR015CMP215</v>
      </c>
      <c r="T201" s="212" t="str">
        <f>IFERROR(VLOOKUP(Table_Shelter[[#This Row],[CampName]],CL,3,0),"")</f>
        <v>Open</v>
      </c>
      <c r="U201" s="332">
        <f>IFERROR(Table_Shelter[[#This Row],[HH Covered]]/VLOOKUP(Table_Shelter[[#This Row],[CampName]],CL,4,0),"")</f>
        <v>0.29268292682926828</v>
      </c>
      <c r="V201" s="552" t="s">
        <v>1310</v>
      </c>
      <c r="W201" s="333"/>
    </row>
    <row r="202" spans="1:23" ht="15" customHeight="1" x14ac:dyDescent="0.25">
      <c r="A202" s="603"/>
      <c r="B202" s="210" t="s">
        <v>864</v>
      </c>
      <c r="C202" s="210"/>
      <c r="D202" s="213" t="s">
        <v>380</v>
      </c>
      <c r="E202" s="435" t="s">
        <v>237</v>
      </c>
      <c r="F202" s="210" t="s">
        <v>271</v>
      </c>
      <c r="G202" s="139">
        <v>1</v>
      </c>
      <c r="H202" s="143">
        <v>1</v>
      </c>
      <c r="I202" s="143">
        <v>1</v>
      </c>
      <c r="J202" s="143"/>
      <c r="K202" s="143"/>
      <c r="L202" s="212"/>
      <c r="M202" s="212"/>
      <c r="N202" s="212"/>
      <c r="O202" s="212"/>
      <c r="P202" s="142">
        <f>IF(Table_Shelter[[#This Row],[Status]]="Open",IF(V202="NO",Table_Shelter[[#This Row],[HH per Shelter]]*(Table_Shelter[[#This Row],['# of Temporary Shelter Units Built]]+Table_Shelter[[#This Row],['# of Temporary Shelter Under  Construction]]+Table_Shelter[[#This Row],['# of Permanent House Under Construction]]),0),0)</f>
        <v>0</v>
      </c>
      <c r="Q202" s="142"/>
      <c r="R202" s="212"/>
      <c r="S202" s="212" t="str">
        <f>IFERROR(VLOOKUP(Table_Shelter[[#This Row],[CampName]],CL,2,0),"")</f>
        <v>MMR001CMP024</v>
      </c>
      <c r="T202" s="212" t="str">
        <f>IFERROR(VLOOKUP(Table_Shelter[[#This Row],[CampName]],CL,3,0),"")</f>
        <v>Open</v>
      </c>
      <c r="U202" s="332">
        <f>IFERROR(Table_Shelter[[#This Row],[HH Covered]]/VLOOKUP(Table_Shelter[[#This Row],[CampName]],CL,4,0),"")</f>
        <v>0</v>
      </c>
      <c r="V202" s="552" t="s">
        <v>1310</v>
      </c>
      <c r="W202" s="333"/>
    </row>
    <row r="203" spans="1:23" ht="15" customHeight="1" x14ac:dyDescent="0.25">
      <c r="A203" s="603"/>
      <c r="B203" s="210" t="s">
        <v>455</v>
      </c>
      <c r="C203" s="210" t="s">
        <v>508</v>
      </c>
      <c r="D203" s="213" t="s">
        <v>380</v>
      </c>
      <c r="E203" s="435" t="s">
        <v>237</v>
      </c>
      <c r="F203" s="210" t="s">
        <v>271</v>
      </c>
      <c r="G203" s="139">
        <v>1</v>
      </c>
      <c r="H203" s="143"/>
      <c r="I203" s="143"/>
      <c r="J203" s="143">
        <v>46</v>
      </c>
      <c r="K203" s="143">
        <v>46</v>
      </c>
      <c r="L203" s="212"/>
      <c r="M203" s="212"/>
      <c r="N203" s="212"/>
      <c r="O203" s="212"/>
      <c r="P203" s="142">
        <f>IF(Table_Shelter[[#This Row],[Status]]="Open",IF(V203="NO",Table_Shelter[[#This Row],[HH per Shelter]]*(Table_Shelter[[#This Row],['# of Temporary Shelter Units Built]]+Table_Shelter[[#This Row],['# of Temporary Shelter Under  Construction]]+Table_Shelter[[#This Row],['# of Permanent House Under Construction]]),0),0)</f>
        <v>46</v>
      </c>
      <c r="Q203" s="142"/>
      <c r="R203" s="212"/>
      <c r="S203" s="212" t="str">
        <f>IFERROR(VLOOKUP(Table_Shelter[[#This Row],[CampName]],CL,2,0),"")</f>
        <v>MMR001CMP024</v>
      </c>
      <c r="T203" s="212" t="str">
        <f>IFERROR(VLOOKUP(Table_Shelter[[#This Row],[CampName]],CL,3,0),"")</f>
        <v>Open</v>
      </c>
      <c r="U203" s="332">
        <f>IFERROR(Table_Shelter[[#This Row],[HH Covered]]/VLOOKUP(Table_Shelter[[#This Row],[CampName]],CL,4,0),"")</f>
        <v>0.69696969696969702</v>
      </c>
      <c r="V203" s="552" t="s">
        <v>1310</v>
      </c>
      <c r="W203" s="333"/>
    </row>
    <row r="204" spans="1:23" ht="15" customHeight="1" x14ac:dyDescent="0.25">
      <c r="A204" s="603"/>
      <c r="B204" s="210" t="s">
        <v>454</v>
      </c>
      <c r="C204" s="210" t="s">
        <v>508</v>
      </c>
      <c r="D204" s="213" t="s">
        <v>380</v>
      </c>
      <c r="E204" s="435" t="s">
        <v>237</v>
      </c>
      <c r="F204" s="210" t="s">
        <v>271</v>
      </c>
      <c r="G204" s="139">
        <v>1</v>
      </c>
      <c r="H204" s="143"/>
      <c r="I204" s="143"/>
      <c r="J204" s="143">
        <v>21</v>
      </c>
      <c r="K204" s="143">
        <v>21</v>
      </c>
      <c r="L204" s="212"/>
      <c r="M204" s="212"/>
      <c r="N204" s="212"/>
      <c r="O204" s="212"/>
      <c r="P204" s="142">
        <f>IF(Table_Shelter[[#This Row],[Status]]="Open",IF(V204="NO",Table_Shelter[[#This Row],[HH per Shelter]]*(Table_Shelter[[#This Row],['# of Temporary Shelter Units Built]]+Table_Shelter[[#This Row],['# of Temporary Shelter Under  Construction]]+Table_Shelter[[#This Row],['# of Permanent House Under Construction]]),0),0)</f>
        <v>21</v>
      </c>
      <c r="Q204" s="142">
        <v>21</v>
      </c>
      <c r="R204" s="212"/>
      <c r="S204" s="212" t="str">
        <f>IFERROR(VLOOKUP(Table_Shelter[[#This Row],[CampName]],CL,2,0),"")</f>
        <v>MMR001CMP024</v>
      </c>
      <c r="T204" s="212" t="str">
        <f>IFERROR(VLOOKUP(Table_Shelter[[#This Row],[CampName]],CL,3,0),"")</f>
        <v>Open</v>
      </c>
      <c r="U204" s="332">
        <f>IFERROR(Table_Shelter[[#This Row],[HH Covered]]/VLOOKUP(Table_Shelter[[#This Row],[CampName]],CL,4,0),"")</f>
        <v>0.31818181818181818</v>
      </c>
      <c r="V204" s="552" t="s">
        <v>1310</v>
      </c>
      <c r="W204" s="333"/>
    </row>
    <row r="205" spans="1:23" ht="15" customHeight="1" x14ac:dyDescent="0.25">
      <c r="A205" s="335"/>
      <c r="B205" s="210" t="s">
        <v>454</v>
      </c>
      <c r="C205" s="210"/>
      <c r="D205" s="213" t="s">
        <v>380</v>
      </c>
      <c r="E205" s="435" t="s">
        <v>5</v>
      </c>
      <c r="F205" s="210" t="s">
        <v>20</v>
      </c>
      <c r="G205" s="139">
        <v>1</v>
      </c>
      <c r="H205" s="143"/>
      <c r="I205" s="143"/>
      <c r="J205" s="143">
        <v>10</v>
      </c>
      <c r="K205" s="143">
        <v>10</v>
      </c>
      <c r="L205" s="212"/>
      <c r="M205" s="212"/>
      <c r="N205" s="212"/>
      <c r="O205" s="212"/>
      <c r="P205" s="142">
        <f>IF(Table_Shelter[[#This Row],[Status]]="Open",IF(V205="NO",Table_Shelter[[#This Row],[HH per Shelter]]*(Table_Shelter[[#This Row],['# of Temporary Shelter Units Built]]+Table_Shelter[[#This Row],['# of Temporary Shelter Under  Construction]]+Table_Shelter[[#This Row],['# of Permanent House Under Construction]]),0),0)</f>
        <v>10</v>
      </c>
      <c r="Q205" s="142"/>
      <c r="R205" s="212"/>
      <c r="S205" s="212" t="str">
        <f>IFERROR(VLOOKUP(Table_Shelter[[#This Row],[CampName]],CL,2,0),"")</f>
        <v>MMR001CMP054</v>
      </c>
      <c r="T205" s="212" t="str">
        <f>IFERROR(VLOOKUP(Table_Shelter[[#This Row],[CampName]],CL,3,0),"")</f>
        <v>Open</v>
      </c>
      <c r="U205" s="332">
        <f>IFERROR(Table_Shelter[[#This Row],[HH Covered]]/VLOOKUP(Table_Shelter[[#This Row],[CampName]],CL,4,0),"")</f>
        <v>0.5</v>
      </c>
      <c r="V205" s="552" t="s">
        <v>1310</v>
      </c>
      <c r="W205" s="333"/>
    </row>
    <row r="206" spans="1:23" ht="15" customHeight="1" x14ac:dyDescent="0.25">
      <c r="A206" s="335"/>
      <c r="B206" s="210" t="s">
        <v>454</v>
      </c>
      <c r="C206" s="210" t="s">
        <v>462</v>
      </c>
      <c r="D206" s="213" t="s">
        <v>380</v>
      </c>
      <c r="E206" s="435" t="s">
        <v>529</v>
      </c>
      <c r="F206" s="210" t="s">
        <v>108</v>
      </c>
      <c r="G206" s="139">
        <v>1</v>
      </c>
      <c r="H206" s="143"/>
      <c r="I206" s="143"/>
      <c r="J206" s="143">
        <v>40</v>
      </c>
      <c r="K206" s="143">
        <v>40</v>
      </c>
      <c r="L206" s="212"/>
      <c r="M206" s="212"/>
      <c r="N206" s="212"/>
      <c r="O206" s="212"/>
      <c r="P206" s="142">
        <f>IF(Table_Shelter[[#This Row],[Status]]="Open",IF(V206="NO",Table_Shelter[[#This Row],[HH per Shelter]]*(Table_Shelter[[#This Row],['# of Temporary Shelter Units Built]]+Table_Shelter[[#This Row],['# of Temporary Shelter Under  Construction]]+Table_Shelter[[#This Row],['# of Permanent House Under Construction]]),0),0)</f>
        <v>40</v>
      </c>
      <c r="Q206" s="142"/>
      <c r="R206" s="212"/>
      <c r="S206" s="212" t="str">
        <f>IFERROR(VLOOKUP(Table_Shelter[[#This Row],[CampName]],CL,2,0),"")</f>
        <v>MMR001CMP103</v>
      </c>
      <c r="T206" s="212" t="str">
        <f>IFERROR(VLOOKUP(Table_Shelter[[#This Row],[CampName]],CL,3,0),"")</f>
        <v>Open</v>
      </c>
      <c r="U206" s="332">
        <f>IFERROR(Table_Shelter[[#This Row],[HH Covered]]/VLOOKUP(Table_Shelter[[#This Row],[CampName]],CL,4,0),"")</f>
        <v>0.75471698113207553</v>
      </c>
      <c r="V206" s="552" t="s">
        <v>1310</v>
      </c>
      <c r="W206" s="333"/>
    </row>
    <row r="207" spans="1:23" ht="15" customHeight="1" x14ac:dyDescent="0.25">
      <c r="A207" s="335"/>
      <c r="B207" s="210" t="s">
        <v>454</v>
      </c>
      <c r="C207" s="210" t="s">
        <v>507</v>
      </c>
      <c r="D207" s="218" t="s">
        <v>380</v>
      </c>
      <c r="E207" s="435" t="s">
        <v>529</v>
      </c>
      <c r="F207" s="210" t="s">
        <v>108</v>
      </c>
      <c r="G207" s="139">
        <v>1</v>
      </c>
      <c r="H207" s="143"/>
      <c r="I207" s="143"/>
      <c r="J207" s="143">
        <v>15</v>
      </c>
      <c r="K207" s="143">
        <v>15</v>
      </c>
      <c r="L207" s="212"/>
      <c r="M207" s="212"/>
      <c r="N207" s="212"/>
      <c r="O207" s="212"/>
      <c r="P207" s="142">
        <f>IF(Table_Shelter[[#This Row],[Status]]="Open",IF(V207="NO",Table_Shelter[[#This Row],[HH per Shelter]]*(Table_Shelter[[#This Row],['# of Temporary Shelter Units Built]]+Table_Shelter[[#This Row],['# of Temporary Shelter Under  Construction]]+Table_Shelter[[#This Row],['# of Permanent House Under Construction]]),0),0)</f>
        <v>15</v>
      </c>
      <c r="Q207" s="142"/>
      <c r="R207" s="142"/>
      <c r="S207" s="142" t="str">
        <f>IFERROR(VLOOKUP(Table_Shelter[[#This Row],[CampName]],CL,2,0),"")</f>
        <v>MMR001CMP103</v>
      </c>
      <c r="T207" s="142" t="str">
        <f>IFERROR(VLOOKUP(Table_Shelter[[#This Row],[CampName]],CL,3,0),"")</f>
        <v>Open</v>
      </c>
      <c r="U207" s="332">
        <f>IFERROR(Table_Shelter[[#This Row],[HH Covered]]/VLOOKUP(Table_Shelter[[#This Row],[CampName]],CL,4,0),"")</f>
        <v>0.28301886792452829</v>
      </c>
      <c r="V207" s="552" t="s">
        <v>1310</v>
      </c>
      <c r="W207" s="336"/>
    </row>
    <row r="208" spans="1:23" ht="15" customHeight="1" x14ac:dyDescent="0.25">
      <c r="A208" s="335"/>
      <c r="B208" s="210" t="s">
        <v>454</v>
      </c>
      <c r="C208" s="210" t="s">
        <v>462</v>
      </c>
      <c r="D208" s="213" t="s">
        <v>380</v>
      </c>
      <c r="E208" s="435" t="s">
        <v>173</v>
      </c>
      <c r="F208" s="210" t="s">
        <v>178</v>
      </c>
      <c r="G208" s="139">
        <v>1</v>
      </c>
      <c r="H208" s="143"/>
      <c r="I208" s="143"/>
      <c r="J208" s="143">
        <v>15</v>
      </c>
      <c r="K208" s="143">
        <v>15</v>
      </c>
      <c r="L208" s="212"/>
      <c r="M208" s="212"/>
      <c r="N208" s="212"/>
      <c r="O208" s="212"/>
      <c r="P208" s="142">
        <f>IF(Table_Shelter[[#This Row],[Status]]="Open",IF(V208="NO",Table_Shelter[[#This Row],[HH per Shelter]]*(Table_Shelter[[#This Row],['# of Temporary Shelter Units Built]]+Table_Shelter[[#This Row],['# of Temporary Shelter Under  Construction]]+Table_Shelter[[#This Row],['# of Permanent House Under Construction]]),0),0)</f>
        <v>15</v>
      </c>
      <c r="Q208" s="142"/>
      <c r="R208" s="212"/>
      <c r="S208" s="212" t="str">
        <f>IFERROR(VLOOKUP(Table_Shelter[[#This Row],[CampName]],CL,2,0),"")</f>
        <v>MMR001CMP079</v>
      </c>
      <c r="T208" s="212" t="str">
        <f>IFERROR(VLOOKUP(Table_Shelter[[#This Row],[CampName]],CL,3,0),"")</f>
        <v>Open</v>
      </c>
      <c r="U208" s="332">
        <f>IFERROR(Table_Shelter[[#This Row],[HH Covered]]/VLOOKUP(Table_Shelter[[#This Row],[CampName]],CL,4,0),"")</f>
        <v>1.25</v>
      </c>
      <c r="V208" s="552" t="s">
        <v>1310</v>
      </c>
      <c r="W208" s="333"/>
    </row>
    <row r="209" spans="1:23" ht="15" customHeight="1" x14ac:dyDescent="0.25">
      <c r="A209" s="335">
        <v>41974</v>
      </c>
      <c r="B209" s="210" t="s">
        <v>454</v>
      </c>
      <c r="C209" s="210" t="s">
        <v>507</v>
      </c>
      <c r="D209" s="213" t="s">
        <v>380</v>
      </c>
      <c r="E209" s="435" t="s">
        <v>310</v>
      </c>
      <c r="F209" s="210" t="s">
        <v>344</v>
      </c>
      <c r="G209" s="139">
        <v>1</v>
      </c>
      <c r="H209" s="143"/>
      <c r="I209" s="143"/>
      <c r="J209" s="143">
        <v>9</v>
      </c>
      <c r="K209" s="143">
        <v>9</v>
      </c>
      <c r="L209" s="212"/>
      <c r="M209" s="212"/>
      <c r="N209" s="212"/>
      <c r="O209" s="212"/>
      <c r="P209" s="142">
        <f>IF(Table_Shelter[[#This Row],[Status]]="Open",IF(V209="NO",Table_Shelter[[#This Row],[HH per Shelter]]*(Table_Shelter[[#This Row],['# of Temporary Shelter Units Built]]+Table_Shelter[[#This Row],['# of Temporary Shelter Under  Construction]]+Table_Shelter[[#This Row],['# of Permanent House Under Construction]]),0),0)</f>
        <v>9</v>
      </c>
      <c r="Q209" s="142"/>
      <c r="R209" s="142"/>
      <c r="S209" s="142" t="str">
        <f>IFERROR(VLOOKUP(Table_Shelter[[#This Row],[CampName]],CL,2,0),"")</f>
        <v>MMR001CMP033</v>
      </c>
      <c r="T209" s="142" t="str">
        <f>IFERROR(VLOOKUP(Table_Shelter[[#This Row],[CampName]],CL,3,0),"")</f>
        <v>Open</v>
      </c>
      <c r="U209" s="332">
        <f>IFERROR(Table_Shelter[[#This Row],[HH Covered]]/VLOOKUP(Table_Shelter[[#This Row],[CampName]],CL,4,0),"")</f>
        <v>0.5</v>
      </c>
      <c r="V209" s="552" t="s">
        <v>1310</v>
      </c>
      <c r="W209" s="336"/>
    </row>
    <row r="210" spans="1:23" ht="15" customHeight="1" x14ac:dyDescent="0.25">
      <c r="A210" s="335">
        <v>41609</v>
      </c>
      <c r="B210" s="210" t="s">
        <v>454</v>
      </c>
      <c r="C210" s="210" t="s">
        <v>507</v>
      </c>
      <c r="D210" s="213" t="s">
        <v>380</v>
      </c>
      <c r="E210" s="435" t="s">
        <v>310</v>
      </c>
      <c r="F210" s="210" t="s">
        <v>344</v>
      </c>
      <c r="G210" s="139">
        <v>1</v>
      </c>
      <c r="H210" s="143"/>
      <c r="I210" s="143"/>
      <c r="J210" s="143">
        <v>10</v>
      </c>
      <c r="K210" s="143">
        <v>10</v>
      </c>
      <c r="L210" s="212"/>
      <c r="M210" s="212"/>
      <c r="N210" s="212"/>
      <c r="O210" s="212"/>
      <c r="P210" s="142">
        <f>IF(Table_Shelter[[#This Row],[Status]]="Open",IF(V210="NO",Table_Shelter[[#This Row],[HH per Shelter]]*(Table_Shelter[[#This Row],['# of Temporary Shelter Units Built]]+Table_Shelter[[#This Row],['# of Temporary Shelter Under  Construction]]+Table_Shelter[[#This Row],['# of Permanent House Under Construction]]),0),0)</f>
        <v>10</v>
      </c>
      <c r="Q210" s="142"/>
      <c r="R210" s="212"/>
      <c r="S210" s="212" t="str">
        <f>IFERROR(VLOOKUP(Table_Shelter[[#This Row],[CampName]],CL,2,0),"")</f>
        <v>MMR001CMP033</v>
      </c>
      <c r="T210" s="212" t="str">
        <f>IFERROR(VLOOKUP(Table_Shelter[[#This Row],[CampName]],CL,3,0),"")</f>
        <v>Open</v>
      </c>
      <c r="U210" s="332">
        <f>IFERROR(Table_Shelter[[#This Row],[HH Covered]]/VLOOKUP(Table_Shelter[[#This Row],[CampName]],CL,4,0),"")</f>
        <v>0.55555555555555558</v>
      </c>
      <c r="V210" s="552" t="s">
        <v>1310</v>
      </c>
      <c r="W210" s="333"/>
    </row>
    <row r="211" spans="1:23" ht="15" customHeight="1" x14ac:dyDescent="0.25">
      <c r="A211" s="335"/>
      <c r="B211" s="210" t="s">
        <v>572</v>
      </c>
      <c r="C211" s="210" t="s">
        <v>462</v>
      </c>
      <c r="D211" s="213" t="s">
        <v>380</v>
      </c>
      <c r="E211" s="435" t="s">
        <v>180</v>
      </c>
      <c r="F211" s="210" t="s">
        <v>287</v>
      </c>
      <c r="G211" s="139">
        <v>1</v>
      </c>
      <c r="H211" s="143"/>
      <c r="I211" s="143"/>
      <c r="J211" s="143">
        <v>10</v>
      </c>
      <c r="K211" s="143">
        <v>10</v>
      </c>
      <c r="L211" s="212"/>
      <c r="M211" s="212"/>
      <c r="N211" s="212"/>
      <c r="O211" s="212"/>
      <c r="P211" s="142">
        <f>IF(Table_Shelter[[#This Row],[Status]]="Open",IF(V211="NO",Table_Shelter[[#This Row],[HH per Shelter]]*(Table_Shelter[[#This Row],['# of Temporary Shelter Units Built]]+Table_Shelter[[#This Row],['# of Temporary Shelter Under  Construction]]+Table_Shelter[[#This Row],['# of Permanent House Under Construction]]),0),0)</f>
        <v>10</v>
      </c>
      <c r="Q211" s="142"/>
      <c r="R211" s="212"/>
      <c r="S211" s="212" t="str">
        <f>IFERROR(VLOOKUP(Table_Shelter[[#This Row],[CampName]],CL,2,0),"")</f>
        <v>MMR001CMP152</v>
      </c>
      <c r="T211" s="212" t="str">
        <f>IFERROR(VLOOKUP(Table_Shelter[[#This Row],[CampName]],CL,3,0),"")</f>
        <v>Open</v>
      </c>
      <c r="U211" s="332">
        <f>IFERROR(Table_Shelter[[#This Row],[HH Covered]]/VLOOKUP(Table_Shelter[[#This Row],[CampName]],CL,4,0),"")</f>
        <v>0.52631578947368418</v>
      </c>
      <c r="V211" s="552" t="s">
        <v>1310</v>
      </c>
      <c r="W211" s="333"/>
    </row>
    <row r="212" spans="1:23" ht="15" customHeight="1" x14ac:dyDescent="0.25">
      <c r="A212" s="603"/>
      <c r="B212" s="210" t="s">
        <v>454</v>
      </c>
      <c r="C212" s="210" t="s">
        <v>462</v>
      </c>
      <c r="D212" s="213" t="s">
        <v>380</v>
      </c>
      <c r="E212" s="435" t="s">
        <v>180</v>
      </c>
      <c r="F212" s="210" t="s">
        <v>287</v>
      </c>
      <c r="G212" s="139">
        <v>1</v>
      </c>
      <c r="H212" s="143"/>
      <c r="I212" s="143"/>
      <c r="J212" s="143">
        <v>20</v>
      </c>
      <c r="K212" s="143">
        <v>20</v>
      </c>
      <c r="L212" s="212"/>
      <c r="M212" s="212"/>
      <c r="N212" s="212"/>
      <c r="O212" s="212"/>
      <c r="P212" s="142">
        <f>IF(Table_Shelter[[#This Row],[Status]]="Open",IF(V212="NO",Table_Shelter[[#This Row],[HH per Shelter]]*(Table_Shelter[[#This Row],['# of Temporary Shelter Units Built]]+Table_Shelter[[#This Row],['# of Temporary Shelter Under  Construction]]+Table_Shelter[[#This Row],['# of Permanent House Under Construction]]),0),0)</f>
        <v>20</v>
      </c>
      <c r="Q212" s="142"/>
      <c r="R212" s="212"/>
      <c r="S212" s="212" t="str">
        <f>IFERROR(VLOOKUP(Table_Shelter[[#This Row],[CampName]],CL,2,0),"")</f>
        <v>MMR001CMP152</v>
      </c>
      <c r="T212" s="212" t="str">
        <f>IFERROR(VLOOKUP(Table_Shelter[[#This Row],[CampName]],CL,3,0),"")</f>
        <v>Open</v>
      </c>
      <c r="U212" s="332">
        <f>IFERROR(Table_Shelter[[#This Row],[HH Covered]]/VLOOKUP(Table_Shelter[[#This Row],[CampName]],CL,4,0),"")</f>
        <v>1.0526315789473684</v>
      </c>
      <c r="V212" s="552" t="s">
        <v>1310</v>
      </c>
      <c r="W212" s="333"/>
    </row>
    <row r="213" spans="1:23" ht="15" customHeight="1" x14ac:dyDescent="0.25">
      <c r="A213" s="603">
        <v>41609</v>
      </c>
      <c r="B213" s="210" t="s">
        <v>454</v>
      </c>
      <c r="C213" s="210" t="s">
        <v>507</v>
      </c>
      <c r="D213" s="213" t="s">
        <v>380</v>
      </c>
      <c r="E213" s="435" t="s">
        <v>529</v>
      </c>
      <c r="F213" s="210" t="s">
        <v>110</v>
      </c>
      <c r="G213" s="139">
        <v>1</v>
      </c>
      <c r="H213" s="143"/>
      <c r="I213" s="143"/>
      <c r="J213" s="143">
        <v>40</v>
      </c>
      <c r="K213" s="143">
        <v>40</v>
      </c>
      <c r="L213" s="212"/>
      <c r="M213" s="212"/>
      <c r="N213" s="212"/>
      <c r="O213" s="212"/>
      <c r="P213" s="142">
        <f>IF(Table_Shelter[[#This Row],[Status]]="Open",IF(V213="NO",Table_Shelter[[#This Row],[HH per Shelter]]*(Table_Shelter[[#This Row],['# of Temporary Shelter Units Built]]+Table_Shelter[[#This Row],['# of Temporary Shelter Under  Construction]]+Table_Shelter[[#This Row],['# of Permanent House Under Construction]]),0),0)</f>
        <v>0</v>
      </c>
      <c r="Q213" s="142"/>
      <c r="R213" s="142"/>
      <c r="S213" s="142" t="str">
        <f>IFERROR(VLOOKUP(Table_Shelter[[#This Row],[CampName]],CL,2,0),"")</f>
        <v>MMR001CMP082</v>
      </c>
      <c r="T213" s="142" t="str">
        <f>IFERROR(VLOOKUP(Table_Shelter[[#This Row],[CampName]],CL,3,0),"")</f>
        <v>Closed</v>
      </c>
      <c r="U213" s="332" t="str">
        <f>IFERROR(Table_Shelter[[#This Row],[HH Covered]]/VLOOKUP(Table_Shelter[[#This Row],[CampName]],CL,4,0),"")</f>
        <v/>
      </c>
      <c r="V213" s="552" t="s">
        <v>1310</v>
      </c>
      <c r="W213" s="336"/>
    </row>
    <row r="214" spans="1:23" ht="15" customHeight="1" x14ac:dyDescent="0.25">
      <c r="A214" s="603"/>
      <c r="B214" s="210" t="s">
        <v>864</v>
      </c>
      <c r="C214" s="210"/>
      <c r="D214" s="213" t="s">
        <v>380</v>
      </c>
      <c r="E214" s="215" t="s">
        <v>529</v>
      </c>
      <c r="F214" s="210" t="s">
        <v>110</v>
      </c>
      <c r="G214" s="139">
        <v>1</v>
      </c>
      <c r="H214" s="143">
        <v>50</v>
      </c>
      <c r="I214" s="143">
        <v>50</v>
      </c>
      <c r="J214" s="143"/>
      <c r="K214" s="143"/>
      <c r="L214" s="212"/>
      <c r="M214" s="212"/>
      <c r="N214" s="212"/>
      <c r="O214" s="212"/>
      <c r="P214" s="142">
        <f>IF(Table_Shelter[[#This Row],[Status]]="Open",IF(V214="NO",Table_Shelter[[#This Row],[HH per Shelter]]*(Table_Shelter[[#This Row],['# of Temporary Shelter Units Built]]+Table_Shelter[[#This Row],['# of Temporary Shelter Under  Construction]]+Table_Shelter[[#This Row],['# of Permanent House Under Construction]]),0),0)</f>
        <v>0</v>
      </c>
      <c r="Q214" s="142"/>
      <c r="R214" s="212"/>
      <c r="S214" s="212" t="str">
        <f>IFERROR(VLOOKUP(Table_Shelter[[#This Row],[CampName]],CL,2,0),"")</f>
        <v>MMR001CMP082</v>
      </c>
      <c r="T214" s="212" t="str">
        <f>IFERROR(VLOOKUP(Table_Shelter[[#This Row],[CampName]],CL,3,0),"")</f>
        <v>Closed</v>
      </c>
      <c r="U214" s="332" t="str">
        <f>IFERROR(Table_Shelter[[#This Row],[HH Covered]]/VLOOKUP(Table_Shelter[[#This Row],[CampName]],CL,4,0),"")</f>
        <v/>
      </c>
      <c r="V214" s="552" t="s">
        <v>1310</v>
      </c>
      <c r="W214" s="333"/>
    </row>
    <row r="215" spans="1:23" ht="15" customHeight="1" x14ac:dyDescent="0.25">
      <c r="A215" s="603"/>
      <c r="B215" s="210" t="s">
        <v>454</v>
      </c>
      <c r="C215" s="210" t="s">
        <v>507</v>
      </c>
      <c r="D215" s="213" t="s">
        <v>380</v>
      </c>
      <c r="E215" s="215" t="s">
        <v>529</v>
      </c>
      <c r="F215" s="210" t="s">
        <v>110</v>
      </c>
      <c r="G215" s="139">
        <v>1</v>
      </c>
      <c r="H215" s="143"/>
      <c r="I215" s="143"/>
      <c r="J215" s="143">
        <v>20</v>
      </c>
      <c r="K215" s="143">
        <v>20</v>
      </c>
      <c r="L215" s="212"/>
      <c r="M215" s="212"/>
      <c r="N215" s="212"/>
      <c r="O215" s="212"/>
      <c r="P215" s="142">
        <f>IF(Table_Shelter[[#This Row],[Status]]="Open",IF(V215="NO",Table_Shelter[[#This Row],[HH per Shelter]]*(Table_Shelter[[#This Row],['# of Temporary Shelter Units Built]]+Table_Shelter[[#This Row],['# of Temporary Shelter Under  Construction]]+Table_Shelter[[#This Row],['# of Permanent House Under Construction]]),0),0)</f>
        <v>0</v>
      </c>
      <c r="Q215" s="142"/>
      <c r="R215" s="212"/>
      <c r="S215" s="212" t="str">
        <f>IFERROR(VLOOKUP(Table_Shelter[[#This Row],[CampName]],CL,2,0),"")</f>
        <v>MMR001CMP082</v>
      </c>
      <c r="T215" s="212" t="str">
        <f>IFERROR(VLOOKUP(Table_Shelter[[#This Row],[CampName]],CL,3,0),"")</f>
        <v>Closed</v>
      </c>
      <c r="U215" s="332" t="str">
        <f>IFERROR(Table_Shelter[[#This Row],[HH Covered]]/VLOOKUP(Table_Shelter[[#This Row],[CampName]],CL,4,0),"")</f>
        <v/>
      </c>
      <c r="V215" s="552" t="s">
        <v>1310</v>
      </c>
      <c r="W215" s="333"/>
    </row>
    <row r="216" spans="1:23" ht="15" customHeight="1" x14ac:dyDescent="0.25">
      <c r="A216" s="603"/>
      <c r="B216" s="210" t="s">
        <v>454</v>
      </c>
      <c r="C216" s="210" t="s">
        <v>462</v>
      </c>
      <c r="D216" s="218" t="s">
        <v>380</v>
      </c>
      <c r="E216" s="435" t="s">
        <v>529</v>
      </c>
      <c r="F216" s="210" t="s">
        <v>110</v>
      </c>
      <c r="G216" s="139">
        <v>1</v>
      </c>
      <c r="H216" s="143"/>
      <c r="I216" s="143"/>
      <c r="J216" s="143">
        <v>15</v>
      </c>
      <c r="K216" s="143">
        <v>15</v>
      </c>
      <c r="L216" s="212"/>
      <c r="M216" s="212"/>
      <c r="N216" s="212"/>
      <c r="O216" s="212"/>
      <c r="P216" s="142">
        <f>IF(Table_Shelter[[#This Row],[Status]]="Open",IF(V216="NO",Table_Shelter[[#This Row],[HH per Shelter]]*(Table_Shelter[[#This Row],['# of Temporary Shelter Units Built]]+Table_Shelter[[#This Row],['# of Temporary Shelter Under  Construction]]+Table_Shelter[[#This Row],['# of Permanent House Under Construction]]),0),0)</f>
        <v>0</v>
      </c>
      <c r="Q216" s="142"/>
      <c r="R216" s="142"/>
      <c r="S216" s="142" t="str">
        <f>IFERROR(VLOOKUP(Table_Shelter[[#This Row],[CampName]],CL,2,0),"")</f>
        <v>MMR001CMP082</v>
      </c>
      <c r="T216" s="142" t="str">
        <f>IFERROR(VLOOKUP(Table_Shelter[[#This Row],[CampName]],CL,3,0),"")</f>
        <v>Closed</v>
      </c>
      <c r="U216" s="332" t="str">
        <f>IFERROR(Table_Shelter[[#This Row],[HH Covered]]/VLOOKUP(Table_Shelter[[#This Row],[CampName]],CL,4,0),"")</f>
        <v/>
      </c>
      <c r="V216" s="552" t="s">
        <v>1310</v>
      </c>
      <c r="W216" s="336"/>
    </row>
    <row r="217" spans="1:23" ht="15" customHeight="1" x14ac:dyDescent="0.25">
      <c r="A217" s="603">
        <v>42500</v>
      </c>
      <c r="B217" s="210" t="s">
        <v>455</v>
      </c>
      <c r="C217" s="210" t="s">
        <v>455</v>
      </c>
      <c r="D217" s="218" t="s">
        <v>380</v>
      </c>
      <c r="E217" s="435" t="s">
        <v>185</v>
      </c>
      <c r="F217" s="210" t="s">
        <v>215</v>
      </c>
      <c r="G217" s="139">
        <v>1</v>
      </c>
      <c r="H217" s="143"/>
      <c r="I217" s="143"/>
      <c r="J217" s="143">
        <v>170</v>
      </c>
      <c r="K217" s="143">
        <v>170</v>
      </c>
      <c r="L217" s="212"/>
      <c r="M217" s="212"/>
      <c r="N217" s="212"/>
      <c r="O217" s="212"/>
      <c r="P217" s="142">
        <f>IF(Table_Shelter[[#This Row],[Status]]="Open",IF(V217="NO",Table_Shelter[[#This Row],[HH per Shelter]]*(Table_Shelter[[#This Row],['# of Temporary Shelter Units Built]]+Table_Shelter[[#This Row],['# of Temporary Shelter Under  Construction]]+Table_Shelter[[#This Row],['# of Permanent House Under Construction]]),0),0)</f>
        <v>170</v>
      </c>
      <c r="Q217" s="142"/>
      <c r="R217" s="142"/>
      <c r="S217" s="142" t="str">
        <f>IFERROR(VLOOKUP(Table_Shelter[[#This Row],[CampName]],CL,2,0),"")</f>
        <v>MMR001CMP131</v>
      </c>
      <c r="T217" s="142" t="str">
        <f>IFERROR(VLOOKUP(Table_Shelter[[#This Row],[CampName]],CL,3,0),"")</f>
        <v>Open</v>
      </c>
      <c r="U217" s="332">
        <f>IFERROR(Table_Shelter[[#This Row],[HH Covered]]/VLOOKUP(Table_Shelter[[#This Row],[CampName]],CL,4,0),"")</f>
        <v>0.45333333333333331</v>
      </c>
      <c r="V217" s="604" t="s">
        <v>1310</v>
      </c>
      <c r="W217" s="336"/>
    </row>
    <row r="218" spans="1:23" ht="15" customHeight="1" x14ac:dyDescent="0.25">
      <c r="A218" s="334">
        <v>42422</v>
      </c>
      <c r="B218" s="210" t="s">
        <v>455</v>
      </c>
      <c r="C218" s="210"/>
      <c r="D218" s="213" t="s">
        <v>380</v>
      </c>
      <c r="E218" s="215" t="s">
        <v>185</v>
      </c>
      <c r="F218" s="210" t="s">
        <v>215</v>
      </c>
      <c r="G218" s="139">
        <v>1</v>
      </c>
      <c r="H218" s="143"/>
      <c r="I218" s="143"/>
      <c r="J218" s="143">
        <v>170</v>
      </c>
      <c r="K218" s="143">
        <v>170</v>
      </c>
      <c r="L218" s="212"/>
      <c r="M218" s="212"/>
      <c r="N218" s="212"/>
      <c r="O218" s="212"/>
      <c r="P218" s="142">
        <f>IF(Table_Shelter[[#This Row],[Status]]="Open",IF(V218="NO",Table_Shelter[[#This Row],[HH per Shelter]]*(Table_Shelter[[#This Row],['# of Temporary Shelter Units Built]]+Table_Shelter[[#This Row],['# of Temporary Shelter Under  Construction]]+Table_Shelter[[#This Row],['# of Permanent House Under Construction]]),0),0)</f>
        <v>0</v>
      </c>
      <c r="Q218" s="142"/>
      <c r="R218" s="212"/>
      <c r="S218" s="212" t="str">
        <f>IFERROR(VLOOKUP(Table_Shelter[[#This Row],[CampName]],CL,2,0),"")</f>
        <v>MMR001CMP131</v>
      </c>
      <c r="T218" s="212" t="str">
        <f>IFERROR(VLOOKUP(Table_Shelter[[#This Row],[CampName]],CL,3,0),"")</f>
        <v>Open</v>
      </c>
      <c r="U218" s="332">
        <f>IFERROR(Table_Shelter[[#This Row],[HH Covered]]/VLOOKUP(Table_Shelter[[#This Row],[CampName]],CL,4,0),"")</f>
        <v>0</v>
      </c>
      <c r="V218" s="552" t="s">
        <v>1309</v>
      </c>
      <c r="W218" s="333"/>
    </row>
    <row r="219" spans="1:23" ht="15" customHeight="1" x14ac:dyDescent="0.25">
      <c r="A219" s="603"/>
      <c r="B219" s="210" t="s">
        <v>594</v>
      </c>
      <c r="C219" s="210" t="s">
        <v>461</v>
      </c>
      <c r="D219" s="213" t="s">
        <v>380</v>
      </c>
      <c r="E219" s="215" t="s">
        <v>185</v>
      </c>
      <c r="F219" s="210" t="s">
        <v>215</v>
      </c>
      <c r="G219" s="139">
        <v>1</v>
      </c>
      <c r="H219" s="143"/>
      <c r="I219" s="143"/>
      <c r="J219" s="143">
        <v>100</v>
      </c>
      <c r="K219" s="143">
        <v>100</v>
      </c>
      <c r="L219" s="212"/>
      <c r="M219" s="212"/>
      <c r="N219" s="212"/>
      <c r="O219" s="212"/>
      <c r="P219" s="142">
        <f>IF(Table_Shelter[[#This Row],[Status]]="Open",IF(V219="NO",Table_Shelter[[#This Row],[HH per Shelter]]*(Table_Shelter[[#This Row],['# of Temporary Shelter Units Built]]+Table_Shelter[[#This Row],['# of Temporary Shelter Under  Construction]]+Table_Shelter[[#This Row],['# of Permanent House Under Construction]]),0),0)</f>
        <v>100</v>
      </c>
      <c r="Q219" s="142"/>
      <c r="R219" s="212"/>
      <c r="S219" s="212" t="str">
        <f>IFERROR(VLOOKUP(Table_Shelter[[#This Row],[CampName]],CL,2,0),"")</f>
        <v>MMR001CMP131</v>
      </c>
      <c r="T219" s="212" t="str">
        <f>IFERROR(VLOOKUP(Table_Shelter[[#This Row],[CampName]],CL,3,0),"")</f>
        <v>Open</v>
      </c>
      <c r="U219" s="332">
        <f>IFERROR(Table_Shelter[[#This Row],[HH Covered]]/VLOOKUP(Table_Shelter[[#This Row],[CampName]],CL,4,0),"")</f>
        <v>0.26666666666666666</v>
      </c>
      <c r="V219" s="552" t="s">
        <v>1310</v>
      </c>
      <c r="W219" s="333"/>
    </row>
    <row r="220" spans="1:23" ht="15" customHeight="1" x14ac:dyDescent="0.25">
      <c r="A220" s="603"/>
      <c r="B220" s="210" t="s">
        <v>904</v>
      </c>
      <c r="C220" s="210" t="s">
        <v>461</v>
      </c>
      <c r="D220" s="213" t="s">
        <v>380</v>
      </c>
      <c r="E220" s="215" t="s">
        <v>185</v>
      </c>
      <c r="F220" s="210" t="s">
        <v>215</v>
      </c>
      <c r="G220" s="139">
        <v>1</v>
      </c>
      <c r="H220" s="143"/>
      <c r="I220" s="143"/>
      <c r="J220" s="143">
        <v>350</v>
      </c>
      <c r="K220" s="143">
        <v>350</v>
      </c>
      <c r="L220" s="212"/>
      <c r="M220" s="212"/>
      <c r="N220" s="212"/>
      <c r="O220" s="212"/>
      <c r="P220" s="142">
        <f>IF(Table_Shelter[[#This Row],[Status]]="Open",IF(V220="NO",Table_Shelter[[#This Row],[HH per Shelter]]*(Table_Shelter[[#This Row],['# of Temporary Shelter Units Built]]+Table_Shelter[[#This Row],['# of Temporary Shelter Under  Construction]]+Table_Shelter[[#This Row],['# of Permanent House Under Construction]]),0),0)</f>
        <v>350</v>
      </c>
      <c r="Q220" s="142"/>
      <c r="R220" s="212"/>
      <c r="S220" s="212" t="str">
        <f>IFERROR(VLOOKUP(Table_Shelter[[#This Row],[CampName]],CL,2,0),"")</f>
        <v>MMR001CMP131</v>
      </c>
      <c r="T220" s="212" t="str">
        <f>IFERROR(VLOOKUP(Table_Shelter[[#This Row],[CampName]],CL,3,0),"")</f>
        <v>Open</v>
      </c>
      <c r="U220" s="332">
        <f>IFERROR(Table_Shelter[[#This Row],[HH Covered]]/VLOOKUP(Table_Shelter[[#This Row],[CampName]],CL,4,0),"")</f>
        <v>0.93333333333333335</v>
      </c>
      <c r="V220" s="552" t="s">
        <v>1310</v>
      </c>
      <c r="W220" s="333"/>
    </row>
    <row r="221" spans="1:23" ht="15" customHeight="1" x14ac:dyDescent="0.25">
      <c r="A221" s="603">
        <v>41609</v>
      </c>
      <c r="B221" s="210" t="s">
        <v>454</v>
      </c>
      <c r="C221" s="210" t="s">
        <v>507</v>
      </c>
      <c r="D221" s="213" t="s">
        <v>380</v>
      </c>
      <c r="E221" s="215" t="s">
        <v>185</v>
      </c>
      <c r="F221" s="210" t="s">
        <v>217</v>
      </c>
      <c r="G221" s="139">
        <v>1</v>
      </c>
      <c r="H221" s="143"/>
      <c r="I221" s="143"/>
      <c r="J221" s="143">
        <v>4</v>
      </c>
      <c r="K221" s="143">
        <v>4</v>
      </c>
      <c r="L221" s="212"/>
      <c r="M221" s="212"/>
      <c r="N221" s="212"/>
      <c r="O221" s="212"/>
      <c r="P221" s="142">
        <f>IF(Table_Shelter[[#This Row],[Status]]="Open",IF(V221="NO",Table_Shelter[[#This Row],[HH per Shelter]]*(Table_Shelter[[#This Row],['# of Temporary Shelter Units Built]]+Table_Shelter[[#This Row],['# of Temporary Shelter Under  Construction]]+Table_Shelter[[#This Row],['# of Permanent House Under Construction]]),0),0)</f>
        <v>0</v>
      </c>
      <c r="Q221" s="142">
        <v>5</v>
      </c>
      <c r="R221" s="212"/>
      <c r="S221" s="212" t="str">
        <f>IFERROR(VLOOKUP(Table_Shelter[[#This Row],[CampName]],CL,2,0),"")</f>
        <v>MMR001CMP059</v>
      </c>
      <c r="T221" s="212" t="str">
        <f>IFERROR(VLOOKUP(Table_Shelter[[#This Row],[CampName]],CL,3,0),"")</f>
        <v>Closed</v>
      </c>
      <c r="U221" s="332" t="str">
        <f>IFERROR(Table_Shelter[[#This Row],[HH Covered]]/VLOOKUP(Table_Shelter[[#This Row],[CampName]],CL,4,0),"")</f>
        <v/>
      </c>
      <c r="V221" s="552" t="s">
        <v>1310</v>
      </c>
      <c r="W221" s="333"/>
    </row>
    <row r="222" spans="1:23" ht="15" customHeight="1" x14ac:dyDescent="0.25">
      <c r="A222" s="603"/>
      <c r="B222" s="210" t="s">
        <v>848</v>
      </c>
      <c r="C222" s="210"/>
      <c r="D222" s="213" t="s">
        <v>380</v>
      </c>
      <c r="E222" s="215" t="s">
        <v>185</v>
      </c>
      <c r="F222" s="210" t="s">
        <v>217</v>
      </c>
      <c r="G222" s="139">
        <v>1</v>
      </c>
      <c r="H222" s="143"/>
      <c r="I222" s="143"/>
      <c r="J222" s="143">
        <v>18</v>
      </c>
      <c r="K222" s="143">
        <v>18</v>
      </c>
      <c r="L222" s="212"/>
      <c r="M222" s="212"/>
      <c r="N222" s="212"/>
      <c r="O222" s="212"/>
      <c r="P222" s="142">
        <f>IF(Table_Shelter[[#This Row],[Status]]="Open",IF(V222="NO",Table_Shelter[[#This Row],[HH per Shelter]]*(Table_Shelter[[#This Row],['# of Temporary Shelter Units Built]]+Table_Shelter[[#This Row],['# of Temporary Shelter Under  Construction]]+Table_Shelter[[#This Row],['# of Permanent House Under Construction]]),0),0)</f>
        <v>0</v>
      </c>
      <c r="Q222" s="142"/>
      <c r="R222" s="212"/>
      <c r="S222" s="212" t="str">
        <f>IFERROR(VLOOKUP(Table_Shelter[[#This Row],[CampName]],CL,2,0),"")</f>
        <v>MMR001CMP059</v>
      </c>
      <c r="T222" s="212" t="str">
        <f>IFERROR(VLOOKUP(Table_Shelter[[#This Row],[CampName]],CL,3,0),"")</f>
        <v>Closed</v>
      </c>
      <c r="U222" s="332" t="str">
        <f>IFERROR(Table_Shelter[[#This Row],[HH Covered]]/VLOOKUP(Table_Shelter[[#This Row],[CampName]],CL,4,0),"")</f>
        <v/>
      </c>
      <c r="V222" s="552" t="s">
        <v>1310</v>
      </c>
      <c r="W222" s="333"/>
    </row>
    <row r="223" spans="1:23" ht="15" customHeight="1" x14ac:dyDescent="0.25">
      <c r="A223" s="603"/>
      <c r="B223" s="210" t="s">
        <v>454</v>
      </c>
      <c r="C223" s="210"/>
      <c r="D223" s="213" t="s">
        <v>380</v>
      </c>
      <c r="E223" s="435" t="s">
        <v>185</v>
      </c>
      <c r="F223" s="210" t="s">
        <v>217</v>
      </c>
      <c r="G223" s="139">
        <v>1</v>
      </c>
      <c r="H223" s="143"/>
      <c r="I223" s="143"/>
      <c r="J223" s="143">
        <v>9</v>
      </c>
      <c r="K223" s="143">
        <v>9</v>
      </c>
      <c r="L223" s="212"/>
      <c r="M223" s="212"/>
      <c r="N223" s="212"/>
      <c r="O223" s="212"/>
      <c r="P223" s="142">
        <f>IF(Table_Shelter[[#This Row],[Status]]="Open",IF(V223="NO",Table_Shelter[[#This Row],[HH per Shelter]]*(Table_Shelter[[#This Row],['# of Temporary Shelter Units Built]]+Table_Shelter[[#This Row],['# of Temporary Shelter Under  Construction]]+Table_Shelter[[#This Row],['# of Permanent House Under Construction]]),0),0)</f>
        <v>0</v>
      </c>
      <c r="Q223" s="142"/>
      <c r="R223" s="212"/>
      <c r="S223" s="212" t="str">
        <f>IFERROR(VLOOKUP(Table_Shelter[[#This Row],[CampName]],CL,2,0),"")</f>
        <v>MMR001CMP059</v>
      </c>
      <c r="T223" s="212" t="str">
        <f>IFERROR(VLOOKUP(Table_Shelter[[#This Row],[CampName]],CL,3,0),"")</f>
        <v>Closed</v>
      </c>
      <c r="U223" s="332" t="str">
        <f>IFERROR(Table_Shelter[[#This Row],[HH Covered]]/VLOOKUP(Table_Shelter[[#This Row],[CampName]],CL,4,0),"")</f>
        <v/>
      </c>
      <c r="V223" s="552" t="s">
        <v>1310</v>
      </c>
      <c r="W223" s="333"/>
    </row>
    <row r="224" spans="1:23" ht="15" customHeight="1" x14ac:dyDescent="0.25">
      <c r="A224" s="603"/>
      <c r="B224" s="210" t="s">
        <v>850</v>
      </c>
      <c r="C224" s="210" t="s">
        <v>462</v>
      </c>
      <c r="D224" s="213" t="s">
        <v>380</v>
      </c>
      <c r="E224" s="215" t="s">
        <v>237</v>
      </c>
      <c r="F224" s="210" t="s">
        <v>269</v>
      </c>
      <c r="G224" s="139">
        <v>1</v>
      </c>
      <c r="H224" s="143"/>
      <c r="I224" s="143"/>
      <c r="J224" s="143">
        <v>32</v>
      </c>
      <c r="K224" s="143">
        <v>32</v>
      </c>
      <c r="L224" s="212"/>
      <c r="M224" s="212"/>
      <c r="N224" s="212"/>
      <c r="O224" s="212"/>
      <c r="P224" s="142">
        <f>IF(Table_Shelter[[#This Row],[Status]]="Open",IF(V224="NO",Table_Shelter[[#This Row],[HH per Shelter]]*(Table_Shelter[[#This Row],['# of Temporary Shelter Units Built]]+Table_Shelter[[#This Row],['# of Temporary Shelter Under  Construction]]+Table_Shelter[[#This Row],['# of Permanent House Under Construction]]),0),0)</f>
        <v>32</v>
      </c>
      <c r="Q224" s="142"/>
      <c r="R224" s="212"/>
      <c r="S224" s="212" t="str">
        <f>IFERROR(VLOOKUP(Table_Shelter[[#This Row],[CampName]],CL,2,0),"")</f>
        <v>MMR001CMP002</v>
      </c>
      <c r="T224" s="212" t="str">
        <f>IFERROR(VLOOKUP(Table_Shelter[[#This Row],[CampName]],CL,3,0),"")</f>
        <v>Open</v>
      </c>
      <c r="U224" s="332">
        <f>IFERROR(Table_Shelter[[#This Row],[HH Covered]]/VLOOKUP(Table_Shelter[[#This Row],[CampName]],CL,4,0),"")</f>
        <v>0.55172413793103448</v>
      </c>
      <c r="V224" s="552" t="s">
        <v>1310</v>
      </c>
      <c r="W224" s="333"/>
    </row>
    <row r="225" spans="1:23" ht="15" customHeight="1" x14ac:dyDescent="0.25">
      <c r="A225" s="603"/>
      <c r="B225" s="210" t="s">
        <v>454</v>
      </c>
      <c r="C225" s="210" t="s">
        <v>462</v>
      </c>
      <c r="D225" s="213" t="s">
        <v>380</v>
      </c>
      <c r="E225" s="435" t="s">
        <v>237</v>
      </c>
      <c r="F225" s="210" t="s">
        <v>269</v>
      </c>
      <c r="G225" s="139">
        <v>1</v>
      </c>
      <c r="H225" s="143"/>
      <c r="I225" s="143"/>
      <c r="J225" s="143">
        <v>20</v>
      </c>
      <c r="K225" s="143">
        <v>20</v>
      </c>
      <c r="L225" s="212"/>
      <c r="M225" s="212"/>
      <c r="N225" s="212"/>
      <c r="O225" s="212"/>
      <c r="P225" s="142">
        <f>IF(Table_Shelter[[#This Row],[Status]]="Open",IF(V225="NO",Table_Shelter[[#This Row],[HH per Shelter]]*(Table_Shelter[[#This Row],['# of Temporary Shelter Units Built]]+Table_Shelter[[#This Row],['# of Temporary Shelter Under  Construction]]+Table_Shelter[[#This Row],['# of Permanent House Under Construction]]),0),0)</f>
        <v>20</v>
      </c>
      <c r="Q225" s="142"/>
      <c r="R225" s="212"/>
      <c r="S225" s="212" t="str">
        <f>IFERROR(VLOOKUP(Table_Shelter[[#This Row],[CampName]],CL,2,0),"")</f>
        <v>MMR001CMP002</v>
      </c>
      <c r="T225" s="212" t="str">
        <f>IFERROR(VLOOKUP(Table_Shelter[[#This Row],[CampName]],CL,3,0),"")</f>
        <v>Open</v>
      </c>
      <c r="U225" s="332">
        <f>IFERROR(Table_Shelter[[#This Row],[HH Covered]]/VLOOKUP(Table_Shelter[[#This Row],[CampName]],CL,4,0),"")</f>
        <v>0.34482758620689657</v>
      </c>
      <c r="V225" s="552" t="s">
        <v>1310</v>
      </c>
      <c r="W225" s="333"/>
    </row>
    <row r="226" spans="1:23" ht="15" customHeight="1" x14ac:dyDescent="0.25">
      <c r="A226" s="603"/>
      <c r="B226" s="210" t="s">
        <v>454</v>
      </c>
      <c r="C226" s="210"/>
      <c r="D226" s="213" t="s">
        <v>380</v>
      </c>
      <c r="E226" s="435" t="s">
        <v>185</v>
      </c>
      <c r="F226" s="210" t="s">
        <v>229</v>
      </c>
      <c r="G226" s="139">
        <v>1</v>
      </c>
      <c r="H226" s="143"/>
      <c r="I226" s="143"/>
      <c r="J226" s="143">
        <v>45</v>
      </c>
      <c r="K226" s="143">
        <v>45</v>
      </c>
      <c r="L226" s="212"/>
      <c r="M226" s="212"/>
      <c r="N226" s="212"/>
      <c r="O226" s="212"/>
      <c r="P226" s="142">
        <f>IF(Table_Shelter[[#This Row],[Status]]="Open",IF(V226="NO",Table_Shelter[[#This Row],[HH per Shelter]]*(Table_Shelter[[#This Row],['# of Temporary Shelter Units Built]]+Table_Shelter[[#This Row],['# of Temporary Shelter Under  Construction]]+Table_Shelter[[#This Row],['# of Permanent House Under Construction]]),0),0)</f>
        <v>45</v>
      </c>
      <c r="Q226" s="142"/>
      <c r="R226" s="212"/>
      <c r="S226" s="212" t="str">
        <f>IFERROR(VLOOKUP(Table_Shelter[[#This Row],[CampName]],CL,2,0),"")</f>
        <v>MMR001CMP072</v>
      </c>
      <c r="T226" s="212" t="str">
        <f>IFERROR(VLOOKUP(Table_Shelter[[#This Row],[CampName]],CL,3,0),"")</f>
        <v>Open</v>
      </c>
      <c r="U226" s="332">
        <f>IFERROR(Table_Shelter[[#This Row],[HH Covered]]/VLOOKUP(Table_Shelter[[#This Row],[CampName]],CL,4,0),"")</f>
        <v>0.9</v>
      </c>
      <c r="V226" s="552" t="s">
        <v>1310</v>
      </c>
      <c r="W226" s="333"/>
    </row>
    <row r="227" spans="1:23" ht="15" customHeight="1" x14ac:dyDescent="0.25">
      <c r="A227" s="334">
        <v>42416</v>
      </c>
      <c r="B227" s="210" t="s">
        <v>454</v>
      </c>
      <c r="C227" s="210" t="s">
        <v>508</v>
      </c>
      <c r="D227" s="213" t="s">
        <v>380</v>
      </c>
      <c r="E227" s="435" t="s">
        <v>237</v>
      </c>
      <c r="F227" s="210" t="s">
        <v>273</v>
      </c>
      <c r="G227" s="139">
        <v>1</v>
      </c>
      <c r="H227" s="143"/>
      <c r="I227" s="143"/>
      <c r="J227" s="143">
        <v>14</v>
      </c>
      <c r="K227" s="143">
        <v>14</v>
      </c>
      <c r="L227" s="212"/>
      <c r="M227" s="212"/>
      <c r="N227" s="212"/>
      <c r="O227" s="212"/>
      <c r="P227" s="142">
        <f>IF(Table_Shelter[[#This Row],[Status]]="Open",IF(V227="NO",Table_Shelter[[#This Row],[HH per Shelter]]*(Table_Shelter[[#This Row],['# of Temporary Shelter Units Built]]+Table_Shelter[[#This Row],['# of Temporary Shelter Under  Construction]]+Table_Shelter[[#This Row],['# of Permanent House Under Construction]]),0),0)</f>
        <v>14</v>
      </c>
      <c r="Q227" s="142"/>
      <c r="R227" s="212"/>
      <c r="S227" s="212" t="str">
        <f>IFERROR(VLOOKUP(Table_Shelter[[#This Row],[CampName]],CL,2,0),"")</f>
        <v>MMR001CMP162</v>
      </c>
      <c r="T227" s="212" t="str">
        <f>IFERROR(VLOOKUP(Table_Shelter[[#This Row],[CampName]],CL,3,0),"")</f>
        <v>Open</v>
      </c>
      <c r="U227" s="332">
        <f>IFERROR(Table_Shelter[[#This Row],[HH Covered]]/VLOOKUP(Table_Shelter[[#This Row],[CampName]],CL,4,0),"")</f>
        <v>0.32558139534883723</v>
      </c>
      <c r="V227" s="552" t="s">
        <v>1310</v>
      </c>
      <c r="W227" s="333"/>
    </row>
    <row r="228" spans="1:23" ht="15" customHeight="1" x14ac:dyDescent="0.25">
      <c r="A228" s="603"/>
      <c r="B228" s="210" t="s">
        <v>594</v>
      </c>
      <c r="C228" s="210" t="s">
        <v>508</v>
      </c>
      <c r="D228" s="213" t="s">
        <v>380</v>
      </c>
      <c r="E228" s="215" t="s">
        <v>237</v>
      </c>
      <c r="F228" s="210" t="s">
        <v>273</v>
      </c>
      <c r="G228" s="139">
        <v>1</v>
      </c>
      <c r="H228" s="143"/>
      <c r="I228" s="143"/>
      <c r="J228" s="143">
        <v>30</v>
      </c>
      <c r="K228" s="143">
        <v>30</v>
      </c>
      <c r="L228" s="212"/>
      <c r="M228" s="212"/>
      <c r="N228" s="212"/>
      <c r="O228" s="212"/>
      <c r="P228" s="142">
        <f>IF(Table_Shelter[[#This Row],[Status]]="Open",IF(V228="NO",Table_Shelter[[#This Row],[HH per Shelter]]*(Table_Shelter[[#This Row],['# of Temporary Shelter Units Built]]+Table_Shelter[[#This Row],['# of Temporary Shelter Under  Construction]]+Table_Shelter[[#This Row],['# of Permanent House Under Construction]]),0),0)</f>
        <v>30</v>
      </c>
      <c r="Q228" s="142"/>
      <c r="R228" s="212"/>
      <c r="S228" s="212" t="str">
        <f>IFERROR(VLOOKUP(Table_Shelter[[#This Row],[CampName]],CL,2,0),"")</f>
        <v>MMR001CMP162</v>
      </c>
      <c r="T228" s="212" t="str">
        <f>IFERROR(VLOOKUP(Table_Shelter[[#This Row],[CampName]],CL,3,0),"")</f>
        <v>Open</v>
      </c>
      <c r="U228" s="332">
        <f>IFERROR(Table_Shelter[[#This Row],[HH Covered]]/VLOOKUP(Table_Shelter[[#This Row],[CampName]],CL,4,0),"")</f>
        <v>0.69767441860465118</v>
      </c>
      <c r="V228" s="552" t="s">
        <v>1310</v>
      </c>
      <c r="W228" s="333"/>
    </row>
    <row r="229" spans="1:23" ht="15" customHeight="1" x14ac:dyDescent="0.25">
      <c r="A229" s="334">
        <v>42422</v>
      </c>
      <c r="B229" s="210" t="s">
        <v>455</v>
      </c>
      <c r="C229" s="210"/>
      <c r="D229" s="213" t="s">
        <v>380</v>
      </c>
      <c r="E229" s="435" t="s">
        <v>185</v>
      </c>
      <c r="F229" s="210" t="s">
        <v>219</v>
      </c>
      <c r="G229" s="139">
        <v>1</v>
      </c>
      <c r="H229" s="143"/>
      <c r="I229" s="143"/>
      <c r="J229" s="143">
        <v>254</v>
      </c>
      <c r="K229" s="143">
        <v>254</v>
      </c>
      <c r="L229" s="212"/>
      <c r="M229" s="212"/>
      <c r="N229" s="212"/>
      <c r="O229" s="212"/>
      <c r="P229" s="142">
        <f>IF(Table_Shelter[[#This Row],[Status]]="Open",IF(V229="NO",Table_Shelter[[#This Row],[HH per Shelter]]*(Table_Shelter[[#This Row],['# of Temporary Shelter Units Built]]+Table_Shelter[[#This Row],['# of Temporary Shelter Under  Construction]]+Table_Shelter[[#This Row],['# of Permanent House Under Construction]]),0),0)</f>
        <v>0</v>
      </c>
      <c r="Q229" s="142"/>
      <c r="R229" s="212"/>
      <c r="S229" s="212" t="str">
        <f>IFERROR(VLOOKUP(Table_Shelter[[#This Row],[CampName]],CL,2,0),"")</f>
        <v>MMR001CMP126</v>
      </c>
      <c r="T229" s="212" t="str">
        <f>IFERROR(VLOOKUP(Table_Shelter[[#This Row],[CampName]],CL,3,0),"")</f>
        <v>Open</v>
      </c>
      <c r="U229" s="332">
        <f>IFERROR(Table_Shelter[[#This Row],[HH Covered]]/VLOOKUP(Table_Shelter[[#This Row],[CampName]],CL,4,0),"")</f>
        <v>0</v>
      </c>
      <c r="V229" s="552" t="s">
        <v>1309</v>
      </c>
      <c r="W229" s="333"/>
    </row>
    <row r="230" spans="1:23" ht="15" customHeight="1" x14ac:dyDescent="0.25">
      <c r="A230" s="603">
        <v>41974</v>
      </c>
      <c r="B230" s="210" t="s">
        <v>455</v>
      </c>
      <c r="C230" s="210"/>
      <c r="D230" s="213" t="s">
        <v>380</v>
      </c>
      <c r="E230" s="435" t="s">
        <v>185</v>
      </c>
      <c r="F230" s="210" t="s">
        <v>219</v>
      </c>
      <c r="G230" s="139">
        <v>1</v>
      </c>
      <c r="H230" s="143"/>
      <c r="I230" s="143"/>
      <c r="J230" s="143">
        <v>394</v>
      </c>
      <c r="K230" s="143">
        <v>140</v>
      </c>
      <c r="L230" s="212"/>
      <c r="M230" s="212"/>
      <c r="N230" s="212"/>
      <c r="O230" s="212"/>
      <c r="P230" s="142">
        <f>IF(Table_Shelter[[#This Row],[Status]]="Open",IF(V230="NO",Table_Shelter[[#This Row],[HH per Shelter]]*(Table_Shelter[[#This Row],['# of Temporary Shelter Units Built]]+Table_Shelter[[#This Row],['# of Temporary Shelter Under  Construction]]+Table_Shelter[[#This Row],['# of Permanent House Under Construction]]),0),0)</f>
        <v>140</v>
      </c>
      <c r="Q230" s="142"/>
      <c r="R230" s="212"/>
      <c r="S230" s="212" t="str">
        <f>IFERROR(VLOOKUP(Table_Shelter[[#This Row],[CampName]],CL,2,0),"")</f>
        <v>MMR001CMP126</v>
      </c>
      <c r="T230" s="212" t="str">
        <f>IFERROR(VLOOKUP(Table_Shelter[[#This Row],[CampName]],CL,3,0),"")</f>
        <v>Open</v>
      </c>
      <c r="U230" s="332">
        <f>IFERROR(Table_Shelter[[#This Row],[HH Covered]]/VLOOKUP(Table_Shelter[[#This Row],[CampName]],CL,4,0),"")</f>
        <v>0.206794682422452</v>
      </c>
      <c r="V230" s="552" t="s">
        <v>1310</v>
      </c>
      <c r="W230" s="333"/>
    </row>
    <row r="231" spans="1:23" ht="15" customHeight="1" x14ac:dyDescent="0.25">
      <c r="A231" s="335"/>
      <c r="B231" s="210" t="s">
        <v>594</v>
      </c>
      <c r="C231" s="210" t="s">
        <v>574</v>
      </c>
      <c r="D231" s="213" t="s">
        <v>380</v>
      </c>
      <c r="E231" s="215" t="s">
        <v>185</v>
      </c>
      <c r="F231" s="210" t="s">
        <v>219</v>
      </c>
      <c r="G231" s="139">
        <v>1</v>
      </c>
      <c r="H231" s="143"/>
      <c r="I231" s="143"/>
      <c r="J231" s="143">
        <v>447</v>
      </c>
      <c r="K231" s="143">
        <v>447</v>
      </c>
      <c r="L231" s="212"/>
      <c r="M231" s="212"/>
      <c r="N231" s="212"/>
      <c r="O231" s="212"/>
      <c r="P231" s="142">
        <f>IF(Table_Shelter[[#This Row],[Status]]="Open",IF(V231="NO",Table_Shelter[[#This Row],[HH per Shelter]]*(Table_Shelter[[#This Row],['# of Temporary Shelter Units Built]]+Table_Shelter[[#This Row],['# of Temporary Shelter Under  Construction]]+Table_Shelter[[#This Row],['# of Permanent House Under Construction]]),0),0)</f>
        <v>447</v>
      </c>
      <c r="Q231" s="142"/>
      <c r="R231" s="212"/>
      <c r="S231" s="212" t="str">
        <f>IFERROR(VLOOKUP(Table_Shelter[[#This Row],[CampName]],CL,2,0),"")</f>
        <v>MMR001CMP126</v>
      </c>
      <c r="T231" s="212" t="str">
        <f>IFERROR(VLOOKUP(Table_Shelter[[#This Row],[CampName]],CL,3,0),"")</f>
        <v>Open</v>
      </c>
      <c r="U231" s="332">
        <f>IFERROR(Table_Shelter[[#This Row],[HH Covered]]/VLOOKUP(Table_Shelter[[#This Row],[CampName]],CL,4,0),"")</f>
        <v>0.66026587887740029</v>
      </c>
      <c r="V231" s="552" t="s">
        <v>1310</v>
      </c>
      <c r="W231" s="333"/>
    </row>
    <row r="232" spans="1:23" ht="15" customHeight="1" x14ac:dyDescent="0.25">
      <c r="A232" s="335"/>
      <c r="B232" s="210" t="s">
        <v>454</v>
      </c>
      <c r="C232" s="210" t="s">
        <v>461</v>
      </c>
      <c r="D232" s="213" t="s">
        <v>380</v>
      </c>
      <c r="E232" s="215" t="s">
        <v>185</v>
      </c>
      <c r="F232" s="210" t="s">
        <v>219</v>
      </c>
      <c r="G232" s="139">
        <v>1</v>
      </c>
      <c r="H232" s="143"/>
      <c r="I232" s="143"/>
      <c r="J232" s="143">
        <v>130</v>
      </c>
      <c r="K232" s="143">
        <v>130</v>
      </c>
      <c r="L232" s="212"/>
      <c r="M232" s="212"/>
      <c r="N232" s="212"/>
      <c r="O232" s="212"/>
      <c r="P232" s="142">
        <f>IF(Table_Shelter[[#This Row],[Status]]="Open",IF(V232="NO",Table_Shelter[[#This Row],[HH per Shelter]]*(Table_Shelter[[#This Row],['# of Temporary Shelter Units Built]]+Table_Shelter[[#This Row],['# of Temporary Shelter Under  Construction]]+Table_Shelter[[#This Row],['# of Permanent House Under Construction]]),0),0)</f>
        <v>130</v>
      </c>
      <c r="Q232" s="142"/>
      <c r="R232" s="212"/>
      <c r="S232" s="212" t="str">
        <f>IFERROR(VLOOKUP(Table_Shelter[[#This Row],[CampName]],CL,2,0),"")</f>
        <v>MMR001CMP126</v>
      </c>
      <c r="T232" s="212" t="str">
        <f>IFERROR(VLOOKUP(Table_Shelter[[#This Row],[CampName]],CL,3,0),"")</f>
        <v>Open</v>
      </c>
      <c r="U232" s="332">
        <f>IFERROR(Table_Shelter[[#This Row],[HH Covered]]/VLOOKUP(Table_Shelter[[#This Row],[CampName]],CL,4,0),"")</f>
        <v>0.19202363367799113</v>
      </c>
      <c r="V232" s="552" t="s">
        <v>1310</v>
      </c>
      <c r="W232" s="333"/>
    </row>
    <row r="233" spans="1:23" ht="15" customHeight="1" x14ac:dyDescent="0.25">
      <c r="A233" s="335">
        <v>41609</v>
      </c>
      <c r="B233" s="210" t="s">
        <v>454</v>
      </c>
      <c r="C233" s="210" t="s">
        <v>462</v>
      </c>
      <c r="D233" s="213" t="s">
        <v>380</v>
      </c>
      <c r="E233" s="215" t="s">
        <v>310</v>
      </c>
      <c r="F233" s="210" t="s">
        <v>1247</v>
      </c>
      <c r="G233" s="139">
        <v>1</v>
      </c>
      <c r="H233" s="143"/>
      <c r="I233" s="143"/>
      <c r="J233" s="143">
        <v>11</v>
      </c>
      <c r="K233" s="143">
        <v>11</v>
      </c>
      <c r="L233" s="212"/>
      <c r="M233" s="212"/>
      <c r="N233" s="212"/>
      <c r="O233" s="212"/>
      <c r="P233" s="142">
        <f>IF(Table_Shelter[[#This Row],[Status]]="Open",IF(V233="NO",Table_Shelter[[#This Row],[HH per Shelter]]*(Table_Shelter[[#This Row],['# of Temporary Shelter Units Built]]+Table_Shelter[[#This Row],['# of Temporary Shelter Under  Construction]]+Table_Shelter[[#This Row],['# of Permanent House Under Construction]]),0),0)</f>
        <v>11</v>
      </c>
      <c r="Q233" s="142"/>
      <c r="R233" s="142"/>
      <c r="S233" s="142" t="str">
        <f>IFERROR(VLOOKUP(Table_Shelter[[#This Row],[CampName]],CL,2,0),"")</f>
        <v>MMR001CMP120</v>
      </c>
      <c r="T233" s="142" t="str">
        <f>IFERROR(VLOOKUP(Table_Shelter[[#This Row],[CampName]],CL,3,0),"")</f>
        <v>Open</v>
      </c>
      <c r="U233" s="332">
        <f>IFERROR(Table_Shelter[[#This Row],[HH Covered]]/VLOOKUP(Table_Shelter[[#This Row],[CampName]],CL,4,0),"")</f>
        <v>6.1797752808988762E-2</v>
      </c>
      <c r="V233" s="552" t="s">
        <v>1310</v>
      </c>
      <c r="W233" s="336"/>
    </row>
    <row r="234" spans="1:23" ht="15" customHeight="1" x14ac:dyDescent="0.25">
      <c r="A234" s="335"/>
      <c r="B234" s="210" t="s">
        <v>454</v>
      </c>
      <c r="C234" s="210" t="s">
        <v>462</v>
      </c>
      <c r="D234" s="213" t="s">
        <v>380</v>
      </c>
      <c r="E234" s="435" t="s">
        <v>310</v>
      </c>
      <c r="F234" s="210" t="s">
        <v>1247</v>
      </c>
      <c r="G234" s="139">
        <v>1</v>
      </c>
      <c r="H234" s="143"/>
      <c r="I234" s="143"/>
      <c r="J234" s="143">
        <v>24</v>
      </c>
      <c r="K234" s="143">
        <v>24</v>
      </c>
      <c r="L234" s="212"/>
      <c r="M234" s="212"/>
      <c r="N234" s="212"/>
      <c r="O234" s="212"/>
      <c r="P234" s="142">
        <f>IF(Table_Shelter[[#This Row],[Status]]="Open",IF(V234="NO",Table_Shelter[[#This Row],[HH per Shelter]]*(Table_Shelter[[#This Row],['# of Temporary Shelter Units Built]]+Table_Shelter[[#This Row],['# of Temporary Shelter Under  Construction]]+Table_Shelter[[#This Row],['# of Permanent House Under Construction]]),0),0)</f>
        <v>24</v>
      </c>
      <c r="Q234" s="142"/>
      <c r="R234" s="212"/>
      <c r="S234" s="212" t="str">
        <f>IFERROR(VLOOKUP(Table_Shelter[[#This Row],[CampName]],CL,2,0),"")</f>
        <v>MMR001CMP120</v>
      </c>
      <c r="T234" s="212" t="str">
        <f>IFERROR(VLOOKUP(Table_Shelter[[#This Row],[CampName]],CL,3,0),"")</f>
        <v>Open</v>
      </c>
      <c r="U234" s="332">
        <f>IFERROR(Table_Shelter[[#This Row],[HH Covered]]/VLOOKUP(Table_Shelter[[#This Row],[CampName]],CL,4,0),"")</f>
        <v>0.1348314606741573</v>
      </c>
      <c r="V234" s="552" t="s">
        <v>1310</v>
      </c>
      <c r="W234" s="333"/>
    </row>
    <row r="235" spans="1:23" ht="15" customHeight="1" x14ac:dyDescent="0.25">
      <c r="A235" s="335"/>
      <c r="B235" s="210" t="s">
        <v>454</v>
      </c>
      <c r="C235" s="210" t="s">
        <v>508</v>
      </c>
      <c r="D235" s="213" t="s">
        <v>380</v>
      </c>
      <c r="E235" s="215" t="s">
        <v>27</v>
      </c>
      <c r="F235" s="210" t="s">
        <v>866</v>
      </c>
      <c r="G235" s="139">
        <v>1</v>
      </c>
      <c r="H235" s="143"/>
      <c r="I235" s="143"/>
      <c r="J235" s="143"/>
      <c r="K235" s="143"/>
      <c r="L235" s="212"/>
      <c r="M235" s="212"/>
      <c r="N235" s="212"/>
      <c r="O235" s="212"/>
      <c r="P235" s="142">
        <f>IF(Table_Shelter[[#This Row],[Status]]="Open",IF(V235="NO",Table_Shelter[[#This Row],[HH per Shelter]]*(Table_Shelter[[#This Row],['# of Temporary Shelter Units Built]]+Table_Shelter[[#This Row],['# of Temporary Shelter Under  Construction]]+Table_Shelter[[#This Row],['# of Permanent House Under Construction]]),0),0)</f>
        <v>0</v>
      </c>
      <c r="Q235" s="142">
        <v>40</v>
      </c>
      <c r="R235" s="212"/>
      <c r="S235" s="212" t="str">
        <f>IFERROR(VLOOKUP(Table_Shelter[[#This Row],[CampName]],CL,2,0),"")</f>
        <v>MMR001CMP210</v>
      </c>
      <c r="T235" s="212" t="str">
        <f>IFERROR(VLOOKUP(Table_Shelter[[#This Row],[CampName]],CL,3,0),"")</f>
        <v>Open</v>
      </c>
      <c r="U235" s="332">
        <f>IFERROR(Table_Shelter[[#This Row],[HH Covered]]/VLOOKUP(Table_Shelter[[#This Row],[CampName]],CL,4,0),"")</f>
        <v>0</v>
      </c>
      <c r="V235" s="552" t="s">
        <v>1310</v>
      </c>
      <c r="W235" s="333"/>
    </row>
    <row r="236" spans="1:23" ht="15" customHeight="1" x14ac:dyDescent="0.25">
      <c r="A236" s="335">
        <v>41791</v>
      </c>
      <c r="B236" s="210" t="s">
        <v>454</v>
      </c>
      <c r="C236" s="210" t="s">
        <v>462</v>
      </c>
      <c r="D236" s="213" t="s">
        <v>380</v>
      </c>
      <c r="E236" s="215" t="s">
        <v>5</v>
      </c>
      <c r="F236" s="210" t="s">
        <v>366</v>
      </c>
      <c r="G236" s="139">
        <v>1</v>
      </c>
      <c r="H236" s="143"/>
      <c r="I236" s="143"/>
      <c r="J236" s="143">
        <v>10</v>
      </c>
      <c r="K236" s="143">
        <v>10</v>
      </c>
      <c r="L236" s="212"/>
      <c r="M236" s="212"/>
      <c r="N236" s="212"/>
      <c r="O236" s="212"/>
      <c r="P236" s="142">
        <f>IF(Table_Shelter[[#This Row],[Status]]="Open",IF(V236="NO",Table_Shelter[[#This Row],[HH per Shelter]]*(Table_Shelter[[#This Row],['# of Temporary Shelter Units Built]]+Table_Shelter[[#This Row],['# of Temporary Shelter Under  Construction]]+Table_Shelter[[#This Row],['# of Permanent House Under Construction]]),0),0)</f>
        <v>10</v>
      </c>
      <c r="Q236" s="142"/>
      <c r="R236" s="142"/>
      <c r="S236" s="142" t="str">
        <f>IFERROR(VLOOKUP(Table_Shelter[[#This Row],[CampName]],CL,2,0),"")</f>
        <v>MMR001CMP193</v>
      </c>
      <c r="T236" s="142" t="str">
        <f>IFERROR(VLOOKUP(Table_Shelter[[#This Row],[CampName]],CL,3,0),"")</f>
        <v>Open</v>
      </c>
      <c r="U236" s="332">
        <f>IFERROR(Table_Shelter[[#This Row],[HH Covered]]/VLOOKUP(Table_Shelter[[#This Row],[CampName]],CL,4,0),"")</f>
        <v>6.6666666666666666E-2</v>
      </c>
      <c r="V236" s="552" t="s">
        <v>1310</v>
      </c>
      <c r="W236" s="336"/>
    </row>
    <row r="237" spans="1:23" ht="15" customHeight="1" x14ac:dyDescent="0.25">
      <c r="A237" s="335">
        <v>41609</v>
      </c>
      <c r="B237" s="210" t="s">
        <v>454</v>
      </c>
      <c r="C237" s="210" t="s">
        <v>462</v>
      </c>
      <c r="D237" s="213" t="s">
        <v>380</v>
      </c>
      <c r="E237" s="435" t="s">
        <v>5</v>
      </c>
      <c r="F237" s="210" t="s">
        <v>366</v>
      </c>
      <c r="G237" s="139">
        <v>1</v>
      </c>
      <c r="H237" s="143"/>
      <c r="I237" s="143"/>
      <c r="J237" s="143">
        <v>50</v>
      </c>
      <c r="K237" s="143">
        <v>50</v>
      </c>
      <c r="L237" s="212"/>
      <c r="M237" s="212"/>
      <c r="N237" s="212"/>
      <c r="O237" s="212"/>
      <c r="P237" s="142">
        <f>IF(Table_Shelter[[#This Row],[Status]]="Open",IF(V237="NO",Table_Shelter[[#This Row],[HH per Shelter]]*(Table_Shelter[[#This Row],['# of Temporary Shelter Units Built]]+Table_Shelter[[#This Row],['# of Temporary Shelter Under  Construction]]+Table_Shelter[[#This Row],['# of Permanent House Under Construction]]),0),0)</f>
        <v>50</v>
      </c>
      <c r="Q237" s="142"/>
      <c r="R237" s="212"/>
      <c r="S237" s="212" t="str">
        <f>IFERROR(VLOOKUP(Table_Shelter[[#This Row],[CampName]],CL,2,0),"")</f>
        <v>MMR001CMP193</v>
      </c>
      <c r="T237" s="212" t="str">
        <f>IFERROR(VLOOKUP(Table_Shelter[[#This Row],[CampName]],CL,3,0),"")</f>
        <v>Open</v>
      </c>
      <c r="U237" s="332">
        <f>IFERROR(Table_Shelter[[#This Row],[HH Covered]]/VLOOKUP(Table_Shelter[[#This Row],[CampName]],CL,4,0),"")</f>
        <v>0.33333333333333331</v>
      </c>
      <c r="V237" s="552" t="s">
        <v>1310</v>
      </c>
      <c r="W237" s="333"/>
    </row>
    <row r="238" spans="1:23" ht="15" customHeight="1" x14ac:dyDescent="0.25">
      <c r="A238" s="335"/>
      <c r="B238" s="210" t="s">
        <v>848</v>
      </c>
      <c r="C238" s="210"/>
      <c r="D238" s="213" t="s">
        <v>380</v>
      </c>
      <c r="E238" s="435" t="s">
        <v>5</v>
      </c>
      <c r="F238" s="210" t="s">
        <v>366</v>
      </c>
      <c r="G238" s="139">
        <v>1</v>
      </c>
      <c r="H238" s="143"/>
      <c r="I238" s="143"/>
      <c r="J238" s="143">
        <v>36</v>
      </c>
      <c r="K238" s="143">
        <v>36</v>
      </c>
      <c r="L238" s="212"/>
      <c r="M238" s="212"/>
      <c r="N238" s="212"/>
      <c r="O238" s="212"/>
      <c r="P238" s="142">
        <f>IF(Table_Shelter[[#This Row],[Status]]="Open",IF(V238="NO",Table_Shelter[[#This Row],[HH per Shelter]]*(Table_Shelter[[#This Row],['# of Temporary Shelter Units Built]]+Table_Shelter[[#This Row],['# of Temporary Shelter Under  Construction]]+Table_Shelter[[#This Row],['# of Permanent House Under Construction]]),0),0)</f>
        <v>36</v>
      </c>
      <c r="Q238" s="142"/>
      <c r="R238" s="212"/>
      <c r="S238" s="212" t="str">
        <f>IFERROR(VLOOKUP(Table_Shelter[[#This Row],[CampName]],CL,2,0),"")</f>
        <v>MMR001CMP193</v>
      </c>
      <c r="T238" s="212" t="str">
        <f>IFERROR(VLOOKUP(Table_Shelter[[#This Row],[CampName]],CL,3,0),"")</f>
        <v>Open</v>
      </c>
      <c r="U238" s="332">
        <f>IFERROR(Table_Shelter[[#This Row],[HH Covered]]/VLOOKUP(Table_Shelter[[#This Row],[CampName]],CL,4,0),"")</f>
        <v>0.24</v>
      </c>
      <c r="V238" s="552" t="s">
        <v>1310</v>
      </c>
      <c r="W238" s="333"/>
    </row>
    <row r="239" spans="1:23" ht="15" customHeight="1" x14ac:dyDescent="0.25">
      <c r="A239" s="335"/>
      <c r="B239" s="210" t="s">
        <v>454</v>
      </c>
      <c r="C239" s="210"/>
      <c r="D239" s="213" t="s">
        <v>380</v>
      </c>
      <c r="E239" s="435" t="s">
        <v>5</v>
      </c>
      <c r="F239" s="210" t="s">
        <v>366</v>
      </c>
      <c r="G239" s="139">
        <v>1</v>
      </c>
      <c r="H239" s="143"/>
      <c r="I239" s="143"/>
      <c r="J239" s="143">
        <v>30</v>
      </c>
      <c r="K239" s="143">
        <v>30</v>
      </c>
      <c r="L239" s="212"/>
      <c r="M239" s="212"/>
      <c r="N239" s="212"/>
      <c r="O239" s="212"/>
      <c r="P239" s="142">
        <f>IF(Table_Shelter[[#This Row],[Status]]="Open",IF(V239="NO",Table_Shelter[[#This Row],[HH per Shelter]]*(Table_Shelter[[#This Row],['# of Temporary Shelter Units Built]]+Table_Shelter[[#This Row],['# of Temporary Shelter Under  Construction]]+Table_Shelter[[#This Row],['# of Permanent House Under Construction]]),0),0)</f>
        <v>30</v>
      </c>
      <c r="Q239" s="142"/>
      <c r="R239" s="212"/>
      <c r="S239" s="212" t="str">
        <f>IFERROR(VLOOKUP(Table_Shelter[[#This Row],[CampName]],CL,2,0),"")</f>
        <v>MMR001CMP193</v>
      </c>
      <c r="T239" s="212" t="str">
        <f>IFERROR(VLOOKUP(Table_Shelter[[#This Row],[CampName]],CL,3,0),"")</f>
        <v>Open</v>
      </c>
      <c r="U239" s="332">
        <f>IFERROR(Table_Shelter[[#This Row],[HH Covered]]/VLOOKUP(Table_Shelter[[#This Row],[CampName]],CL,4,0),"")</f>
        <v>0.2</v>
      </c>
      <c r="V239" s="552" t="s">
        <v>1310</v>
      </c>
      <c r="W239" s="333"/>
    </row>
    <row r="240" spans="1:23" ht="15" customHeight="1" x14ac:dyDescent="0.25">
      <c r="A240" s="335">
        <v>42500</v>
      </c>
      <c r="B240" s="210" t="s">
        <v>455</v>
      </c>
      <c r="C240" s="210" t="s">
        <v>508</v>
      </c>
      <c r="D240" s="218" t="s">
        <v>380</v>
      </c>
      <c r="E240" s="435" t="s">
        <v>310</v>
      </c>
      <c r="F240" s="210" t="s">
        <v>355</v>
      </c>
      <c r="G240" s="139">
        <v>1</v>
      </c>
      <c r="H240" s="143"/>
      <c r="I240" s="143"/>
      <c r="J240" s="143">
        <v>60</v>
      </c>
      <c r="K240" s="143">
        <v>65</v>
      </c>
      <c r="L240" s="212"/>
      <c r="M240" s="212"/>
      <c r="N240" s="212"/>
      <c r="O240" s="212"/>
      <c r="P240" s="142">
        <f>IF(Table_Shelter[[#This Row],[Status]]="Open",IF(V240="NO",Table_Shelter[[#This Row],[HH per Shelter]]*(Table_Shelter[[#This Row],['# of Temporary Shelter Units Built]]+Table_Shelter[[#This Row],['# of Temporary Shelter Under  Construction]]+Table_Shelter[[#This Row],['# of Permanent House Under Construction]]),0),0)</f>
        <v>65</v>
      </c>
      <c r="Q240" s="142"/>
      <c r="R240" s="142"/>
      <c r="S240" s="142" t="str">
        <f>IFERROR(VLOOKUP(Table_Shelter[[#This Row],[CampName]],CL,2,0),"")</f>
        <v>MMR001CMP160</v>
      </c>
      <c r="T240" s="142" t="str">
        <f>IFERROR(VLOOKUP(Table_Shelter[[#This Row],[CampName]],CL,3,0),"")</f>
        <v>Open</v>
      </c>
      <c r="U240" s="332">
        <f>IFERROR(Table_Shelter[[#This Row],[HH Covered]]/VLOOKUP(Table_Shelter[[#This Row],[CampName]],CL,4,0),"")</f>
        <v>0.66326530612244894</v>
      </c>
      <c r="V240" s="604" t="s">
        <v>1310</v>
      </c>
      <c r="W240" s="336"/>
    </row>
    <row r="241" spans="1:23" ht="15" customHeight="1" x14ac:dyDescent="0.25">
      <c r="A241" s="334">
        <v>42422</v>
      </c>
      <c r="B241" s="210" t="s">
        <v>455</v>
      </c>
      <c r="C241" s="210"/>
      <c r="D241" s="213" t="s">
        <v>380</v>
      </c>
      <c r="E241" s="435" t="s">
        <v>310</v>
      </c>
      <c r="F241" s="210" t="s">
        <v>355</v>
      </c>
      <c r="G241" s="139">
        <v>1</v>
      </c>
      <c r="H241" s="143"/>
      <c r="I241" s="143"/>
      <c r="J241" s="143">
        <v>66</v>
      </c>
      <c r="K241" s="143">
        <v>66</v>
      </c>
      <c r="L241" s="212"/>
      <c r="M241" s="212"/>
      <c r="N241" s="212"/>
      <c r="O241" s="212"/>
      <c r="P241" s="142">
        <f>IF(Table_Shelter[[#This Row],[Status]]="Open",IF(V241="NO",Table_Shelter[[#This Row],[HH per Shelter]]*(Table_Shelter[[#This Row],['# of Temporary Shelter Units Built]]+Table_Shelter[[#This Row],['# of Temporary Shelter Under  Construction]]+Table_Shelter[[#This Row],['# of Permanent House Under Construction]]),0),0)</f>
        <v>0</v>
      </c>
      <c r="Q241" s="142"/>
      <c r="R241" s="212"/>
      <c r="S241" s="212" t="str">
        <f>IFERROR(VLOOKUP(Table_Shelter[[#This Row],[CampName]],CL,2,0),"")</f>
        <v>MMR001CMP160</v>
      </c>
      <c r="T241" s="212" t="str">
        <f>IFERROR(VLOOKUP(Table_Shelter[[#This Row],[CampName]],CL,3,0),"")</f>
        <v>Open</v>
      </c>
      <c r="U241" s="332">
        <f>IFERROR(Table_Shelter[[#This Row],[HH Covered]]/VLOOKUP(Table_Shelter[[#This Row],[CampName]],CL,4,0),"")</f>
        <v>0</v>
      </c>
      <c r="V241" s="552" t="s">
        <v>1309</v>
      </c>
      <c r="W241" s="333"/>
    </row>
    <row r="242" spans="1:23" ht="15" customHeight="1" x14ac:dyDescent="0.25">
      <c r="A242" s="335"/>
      <c r="B242" s="210" t="s">
        <v>864</v>
      </c>
      <c r="C242" s="210"/>
      <c r="D242" s="213" t="s">
        <v>380</v>
      </c>
      <c r="E242" s="435" t="s">
        <v>310</v>
      </c>
      <c r="F242" s="210" t="s">
        <v>355</v>
      </c>
      <c r="G242" s="139">
        <v>1</v>
      </c>
      <c r="H242" s="143">
        <v>207</v>
      </c>
      <c r="I242" s="143">
        <v>207</v>
      </c>
      <c r="J242" s="143"/>
      <c r="K242" s="143"/>
      <c r="L242" s="212"/>
      <c r="M242" s="212"/>
      <c r="N242" s="212"/>
      <c r="O242" s="212"/>
      <c r="P242" s="142">
        <f>IF(Table_Shelter[[#This Row],[Status]]="Open",IF(V242="NO",Table_Shelter[[#This Row],[HH per Shelter]]*(Table_Shelter[[#This Row],['# of Temporary Shelter Units Built]]+Table_Shelter[[#This Row],['# of Temporary Shelter Under  Construction]]+Table_Shelter[[#This Row],['# of Permanent House Under Construction]]),0),0)</f>
        <v>0</v>
      </c>
      <c r="Q242" s="142"/>
      <c r="R242" s="212"/>
      <c r="S242" s="212" t="str">
        <f>IFERROR(VLOOKUP(Table_Shelter[[#This Row],[CampName]],CL,2,0),"")</f>
        <v>MMR001CMP160</v>
      </c>
      <c r="T242" s="212" t="str">
        <f>IFERROR(VLOOKUP(Table_Shelter[[#This Row],[CampName]],CL,3,0),"")</f>
        <v>Open</v>
      </c>
      <c r="U242" s="332">
        <f>IFERROR(Table_Shelter[[#This Row],[HH Covered]]/VLOOKUP(Table_Shelter[[#This Row],[CampName]],CL,4,0),"")</f>
        <v>0</v>
      </c>
      <c r="V242" s="552" t="s">
        <v>1310</v>
      </c>
      <c r="W242" s="333"/>
    </row>
    <row r="243" spans="1:23" ht="15" customHeight="1" x14ac:dyDescent="0.25">
      <c r="A243" s="335">
        <v>41974</v>
      </c>
      <c r="B243" s="210" t="s">
        <v>454</v>
      </c>
      <c r="C243" s="210" t="s">
        <v>507</v>
      </c>
      <c r="D243" s="213" t="s">
        <v>380</v>
      </c>
      <c r="E243" s="435" t="s">
        <v>310</v>
      </c>
      <c r="F243" s="210" t="s">
        <v>318</v>
      </c>
      <c r="G243" s="139">
        <v>1</v>
      </c>
      <c r="H243" s="143"/>
      <c r="I243" s="143"/>
      <c r="J243" s="143">
        <v>21</v>
      </c>
      <c r="K243" s="143">
        <v>21</v>
      </c>
      <c r="L243" s="212"/>
      <c r="M243" s="212"/>
      <c r="N243" s="212"/>
      <c r="O243" s="212"/>
      <c r="P243" s="142">
        <f>IF(Table_Shelter[[#This Row],[Status]]="Open",IF(V243="NO",Table_Shelter[[#This Row],[HH per Shelter]]*(Table_Shelter[[#This Row],['# of Temporary Shelter Units Built]]+Table_Shelter[[#This Row],['# of Temporary Shelter Under  Construction]]+Table_Shelter[[#This Row],['# of Permanent House Under Construction]]),0),0)</f>
        <v>21</v>
      </c>
      <c r="Q243" s="142"/>
      <c r="R243" s="142"/>
      <c r="S243" s="142" t="str">
        <f>IFERROR(VLOOKUP(Table_Shelter[[#This Row],[CampName]],CL,2,0),"")</f>
        <v>MMR001CMP032</v>
      </c>
      <c r="T243" s="142" t="str">
        <f>IFERROR(VLOOKUP(Table_Shelter[[#This Row],[CampName]],CL,3,0),"")</f>
        <v>Open</v>
      </c>
      <c r="U243" s="332">
        <f>IFERROR(Table_Shelter[[#This Row],[HH Covered]]/VLOOKUP(Table_Shelter[[#This Row],[CampName]],CL,4,0),"")</f>
        <v>0.23076923076923078</v>
      </c>
      <c r="V243" s="552" t="s">
        <v>1310</v>
      </c>
      <c r="W243" s="595"/>
    </row>
    <row r="244" spans="1:23" ht="15" customHeight="1" x14ac:dyDescent="0.25">
      <c r="A244" s="335">
        <v>41609</v>
      </c>
      <c r="B244" s="210" t="s">
        <v>454</v>
      </c>
      <c r="C244" s="210" t="s">
        <v>507</v>
      </c>
      <c r="D244" s="213" t="s">
        <v>380</v>
      </c>
      <c r="E244" s="435" t="s">
        <v>310</v>
      </c>
      <c r="F244" s="210" t="s">
        <v>318</v>
      </c>
      <c r="G244" s="139">
        <v>1</v>
      </c>
      <c r="H244" s="143"/>
      <c r="I244" s="143"/>
      <c r="J244" s="143">
        <v>10</v>
      </c>
      <c r="K244" s="143">
        <v>10</v>
      </c>
      <c r="L244" s="212"/>
      <c r="M244" s="212"/>
      <c r="N244" s="212"/>
      <c r="O244" s="212"/>
      <c r="P244" s="142">
        <f>IF(Table_Shelter[[#This Row],[Status]]="Open",IF(V244="NO",Table_Shelter[[#This Row],[HH per Shelter]]*(Table_Shelter[[#This Row],['# of Temporary Shelter Units Built]]+Table_Shelter[[#This Row],['# of Temporary Shelter Under  Construction]]+Table_Shelter[[#This Row],['# of Permanent House Under Construction]]),0),0)</f>
        <v>10</v>
      </c>
      <c r="Q244" s="142"/>
      <c r="R244" s="142"/>
      <c r="S244" s="142" t="str">
        <f>IFERROR(VLOOKUP(Table_Shelter[[#This Row],[CampName]],CL,2,0),"")</f>
        <v>MMR001CMP032</v>
      </c>
      <c r="T244" s="142" t="str">
        <f>IFERROR(VLOOKUP(Table_Shelter[[#This Row],[CampName]],CL,3,0),"")</f>
        <v>Open</v>
      </c>
      <c r="U244" s="332">
        <f>IFERROR(Table_Shelter[[#This Row],[HH Covered]]/VLOOKUP(Table_Shelter[[#This Row],[CampName]],CL,4,0),"")</f>
        <v>0.10989010989010989</v>
      </c>
      <c r="V244" s="552" t="s">
        <v>1310</v>
      </c>
      <c r="W244" s="336"/>
    </row>
    <row r="245" spans="1:23" ht="15" customHeight="1" x14ac:dyDescent="0.25">
      <c r="A245" s="335"/>
      <c r="B245" s="210" t="s">
        <v>454</v>
      </c>
      <c r="C245" s="210" t="s">
        <v>507</v>
      </c>
      <c r="D245" s="213" t="s">
        <v>380</v>
      </c>
      <c r="E245" s="435" t="s">
        <v>310</v>
      </c>
      <c r="F245" s="210" t="s">
        <v>318</v>
      </c>
      <c r="G245" s="139">
        <v>1</v>
      </c>
      <c r="H245" s="143"/>
      <c r="I245" s="143"/>
      <c r="J245" s="143">
        <v>45</v>
      </c>
      <c r="K245" s="143">
        <v>45</v>
      </c>
      <c r="L245" s="212"/>
      <c r="M245" s="212"/>
      <c r="N245" s="212"/>
      <c r="O245" s="212"/>
      <c r="P245" s="142">
        <f>IF(Table_Shelter[[#This Row],[Status]]="Open",IF(V245="NO",Table_Shelter[[#This Row],[HH per Shelter]]*(Table_Shelter[[#This Row],['# of Temporary Shelter Units Built]]+Table_Shelter[[#This Row],['# of Temporary Shelter Under  Construction]]+Table_Shelter[[#This Row],['# of Permanent House Under Construction]]),0),0)</f>
        <v>45</v>
      </c>
      <c r="Q245" s="142">
        <v>10</v>
      </c>
      <c r="R245" s="212"/>
      <c r="S245" s="212" t="str">
        <f>IFERROR(VLOOKUP(Table_Shelter[[#This Row],[CampName]],CL,2,0),"")</f>
        <v>MMR001CMP032</v>
      </c>
      <c r="T245" s="212" t="str">
        <f>IFERROR(VLOOKUP(Table_Shelter[[#This Row],[CampName]],CL,3,0),"")</f>
        <v>Open</v>
      </c>
      <c r="U245" s="332">
        <f>IFERROR(Table_Shelter[[#This Row],[HH Covered]]/VLOOKUP(Table_Shelter[[#This Row],[CampName]],CL,4,0),"")</f>
        <v>0.49450549450549453</v>
      </c>
      <c r="V245" s="552" t="s">
        <v>1310</v>
      </c>
      <c r="W245" s="596"/>
    </row>
    <row r="246" spans="1:23" ht="15" customHeight="1" x14ac:dyDescent="0.25">
      <c r="A246" s="335"/>
      <c r="B246" s="210" t="s">
        <v>454</v>
      </c>
      <c r="C246" s="210"/>
      <c r="D246" s="213" t="s">
        <v>380</v>
      </c>
      <c r="E246" s="435" t="s">
        <v>310</v>
      </c>
      <c r="F246" s="210" t="s">
        <v>318</v>
      </c>
      <c r="G246" s="139">
        <v>1</v>
      </c>
      <c r="H246" s="143"/>
      <c r="I246" s="143"/>
      <c r="J246" s="143">
        <v>5</v>
      </c>
      <c r="K246" s="143">
        <v>5</v>
      </c>
      <c r="L246" s="212"/>
      <c r="M246" s="212"/>
      <c r="N246" s="212"/>
      <c r="O246" s="212"/>
      <c r="P246" s="142">
        <f>IF(Table_Shelter[[#This Row],[Status]]="Open",IF(V246="NO",Table_Shelter[[#This Row],[HH per Shelter]]*(Table_Shelter[[#This Row],['# of Temporary Shelter Units Built]]+Table_Shelter[[#This Row],['# of Temporary Shelter Under  Construction]]+Table_Shelter[[#This Row],['# of Permanent House Under Construction]]),0),0)</f>
        <v>5</v>
      </c>
      <c r="Q246" s="142"/>
      <c r="R246" s="212"/>
      <c r="S246" s="212" t="str">
        <f>IFERROR(VLOOKUP(Table_Shelter[[#This Row],[CampName]],CL,2,0),"")</f>
        <v>MMR001CMP032</v>
      </c>
      <c r="T246" s="212" t="str">
        <f>IFERROR(VLOOKUP(Table_Shelter[[#This Row],[CampName]],CL,3,0),"")</f>
        <v>Open</v>
      </c>
      <c r="U246" s="332">
        <f>IFERROR(Table_Shelter[[#This Row],[HH Covered]]/VLOOKUP(Table_Shelter[[#This Row],[CampName]],CL,4,0),"")</f>
        <v>5.4945054945054944E-2</v>
      </c>
      <c r="V246" s="552" t="s">
        <v>1310</v>
      </c>
      <c r="W246" s="596"/>
    </row>
    <row r="247" spans="1:23" ht="15" customHeight="1" x14ac:dyDescent="0.25">
      <c r="A247" s="335"/>
      <c r="B247" s="210" t="s">
        <v>571</v>
      </c>
      <c r="C247" s="210"/>
      <c r="D247" s="213" t="s">
        <v>380</v>
      </c>
      <c r="E247" s="435" t="s">
        <v>310</v>
      </c>
      <c r="F247" s="210" t="s">
        <v>318</v>
      </c>
      <c r="G247" s="139">
        <v>1</v>
      </c>
      <c r="H247" s="143"/>
      <c r="I247" s="143"/>
      <c r="J247" s="143">
        <v>10</v>
      </c>
      <c r="K247" s="143">
        <v>10</v>
      </c>
      <c r="L247" s="212"/>
      <c r="M247" s="212"/>
      <c r="N247" s="212"/>
      <c r="O247" s="212"/>
      <c r="P247" s="142">
        <f>IF(Table_Shelter[[#This Row],[Status]]="Open",IF(V247="NO",Table_Shelter[[#This Row],[HH per Shelter]]*(Table_Shelter[[#This Row],['# of Temporary Shelter Units Built]]+Table_Shelter[[#This Row],['# of Temporary Shelter Under  Construction]]+Table_Shelter[[#This Row],['# of Permanent House Under Construction]]),0),0)</f>
        <v>10</v>
      </c>
      <c r="Q247" s="142"/>
      <c r="R247" s="212"/>
      <c r="S247" s="212" t="str">
        <f>IFERROR(VLOOKUP(Table_Shelter[[#This Row],[CampName]],CL,2,0),"")</f>
        <v>MMR001CMP032</v>
      </c>
      <c r="T247" s="212" t="str">
        <f>IFERROR(VLOOKUP(Table_Shelter[[#This Row],[CampName]],CL,3,0),"")</f>
        <v>Open</v>
      </c>
      <c r="U247" s="332">
        <f>IFERROR(Table_Shelter[[#This Row],[HH Covered]]/VLOOKUP(Table_Shelter[[#This Row],[CampName]],CL,4,0),"")</f>
        <v>0.10989010989010989</v>
      </c>
      <c r="V247" s="552" t="s">
        <v>1310</v>
      </c>
      <c r="W247" s="596"/>
    </row>
    <row r="248" spans="1:23" ht="15" customHeight="1" x14ac:dyDescent="0.25">
      <c r="A248" s="335"/>
      <c r="B248" s="210" t="s">
        <v>454</v>
      </c>
      <c r="C248" s="210" t="s">
        <v>507</v>
      </c>
      <c r="D248" s="218" t="s">
        <v>380</v>
      </c>
      <c r="E248" s="435" t="s">
        <v>310</v>
      </c>
      <c r="F248" s="210" t="s">
        <v>318</v>
      </c>
      <c r="G248" s="139">
        <v>1</v>
      </c>
      <c r="H248" s="143"/>
      <c r="I248" s="143"/>
      <c r="J248" s="143">
        <v>5</v>
      </c>
      <c r="K248" s="143">
        <v>5</v>
      </c>
      <c r="L248" s="212"/>
      <c r="M248" s="212"/>
      <c r="N248" s="212"/>
      <c r="O248" s="212"/>
      <c r="P248" s="142">
        <f>IF(Table_Shelter[[#This Row],[Status]]="Open",IF(V248="NO",Table_Shelter[[#This Row],[HH per Shelter]]*(Table_Shelter[[#This Row],['# of Temporary Shelter Units Built]]+Table_Shelter[[#This Row],['# of Temporary Shelter Under  Construction]]+Table_Shelter[[#This Row],['# of Permanent House Under Construction]]),0),0)</f>
        <v>5</v>
      </c>
      <c r="Q248" s="142"/>
      <c r="R248" s="142"/>
      <c r="S248" s="142" t="str">
        <f>IFERROR(VLOOKUP(Table_Shelter[[#This Row],[CampName]],CL,2,0),"")</f>
        <v>MMR001CMP032</v>
      </c>
      <c r="T248" s="142" t="str">
        <f>IFERROR(VLOOKUP(Table_Shelter[[#This Row],[CampName]],CL,3,0),"")</f>
        <v>Open</v>
      </c>
      <c r="U248" s="332">
        <f>IFERROR(Table_Shelter[[#This Row],[HH Covered]]/VLOOKUP(Table_Shelter[[#This Row],[CampName]],CL,4,0),"")</f>
        <v>5.4945054945054944E-2</v>
      </c>
      <c r="V248" s="552" t="s">
        <v>1310</v>
      </c>
      <c r="W248" s="336"/>
    </row>
    <row r="249" spans="1:23" ht="15" customHeight="1" x14ac:dyDescent="0.25">
      <c r="A249" s="605">
        <v>42502</v>
      </c>
      <c r="B249" s="606" t="s">
        <v>454</v>
      </c>
      <c r="C249" s="607" t="s">
        <v>462</v>
      </c>
      <c r="D249" s="608" t="s">
        <v>380</v>
      </c>
      <c r="E249" s="435" t="s">
        <v>310</v>
      </c>
      <c r="F249" s="606" t="s">
        <v>342</v>
      </c>
      <c r="G249" s="606">
        <v>1</v>
      </c>
      <c r="H249" s="607"/>
      <c r="I249" s="607"/>
      <c r="J249" s="607"/>
      <c r="K249" s="607"/>
      <c r="L249" s="607"/>
      <c r="M249" s="607"/>
      <c r="N249" s="607"/>
      <c r="O249" s="607"/>
      <c r="P249" s="609">
        <f>IF(Table_Shelter[[#This Row],[Status]]="Open",IF(V249="NO",Table_Shelter[[#This Row],[HH per Shelter]]*(Table_Shelter[[#This Row],['# of Temporary Shelter Units Built]]+Table_Shelter[[#This Row],['# of Temporary Shelter Under  Construction]]+Table_Shelter[[#This Row],['# of Permanent House Under Construction]]),0),0)</f>
        <v>0</v>
      </c>
      <c r="Q249" s="609">
        <v>20</v>
      </c>
      <c r="R249" s="609"/>
      <c r="S249" s="610" t="str">
        <f>IFERROR(VLOOKUP(Table_Shelter[[#This Row],[CampName]],CL,2,0),"")</f>
        <v>MMR001CMP025</v>
      </c>
      <c r="T249" s="611" t="str">
        <f>IFERROR(VLOOKUP(Table_Shelter[[#This Row],[CampName]],CL,3,0),"")</f>
        <v>Open</v>
      </c>
      <c r="U249" s="612">
        <f>IFERROR(Table_Shelter[[#This Row],[HH Covered]]/VLOOKUP(Table_Shelter[[#This Row],[CampName]],CL,4,0),"")</f>
        <v>0</v>
      </c>
      <c r="V249" s="604" t="s">
        <v>1310</v>
      </c>
      <c r="W249" s="613"/>
    </row>
    <row r="250" spans="1:23" ht="15" customHeight="1" x14ac:dyDescent="0.25">
      <c r="A250" s="335"/>
      <c r="B250" s="210" t="s">
        <v>849</v>
      </c>
      <c r="C250" s="210" t="s">
        <v>462</v>
      </c>
      <c r="D250" s="213" t="s">
        <v>380</v>
      </c>
      <c r="E250" s="435" t="s">
        <v>310</v>
      </c>
      <c r="F250" s="210" t="s">
        <v>342</v>
      </c>
      <c r="G250" s="139">
        <v>1</v>
      </c>
      <c r="H250" s="143"/>
      <c r="I250" s="143"/>
      <c r="J250" s="143">
        <v>8</v>
      </c>
      <c r="K250" s="143">
        <v>8</v>
      </c>
      <c r="L250" s="212"/>
      <c r="M250" s="212"/>
      <c r="N250" s="212"/>
      <c r="O250" s="212"/>
      <c r="P250" s="142">
        <f>IF(Table_Shelter[[#This Row],[Status]]="Open",IF(V250="NO",Table_Shelter[[#This Row],[HH per Shelter]]*(Table_Shelter[[#This Row],['# of Temporary Shelter Units Built]]+Table_Shelter[[#This Row],['# of Temporary Shelter Under  Construction]]+Table_Shelter[[#This Row],['# of Permanent House Under Construction]]),0),0)</f>
        <v>8</v>
      </c>
      <c r="Q250" s="142"/>
      <c r="R250" s="212"/>
      <c r="S250" s="212" t="str">
        <f>IFERROR(VLOOKUP(Table_Shelter[[#This Row],[CampName]],CL,2,0),"")</f>
        <v>MMR001CMP025</v>
      </c>
      <c r="T250" s="212" t="str">
        <f>IFERROR(VLOOKUP(Table_Shelter[[#This Row],[CampName]],CL,3,0),"")</f>
        <v>Open</v>
      </c>
      <c r="U250" s="332">
        <f>IFERROR(Table_Shelter[[#This Row],[HH Covered]]/VLOOKUP(Table_Shelter[[#This Row],[CampName]],CL,4,0),"")</f>
        <v>0.12307692307692308</v>
      </c>
      <c r="V250" s="552" t="s">
        <v>1310</v>
      </c>
      <c r="W250" s="333"/>
    </row>
    <row r="251" spans="1:23" ht="15" customHeight="1" x14ac:dyDescent="0.25">
      <c r="A251" s="335"/>
      <c r="B251" s="210" t="s">
        <v>454</v>
      </c>
      <c r="C251" s="210" t="s">
        <v>462</v>
      </c>
      <c r="D251" s="213" t="s">
        <v>380</v>
      </c>
      <c r="E251" s="435" t="s">
        <v>310</v>
      </c>
      <c r="F251" s="210" t="s">
        <v>342</v>
      </c>
      <c r="G251" s="139">
        <v>1</v>
      </c>
      <c r="H251" s="143"/>
      <c r="I251" s="143"/>
      <c r="J251" s="143">
        <v>10</v>
      </c>
      <c r="K251" s="143">
        <v>10</v>
      </c>
      <c r="L251" s="212"/>
      <c r="M251" s="212"/>
      <c r="N251" s="212"/>
      <c r="O251" s="212"/>
      <c r="P251" s="142">
        <f>IF(Table_Shelter[[#This Row],[Status]]="Open",IF(V251="NO",Table_Shelter[[#This Row],[HH per Shelter]]*(Table_Shelter[[#This Row],['# of Temporary Shelter Units Built]]+Table_Shelter[[#This Row],['# of Temporary Shelter Under  Construction]]+Table_Shelter[[#This Row],['# of Permanent House Under Construction]]),0),0)</f>
        <v>10</v>
      </c>
      <c r="Q251" s="142"/>
      <c r="R251" s="212"/>
      <c r="S251" s="212" t="str">
        <f>IFERROR(VLOOKUP(Table_Shelter[[#This Row],[CampName]],CL,2,0),"")</f>
        <v>MMR001CMP025</v>
      </c>
      <c r="T251" s="212" t="str">
        <f>IFERROR(VLOOKUP(Table_Shelter[[#This Row],[CampName]],CL,3,0),"")</f>
        <v>Open</v>
      </c>
      <c r="U251" s="332">
        <f>IFERROR(Table_Shelter[[#This Row],[HH Covered]]/VLOOKUP(Table_Shelter[[#This Row],[CampName]],CL,4,0),"")</f>
        <v>0.15384615384615385</v>
      </c>
      <c r="V251" s="552" t="s">
        <v>1310</v>
      </c>
      <c r="W251" s="333"/>
    </row>
    <row r="252" spans="1:23" ht="15" customHeight="1" x14ac:dyDescent="0.25">
      <c r="A252" s="335"/>
      <c r="B252" s="523" t="s">
        <v>454</v>
      </c>
      <c r="C252" s="523"/>
      <c r="D252" s="524" t="s">
        <v>380</v>
      </c>
      <c r="E252" s="435" t="s">
        <v>310</v>
      </c>
      <c r="F252" s="210" t="s">
        <v>342</v>
      </c>
      <c r="G252" s="139">
        <v>1</v>
      </c>
      <c r="H252" s="143"/>
      <c r="I252" s="143"/>
      <c r="J252" s="143">
        <v>20</v>
      </c>
      <c r="K252" s="143">
        <v>20</v>
      </c>
      <c r="L252" s="212"/>
      <c r="M252" s="212"/>
      <c r="N252" s="212"/>
      <c r="O252" s="212"/>
      <c r="P252" s="142">
        <f>IF(Table_Shelter[[#This Row],[Status]]="Open",IF(V252="NO",Table_Shelter[[#This Row],[HH per Shelter]]*(Table_Shelter[[#This Row],['# of Temporary Shelter Units Built]]+Table_Shelter[[#This Row],['# of Temporary Shelter Under  Construction]]+Table_Shelter[[#This Row],['# of Permanent House Under Construction]]),0),0)</f>
        <v>20</v>
      </c>
      <c r="Q252" s="142"/>
      <c r="R252" s="212"/>
      <c r="S252" s="212" t="str">
        <f>IFERROR(VLOOKUP(Table_Shelter[[#This Row],[CampName]],CL,2,0),"")</f>
        <v>MMR001CMP025</v>
      </c>
      <c r="T252" s="212" t="str">
        <f>IFERROR(VLOOKUP(Table_Shelter[[#This Row],[CampName]],CL,3,0),"")</f>
        <v>Open</v>
      </c>
      <c r="U252" s="332">
        <f>IFERROR(Table_Shelter[[#This Row],[HH Covered]]/VLOOKUP(Table_Shelter[[#This Row],[CampName]],CL,4,0),"")</f>
        <v>0.30769230769230771</v>
      </c>
      <c r="V252" s="552" t="s">
        <v>1310</v>
      </c>
      <c r="W252" s="596"/>
    </row>
    <row r="253" spans="1:23" ht="15" customHeight="1" x14ac:dyDescent="0.25">
      <c r="A253" s="335">
        <v>41791</v>
      </c>
      <c r="B253" s="139" t="s">
        <v>454</v>
      </c>
      <c r="C253" s="139" t="s">
        <v>507</v>
      </c>
      <c r="D253" s="218" t="s">
        <v>380</v>
      </c>
      <c r="E253" s="219" t="s">
        <v>310</v>
      </c>
      <c r="F253" s="139" t="s">
        <v>338</v>
      </c>
      <c r="G253" s="139">
        <v>1</v>
      </c>
      <c r="H253" s="143"/>
      <c r="I253" s="143"/>
      <c r="J253" s="143">
        <v>3</v>
      </c>
      <c r="K253" s="143">
        <v>3</v>
      </c>
      <c r="L253" s="143"/>
      <c r="M253" s="143"/>
      <c r="N253" s="143"/>
      <c r="O253" s="143"/>
      <c r="P253" s="142">
        <f>IF(Table_Shelter[[#This Row],[Status]]="Open",IF(V253="NO",Table_Shelter[[#This Row],[HH per Shelter]]*(Table_Shelter[[#This Row],['# of Temporary Shelter Units Built]]+Table_Shelter[[#This Row],['# of Temporary Shelter Under  Construction]]+Table_Shelter[[#This Row],['# of Permanent House Under Construction]]),0),0)</f>
        <v>3</v>
      </c>
      <c r="Q253" s="142"/>
      <c r="R253" s="142"/>
      <c r="S253" s="142" t="str">
        <f>IFERROR(VLOOKUP(Table_Shelter[[#This Row],[CampName]],CL,2,0),"")</f>
        <v>MMR001CMP030</v>
      </c>
      <c r="T253" s="142" t="str">
        <f>IFERROR(VLOOKUP(Table_Shelter[[#This Row],[CampName]],CL,3,0),"")</f>
        <v>Open</v>
      </c>
      <c r="U253" s="338">
        <f>IFERROR(Table_Shelter[[#This Row],[HH Covered]]/VLOOKUP(Table_Shelter[[#This Row],[CampName]],CL,4,0),"")</f>
        <v>9.6774193548387094E-2</v>
      </c>
      <c r="V253" s="552" t="s">
        <v>1310</v>
      </c>
      <c r="W253" s="336"/>
    </row>
    <row r="254" spans="1:23" ht="15" customHeight="1" x14ac:dyDescent="0.25">
      <c r="A254" s="335">
        <v>41609</v>
      </c>
      <c r="B254" s="210" t="s">
        <v>454</v>
      </c>
      <c r="C254" s="210" t="s">
        <v>507</v>
      </c>
      <c r="D254" s="213" t="s">
        <v>380</v>
      </c>
      <c r="E254" s="435" t="s">
        <v>310</v>
      </c>
      <c r="F254" s="210" t="s">
        <v>338</v>
      </c>
      <c r="G254" s="139">
        <v>1</v>
      </c>
      <c r="H254" s="143"/>
      <c r="I254" s="143"/>
      <c r="J254" s="143">
        <v>10</v>
      </c>
      <c r="K254" s="143">
        <v>10</v>
      </c>
      <c r="L254" s="212"/>
      <c r="M254" s="212"/>
      <c r="N254" s="212"/>
      <c r="O254" s="212"/>
      <c r="P254" s="142">
        <f>IF(Table_Shelter[[#This Row],[Status]]="Open",IF(V254="NO",Table_Shelter[[#This Row],[HH per Shelter]]*(Table_Shelter[[#This Row],['# of Temporary Shelter Units Built]]+Table_Shelter[[#This Row],['# of Temporary Shelter Under  Construction]]+Table_Shelter[[#This Row],['# of Permanent House Under Construction]]),0),0)</f>
        <v>10</v>
      </c>
      <c r="Q254" s="142"/>
      <c r="R254" s="142"/>
      <c r="S254" s="142" t="str">
        <f>IFERROR(VLOOKUP(Table_Shelter[[#This Row],[CampName]],CL,2,0),"")</f>
        <v>MMR001CMP030</v>
      </c>
      <c r="T254" s="142" t="str">
        <f>IFERROR(VLOOKUP(Table_Shelter[[#This Row],[CampName]],CL,3,0),"")</f>
        <v>Open</v>
      </c>
      <c r="U254" s="332">
        <f>IFERROR(Table_Shelter[[#This Row],[HH Covered]]/VLOOKUP(Table_Shelter[[#This Row],[CampName]],CL,4,0),"")</f>
        <v>0.32258064516129031</v>
      </c>
      <c r="V254" s="552" t="s">
        <v>1310</v>
      </c>
      <c r="W254" s="336"/>
    </row>
    <row r="255" spans="1:23" x14ac:dyDescent="0.25">
      <c r="A255" s="335"/>
      <c r="B255" s="523" t="s">
        <v>454</v>
      </c>
      <c r="C255" s="523" t="s">
        <v>507</v>
      </c>
      <c r="D255" s="524" t="s">
        <v>380</v>
      </c>
      <c r="E255" s="525" t="s">
        <v>310</v>
      </c>
      <c r="F255" s="523" t="s">
        <v>338</v>
      </c>
      <c r="G255" s="140">
        <v>1</v>
      </c>
      <c r="H255" s="144"/>
      <c r="I255" s="144"/>
      <c r="J255" s="144">
        <v>23</v>
      </c>
      <c r="K255" s="144">
        <v>23</v>
      </c>
      <c r="L255" s="526"/>
      <c r="M255" s="526"/>
      <c r="N255" s="526"/>
      <c r="O255" s="526"/>
      <c r="P255" s="141">
        <f>IF(Table_Shelter[[#This Row],[Status]]="Open",IF(V255="NO",Table_Shelter[[#This Row],[HH per Shelter]]*(Table_Shelter[[#This Row],['# of Temporary Shelter Units Built]]+Table_Shelter[[#This Row],['# of Temporary Shelter Under  Construction]]+Table_Shelter[[#This Row],['# of Permanent House Under Construction]]),0),0)</f>
        <v>23</v>
      </c>
      <c r="Q255" s="141"/>
      <c r="R255" s="526"/>
      <c r="S255" s="526" t="str">
        <f>IFERROR(VLOOKUP(Table_Shelter[[#This Row],[CampName]],CL,2,0),"")</f>
        <v>MMR001CMP030</v>
      </c>
      <c r="T255" s="526" t="str">
        <f>IFERROR(VLOOKUP(Table_Shelter[[#This Row],[CampName]],CL,3,0),"")</f>
        <v>Open</v>
      </c>
      <c r="U255" s="527">
        <f>IFERROR(Table_Shelter[[#This Row],[HH Covered]]/VLOOKUP(Table_Shelter[[#This Row],[CampName]],CL,4,0),"")</f>
        <v>0.74193548387096775</v>
      </c>
      <c r="V255" s="552" t="s">
        <v>1310</v>
      </c>
      <c r="W255" s="528"/>
    </row>
    <row r="256" spans="1:23" ht="15" customHeight="1" x14ac:dyDescent="0.25">
      <c r="A256" s="335"/>
      <c r="B256" s="139" t="s">
        <v>454</v>
      </c>
      <c r="C256" s="139" t="s">
        <v>507</v>
      </c>
      <c r="D256" s="218" t="s">
        <v>380</v>
      </c>
      <c r="E256" s="219" t="s">
        <v>310</v>
      </c>
      <c r="F256" s="139" t="s">
        <v>338</v>
      </c>
      <c r="G256" s="139">
        <v>1</v>
      </c>
      <c r="H256" s="143"/>
      <c r="I256" s="143"/>
      <c r="J256" s="143">
        <v>3</v>
      </c>
      <c r="K256" s="143">
        <v>3</v>
      </c>
      <c r="L256" s="143"/>
      <c r="M256" s="143"/>
      <c r="N256" s="143"/>
      <c r="O256" s="143"/>
      <c r="P256" s="142">
        <f>IF(Table_Shelter[[#This Row],[Status]]="Open",IF(V256="NO",Table_Shelter[[#This Row],[HH per Shelter]]*(Table_Shelter[[#This Row],['# of Temporary Shelter Units Built]]+Table_Shelter[[#This Row],['# of Temporary Shelter Under  Construction]]+Table_Shelter[[#This Row],['# of Permanent House Under Construction]]),0),0)</f>
        <v>3</v>
      </c>
      <c r="Q256" s="142"/>
      <c r="R256" s="142"/>
      <c r="S256" s="142" t="str">
        <f>IFERROR(VLOOKUP(Table_Shelter[[#This Row],[CampName]],CL,2,0),"")</f>
        <v>MMR001CMP030</v>
      </c>
      <c r="T256" s="142" t="str">
        <f>IFERROR(VLOOKUP(Table_Shelter[[#This Row],[CampName]],CL,3,0),"")</f>
        <v>Open</v>
      </c>
      <c r="U256" s="338">
        <f>IFERROR(Table_Shelter[[#This Row],[HH Covered]]/VLOOKUP(Table_Shelter[[#This Row],[CampName]],CL,4,0),"")</f>
        <v>9.6774193548387094E-2</v>
      </c>
      <c r="V256" s="552" t="s">
        <v>1310</v>
      </c>
      <c r="W256" s="336"/>
    </row>
    <row r="257" spans="1:23" ht="15" customHeight="1" x14ac:dyDescent="0.25">
      <c r="A257" s="335"/>
      <c r="B257" s="210" t="s">
        <v>454</v>
      </c>
      <c r="C257" s="210" t="s">
        <v>507</v>
      </c>
      <c r="D257" s="213" t="s">
        <v>380</v>
      </c>
      <c r="E257" s="435" t="s">
        <v>310</v>
      </c>
      <c r="F257" s="210" t="s">
        <v>351</v>
      </c>
      <c r="G257" s="139">
        <v>1</v>
      </c>
      <c r="H257" s="143"/>
      <c r="I257" s="143"/>
      <c r="J257" s="143">
        <v>100</v>
      </c>
      <c r="K257" s="143">
        <v>100</v>
      </c>
      <c r="L257" s="212"/>
      <c r="M257" s="212"/>
      <c r="N257" s="212"/>
      <c r="O257" s="212"/>
      <c r="P257" s="142">
        <f>IF(Table_Shelter[[#This Row],[Status]]="Open",IF(V257="NO",Table_Shelter[[#This Row],[HH per Shelter]]*(Table_Shelter[[#This Row],['# of Temporary Shelter Units Built]]+Table_Shelter[[#This Row],['# of Temporary Shelter Under  Construction]]+Table_Shelter[[#This Row],['# of Permanent House Under Construction]]),0),0)</f>
        <v>100</v>
      </c>
      <c r="Q257" s="142">
        <v>15</v>
      </c>
      <c r="R257" s="212"/>
      <c r="S257" s="212" t="str">
        <f>IFERROR(VLOOKUP(Table_Shelter[[#This Row],[CampName]],CL,2,0),"")</f>
        <v>MMR001CMP026</v>
      </c>
      <c r="T257" s="212" t="str">
        <f>IFERROR(VLOOKUP(Table_Shelter[[#This Row],[CampName]],CL,3,0),"")</f>
        <v>Open</v>
      </c>
      <c r="U257" s="332">
        <f>IFERROR(Table_Shelter[[#This Row],[HH Covered]]/VLOOKUP(Table_Shelter[[#This Row],[CampName]],CL,4,0),"")</f>
        <v>1.1363636363636365</v>
      </c>
      <c r="V257" s="552" t="s">
        <v>1310</v>
      </c>
      <c r="W257" s="596"/>
    </row>
    <row r="258" spans="1:23" ht="15" customHeight="1" x14ac:dyDescent="0.25">
      <c r="A258" s="335">
        <v>41609</v>
      </c>
      <c r="B258" s="210" t="s">
        <v>454</v>
      </c>
      <c r="C258" s="210" t="s">
        <v>507</v>
      </c>
      <c r="D258" s="524" t="s">
        <v>380</v>
      </c>
      <c r="E258" s="525" t="s">
        <v>529</v>
      </c>
      <c r="F258" s="523" t="s">
        <v>118</v>
      </c>
      <c r="G258" s="140">
        <v>1</v>
      </c>
      <c r="H258" s="144"/>
      <c r="I258" s="144"/>
      <c r="J258" s="144">
        <v>10</v>
      </c>
      <c r="K258" s="144">
        <v>10</v>
      </c>
      <c r="L258" s="526"/>
      <c r="M258" s="526"/>
      <c r="N258" s="526"/>
      <c r="O258" s="526"/>
      <c r="P258" s="141">
        <f>IF(Table_Shelter[[#This Row],[Status]]="Open",IF(V258="NO",Table_Shelter[[#This Row],[HH per Shelter]]*(Table_Shelter[[#This Row],['# of Temporary Shelter Units Built]]+Table_Shelter[[#This Row],['# of Temporary Shelter Under  Construction]]+Table_Shelter[[#This Row],['# of Permanent House Under Construction]]),0),0)</f>
        <v>10</v>
      </c>
      <c r="Q258" s="141"/>
      <c r="R258" s="526"/>
      <c r="S258" s="526" t="str">
        <f>IFERROR(VLOOKUP(Table_Shelter[[#This Row],[CampName]],CL,2,0),"")</f>
        <v>MMR001CMP182</v>
      </c>
      <c r="T258" s="526" t="str">
        <f>IFERROR(VLOOKUP(Table_Shelter[[#This Row],[CampName]],CL,3,0),"")</f>
        <v>Open</v>
      </c>
      <c r="U258" s="527">
        <f>IFERROR(Table_Shelter[[#This Row],[HH Covered]]/VLOOKUP(Table_Shelter[[#This Row],[CampName]],CL,4,0),"")</f>
        <v>1</v>
      </c>
      <c r="V258" s="593" t="s">
        <v>1310</v>
      </c>
      <c r="W258" s="596"/>
    </row>
    <row r="259" spans="1:23" ht="15" customHeight="1" x14ac:dyDescent="0.25">
      <c r="A259" s="335"/>
      <c r="B259" s="210" t="s">
        <v>864</v>
      </c>
      <c r="C259" s="210"/>
      <c r="D259" s="213" t="s">
        <v>380</v>
      </c>
      <c r="E259" s="435" t="s">
        <v>529</v>
      </c>
      <c r="F259" s="210" t="s">
        <v>118</v>
      </c>
      <c r="G259" s="139">
        <v>1</v>
      </c>
      <c r="H259" s="143">
        <v>9</v>
      </c>
      <c r="I259" s="143">
        <v>9</v>
      </c>
      <c r="J259" s="143"/>
      <c r="K259" s="143"/>
      <c r="L259" s="212"/>
      <c r="M259" s="212"/>
      <c r="N259" s="212"/>
      <c r="O259" s="212"/>
      <c r="P259" s="142">
        <f>IF(Table_Shelter[[#This Row],[Status]]="Open",IF(V259="NO",Table_Shelter[[#This Row],[HH per Shelter]]*(Table_Shelter[[#This Row],['# of Temporary Shelter Units Built]]+Table_Shelter[[#This Row],['# of Temporary Shelter Under  Construction]]+Table_Shelter[[#This Row],['# of Permanent House Under Construction]]),0),0)</f>
        <v>0</v>
      </c>
      <c r="Q259" s="142"/>
      <c r="R259" s="212"/>
      <c r="S259" s="212" t="str">
        <f>IFERROR(VLOOKUP(Table_Shelter[[#This Row],[CampName]],CL,2,0),"")</f>
        <v>MMR001CMP182</v>
      </c>
      <c r="T259" s="212" t="str">
        <f>IFERROR(VLOOKUP(Table_Shelter[[#This Row],[CampName]],CL,3,0),"")</f>
        <v>Open</v>
      </c>
      <c r="U259" s="332">
        <f>IFERROR(Table_Shelter[[#This Row],[HH Covered]]/VLOOKUP(Table_Shelter[[#This Row],[CampName]],CL,4,0),"")</f>
        <v>0</v>
      </c>
      <c r="V259" s="552" t="s">
        <v>1310</v>
      </c>
      <c r="W259" s="596"/>
    </row>
    <row r="260" spans="1:23" ht="15" customHeight="1" x14ac:dyDescent="0.25">
      <c r="A260" s="335">
        <v>41609</v>
      </c>
      <c r="B260" s="210" t="s">
        <v>454</v>
      </c>
      <c r="C260" s="210" t="s">
        <v>462</v>
      </c>
      <c r="D260" s="213" t="s">
        <v>380</v>
      </c>
      <c r="E260" s="435" t="s">
        <v>5</v>
      </c>
      <c r="F260" s="210" t="s">
        <v>22</v>
      </c>
      <c r="G260" s="139">
        <v>1</v>
      </c>
      <c r="H260" s="143"/>
      <c r="I260" s="143"/>
      <c r="J260" s="143">
        <v>30</v>
      </c>
      <c r="K260" s="143">
        <v>30</v>
      </c>
      <c r="L260" s="212"/>
      <c r="M260" s="212"/>
      <c r="N260" s="212"/>
      <c r="O260" s="212"/>
      <c r="P260" s="142">
        <f>IF(Table_Shelter[[#This Row],[Status]]="Open",IF(V260="NO",Table_Shelter[[#This Row],[HH per Shelter]]*(Table_Shelter[[#This Row],['# of Temporary Shelter Units Built]]+Table_Shelter[[#This Row],['# of Temporary Shelter Under  Construction]]+Table_Shelter[[#This Row],['# of Permanent House Under Construction]]),0),0)</f>
        <v>30</v>
      </c>
      <c r="Q260" s="142"/>
      <c r="R260" s="212"/>
      <c r="S260" s="212" t="str">
        <f>IFERROR(VLOOKUP(Table_Shelter[[#This Row],[CampName]],CL,2,0),"")</f>
        <v>MMR001CMP047</v>
      </c>
      <c r="T260" s="212" t="str">
        <f>IFERROR(VLOOKUP(Table_Shelter[[#This Row],[CampName]],CL,3,0),"")</f>
        <v>Open</v>
      </c>
      <c r="U260" s="332">
        <f>IFERROR(Table_Shelter[[#This Row],[HH Covered]]/VLOOKUP(Table_Shelter[[#This Row],[CampName]],CL,4,0),"")</f>
        <v>4.7694753577106522E-2</v>
      </c>
      <c r="V260" s="552" t="s">
        <v>1310</v>
      </c>
      <c r="W260" s="596"/>
    </row>
    <row r="261" spans="1:23" ht="15" customHeight="1" x14ac:dyDescent="0.25">
      <c r="A261" s="335"/>
      <c r="B261" s="210" t="s">
        <v>849</v>
      </c>
      <c r="C261" s="210"/>
      <c r="D261" s="213" t="s">
        <v>380</v>
      </c>
      <c r="E261" s="435" t="s">
        <v>5</v>
      </c>
      <c r="F261" s="210" t="s">
        <v>22</v>
      </c>
      <c r="G261" s="139">
        <v>1</v>
      </c>
      <c r="H261" s="143"/>
      <c r="I261" s="143"/>
      <c r="J261" s="143">
        <v>162</v>
      </c>
      <c r="K261" s="143">
        <v>162</v>
      </c>
      <c r="L261" s="212"/>
      <c r="M261" s="212"/>
      <c r="N261" s="212"/>
      <c r="O261" s="212"/>
      <c r="P261" s="142">
        <f>IF(Table_Shelter[[#This Row],[Status]]="Open",IF(V261="NO",Table_Shelter[[#This Row],[HH per Shelter]]*(Table_Shelter[[#This Row],['# of Temporary Shelter Units Built]]+Table_Shelter[[#This Row],['# of Temporary Shelter Under  Construction]]+Table_Shelter[[#This Row],['# of Permanent House Under Construction]]),0),0)</f>
        <v>162</v>
      </c>
      <c r="Q261" s="142"/>
      <c r="R261" s="212"/>
      <c r="S261" s="212" t="str">
        <f>IFERROR(VLOOKUP(Table_Shelter[[#This Row],[CampName]],CL,2,0),"")</f>
        <v>MMR001CMP047</v>
      </c>
      <c r="T261" s="212" t="str">
        <f>IFERROR(VLOOKUP(Table_Shelter[[#This Row],[CampName]],CL,3,0),"")</f>
        <v>Open</v>
      </c>
      <c r="U261" s="332">
        <f>IFERROR(Table_Shelter[[#This Row],[HH Covered]]/VLOOKUP(Table_Shelter[[#This Row],[CampName]],CL,4,0),"")</f>
        <v>0.25755166931637519</v>
      </c>
      <c r="V261" s="552" t="s">
        <v>1310</v>
      </c>
      <c r="W261" s="333"/>
    </row>
    <row r="262" spans="1:23" ht="15" customHeight="1" x14ac:dyDescent="0.25">
      <c r="A262" s="335"/>
      <c r="B262" s="210" t="s">
        <v>848</v>
      </c>
      <c r="C262" s="210"/>
      <c r="D262" s="213" t="s">
        <v>380</v>
      </c>
      <c r="E262" s="435" t="s">
        <v>5</v>
      </c>
      <c r="F262" s="210" t="s">
        <v>22</v>
      </c>
      <c r="G262" s="139">
        <v>1</v>
      </c>
      <c r="H262" s="143"/>
      <c r="I262" s="143"/>
      <c r="J262" s="143">
        <v>163</v>
      </c>
      <c r="K262" s="143">
        <v>163</v>
      </c>
      <c r="L262" s="212"/>
      <c r="M262" s="212"/>
      <c r="N262" s="212"/>
      <c r="O262" s="212"/>
      <c r="P262" s="142">
        <f>IF(Table_Shelter[[#This Row],[Status]]="Open",IF(V262="NO",Table_Shelter[[#This Row],[HH per Shelter]]*(Table_Shelter[[#This Row],['# of Temporary Shelter Units Built]]+Table_Shelter[[#This Row],['# of Temporary Shelter Under  Construction]]+Table_Shelter[[#This Row],['# of Permanent House Under Construction]]),0),0)</f>
        <v>163</v>
      </c>
      <c r="Q262" s="142"/>
      <c r="R262" s="212"/>
      <c r="S262" s="212" t="str">
        <f>IFERROR(VLOOKUP(Table_Shelter[[#This Row],[CampName]],CL,2,0),"")</f>
        <v>MMR001CMP047</v>
      </c>
      <c r="T262" s="212" t="str">
        <f>IFERROR(VLOOKUP(Table_Shelter[[#This Row],[CampName]],CL,3,0),"")</f>
        <v>Open</v>
      </c>
      <c r="U262" s="332">
        <f>IFERROR(Table_Shelter[[#This Row],[HH Covered]]/VLOOKUP(Table_Shelter[[#This Row],[CampName]],CL,4,0),"")</f>
        <v>0.25914149443561207</v>
      </c>
      <c r="V262" s="552" t="s">
        <v>1310</v>
      </c>
      <c r="W262" s="333"/>
    </row>
    <row r="263" spans="1:23" ht="15" customHeight="1" x14ac:dyDescent="0.25">
      <c r="A263" s="603">
        <v>42536</v>
      </c>
      <c r="B263" s="210" t="s">
        <v>454</v>
      </c>
      <c r="C263" s="210" t="s">
        <v>462</v>
      </c>
      <c r="D263" s="213" t="s">
        <v>380</v>
      </c>
      <c r="E263" s="435" t="s">
        <v>5</v>
      </c>
      <c r="F263" s="210" t="s">
        <v>22</v>
      </c>
      <c r="G263" s="139">
        <v>1</v>
      </c>
      <c r="H263" s="143"/>
      <c r="I263" s="143"/>
      <c r="J263" s="143"/>
      <c r="K263" s="143"/>
      <c r="L263" s="212"/>
      <c r="M263" s="212"/>
      <c r="N263" s="212"/>
      <c r="O263" s="212"/>
      <c r="P263" s="142">
        <f>IF(Table_Shelter[[#This Row],[Status]]="Open",IF(V263="NO",Table_Shelter[[#This Row],[HH per Shelter]]*(Table_Shelter[[#This Row],['# of Temporary Shelter Units Built]]+Table_Shelter[[#This Row],['# of Temporary Shelter Under  Construction]]+Table_Shelter[[#This Row],['# of Permanent House Under Construction]]),0),0)</f>
        <v>0</v>
      </c>
      <c r="Q263" s="142">
        <v>20</v>
      </c>
      <c r="R263" s="212"/>
      <c r="S263" s="212" t="str">
        <f>IFERROR(VLOOKUP(Table_Shelter[[#This Row],[CampName]],CL,2,0),"")</f>
        <v>MMR001CMP047</v>
      </c>
      <c r="T263" s="212" t="str">
        <f>IFERROR(VLOOKUP(Table_Shelter[[#This Row],[CampName]],CL,3,0),"")</f>
        <v>Open</v>
      </c>
      <c r="U263" s="332">
        <f>IFERROR(Table_Shelter[[#This Row],[HH Covered]]/VLOOKUP(Table_Shelter[[#This Row],[CampName]],CL,4,0),"")</f>
        <v>0</v>
      </c>
      <c r="V263" s="552" t="s">
        <v>1310</v>
      </c>
      <c r="W263" s="333"/>
    </row>
    <row r="264" spans="1:23" ht="15" customHeight="1" x14ac:dyDescent="0.25">
      <c r="A264" s="335"/>
      <c r="B264" s="210" t="s">
        <v>454</v>
      </c>
      <c r="C264" s="210"/>
      <c r="D264" s="213" t="s">
        <v>380</v>
      </c>
      <c r="E264" s="435" t="s">
        <v>5</v>
      </c>
      <c r="F264" s="210" t="s">
        <v>22</v>
      </c>
      <c r="G264" s="139">
        <v>1</v>
      </c>
      <c r="H264" s="143"/>
      <c r="I264" s="143"/>
      <c r="J264" s="143">
        <v>70</v>
      </c>
      <c r="K264" s="143">
        <v>70</v>
      </c>
      <c r="L264" s="212"/>
      <c r="M264" s="212"/>
      <c r="N264" s="212"/>
      <c r="O264" s="212"/>
      <c r="P264" s="142">
        <f>IF(Table_Shelter[[#This Row],[Status]]="Open",IF(V264="NO",Table_Shelter[[#This Row],[HH per Shelter]]*(Table_Shelter[[#This Row],['# of Temporary Shelter Units Built]]+Table_Shelter[[#This Row],['# of Temporary Shelter Under  Construction]]+Table_Shelter[[#This Row],['# of Permanent House Under Construction]]),0),0)</f>
        <v>70</v>
      </c>
      <c r="Q264" s="142"/>
      <c r="R264" s="212"/>
      <c r="S264" s="212" t="str">
        <f>IFERROR(VLOOKUP(Table_Shelter[[#This Row],[CampName]],CL,2,0),"")</f>
        <v>MMR001CMP047</v>
      </c>
      <c r="T264" s="212" t="str">
        <f>IFERROR(VLOOKUP(Table_Shelter[[#This Row],[CampName]],CL,3,0),"")</f>
        <v>Open</v>
      </c>
      <c r="U264" s="332">
        <f>IFERROR(Table_Shelter[[#This Row],[HH Covered]]/VLOOKUP(Table_Shelter[[#This Row],[CampName]],CL,4,0),"")</f>
        <v>0.11128775834658187</v>
      </c>
      <c r="V264" s="552" t="s">
        <v>1310</v>
      </c>
      <c r="W264" s="333"/>
    </row>
    <row r="265" spans="1:23" ht="15" customHeight="1" x14ac:dyDescent="0.25">
      <c r="A265" s="335"/>
      <c r="B265" s="210" t="s">
        <v>864</v>
      </c>
      <c r="C265" s="210"/>
      <c r="D265" s="213" t="s">
        <v>380</v>
      </c>
      <c r="E265" s="215" t="s">
        <v>237</v>
      </c>
      <c r="F265" s="210" t="s">
        <v>901</v>
      </c>
      <c r="G265" s="139">
        <v>1</v>
      </c>
      <c r="H265" s="143">
        <v>1</v>
      </c>
      <c r="I265" s="143">
        <v>1</v>
      </c>
      <c r="J265" s="143"/>
      <c r="K265" s="143"/>
      <c r="L265" s="212"/>
      <c r="M265" s="212"/>
      <c r="N265" s="212"/>
      <c r="O265" s="212"/>
      <c r="P265" s="142">
        <f>IF(Table_Shelter[[#This Row],[Status]]="Open",IF(V265="NO",Table_Shelter[[#This Row],[HH per Shelter]]*(Table_Shelter[[#This Row],['# of Temporary Shelter Units Built]]+Table_Shelter[[#This Row],['# of Temporary Shelter Under  Construction]]+Table_Shelter[[#This Row],['# of Permanent House Under Construction]]),0),0)</f>
        <v>0</v>
      </c>
      <c r="Q265" s="142"/>
      <c r="R265" s="212"/>
      <c r="S265" s="212" t="str">
        <f>IFERROR(VLOOKUP(Table_Shelter[[#This Row],[CampName]],CL,2,0),"")</f>
        <v/>
      </c>
      <c r="T265" s="212" t="str">
        <f>IFERROR(VLOOKUP(Table_Shelter[[#This Row],[CampName]],CL,3,0),"")</f>
        <v/>
      </c>
      <c r="U265" s="332" t="str">
        <f>IFERROR(Table_Shelter[[#This Row],[HH Covered]]/VLOOKUP(Table_Shelter[[#This Row],[CampName]],CL,4,0),"")</f>
        <v/>
      </c>
      <c r="V265" s="552" t="s">
        <v>1310</v>
      </c>
      <c r="W265" s="333"/>
    </row>
    <row r="266" spans="1:23" ht="15" customHeight="1" x14ac:dyDescent="0.25">
      <c r="A266" s="335">
        <v>41609</v>
      </c>
      <c r="B266" s="210" t="s">
        <v>454</v>
      </c>
      <c r="C266" s="210" t="s">
        <v>462</v>
      </c>
      <c r="D266" s="213" t="s">
        <v>380</v>
      </c>
      <c r="E266" s="435" t="s">
        <v>529</v>
      </c>
      <c r="F266" s="210" t="s">
        <v>124</v>
      </c>
      <c r="G266" s="139">
        <v>1</v>
      </c>
      <c r="H266" s="143"/>
      <c r="I266" s="143"/>
      <c r="J266" s="143">
        <v>5</v>
      </c>
      <c r="K266" s="143">
        <v>5</v>
      </c>
      <c r="L266" s="212"/>
      <c r="M266" s="212"/>
      <c r="N266" s="212"/>
      <c r="O266" s="212"/>
      <c r="P266" s="142">
        <f>IF(Table_Shelter[[#This Row],[Status]]="Open",IF(V266="NO",Table_Shelter[[#This Row],[HH per Shelter]]*(Table_Shelter[[#This Row],['# of Temporary Shelter Units Built]]+Table_Shelter[[#This Row],['# of Temporary Shelter Under  Construction]]+Table_Shelter[[#This Row],['# of Permanent House Under Construction]]),0),0)</f>
        <v>5</v>
      </c>
      <c r="Q266" s="142"/>
      <c r="R266" s="212"/>
      <c r="S266" s="212" t="str">
        <f>IFERROR(VLOOKUP(Table_Shelter[[#This Row],[CampName]],CL,2,0),"")</f>
        <v>MMR001CMP183</v>
      </c>
      <c r="T266" s="212" t="str">
        <f>IFERROR(VLOOKUP(Table_Shelter[[#This Row],[CampName]],CL,3,0),"")</f>
        <v>Open</v>
      </c>
      <c r="U266" s="332">
        <f>IFERROR(Table_Shelter[[#This Row],[HH Covered]]/VLOOKUP(Table_Shelter[[#This Row],[CampName]],CL,4,0),"")</f>
        <v>0.625</v>
      </c>
      <c r="V266" s="552" t="s">
        <v>1310</v>
      </c>
      <c r="W266" s="333"/>
    </row>
    <row r="267" spans="1:23" ht="15" customHeight="1" x14ac:dyDescent="0.25">
      <c r="A267" s="335"/>
      <c r="B267" s="210" t="s">
        <v>864</v>
      </c>
      <c r="C267" s="210"/>
      <c r="D267" s="213" t="s">
        <v>380</v>
      </c>
      <c r="E267" s="435" t="s">
        <v>529</v>
      </c>
      <c r="F267" s="210" t="s">
        <v>124</v>
      </c>
      <c r="G267" s="139">
        <v>1</v>
      </c>
      <c r="H267" s="143">
        <v>7</v>
      </c>
      <c r="I267" s="143">
        <v>7</v>
      </c>
      <c r="J267" s="143"/>
      <c r="K267" s="143"/>
      <c r="L267" s="212"/>
      <c r="M267" s="212"/>
      <c r="N267" s="212"/>
      <c r="O267" s="212"/>
      <c r="P267" s="142">
        <f>IF(Table_Shelter[[#This Row],[Status]]="Open",IF(V267="NO",Table_Shelter[[#This Row],[HH per Shelter]]*(Table_Shelter[[#This Row],['# of Temporary Shelter Units Built]]+Table_Shelter[[#This Row],['# of Temporary Shelter Under  Construction]]+Table_Shelter[[#This Row],['# of Permanent House Under Construction]]),0),0)</f>
        <v>0</v>
      </c>
      <c r="Q267" s="142"/>
      <c r="R267" s="212"/>
      <c r="S267" s="212" t="str">
        <f>IFERROR(VLOOKUP(Table_Shelter[[#This Row],[CampName]],CL,2,0),"")</f>
        <v>MMR001CMP183</v>
      </c>
      <c r="T267" s="212" t="str">
        <f>IFERROR(VLOOKUP(Table_Shelter[[#This Row],[CampName]],CL,3,0),"")</f>
        <v>Open</v>
      </c>
      <c r="U267" s="332">
        <f>IFERROR(Table_Shelter[[#This Row],[HH Covered]]/VLOOKUP(Table_Shelter[[#This Row],[CampName]],CL,4,0),"")</f>
        <v>0</v>
      </c>
      <c r="V267" s="552" t="s">
        <v>1310</v>
      </c>
      <c r="W267" s="333"/>
    </row>
    <row r="268" spans="1:23" ht="15" customHeight="1" x14ac:dyDescent="0.25">
      <c r="A268" s="334">
        <v>42422</v>
      </c>
      <c r="B268" s="210" t="s">
        <v>850</v>
      </c>
      <c r="C268" s="210"/>
      <c r="D268" s="210" t="s">
        <v>380</v>
      </c>
      <c r="E268" s="215" t="s">
        <v>173</v>
      </c>
      <c r="F268" s="210" t="s">
        <v>1281</v>
      </c>
      <c r="G268" s="139">
        <v>1</v>
      </c>
      <c r="H268" s="139"/>
      <c r="I268" s="139"/>
      <c r="J268" s="139">
        <v>40</v>
      </c>
      <c r="K268" s="139">
        <v>40</v>
      </c>
      <c r="L268" s="210"/>
      <c r="M268" s="210"/>
      <c r="N268" s="210"/>
      <c r="O268" s="210"/>
      <c r="P268" s="184">
        <f>IF(Table_Shelter[[#This Row],[Status]]="Open",IF(V268="NO",Table_Shelter[[#This Row],[HH per Shelter]]*(Table_Shelter[[#This Row],['# of Temporary Shelter Units Built]]+Table_Shelter[[#This Row],['# of Temporary Shelter Under  Construction]]+Table_Shelter[[#This Row],['# of Permanent House Under Construction]]),0),0)</f>
        <v>40</v>
      </c>
      <c r="Q268" s="138"/>
      <c r="R268" s="210"/>
      <c r="S268" s="211" t="str">
        <f>IFERROR(VLOOKUP(Table_Shelter[[#This Row],[CampName]],CL,2,0),"")</f>
        <v>MMR001CMP236</v>
      </c>
      <c r="T268" s="211" t="str">
        <f>IFERROR(VLOOKUP(Table_Shelter[[#This Row],[CampName]],CL,3,0),"")</f>
        <v>Open</v>
      </c>
      <c r="U268" s="332">
        <f>IFERROR(Table_Shelter[[#This Row],[HH Covered]]/VLOOKUP(Table_Shelter[[#This Row],[CampName]],CL,4,0),"")</f>
        <v>1.3333333333333333</v>
      </c>
      <c r="V268" s="552" t="s">
        <v>1310</v>
      </c>
      <c r="W268" s="333"/>
    </row>
    <row r="269" spans="1:23" ht="15" customHeight="1" x14ac:dyDescent="0.25">
      <c r="A269" s="335"/>
      <c r="B269" s="210" t="s">
        <v>454</v>
      </c>
      <c r="C269" s="210"/>
      <c r="D269" s="213" t="s">
        <v>380</v>
      </c>
      <c r="E269" s="215" t="s">
        <v>185</v>
      </c>
      <c r="F269" s="210" t="s">
        <v>225</v>
      </c>
      <c r="G269" s="139">
        <v>1</v>
      </c>
      <c r="H269" s="143"/>
      <c r="I269" s="143"/>
      <c r="J269" s="143">
        <v>40</v>
      </c>
      <c r="K269" s="143">
        <v>40</v>
      </c>
      <c r="L269" s="212"/>
      <c r="M269" s="212"/>
      <c r="N269" s="212"/>
      <c r="O269" s="212"/>
      <c r="P269" s="142">
        <f>IF(Table_Shelter[[#This Row],[Status]]="Open",IF(V269="NO",Table_Shelter[[#This Row],[HH per Shelter]]*(Table_Shelter[[#This Row],['# of Temporary Shelter Units Built]]+Table_Shelter[[#This Row],['# of Temporary Shelter Under  Construction]]+Table_Shelter[[#This Row],['# of Permanent House Under Construction]]),0),0)</f>
        <v>40</v>
      </c>
      <c r="Q269" s="142"/>
      <c r="R269" s="212"/>
      <c r="S269" s="212" t="str">
        <f>IFERROR(VLOOKUP(Table_Shelter[[#This Row],[CampName]],CL,2,0),"")</f>
        <v>MMR001CMP073</v>
      </c>
      <c r="T269" s="212" t="str">
        <f>IFERROR(VLOOKUP(Table_Shelter[[#This Row],[CampName]],CL,3,0),"")</f>
        <v>Open</v>
      </c>
      <c r="U269" s="332">
        <f>IFERROR(Table_Shelter[[#This Row],[HH Covered]]/VLOOKUP(Table_Shelter[[#This Row],[CampName]],CL,4,0),"")</f>
        <v>1.0256410256410255</v>
      </c>
      <c r="V269" s="552" t="s">
        <v>1310</v>
      </c>
      <c r="W269" s="333"/>
    </row>
    <row r="270" spans="1:23" ht="15" customHeight="1" x14ac:dyDescent="0.25">
      <c r="A270" s="335">
        <v>42416</v>
      </c>
      <c r="B270" s="210" t="s">
        <v>454</v>
      </c>
      <c r="C270" s="210" t="s">
        <v>462</v>
      </c>
      <c r="D270" s="213" t="s">
        <v>380</v>
      </c>
      <c r="E270" s="435" t="s">
        <v>237</v>
      </c>
      <c r="F270" s="210" t="s">
        <v>277</v>
      </c>
      <c r="G270" s="139">
        <v>1</v>
      </c>
      <c r="H270" s="143"/>
      <c r="I270" s="143"/>
      <c r="J270" s="143"/>
      <c r="K270" s="143"/>
      <c r="L270" s="212"/>
      <c r="M270" s="212"/>
      <c r="N270" s="212"/>
      <c r="O270" s="212"/>
      <c r="P270" s="142">
        <f>IF(Table_Shelter[[#This Row],[Status]]="Open",IF(V270="NO",Table_Shelter[[#This Row],[HH per Shelter]]*(Table_Shelter[[#This Row],['# of Temporary Shelter Units Built]]+Table_Shelter[[#This Row],['# of Temporary Shelter Under  Construction]]+Table_Shelter[[#This Row],['# of Permanent House Under Construction]]),0),0)</f>
        <v>0</v>
      </c>
      <c r="Q270" s="142">
        <v>30</v>
      </c>
      <c r="R270" s="142">
        <v>30</v>
      </c>
      <c r="S270" s="212" t="str">
        <f>IFERROR(VLOOKUP(Table_Shelter[[#This Row],[CampName]],CL,2,0),"")</f>
        <v>MMR001CMP006</v>
      </c>
      <c r="T270" s="212" t="str">
        <f>IFERROR(VLOOKUP(Table_Shelter[[#This Row],[CampName]],CL,3,0),"")</f>
        <v>Open</v>
      </c>
      <c r="U270" s="332">
        <f>IFERROR(Table_Shelter[[#This Row],[HH Covered]]/VLOOKUP(Table_Shelter[[#This Row],[CampName]],CL,4,0),"")</f>
        <v>0</v>
      </c>
      <c r="V270" s="333" t="s">
        <v>1310</v>
      </c>
      <c r="W270" s="594"/>
    </row>
    <row r="271" spans="1:23" ht="15" customHeight="1" x14ac:dyDescent="0.25">
      <c r="A271" s="335"/>
      <c r="B271" s="210" t="s">
        <v>849</v>
      </c>
      <c r="C271" s="210" t="s">
        <v>507</v>
      </c>
      <c r="D271" s="213" t="s">
        <v>380</v>
      </c>
      <c r="E271" s="215" t="s">
        <v>237</v>
      </c>
      <c r="F271" s="210" t="s">
        <v>277</v>
      </c>
      <c r="G271" s="139">
        <v>1</v>
      </c>
      <c r="H271" s="143"/>
      <c r="I271" s="143"/>
      <c r="J271" s="143">
        <v>14</v>
      </c>
      <c r="K271" s="143">
        <v>14</v>
      </c>
      <c r="L271" s="212"/>
      <c r="M271" s="212"/>
      <c r="N271" s="212"/>
      <c r="O271" s="212"/>
      <c r="P271" s="142">
        <f>IF(Table_Shelter[[#This Row],[Status]]="Open",IF(V271="NO",Table_Shelter[[#This Row],[HH per Shelter]]*(Table_Shelter[[#This Row],['# of Temporary Shelter Units Built]]+Table_Shelter[[#This Row],['# of Temporary Shelter Under  Construction]]+Table_Shelter[[#This Row],['# of Permanent House Under Construction]]),0),0)</f>
        <v>14</v>
      </c>
      <c r="Q271" s="142"/>
      <c r="R271" s="212"/>
      <c r="S271" s="212" t="str">
        <f>IFERROR(VLOOKUP(Table_Shelter[[#This Row],[CampName]],CL,2,0),"")</f>
        <v>MMR001CMP006</v>
      </c>
      <c r="T271" s="212" t="str">
        <f>IFERROR(VLOOKUP(Table_Shelter[[#This Row],[CampName]],CL,3,0),"")</f>
        <v>Open</v>
      </c>
      <c r="U271" s="332">
        <f>IFERROR(Table_Shelter[[#This Row],[HH Covered]]/VLOOKUP(Table_Shelter[[#This Row],[CampName]],CL,4,0),"")</f>
        <v>0.15555555555555556</v>
      </c>
      <c r="V271" s="552" t="s">
        <v>1310</v>
      </c>
      <c r="W271" s="333"/>
    </row>
    <row r="272" spans="1:23" ht="15" customHeight="1" x14ac:dyDescent="0.25">
      <c r="A272" s="335"/>
      <c r="B272" s="210" t="s">
        <v>454</v>
      </c>
      <c r="C272" s="210" t="s">
        <v>462</v>
      </c>
      <c r="D272" s="213" t="s">
        <v>380</v>
      </c>
      <c r="E272" s="215" t="s">
        <v>237</v>
      </c>
      <c r="F272" s="210" t="s">
        <v>277</v>
      </c>
      <c r="G272" s="139">
        <v>1</v>
      </c>
      <c r="H272" s="143"/>
      <c r="I272" s="143"/>
      <c r="J272" s="143">
        <v>10</v>
      </c>
      <c r="K272" s="143">
        <v>10</v>
      </c>
      <c r="L272" s="212"/>
      <c r="M272" s="212"/>
      <c r="N272" s="212"/>
      <c r="O272" s="212"/>
      <c r="P272" s="142">
        <f>IF(Table_Shelter[[#This Row],[Status]]="Open",IF(V272="NO",Table_Shelter[[#This Row],[HH per Shelter]]*(Table_Shelter[[#This Row],['# of Temporary Shelter Units Built]]+Table_Shelter[[#This Row],['# of Temporary Shelter Under  Construction]]+Table_Shelter[[#This Row],['# of Permanent House Under Construction]]),0),0)</f>
        <v>10</v>
      </c>
      <c r="Q272" s="142"/>
      <c r="R272" s="212"/>
      <c r="S272" s="212" t="str">
        <f>IFERROR(VLOOKUP(Table_Shelter[[#This Row],[CampName]],CL,2,0),"")</f>
        <v>MMR001CMP006</v>
      </c>
      <c r="T272" s="212" t="str">
        <f>IFERROR(VLOOKUP(Table_Shelter[[#This Row],[CampName]],CL,3,0),"")</f>
        <v>Open</v>
      </c>
      <c r="U272" s="332">
        <f>IFERROR(Table_Shelter[[#This Row],[HH Covered]]/VLOOKUP(Table_Shelter[[#This Row],[CampName]],CL,4,0),"")</f>
        <v>0.1111111111111111</v>
      </c>
      <c r="V272" s="552" t="s">
        <v>1310</v>
      </c>
      <c r="W272" s="333"/>
    </row>
    <row r="273" spans="1:23" ht="15" customHeight="1" x14ac:dyDescent="0.25">
      <c r="A273" s="335"/>
      <c r="B273" s="210" t="s">
        <v>454</v>
      </c>
      <c r="C273" s="210"/>
      <c r="D273" s="213" t="s">
        <v>380</v>
      </c>
      <c r="E273" s="435" t="s">
        <v>237</v>
      </c>
      <c r="F273" s="210" t="s">
        <v>277</v>
      </c>
      <c r="G273" s="139">
        <v>1</v>
      </c>
      <c r="H273" s="143"/>
      <c r="I273" s="143"/>
      <c r="J273" s="143">
        <v>40</v>
      </c>
      <c r="K273" s="143">
        <v>40</v>
      </c>
      <c r="L273" s="212"/>
      <c r="M273" s="212"/>
      <c r="N273" s="212"/>
      <c r="O273" s="212"/>
      <c r="P273" s="142">
        <f>IF(Table_Shelter[[#This Row],[Status]]="Open",IF(V273="NO",Table_Shelter[[#This Row],[HH per Shelter]]*(Table_Shelter[[#This Row],['# of Temporary Shelter Units Built]]+Table_Shelter[[#This Row],['# of Temporary Shelter Under  Construction]]+Table_Shelter[[#This Row],['# of Permanent House Under Construction]]),0),0)</f>
        <v>40</v>
      </c>
      <c r="Q273" s="142"/>
      <c r="R273" s="212"/>
      <c r="S273" s="212" t="str">
        <f>IFERROR(VLOOKUP(Table_Shelter[[#This Row],[CampName]],CL,2,0),"")</f>
        <v>MMR001CMP006</v>
      </c>
      <c r="T273" s="212" t="str">
        <f>IFERROR(VLOOKUP(Table_Shelter[[#This Row],[CampName]],CL,3,0),"")</f>
        <v>Open</v>
      </c>
      <c r="U273" s="332">
        <f>IFERROR(Table_Shelter[[#This Row],[HH Covered]]/VLOOKUP(Table_Shelter[[#This Row],[CampName]],CL,4,0),"")</f>
        <v>0.44444444444444442</v>
      </c>
      <c r="V273" s="552" t="s">
        <v>1310</v>
      </c>
      <c r="W273" s="333"/>
    </row>
    <row r="274" spans="1:23" ht="15" customHeight="1" x14ac:dyDescent="0.25">
      <c r="A274" s="605">
        <v>42502</v>
      </c>
      <c r="B274" s="606" t="s">
        <v>454</v>
      </c>
      <c r="C274" s="607" t="s">
        <v>462</v>
      </c>
      <c r="D274" s="608" t="s">
        <v>380</v>
      </c>
      <c r="E274" s="215" t="s">
        <v>310</v>
      </c>
      <c r="F274" s="606" t="s">
        <v>347</v>
      </c>
      <c r="G274" s="606">
        <v>1</v>
      </c>
      <c r="H274" s="607"/>
      <c r="I274" s="607"/>
      <c r="J274" s="607"/>
      <c r="K274" s="607"/>
      <c r="L274" s="607"/>
      <c r="M274" s="607"/>
      <c r="N274" s="607"/>
      <c r="O274" s="607"/>
      <c r="P274" s="609">
        <f>IF(Table_Shelter[[#This Row],[Status]]="Open",IF(V274="NO",Table_Shelter[[#This Row],[HH per Shelter]]*(Table_Shelter[[#This Row],['# of Temporary Shelter Units Built]]+Table_Shelter[[#This Row],['# of Temporary Shelter Under  Construction]]+Table_Shelter[[#This Row],['# of Permanent House Under Construction]]),0),0)</f>
        <v>0</v>
      </c>
      <c r="Q274" s="609">
        <v>5</v>
      </c>
      <c r="R274" s="609"/>
      <c r="S274" s="610" t="str">
        <f>IFERROR(VLOOKUP(Table_Shelter[[#This Row],[CampName]],CL,2,0),"")</f>
        <v>MMR001CMP041</v>
      </c>
      <c r="T274" s="611" t="str">
        <f>IFERROR(VLOOKUP(Table_Shelter[[#This Row],[CampName]],CL,3,0),"")</f>
        <v>Open</v>
      </c>
      <c r="U274" s="612">
        <f>IFERROR(Table_Shelter[[#This Row],[HH Covered]]/VLOOKUP(Table_Shelter[[#This Row],[CampName]],CL,4,0),"")</f>
        <v>0</v>
      </c>
      <c r="V274" s="604" t="s">
        <v>1310</v>
      </c>
      <c r="W274" s="613"/>
    </row>
    <row r="275" spans="1:23" ht="15" customHeight="1" x14ac:dyDescent="0.25">
      <c r="A275" s="334">
        <v>42416</v>
      </c>
      <c r="B275" s="210" t="s">
        <v>850</v>
      </c>
      <c r="C275" s="210"/>
      <c r="D275" s="213" t="s">
        <v>380</v>
      </c>
      <c r="E275" s="435" t="s">
        <v>310</v>
      </c>
      <c r="F275" s="210" t="s">
        <v>347</v>
      </c>
      <c r="G275" s="139">
        <v>1</v>
      </c>
      <c r="H275" s="143"/>
      <c r="I275" s="143"/>
      <c r="J275" s="143">
        <v>73</v>
      </c>
      <c r="K275" s="143">
        <v>73</v>
      </c>
      <c r="L275" s="212"/>
      <c r="M275" s="212"/>
      <c r="N275" s="212"/>
      <c r="O275" s="212"/>
      <c r="P275" s="142">
        <f>IF(Table_Shelter[[#This Row],[Status]]="Open",IF(V275="NO",Table_Shelter[[#This Row],[HH per Shelter]]*(Table_Shelter[[#This Row],['# of Temporary Shelter Units Built]]+Table_Shelter[[#This Row],['# of Temporary Shelter Under  Construction]]+Table_Shelter[[#This Row],['# of Permanent House Under Construction]]),0),0)</f>
        <v>73</v>
      </c>
      <c r="Q275" s="142"/>
      <c r="R275" s="142"/>
      <c r="S275" s="142" t="str">
        <f>IFERROR(VLOOKUP(Table_Shelter[[#This Row],[CampName]],CL,2,0),"")</f>
        <v>MMR001CMP041</v>
      </c>
      <c r="T275" s="142" t="str">
        <f>IFERROR(VLOOKUP(Table_Shelter[[#This Row],[CampName]],CL,3,0),"")</f>
        <v>Open</v>
      </c>
      <c r="U275" s="332">
        <f>IFERROR(Table_Shelter[[#This Row],[HH Covered]]/VLOOKUP(Table_Shelter[[#This Row],[CampName]],CL,4,0),"")</f>
        <v>0.40782122905027934</v>
      </c>
      <c r="V275" s="336" t="s">
        <v>1310</v>
      </c>
      <c r="W275" s="594"/>
    </row>
    <row r="276" spans="1:23" ht="15" customHeight="1" x14ac:dyDescent="0.25">
      <c r="A276" s="335">
        <v>42003</v>
      </c>
      <c r="B276" s="210" t="s">
        <v>454</v>
      </c>
      <c r="C276" s="210" t="s">
        <v>462</v>
      </c>
      <c r="D276" s="213" t="s">
        <v>380</v>
      </c>
      <c r="E276" s="215" t="s">
        <v>310</v>
      </c>
      <c r="F276" s="210" t="s">
        <v>347</v>
      </c>
      <c r="G276" s="139">
        <v>1</v>
      </c>
      <c r="H276" s="143">
        <v>90</v>
      </c>
      <c r="I276" s="143"/>
      <c r="J276" s="143"/>
      <c r="K276" s="143"/>
      <c r="L276" s="212"/>
      <c r="M276" s="212"/>
      <c r="N276" s="212"/>
      <c r="O276" s="212"/>
      <c r="P276" s="142">
        <f>IF(Table_Shelter[[#This Row],[Status]]="Open",IF(V276="NO",Table_Shelter[[#This Row],[HH per Shelter]]*(Table_Shelter[[#This Row],['# of Temporary Shelter Units Built]]+Table_Shelter[[#This Row],['# of Temporary Shelter Under  Construction]]+Table_Shelter[[#This Row],['# of Permanent House Under Construction]]),0),0)</f>
        <v>0</v>
      </c>
      <c r="Q276" s="142"/>
      <c r="R276" s="212"/>
      <c r="S276" s="212" t="str">
        <f>IFERROR(VLOOKUP(Table_Shelter[[#This Row],[CampName]],CL,2,0),"")</f>
        <v>MMR001CMP041</v>
      </c>
      <c r="T276" s="212" t="str">
        <f>IFERROR(VLOOKUP(Table_Shelter[[#This Row],[CampName]],CL,3,0),"")</f>
        <v>Open</v>
      </c>
      <c r="U276" s="332">
        <f>IFERROR(Table_Shelter[[#This Row],[HH Covered]]/VLOOKUP(Table_Shelter[[#This Row],[CampName]],CL,4,0),"")</f>
        <v>0</v>
      </c>
      <c r="V276" s="552" t="s">
        <v>1310</v>
      </c>
      <c r="W276" s="333"/>
    </row>
    <row r="277" spans="1:23" ht="15" customHeight="1" x14ac:dyDescent="0.25">
      <c r="A277" s="335">
        <v>41609</v>
      </c>
      <c r="B277" s="210" t="s">
        <v>454</v>
      </c>
      <c r="C277" s="210" t="s">
        <v>462</v>
      </c>
      <c r="D277" s="213" t="s">
        <v>380</v>
      </c>
      <c r="E277" s="215" t="s">
        <v>310</v>
      </c>
      <c r="F277" s="210" t="s">
        <v>347</v>
      </c>
      <c r="G277" s="139">
        <v>1</v>
      </c>
      <c r="H277" s="143"/>
      <c r="I277" s="143"/>
      <c r="J277" s="143">
        <v>18</v>
      </c>
      <c r="K277" s="143">
        <v>18</v>
      </c>
      <c r="L277" s="212"/>
      <c r="M277" s="212"/>
      <c r="N277" s="212"/>
      <c r="O277" s="212"/>
      <c r="P277" s="142">
        <f>IF(Table_Shelter[[#This Row],[Status]]="Open",IF(V277="NO",Table_Shelter[[#This Row],[HH per Shelter]]*(Table_Shelter[[#This Row],['# of Temporary Shelter Units Built]]+Table_Shelter[[#This Row],['# of Temporary Shelter Under  Construction]]+Table_Shelter[[#This Row],['# of Permanent House Under Construction]]),0),0)</f>
        <v>18</v>
      </c>
      <c r="Q277" s="142"/>
      <c r="R277" s="142"/>
      <c r="S277" s="142" t="str">
        <f>IFERROR(VLOOKUP(Table_Shelter[[#This Row],[CampName]],CL,2,0),"")</f>
        <v>MMR001CMP041</v>
      </c>
      <c r="T277" s="142" t="str">
        <f>IFERROR(VLOOKUP(Table_Shelter[[#This Row],[CampName]],CL,3,0),"")</f>
        <v>Open</v>
      </c>
      <c r="U277" s="332">
        <f>IFERROR(Table_Shelter[[#This Row],[HH Covered]]/VLOOKUP(Table_Shelter[[#This Row],[CampName]],CL,4,0),"")</f>
        <v>0.1005586592178771</v>
      </c>
      <c r="V277" s="552" t="s">
        <v>1310</v>
      </c>
      <c r="W277" s="336"/>
    </row>
    <row r="278" spans="1:23" ht="15" customHeight="1" x14ac:dyDescent="0.25">
      <c r="A278" s="335"/>
      <c r="B278" s="210" t="s">
        <v>454</v>
      </c>
      <c r="C278" s="210" t="s">
        <v>462</v>
      </c>
      <c r="D278" s="213" t="s">
        <v>380</v>
      </c>
      <c r="E278" s="215" t="s">
        <v>310</v>
      </c>
      <c r="F278" s="210" t="s">
        <v>347</v>
      </c>
      <c r="G278" s="139">
        <v>1</v>
      </c>
      <c r="H278" s="143"/>
      <c r="I278" s="143"/>
      <c r="J278" s="143">
        <v>170</v>
      </c>
      <c r="K278" s="143">
        <v>170</v>
      </c>
      <c r="L278" s="212"/>
      <c r="M278" s="212"/>
      <c r="N278" s="212"/>
      <c r="O278" s="212"/>
      <c r="P278" s="142">
        <f>IF(Table_Shelter[[#This Row],[Status]]="Open",IF(V278="NO",Table_Shelter[[#This Row],[HH per Shelter]]*(Table_Shelter[[#This Row],['# of Temporary Shelter Units Built]]+Table_Shelter[[#This Row],['# of Temporary Shelter Under  Construction]]+Table_Shelter[[#This Row],['# of Permanent House Under Construction]]),0),0)</f>
        <v>170</v>
      </c>
      <c r="Q278" s="142"/>
      <c r="R278" s="212"/>
      <c r="S278" s="212" t="str">
        <f>IFERROR(VLOOKUP(Table_Shelter[[#This Row],[CampName]],CL,2,0),"")</f>
        <v>MMR001CMP041</v>
      </c>
      <c r="T278" s="212" t="str">
        <f>IFERROR(VLOOKUP(Table_Shelter[[#This Row],[CampName]],CL,3,0),"")</f>
        <v>Open</v>
      </c>
      <c r="U278" s="332">
        <f>IFERROR(Table_Shelter[[#This Row],[HH Covered]]/VLOOKUP(Table_Shelter[[#This Row],[CampName]],CL,4,0),"")</f>
        <v>0.94972067039106145</v>
      </c>
      <c r="V278" s="552" t="s">
        <v>1310</v>
      </c>
      <c r="W278" s="333"/>
    </row>
    <row r="279" spans="1:23" ht="15" customHeight="1" x14ac:dyDescent="0.25">
      <c r="A279" s="335"/>
      <c r="B279" s="210" t="s">
        <v>848</v>
      </c>
      <c r="C279" s="210"/>
      <c r="D279" s="213" t="s">
        <v>380</v>
      </c>
      <c r="E279" s="435" t="s">
        <v>302</v>
      </c>
      <c r="F279" s="210" t="s">
        <v>306</v>
      </c>
      <c r="G279" s="139">
        <v>1</v>
      </c>
      <c r="H279" s="143"/>
      <c r="I279" s="143"/>
      <c r="J279" s="143">
        <v>42</v>
      </c>
      <c r="K279" s="143">
        <v>42</v>
      </c>
      <c r="L279" s="212"/>
      <c r="M279" s="212"/>
      <c r="N279" s="212"/>
      <c r="O279" s="212"/>
      <c r="P279" s="142">
        <f>IF(Table_Shelter[[#This Row],[Status]]="Open",IF(V279="NO",Table_Shelter[[#This Row],[HH per Shelter]]*(Table_Shelter[[#This Row],['# of Temporary Shelter Units Built]]+Table_Shelter[[#This Row],['# of Temporary Shelter Under  Construction]]+Table_Shelter[[#This Row],['# of Permanent House Under Construction]]),0),0)</f>
        <v>42</v>
      </c>
      <c r="Q279" s="142"/>
      <c r="R279" s="212"/>
      <c r="S279" s="212" t="str">
        <f>IFERROR(VLOOKUP(Table_Shelter[[#This Row],[CampName]],CL,2,0),"")</f>
        <v>MMR001CMP067</v>
      </c>
      <c r="T279" s="212" t="str">
        <f>IFERROR(VLOOKUP(Table_Shelter[[#This Row],[CampName]],CL,3,0),"")</f>
        <v>Open</v>
      </c>
      <c r="U279" s="332">
        <f>IFERROR(Table_Shelter[[#This Row],[HH Covered]]/VLOOKUP(Table_Shelter[[#This Row],[CampName]],CL,4,0),"")</f>
        <v>0.48837209302325579</v>
      </c>
      <c r="V279" s="552" t="s">
        <v>1310</v>
      </c>
      <c r="W279" s="333"/>
    </row>
    <row r="280" spans="1:23" ht="15" customHeight="1" x14ac:dyDescent="0.25">
      <c r="A280" s="335"/>
      <c r="B280" s="210" t="s">
        <v>594</v>
      </c>
      <c r="C280" s="210" t="s">
        <v>461</v>
      </c>
      <c r="D280" s="213" t="s">
        <v>380</v>
      </c>
      <c r="E280" s="435" t="s">
        <v>302</v>
      </c>
      <c r="F280" s="210" t="s">
        <v>308</v>
      </c>
      <c r="G280" s="139">
        <v>1</v>
      </c>
      <c r="H280" s="143"/>
      <c r="I280" s="143"/>
      <c r="J280" s="143">
        <v>36</v>
      </c>
      <c r="K280" s="143">
        <v>36</v>
      </c>
      <c r="L280" s="212"/>
      <c r="M280" s="212"/>
      <c r="N280" s="212"/>
      <c r="O280" s="212"/>
      <c r="P280" s="142">
        <f>IF(Table_Shelter[[#This Row],[Status]]="Open",IF(V280="NO",Table_Shelter[[#This Row],[HH per Shelter]]*(Table_Shelter[[#This Row],['# of Temporary Shelter Units Built]]+Table_Shelter[[#This Row],['# of Temporary Shelter Under  Construction]]+Table_Shelter[[#This Row],['# of Permanent House Under Construction]]),0),0)</f>
        <v>36</v>
      </c>
      <c r="Q280" s="142"/>
      <c r="R280" s="212"/>
      <c r="S280" s="212" t="str">
        <f>IFERROR(VLOOKUP(Table_Shelter[[#This Row],[CampName]],CL,2,0),"")</f>
        <v>MMR001CMP068</v>
      </c>
      <c r="T280" s="212" t="str">
        <f>IFERROR(VLOOKUP(Table_Shelter[[#This Row],[CampName]],CL,3,0),"")</f>
        <v>Open</v>
      </c>
      <c r="U280" s="332">
        <f>IFERROR(Table_Shelter[[#This Row],[HH Covered]]/VLOOKUP(Table_Shelter[[#This Row],[CampName]],CL,4,0),"")</f>
        <v>0.87804878048780488</v>
      </c>
      <c r="V280" s="552" t="s">
        <v>1310</v>
      </c>
      <c r="W280" s="333"/>
    </row>
    <row r="281" spans="1:23" ht="15" customHeight="1" x14ac:dyDescent="0.25">
      <c r="A281" s="335"/>
      <c r="B281" s="210" t="s">
        <v>454</v>
      </c>
      <c r="C281" s="210" t="s">
        <v>461</v>
      </c>
      <c r="D281" s="213" t="s">
        <v>380</v>
      </c>
      <c r="E281" s="435" t="s">
        <v>302</v>
      </c>
      <c r="F281" s="210" t="s">
        <v>308</v>
      </c>
      <c r="G281" s="139">
        <v>1</v>
      </c>
      <c r="H281" s="143"/>
      <c r="I281" s="143"/>
      <c r="J281" s="143">
        <v>10</v>
      </c>
      <c r="K281" s="143">
        <v>10</v>
      </c>
      <c r="L281" s="212"/>
      <c r="M281" s="212"/>
      <c r="N281" s="212"/>
      <c r="O281" s="212"/>
      <c r="P281" s="142">
        <f>IF(Table_Shelter[[#This Row],[Status]]="Open",IF(V281="NO",Table_Shelter[[#This Row],[HH per Shelter]]*(Table_Shelter[[#This Row],['# of Temporary Shelter Units Built]]+Table_Shelter[[#This Row],['# of Temporary Shelter Under  Construction]]+Table_Shelter[[#This Row],['# of Permanent House Under Construction]]),0),0)</f>
        <v>10</v>
      </c>
      <c r="Q281" s="142"/>
      <c r="R281" s="212"/>
      <c r="S281" s="212" t="str">
        <f>IFERROR(VLOOKUP(Table_Shelter[[#This Row],[CampName]],CL,2,0),"")</f>
        <v>MMR001CMP068</v>
      </c>
      <c r="T281" s="212" t="str">
        <f>IFERROR(VLOOKUP(Table_Shelter[[#This Row],[CampName]],CL,3,0),"")</f>
        <v>Open</v>
      </c>
      <c r="U281" s="332">
        <f>IFERROR(Table_Shelter[[#This Row],[HH Covered]]/VLOOKUP(Table_Shelter[[#This Row],[CampName]],CL,4,0),"")</f>
        <v>0.24390243902439024</v>
      </c>
      <c r="V281" s="552" t="s">
        <v>1310</v>
      </c>
      <c r="W281" s="333"/>
    </row>
    <row r="282" spans="1:23" ht="15" customHeight="1" x14ac:dyDescent="0.25">
      <c r="A282" s="335">
        <v>42416</v>
      </c>
      <c r="B282" s="210" t="s">
        <v>454</v>
      </c>
      <c r="C282" s="210" t="s">
        <v>462</v>
      </c>
      <c r="D282" s="213" t="s">
        <v>380</v>
      </c>
      <c r="E282" s="435" t="s">
        <v>237</v>
      </c>
      <c r="F282" s="210" t="s">
        <v>281</v>
      </c>
      <c r="G282" s="139">
        <v>1</v>
      </c>
      <c r="H282" s="143"/>
      <c r="I282" s="143"/>
      <c r="J282" s="143"/>
      <c r="K282" s="143"/>
      <c r="L282" s="212"/>
      <c r="M282" s="212"/>
      <c r="N282" s="212"/>
      <c r="O282" s="212"/>
      <c r="P282" s="142">
        <f>IF(Table_Shelter[[#This Row],[Status]]="Open",IF(V282="NO",Table_Shelter[[#This Row],[HH per Shelter]]*(Table_Shelter[[#This Row],['# of Temporary Shelter Units Built]]+Table_Shelter[[#This Row],['# of Temporary Shelter Under  Construction]]+Table_Shelter[[#This Row],['# of Permanent House Under Construction]]),0),0)</f>
        <v>0</v>
      </c>
      <c r="Q282" s="142">
        <v>46</v>
      </c>
      <c r="R282" s="142">
        <v>46</v>
      </c>
      <c r="S282" s="212" t="str">
        <f>IFERROR(VLOOKUP(Table_Shelter[[#This Row],[CampName]],CL,2,0),"")</f>
        <v>MMR001CMP009</v>
      </c>
      <c r="T282" s="212" t="str">
        <f>IFERROR(VLOOKUP(Table_Shelter[[#This Row],[CampName]],CL,3,0),"")</f>
        <v>Open</v>
      </c>
      <c r="U282" s="332">
        <f>IFERROR(Table_Shelter[[#This Row],[HH Covered]]/VLOOKUP(Table_Shelter[[#This Row],[CampName]],CL,4,0),"")</f>
        <v>0</v>
      </c>
      <c r="V282" s="552" t="s">
        <v>1310</v>
      </c>
      <c r="W282" s="333"/>
    </row>
    <row r="283" spans="1:23" ht="15" customHeight="1" x14ac:dyDescent="0.25">
      <c r="A283" s="335"/>
      <c r="B283" s="210" t="s">
        <v>454</v>
      </c>
      <c r="C283" s="210" t="s">
        <v>462</v>
      </c>
      <c r="D283" s="213" t="s">
        <v>380</v>
      </c>
      <c r="E283" s="215" t="s">
        <v>237</v>
      </c>
      <c r="F283" s="210" t="s">
        <v>281</v>
      </c>
      <c r="G283" s="139">
        <v>1</v>
      </c>
      <c r="H283" s="143"/>
      <c r="I283" s="143"/>
      <c r="J283" s="143">
        <v>50</v>
      </c>
      <c r="K283" s="143">
        <v>50</v>
      </c>
      <c r="L283" s="212"/>
      <c r="M283" s="212"/>
      <c r="N283" s="212"/>
      <c r="O283" s="212"/>
      <c r="P283" s="142">
        <f>IF(Table_Shelter[[#This Row],[Status]]="Open",IF(V283="NO",Table_Shelter[[#This Row],[HH per Shelter]]*(Table_Shelter[[#This Row],['# of Temporary Shelter Units Built]]+Table_Shelter[[#This Row],['# of Temporary Shelter Under  Construction]]+Table_Shelter[[#This Row],['# of Permanent House Under Construction]]),0),0)</f>
        <v>50</v>
      </c>
      <c r="Q283" s="142"/>
      <c r="R283" s="212"/>
      <c r="S283" s="212" t="str">
        <f>IFERROR(VLOOKUP(Table_Shelter[[#This Row],[CampName]],CL,2,0),"")</f>
        <v>MMR001CMP009</v>
      </c>
      <c r="T283" s="212" t="str">
        <f>IFERROR(VLOOKUP(Table_Shelter[[#This Row],[CampName]],CL,3,0),"")</f>
        <v>Open</v>
      </c>
      <c r="U283" s="332">
        <f>IFERROR(Table_Shelter[[#This Row],[HH Covered]]/VLOOKUP(Table_Shelter[[#This Row],[CampName]],CL,4,0),"")</f>
        <v>0.5494505494505495</v>
      </c>
      <c r="V283" s="552" t="s">
        <v>1310</v>
      </c>
      <c r="W283" s="333"/>
    </row>
    <row r="284" spans="1:23" ht="15" customHeight="1" x14ac:dyDescent="0.25">
      <c r="A284" s="335"/>
      <c r="B284" s="210" t="s">
        <v>594</v>
      </c>
      <c r="C284" s="210" t="s">
        <v>508</v>
      </c>
      <c r="D284" s="213" t="s">
        <v>380</v>
      </c>
      <c r="E284" s="215" t="s">
        <v>180</v>
      </c>
      <c r="F284" s="210" t="s">
        <v>181</v>
      </c>
      <c r="G284" s="139">
        <v>1</v>
      </c>
      <c r="H284" s="143"/>
      <c r="I284" s="143"/>
      <c r="J284" s="143">
        <v>12</v>
      </c>
      <c r="K284" s="143">
        <v>12</v>
      </c>
      <c r="L284" s="212"/>
      <c r="M284" s="212"/>
      <c r="N284" s="212"/>
      <c r="O284" s="212"/>
      <c r="P284" s="142">
        <f>IF(Table_Shelter[[#This Row],[Status]]="Open",IF(V284="NO",Table_Shelter[[#This Row],[HH per Shelter]]*(Table_Shelter[[#This Row],['# of Temporary Shelter Units Built]]+Table_Shelter[[#This Row],['# of Temporary Shelter Under  Construction]]+Table_Shelter[[#This Row],['# of Permanent House Under Construction]]),0),0)</f>
        <v>12</v>
      </c>
      <c r="Q284" s="142"/>
      <c r="R284" s="212"/>
      <c r="S284" s="212" t="str">
        <f>IFERROR(VLOOKUP(Table_Shelter[[#This Row],[CampName]],CL,2,0),"")</f>
        <v>MMR001CMP080</v>
      </c>
      <c r="T284" s="212" t="str">
        <f>IFERROR(VLOOKUP(Table_Shelter[[#This Row],[CampName]],CL,3,0),"")</f>
        <v>Open</v>
      </c>
      <c r="U284" s="332">
        <f>IFERROR(Table_Shelter[[#This Row],[HH Covered]]/VLOOKUP(Table_Shelter[[#This Row],[CampName]],CL,4,0),"")</f>
        <v>1</v>
      </c>
      <c r="V284" s="552" t="s">
        <v>1310</v>
      </c>
      <c r="W284" s="333"/>
    </row>
    <row r="285" spans="1:23" ht="15" customHeight="1" x14ac:dyDescent="0.25">
      <c r="A285" s="335">
        <v>41609</v>
      </c>
      <c r="B285" s="210" t="s">
        <v>454</v>
      </c>
      <c r="C285" s="210" t="s">
        <v>507</v>
      </c>
      <c r="D285" s="213" t="s">
        <v>380</v>
      </c>
      <c r="E285" s="215" t="s">
        <v>5</v>
      </c>
      <c r="F285" s="210" t="s">
        <v>24</v>
      </c>
      <c r="G285" s="139">
        <v>1</v>
      </c>
      <c r="H285" s="143"/>
      <c r="I285" s="143"/>
      <c r="J285" s="143">
        <v>15</v>
      </c>
      <c r="K285" s="143">
        <v>15</v>
      </c>
      <c r="L285" s="212"/>
      <c r="M285" s="212"/>
      <c r="N285" s="212"/>
      <c r="O285" s="212"/>
      <c r="P285" s="142">
        <f>IF(Table_Shelter[[#This Row],[Status]]="Open",IF(V285="NO",Table_Shelter[[#This Row],[HH per Shelter]]*(Table_Shelter[[#This Row],['# of Temporary Shelter Units Built]]+Table_Shelter[[#This Row],['# of Temporary Shelter Under  Construction]]+Table_Shelter[[#This Row],['# of Permanent House Under Construction]]),0),0)</f>
        <v>15</v>
      </c>
      <c r="Q285" s="142">
        <v>10</v>
      </c>
      <c r="R285" s="212"/>
      <c r="S285" s="212" t="str">
        <f>IFERROR(VLOOKUP(Table_Shelter[[#This Row],[CampName]],CL,2,0),"")</f>
        <v>MMR001CMP055</v>
      </c>
      <c r="T285" s="212" t="str">
        <f>IFERROR(VLOOKUP(Table_Shelter[[#This Row],[CampName]],CL,3,0),"")</f>
        <v>Open</v>
      </c>
      <c r="U285" s="332">
        <f>IFERROR(Table_Shelter[[#This Row],[HH Covered]]/VLOOKUP(Table_Shelter[[#This Row],[CampName]],CL,4,0),"")</f>
        <v>0.7142857142857143</v>
      </c>
      <c r="V285" s="552" t="s">
        <v>1310</v>
      </c>
      <c r="W285" s="333"/>
    </row>
    <row r="286" spans="1:23" ht="15" customHeight="1" x14ac:dyDescent="0.25">
      <c r="A286" s="335"/>
      <c r="B286" s="210" t="s">
        <v>454</v>
      </c>
      <c r="C286" s="210"/>
      <c r="D286" s="213" t="s">
        <v>380</v>
      </c>
      <c r="E286" s="435" t="s">
        <v>5</v>
      </c>
      <c r="F286" s="210" t="s">
        <v>24</v>
      </c>
      <c r="G286" s="139">
        <v>1</v>
      </c>
      <c r="H286" s="143"/>
      <c r="I286" s="143"/>
      <c r="J286" s="143">
        <v>40</v>
      </c>
      <c r="K286" s="143">
        <v>40</v>
      </c>
      <c r="L286" s="212"/>
      <c r="M286" s="212"/>
      <c r="N286" s="212"/>
      <c r="O286" s="212"/>
      <c r="P286" s="142">
        <f>IF(Table_Shelter[[#This Row],[Status]]="Open",IF(V286="NO",Table_Shelter[[#This Row],[HH per Shelter]]*(Table_Shelter[[#This Row],['# of Temporary Shelter Units Built]]+Table_Shelter[[#This Row],['# of Temporary Shelter Under  Construction]]+Table_Shelter[[#This Row],['# of Permanent House Under Construction]]),0),0)</f>
        <v>40</v>
      </c>
      <c r="Q286" s="142"/>
      <c r="R286" s="212"/>
      <c r="S286" s="212" t="str">
        <f>IFERROR(VLOOKUP(Table_Shelter[[#This Row],[CampName]],CL,2,0),"")</f>
        <v>MMR001CMP055</v>
      </c>
      <c r="T286" s="212" t="str">
        <f>IFERROR(VLOOKUP(Table_Shelter[[#This Row],[CampName]],CL,3,0),"")</f>
        <v>Open</v>
      </c>
      <c r="U286" s="332">
        <f>IFERROR(Table_Shelter[[#This Row],[HH Covered]]/VLOOKUP(Table_Shelter[[#This Row],[CampName]],CL,4,0),"")</f>
        <v>1.9047619047619047</v>
      </c>
      <c r="V286" s="552" t="s">
        <v>1310</v>
      </c>
      <c r="W286" s="333"/>
    </row>
    <row r="287" spans="1:23" ht="15" customHeight="1" x14ac:dyDescent="0.25">
      <c r="A287" s="605">
        <v>42502</v>
      </c>
      <c r="B287" s="606" t="s">
        <v>454</v>
      </c>
      <c r="C287" s="607" t="s">
        <v>462</v>
      </c>
      <c r="D287" s="608" t="s">
        <v>380</v>
      </c>
      <c r="E287" s="215" t="s">
        <v>237</v>
      </c>
      <c r="F287" s="606" t="s">
        <v>238</v>
      </c>
      <c r="G287" s="606">
        <v>1</v>
      </c>
      <c r="H287" s="607"/>
      <c r="I287" s="607"/>
      <c r="J287" s="607"/>
      <c r="K287" s="607"/>
      <c r="L287" s="607"/>
      <c r="M287" s="607"/>
      <c r="N287" s="607"/>
      <c r="O287" s="607"/>
      <c r="P287" s="609">
        <f>IF(Table_Shelter[[#This Row],[Status]]="Open",IF(V287="NO",Table_Shelter[[#This Row],[HH per Shelter]]*(Table_Shelter[[#This Row],['# of Temporary Shelter Units Built]]+Table_Shelter[[#This Row],['# of Temporary Shelter Under  Construction]]+Table_Shelter[[#This Row],['# of Permanent House Under Construction]]),0),0)</f>
        <v>0</v>
      </c>
      <c r="Q287" s="609">
        <v>10</v>
      </c>
      <c r="R287" s="609"/>
      <c r="S287" s="610" t="str">
        <f>IFERROR(VLOOKUP(Table_Shelter[[#This Row],[CampName]],CL,2,0),"")</f>
        <v>MMR001CMP001</v>
      </c>
      <c r="T287" s="611" t="str">
        <f>IFERROR(VLOOKUP(Table_Shelter[[#This Row],[CampName]],CL,3,0),"")</f>
        <v>Open</v>
      </c>
      <c r="U287" s="612">
        <f>IFERROR(Table_Shelter[[#This Row],[HH Covered]]/VLOOKUP(Table_Shelter[[#This Row],[CampName]],CL,4,0),"")</f>
        <v>0</v>
      </c>
      <c r="V287" s="604" t="s">
        <v>1310</v>
      </c>
      <c r="W287" s="613"/>
    </row>
    <row r="288" spans="1:23" ht="15" customHeight="1" x14ac:dyDescent="0.25">
      <c r="A288" s="335">
        <v>42416</v>
      </c>
      <c r="B288" s="210" t="s">
        <v>454</v>
      </c>
      <c r="C288" s="210" t="s">
        <v>462</v>
      </c>
      <c r="D288" s="213" t="s">
        <v>380</v>
      </c>
      <c r="E288" s="215" t="s">
        <v>237</v>
      </c>
      <c r="F288" s="210" t="s">
        <v>238</v>
      </c>
      <c r="G288" s="139">
        <v>1</v>
      </c>
      <c r="H288" s="143"/>
      <c r="I288" s="143"/>
      <c r="J288" s="143"/>
      <c r="K288" s="143"/>
      <c r="L288" s="212"/>
      <c r="M288" s="212"/>
      <c r="N288" s="212"/>
      <c r="O288" s="212"/>
      <c r="P288" s="142">
        <f>IF(Table_Shelter[[#This Row],[Status]]="Open",IF(V288="NO",Table_Shelter[[#This Row],[HH per Shelter]]*(Table_Shelter[[#This Row],['# of Temporary Shelter Units Built]]+Table_Shelter[[#This Row],['# of Temporary Shelter Under  Construction]]+Table_Shelter[[#This Row],['# of Permanent House Under Construction]]),0),0)</f>
        <v>0</v>
      </c>
      <c r="Q288" s="142">
        <v>37</v>
      </c>
      <c r="R288" s="142">
        <v>37</v>
      </c>
      <c r="S288" s="212" t="str">
        <f>IFERROR(VLOOKUP(Table_Shelter[[#This Row],[CampName]],CL,2,0),"")</f>
        <v>MMR001CMP001</v>
      </c>
      <c r="T288" s="212" t="str">
        <f>IFERROR(VLOOKUP(Table_Shelter[[#This Row],[CampName]],CL,3,0),"")</f>
        <v>Open</v>
      </c>
      <c r="U288" s="332">
        <f>IFERROR(Table_Shelter[[#This Row],[HH Covered]]/VLOOKUP(Table_Shelter[[#This Row],[CampName]],CL,4,0),"")</f>
        <v>0</v>
      </c>
      <c r="V288" s="333" t="s">
        <v>1310</v>
      </c>
      <c r="W288" s="594"/>
    </row>
    <row r="289" spans="1:23" ht="15" customHeight="1" x14ac:dyDescent="0.25">
      <c r="A289" s="335"/>
      <c r="B289" s="210" t="s">
        <v>454</v>
      </c>
      <c r="C289" s="210" t="s">
        <v>462</v>
      </c>
      <c r="D289" s="213" t="s">
        <v>380</v>
      </c>
      <c r="E289" s="215" t="s">
        <v>237</v>
      </c>
      <c r="F289" s="210" t="s">
        <v>238</v>
      </c>
      <c r="G289" s="139">
        <v>1</v>
      </c>
      <c r="H289" s="143"/>
      <c r="I289" s="143"/>
      <c r="J289" s="143">
        <v>60</v>
      </c>
      <c r="K289" s="143">
        <v>60</v>
      </c>
      <c r="L289" s="212"/>
      <c r="M289" s="212"/>
      <c r="N289" s="212"/>
      <c r="O289" s="212"/>
      <c r="P289" s="142">
        <f>IF(Table_Shelter[[#This Row],[Status]]="Open",IF(V289="NO",Table_Shelter[[#This Row],[HH per Shelter]]*(Table_Shelter[[#This Row],['# of Temporary Shelter Units Built]]+Table_Shelter[[#This Row],['# of Temporary Shelter Under  Construction]]+Table_Shelter[[#This Row],['# of Permanent House Under Construction]]),0),0)</f>
        <v>60</v>
      </c>
      <c r="Q289" s="142"/>
      <c r="R289" s="212"/>
      <c r="S289" s="212" t="str">
        <f>IFERROR(VLOOKUP(Table_Shelter[[#This Row],[CampName]],CL,2,0),"")</f>
        <v>MMR001CMP001</v>
      </c>
      <c r="T289" s="212" t="str">
        <f>IFERROR(VLOOKUP(Table_Shelter[[#This Row],[CampName]],CL,3,0),"")</f>
        <v>Open</v>
      </c>
      <c r="U289" s="332">
        <f>IFERROR(Table_Shelter[[#This Row],[HH Covered]]/VLOOKUP(Table_Shelter[[#This Row],[CampName]],CL,4,0),"")</f>
        <v>0.89552238805970152</v>
      </c>
      <c r="V289" s="552" t="s">
        <v>1310</v>
      </c>
      <c r="W289" s="333"/>
    </row>
    <row r="290" spans="1:23" ht="15" customHeight="1" x14ac:dyDescent="0.25">
      <c r="A290" s="334">
        <v>42416</v>
      </c>
      <c r="B290" s="210" t="s">
        <v>454</v>
      </c>
      <c r="C290" s="210" t="s">
        <v>507</v>
      </c>
      <c r="D290" s="213" t="s">
        <v>380</v>
      </c>
      <c r="E290" s="215" t="s">
        <v>237</v>
      </c>
      <c r="F290" s="210" t="s">
        <v>1248</v>
      </c>
      <c r="G290" s="139">
        <v>1</v>
      </c>
      <c r="H290" s="143"/>
      <c r="I290" s="143"/>
      <c r="J290" s="143">
        <v>10</v>
      </c>
      <c r="K290" s="143">
        <v>10</v>
      </c>
      <c r="L290" s="212"/>
      <c r="M290" s="212"/>
      <c r="N290" s="212"/>
      <c r="O290" s="212"/>
      <c r="P290" s="142">
        <f>IF(Table_Shelter[[#This Row],[Status]]="Open",IF(V290="NO",Table_Shelter[[#This Row],[HH per Shelter]]*(Table_Shelter[[#This Row],['# of Temporary Shelter Units Built]]+Table_Shelter[[#This Row],['# of Temporary Shelter Under  Construction]]+Table_Shelter[[#This Row],['# of Permanent House Under Construction]]),0),0)</f>
        <v>10</v>
      </c>
      <c r="Q290" s="142"/>
      <c r="R290" s="212"/>
      <c r="S290" s="212" t="str">
        <f>IFERROR(VLOOKUP(Table_Shelter[[#This Row],[CampName]],CL,2,0),"")</f>
        <v>MMR001CMP023</v>
      </c>
      <c r="T290" s="212" t="str">
        <f>IFERROR(VLOOKUP(Table_Shelter[[#This Row],[CampName]],CL,3,0),"")</f>
        <v>Open</v>
      </c>
      <c r="U290" s="332">
        <f>IFERROR(Table_Shelter[[#This Row],[HH Covered]]/VLOOKUP(Table_Shelter[[#This Row],[CampName]],CL,4,0),"")</f>
        <v>0.18518518518518517</v>
      </c>
      <c r="V290" s="552" t="s">
        <v>1310</v>
      </c>
      <c r="W290" s="333"/>
    </row>
    <row r="291" spans="1:23" ht="15" customHeight="1" x14ac:dyDescent="0.25">
      <c r="A291" s="335">
        <v>41974</v>
      </c>
      <c r="B291" s="210" t="s">
        <v>454</v>
      </c>
      <c r="C291" s="210" t="s">
        <v>507</v>
      </c>
      <c r="D291" s="213" t="s">
        <v>380</v>
      </c>
      <c r="E291" s="435" t="s">
        <v>237</v>
      </c>
      <c r="F291" s="210" t="s">
        <v>1248</v>
      </c>
      <c r="G291" s="139">
        <v>1</v>
      </c>
      <c r="H291" s="143"/>
      <c r="I291" s="143"/>
      <c r="J291" s="143">
        <v>5</v>
      </c>
      <c r="K291" s="143">
        <v>5</v>
      </c>
      <c r="L291" s="212"/>
      <c r="M291" s="212"/>
      <c r="N291" s="212"/>
      <c r="O291" s="212"/>
      <c r="P291" s="142">
        <f>IF(Table_Shelter[[#This Row],[Status]]="Open",IF(V291="NO",Table_Shelter[[#This Row],[HH per Shelter]]*(Table_Shelter[[#This Row],['# of Temporary Shelter Units Built]]+Table_Shelter[[#This Row],['# of Temporary Shelter Under  Construction]]+Table_Shelter[[#This Row],['# of Permanent House Under Construction]]),0),0)</f>
        <v>5</v>
      </c>
      <c r="Q291" s="142"/>
      <c r="R291" s="142"/>
      <c r="S291" s="142" t="str">
        <f>IFERROR(VLOOKUP(Table_Shelter[[#This Row],[CampName]],CL,2,0),"")</f>
        <v>MMR001CMP023</v>
      </c>
      <c r="T291" s="142" t="str">
        <f>IFERROR(VLOOKUP(Table_Shelter[[#This Row],[CampName]],CL,3,0),"")</f>
        <v>Open</v>
      </c>
      <c r="U291" s="332">
        <f>IFERROR(Table_Shelter[[#This Row],[HH Covered]]/VLOOKUP(Table_Shelter[[#This Row],[CampName]],CL,4,0),"")</f>
        <v>9.2592592592592587E-2</v>
      </c>
      <c r="V291" s="552" t="s">
        <v>1310</v>
      </c>
      <c r="W291" s="336"/>
    </row>
    <row r="292" spans="1:23" ht="15" customHeight="1" x14ac:dyDescent="0.25">
      <c r="A292" s="335">
        <v>41791</v>
      </c>
      <c r="B292" s="139" t="s">
        <v>454</v>
      </c>
      <c r="C292" s="139" t="s">
        <v>507</v>
      </c>
      <c r="D292" s="218" t="s">
        <v>380</v>
      </c>
      <c r="E292" s="219" t="s">
        <v>237</v>
      </c>
      <c r="F292" s="139" t="s">
        <v>1248</v>
      </c>
      <c r="G292" s="139">
        <v>1</v>
      </c>
      <c r="H292" s="143"/>
      <c r="I292" s="143"/>
      <c r="J292" s="143">
        <v>10</v>
      </c>
      <c r="K292" s="143">
        <v>10</v>
      </c>
      <c r="L292" s="143"/>
      <c r="M292" s="143"/>
      <c r="N292" s="143"/>
      <c r="O292" s="143"/>
      <c r="P292" s="142">
        <f>IF(Table_Shelter[[#This Row],[Status]]="Open",IF(V292="NO",Table_Shelter[[#This Row],[HH per Shelter]]*(Table_Shelter[[#This Row],['# of Temporary Shelter Units Built]]+Table_Shelter[[#This Row],['# of Temporary Shelter Under  Construction]]+Table_Shelter[[#This Row],['# of Permanent House Under Construction]]),0),0)</f>
        <v>10</v>
      </c>
      <c r="Q292" s="142"/>
      <c r="R292" s="142"/>
      <c r="S292" s="142" t="str">
        <f>IFERROR(VLOOKUP(Table_Shelter[[#This Row],[CampName]],CL,2,0),"")</f>
        <v>MMR001CMP023</v>
      </c>
      <c r="T292" s="142" t="str">
        <f>IFERROR(VLOOKUP(Table_Shelter[[#This Row],[CampName]],CL,3,0),"")</f>
        <v>Open</v>
      </c>
      <c r="U292" s="338">
        <f>IFERROR(Table_Shelter[[#This Row],[HH Covered]]/VLOOKUP(Table_Shelter[[#This Row],[CampName]],CL,4,0),"")</f>
        <v>0.18518518518518517</v>
      </c>
      <c r="V292" s="552" t="s">
        <v>1310</v>
      </c>
      <c r="W292" s="336"/>
    </row>
    <row r="293" spans="1:23" ht="15" customHeight="1" x14ac:dyDescent="0.25">
      <c r="A293" s="335">
        <v>41609</v>
      </c>
      <c r="B293" s="210" t="s">
        <v>454</v>
      </c>
      <c r="C293" s="210" t="s">
        <v>507</v>
      </c>
      <c r="D293" s="213" t="s">
        <v>380</v>
      </c>
      <c r="E293" s="435" t="s">
        <v>237</v>
      </c>
      <c r="F293" s="210" t="s">
        <v>1248</v>
      </c>
      <c r="G293" s="139">
        <v>1</v>
      </c>
      <c r="H293" s="143"/>
      <c r="I293" s="143"/>
      <c r="J293" s="143">
        <v>30</v>
      </c>
      <c r="K293" s="143">
        <v>30</v>
      </c>
      <c r="L293" s="212"/>
      <c r="M293" s="212"/>
      <c r="N293" s="212"/>
      <c r="O293" s="212"/>
      <c r="P293" s="142">
        <f>IF(Table_Shelter[[#This Row],[Status]]="Open",IF(V293="NO",Table_Shelter[[#This Row],[HH per Shelter]]*(Table_Shelter[[#This Row],['# of Temporary Shelter Units Built]]+Table_Shelter[[#This Row],['# of Temporary Shelter Under  Construction]]+Table_Shelter[[#This Row],['# of Permanent House Under Construction]]),0),0)</f>
        <v>30</v>
      </c>
      <c r="Q293" s="142"/>
      <c r="R293" s="142"/>
      <c r="S293" s="142" t="str">
        <f>IFERROR(VLOOKUP(Table_Shelter[[#This Row],[CampName]],CL,2,0),"")</f>
        <v>MMR001CMP023</v>
      </c>
      <c r="T293" s="142" t="str">
        <f>IFERROR(VLOOKUP(Table_Shelter[[#This Row],[CampName]],CL,3,0),"")</f>
        <v>Open</v>
      </c>
      <c r="U293" s="332">
        <f>IFERROR(Table_Shelter[[#This Row],[HH Covered]]/VLOOKUP(Table_Shelter[[#This Row],[CampName]],CL,4,0),"")</f>
        <v>0.55555555555555558</v>
      </c>
      <c r="V293" s="552" t="s">
        <v>1310</v>
      </c>
      <c r="W293" s="336"/>
    </row>
    <row r="294" spans="1:23" ht="15" customHeight="1" x14ac:dyDescent="0.25">
      <c r="A294" s="335"/>
      <c r="B294" s="210" t="s">
        <v>851</v>
      </c>
      <c r="C294" s="210" t="s">
        <v>507</v>
      </c>
      <c r="D294" s="213" t="s">
        <v>380</v>
      </c>
      <c r="E294" s="435" t="s">
        <v>237</v>
      </c>
      <c r="F294" s="210" t="s">
        <v>1248</v>
      </c>
      <c r="G294" s="139">
        <v>1</v>
      </c>
      <c r="H294" s="143"/>
      <c r="I294" s="143"/>
      <c r="J294" s="143">
        <v>12</v>
      </c>
      <c r="K294" s="143">
        <v>12</v>
      </c>
      <c r="L294" s="212"/>
      <c r="M294" s="212"/>
      <c r="N294" s="212"/>
      <c r="O294" s="212"/>
      <c r="P294" s="142">
        <f>IF(Table_Shelter[[#This Row],[Status]]="Open",IF(V294="NO",Table_Shelter[[#This Row],[HH per Shelter]]*(Table_Shelter[[#This Row],['# of Temporary Shelter Units Built]]+Table_Shelter[[#This Row],['# of Temporary Shelter Under  Construction]]+Table_Shelter[[#This Row],['# of Permanent House Under Construction]]),0),0)</f>
        <v>12</v>
      </c>
      <c r="Q294" s="142"/>
      <c r="R294" s="212"/>
      <c r="S294" s="212" t="str">
        <f>IFERROR(VLOOKUP(Table_Shelter[[#This Row],[CampName]],CL,2,0),"")</f>
        <v>MMR001CMP023</v>
      </c>
      <c r="T294" s="212" t="str">
        <f>IFERROR(VLOOKUP(Table_Shelter[[#This Row],[CampName]],CL,3,0),"")</f>
        <v>Open</v>
      </c>
      <c r="U294" s="332">
        <f>IFERROR(Table_Shelter[[#This Row],[HH Covered]]/VLOOKUP(Table_Shelter[[#This Row],[CampName]],CL,4,0),"")</f>
        <v>0.22222222222222221</v>
      </c>
      <c r="V294" s="552" t="s">
        <v>1310</v>
      </c>
      <c r="W294" s="333"/>
    </row>
    <row r="295" spans="1:23" ht="15" customHeight="1" x14ac:dyDescent="0.25">
      <c r="A295" s="335"/>
      <c r="B295" s="210" t="s">
        <v>454</v>
      </c>
      <c r="C295" s="210" t="s">
        <v>507</v>
      </c>
      <c r="D295" s="213" t="s">
        <v>380</v>
      </c>
      <c r="E295" s="435" t="s">
        <v>237</v>
      </c>
      <c r="F295" s="210" t="s">
        <v>1248</v>
      </c>
      <c r="G295" s="139">
        <v>1</v>
      </c>
      <c r="H295" s="143"/>
      <c r="I295" s="143"/>
      <c r="J295" s="143">
        <v>40</v>
      </c>
      <c r="K295" s="143">
        <v>40</v>
      </c>
      <c r="L295" s="212"/>
      <c r="M295" s="212"/>
      <c r="N295" s="212"/>
      <c r="O295" s="212"/>
      <c r="P295" s="142">
        <f>IF(Table_Shelter[[#This Row],[Status]]="Open",IF(V295="NO",Table_Shelter[[#This Row],[HH per Shelter]]*(Table_Shelter[[#This Row],['# of Temporary Shelter Units Built]]+Table_Shelter[[#This Row],['# of Temporary Shelter Under  Construction]]+Table_Shelter[[#This Row],['# of Permanent House Under Construction]]),0),0)</f>
        <v>40</v>
      </c>
      <c r="Q295" s="142"/>
      <c r="R295" s="212"/>
      <c r="S295" s="212" t="str">
        <f>IFERROR(VLOOKUP(Table_Shelter[[#This Row],[CampName]],CL,2,0),"")</f>
        <v>MMR001CMP023</v>
      </c>
      <c r="T295" s="212" t="str">
        <f>IFERROR(VLOOKUP(Table_Shelter[[#This Row],[CampName]],CL,3,0),"")</f>
        <v>Open</v>
      </c>
      <c r="U295" s="332">
        <f>IFERROR(Table_Shelter[[#This Row],[HH Covered]]/VLOOKUP(Table_Shelter[[#This Row],[CampName]],CL,4,0),"")</f>
        <v>0.7407407407407407</v>
      </c>
      <c r="V295" s="552" t="s">
        <v>1310</v>
      </c>
      <c r="W295" s="333"/>
    </row>
    <row r="296" spans="1:23" ht="15" customHeight="1" x14ac:dyDescent="0.25">
      <c r="A296" s="335"/>
      <c r="B296" s="139" t="s">
        <v>454</v>
      </c>
      <c r="C296" s="139" t="s">
        <v>507</v>
      </c>
      <c r="D296" s="218" t="s">
        <v>380</v>
      </c>
      <c r="E296" s="219" t="s">
        <v>237</v>
      </c>
      <c r="F296" s="139" t="s">
        <v>1248</v>
      </c>
      <c r="G296" s="139">
        <v>1</v>
      </c>
      <c r="H296" s="143"/>
      <c r="I296" s="143"/>
      <c r="J296" s="143">
        <v>20</v>
      </c>
      <c r="K296" s="143">
        <v>20</v>
      </c>
      <c r="L296" s="143"/>
      <c r="M296" s="143"/>
      <c r="N296" s="143"/>
      <c r="O296" s="143"/>
      <c r="P296" s="142">
        <f>IF(Table_Shelter[[#This Row],[Status]]="Open",IF(V296="NO",Table_Shelter[[#This Row],[HH per Shelter]]*(Table_Shelter[[#This Row],['# of Temporary Shelter Units Built]]+Table_Shelter[[#This Row],['# of Temporary Shelter Under  Construction]]+Table_Shelter[[#This Row],['# of Permanent House Under Construction]]),0),0)</f>
        <v>20</v>
      </c>
      <c r="Q296" s="142"/>
      <c r="R296" s="142"/>
      <c r="S296" s="142" t="str">
        <f>IFERROR(VLOOKUP(Table_Shelter[[#This Row],[CampName]],CL,2,0),"")</f>
        <v>MMR001CMP023</v>
      </c>
      <c r="T296" s="142" t="str">
        <f>IFERROR(VLOOKUP(Table_Shelter[[#This Row],[CampName]],CL,3,0),"")</f>
        <v>Open</v>
      </c>
      <c r="U296" s="338">
        <f>IFERROR(Table_Shelter[[#This Row],[HH Covered]]/VLOOKUP(Table_Shelter[[#This Row],[CampName]],CL,4,0),"")</f>
        <v>0.37037037037037035</v>
      </c>
      <c r="V296" s="552" t="s">
        <v>1310</v>
      </c>
      <c r="W296" s="336"/>
    </row>
    <row r="297" spans="1:23" ht="15" customHeight="1" x14ac:dyDescent="0.25">
      <c r="A297" s="335"/>
      <c r="B297" s="210" t="s">
        <v>454</v>
      </c>
      <c r="C297" s="210" t="s">
        <v>507</v>
      </c>
      <c r="D297" s="213" t="s">
        <v>380</v>
      </c>
      <c r="E297" s="435" t="s">
        <v>237</v>
      </c>
      <c r="F297" s="210" t="s">
        <v>249</v>
      </c>
      <c r="G297" s="139">
        <v>1</v>
      </c>
      <c r="H297" s="143"/>
      <c r="I297" s="143"/>
      <c r="J297" s="143">
        <v>10</v>
      </c>
      <c r="K297" s="143">
        <v>10</v>
      </c>
      <c r="L297" s="212"/>
      <c r="M297" s="212"/>
      <c r="N297" s="212"/>
      <c r="O297" s="212"/>
      <c r="P297" s="142">
        <f>IF(Table_Shelter[[#This Row],[Status]]="Open",IF(V297="NO",Table_Shelter[[#This Row],[HH per Shelter]]*(Table_Shelter[[#This Row],['# of Temporary Shelter Units Built]]+Table_Shelter[[#This Row],['# of Temporary Shelter Under  Construction]]+Table_Shelter[[#This Row],['# of Permanent House Under Construction]]),0),0)</f>
        <v>10</v>
      </c>
      <c r="Q297" s="142"/>
      <c r="R297" s="212"/>
      <c r="S297" s="212" t="str">
        <f>IFERROR(VLOOKUP(Table_Shelter[[#This Row],[CampName]],CL,2,0),"")</f>
        <v>MMR001CMP004</v>
      </c>
      <c r="T297" s="212" t="str">
        <f>IFERROR(VLOOKUP(Table_Shelter[[#This Row],[CampName]],CL,3,0),"")</f>
        <v>Open</v>
      </c>
      <c r="U297" s="332">
        <f>IFERROR(Table_Shelter[[#This Row],[HH Covered]]/VLOOKUP(Table_Shelter[[#This Row],[CampName]],CL,4,0),"")</f>
        <v>1.6666666666666667</v>
      </c>
      <c r="V297" s="552" t="s">
        <v>1310</v>
      </c>
      <c r="W297" s="333"/>
    </row>
    <row r="298" spans="1:23" ht="15" customHeight="1" x14ac:dyDescent="0.25">
      <c r="A298" s="335"/>
      <c r="B298" s="210" t="s">
        <v>454</v>
      </c>
      <c r="C298" s="210"/>
      <c r="D298" s="213" t="s">
        <v>380</v>
      </c>
      <c r="E298" s="435" t="s">
        <v>237</v>
      </c>
      <c r="F298" s="210" t="s">
        <v>249</v>
      </c>
      <c r="G298" s="139">
        <v>1</v>
      </c>
      <c r="H298" s="143"/>
      <c r="I298" s="143"/>
      <c r="J298" s="143">
        <v>5</v>
      </c>
      <c r="K298" s="143">
        <v>5</v>
      </c>
      <c r="L298" s="212"/>
      <c r="M298" s="212"/>
      <c r="N298" s="212"/>
      <c r="O298" s="212"/>
      <c r="P298" s="142">
        <f>IF(Table_Shelter[[#This Row],[Status]]="Open",IF(V298="NO",Table_Shelter[[#This Row],[HH per Shelter]]*(Table_Shelter[[#This Row],['# of Temporary Shelter Units Built]]+Table_Shelter[[#This Row],['# of Temporary Shelter Under  Construction]]+Table_Shelter[[#This Row],['# of Permanent House Under Construction]]),0),0)</f>
        <v>5</v>
      </c>
      <c r="Q298" s="142"/>
      <c r="R298" s="212"/>
      <c r="S298" s="212" t="str">
        <f>IFERROR(VLOOKUP(Table_Shelter[[#This Row],[CampName]],CL,2,0),"")</f>
        <v>MMR001CMP004</v>
      </c>
      <c r="T298" s="212" t="str">
        <f>IFERROR(VLOOKUP(Table_Shelter[[#This Row],[CampName]],CL,3,0),"")</f>
        <v>Open</v>
      </c>
      <c r="U298" s="332">
        <f>IFERROR(Table_Shelter[[#This Row],[HH Covered]]/VLOOKUP(Table_Shelter[[#This Row],[CampName]],CL,4,0),"")</f>
        <v>0.83333333333333337</v>
      </c>
      <c r="V298" s="552" t="s">
        <v>1310</v>
      </c>
      <c r="W298" s="333"/>
    </row>
    <row r="299" spans="1:23" ht="15" customHeight="1" x14ac:dyDescent="0.25">
      <c r="A299" s="605">
        <v>42502</v>
      </c>
      <c r="B299" s="606" t="s">
        <v>454</v>
      </c>
      <c r="C299" s="607" t="s">
        <v>462</v>
      </c>
      <c r="D299" s="608" t="s">
        <v>380</v>
      </c>
      <c r="E299" s="435" t="s">
        <v>237</v>
      </c>
      <c r="F299" s="606" t="s">
        <v>251</v>
      </c>
      <c r="G299" s="606">
        <v>1</v>
      </c>
      <c r="H299" s="607"/>
      <c r="I299" s="607"/>
      <c r="J299" s="607"/>
      <c r="K299" s="607"/>
      <c r="L299" s="607"/>
      <c r="M299" s="607"/>
      <c r="N299" s="607"/>
      <c r="O299" s="607"/>
      <c r="P299" s="609">
        <f>IF(Table_Shelter[[#This Row],[Status]]="Open",IF(V299="NO",Table_Shelter[[#This Row],[HH per Shelter]]*(Table_Shelter[[#This Row],['# of Temporary Shelter Units Built]]+Table_Shelter[[#This Row],['# of Temporary Shelter Under  Construction]]+Table_Shelter[[#This Row],['# of Permanent House Under Construction]]),0),0)</f>
        <v>0</v>
      </c>
      <c r="Q299" s="609">
        <v>5</v>
      </c>
      <c r="R299" s="609"/>
      <c r="S299" s="610" t="str">
        <f>IFERROR(VLOOKUP(Table_Shelter[[#This Row],[CampName]],CL,2,0),"")</f>
        <v>MMR001CMP003</v>
      </c>
      <c r="T299" s="611" t="str">
        <f>IFERROR(VLOOKUP(Table_Shelter[[#This Row],[CampName]],CL,3,0),"")</f>
        <v>Open</v>
      </c>
      <c r="U299" s="612">
        <f>IFERROR(Table_Shelter[[#This Row],[HH Covered]]/VLOOKUP(Table_Shelter[[#This Row],[CampName]],CL,4,0),"")</f>
        <v>0</v>
      </c>
      <c r="V299" s="604" t="s">
        <v>1310</v>
      </c>
      <c r="W299" s="613"/>
    </row>
    <row r="300" spans="1:23" ht="15" customHeight="1" x14ac:dyDescent="0.25">
      <c r="A300" s="335"/>
      <c r="B300" s="210" t="s">
        <v>454</v>
      </c>
      <c r="C300" s="210" t="s">
        <v>462</v>
      </c>
      <c r="D300" s="213" t="s">
        <v>380</v>
      </c>
      <c r="E300" s="215" t="s">
        <v>237</v>
      </c>
      <c r="F300" s="210" t="s">
        <v>251</v>
      </c>
      <c r="G300" s="139">
        <v>1</v>
      </c>
      <c r="H300" s="143"/>
      <c r="I300" s="143"/>
      <c r="J300" s="143">
        <v>20</v>
      </c>
      <c r="K300" s="143">
        <v>20</v>
      </c>
      <c r="L300" s="212"/>
      <c r="M300" s="212"/>
      <c r="N300" s="212"/>
      <c r="O300" s="212"/>
      <c r="P300" s="142">
        <f>IF(Table_Shelter[[#This Row],[Status]]="Open",IF(V300="NO",Table_Shelter[[#This Row],[HH per Shelter]]*(Table_Shelter[[#This Row],['# of Temporary Shelter Units Built]]+Table_Shelter[[#This Row],['# of Temporary Shelter Under  Construction]]+Table_Shelter[[#This Row],['# of Permanent House Under Construction]]),0),0)</f>
        <v>20</v>
      </c>
      <c r="Q300" s="142"/>
      <c r="R300" s="212"/>
      <c r="S300" s="212" t="str">
        <f>IFERROR(VLOOKUP(Table_Shelter[[#This Row],[CampName]],CL,2,0),"")</f>
        <v>MMR001CMP003</v>
      </c>
      <c r="T300" s="212" t="str">
        <f>IFERROR(VLOOKUP(Table_Shelter[[#This Row],[CampName]],CL,3,0),"")</f>
        <v>Open</v>
      </c>
      <c r="U300" s="332">
        <f>IFERROR(Table_Shelter[[#This Row],[HH Covered]]/VLOOKUP(Table_Shelter[[#This Row],[CampName]],CL,4,0),"")</f>
        <v>0.625</v>
      </c>
      <c r="V300" s="552" t="s">
        <v>1310</v>
      </c>
      <c r="W300" s="333"/>
    </row>
    <row r="301" spans="1:23" ht="15" customHeight="1" x14ac:dyDescent="0.25">
      <c r="A301" s="605">
        <v>42502</v>
      </c>
      <c r="B301" s="606" t="s">
        <v>454</v>
      </c>
      <c r="C301" s="607" t="s">
        <v>462</v>
      </c>
      <c r="D301" s="608" t="s">
        <v>380</v>
      </c>
      <c r="E301" s="435" t="s">
        <v>237</v>
      </c>
      <c r="F301" s="606" t="s">
        <v>275</v>
      </c>
      <c r="G301" s="606">
        <v>1</v>
      </c>
      <c r="H301" s="607"/>
      <c r="I301" s="607"/>
      <c r="J301" s="607"/>
      <c r="K301" s="607"/>
      <c r="L301" s="607"/>
      <c r="M301" s="607"/>
      <c r="N301" s="607"/>
      <c r="O301" s="607"/>
      <c r="P301" s="609">
        <f>IF(Table_Shelter[[#This Row],[Status]]="Open",IF(V301="NO",Table_Shelter[[#This Row],[HH per Shelter]]*(Table_Shelter[[#This Row],['# of Temporary Shelter Units Built]]+Table_Shelter[[#This Row],['# of Temporary Shelter Under  Construction]]+Table_Shelter[[#This Row],['# of Permanent House Under Construction]]),0),0)</f>
        <v>0</v>
      </c>
      <c r="Q301" s="609">
        <v>3</v>
      </c>
      <c r="R301" s="609"/>
      <c r="S301" s="610" t="str">
        <f>IFERROR(VLOOKUP(Table_Shelter[[#This Row],[CampName]],CL,2,0),"")</f>
        <v>MMR001CMP005</v>
      </c>
      <c r="T301" s="611" t="str">
        <f>IFERROR(VLOOKUP(Table_Shelter[[#This Row],[CampName]],CL,3,0),"")</f>
        <v>Open</v>
      </c>
      <c r="U301" s="612">
        <f>IFERROR(Table_Shelter[[#This Row],[HH Covered]]/VLOOKUP(Table_Shelter[[#This Row],[CampName]],CL,4,0),"")</f>
        <v>0</v>
      </c>
      <c r="V301" s="604" t="s">
        <v>1310</v>
      </c>
      <c r="W301" s="613"/>
    </row>
    <row r="302" spans="1:23" ht="15" customHeight="1" x14ac:dyDescent="0.25">
      <c r="A302" s="335"/>
      <c r="B302" s="210" t="s">
        <v>849</v>
      </c>
      <c r="C302" s="210" t="s">
        <v>462</v>
      </c>
      <c r="D302" s="213" t="s">
        <v>380</v>
      </c>
      <c r="E302" s="215" t="s">
        <v>237</v>
      </c>
      <c r="F302" s="210" t="s">
        <v>275</v>
      </c>
      <c r="G302" s="139">
        <v>1</v>
      </c>
      <c r="H302" s="143"/>
      <c r="I302" s="143"/>
      <c r="J302" s="143">
        <v>14</v>
      </c>
      <c r="K302" s="143">
        <v>14</v>
      </c>
      <c r="L302" s="212"/>
      <c r="M302" s="212"/>
      <c r="N302" s="212"/>
      <c r="O302" s="212"/>
      <c r="P302" s="142">
        <f>IF(Table_Shelter[[#This Row],[Status]]="Open",IF(V302="NO",Table_Shelter[[#This Row],[HH per Shelter]]*(Table_Shelter[[#This Row],['# of Temporary Shelter Units Built]]+Table_Shelter[[#This Row],['# of Temporary Shelter Under  Construction]]+Table_Shelter[[#This Row],['# of Permanent House Under Construction]]),0),0)</f>
        <v>14</v>
      </c>
      <c r="Q302" s="142"/>
      <c r="R302" s="212"/>
      <c r="S302" s="212" t="str">
        <f>IFERROR(VLOOKUP(Table_Shelter[[#This Row],[CampName]],CL,2,0),"")</f>
        <v>MMR001CMP005</v>
      </c>
      <c r="T302" s="212" t="str">
        <f>IFERROR(VLOOKUP(Table_Shelter[[#This Row],[CampName]],CL,3,0),"")</f>
        <v>Open</v>
      </c>
      <c r="U302" s="332">
        <f>IFERROR(Table_Shelter[[#This Row],[HH Covered]]/VLOOKUP(Table_Shelter[[#This Row],[CampName]],CL,4,0),"")</f>
        <v>0.32558139534883723</v>
      </c>
      <c r="V302" s="552" t="s">
        <v>1310</v>
      </c>
      <c r="W302" s="333"/>
    </row>
    <row r="303" spans="1:23" ht="15" customHeight="1" x14ac:dyDescent="0.25">
      <c r="A303" s="335"/>
      <c r="B303" s="210" t="s">
        <v>454</v>
      </c>
      <c r="C303" s="210" t="s">
        <v>462</v>
      </c>
      <c r="D303" s="213" t="s">
        <v>380</v>
      </c>
      <c r="E303" s="215" t="s">
        <v>237</v>
      </c>
      <c r="F303" s="210" t="s">
        <v>275</v>
      </c>
      <c r="G303" s="139">
        <v>1</v>
      </c>
      <c r="H303" s="143"/>
      <c r="I303" s="143"/>
      <c r="J303" s="143">
        <v>10</v>
      </c>
      <c r="K303" s="143">
        <v>10</v>
      </c>
      <c r="L303" s="212"/>
      <c r="M303" s="212"/>
      <c r="N303" s="212"/>
      <c r="O303" s="212"/>
      <c r="P303" s="142">
        <f>IF(Table_Shelter[[#This Row],[Status]]="Open",IF(V303="NO",Table_Shelter[[#This Row],[HH per Shelter]]*(Table_Shelter[[#This Row],['# of Temporary Shelter Units Built]]+Table_Shelter[[#This Row],['# of Temporary Shelter Under  Construction]]+Table_Shelter[[#This Row],['# of Permanent House Under Construction]]),0),0)</f>
        <v>10</v>
      </c>
      <c r="Q303" s="142"/>
      <c r="R303" s="212"/>
      <c r="S303" s="212" t="str">
        <f>IFERROR(VLOOKUP(Table_Shelter[[#This Row],[CampName]],CL,2,0),"")</f>
        <v>MMR001CMP005</v>
      </c>
      <c r="T303" s="212" t="str">
        <f>IFERROR(VLOOKUP(Table_Shelter[[#This Row],[CampName]],CL,3,0),"")</f>
        <v>Open</v>
      </c>
      <c r="U303" s="332">
        <f>IFERROR(Table_Shelter[[#This Row],[HH Covered]]/VLOOKUP(Table_Shelter[[#This Row],[CampName]],CL,4,0),"")</f>
        <v>0.23255813953488372</v>
      </c>
      <c r="V303" s="552" t="s">
        <v>1310</v>
      </c>
      <c r="W303" s="333"/>
    </row>
    <row r="304" spans="1:23" ht="15" customHeight="1" x14ac:dyDescent="0.25">
      <c r="A304" s="335"/>
      <c r="B304" s="210" t="s">
        <v>454</v>
      </c>
      <c r="C304" s="210" t="s">
        <v>462</v>
      </c>
      <c r="D304" s="218" t="s">
        <v>380</v>
      </c>
      <c r="E304" s="219" t="s">
        <v>237</v>
      </c>
      <c r="F304" s="139" t="s">
        <v>275</v>
      </c>
      <c r="G304" s="139">
        <v>1</v>
      </c>
      <c r="H304" s="143"/>
      <c r="I304" s="143"/>
      <c r="J304" s="143">
        <v>8</v>
      </c>
      <c r="K304" s="143">
        <v>8</v>
      </c>
      <c r="L304" s="143"/>
      <c r="M304" s="143"/>
      <c r="N304" s="143"/>
      <c r="O304" s="143"/>
      <c r="P304" s="142">
        <f>IF(Table_Shelter[[#This Row],[Status]]="Open",IF(V304="NO",Table_Shelter[[#This Row],[HH per Shelter]]*(Table_Shelter[[#This Row],['# of Temporary Shelter Units Built]]+Table_Shelter[[#This Row],['# of Temporary Shelter Under  Construction]]+Table_Shelter[[#This Row],['# of Permanent House Under Construction]]),0),0)</f>
        <v>8</v>
      </c>
      <c r="Q304" s="142"/>
      <c r="R304" s="142"/>
      <c r="S304" s="142" t="str">
        <f>IFERROR(VLOOKUP(Table_Shelter[[#This Row],[CampName]],CL,2,0),"")</f>
        <v>MMR001CMP005</v>
      </c>
      <c r="T304" s="142" t="str">
        <f>IFERROR(VLOOKUP(Table_Shelter[[#This Row],[CampName]],CL,3,0),"")</f>
        <v>Open</v>
      </c>
      <c r="U304" s="338">
        <f>IFERROR(Table_Shelter[[#This Row],[HH Covered]]/VLOOKUP(Table_Shelter[[#This Row],[CampName]],CL,4,0),"")</f>
        <v>0.18604651162790697</v>
      </c>
      <c r="V304" s="552" t="s">
        <v>1310</v>
      </c>
      <c r="W304" s="336"/>
    </row>
    <row r="305" spans="1:23" ht="15" customHeight="1" x14ac:dyDescent="0.25">
      <c r="A305" s="335">
        <v>41974</v>
      </c>
      <c r="B305" s="210" t="s">
        <v>454</v>
      </c>
      <c r="C305" s="210" t="s">
        <v>507</v>
      </c>
      <c r="D305" s="213" t="s">
        <v>380</v>
      </c>
      <c r="E305" s="435" t="s">
        <v>310</v>
      </c>
      <c r="F305" s="210" t="s">
        <v>349</v>
      </c>
      <c r="G305" s="139">
        <v>1</v>
      </c>
      <c r="H305" s="143"/>
      <c r="I305" s="143"/>
      <c r="J305" s="143">
        <v>5</v>
      </c>
      <c r="K305" s="143">
        <v>5</v>
      </c>
      <c r="L305" s="212"/>
      <c r="M305" s="212"/>
      <c r="N305" s="212"/>
      <c r="O305" s="212"/>
      <c r="P305" s="142">
        <f>IF(Table_Shelter[[#This Row],[Status]]="Open",IF(V305="NO",Table_Shelter[[#This Row],[HH per Shelter]]*(Table_Shelter[[#This Row],['# of Temporary Shelter Units Built]]+Table_Shelter[[#This Row],['# of Temporary Shelter Under  Construction]]+Table_Shelter[[#This Row],['# of Permanent House Under Construction]]),0),0)</f>
        <v>5</v>
      </c>
      <c r="Q305" s="142"/>
      <c r="R305" s="142"/>
      <c r="S305" s="142" t="str">
        <f>IFERROR(VLOOKUP(Table_Shelter[[#This Row],[CampName]],CL,2,0),"")</f>
        <v>MMR001CMP037</v>
      </c>
      <c r="T305" s="142" t="str">
        <f>IFERROR(VLOOKUP(Table_Shelter[[#This Row],[CampName]],CL,3,0),"")</f>
        <v>Open</v>
      </c>
      <c r="U305" s="332">
        <f>IFERROR(Table_Shelter[[#This Row],[HH Covered]]/VLOOKUP(Table_Shelter[[#This Row],[CampName]],CL,4,0),"")</f>
        <v>0.11363636363636363</v>
      </c>
      <c r="V305" s="552" t="s">
        <v>1310</v>
      </c>
      <c r="W305" s="336"/>
    </row>
    <row r="306" spans="1:23" ht="15" customHeight="1" x14ac:dyDescent="0.25">
      <c r="A306" s="335">
        <v>41609</v>
      </c>
      <c r="B306" s="210" t="s">
        <v>454</v>
      </c>
      <c r="C306" s="210" t="s">
        <v>507</v>
      </c>
      <c r="D306" s="213" t="s">
        <v>380</v>
      </c>
      <c r="E306" s="435" t="s">
        <v>310</v>
      </c>
      <c r="F306" s="210" t="s">
        <v>349</v>
      </c>
      <c r="G306" s="139">
        <v>1</v>
      </c>
      <c r="H306" s="143"/>
      <c r="I306" s="143"/>
      <c r="J306" s="143">
        <v>5</v>
      </c>
      <c r="K306" s="143">
        <v>5</v>
      </c>
      <c r="L306" s="212"/>
      <c r="M306" s="212"/>
      <c r="N306" s="212"/>
      <c r="O306" s="212"/>
      <c r="P306" s="142">
        <f>IF(Table_Shelter[[#This Row],[Status]]="Open",IF(V306="NO",Table_Shelter[[#This Row],[HH per Shelter]]*(Table_Shelter[[#This Row],['# of Temporary Shelter Units Built]]+Table_Shelter[[#This Row],['# of Temporary Shelter Under  Construction]]+Table_Shelter[[#This Row],['# of Permanent House Under Construction]]),0),0)</f>
        <v>5</v>
      </c>
      <c r="Q306" s="142"/>
      <c r="R306" s="142"/>
      <c r="S306" s="142" t="str">
        <f>IFERROR(VLOOKUP(Table_Shelter[[#This Row],[CampName]],CL,2,0),"")</f>
        <v>MMR001CMP037</v>
      </c>
      <c r="T306" s="142" t="str">
        <f>IFERROR(VLOOKUP(Table_Shelter[[#This Row],[CampName]],CL,3,0),"")</f>
        <v>Open</v>
      </c>
      <c r="U306" s="332">
        <f>IFERROR(Table_Shelter[[#This Row],[HH Covered]]/VLOOKUP(Table_Shelter[[#This Row],[CampName]],CL,4,0),"")</f>
        <v>0.11363636363636363</v>
      </c>
      <c r="V306" s="552" t="s">
        <v>1310</v>
      </c>
      <c r="W306" s="336"/>
    </row>
    <row r="307" spans="1:23" ht="15" customHeight="1" x14ac:dyDescent="0.25">
      <c r="A307" s="335"/>
      <c r="B307" s="210" t="s">
        <v>454</v>
      </c>
      <c r="C307" s="210" t="s">
        <v>507</v>
      </c>
      <c r="D307" s="213" t="s">
        <v>380</v>
      </c>
      <c r="E307" s="435" t="s">
        <v>310</v>
      </c>
      <c r="F307" s="210" t="s">
        <v>349</v>
      </c>
      <c r="G307" s="139">
        <v>1</v>
      </c>
      <c r="H307" s="143"/>
      <c r="I307" s="143"/>
      <c r="J307" s="143">
        <v>45</v>
      </c>
      <c r="K307" s="143">
        <v>45</v>
      </c>
      <c r="L307" s="212"/>
      <c r="M307" s="212"/>
      <c r="N307" s="212"/>
      <c r="O307" s="212"/>
      <c r="P307" s="142">
        <f>IF(Table_Shelter[[#This Row],[Status]]="Open",IF(V307="NO",Table_Shelter[[#This Row],[HH per Shelter]]*(Table_Shelter[[#This Row],['# of Temporary Shelter Units Built]]+Table_Shelter[[#This Row],['# of Temporary Shelter Under  Construction]]+Table_Shelter[[#This Row],['# of Permanent House Under Construction]]),0),0)</f>
        <v>45</v>
      </c>
      <c r="Q307" s="142"/>
      <c r="R307" s="212"/>
      <c r="S307" s="212" t="str">
        <f>IFERROR(VLOOKUP(Table_Shelter[[#This Row],[CampName]],CL,2,0),"")</f>
        <v>MMR001CMP037</v>
      </c>
      <c r="T307" s="212" t="str">
        <f>IFERROR(VLOOKUP(Table_Shelter[[#This Row],[CampName]],CL,3,0),"")</f>
        <v>Open</v>
      </c>
      <c r="U307" s="332">
        <f>IFERROR(Table_Shelter[[#This Row],[HH Covered]]/VLOOKUP(Table_Shelter[[#This Row],[CampName]],CL,4,0),"")</f>
        <v>1.0227272727272727</v>
      </c>
      <c r="V307" s="552" t="s">
        <v>1310</v>
      </c>
      <c r="W307" s="333"/>
    </row>
    <row r="308" spans="1:23" ht="15" customHeight="1" x14ac:dyDescent="0.25">
      <c r="A308" s="335"/>
      <c r="B308" s="210" t="s">
        <v>571</v>
      </c>
      <c r="C308" s="210"/>
      <c r="D308" s="213" t="s">
        <v>380</v>
      </c>
      <c r="E308" s="435" t="s">
        <v>310</v>
      </c>
      <c r="F308" s="210" t="s">
        <v>349</v>
      </c>
      <c r="G308" s="139">
        <v>1</v>
      </c>
      <c r="H308" s="143"/>
      <c r="I308" s="143"/>
      <c r="J308" s="143">
        <v>24</v>
      </c>
      <c r="K308" s="143">
        <v>24</v>
      </c>
      <c r="L308" s="212"/>
      <c r="M308" s="212"/>
      <c r="N308" s="212"/>
      <c r="O308" s="212"/>
      <c r="P308" s="142">
        <f>IF(Table_Shelter[[#This Row],[Status]]="Open",IF(V308="NO",Table_Shelter[[#This Row],[HH per Shelter]]*(Table_Shelter[[#This Row],['# of Temporary Shelter Units Built]]+Table_Shelter[[#This Row],['# of Temporary Shelter Under  Construction]]+Table_Shelter[[#This Row],['# of Permanent House Under Construction]]),0),0)</f>
        <v>24</v>
      </c>
      <c r="Q308" s="142"/>
      <c r="R308" s="212"/>
      <c r="S308" s="212" t="str">
        <f>IFERROR(VLOOKUP(Table_Shelter[[#This Row],[CampName]],CL,2,0),"")</f>
        <v>MMR001CMP037</v>
      </c>
      <c r="T308" s="212" t="str">
        <f>IFERROR(VLOOKUP(Table_Shelter[[#This Row],[CampName]],CL,3,0),"")</f>
        <v>Open</v>
      </c>
      <c r="U308" s="332">
        <f>IFERROR(Table_Shelter[[#This Row],[HH Covered]]/VLOOKUP(Table_Shelter[[#This Row],[CampName]],CL,4,0),"")</f>
        <v>0.54545454545454541</v>
      </c>
      <c r="V308" s="552" t="s">
        <v>1310</v>
      </c>
      <c r="W308" s="333"/>
    </row>
    <row r="309" spans="1:23" ht="15" customHeight="1" x14ac:dyDescent="0.25">
      <c r="A309" s="335"/>
      <c r="B309" s="210" t="s">
        <v>454</v>
      </c>
      <c r="C309" s="210" t="s">
        <v>507</v>
      </c>
      <c r="D309" s="213" t="s">
        <v>380</v>
      </c>
      <c r="E309" s="435" t="s">
        <v>5</v>
      </c>
      <c r="F309" s="210" t="s">
        <v>1024</v>
      </c>
      <c r="G309" s="139">
        <v>1</v>
      </c>
      <c r="H309" s="143"/>
      <c r="I309" s="143"/>
      <c r="J309" s="143">
        <v>6</v>
      </c>
      <c r="K309" s="143"/>
      <c r="L309" s="212"/>
      <c r="M309" s="212"/>
      <c r="N309" s="212"/>
      <c r="O309" s="212"/>
      <c r="P309" s="142">
        <f>IF(Table_Shelter[[#This Row],[Status]]="Open",IF(V309="NO",Table_Shelter[[#This Row],[HH per Shelter]]*(Table_Shelter[[#This Row],['# of Temporary Shelter Units Built]]+Table_Shelter[[#This Row],['# of Temporary Shelter Under  Construction]]+Table_Shelter[[#This Row],['# of Permanent House Under Construction]]),0),0)</f>
        <v>0</v>
      </c>
      <c r="Q309" s="142"/>
      <c r="R309" s="212"/>
      <c r="S309" s="212" t="str">
        <f>IFERROR(VLOOKUP(Table_Shelter[[#This Row],[CampName]],CL,2,0),"")</f>
        <v>MMR001CMP224</v>
      </c>
      <c r="T309" s="212" t="str">
        <f>IFERROR(VLOOKUP(Table_Shelter[[#This Row],[CampName]],CL,3,0),"")</f>
        <v>Closed</v>
      </c>
      <c r="U309" s="332" t="str">
        <f>IFERROR(Table_Shelter[[#This Row],[HH Covered]]/VLOOKUP(Table_Shelter[[#This Row],[CampName]],CL,4,0),"")</f>
        <v/>
      </c>
      <c r="V309" s="552" t="s">
        <v>1310</v>
      </c>
      <c r="W309" s="333"/>
    </row>
    <row r="310" spans="1:23" ht="15" customHeight="1" x14ac:dyDescent="0.25">
      <c r="A310" s="335"/>
      <c r="B310" s="210" t="s">
        <v>454</v>
      </c>
      <c r="C310" s="210"/>
      <c r="D310" s="213" t="s">
        <v>380</v>
      </c>
      <c r="E310" s="435" t="s">
        <v>5</v>
      </c>
      <c r="F310" s="210" t="s">
        <v>1024</v>
      </c>
      <c r="G310" s="139">
        <v>1</v>
      </c>
      <c r="H310" s="143"/>
      <c r="I310" s="143"/>
      <c r="J310" s="143">
        <v>5</v>
      </c>
      <c r="K310" s="143"/>
      <c r="L310" s="212"/>
      <c r="M310" s="212"/>
      <c r="N310" s="212"/>
      <c r="O310" s="212"/>
      <c r="P310" s="142">
        <f>IF(Table_Shelter[[#This Row],[Status]]="Open",IF(V310="NO",Table_Shelter[[#This Row],[HH per Shelter]]*(Table_Shelter[[#This Row],['# of Temporary Shelter Units Built]]+Table_Shelter[[#This Row],['# of Temporary Shelter Under  Construction]]+Table_Shelter[[#This Row],['# of Permanent House Under Construction]]),0),0)</f>
        <v>0</v>
      </c>
      <c r="Q310" s="142"/>
      <c r="R310" s="212"/>
      <c r="S310" s="212" t="str">
        <f>IFERROR(VLOOKUP(Table_Shelter[[#This Row],[CampName]],CL,2,0),"")</f>
        <v>MMR001CMP224</v>
      </c>
      <c r="T310" s="212" t="str">
        <f>IFERROR(VLOOKUP(Table_Shelter[[#This Row],[CampName]],CL,3,0),"")</f>
        <v>Closed</v>
      </c>
      <c r="U310" s="332" t="str">
        <f>IFERROR(Table_Shelter[[#This Row],[HH Covered]]/VLOOKUP(Table_Shelter[[#This Row],[CampName]],CL,4,0),"")</f>
        <v/>
      </c>
      <c r="V310" s="552" t="s">
        <v>1310</v>
      </c>
      <c r="W310" s="333"/>
    </row>
    <row r="311" spans="1:23" ht="15" customHeight="1" x14ac:dyDescent="0.25">
      <c r="A311" s="335">
        <v>41609</v>
      </c>
      <c r="B311" s="210" t="s">
        <v>454</v>
      </c>
      <c r="C311" s="210" t="s">
        <v>507</v>
      </c>
      <c r="D311" s="213" t="s">
        <v>380</v>
      </c>
      <c r="E311" s="435" t="s">
        <v>310</v>
      </c>
      <c r="F311" s="210" t="s">
        <v>316</v>
      </c>
      <c r="G311" s="139">
        <v>1</v>
      </c>
      <c r="H311" s="143"/>
      <c r="I311" s="143"/>
      <c r="J311" s="143">
        <v>6</v>
      </c>
      <c r="K311" s="143">
        <v>6</v>
      </c>
      <c r="L311" s="212"/>
      <c r="M311" s="212"/>
      <c r="N311" s="212"/>
      <c r="O311" s="212"/>
      <c r="P311" s="142">
        <f>IF(Table_Shelter[[#This Row],[Status]]="Open",IF(V311="NO",Table_Shelter[[#This Row],[HH per Shelter]]*(Table_Shelter[[#This Row],['# of Temporary Shelter Units Built]]+Table_Shelter[[#This Row],['# of Temporary Shelter Under  Construction]]+Table_Shelter[[#This Row],['# of Permanent House Under Construction]]),0),0)</f>
        <v>6</v>
      </c>
      <c r="Q311" s="142"/>
      <c r="R311" s="142"/>
      <c r="S311" s="142" t="str">
        <f>IFERROR(VLOOKUP(Table_Shelter[[#This Row],[CampName]],CL,2,0),"")</f>
        <v>MMR001CMP038</v>
      </c>
      <c r="T311" s="142" t="str">
        <f>IFERROR(VLOOKUP(Table_Shelter[[#This Row],[CampName]],CL,3,0),"")</f>
        <v>Open</v>
      </c>
      <c r="U311" s="332">
        <f>IFERROR(Table_Shelter[[#This Row],[HH Covered]]/VLOOKUP(Table_Shelter[[#This Row],[CampName]],CL,4,0),"")</f>
        <v>8.5714285714285715E-2</v>
      </c>
      <c r="V311" s="552" t="s">
        <v>1310</v>
      </c>
      <c r="W311" s="336"/>
    </row>
    <row r="312" spans="1:23" ht="15" customHeight="1" x14ac:dyDescent="0.25">
      <c r="A312" s="335"/>
      <c r="B312" s="210" t="s">
        <v>454</v>
      </c>
      <c r="C312" s="210" t="s">
        <v>507</v>
      </c>
      <c r="D312" s="213" t="s">
        <v>380</v>
      </c>
      <c r="E312" s="435" t="s">
        <v>310</v>
      </c>
      <c r="F312" s="210" t="s">
        <v>316</v>
      </c>
      <c r="G312" s="139">
        <v>1</v>
      </c>
      <c r="H312" s="143"/>
      <c r="I312" s="143"/>
      <c r="J312" s="143">
        <v>34</v>
      </c>
      <c r="K312" s="143">
        <v>34</v>
      </c>
      <c r="L312" s="212"/>
      <c r="M312" s="212"/>
      <c r="N312" s="212"/>
      <c r="O312" s="212"/>
      <c r="P312" s="142">
        <f>IF(Table_Shelter[[#This Row],[Status]]="Open",IF(V312="NO",Table_Shelter[[#This Row],[HH per Shelter]]*(Table_Shelter[[#This Row],['# of Temporary Shelter Units Built]]+Table_Shelter[[#This Row],['# of Temporary Shelter Under  Construction]]+Table_Shelter[[#This Row],['# of Permanent House Under Construction]]),0),0)</f>
        <v>34</v>
      </c>
      <c r="Q312" s="142"/>
      <c r="R312" s="212"/>
      <c r="S312" s="212" t="str">
        <f>IFERROR(VLOOKUP(Table_Shelter[[#This Row],[CampName]],CL,2,0),"")</f>
        <v>MMR001CMP038</v>
      </c>
      <c r="T312" s="212" t="str">
        <f>IFERROR(VLOOKUP(Table_Shelter[[#This Row],[CampName]],CL,3,0),"")</f>
        <v>Open</v>
      </c>
      <c r="U312" s="332">
        <f>IFERROR(Table_Shelter[[#This Row],[HH Covered]]/VLOOKUP(Table_Shelter[[#This Row],[CampName]],CL,4,0),"")</f>
        <v>0.48571428571428571</v>
      </c>
      <c r="V312" s="552" t="s">
        <v>1310</v>
      </c>
      <c r="W312" s="333"/>
    </row>
    <row r="313" spans="1:23" ht="15" customHeight="1" x14ac:dyDescent="0.25">
      <c r="A313" s="335"/>
      <c r="B313" s="210" t="s">
        <v>571</v>
      </c>
      <c r="C313" s="210"/>
      <c r="D313" s="213" t="s">
        <v>380</v>
      </c>
      <c r="E313" s="435" t="s">
        <v>310</v>
      </c>
      <c r="F313" s="210" t="s">
        <v>316</v>
      </c>
      <c r="G313" s="139">
        <v>1</v>
      </c>
      <c r="H313" s="143"/>
      <c r="I313" s="143"/>
      <c r="J313" s="143">
        <v>15</v>
      </c>
      <c r="K313" s="143">
        <v>15</v>
      </c>
      <c r="L313" s="212"/>
      <c r="M313" s="212"/>
      <c r="N313" s="212"/>
      <c r="O313" s="212"/>
      <c r="P313" s="142">
        <f>IF(Table_Shelter[[#This Row],[Status]]="Open",IF(V313="NO",Table_Shelter[[#This Row],[HH per Shelter]]*(Table_Shelter[[#This Row],['# of Temporary Shelter Units Built]]+Table_Shelter[[#This Row],['# of Temporary Shelter Under  Construction]]+Table_Shelter[[#This Row],['# of Permanent House Under Construction]]),0),0)</f>
        <v>15</v>
      </c>
      <c r="Q313" s="142"/>
      <c r="R313" s="212"/>
      <c r="S313" s="212" t="str">
        <f>IFERROR(VLOOKUP(Table_Shelter[[#This Row],[CampName]],CL,2,0),"")</f>
        <v>MMR001CMP038</v>
      </c>
      <c r="T313" s="212" t="str">
        <f>IFERROR(VLOOKUP(Table_Shelter[[#This Row],[CampName]],CL,3,0),"")</f>
        <v>Open</v>
      </c>
      <c r="U313" s="332">
        <f>IFERROR(Table_Shelter[[#This Row],[HH Covered]]/VLOOKUP(Table_Shelter[[#This Row],[CampName]],CL,4,0),"")</f>
        <v>0.21428571428571427</v>
      </c>
      <c r="V313" s="552" t="s">
        <v>1310</v>
      </c>
      <c r="W313" s="333"/>
    </row>
    <row r="314" spans="1:23" ht="15" customHeight="1" x14ac:dyDescent="0.25">
      <c r="A314" s="335"/>
      <c r="B314" s="210" t="s">
        <v>454</v>
      </c>
      <c r="C314" s="210" t="s">
        <v>462</v>
      </c>
      <c r="D314" s="213" t="s">
        <v>380</v>
      </c>
      <c r="E314" s="435" t="s">
        <v>310</v>
      </c>
      <c r="F314" s="210" t="s">
        <v>311</v>
      </c>
      <c r="G314" s="139">
        <v>1</v>
      </c>
      <c r="H314" s="143"/>
      <c r="I314" s="143"/>
      <c r="J314" s="143">
        <v>10</v>
      </c>
      <c r="K314" s="143">
        <v>10</v>
      </c>
      <c r="L314" s="212"/>
      <c r="M314" s="212"/>
      <c r="N314" s="212"/>
      <c r="O314" s="212"/>
      <c r="P314" s="142">
        <f>IF(Table_Shelter[[#This Row],[Status]]="Open",IF(V314="NO",Table_Shelter[[#This Row],[HH per Shelter]]*(Table_Shelter[[#This Row],['# of Temporary Shelter Units Built]]+Table_Shelter[[#This Row],['# of Temporary Shelter Under  Construction]]+Table_Shelter[[#This Row],['# of Permanent House Under Construction]]),0),0)</f>
        <v>0</v>
      </c>
      <c r="Q314" s="142"/>
      <c r="R314" s="212"/>
      <c r="S314" s="212" t="str">
        <f>IFERROR(VLOOKUP(Table_Shelter[[#This Row],[CampName]],CL,2,0),"")</f>
        <v>MMR001CMP036</v>
      </c>
      <c r="T314" s="212" t="str">
        <f>IFERROR(VLOOKUP(Table_Shelter[[#This Row],[CampName]],CL,3,0),"")</f>
        <v>Closed</v>
      </c>
      <c r="U314" s="332" t="str">
        <f>IFERROR(Table_Shelter[[#This Row],[HH Covered]]/VLOOKUP(Table_Shelter[[#This Row],[CampName]],CL,4,0),"")</f>
        <v/>
      </c>
      <c r="V314" s="552" t="s">
        <v>1310</v>
      </c>
      <c r="W314" s="333"/>
    </row>
    <row r="315" spans="1:23" ht="15" customHeight="1" x14ac:dyDescent="0.25">
      <c r="A315" s="335"/>
      <c r="B315" s="210" t="s">
        <v>454</v>
      </c>
      <c r="C315" s="210"/>
      <c r="D315" s="213" t="s">
        <v>380</v>
      </c>
      <c r="E315" s="215" t="s">
        <v>310</v>
      </c>
      <c r="F315" s="210" t="s">
        <v>311</v>
      </c>
      <c r="G315" s="139">
        <v>1</v>
      </c>
      <c r="H315" s="143"/>
      <c r="I315" s="143"/>
      <c r="J315" s="143">
        <v>5</v>
      </c>
      <c r="K315" s="143">
        <v>5</v>
      </c>
      <c r="L315" s="212"/>
      <c r="M315" s="212"/>
      <c r="N315" s="212"/>
      <c r="O315" s="212"/>
      <c r="P315" s="142">
        <f>IF(Table_Shelter[[#This Row],[Status]]="Open",IF(V315="NO",Table_Shelter[[#This Row],[HH per Shelter]]*(Table_Shelter[[#This Row],['# of Temporary Shelter Units Built]]+Table_Shelter[[#This Row],['# of Temporary Shelter Under  Construction]]+Table_Shelter[[#This Row],['# of Permanent House Under Construction]]),0),0)</f>
        <v>0</v>
      </c>
      <c r="Q315" s="142"/>
      <c r="R315" s="212"/>
      <c r="S315" s="212" t="str">
        <f>IFERROR(VLOOKUP(Table_Shelter[[#This Row],[CampName]],CL,2,0),"")</f>
        <v>MMR001CMP036</v>
      </c>
      <c r="T315" s="212" t="str">
        <f>IFERROR(VLOOKUP(Table_Shelter[[#This Row],[CampName]],CL,3,0),"")</f>
        <v>Closed</v>
      </c>
      <c r="U315" s="332" t="str">
        <f>IFERROR(Table_Shelter[[#This Row],[HH Covered]]/VLOOKUP(Table_Shelter[[#This Row],[CampName]],CL,4,0),"")</f>
        <v/>
      </c>
      <c r="V315" s="552" t="s">
        <v>1310</v>
      </c>
      <c r="W315" s="333"/>
    </row>
    <row r="316" spans="1:23" ht="15" customHeight="1" x14ac:dyDescent="0.25">
      <c r="A316" s="335"/>
      <c r="B316" s="210" t="s">
        <v>571</v>
      </c>
      <c r="C316" s="210"/>
      <c r="D316" s="213" t="s">
        <v>380</v>
      </c>
      <c r="E316" s="435" t="s">
        <v>310</v>
      </c>
      <c r="F316" s="210" t="s">
        <v>311</v>
      </c>
      <c r="G316" s="139">
        <v>1</v>
      </c>
      <c r="H316" s="143"/>
      <c r="I316" s="143"/>
      <c r="J316" s="143">
        <v>10</v>
      </c>
      <c r="K316" s="143">
        <v>10</v>
      </c>
      <c r="L316" s="212"/>
      <c r="M316" s="212"/>
      <c r="N316" s="212"/>
      <c r="O316" s="212"/>
      <c r="P316" s="142">
        <f>IF(Table_Shelter[[#This Row],[Status]]="Open",IF(V316="NO",Table_Shelter[[#This Row],[HH per Shelter]]*(Table_Shelter[[#This Row],['# of Temporary Shelter Units Built]]+Table_Shelter[[#This Row],['# of Temporary Shelter Under  Construction]]+Table_Shelter[[#This Row],['# of Permanent House Under Construction]]),0),0)</f>
        <v>0</v>
      </c>
      <c r="Q316" s="142"/>
      <c r="R316" s="212"/>
      <c r="S316" s="212" t="str">
        <f>IFERROR(VLOOKUP(Table_Shelter[[#This Row],[CampName]],CL,2,0),"")</f>
        <v>MMR001CMP036</v>
      </c>
      <c r="T316" s="212" t="str">
        <f>IFERROR(VLOOKUP(Table_Shelter[[#This Row],[CampName]],CL,3,0),"")</f>
        <v>Closed</v>
      </c>
      <c r="U316" s="332" t="str">
        <f>IFERROR(Table_Shelter[[#This Row],[HH Covered]]/VLOOKUP(Table_Shelter[[#This Row],[CampName]],CL,4,0),"")</f>
        <v/>
      </c>
      <c r="V316" s="552" t="s">
        <v>1310</v>
      </c>
      <c r="W316" s="333"/>
    </row>
    <row r="317" spans="1:23" ht="15" customHeight="1" x14ac:dyDescent="0.25">
      <c r="A317" s="335"/>
      <c r="B317" s="210" t="s">
        <v>454</v>
      </c>
      <c r="C317" s="210" t="s">
        <v>508</v>
      </c>
      <c r="D317" s="213" t="s">
        <v>380</v>
      </c>
      <c r="E317" s="435" t="s">
        <v>529</v>
      </c>
      <c r="F317" s="210" t="s">
        <v>64</v>
      </c>
      <c r="G317" s="139">
        <v>1</v>
      </c>
      <c r="H317" s="143"/>
      <c r="I317" s="143"/>
      <c r="J317" s="143"/>
      <c r="K317" s="143"/>
      <c r="L317" s="212"/>
      <c r="M317" s="212"/>
      <c r="N317" s="212"/>
      <c r="O317" s="212"/>
      <c r="P317" s="142">
        <f>IF(Table_Shelter[[#This Row],[Status]]="Open",IF(V317="NO",Table_Shelter[[#This Row],[HH per Shelter]]*(Table_Shelter[[#This Row],['# of Temporary Shelter Units Built]]+Table_Shelter[[#This Row],['# of Temporary Shelter Under  Construction]]+Table_Shelter[[#This Row],['# of Permanent House Under Construction]]),0),0)</f>
        <v>0</v>
      </c>
      <c r="Q317" s="142">
        <v>14</v>
      </c>
      <c r="R317" s="212"/>
      <c r="S317" s="212" t="str">
        <f>IFERROR(VLOOKUP(Table_Shelter[[#This Row],[CampName]],CL,2,0),"")</f>
        <v>MMR001CMP185</v>
      </c>
      <c r="T317" s="212" t="str">
        <f>IFERROR(VLOOKUP(Table_Shelter[[#This Row],[CampName]],CL,3,0),"")</f>
        <v>Closed</v>
      </c>
      <c r="U317" s="332" t="str">
        <f>IFERROR(Table_Shelter[[#This Row],[HH Covered]]/VLOOKUP(Table_Shelter[[#This Row],[CampName]],CL,4,0),"")</f>
        <v/>
      </c>
      <c r="V317" s="552" t="s">
        <v>1310</v>
      </c>
      <c r="W317" s="333"/>
    </row>
    <row r="318" spans="1:23" x14ac:dyDescent="0.25">
      <c r="A318" s="335">
        <v>41609</v>
      </c>
      <c r="B318" s="210" t="s">
        <v>454</v>
      </c>
      <c r="C318" s="210" t="s">
        <v>462</v>
      </c>
      <c r="D318" s="213" t="s">
        <v>380</v>
      </c>
      <c r="E318" s="215" t="s">
        <v>529</v>
      </c>
      <c r="F318" s="210" t="s">
        <v>126</v>
      </c>
      <c r="G318" s="139">
        <v>1</v>
      </c>
      <c r="H318" s="143"/>
      <c r="I318" s="143"/>
      <c r="J318" s="143">
        <v>15</v>
      </c>
      <c r="K318" s="143">
        <v>15</v>
      </c>
      <c r="L318" s="212"/>
      <c r="M318" s="212"/>
      <c r="N318" s="212"/>
      <c r="O318" s="212"/>
      <c r="P318" s="142">
        <f>IF(Table_Shelter[[#This Row],[Status]]="Open",IF(V318="NO",Table_Shelter[[#This Row],[HH per Shelter]]*(Table_Shelter[[#This Row],['# of Temporary Shelter Units Built]]+Table_Shelter[[#This Row],['# of Temporary Shelter Under  Construction]]+Table_Shelter[[#This Row],['# of Permanent House Under Construction]]),0),0)</f>
        <v>15</v>
      </c>
      <c r="Q318" s="142"/>
      <c r="R318" s="212"/>
      <c r="S318" s="212" t="str">
        <f>IFERROR(VLOOKUP(Table_Shelter[[#This Row],[CampName]],CL,2,0),"")</f>
        <v>MMR001CMP184</v>
      </c>
      <c r="T318" s="212" t="str">
        <f>IFERROR(VLOOKUP(Table_Shelter[[#This Row],[CampName]],CL,3,0),"")</f>
        <v>Open</v>
      </c>
      <c r="U318" s="332">
        <f>IFERROR(Table_Shelter[[#This Row],[HH Covered]]/VLOOKUP(Table_Shelter[[#This Row],[CampName]],CL,4,0),"")</f>
        <v>0.42857142857142855</v>
      </c>
      <c r="V318" s="552" t="s">
        <v>1310</v>
      </c>
      <c r="W318" s="333"/>
    </row>
    <row r="319" spans="1:23" x14ac:dyDescent="0.25">
      <c r="A319" s="335"/>
      <c r="B319" s="210" t="s">
        <v>864</v>
      </c>
      <c r="C319" s="210"/>
      <c r="D319" s="213" t="s">
        <v>380</v>
      </c>
      <c r="E319" s="215" t="s">
        <v>529</v>
      </c>
      <c r="F319" s="210" t="s">
        <v>126</v>
      </c>
      <c r="G319" s="139">
        <v>1</v>
      </c>
      <c r="H319" s="143">
        <v>7</v>
      </c>
      <c r="I319" s="143">
        <v>7</v>
      </c>
      <c r="J319" s="143"/>
      <c r="K319" s="143"/>
      <c r="L319" s="212"/>
      <c r="M319" s="212"/>
      <c r="N319" s="212"/>
      <c r="O319" s="212"/>
      <c r="P319" s="142">
        <f>IF(Table_Shelter[[#This Row],[Status]]="Open",IF(V319="NO",Table_Shelter[[#This Row],[HH per Shelter]]*(Table_Shelter[[#This Row],['# of Temporary Shelter Units Built]]+Table_Shelter[[#This Row],['# of Temporary Shelter Under  Construction]]+Table_Shelter[[#This Row],['# of Permanent House Under Construction]]),0),0)</f>
        <v>0</v>
      </c>
      <c r="Q319" s="142"/>
      <c r="R319" s="212"/>
      <c r="S319" s="212" t="str">
        <f>IFERROR(VLOOKUP(Table_Shelter[[#This Row],[CampName]],CL,2,0),"")</f>
        <v>MMR001CMP184</v>
      </c>
      <c r="T319" s="212" t="str">
        <f>IFERROR(VLOOKUP(Table_Shelter[[#This Row],[CampName]],CL,3,0),"")</f>
        <v>Open</v>
      </c>
      <c r="U319" s="332">
        <f>IFERROR(Table_Shelter[[#This Row],[HH Covered]]/VLOOKUP(Table_Shelter[[#This Row],[CampName]],CL,4,0),"")</f>
        <v>0</v>
      </c>
      <c r="V319" s="552" t="s">
        <v>1310</v>
      </c>
      <c r="W319" s="333"/>
    </row>
    <row r="320" spans="1:23" x14ac:dyDescent="0.25">
      <c r="A320" s="335"/>
      <c r="B320" s="210" t="s">
        <v>864</v>
      </c>
      <c r="C320" s="210"/>
      <c r="D320" s="213" t="s">
        <v>380</v>
      </c>
      <c r="E320" s="215" t="s">
        <v>529</v>
      </c>
      <c r="F320" s="210" t="s">
        <v>902</v>
      </c>
      <c r="G320" s="139">
        <v>1</v>
      </c>
      <c r="H320" s="143">
        <v>47</v>
      </c>
      <c r="I320" s="143">
        <v>47</v>
      </c>
      <c r="J320" s="143"/>
      <c r="K320" s="143"/>
      <c r="L320" s="212"/>
      <c r="M320" s="212"/>
      <c r="N320" s="212"/>
      <c r="O320" s="212"/>
      <c r="P320" s="142">
        <f>IF(Table_Shelter[[#This Row],[Status]]="Open",IF(V320="NO",Table_Shelter[[#This Row],[HH per Shelter]]*(Table_Shelter[[#This Row],['# of Temporary Shelter Units Built]]+Table_Shelter[[#This Row],['# of Temporary Shelter Under  Construction]]+Table_Shelter[[#This Row],['# of Permanent House Under Construction]]),0),0)</f>
        <v>0</v>
      </c>
      <c r="Q320" s="142"/>
      <c r="R320" s="212"/>
      <c r="S320" s="212" t="str">
        <f>IFERROR(VLOOKUP(Table_Shelter[[#This Row],[CampName]],CL,2,0),"")</f>
        <v/>
      </c>
      <c r="T320" s="212" t="str">
        <f>IFERROR(VLOOKUP(Table_Shelter[[#This Row],[CampName]],CL,3,0),"")</f>
        <v/>
      </c>
      <c r="U320" s="332" t="str">
        <f>IFERROR(Table_Shelter[[#This Row],[HH Covered]]/VLOOKUP(Table_Shelter[[#This Row],[CampName]],CL,4,0),"")</f>
        <v/>
      </c>
      <c r="V320" s="552" t="s">
        <v>1310</v>
      </c>
      <c r="W320" s="333"/>
    </row>
    <row r="321" spans="1:23" x14ac:dyDescent="0.25">
      <c r="A321" s="335">
        <v>41609</v>
      </c>
      <c r="B321" s="210" t="s">
        <v>454</v>
      </c>
      <c r="C321" s="210" t="s">
        <v>508</v>
      </c>
      <c r="D321" s="213" t="s">
        <v>380</v>
      </c>
      <c r="E321" s="215" t="s">
        <v>310</v>
      </c>
      <c r="F321" s="210" t="s">
        <v>353</v>
      </c>
      <c r="G321" s="139">
        <v>1</v>
      </c>
      <c r="H321" s="143"/>
      <c r="I321" s="143"/>
      <c r="J321" s="143">
        <v>160</v>
      </c>
      <c r="K321" s="143">
        <v>160</v>
      </c>
      <c r="L321" s="212"/>
      <c r="M321" s="212"/>
      <c r="N321" s="212"/>
      <c r="O321" s="212"/>
      <c r="P321" s="142">
        <f>IF(Table_Shelter[[#This Row],[Status]]="Open",IF(V321="NO",Table_Shelter[[#This Row],[HH per Shelter]]*(Table_Shelter[[#This Row],['# of Temporary Shelter Units Built]]+Table_Shelter[[#This Row],['# of Temporary Shelter Under  Construction]]+Table_Shelter[[#This Row],['# of Permanent House Under Construction]]),0),0)</f>
        <v>160</v>
      </c>
      <c r="Q321" s="142"/>
      <c r="R321" s="212"/>
      <c r="S321" s="212" t="str">
        <f>IFERROR(VLOOKUP(Table_Shelter[[#This Row],[CampName]],CL,2,0),"")</f>
        <v>MMR001CMP116</v>
      </c>
      <c r="T321" s="212" t="str">
        <f>IFERROR(VLOOKUP(Table_Shelter[[#This Row],[CampName]],CL,3,0),"")</f>
        <v>Open</v>
      </c>
      <c r="U321" s="332">
        <f>IFERROR(Table_Shelter[[#This Row],[HH Covered]]/VLOOKUP(Table_Shelter[[#This Row],[CampName]],CL,4,0),"")</f>
        <v>0.11816838995568685</v>
      </c>
      <c r="V321" s="552" t="s">
        <v>1310</v>
      </c>
      <c r="W321" s="333"/>
    </row>
    <row r="322" spans="1:23" x14ac:dyDescent="0.25">
      <c r="A322" s="335"/>
      <c r="B322" s="210" t="s">
        <v>848</v>
      </c>
      <c r="C322" s="210"/>
      <c r="D322" s="213" t="s">
        <v>380</v>
      </c>
      <c r="E322" s="215" t="s">
        <v>310</v>
      </c>
      <c r="F322" s="210" t="s">
        <v>353</v>
      </c>
      <c r="G322" s="139">
        <v>1</v>
      </c>
      <c r="H322" s="143"/>
      <c r="I322" s="143"/>
      <c r="J322" s="143">
        <v>300</v>
      </c>
      <c r="K322" s="143"/>
      <c r="L322" s="212"/>
      <c r="M322" s="212"/>
      <c r="N322" s="212"/>
      <c r="O322" s="212"/>
      <c r="P322" s="142">
        <f>IF(Table_Shelter[[#This Row],[Status]]="Open",IF(V322="NO",Table_Shelter[[#This Row],[HH per Shelter]]*(Table_Shelter[[#This Row],['# of Temporary Shelter Units Built]]+Table_Shelter[[#This Row],['# of Temporary Shelter Under  Construction]]+Table_Shelter[[#This Row],['# of Permanent House Under Construction]]),0),0)</f>
        <v>0</v>
      </c>
      <c r="Q322" s="142"/>
      <c r="R322" s="212"/>
      <c r="S322" s="212" t="str">
        <f>IFERROR(VLOOKUP(Table_Shelter[[#This Row],[CampName]],CL,2,0),"")</f>
        <v>MMR001CMP116</v>
      </c>
      <c r="T322" s="212" t="str">
        <f>IFERROR(VLOOKUP(Table_Shelter[[#This Row],[CampName]],CL,3,0),"")</f>
        <v>Open</v>
      </c>
      <c r="U322" s="332">
        <f>IFERROR(Table_Shelter[[#This Row],[HH Covered]]/VLOOKUP(Table_Shelter[[#This Row],[CampName]],CL,4,0),"")</f>
        <v>0</v>
      </c>
      <c r="V322" s="552" t="s">
        <v>1310</v>
      </c>
      <c r="W322" s="333"/>
    </row>
    <row r="323" spans="1:23" x14ac:dyDescent="0.25">
      <c r="A323" s="335"/>
      <c r="B323" s="210" t="s">
        <v>454</v>
      </c>
      <c r="C323" s="210" t="s">
        <v>507</v>
      </c>
      <c r="D323" s="213" t="s">
        <v>380</v>
      </c>
      <c r="E323" s="215" t="s">
        <v>237</v>
      </c>
      <c r="F323" s="210" t="s">
        <v>283</v>
      </c>
      <c r="G323" s="139">
        <v>1</v>
      </c>
      <c r="H323" s="143"/>
      <c r="I323" s="143"/>
      <c r="J323" s="143">
        <v>24</v>
      </c>
      <c r="K323" s="143">
        <v>24</v>
      </c>
      <c r="L323" s="212"/>
      <c r="M323" s="212"/>
      <c r="N323" s="212"/>
      <c r="O323" s="212"/>
      <c r="P323" s="142">
        <f>IF(Table_Shelter[[#This Row],[Status]]="Open",IF(V323="NO",Table_Shelter[[#This Row],[HH per Shelter]]*(Table_Shelter[[#This Row],['# of Temporary Shelter Units Built]]+Table_Shelter[[#This Row],['# of Temporary Shelter Under  Construction]]+Table_Shelter[[#This Row],['# of Permanent House Under Construction]]),0),0)</f>
        <v>24</v>
      </c>
      <c r="Q323" s="142"/>
      <c r="R323" s="212"/>
      <c r="S323" s="212" t="str">
        <f>IFERROR(VLOOKUP(Table_Shelter[[#This Row],[CampName]],CL,2,0),"")</f>
        <v>MMR001CMP022</v>
      </c>
      <c r="T323" s="212" t="str">
        <f>IFERROR(VLOOKUP(Table_Shelter[[#This Row],[CampName]],CL,3,0),"")</f>
        <v>Open</v>
      </c>
      <c r="U323" s="332">
        <f>IFERROR(Table_Shelter[[#This Row],[HH Covered]]/VLOOKUP(Table_Shelter[[#This Row],[CampName]],CL,4,0),"")</f>
        <v>3.4285714285714284</v>
      </c>
      <c r="V323" s="552" t="s">
        <v>1310</v>
      </c>
      <c r="W323" s="333"/>
    </row>
    <row r="324" spans="1:23" x14ac:dyDescent="0.25">
      <c r="A324" s="335">
        <v>41609</v>
      </c>
      <c r="B324" s="210" t="s">
        <v>454</v>
      </c>
      <c r="C324" s="210"/>
      <c r="D324" s="213" t="s">
        <v>380</v>
      </c>
      <c r="E324" s="435" t="s">
        <v>5</v>
      </c>
      <c r="F324" s="210" t="s">
        <v>26</v>
      </c>
      <c r="G324" s="139">
        <v>1</v>
      </c>
      <c r="H324" s="143"/>
      <c r="I324" s="143"/>
      <c r="J324" s="143">
        <v>5</v>
      </c>
      <c r="K324" s="143">
        <v>5</v>
      </c>
      <c r="L324" s="212"/>
      <c r="M324" s="212"/>
      <c r="N324" s="212"/>
      <c r="O324" s="212"/>
      <c r="P324" s="142">
        <f>IF(Table_Shelter[[#This Row],[Status]]="Open",IF(V324="NO",Table_Shelter[[#This Row],[HH per Shelter]]*(Table_Shelter[[#This Row],['# of Temporary Shelter Units Built]]+Table_Shelter[[#This Row],['# of Temporary Shelter Under  Construction]]+Table_Shelter[[#This Row],['# of Permanent House Under Construction]]),0),0)</f>
        <v>5</v>
      </c>
      <c r="Q324" s="142"/>
      <c r="R324" s="142"/>
      <c r="S324" s="142" t="str">
        <f>IFERROR(VLOOKUP(Table_Shelter[[#This Row],[CampName]],CL,2,0),"")</f>
        <v>MMR001CMP053</v>
      </c>
      <c r="T324" s="142" t="str">
        <f>IFERROR(VLOOKUP(Table_Shelter[[#This Row],[CampName]],CL,3,0),"")</f>
        <v>Open</v>
      </c>
      <c r="U324" s="332">
        <f>IFERROR(Table_Shelter[[#This Row],[HH Covered]]/VLOOKUP(Table_Shelter[[#This Row],[CampName]],CL,4,0),"")</f>
        <v>0.33333333333333331</v>
      </c>
      <c r="V324" s="552" t="s">
        <v>1310</v>
      </c>
      <c r="W324" s="336"/>
    </row>
    <row r="325" spans="1:23" x14ac:dyDescent="0.25">
      <c r="A325" s="335"/>
      <c r="B325" s="210" t="s">
        <v>848</v>
      </c>
      <c r="C325" s="210"/>
      <c r="D325" s="213" t="s">
        <v>380</v>
      </c>
      <c r="E325" s="215" t="s">
        <v>5</v>
      </c>
      <c r="F325" s="210" t="s">
        <v>26</v>
      </c>
      <c r="G325" s="139">
        <v>1</v>
      </c>
      <c r="H325" s="143"/>
      <c r="I325" s="143"/>
      <c r="J325" s="143">
        <v>30</v>
      </c>
      <c r="K325" s="143">
        <v>30</v>
      </c>
      <c r="L325" s="212"/>
      <c r="M325" s="212"/>
      <c r="N325" s="212"/>
      <c r="O325" s="212"/>
      <c r="P325" s="142">
        <f>IF(Table_Shelter[[#This Row],[Status]]="Open",IF(V325="NO",Table_Shelter[[#This Row],[HH per Shelter]]*(Table_Shelter[[#This Row],['# of Temporary Shelter Units Built]]+Table_Shelter[[#This Row],['# of Temporary Shelter Under  Construction]]+Table_Shelter[[#This Row],['# of Permanent House Under Construction]]),0),0)</f>
        <v>30</v>
      </c>
      <c r="Q325" s="142"/>
      <c r="R325" s="212"/>
      <c r="S325" s="212" t="str">
        <f>IFERROR(VLOOKUP(Table_Shelter[[#This Row],[CampName]],CL,2,0),"")</f>
        <v>MMR001CMP053</v>
      </c>
      <c r="T325" s="212" t="str">
        <f>IFERROR(VLOOKUP(Table_Shelter[[#This Row],[CampName]],CL,3,0),"")</f>
        <v>Open</v>
      </c>
      <c r="U325" s="332">
        <f>IFERROR(Table_Shelter[[#This Row],[HH Covered]]/VLOOKUP(Table_Shelter[[#This Row],[CampName]],CL,4,0),"")</f>
        <v>2</v>
      </c>
      <c r="V325" s="552" t="s">
        <v>1310</v>
      </c>
      <c r="W325" s="333"/>
    </row>
    <row r="326" spans="1:23" x14ac:dyDescent="0.25">
      <c r="A326" s="335"/>
      <c r="B326" s="210" t="s">
        <v>454</v>
      </c>
      <c r="C326" s="210" t="s">
        <v>848</v>
      </c>
      <c r="D326" s="213" t="s">
        <v>380</v>
      </c>
      <c r="E326" s="215" t="s">
        <v>5</v>
      </c>
      <c r="F326" s="210" t="s">
        <v>26</v>
      </c>
      <c r="G326" s="139">
        <v>1</v>
      </c>
      <c r="H326" s="143"/>
      <c r="I326" s="143"/>
      <c r="J326" s="143">
        <v>12</v>
      </c>
      <c r="K326" s="143">
        <v>12</v>
      </c>
      <c r="L326" s="212"/>
      <c r="M326" s="212"/>
      <c r="N326" s="212"/>
      <c r="O326" s="212"/>
      <c r="P326" s="142">
        <f>IF(Table_Shelter[[#This Row],[Status]]="Open",IF(V326="NO",Table_Shelter[[#This Row],[HH per Shelter]]*(Table_Shelter[[#This Row],['# of Temporary Shelter Units Built]]+Table_Shelter[[#This Row],['# of Temporary Shelter Under  Construction]]+Table_Shelter[[#This Row],['# of Permanent House Under Construction]]),0),0)</f>
        <v>12</v>
      </c>
      <c r="Q326" s="142"/>
      <c r="R326" s="212"/>
      <c r="S326" s="212" t="str">
        <f>IFERROR(VLOOKUP(Table_Shelter[[#This Row],[CampName]],CL,2,0),"")</f>
        <v>MMR001CMP053</v>
      </c>
      <c r="T326" s="212" t="str">
        <f>IFERROR(VLOOKUP(Table_Shelter[[#This Row],[CampName]],CL,3,0),"")</f>
        <v>Open</v>
      </c>
      <c r="U326" s="332">
        <f>IFERROR(Table_Shelter[[#This Row],[HH Covered]]/VLOOKUP(Table_Shelter[[#This Row],[CampName]],CL,4,0),"")</f>
        <v>0.8</v>
      </c>
      <c r="V326" s="552" t="s">
        <v>1310</v>
      </c>
      <c r="W326" s="333"/>
    </row>
    <row r="327" spans="1:23" x14ac:dyDescent="0.25">
      <c r="A327" s="335"/>
      <c r="B327" s="210" t="s">
        <v>454</v>
      </c>
      <c r="C327" s="210" t="s">
        <v>507</v>
      </c>
      <c r="D327" s="213" t="s">
        <v>380</v>
      </c>
      <c r="E327" s="215" t="s">
        <v>5</v>
      </c>
      <c r="F327" s="210" t="s">
        <v>26</v>
      </c>
      <c r="G327" s="139">
        <v>1</v>
      </c>
      <c r="H327" s="143"/>
      <c r="I327" s="143"/>
      <c r="J327" s="143">
        <v>10</v>
      </c>
      <c r="K327" s="143">
        <v>10</v>
      </c>
      <c r="L327" s="212"/>
      <c r="M327" s="212"/>
      <c r="N327" s="212"/>
      <c r="O327" s="212"/>
      <c r="P327" s="142">
        <f>IF(Table_Shelter[[#This Row],[Status]]="Open",IF(V327="NO",Table_Shelter[[#This Row],[HH per Shelter]]*(Table_Shelter[[#This Row],['# of Temporary Shelter Units Built]]+Table_Shelter[[#This Row],['# of Temporary Shelter Under  Construction]]+Table_Shelter[[#This Row],['# of Permanent House Under Construction]]),0),0)</f>
        <v>10</v>
      </c>
      <c r="Q327" s="142"/>
      <c r="R327" s="212"/>
      <c r="S327" s="212" t="str">
        <f>IFERROR(VLOOKUP(Table_Shelter[[#This Row],[CampName]],CL,2,0),"")</f>
        <v>MMR001CMP053</v>
      </c>
      <c r="T327" s="212" t="str">
        <f>IFERROR(VLOOKUP(Table_Shelter[[#This Row],[CampName]],CL,3,0),"")</f>
        <v>Open</v>
      </c>
      <c r="U327" s="332">
        <f>IFERROR(Table_Shelter[[#This Row],[HH Covered]]/VLOOKUP(Table_Shelter[[#This Row],[CampName]],CL,4,0),"")</f>
        <v>0.66666666666666663</v>
      </c>
      <c r="V327" s="552" t="s">
        <v>1310</v>
      </c>
      <c r="W327" s="333"/>
    </row>
    <row r="328" spans="1:23" x14ac:dyDescent="0.25">
      <c r="A328" s="335"/>
      <c r="B328" s="210" t="s">
        <v>454</v>
      </c>
      <c r="C328" s="210"/>
      <c r="D328" s="213" t="s">
        <v>380</v>
      </c>
      <c r="E328" s="215" t="s">
        <v>5</v>
      </c>
      <c r="F328" s="210" t="s">
        <v>26</v>
      </c>
      <c r="G328" s="139">
        <v>1</v>
      </c>
      <c r="H328" s="143"/>
      <c r="I328" s="143"/>
      <c r="J328" s="143">
        <v>6</v>
      </c>
      <c r="K328" s="143"/>
      <c r="L328" s="212"/>
      <c r="M328" s="212"/>
      <c r="N328" s="212"/>
      <c r="O328" s="212"/>
      <c r="P328" s="142">
        <f>IF(Table_Shelter[[#This Row],[Status]]="Open",IF(V328="NO",Table_Shelter[[#This Row],[HH per Shelter]]*(Table_Shelter[[#This Row],['# of Temporary Shelter Units Built]]+Table_Shelter[[#This Row],['# of Temporary Shelter Under  Construction]]+Table_Shelter[[#This Row],['# of Permanent House Under Construction]]),0),0)</f>
        <v>0</v>
      </c>
      <c r="Q328" s="142"/>
      <c r="R328" s="212"/>
      <c r="S328" s="212" t="str">
        <f>IFERROR(VLOOKUP(Table_Shelter[[#This Row],[CampName]],CL,2,0),"")</f>
        <v>MMR001CMP053</v>
      </c>
      <c r="T328" s="212" t="str">
        <f>IFERROR(VLOOKUP(Table_Shelter[[#This Row],[CampName]],CL,3,0),"")</f>
        <v>Open</v>
      </c>
      <c r="U328" s="332">
        <f>IFERROR(Table_Shelter[[#This Row],[HH Covered]]/VLOOKUP(Table_Shelter[[#This Row],[CampName]],CL,4,0),"")</f>
        <v>0</v>
      </c>
      <c r="V328" s="552" t="s">
        <v>1310</v>
      </c>
      <c r="W328" s="333"/>
    </row>
    <row r="329" spans="1:23" x14ac:dyDescent="0.25">
      <c r="A329" s="335"/>
      <c r="B329" s="210" t="s">
        <v>454</v>
      </c>
      <c r="C329" s="210" t="s">
        <v>507</v>
      </c>
      <c r="D329" s="213" t="s">
        <v>380</v>
      </c>
      <c r="E329" s="215" t="s">
        <v>529</v>
      </c>
      <c r="F329" s="210" t="s">
        <v>140</v>
      </c>
      <c r="G329" s="139">
        <v>1</v>
      </c>
      <c r="H329" s="143"/>
      <c r="I329" s="143"/>
      <c r="J329" s="143">
        <v>10</v>
      </c>
      <c r="K329" s="143">
        <v>10</v>
      </c>
      <c r="L329" s="212"/>
      <c r="M329" s="212"/>
      <c r="N329" s="212"/>
      <c r="O329" s="212"/>
      <c r="P329" s="142">
        <f>IF(Table_Shelter[[#This Row],[Status]]="Open",IF(V329="NO",Table_Shelter[[#This Row],[HH per Shelter]]*(Table_Shelter[[#This Row],['# of Temporary Shelter Units Built]]+Table_Shelter[[#This Row],['# of Temporary Shelter Under  Construction]]+Table_Shelter[[#This Row],['# of Permanent House Under Construction]]),0),0)</f>
        <v>10</v>
      </c>
      <c r="Q329" s="142"/>
      <c r="R329" s="212"/>
      <c r="S329" s="212" t="str">
        <f>IFERROR(VLOOKUP(Table_Shelter[[#This Row],[CampName]],CL,2,0),"")</f>
        <v>MMR001CMP105</v>
      </c>
      <c r="T329" s="212" t="str">
        <f>IFERROR(VLOOKUP(Table_Shelter[[#This Row],[CampName]],CL,3,0),"")</f>
        <v>Open</v>
      </c>
      <c r="U329" s="332">
        <f>IFERROR(Table_Shelter[[#This Row],[HH Covered]]/VLOOKUP(Table_Shelter[[#This Row],[CampName]],CL,4,0),"")</f>
        <v>0.52631578947368418</v>
      </c>
      <c r="V329" s="552" t="s">
        <v>1310</v>
      </c>
      <c r="W329" s="333"/>
    </row>
    <row r="330" spans="1:23" x14ac:dyDescent="0.25">
      <c r="A330" s="605">
        <v>42502</v>
      </c>
      <c r="B330" s="606" t="s">
        <v>454</v>
      </c>
      <c r="C330" s="607" t="s">
        <v>462</v>
      </c>
      <c r="D330" s="608" t="s">
        <v>380</v>
      </c>
      <c r="E330" s="215" t="s">
        <v>310</v>
      </c>
      <c r="F330" s="606" t="s">
        <v>1249</v>
      </c>
      <c r="G330" s="606">
        <v>1</v>
      </c>
      <c r="H330" s="607"/>
      <c r="I330" s="607"/>
      <c r="J330" s="607"/>
      <c r="K330" s="607"/>
      <c r="L330" s="607"/>
      <c r="M330" s="607"/>
      <c r="N330" s="607"/>
      <c r="O330" s="607"/>
      <c r="P330" s="609">
        <f>IF(Table_Shelter[[#This Row],[Status]]="Open",IF(V330="NO",Table_Shelter[[#This Row],[HH per Shelter]]*(Table_Shelter[[#This Row],['# of Temporary Shelter Units Built]]+Table_Shelter[[#This Row],['# of Temporary Shelter Under  Construction]]+Table_Shelter[[#This Row],['# of Permanent House Under Construction]]),0),0)</f>
        <v>0</v>
      </c>
      <c r="Q330" s="609">
        <v>40</v>
      </c>
      <c r="R330" s="609"/>
      <c r="S330" s="610" t="str">
        <f>IFERROR(VLOOKUP(Table_Shelter[[#This Row],[CampName]],CL,2,0),"")</f>
        <v>MMR001CMP111</v>
      </c>
      <c r="T330" s="611" t="str">
        <f>IFERROR(VLOOKUP(Table_Shelter[[#This Row],[CampName]],CL,3,0),"")</f>
        <v>Open</v>
      </c>
      <c r="U330" s="612">
        <f>IFERROR(Table_Shelter[[#This Row],[HH Covered]]/VLOOKUP(Table_Shelter[[#This Row],[CampName]],CL,4,0),"")</f>
        <v>0</v>
      </c>
      <c r="V330" s="604" t="s">
        <v>1310</v>
      </c>
      <c r="W330" s="613"/>
    </row>
    <row r="331" spans="1:23" x14ac:dyDescent="0.25">
      <c r="A331" s="335">
        <v>42416</v>
      </c>
      <c r="B331" s="210" t="s">
        <v>454</v>
      </c>
      <c r="C331" s="210" t="s">
        <v>462</v>
      </c>
      <c r="D331" s="213" t="s">
        <v>380</v>
      </c>
      <c r="E331" s="435" t="s">
        <v>310</v>
      </c>
      <c r="F331" s="210" t="s">
        <v>1249</v>
      </c>
      <c r="G331" s="139">
        <v>1</v>
      </c>
      <c r="H331" s="143"/>
      <c r="I331" s="143"/>
      <c r="J331" s="143"/>
      <c r="K331" s="143"/>
      <c r="L331" s="212"/>
      <c r="M331" s="212"/>
      <c r="N331" s="212"/>
      <c r="O331" s="212"/>
      <c r="P331" s="142">
        <f>IF(Table_Shelter[[#This Row],[Status]]="Open",IF(V331="NO",Table_Shelter[[#This Row],[HH per Shelter]]*(Table_Shelter[[#This Row],['# of Temporary Shelter Units Built]]+Table_Shelter[[#This Row],['# of Temporary Shelter Under  Construction]]+Table_Shelter[[#This Row],['# of Permanent House Under Construction]]),0),0)</f>
        <v>0</v>
      </c>
      <c r="Q331" s="142">
        <v>8</v>
      </c>
      <c r="R331" s="142">
        <v>8</v>
      </c>
      <c r="S331" s="212" t="str">
        <f>IFERROR(VLOOKUP(Table_Shelter[[#This Row],[CampName]],CL,2,0),"")</f>
        <v>MMR001CMP111</v>
      </c>
      <c r="T331" s="212" t="str">
        <f>IFERROR(VLOOKUP(Table_Shelter[[#This Row],[CampName]],CL,3,0),"")</f>
        <v>Open</v>
      </c>
      <c r="U331" s="332">
        <f>IFERROR(Table_Shelter[[#This Row],[HH Covered]]/VLOOKUP(Table_Shelter[[#This Row],[CampName]],CL,4,0),"")</f>
        <v>0</v>
      </c>
      <c r="V331" s="333" t="s">
        <v>1310</v>
      </c>
      <c r="W331" s="594"/>
    </row>
    <row r="332" spans="1:23" x14ac:dyDescent="0.25">
      <c r="A332" s="335">
        <v>41609</v>
      </c>
      <c r="B332" s="210" t="s">
        <v>454</v>
      </c>
      <c r="C332" s="210" t="s">
        <v>462</v>
      </c>
      <c r="D332" s="213" t="s">
        <v>380</v>
      </c>
      <c r="E332" s="215" t="s">
        <v>310</v>
      </c>
      <c r="F332" s="210" t="s">
        <v>1249</v>
      </c>
      <c r="G332" s="139">
        <v>1</v>
      </c>
      <c r="H332" s="143"/>
      <c r="I332" s="143"/>
      <c r="J332" s="143">
        <v>76</v>
      </c>
      <c r="K332" s="143">
        <v>76</v>
      </c>
      <c r="L332" s="212"/>
      <c r="M332" s="212"/>
      <c r="N332" s="212"/>
      <c r="O332" s="212"/>
      <c r="P332" s="142">
        <f>IF(Table_Shelter[[#This Row],[Status]]="Open",IF(V332="NO",Table_Shelter[[#This Row],[HH per Shelter]]*(Table_Shelter[[#This Row],['# of Temporary Shelter Units Built]]+Table_Shelter[[#This Row],['# of Temporary Shelter Under  Construction]]+Table_Shelter[[#This Row],['# of Permanent House Under Construction]]),0),0)</f>
        <v>76</v>
      </c>
      <c r="Q332" s="142"/>
      <c r="R332" s="142"/>
      <c r="S332" s="142" t="str">
        <f>IFERROR(VLOOKUP(Table_Shelter[[#This Row],[CampName]],CL,2,0),"")</f>
        <v>MMR001CMP111</v>
      </c>
      <c r="T332" s="142" t="str">
        <f>IFERROR(VLOOKUP(Table_Shelter[[#This Row],[CampName]],CL,3,0),"")</f>
        <v>Open</v>
      </c>
      <c r="U332" s="332">
        <f>IFERROR(Table_Shelter[[#This Row],[HH Covered]]/VLOOKUP(Table_Shelter[[#This Row],[CampName]],CL,4,0),"")</f>
        <v>0.12418300653594772</v>
      </c>
      <c r="V332" s="552" t="s">
        <v>1310</v>
      </c>
      <c r="W332" s="336"/>
    </row>
    <row r="333" spans="1:23" x14ac:dyDescent="0.25">
      <c r="A333" s="335"/>
      <c r="B333" s="210" t="s">
        <v>572</v>
      </c>
      <c r="C333" s="210" t="s">
        <v>462</v>
      </c>
      <c r="D333" s="213" t="s">
        <v>380</v>
      </c>
      <c r="E333" s="215" t="s">
        <v>310</v>
      </c>
      <c r="F333" s="210" t="s">
        <v>1249</v>
      </c>
      <c r="G333" s="139">
        <v>1</v>
      </c>
      <c r="H333" s="143"/>
      <c r="I333" s="143"/>
      <c r="J333" s="143">
        <v>220</v>
      </c>
      <c r="K333" s="143">
        <v>220</v>
      </c>
      <c r="L333" s="212"/>
      <c r="M333" s="212"/>
      <c r="N333" s="212"/>
      <c r="O333" s="212"/>
      <c r="P333" s="142">
        <f>IF(Table_Shelter[[#This Row],[Status]]="Open",IF(V333="NO",Table_Shelter[[#This Row],[HH per Shelter]]*(Table_Shelter[[#This Row],['# of Temporary Shelter Units Built]]+Table_Shelter[[#This Row],['# of Temporary Shelter Under  Construction]]+Table_Shelter[[#This Row],['# of Permanent House Under Construction]]),0),0)</f>
        <v>220</v>
      </c>
      <c r="Q333" s="142"/>
      <c r="R333" s="212"/>
      <c r="S333" s="212" t="str">
        <f>IFERROR(VLOOKUP(Table_Shelter[[#This Row],[CampName]],CL,2,0),"")</f>
        <v>MMR001CMP111</v>
      </c>
      <c r="T333" s="212" t="str">
        <f>IFERROR(VLOOKUP(Table_Shelter[[#This Row],[CampName]],CL,3,0),"")</f>
        <v>Open</v>
      </c>
      <c r="U333" s="332">
        <f>IFERROR(Table_Shelter[[#This Row],[HH Covered]]/VLOOKUP(Table_Shelter[[#This Row],[CampName]],CL,4,0),"")</f>
        <v>0.35947712418300654</v>
      </c>
      <c r="V333" s="552" t="s">
        <v>1310</v>
      </c>
      <c r="W333" s="333"/>
    </row>
    <row r="334" spans="1:23" x14ac:dyDescent="0.25">
      <c r="A334" s="335"/>
      <c r="B334" s="210" t="s">
        <v>454</v>
      </c>
      <c r="C334" s="210" t="s">
        <v>462</v>
      </c>
      <c r="D334" s="213" t="s">
        <v>380</v>
      </c>
      <c r="E334" s="215" t="s">
        <v>310</v>
      </c>
      <c r="F334" s="210" t="s">
        <v>1249</v>
      </c>
      <c r="G334" s="139">
        <v>1</v>
      </c>
      <c r="H334" s="143"/>
      <c r="I334" s="143"/>
      <c r="J334" s="143">
        <v>325</v>
      </c>
      <c r="K334" s="143">
        <v>325</v>
      </c>
      <c r="L334" s="212"/>
      <c r="M334" s="212"/>
      <c r="N334" s="212"/>
      <c r="O334" s="212"/>
      <c r="P334" s="142">
        <f>IF(Table_Shelter[[#This Row],[Status]]="Open",IF(V334="NO",Table_Shelter[[#This Row],[HH per Shelter]]*(Table_Shelter[[#This Row],['# of Temporary Shelter Units Built]]+Table_Shelter[[#This Row],['# of Temporary Shelter Under  Construction]]+Table_Shelter[[#This Row],['# of Permanent House Under Construction]]),0),0)</f>
        <v>325</v>
      </c>
      <c r="Q334" s="142"/>
      <c r="R334" s="212"/>
      <c r="S334" s="212" t="str">
        <f>IFERROR(VLOOKUP(Table_Shelter[[#This Row],[CampName]],CL,2,0),"")</f>
        <v>MMR001CMP111</v>
      </c>
      <c r="T334" s="212" t="str">
        <f>IFERROR(VLOOKUP(Table_Shelter[[#This Row],[CampName]],CL,3,0),"")</f>
        <v>Open</v>
      </c>
      <c r="U334" s="332">
        <f>IFERROR(Table_Shelter[[#This Row],[HH Covered]]/VLOOKUP(Table_Shelter[[#This Row],[CampName]],CL,4,0),"")</f>
        <v>0.53104575163398693</v>
      </c>
      <c r="V334" s="552" t="s">
        <v>1310</v>
      </c>
      <c r="W334" s="333"/>
    </row>
    <row r="335" spans="1:23" x14ac:dyDescent="0.25">
      <c r="A335" s="334">
        <v>42416</v>
      </c>
      <c r="B335" s="210" t="s">
        <v>848</v>
      </c>
      <c r="C335" s="210"/>
      <c r="D335" s="213" t="s">
        <v>555</v>
      </c>
      <c r="E335" s="435" t="s">
        <v>146</v>
      </c>
      <c r="F335" s="210" t="s">
        <v>373</v>
      </c>
      <c r="G335" s="139">
        <v>1</v>
      </c>
      <c r="H335" s="143"/>
      <c r="I335" s="143"/>
      <c r="J335" s="143">
        <v>16</v>
      </c>
      <c r="K335" s="143">
        <v>16</v>
      </c>
      <c r="L335" s="212"/>
      <c r="M335" s="212"/>
      <c r="N335" s="212"/>
      <c r="O335" s="212"/>
      <c r="P335" s="142">
        <f>IF(Table_Shelter[[#This Row],[Status]]="Open",IF(V335="NO",Table_Shelter[[#This Row],[HH per Shelter]]*(Table_Shelter[[#This Row],['# of Temporary Shelter Units Built]]+Table_Shelter[[#This Row],['# of Temporary Shelter Under  Construction]]+Table_Shelter[[#This Row],['# of Permanent House Under Construction]]),0),0)</f>
        <v>16</v>
      </c>
      <c r="Q335" s="142"/>
      <c r="R335" s="212"/>
      <c r="S335" s="212" t="str">
        <f>IFERROR(VLOOKUP(Table_Shelter[[#This Row],[CampName]],CL,2,0),"")</f>
        <v>MMR015CMP020</v>
      </c>
      <c r="T335" s="212" t="str">
        <f>IFERROR(VLOOKUP(Table_Shelter[[#This Row],[CampName]],CL,3,0),"")</f>
        <v>Open</v>
      </c>
      <c r="U335" s="332">
        <f>IFERROR(Table_Shelter[[#This Row],[HH Covered]]/VLOOKUP(Table_Shelter[[#This Row],[CampName]],CL,4,0),"")</f>
        <v>7.9207920792079209E-2</v>
      </c>
      <c r="V335" s="333" t="s">
        <v>1310</v>
      </c>
      <c r="W335" s="594"/>
    </row>
    <row r="336" spans="1:23" x14ac:dyDescent="0.25">
      <c r="A336" s="339"/>
      <c r="B336" s="523" t="s">
        <v>1100</v>
      </c>
      <c r="C336" s="523" t="s">
        <v>947</v>
      </c>
      <c r="D336" s="524" t="s">
        <v>555</v>
      </c>
      <c r="E336" s="525" t="s">
        <v>146</v>
      </c>
      <c r="F336" s="523" t="s">
        <v>373</v>
      </c>
      <c r="G336" s="140">
        <v>1</v>
      </c>
      <c r="H336" s="144"/>
      <c r="I336" s="144"/>
      <c r="J336" s="144">
        <v>85</v>
      </c>
      <c r="K336" s="144">
        <v>85</v>
      </c>
      <c r="L336" s="526"/>
      <c r="M336" s="526"/>
      <c r="N336" s="526"/>
      <c r="O336" s="526"/>
      <c r="P336" s="141">
        <f>IF(Table_Shelter[[#This Row],[Status]]="Open",IF(V336="NO",Table_Shelter[[#This Row],[HH per Shelter]]*(Table_Shelter[[#This Row],['# of Temporary Shelter Units Built]]+Table_Shelter[[#This Row],['# of Temporary Shelter Under  Construction]]+Table_Shelter[[#This Row],['# of Permanent House Under Construction]]),0),0)</f>
        <v>85</v>
      </c>
      <c r="Q336" s="141"/>
      <c r="R336" s="526"/>
      <c r="S336" s="526" t="str">
        <f>IFERROR(VLOOKUP(Table_Shelter[[#This Row],[CampName]],CL,2,0),"")</f>
        <v>MMR015CMP020</v>
      </c>
      <c r="T336" s="526" t="str">
        <f>IFERROR(VLOOKUP(Table_Shelter[[#This Row],[CampName]],CL,3,0),"")</f>
        <v>Open</v>
      </c>
      <c r="U336" s="527">
        <f>IFERROR(Table_Shelter[[#This Row],[HH Covered]]/VLOOKUP(Table_Shelter[[#This Row],[CampName]],CL,4,0),"")</f>
        <v>0.42079207920792078</v>
      </c>
      <c r="V336" s="552" t="s">
        <v>1310</v>
      </c>
      <c r="W336" s="528"/>
    </row>
    <row r="337" spans="1:23" x14ac:dyDescent="0.25">
      <c r="A337" s="339"/>
      <c r="B337" s="523" t="s">
        <v>454</v>
      </c>
      <c r="C337" s="523"/>
      <c r="D337" s="524" t="s">
        <v>380</v>
      </c>
      <c r="E337" s="525" t="s">
        <v>529</v>
      </c>
      <c r="F337" s="523"/>
      <c r="G337" s="140">
        <v>1</v>
      </c>
      <c r="H337" s="144">
        <v>30</v>
      </c>
      <c r="I337" s="144">
        <v>30</v>
      </c>
      <c r="J337" s="144"/>
      <c r="K337" s="144"/>
      <c r="L337" s="526"/>
      <c r="M337" s="526"/>
      <c r="N337" s="526"/>
      <c r="O337" s="526"/>
      <c r="P337" s="141">
        <f>IF(Table_Shelter[[#This Row],[Status]]="Open",IF(V337="NO",Table_Shelter[[#This Row],[HH per Shelter]]*(Table_Shelter[[#This Row],['# of Temporary Shelter Units Built]]+Table_Shelter[[#This Row],['# of Temporary Shelter Under  Construction]]+Table_Shelter[[#This Row],['# of Permanent House Under Construction]]),0),0)</f>
        <v>0</v>
      </c>
      <c r="Q337" s="141"/>
      <c r="R337" s="526"/>
      <c r="S337" s="526" t="str">
        <f>IFERROR(VLOOKUP(Table_Shelter[[#This Row],[CampName]],CL,2,0),"")</f>
        <v/>
      </c>
      <c r="T337" s="526" t="str">
        <f>IFERROR(VLOOKUP(Table_Shelter[[#This Row],[CampName]],CL,3,0),"")</f>
        <v/>
      </c>
      <c r="U337" s="527" t="str">
        <f>IFERROR(Table_Shelter[[#This Row],[HH Covered]]/VLOOKUP(Table_Shelter[[#This Row],[CampName]],CL,4,0),"")</f>
        <v/>
      </c>
      <c r="V337" s="552" t="s">
        <v>1310</v>
      </c>
      <c r="W337" s="528"/>
    </row>
    <row r="338" spans="1:23" x14ac:dyDescent="0.25">
      <c r="A338" s="339"/>
      <c r="B338" s="523" t="s">
        <v>572</v>
      </c>
      <c r="C338" s="523" t="s">
        <v>462</v>
      </c>
      <c r="D338" s="524" t="s">
        <v>380</v>
      </c>
      <c r="E338" s="525" t="s">
        <v>237</v>
      </c>
      <c r="F338" s="523"/>
      <c r="G338" s="140">
        <v>1</v>
      </c>
      <c r="H338" s="144"/>
      <c r="I338" s="144"/>
      <c r="J338" s="144">
        <v>15</v>
      </c>
      <c r="K338" s="144">
        <v>15</v>
      </c>
      <c r="L338" s="526"/>
      <c r="M338" s="526"/>
      <c r="N338" s="526"/>
      <c r="O338" s="526"/>
      <c r="P338" s="141">
        <f>IF(Table_Shelter[[#This Row],[Status]]="Open",IF(V338="NO",Table_Shelter[[#This Row],[HH per Shelter]]*(Table_Shelter[[#This Row],['# of Temporary Shelter Units Built]]+Table_Shelter[[#This Row],['# of Temporary Shelter Under  Construction]]+Table_Shelter[[#This Row],['# of Permanent House Under Construction]]),0),0)</f>
        <v>0</v>
      </c>
      <c r="Q338" s="141"/>
      <c r="R338" s="526"/>
      <c r="S338" s="526" t="str">
        <f>IFERROR(VLOOKUP(Table_Shelter[[#This Row],[CampName]],CL,2,0),"")</f>
        <v/>
      </c>
      <c r="T338" s="526" t="str">
        <f>IFERROR(VLOOKUP(Table_Shelter[[#This Row],[CampName]],CL,3,0),"")</f>
        <v/>
      </c>
      <c r="U338" s="527" t="str">
        <f>IFERROR(Table_Shelter[[#This Row],[HH Covered]]/VLOOKUP(Table_Shelter[[#This Row],[CampName]],CL,4,0),"")</f>
        <v/>
      </c>
      <c r="V338" s="552" t="s">
        <v>1310</v>
      </c>
      <c r="W338" s="528"/>
    </row>
    <row r="339" spans="1:23" x14ac:dyDescent="0.25">
      <c r="A339" s="339"/>
      <c r="B339" s="523" t="s">
        <v>454</v>
      </c>
      <c r="C339" s="523"/>
      <c r="D339" s="524" t="s">
        <v>380</v>
      </c>
      <c r="E339" s="525" t="s">
        <v>300</v>
      </c>
      <c r="F339" s="523"/>
      <c r="G339" s="140">
        <v>1</v>
      </c>
      <c r="H339" s="144">
        <v>55</v>
      </c>
      <c r="I339" s="144">
        <v>55</v>
      </c>
      <c r="J339" s="144"/>
      <c r="K339" s="144"/>
      <c r="L339" s="526"/>
      <c r="M339" s="526"/>
      <c r="N339" s="526"/>
      <c r="O339" s="526"/>
      <c r="P339" s="141">
        <f>IF(Table_Shelter[[#This Row],[Status]]="Open",IF(V339="NO",Table_Shelter[[#This Row],[HH per Shelter]]*(Table_Shelter[[#This Row],['# of Temporary Shelter Units Built]]+Table_Shelter[[#This Row],['# of Temporary Shelter Under  Construction]]+Table_Shelter[[#This Row],['# of Permanent House Under Construction]]),0),0)</f>
        <v>0</v>
      </c>
      <c r="Q339" s="141"/>
      <c r="R339" s="526"/>
      <c r="S339" s="526" t="str">
        <f>IFERROR(VLOOKUP(Table_Shelter[[#This Row],[CampName]],CL,2,0),"")</f>
        <v/>
      </c>
      <c r="T339" s="526" t="str">
        <f>IFERROR(VLOOKUP(Table_Shelter[[#This Row],[CampName]],CL,3,0),"")</f>
        <v/>
      </c>
      <c r="U339" s="527" t="str">
        <f>IFERROR(Table_Shelter[[#This Row],[HH Covered]]/VLOOKUP(Table_Shelter[[#This Row],[CampName]],CL,4,0),"")</f>
        <v/>
      </c>
      <c r="V339" s="552" t="s">
        <v>1310</v>
      </c>
      <c r="W339" s="528"/>
    </row>
  </sheetData>
  <mergeCells count="2">
    <mergeCell ref="A2:C2"/>
    <mergeCell ref="A3:P3"/>
  </mergeCells>
  <conditionalFormatting sqref="R1:R3 R163:R225 T238 R238 T83:T107 T227:T236 R227:R236 R261:R262 T261:T262 T4:T81 T264:T339 R264:R1048576 T109:T225">
    <cfRule type="containsText" dxfId="684" priority="119" operator="containsText" text="close">
      <formula>NOT(ISERROR(SEARCH("close",R1)))</formula>
    </cfRule>
    <cfRule type="containsText" dxfId="683" priority="120" operator="containsText" text="open">
      <formula>NOT(ISERROR(SEARCH("open",R1)))</formula>
    </cfRule>
  </conditionalFormatting>
  <conditionalFormatting sqref="R83:R107 R30:R81 R109:R162">
    <cfRule type="containsText" dxfId="682" priority="117" operator="containsText" text="close">
      <formula>NOT(ISERROR(SEARCH("close",R30)))</formula>
    </cfRule>
    <cfRule type="containsText" dxfId="681" priority="118" operator="containsText" text="open">
      <formula>NOT(ISERROR(SEARCH("open",R30)))</formula>
    </cfRule>
  </conditionalFormatting>
  <conditionalFormatting sqref="R255 T255">
    <cfRule type="containsText" dxfId="680" priority="63" operator="containsText" text="close">
      <formula>NOT(ISERROR(SEARCH("close",R255)))</formula>
    </cfRule>
    <cfRule type="containsText" dxfId="679" priority="64" operator="containsText" text="open">
      <formula>NOT(ISERROR(SEARCH("open",R255)))</formula>
    </cfRule>
  </conditionalFormatting>
  <conditionalFormatting sqref="T239 R239">
    <cfRule type="containsText" dxfId="678" priority="115" operator="containsText" text="close">
      <formula>NOT(ISERROR(SEARCH("close",R239)))</formula>
    </cfRule>
    <cfRule type="containsText" dxfId="677" priority="116" operator="containsText" text="open">
      <formula>NOT(ISERROR(SEARCH("open",R239)))</formula>
    </cfRule>
  </conditionalFormatting>
  <conditionalFormatting sqref="T240">
    <cfRule type="containsText" dxfId="676" priority="113" operator="containsText" text="close">
      <formula>NOT(ISERROR(SEARCH("close",T240)))</formula>
    </cfRule>
    <cfRule type="containsText" dxfId="675" priority="114" operator="containsText" text="open">
      <formula>NOT(ISERROR(SEARCH("open",T240)))</formula>
    </cfRule>
  </conditionalFormatting>
  <conditionalFormatting sqref="T241">
    <cfRule type="containsText" dxfId="674" priority="111" operator="containsText" text="close">
      <formula>NOT(ISERROR(SEARCH("close",T241)))</formula>
    </cfRule>
    <cfRule type="containsText" dxfId="673" priority="112" operator="containsText" text="open">
      <formula>NOT(ISERROR(SEARCH("open",T241)))</formula>
    </cfRule>
  </conditionalFormatting>
  <conditionalFormatting sqref="R241">
    <cfRule type="containsText" dxfId="672" priority="109" operator="containsText" text="close">
      <formula>NOT(ISERROR(SEARCH("close",R241)))</formula>
    </cfRule>
    <cfRule type="containsText" dxfId="671" priority="110" operator="containsText" text="open">
      <formula>NOT(ISERROR(SEARCH("open",R241)))</formula>
    </cfRule>
  </conditionalFormatting>
  <conditionalFormatting sqref="T242">
    <cfRule type="containsText" dxfId="670" priority="103" operator="containsText" text="close">
      <formula>NOT(ISERROR(SEARCH("close",T242)))</formula>
    </cfRule>
    <cfRule type="containsText" dxfId="669" priority="104" operator="containsText" text="open">
      <formula>NOT(ISERROR(SEARCH("open",T242)))</formula>
    </cfRule>
  </conditionalFormatting>
  <conditionalFormatting sqref="R242">
    <cfRule type="containsText" dxfId="668" priority="101" operator="containsText" text="close">
      <formula>NOT(ISERROR(SEARCH("close",R242)))</formula>
    </cfRule>
    <cfRule type="containsText" dxfId="667" priority="102" operator="containsText" text="open">
      <formula>NOT(ISERROR(SEARCH("open",R242)))</formula>
    </cfRule>
  </conditionalFormatting>
  <conditionalFormatting sqref="T243">
    <cfRule type="containsText" dxfId="666" priority="99" operator="containsText" text="close">
      <formula>NOT(ISERROR(SEARCH("close",T243)))</formula>
    </cfRule>
    <cfRule type="containsText" dxfId="665" priority="100" operator="containsText" text="open">
      <formula>NOT(ISERROR(SEARCH("open",T243)))</formula>
    </cfRule>
  </conditionalFormatting>
  <conditionalFormatting sqref="R243">
    <cfRule type="containsText" dxfId="664" priority="97" operator="containsText" text="close">
      <formula>NOT(ISERROR(SEARCH("close",R243)))</formula>
    </cfRule>
    <cfRule type="containsText" dxfId="663" priority="98" operator="containsText" text="open">
      <formula>NOT(ISERROR(SEARCH("open",R243)))</formula>
    </cfRule>
  </conditionalFormatting>
  <conditionalFormatting sqref="T244 R244">
    <cfRule type="containsText" dxfId="662" priority="95" operator="containsText" text="close">
      <formula>NOT(ISERROR(SEARCH("close",R244)))</formula>
    </cfRule>
    <cfRule type="containsText" dxfId="661" priority="96" operator="containsText" text="open">
      <formula>NOT(ISERROR(SEARCH("open",R244)))</formula>
    </cfRule>
  </conditionalFormatting>
  <conditionalFormatting sqref="T245 R245">
    <cfRule type="containsText" dxfId="660" priority="91" operator="containsText" text="close">
      <formula>NOT(ISERROR(SEARCH("close",R245)))</formula>
    </cfRule>
    <cfRule type="containsText" dxfId="659" priority="92" operator="containsText" text="open">
      <formula>NOT(ISERROR(SEARCH("open",R245)))</formula>
    </cfRule>
  </conditionalFormatting>
  <conditionalFormatting sqref="T246 R246">
    <cfRule type="containsText" dxfId="658" priority="89" operator="containsText" text="close">
      <formula>NOT(ISERROR(SEARCH("close",R246)))</formula>
    </cfRule>
    <cfRule type="containsText" dxfId="657" priority="90" operator="containsText" text="open">
      <formula>NOT(ISERROR(SEARCH("open",R246)))</formula>
    </cfRule>
  </conditionalFormatting>
  <conditionalFormatting sqref="T247 R247">
    <cfRule type="containsText" dxfId="656" priority="87" operator="containsText" text="close">
      <formula>NOT(ISERROR(SEARCH("close",R247)))</formula>
    </cfRule>
    <cfRule type="containsText" dxfId="655" priority="88" operator="containsText" text="open">
      <formula>NOT(ISERROR(SEARCH("open",R247)))</formula>
    </cfRule>
  </conditionalFormatting>
  <conditionalFormatting sqref="T249">
    <cfRule type="containsText" dxfId="654" priority="83" operator="containsText" text="close">
      <formula>NOT(ISERROR(SEARCH("close",T249)))</formula>
    </cfRule>
    <cfRule type="containsText" dxfId="653" priority="84" operator="containsText" text="open">
      <formula>NOT(ISERROR(SEARCH("open",T249)))</formula>
    </cfRule>
  </conditionalFormatting>
  <conditionalFormatting sqref="R249">
    <cfRule type="containsText" dxfId="652" priority="81" operator="containsText" text="close">
      <formula>NOT(ISERROR(SEARCH("close",R249)))</formula>
    </cfRule>
    <cfRule type="containsText" dxfId="651" priority="82" operator="containsText" text="open">
      <formula>NOT(ISERROR(SEARCH("open",R249)))</formula>
    </cfRule>
  </conditionalFormatting>
  <conditionalFormatting sqref="T250">
    <cfRule type="containsText" dxfId="650" priority="79" operator="containsText" text="close">
      <formula>NOT(ISERROR(SEARCH("close",T250)))</formula>
    </cfRule>
    <cfRule type="containsText" dxfId="649" priority="80" operator="containsText" text="open">
      <formula>NOT(ISERROR(SEARCH("open",T250)))</formula>
    </cfRule>
  </conditionalFormatting>
  <conditionalFormatting sqref="R251 T251">
    <cfRule type="containsText" dxfId="648" priority="73" operator="containsText" text="close">
      <formula>NOT(ISERROR(SEARCH("close",R251)))</formula>
    </cfRule>
    <cfRule type="containsText" dxfId="647" priority="74" operator="containsText" text="open">
      <formula>NOT(ISERROR(SEARCH("open",R251)))</formula>
    </cfRule>
  </conditionalFormatting>
  <conditionalFormatting sqref="T253">
    <cfRule type="containsText" dxfId="646" priority="71" operator="containsText" text="close">
      <formula>NOT(ISERROR(SEARCH("close",T253)))</formula>
    </cfRule>
    <cfRule type="containsText" dxfId="645" priority="72" operator="containsText" text="open">
      <formula>NOT(ISERROR(SEARCH("open",T253)))</formula>
    </cfRule>
  </conditionalFormatting>
  <conditionalFormatting sqref="R253">
    <cfRule type="containsText" dxfId="644" priority="69" operator="containsText" text="close">
      <formula>NOT(ISERROR(SEARCH("close",R253)))</formula>
    </cfRule>
    <cfRule type="containsText" dxfId="643" priority="70" operator="containsText" text="open">
      <formula>NOT(ISERROR(SEARCH("open",R253)))</formula>
    </cfRule>
  </conditionalFormatting>
  <conditionalFormatting sqref="T254">
    <cfRule type="containsText" dxfId="642" priority="67" operator="containsText" text="close">
      <formula>NOT(ISERROR(SEARCH("close",T254)))</formula>
    </cfRule>
    <cfRule type="containsText" dxfId="641" priority="68" operator="containsText" text="open">
      <formula>NOT(ISERROR(SEARCH("open",T254)))</formula>
    </cfRule>
  </conditionalFormatting>
  <conditionalFormatting sqref="R254">
    <cfRule type="containsText" dxfId="640" priority="65" operator="containsText" text="close">
      <formula>NOT(ISERROR(SEARCH("close",R254)))</formula>
    </cfRule>
    <cfRule type="containsText" dxfId="639" priority="66" operator="containsText" text="open">
      <formula>NOT(ISERROR(SEARCH("open",R254)))</formula>
    </cfRule>
  </conditionalFormatting>
  <conditionalFormatting sqref="T252 R252">
    <cfRule type="containsText" dxfId="638" priority="51" operator="containsText" text="close">
      <formula>NOT(ISERROR(SEARCH("close",R252)))</formula>
    </cfRule>
    <cfRule type="containsText" dxfId="637" priority="52" operator="containsText" text="open">
      <formula>NOT(ISERROR(SEARCH("open",R252)))</formula>
    </cfRule>
  </conditionalFormatting>
  <conditionalFormatting sqref="R256 T256">
    <cfRule type="containsText" dxfId="636" priority="45" operator="containsText" text="close">
      <formula>NOT(ISERROR(SEARCH("close",R256)))</formula>
    </cfRule>
    <cfRule type="containsText" dxfId="635" priority="46" operator="containsText" text="open">
      <formula>NOT(ISERROR(SEARCH("open",R256)))</formula>
    </cfRule>
  </conditionalFormatting>
  <conditionalFormatting sqref="T258 R258">
    <cfRule type="containsText" dxfId="634" priority="33" operator="containsText" text="close">
      <formula>NOT(ISERROR(SEARCH("close",R258)))</formula>
    </cfRule>
    <cfRule type="containsText" dxfId="633" priority="34" operator="containsText" text="open">
      <formula>NOT(ISERROR(SEARCH("open",R258)))</formula>
    </cfRule>
  </conditionalFormatting>
  <conditionalFormatting sqref="T257 R257">
    <cfRule type="containsText" dxfId="632" priority="35" operator="containsText" text="close">
      <formula>NOT(ISERROR(SEARCH("close",R257)))</formula>
    </cfRule>
    <cfRule type="containsText" dxfId="631" priority="36" operator="containsText" text="open">
      <formula>NOT(ISERROR(SEARCH("open",R257)))</formula>
    </cfRule>
  </conditionalFormatting>
  <conditionalFormatting sqref="T259 R259">
    <cfRule type="containsText" dxfId="630" priority="31" operator="containsText" text="close">
      <formula>NOT(ISERROR(SEARCH("close",R259)))</formula>
    </cfRule>
    <cfRule type="containsText" dxfId="629" priority="32" operator="containsText" text="open">
      <formula>NOT(ISERROR(SEARCH("open",R259)))</formula>
    </cfRule>
  </conditionalFormatting>
  <conditionalFormatting sqref="T260 R260">
    <cfRule type="containsText" dxfId="628" priority="29" operator="containsText" text="close">
      <formula>NOT(ISERROR(SEARCH("close",R260)))</formula>
    </cfRule>
    <cfRule type="containsText" dxfId="627" priority="30" operator="containsText" text="open">
      <formula>NOT(ISERROR(SEARCH("open",R260)))</formula>
    </cfRule>
  </conditionalFormatting>
  <conditionalFormatting sqref="T108">
    <cfRule type="containsText" dxfId="626" priority="27" operator="containsText" text="close">
      <formula>NOT(ISERROR(SEARCH("close",T108)))</formula>
    </cfRule>
    <cfRule type="containsText" dxfId="625" priority="28" operator="containsText" text="open">
      <formula>NOT(ISERROR(SEARCH("open",T108)))</formula>
    </cfRule>
  </conditionalFormatting>
  <conditionalFormatting sqref="R108">
    <cfRule type="containsText" dxfId="624" priority="25" operator="containsText" text="close">
      <formula>NOT(ISERROR(SEARCH("close",R108)))</formula>
    </cfRule>
    <cfRule type="containsText" dxfId="623" priority="26" operator="containsText" text="open">
      <formula>NOT(ISERROR(SEARCH("open",R108)))</formula>
    </cfRule>
  </conditionalFormatting>
  <conditionalFormatting sqref="T237 R237">
    <cfRule type="containsText" dxfId="622" priority="23" operator="containsText" text="close">
      <formula>NOT(ISERROR(SEARCH("close",R237)))</formula>
    </cfRule>
    <cfRule type="containsText" dxfId="621" priority="24" operator="containsText" text="open">
      <formula>NOT(ISERROR(SEARCH("open",R237)))</formula>
    </cfRule>
  </conditionalFormatting>
  <conditionalFormatting sqref="T82">
    <cfRule type="containsText" dxfId="620" priority="21" operator="containsText" text="close">
      <formula>NOT(ISERROR(SEARCH("close",T82)))</formula>
    </cfRule>
    <cfRule type="containsText" dxfId="619" priority="22" operator="containsText" text="open">
      <formula>NOT(ISERROR(SEARCH("open",T82)))</formula>
    </cfRule>
  </conditionalFormatting>
  <conditionalFormatting sqref="R82">
    <cfRule type="containsText" dxfId="618" priority="19" operator="containsText" text="close">
      <formula>NOT(ISERROR(SEARCH("close",R82)))</formula>
    </cfRule>
    <cfRule type="containsText" dxfId="617" priority="20" operator="containsText" text="open">
      <formula>NOT(ISERROR(SEARCH("open",R82)))</formula>
    </cfRule>
  </conditionalFormatting>
  <conditionalFormatting sqref="T248">
    <cfRule type="containsText" dxfId="616" priority="17" operator="containsText" text="close">
      <formula>NOT(ISERROR(SEARCH("close",T248)))</formula>
    </cfRule>
    <cfRule type="containsText" dxfId="615" priority="18" operator="containsText" text="open">
      <formula>NOT(ISERROR(SEARCH("open",T248)))</formula>
    </cfRule>
  </conditionalFormatting>
  <conditionalFormatting sqref="R248">
    <cfRule type="containsText" dxfId="614" priority="15" operator="containsText" text="close">
      <formula>NOT(ISERROR(SEARCH("close",R248)))</formula>
    </cfRule>
    <cfRule type="containsText" dxfId="613" priority="16" operator="containsText" text="open">
      <formula>NOT(ISERROR(SEARCH("open",R248)))</formula>
    </cfRule>
  </conditionalFormatting>
  <conditionalFormatting sqref="T226 R226">
    <cfRule type="containsText" dxfId="612" priority="13" operator="containsText" text="close">
      <formula>NOT(ISERROR(SEARCH("close",R226)))</formula>
    </cfRule>
    <cfRule type="containsText" dxfId="611" priority="14" operator="containsText" text="open">
      <formula>NOT(ISERROR(SEARCH("open",R226)))</formula>
    </cfRule>
  </conditionalFormatting>
  <conditionalFormatting sqref="T263 R263">
    <cfRule type="containsText" dxfId="610" priority="5" operator="containsText" text="close">
      <formula>NOT(ISERROR(SEARCH("close",R263)))</formula>
    </cfRule>
    <cfRule type="containsText" dxfId="609" priority="6" operator="containsText" text="open">
      <formula>NOT(ISERROR(SEARCH("open",R263)))</formula>
    </cfRule>
  </conditionalFormatting>
  <dataValidations count="3">
    <dataValidation type="list" allowBlank="1" showInputMessage="1" showErrorMessage="1" sqref="D5:D339">
      <formula1>State</formula1>
    </dataValidation>
    <dataValidation type="list" allowBlank="1" showInputMessage="1" showErrorMessage="1" sqref="F5:F339">
      <formula1>OFFSET(TCL_T1,MATCH(E5,TCL_T,0)-1,1,COUNTIF(TCL_T,E5),1)</formula1>
    </dataValidation>
    <dataValidation type="list" showInputMessage="1" showErrorMessage="1" sqref="E5:E339">
      <formula1>INDIRECT(D5)</formula1>
    </dataValidation>
  </dataValidations>
  <pageMargins left="0.7" right="0.7" top="0.75" bottom="0.75" header="0.3" footer="0.3"/>
  <pageSetup orientation="portrait" r:id="rId1"/>
  <drawing r:id="rId2"/>
  <tableParts count="1">
    <tablePart r:id="rId3"/>
  </tableParts>
  <extLst>
    <ext xmlns:x14="http://schemas.microsoft.com/office/spreadsheetml/2009/9/main" uri="{CCE6A557-97BC-4b89-ADB6-D9C93CAAB3DF}">
      <x14:dataValidations xmlns:xm="http://schemas.microsoft.com/office/excel/2006/main" count="1">
        <x14:dataValidation type="list" allowBlank="1" showInputMessage="1" showErrorMessage="1">
          <x14:formula1>
            <xm:f>Definition!$S$2:$S$3</xm:f>
          </x14:formula1>
          <xm:sqref>V261:V339 V244 V248:V251 V253:V256 V5:V242</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BG100"/>
  <sheetViews>
    <sheetView showZeros="0" zoomScale="80" zoomScaleNormal="80" workbookViewId="0">
      <pane ySplit="2" topLeftCell="A3" activePane="bottomLeft" state="frozen"/>
      <selection activeCell="AS915" sqref="AS915"/>
      <selection pane="bottomLeft" activeCell="A4" sqref="A4"/>
    </sheetView>
  </sheetViews>
  <sheetFormatPr defaultRowHeight="15" x14ac:dyDescent="0.25"/>
  <cols>
    <col min="1" max="2" width="18.85546875" customWidth="1"/>
    <col min="3" max="3" width="17.85546875" customWidth="1"/>
    <col min="4" max="4" width="13.7109375" customWidth="1"/>
    <col min="5" max="5" width="12.140625" customWidth="1"/>
    <col min="6" max="6" width="14" customWidth="1"/>
    <col min="7" max="7" width="14.42578125" customWidth="1"/>
    <col min="8" max="9" width="18.85546875" customWidth="1"/>
    <col min="10" max="10" width="11.7109375" customWidth="1"/>
    <col min="11" max="11" width="11.85546875" customWidth="1"/>
    <col min="12" max="12" width="18.42578125" customWidth="1"/>
    <col min="13" max="13" width="11.7109375" customWidth="1"/>
    <col min="14" max="14" width="8.85546875" customWidth="1"/>
    <col min="15" max="15" width="12.42578125" style="48" customWidth="1"/>
    <col min="16" max="16" width="12.140625" hidden="1" customWidth="1"/>
    <col min="17" max="17" width="12.42578125" customWidth="1"/>
  </cols>
  <sheetData>
    <row r="1" spans="1:59" s="1" customFormat="1" ht="36" x14ac:dyDescent="0.25">
      <c r="A1" s="290"/>
      <c r="B1" s="291"/>
      <c r="C1" s="291"/>
      <c r="D1" s="291"/>
      <c r="E1" s="291"/>
      <c r="F1" s="291"/>
      <c r="G1" s="291"/>
      <c r="H1" s="291"/>
      <c r="I1" s="291"/>
      <c r="J1" s="291"/>
      <c r="K1" s="291"/>
      <c r="L1" s="291"/>
      <c r="M1" s="291"/>
      <c r="N1" s="291"/>
      <c r="O1" s="292"/>
      <c r="P1" s="55"/>
      <c r="Q1" s="48"/>
      <c r="R1" s="48"/>
      <c r="S1" s="48"/>
      <c r="T1" s="48"/>
      <c r="U1" s="48"/>
      <c r="BF1" s="56"/>
      <c r="BG1" s="56"/>
    </row>
    <row r="2" spans="1:59" s="1" customFormat="1" ht="36" x14ac:dyDescent="0.25">
      <c r="A2" s="1018" t="s">
        <v>426</v>
      </c>
      <c r="B2" s="1019"/>
      <c r="C2" s="1019"/>
      <c r="D2" s="55"/>
      <c r="E2" s="55"/>
      <c r="F2" s="55"/>
      <c r="G2" s="55"/>
      <c r="H2" s="55"/>
      <c r="I2" s="55"/>
      <c r="J2" s="55"/>
      <c r="K2" s="55"/>
      <c r="L2" s="55"/>
      <c r="M2" s="55"/>
      <c r="N2" s="55"/>
      <c r="O2" s="304"/>
      <c r="P2" s="55"/>
      <c r="Q2" s="48"/>
      <c r="R2" s="48"/>
      <c r="S2" s="48"/>
      <c r="T2" s="48"/>
      <c r="U2" s="48"/>
      <c r="BF2" s="56"/>
      <c r="BG2" s="56"/>
    </row>
    <row r="3" spans="1:59" s="18" customFormat="1" ht="36" x14ac:dyDescent="0.25">
      <c r="A3" s="305">
        <f>Definition!B23</f>
        <v>42522</v>
      </c>
      <c r="B3" s="306"/>
      <c r="C3" s="306"/>
      <c r="D3" s="307"/>
      <c r="E3" s="307"/>
      <c r="F3" s="307"/>
      <c r="G3" s="307"/>
      <c r="H3" s="307"/>
      <c r="I3" s="307"/>
      <c r="J3" s="307"/>
      <c r="K3" s="308"/>
      <c r="L3" s="307"/>
      <c r="M3" s="307"/>
      <c r="N3" s="307"/>
      <c r="O3" s="309"/>
      <c r="P3" s="43"/>
      <c r="Q3" s="43"/>
      <c r="R3" s="43"/>
      <c r="S3" s="57"/>
      <c r="T3" s="43"/>
      <c r="U3" s="43"/>
      <c r="BF3" s="57"/>
      <c r="BG3" s="57"/>
    </row>
    <row r="4" spans="1:59" x14ac:dyDescent="0.25">
      <c r="P4" s="35"/>
    </row>
    <row r="5" spans="1:59" ht="31.5" x14ac:dyDescent="0.5">
      <c r="A5" s="52" t="s">
        <v>380</v>
      </c>
      <c r="B5" s="53"/>
      <c r="C5" s="53"/>
      <c r="D5" s="53"/>
      <c r="E5" s="53"/>
      <c r="F5" s="53"/>
      <c r="G5" s="53"/>
      <c r="H5" s="53"/>
      <c r="I5" s="53"/>
      <c r="J5" s="53"/>
      <c r="K5" s="53"/>
      <c r="L5" s="53"/>
      <c r="M5" s="53"/>
      <c r="N5" s="53"/>
      <c r="O5" s="53"/>
      <c r="P5" s="35"/>
    </row>
    <row r="6" spans="1:59" ht="38.25" x14ac:dyDescent="0.25">
      <c r="A6" s="7" t="s">
        <v>0</v>
      </c>
      <c r="B6" s="7" t="s">
        <v>841</v>
      </c>
      <c r="C6" s="7" t="s">
        <v>842</v>
      </c>
      <c r="D6" s="7" t="s">
        <v>430</v>
      </c>
      <c r="E6" s="7" t="s">
        <v>424</v>
      </c>
      <c r="F6" s="7" t="s">
        <v>425</v>
      </c>
      <c r="G6" s="7" t="s">
        <v>423</v>
      </c>
      <c r="H6" s="7" t="s">
        <v>431</v>
      </c>
      <c r="I6" s="7" t="s">
        <v>432</v>
      </c>
      <c r="J6" s="7" t="s">
        <v>433</v>
      </c>
      <c r="K6" s="7" t="s">
        <v>434</v>
      </c>
      <c r="L6" s="7" t="s">
        <v>429</v>
      </c>
      <c r="M6" s="13" t="s">
        <v>505</v>
      </c>
      <c r="N6" s="13" t="s">
        <v>504</v>
      </c>
      <c r="O6" s="13" t="s">
        <v>506</v>
      </c>
      <c r="P6" s="35"/>
    </row>
    <row r="7" spans="1:59" x14ac:dyDescent="0.25">
      <c r="A7" s="26" t="s">
        <v>5</v>
      </c>
      <c r="B7" s="34">
        <f>SUMIFS(Camplist_HH,Camplist_Township,'Shelter Progress'!$A7,Camplist_Type_Of_Acc,"Camp")</f>
        <v>1290</v>
      </c>
      <c r="C7" s="34">
        <f>SUMIFS(Camplist_Popl,Camplist_Township,'Shelter Progress'!$A7,Camplist_Type_Of_Acc,"Camp")</f>
        <v>7191</v>
      </c>
      <c r="D7" s="50">
        <f t="shared" ref="D7:D27" si="0">SUMIF(Col_Shelter_Township,$A7,Col_Shelter_Tent_Dist)</f>
        <v>0</v>
      </c>
      <c r="E7" s="50">
        <f t="shared" ref="E7:E27" si="1">SUMIF(Col_Shelter_Township,$A7,Col_Shelter_Temp_B)</f>
        <v>1043</v>
      </c>
      <c r="F7" s="50">
        <f t="shared" ref="F7:F27" si="2">SUMIF(Col_Shelter_Township,$A7,Col_Shelter_Temp_U)</f>
        <v>0</v>
      </c>
      <c r="G7" s="50">
        <f>SUMIF(Col_Shelter_Township,$A7,Col_Shelter_Temp_P)</f>
        <v>1065</v>
      </c>
      <c r="H7" s="50">
        <f t="shared" ref="H7:H27" si="3">SUMIF(Col_Shelter_Township,$A7,Col_Shelter_Perm_B)</f>
        <v>0</v>
      </c>
      <c r="I7" s="50">
        <f t="shared" ref="I7:I27" si="4">SUMIF(Col_Shelter_Township,$A7,Col_Shelter_Perm_U)</f>
        <v>0</v>
      </c>
      <c r="J7" s="50">
        <f t="shared" ref="J7:J27" si="5">SUMIF(Col_Shelter_Township,$A7,Col_Shelter_Perm_P)</f>
        <v>0</v>
      </c>
      <c r="K7" s="50">
        <f>SUMIF(Col_Shelter_Township,$A7,Shelter_HH_Covered)</f>
        <v>1043</v>
      </c>
      <c r="L7" s="551">
        <f>K7*P7</f>
        <v>5814.118604651163</v>
      </c>
      <c r="M7" s="356">
        <f>B7-K7</f>
        <v>247</v>
      </c>
      <c r="N7" s="357">
        <f>IF(IFERROR(K7/B7,0)&gt;1,1,IFERROR(K7/B7,0))</f>
        <v>0.80852713178294577</v>
      </c>
      <c r="O7" s="358">
        <f>MAX(0,C7-L7)</f>
        <v>1376.881395348837</v>
      </c>
      <c r="P7" s="35">
        <f>IF(B7=0,5,C7/B7)</f>
        <v>5.5744186046511626</v>
      </c>
    </row>
    <row r="8" spans="1:59" x14ac:dyDescent="0.25">
      <c r="A8" s="26" t="s">
        <v>27</v>
      </c>
      <c r="B8" s="34">
        <f>SUMIFS(Camplist_HH,Camplist_Township,'Shelter Progress'!$A8,Camplist_Type_Of_Acc,"Camp")</f>
        <v>496</v>
      </c>
      <c r="C8" s="34">
        <f>SUMIFS(Camplist_Popl,Camplist_Township,'Shelter Progress'!$A8,Camplist_Type_Of_Acc,"Camp")</f>
        <v>2511</v>
      </c>
      <c r="D8" s="50">
        <f t="shared" si="0"/>
        <v>0</v>
      </c>
      <c r="E8" s="50">
        <f t="shared" si="1"/>
        <v>180</v>
      </c>
      <c r="F8" s="50">
        <f t="shared" si="2"/>
        <v>0</v>
      </c>
      <c r="G8" s="50">
        <f>SUMIF(Col_Shelter_Township,$A8,Col_Shelter_Temp_P)</f>
        <v>180</v>
      </c>
      <c r="H8" s="50">
        <f t="shared" si="3"/>
        <v>0</v>
      </c>
      <c r="I8" s="50">
        <f t="shared" si="4"/>
        <v>0</v>
      </c>
      <c r="J8" s="50">
        <f t="shared" si="5"/>
        <v>0</v>
      </c>
      <c r="K8" s="50">
        <f t="shared" ref="K8:K27" si="6">SUMIF(Col_Shelter_Township,$A8,Shelter_HH_Covered)</f>
        <v>180</v>
      </c>
      <c r="L8" s="551">
        <f t="shared" ref="L8:L27" si="7">K8*P8</f>
        <v>911.25</v>
      </c>
      <c r="M8" s="356">
        <f t="shared" ref="M8:M13" si="8">B8-K8</f>
        <v>316</v>
      </c>
      <c r="N8" s="357">
        <f t="shared" ref="N8:N19" si="9">IF(IFERROR(K8/B8,0)&gt;1,1,IFERROR(K8/B8,0))</f>
        <v>0.36290322580645162</v>
      </c>
      <c r="O8" s="358">
        <f>MAX(0,C8-L8)</f>
        <v>1599.75</v>
      </c>
      <c r="P8" s="35">
        <f t="shared" ref="P8:P27" si="10">IF(B8=0,5,C8/B8)</f>
        <v>5.0625</v>
      </c>
    </row>
    <row r="9" spans="1:59" x14ac:dyDescent="0.25">
      <c r="A9" s="359" t="s">
        <v>529</v>
      </c>
      <c r="B9" s="34">
        <f>SUMIFS(Camplist_HH,Camplist_Township,'Shelter Progress'!$A9,Camplist_Type_Of_Acc,"Camp")</f>
        <v>707</v>
      </c>
      <c r="C9" s="34">
        <f>SUMIFS(Camplist_Popl,Camplist_Township,'Shelter Progress'!$A9,Camplist_Type_Of_Acc,"Camp")</f>
        <v>3526</v>
      </c>
      <c r="D9" s="50">
        <f t="shared" si="0"/>
        <v>228</v>
      </c>
      <c r="E9" s="50">
        <f t="shared" si="1"/>
        <v>548</v>
      </c>
      <c r="F9" s="50">
        <f t="shared" si="2"/>
        <v>0</v>
      </c>
      <c r="G9" s="50">
        <f>SUMIF(Col_Shelter_Township,$A9,Col_Shelter_Temp_P)</f>
        <v>548</v>
      </c>
      <c r="H9" s="50">
        <f t="shared" si="3"/>
        <v>0</v>
      </c>
      <c r="I9" s="50">
        <f t="shared" si="4"/>
        <v>0</v>
      </c>
      <c r="J9" s="50">
        <f t="shared" si="5"/>
        <v>0</v>
      </c>
      <c r="K9" s="50">
        <f t="shared" si="6"/>
        <v>428</v>
      </c>
      <c r="L9" s="551">
        <f t="shared" si="7"/>
        <v>2134.5516265912306</v>
      </c>
      <c r="M9" s="356">
        <f t="shared" si="8"/>
        <v>279</v>
      </c>
      <c r="N9" s="357">
        <f t="shared" si="9"/>
        <v>0.6053748231966054</v>
      </c>
      <c r="O9" s="358">
        <f>MAX(0,C9-L9)</f>
        <v>1391.4483734087694</v>
      </c>
      <c r="P9" s="35">
        <f t="shared" si="10"/>
        <v>4.9872701555869874</v>
      </c>
    </row>
    <row r="10" spans="1:59" x14ac:dyDescent="0.25">
      <c r="A10" s="26" t="s">
        <v>781</v>
      </c>
      <c r="B10" s="34">
        <f>SUMIFS(Camplist_HH,Camplist_Township,'Shelter Progress'!$A10,Camplist_Type_Of_Acc,"Camp")</f>
        <v>38</v>
      </c>
      <c r="C10" s="34">
        <f>SUMIFS(Camplist_Popl,Camplist_Township,'Shelter Progress'!$A10,Camplist_Type_Of_Acc,"Camp")</f>
        <v>172</v>
      </c>
      <c r="D10" s="50">
        <f t="shared" si="0"/>
        <v>0</v>
      </c>
      <c r="E10" s="50">
        <f t="shared" si="1"/>
        <v>35</v>
      </c>
      <c r="F10" s="50">
        <f>SUMIF(Col_Shelter_Township,$A10,Col_Shelter_Temp_U)</f>
        <v>0</v>
      </c>
      <c r="G10" s="50">
        <f t="shared" ref="G10:G26" si="11">SUMIF(Col_Shelter_Township,$A10,Col_Shelter_Temp_P)</f>
        <v>35</v>
      </c>
      <c r="H10" s="50">
        <f t="shared" si="3"/>
        <v>0</v>
      </c>
      <c r="I10" s="50">
        <f t="shared" si="4"/>
        <v>0</v>
      </c>
      <c r="J10" s="50">
        <f t="shared" si="5"/>
        <v>0</v>
      </c>
      <c r="K10" s="50">
        <f t="shared" si="6"/>
        <v>35</v>
      </c>
      <c r="L10" s="551">
        <f t="shared" si="7"/>
        <v>158.42105263157893</v>
      </c>
      <c r="M10" s="356">
        <f t="shared" si="8"/>
        <v>3</v>
      </c>
      <c r="N10" s="357">
        <f t="shared" si="9"/>
        <v>0.92105263157894735</v>
      </c>
      <c r="O10" s="358">
        <f t="shared" ref="O10:O18" si="12">MAX(0,C10-L10)</f>
        <v>13.578947368421069</v>
      </c>
      <c r="P10" s="35">
        <f t="shared" si="10"/>
        <v>4.5263157894736841</v>
      </c>
    </row>
    <row r="11" spans="1:59" x14ac:dyDescent="0.25">
      <c r="A11" s="20" t="s">
        <v>363</v>
      </c>
      <c r="B11" s="34">
        <f>SUMIFS(Camplist_HH,Camplist_Township,'Shelter Progress'!$A11,Camplist_Type_Of_Acc,"Camp")</f>
        <v>0</v>
      </c>
      <c r="C11" s="34">
        <f>SUMIFS(Camplist_Popl,Camplist_Township,'Shelter Progress'!$A11,Camplist_Type_Of_Acc,"Camp")</f>
        <v>0</v>
      </c>
      <c r="D11" s="50">
        <f t="shared" si="0"/>
        <v>0</v>
      </c>
      <c r="E11" s="50">
        <f t="shared" si="1"/>
        <v>0</v>
      </c>
      <c r="F11" s="50">
        <f t="shared" si="2"/>
        <v>0</v>
      </c>
      <c r="G11" s="50">
        <f t="shared" si="11"/>
        <v>0</v>
      </c>
      <c r="H11" s="50">
        <f t="shared" si="3"/>
        <v>0</v>
      </c>
      <c r="I11" s="50">
        <f t="shared" si="4"/>
        <v>0</v>
      </c>
      <c r="J11" s="50">
        <f t="shared" si="5"/>
        <v>0</v>
      </c>
      <c r="K11" s="50">
        <f t="shared" si="6"/>
        <v>0</v>
      </c>
      <c r="L11" s="551">
        <f t="shared" si="7"/>
        <v>0</v>
      </c>
      <c r="M11" s="356">
        <f t="shared" si="8"/>
        <v>0</v>
      </c>
      <c r="N11" s="357">
        <f>IF(IFERROR(K11/B11,0)&gt;1,1,IFERROR(K11/B11,0))</f>
        <v>0</v>
      </c>
      <c r="O11" s="358">
        <f t="shared" si="12"/>
        <v>0</v>
      </c>
      <c r="P11" s="35">
        <f t="shared" si="10"/>
        <v>5</v>
      </c>
    </row>
    <row r="12" spans="1:59" x14ac:dyDescent="0.25">
      <c r="A12" s="26" t="s">
        <v>144</v>
      </c>
      <c r="B12" s="34">
        <f>SUMIFS(Camplist_HH,Camplist_Township,'Shelter Progress'!$A12,Camplist_Type_Of_Acc,"Camp")</f>
        <v>11</v>
      </c>
      <c r="C12" s="34">
        <f>SUMIFS(Camplist_Popl,Camplist_Township,'Shelter Progress'!$A12,Camplist_Type_Of_Acc,"Camp")</f>
        <v>17</v>
      </c>
      <c r="D12" s="50">
        <f t="shared" si="0"/>
        <v>0</v>
      </c>
      <c r="E12" s="50">
        <f t="shared" si="1"/>
        <v>0</v>
      </c>
      <c r="F12" s="50">
        <f t="shared" si="2"/>
        <v>0</v>
      </c>
      <c r="G12" s="50">
        <f t="shared" si="11"/>
        <v>0</v>
      </c>
      <c r="H12" s="50">
        <f t="shared" si="3"/>
        <v>0</v>
      </c>
      <c r="I12" s="50">
        <f t="shared" si="4"/>
        <v>0</v>
      </c>
      <c r="J12" s="50">
        <f t="shared" si="5"/>
        <v>0</v>
      </c>
      <c r="K12" s="50">
        <f t="shared" si="6"/>
        <v>0</v>
      </c>
      <c r="L12" s="551">
        <f t="shared" si="7"/>
        <v>0</v>
      </c>
      <c r="M12" s="356">
        <f t="shared" si="8"/>
        <v>11</v>
      </c>
      <c r="N12" s="357">
        <f>IF(IFERROR(K12/B12,0)&gt;1,1,IFERROR(K12/B12,0))</f>
        <v>0</v>
      </c>
      <c r="O12" s="358">
        <f>MAX(0,C12-L12)</f>
        <v>17</v>
      </c>
      <c r="P12" s="35">
        <f t="shared" si="10"/>
        <v>1.5454545454545454</v>
      </c>
    </row>
    <row r="13" spans="1:59" x14ac:dyDescent="0.25">
      <c r="A13" s="26" t="s">
        <v>146</v>
      </c>
      <c r="B13" s="34">
        <f>SUMIFS(Camplist_HH,Camplist_Township,'Shelter Progress'!$A13,Camplist_Type_Of_Acc,"Camp")</f>
        <v>686</v>
      </c>
      <c r="C13" s="34">
        <f>SUMIFS(Camplist_Popl,Camplist_Township,'Shelter Progress'!$A13,Camplist_Type_Of_Acc,"Camp")</f>
        <v>3377</v>
      </c>
      <c r="D13" s="50">
        <f t="shared" si="0"/>
        <v>0</v>
      </c>
      <c r="E13" s="50">
        <f t="shared" si="1"/>
        <v>444</v>
      </c>
      <c r="F13" s="50">
        <f t="shared" si="2"/>
        <v>0</v>
      </c>
      <c r="G13" s="50">
        <f>SUMIF(Col_Shelter_Township,$A13,Col_Shelter_Temp_P)</f>
        <v>444</v>
      </c>
      <c r="H13" s="50">
        <f t="shared" si="3"/>
        <v>0</v>
      </c>
      <c r="I13" s="50">
        <f t="shared" si="4"/>
        <v>0</v>
      </c>
      <c r="J13" s="50">
        <f t="shared" si="5"/>
        <v>0</v>
      </c>
      <c r="K13" s="50">
        <f t="shared" si="6"/>
        <v>444</v>
      </c>
      <c r="L13" s="551">
        <f t="shared" si="7"/>
        <v>2185.6967930029155</v>
      </c>
      <c r="M13" s="356">
        <f t="shared" si="8"/>
        <v>242</v>
      </c>
      <c r="N13" s="357">
        <f t="shared" si="9"/>
        <v>0.64723032069970843</v>
      </c>
      <c r="O13" s="358">
        <f>MAX(0,C13-L13)</f>
        <v>1191.3032069970845</v>
      </c>
      <c r="P13" s="35">
        <f t="shared" si="10"/>
        <v>4.9227405247813412</v>
      </c>
    </row>
    <row r="14" spans="1:59" x14ac:dyDescent="0.25">
      <c r="A14" s="26" t="s">
        <v>895</v>
      </c>
      <c r="B14" s="34">
        <f>SUMIFS(Camplist_HH,Camplist_Township,'Shelter Progress'!$A14,Camplist_Type_Of_Acc,"Camp")</f>
        <v>0</v>
      </c>
      <c r="C14" s="34">
        <f>SUMIFS(Camplist_Popl,Camplist_Township,'Shelter Progress'!$A14,Camplist_Type_Of_Acc,"Camp")</f>
        <v>0</v>
      </c>
      <c r="D14" s="50">
        <f t="shared" si="0"/>
        <v>0</v>
      </c>
      <c r="E14" s="50">
        <f t="shared" si="1"/>
        <v>0</v>
      </c>
      <c r="F14" s="50">
        <f t="shared" si="2"/>
        <v>0</v>
      </c>
      <c r="G14" s="50">
        <f t="shared" si="11"/>
        <v>0</v>
      </c>
      <c r="H14" s="50">
        <f t="shared" si="3"/>
        <v>0</v>
      </c>
      <c r="I14" s="50">
        <f t="shared" si="4"/>
        <v>0</v>
      </c>
      <c r="J14" s="50">
        <f t="shared" si="5"/>
        <v>0</v>
      </c>
      <c r="K14" s="50">
        <f t="shared" si="6"/>
        <v>0</v>
      </c>
      <c r="L14" s="551">
        <f t="shared" si="7"/>
        <v>0</v>
      </c>
      <c r="M14" s="356">
        <f t="shared" ref="M14:M27" si="13">B14-K14</f>
        <v>0</v>
      </c>
      <c r="N14" s="357">
        <f t="shared" si="9"/>
        <v>0</v>
      </c>
      <c r="O14" s="358">
        <f>MAX(0,C14-L14)</f>
        <v>0</v>
      </c>
      <c r="P14" s="35">
        <f t="shared" si="10"/>
        <v>5</v>
      </c>
    </row>
    <row r="15" spans="1:59" x14ac:dyDescent="0.25">
      <c r="A15" s="26" t="s">
        <v>151</v>
      </c>
      <c r="B15" s="34">
        <f>SUMIFS(Camplist_HH,Camplist_Township,'Shelter Progress'!$A15,Camplist_Type_Of_Acc,"Camp")</f>
        <v>2519</v>
      </c>
      <c r="C15" s="34">
        <f>SUMIFS(Camplist_Popl,Camplist_Township,'Shelter Progress'!$A15,Camplist_Type_Of_Acc,"Camp")</f>
        <v>11637</v>
      </c>
      <c r="D15" s="50">
        <f t="shared" si="0"/>
        <v>400</v>
      </c>
      <c r="E15" s="50">
        <f t="shared" si="1"/>
        <v>1777</v>
      </c>
      <c r="F15" s="50">
        <f t="shared" si="2"/>
        <v>85</v>
      </c>
      <c r="G15" s="50">
        <f>SUMIF(Col_Shelter_Township,$A15,Col_Shelter_Temp_P)</f>
        <v>2189</v>
      </c>
      <c r="H15" s="50">
        <f t="shared" si="3"/>
        <v>0</v>
      </c>
      <c r="I15" s="50">
        <f t="shared" si="4"/>
        <v>0</v>
      </c>
      <c r="J15" s="50">
        <f t="shared" si="5"/>
        <v>0</v>
      </c>
      <c r="K15" s="50">
        <f>SUMIF(Col_Shelter_Township,$A15,Shelter_HH_Covered)</f>
        <v>1542</v>
      </c>
      <c r="L15" s="551">
        <f t="shared" si="7"/>
        <v>7123.562524811432</v>
      </c>
      <c r="M15" s="356">
        <f t="shared" si="13"/>
        <v>977</v>
      </c>
      <c r="N15" s="357">
        <f>IF(IFERROR(K15/B15,0)&gt;1,1,IFERROR(K15/B15,0))</f>
        <v>0.61214767764986111</v>
      </c>
      <c r="O15" s="358">
        <f>MAX(0,C15-L15)</f>
        <v>4513.437475188568</v>
      </c>
      <c r="P15" s="35">
        <f>IF(B15=0,5,C15/B15)</f>
        <v>4.619690353314807</v>
      </c>
    </row>
    <row r="16" spans="1:59" x14ac:dyDescent="0.25">
      <c r="A16" s="26" t="s">
        <v>166</v>
      </c>
      <c r="B16" s="34">
        <f>SUMIFS(Camplist_HH,Camplist_Township,'Shelter Progress'!$A16,Camplist_Type_Of_Acc,"Camp")</f>
        <v>68</v>
      </c>
      <c r="C16" s="34">
        <f>SUMIFS(Camplist_Popl,Camplist_Township,'Shelter Progress'!$A16,Camplist_Type_Of_Acc,"Camp")</f>
        <v>342</v>
      </c>
      <c r="D16" s="50">
        <f t="shared" si="0"/>
        <v>0</v>
      </c>
      <c r="E16" s="50">
        <f t="shared" si="1"/>
        <v>80</v>
      </c>
      <c r="F16" s="50">
        <f t="shared" si="2"/>
        <v>0</v>
      </c>
      <c r="G16" s="50">
        <f>SUMIF(Col_Shelter_Township,$A16,Col_Shelter_Temp_P)</f>
        <v>80</v>
      </c>
      <c r="H16" s="50">
        <f t="shared" si="3"/>
        <v>0</v>
      </c>
      <c r="I16" s="50">
        <f t="shared" si="4"/>
        <v>0</v>
      </c>
      <c r="J16" s="50">
        <f t="shared" si="5"/>
        <v>0</v>
      </c>
      <c r="K16" s="50">
        <f t="shared" si="6"/>
        <v>80</v>
      </c>
      <c r="L16" s="551">
        <f t="shared" si="7"/>
        <v>402.35294117647061</v>
      </c>
      <c r="M16" s="356">
        <f>B16-K16</f>
        <v>-12</v>
      </c>
      <c r="N16" s="357">
        <f t="shared" si="9"/>
        <v>1</v>
      </c>
      <c r="O16" s="358">
        <f>MAX(0,C16-L16)</f>
        <v>0</v>
      </c>
      <c r="P16" s="35">
        <f t="shared" si="10"/>
        <v>5.0294117647058822</v>
      </c>
    </row>
    <row r="17" spans="1:16" x14ac:dyDescent="0.25">
      <c r="A17" s="26" t="s">
        <v>173</v>
      </c>
      <c r="B17" s="34">
        <f>SUMIFS(Camplist_HH,Camplist_Township,'Shelter Progress'!$A17,Camplist_Type_Of_Acc,"Camp")</f>
        <v>81</v>
      </c>
      <c r="C17" s="34">
        <f>SUMIFS(Camplist_Popl,Camplist_Township,'Shelter Progress'!$A17,Camplist_Type_Of_Acc,"Camp")</f>
        <v>359</v>
      </c>
      <c r="D17" s="50">
        <f t="shared" si="0"/>
        <v>0</v>
      </c>
      <c r="E17" s="50">
        <f t="shared" si="1"/>
        <v>80</v>
      </c>
      <c r="F17" s="50">
        <f t="shared" si="2"/>
        <v>0</v>
      </c>
      <c r="G17" s="50">
        <f>SUMIF(Col_Shelter_Township,$A17,Col_Shelter_Temp_P)</f>
        <v>80</v>
      </c>
      <c r="H17" s="50">
        <f t="shared" si="3"/>
        <v>0</v>
      </c>
      <c r="I17" s="50">
        <f t="shared" si="4"/>
        <v>0</v>
      </c>
      <c r="J17" s="50">
        <f t="shared" si="5"/>
        <v>0</v>
      </c>
      <c r="K17" s="50">
        <f t="shared" si="6"/>
        <v>80</v>
      </c>
      <c r="L17" s="551">
        <f t="shared" si="7"/>
        <v>354.5679012345679</v>
      </c>
      <c r="M17" s="356">
        <f t="shared" si="13"/>
        <v>1</v>
      </c>
      <c r="N17" s="357">
        <f t="shared" si="9"/>
        <v>0.98765432098765427</v>
      </c>
      <c r="O17" s="358">
        <f t="shared" si="12"/>
        <v>4.4320987654321016</v>
      </c>
      <c r="P17" s="35">
        <f t="shared" si="10"/>
        <v>4.4320987654320989</v>
      </c>
    </row>
    <row r="18" spans="1:16" x14ac:dyDescent="0.25">
      <c r="A18" s="26" t="s">
        <v>180</v>
      </c>
      <c r="B18" s="34">
        <f>SUMIFS(Camplist_HH,Camplist_Township,'Shelter Progress'!$A18,Camplist_Type_Of_Acc,"Camp")</f>
        <v>31</v>
      </c>
      <c r="C18" s="34">
        <f>SUMIFS(Camplist_Popl,Camplist_Township,'Shelter Progress'!$A18,Camplist_Type_Of_Acc,"Camp")</f>
        <v>155</v>
      </c>
      <c r="D18" s="50">
        <f t="shared" si="0"/>
        <v>0</v>
      </c>
      <c r="E18" s="50">
        <f t="shared" si="1"/>
        <v>42</v>
      </c>
      <c r="F18" s="50">
        <f t="shared" si="2"/>
        <v>0</v>
      </c>
      <c r="G18" s="50">
        <f t="shared" si="11"/>
        <v>42</v>
      </c>
      <c r="H18" s="50">
        <f t="shared" si="3"/>
        <v>0</v>
      </c>
      <c r="I18" s="50">
        <f t="shared" si="4"/>
        <v>0</v>
      </c>
      <c r="J18" s="50">
        <f t="shared" si="5"/>
        <v>0</v>
      </c>
      <c r="K18" s="50">
        <f t="shared" si="6"/>
        <v>42</v>
      </c>
      <c r="L18" s="551">
        <f t="shared" si="7"/>
        <v>210</v>
      </c>
      <c r="M18" s="356">
        <f t="shared" si="13"/>
        <v>-11</v>
      </c>
      <c r="N18" s="357">
        <f t="shared" si="9"/>
        <v>1</v>
      </c>
      <c r="O18" s="358">
        <f t="shared" si="12"/>
        <v>0</v>
      </c>
      <c r="P18" s="35">
        <f t="shared" si="10"/>
        <v>5</v>
      </c>
    </row>
    <row r="19" spans="1:16" x14ac:dyDescent="0.25">
      <c r="A19" s="26" t="s">
        <v>185</v>
      </c>
      <c r="B19" s="34">
        <f>SUMIFS(Camplist_HH,Camplist_Township,'Shelter Progress'!$A19,Camplist_Type_Of_Acc,"Camp")</f>
        <v>2675</v>
      </c>
      <c r="C19" s="34">
        <f>SUMIFS(Camplist_Popl,Camplist_Township,'Shelter Progress'!$A19,Camplist_Type_Of_Acc,"Camp")</f>
        <v>13880</v>
      </c>
      <c r="D19" s="50">
        <f t="shared" si="0"/>
        <v>0</v>
      </c>
      <c r="E19" s="50">
        <f t="shared" si="1"/>
        <v>4820</v>
      </c>
      <c r="F19" s="50">
        <f t="shared" si="2"/>
        <v>0</v>
      </c>
      <c r="G19" s="50">
        <f>SUMIF(Col_Shelter_Township,$A19,Col_Shelter_Temp_P)</f>
        <v>5022</v>
      </c>
      <c r="H19" s="50">
        <f t="shared" si="3"/>
        <v>0</v>
      </c>
      <c r="I19" s="50">
        <f t="shared" si="4"/>
        <v>0</v>
      </c>
      <c r="J19" s="50">
        <f t="shared" si="5"/>
        <v>0</v>
      </c>
      <c r="K19" s="50">
        <f t="shared" si="6"/>
        <v>4149</v>
      </c>
      <c r="L19" s="551">
        <f t="shared" si="7"/>
        <v>21528.269158878506</v>
      </c>
      <c r="M19" s="356">
        <f>B19-K19</f>
        <v>-1474</v>
      </c>
      <c r="N19" s="357">
        <f t="shared" si="9"/>
        <v>1</v>
      </c>
      <c r="O19" s="358">
        <f t="shared" ref="O19:O27" si="14">MAX(0,C19-L19)</f>
        <v>0</v>
      </c>
      <c r="P19" s="35">
        <f t="shared" si="10"/>
        <v>5.188785046728972</v>
      </c>
    </row>
    <row r="20" spans="1:16" x14ac:dyDescent="0.25">
      <c r="A20" s="26" t="s">
        <v>230</v>
      </c>
      <c r="B20" s="34">
        <f>SUMIFS(Camplist_HH,Camplist_Township,'Shelter Progress'!$A20,Camplist_Type_Of_Acc,"Camp")</f>
        <v>78</v>
      </c>
      <c r="C20" s="34">
        <f>SUMIFS(Camplist_Popl,Camplist_Township,'Shelter Progress'!$A20,Camplist_Type_Of_Acc,"Camp")</f>
        <v>323</v>
      </c>
      <c r="D20" s="50">
        <f t="shared" si="0"/>
        <v>110</v>
      </c>
      <c r="E20" s="50">
        <f t="shared" si="1"/>
        <v>93</v>
      </c>
      <c r="F20" s="50">
        <f t="shared" si="2"/>
        <v>0</v>
      </c>
      <c r="G20" s="50">
        <f t="shared" si="11"/>
        <v>93</v>
      </c>
      <c r="H20" s="50">
        <f t="shared" si="3"/>
        <v>0</v>
      </c>
      <c r="I20" s="50">
        <f t="shared" si="4"/>
        <v>0</v>
      </c>
      <c r="J20" s="50">
        <f t="shared" si="5"/>
        <v>0</v>
      </c>
      <c r="K20" s="50">
        <f t="shared" si="6"/>
        <v>84</v>
      </c>
      <c r="L20" s="551">
        <f t="shared" si="7"/>
        <v>347.84615384615387</v>
      </c>
      <c r="M20" s="356">
        <f t="shared" si="13"/>
        <v>-6</v>
      </c>
      <c r="N20" s="357">
        <f>IF(IFERROR(K20/B20,0)&gt;1,1,IFERROR(K20/B20,0))</f>
        <v>1</v>
      </c>
      <c r="O20" s="358">
        <f t="shared" si="14"/>
        <v>0</v>
      </c>
      <c r="P20" s="35">
        <f t="shared" si="10"/>
        <v>4.1410256410256414</v>
      </c>
    </row>
    <row r="21" spans="1:16" x14ac:dyDescent="0.25">
      <c r="A21" s="26" t="s">
        <v>237</v>
      </c>
      <c r="B21" s="34">
        <f>SUMIFS(Camplist_HH,Camplist_Township,'Shelter Progress'!$A21,Camplist_Type_Of_Acc,"Camp")</f>
        <v>1414</v>
      </c>
      <c r="C21" s="34">
        <f>SUMIFS(Camplist_Popl,Camplist_Township,'Shelter Progress'!$A21,Camplist_Type_Of_Acc,"Camp")</f>
        <v>7179</v>
      </c>
      <c r="D21" s="50">
        <f t="shared" si="0"/>
        <v>2</v>
      </c>
      <c r="E21" s="50">
        <f t="shared" si="1"/>
        <v>1127</v>
      </c>
      <c r="F21" s="50">
        <f t="shared" si="2"/>
        <v>0</v>
      </c>
      <c r="G21" s="50">
        <f t="shared" si="11"/>
        <v>1127</v>
      </c>
      <c r="H21" s="50">
        <f t="shared" si="3"/>
        <v>0</v>
      </c>
      <c r="I21" s="50">
        <f t="shared" si="4"/>
        <v>0</v>
      </c>
      <c r="J21" s="50">
        <f t="shared" si="5"/>
        <v>0</v>
      </c>
      <c r="K21" s="50">
        <f t="shared" si="6"/>
        <v>1112</v>
      </c>
      <c r="L21" s="551">
        <f t="shared" si="7"/>
        <v>5645.7199434229142</v>
      </c>
      <c r="M21" s="356">
        <f t="shared" si="13"/>
        <v>302</v>
      </c>
      <c r="N21" s="357">
        <f>IF(IFERROR(K21/B21,0)&gt;1,1,IFERROR(K21/B21,0))</f>
        <v>0.78642149929278637</v>
      </c>
      <c r="O21" s="358">
        <f t="shared" si="14"/>
        <v>1533.2800565770858</v>
      </c>
      <c r="P21" s="35">
        <f>IF(B21=0,5,C21/B21)</f>
        <v>5.0770862800565775</v>
      </c>
    </row>
    <row r="22" spans="1:16" x14ac:dyDescent="0.25">
      <c r="A22" s="26" t="s">
        <v>289</v>
      </c>
      <c r="B22" s="34">
        <f>SUMIFS(Camplist_HH,Camplist_Township,'Shelter Progress'!$A22,Camplist_Type_Of_Acc,"Camp")</f>
        <v>351</v>
      </c>
      <c r="C22" s="34">
        <f>SUMIFS(Camplist_Popl,Camplist_Township,'Shelter Progress'!$A22,Camplist_Type_Of_Acc,"Camp")</f>
        <v>1739</v>
      </c>
      <c r="D22" s="50">
        <f t="shared" si="0"/>
        <v>0</v>
      </c>
      <c r="E22" s="50">
        <f t="shared" si="1"/>
        <v>237</v>
      </c>
      <c r="F22" s="50">
        <f t="shared" si="2"/>
        <v>0</v>
      </c>
      <c r="G22" s="50">
        <f>SUMIF(Col_Shelter_Township,$A22,Col_Shelter_Temp_P)</f>
        <v>263</v>
      </c>
      <c r="H22" s="50">
        <f t="shared" si="3"/>
        <v>0</v>
      </c>
      <c r="I22" s="50">
        <f t="shared" si="4"/>
        <v>0</v>
      </c>
      <c r="J22" s="50">
        <f t="shared" si="5"/>
        <v>0</v>
      </c>
      <c r="K22" s="50">
        <f t="shared" si="6"/>
        <v>237</v>
      </c>
      <c r="L22" s="551">
        <f t="shared" si="7"/>
        <v>1174.1965811965811</v>
      </c>
      <c r="M22" s="356">
        <f t="shared" si="13"/>
        <v>114</v>
      </c>
      <c r="N22" s="357">
        <f t="shared" ref="N22:N24" si="15">IF(IFERROR(K22/B22,0)&gt;1,1,IFERROR(K22/B22,0))</f>
        <v>0.67521367521367526</v>
      </c>
      <c r="O22" s="358">
        <f t="shared" si="14"/>
        <v>564.80341880341894</v>
      </c>
      <c r="P22" s="35">
        <f t="shared" si="10"/>
        <v>4.9544159544159543</v>
      </c>
    </row>
    <row r="23" spans="1:16" x14ac:dyDescent="0.25">
      <c r="A23" s="26" t="s">
        <v>298</v>
      </c>
      <c r="B23" s="34">
        <f>SUMIFS(Camplist_HH,Camplist_Township,'Shelter Progress'!$A23,Camplist_Type_Of_Acc,"Camp")</f>
        <v>9</v>
      </c>
      <c r="C23" s="34">
        <f>SUMIFS(Camplist_Popl,Camplist_Township,'Shelter Progress'!$A23,Camplist_Type_Of_Acc,"Camp")</f>
        <v>37</v>
      </c>
      <c r="D23" s="50">
        <f t="shared" si="0"/>
        <v>0</v>
      </c>
      <c r="E23" s="50">
        <f t="shared" si="1"/>
        <v>10</v>
      </c>
      <c r="F23" s="50">
        <f t="shared" si="2"/>
        <v>0</v>
      </c>
      <c r="G23" s="50">
        <f t="shared" si="11"/>
        <v>10</v>
      </c>
      <c r="H23" s="50">
        <f t="shared" si="3"/>
        <v>0</v>
      </c>
      <c r="I23" s="50">
        <f t="shared" si="4"/>
        <v>0</v>
      </c>
      <c r="J23" s="50">
        <f t="shared" si="5"/>
        <v>0</v>
      </c>
      <c r="K23" s="50">
        <f t="shared" si="6"/>
        <v>10</v>
      </c>
      <c r="L23" s="551">
        <f t="shared" si="7"/>
        <v>41.111111111111107</v>
      </c>
      <c r="M23" s="356">
        <f t="shared" si="13"/>
        <v>-1</v>
      </c>
      <c r="N23" s="357">
        <f t="shared" si="15"/>
        <v>1</v>
      </c>
      <c r="O23" s="358">
        <f t="shared" si="14"/>
        <v>0</v>
      </c>
      <c r="P23" s="35">
        <f t="shared" si="10"/>
        <v>4.1111111111111107</v>
      </c>
    </row>
    <row r="24" spans="1:16" s="77" customFormat="1" x14ac:dyDescent="0.25">
      <c r="A24" s="26" t="s">
        <v>300</v>
      </c>
      <c r="B24" s="34">
        <f>SUMIFS(Camplist_HH,Camplist_Township,'Shelter Progress'!$A24,Camplist_Type_Of_Acc,"Camp")</f>
        <v>59</v>
      </c>
      <c r="C24" s="34">
        <f>SUMIFS(Camplist_Popl,Camplist_Township,'Shelter Progress'!$A24,Camplist_Type_Of_Acc,"Camp")</f>
        <v>235</v>
      </c>
      <c r="D24" s="50">
        <f t="shared" si="0"/>
        <v>55</v>
      </c>
      <c r="E24" s="50">
        <f t="shared" si="1"/>
        <v>60</v>
      </c>
      <c r="F24" s="50">
        <f t="shared" si="2"/>
        <v>0</v>
      </c>
      <c r="G24" s="50">
        <f t="shared" si="11"/>
        <v>60</v>
      </c>
      <c r="H24" s="50">
        <f t="shared" si="3"/>
        <v>0</v>
      </c>
      <c r="I24" s="50">
        <f t="shared" si="4"/>
        <v>0</v>
      </c>
      <c r="J24" s="50">
        <f t="shared" si="5"/>
        <v>0</v>
      </c>
      <c r="K24" s="50">
        <f t="shared" si="6"/>
        <v>60</v>
      </c>
      <c r="L24" s="551">
        <f t="shared" si="7"/>
        <v>238.98305084745763</v>
      </c>
      <c r="M24" s="356">
        <f t="shared" si="13"/>
        <v>-1</v>
      </c>
      <c r="N24" s="357">
        <f t="shared" si="15"/>
        <v>1</v>
      </c>
      <c r="O24" s="358">
        <f t="shared" si="14"/>
        <v>0</v>
      </c>
      <c r="P24" s="35">
        <f t="shared" si="10"/>
        <v>3.9830508474576272</v>
      </c>
    </row>
    <row r="25" spans="1:16" s="77" customFormat="1" x14ac:dyDescent="0.25">
      <c r="A25" s="26" t="s">
        <v>302</v>
      </c>
      <c r="B25" s="34">
        <f>SUMIFS(Camplist_HH,Camplist_Township,'Shelter Progress'!$A25,Camplist_Type_Of_Acc,"Camp")</f>
        <v>127</v>
      </c>
      <c r="C25" s="34">
        <f>SUMIFS(Camplist_Popl,Camplist_Township,'Shelter Progress'!$A25,Camplist_Type_Of_Acc,"Camp")</f>
        <v>461</v>
      </c>
      <c r="D25" s="50">
        <f t="shared" si="0"/>
        <v>0</v>
      </c>
      <c r="E25" s="50">
        <f t="shared" si="1"/>
        <v>88</v>
      </c>
      <c r="F25" s="50">
        <f t="shared" si="2"/>
        <v>0</v>
      </c>
      <c r="G25" s="50">
        <f>SUMIF(Col_Shelter_Township,$A25,Col_Shelter_Temp_P)</f>
        <v>88</v>
      </c>
      <c r="H25" s="50">
        <f t="shared" si="3"/>
        <v>0</v>
      </c>
      <c r="I25" s="50">
        <f t="shared" si="4"/>
        <v>0</v>
      </c>
      <c r="J25" s="50">
        <f t="shared" si="5"/>
        <v>0</v>
      </c>
      <c r="K25" s="50">
        <f t="shared" si="6"/>
        <v>88</v>
      </c>
      <c r="L25" s="551">
        <f t="shared" si="7"/>
        <v>319.43307086614175</v>
      </c>
      <c r="M25" s="356">
        <f t="shared" si="13"/>
        <v>39</v>
      </c>
      <c r="N25" s="357">
        <f>IF(IFERROR(K25/B25,0)&gt;1,1,IFERROR(K25/B25,0))</f>
        <v>0.69291338582677164</v>
      </c>
      <c r="O25" s="358">
        <f t="shared" si="14"/>
        <v>141.56692913385825</v>
      </c>
      <c r="P25" s="35">
        <f t="shared" si="10"/>
        <v>3.6299212598425199</v>
      </c>
    </row>
    <row r="26" spans="1:16" x14ac:dyDescent="0.25">
      <c r="A26" s="26" t="s">
        <v>810</v>
      </c>
      <c r="B26" s="34">
        <f>SUMIFS(Camplist_HH,Camplist_Township,'Shelter Progress'!$A26,Camplist_Type_Of_Acc,"Camp")</f>
        <v>166</v>
      </c>
      <c r="C26" s="34">
        <f>SUMIFS(Camplist_Popl,Camplist_Township,'Shelter Progress'!$A26,Camplist_Type_Of_Acc,"Camp")</f>
        <v>1232</v>
      </c>
      <c r="D26" s="50">
        <f t="shared" si="0"/>
        <v>0</v>
      </c>
      <c r="E26" s="50">
        <f t="shared" si="1"/>
        <v>0</v>
      </c>
      <c r="F26" s="50">
        <f t="shared" si="2"/>
        <v>0</v>
      </c>
      <c r="G26" s="50">
        <f t="shared" si="11"/>
        <v>0</v>
      </c>
      <c r="H26" s="50">
        <f t="shared" si="3"/>
        <v>0</v>
      </c>
      <c r="I26" s="50">
        <f t="shared" si="4"/>
        <v>0</v>
      </c>
      <c r="J26" s="50">
        <f t="shared" si="5"/>
        <v>0</v>
      </c>
      <c r="K26" s="50">
        <f t="shared" si="6"/>
        <v>0</v>
      </c>
      <c r="L26" s="551">
        <f t="shared" si="7"/>
        <v>0</v>
      </c>
      <c r="M26" s="356">
        <f>B26-K26</f>
        <v>166</v>
      </c>
      <c r="N26" s="357">
        <f t="shared" ref="N26:N28" si="16">IF(IFERROR(K26/B26,0)&gt;1,1,IFERROR(K26/B26,0))</f>
        <v>0</v>
      </c>
      <c r="O26" s="358">
        <f t="shared" si="14"/>
        <v>1232</v>
      </c>
      <c r="P26" s="35">
        <f t="shared" si="10"/>
        <v>7.4216867469879517</v>
      </c>
    </row>
    <row r="27" spans="1:16" s="48" customFormat="1" x14ac:dyDescent="0.25">
      <c r="A27" s="26" t="s">
        <v>310</v>
      </c>
      <c r="B27" s="34">
        <f>SUMIFS(Camplist_HH,Camplist_Township,'Shelter Progress'!$A27,Camplist_Type_Of_Acc,"Camp")</f>
        <v>6286</v>
      </c>
      <c r="C27" s="34">
        <f>SUMIFS(Camplist_Popl,Camplist_Township,'Shelter Progress'!$A27,Camplist_Type_Of_Acc,"Camp")</f>
        <v>31646</v>
      </c>
      <c r="D27" s="50">
        <f t="shared" si="0"/>
        <v>248</v>
      </c>
      <c r="E27" s="50">
        <f t="shared" si="1"/>
        <v>3547</v>
      </c>
      <c r="F27" s="50">
        <f t="shared" si="2"/>
        <v>0</v>
      </c>
      <c r="G27" s="50">
        <f>SUMIF(Col_Shelter_Township,$A27,Col_Shelter_Temp_P)</f>
        <v>3837</v>
      </c>
      <c r="H27" s="50">
        <f t="shared" si="3"/>
        <v>0</v>
      </c>
      <c r="I27" s="50">
        <f t="shared" si="4"/>
        <v>0</v>
      </c>
      <c r="J27" s="50">
        <f t="shared" si="5"/>
        <v>0</v>
      </c>
      <c r="K27" s="50">
        <f t="shared" si="6"/>
        <v>3456</v>
      </c>
      <c r="L27" s="551">
        <f t="shared" si="7"/>
        <v>17398.755329303214</v>
      </c>
      <c r="M27" s="356">
        <f t="shared" si="13"/>
        <v>2830</v>
      </c>
      <c r="N27" s="357">
        <f t="shared" si="16"/>
        <v>0.54979319121858095</v>
      </c>
      <c r="O27" s="358">
        <f t="shared" si="14"/>
        <v>14247.244670696786</v>
      </c>
      <c r="P27" s="35">
        <f t="shared" si="10"/>
        <v>5.0343620744511615</v>
      </c>
    </row>
    <row r="28" spans="1:16" s="48" customFormat="1" x14ac:dyDescent="0.25">
      <c r="A28" s="351" t="s">
        <v>3</v>
      </c>
      <c r="B28" s="352">
        <f>SUM(B7:B27)</f>
        <v>17092</v>
      </c>
      <c r="C28" s="352">
        <f t="shared" ref="C28:J28" si="17">SUM(C7:C27)</f>
        <v>86019</v>
      </c>
      <c r="D28" s="352">
        <f t="shared" si="17"/>
        <v>1043</v>
      </c>
      <c r="E28" s="352">
        <f t="shared" si="17"/>
        <v>14211</v>
      </c>
      <c r="F28" s="352">
        <f t="shared" si="17"/>
        <v>85</v>
      </c>
      <c r="G28" s="352">
        <f>SUM(G7:G27)</f>
        <v>15163</v>
      </c>
      <c r="H28" s="352">
        <f t="shared" si="17"/>
        <v>0</v>
      </c>
      <c r="I28" s="352">
        <f t="shared" si="17"/>
        <v>0</v>
      </c>
      <c r="J28" s="352">
        <f t="shared" si="17"/>
        <v>0</v>
      </c>
      <c r="K28" s="352">
        <f>SUM(K7:K27)</f>
        <v>13070</v>
      </c>
      <c r="L28" s="353">
        <f>SUM(L7:L27)</f>
        <v>65988.835843571433</v>
      </c>
      <c r="M28" s="354">
        <f>SUM(M7:M27)</f>
        <v>4022</v>
      </c>
      <c r="N28" s="357">
        <f t="shared" si="16"/>
        <v>0.76468523285747714</v>
      </c>
      <c r="O28" s="355">
        <f>SUM(O7:O27)</f>
        <v>27826.726572288258</v>
      </c>
      <c r="P28" s="77"/>
    </row>
    <row r="29" spans="1:16" ht="271.5" hidden="1" customHeight="1" x14ac:dyDescent="0.25">
      <c r="A29" s="18" t="s">
        <v>510</v>
      </c>
      <c r="B29" s="1" t="s">
        <v>510</v>
      </c>
      <c r="C29" s="1"/>
      <c r="D29" s="1"/>
      <c r="E29" s="1"/>
      <c r="F29" s="1"/>
      <c r="G29" s="1"/>
      <c r="H29" s="1"/>
      <c r="I29" s="1"/>
      <c r="J29" s="1"/>
      <c r="K29" s="1"/>
      <c r="L29" s="1"/>
      <c r="M29" s="1"/>
      <c r="N29" s="1"/>
      <c r="O29" s="1"/>
    </row>
    <row r="30" spans="1:16" s="48" customFormat="1" hidden="1" x14ac:dyDescent="0.25">
      <c r="A30" s="18"/>
      <c r="P30" s="35"/>
    </row>
    <row r="31" spans="1:16" hidden="1" x14ac:dyDescent="0.25">
      <c r="A31" s="18" t="s">
        <v>509</v>
      </c>
      <c r="B31" t="s">
        <v>510</v>
      </c>
    </row>
    <row r="32" spans="1:16" ht="31.5" hidden="1" x14ac:dyDescent="0.5">
      <c r="A32" s="52" t="s">
        <v>381</v>
      </c>
      <c r="B32" s="53"/>
      <c r="C32" s="53"/>
      <c r="D32" s="53"/>
      <c r="E32" s="53"/>
      <c r="F32" s="53"/>
      <c r="G32" s="53"/>
      <c r="H32" s="53"/>
      <c r="I32" s="53"/>
      <c r="J32" s="53"/>
      <c r="K32" s="53"/>
      <c r="L32" s="53"/>
      <c r="M32" s="53"/>
      <c r="N32" s="53"/>
      <c r="O32" s="53"/>
    </row>
    <row r="33" hidden="1" x14ac:dyDescent="0.25"/>
    <row r="34" hidden="1" x14ac:dyDescent="0.25"/>
    <row r="35" hidden="1" x14ac:dyDescent="0.25"/>
    <row r="36" hidden="1" x14ac:dyDescent="0.25"/>
    <row r="37" hidden="1" x14ac:dyDescent="0.25"/>
    <row r="38" hidden="1" x14ac:dyDescent="0.25"/>
    <row r="39" hidden="1" x14ac:dyDescent="0.25"/>
    <row r="40" hidden="1" x14ac:dyDescent="0.25"/>
    <row r="41" hidden="1" x14ac:dyDescent="0.25"/>
    <row r="42" hidden="1" x14ac:dyDescent="0.25"/>
    <row r="43" hidden="1" x14ac:dyDescent="0.25"/>
    <row r="44" hidden="1" x14ac:dyDescent="0.25"/>
    <row r="45" hidden="1" x14ac:dyDescent="0.25"/>
    <row r="46" hidden="1" x14ac:dyDescent="0.25"/>
    <row r="47" hidden="1" x14ac:dyDescent="0.25"/>
    <row r="48" hidden="1" x14ac:dyDescent="0.25"/>
    <row r="49" spans="1:16" s="48" customFormat="1" hidden="1" x14ac:dyDescent="0.25">
      <c r="A49"/>
      <c r="B49"/>
      <c r="C49"/>
      <c r="D49"/>
      <c r="E49"/>
      <c r="F49"/>
      <c r="G49"/>
      <c r="H49"/>
      <c r="I49"/>
      <c r="J49"/>
      <c r="K49"/>
      <c r="L49"/>
      <c r="M49"/>
      <c r="N49"/>
    </row>
    <row r="50" spans="1:16" hidden="1" x14ac:dyDescent="0.25"/>
    <row r="51" spans="1:16" hidden="1" x14ac:dyDescent="0.25">
      <c r="A51" s="48"/>
      <c r="B51" s="48"/>
      <c r="C51" s="48"/>
      <c r="D51" s="48"/>
      <c r="E51" s="48"/>
      <c r="F51" s="48"/>
      <c r="G51" s="48"/>
      <c r="H51" s="48"/>
      <c r="I51" s="48"/>
      <c r="J51" s="48"/>
      <c r="K51" s="48"/>
      <c r="L51" s="48"/>
      <c r="M51" s="48"/>
      <c r="N51" s="48"/>
    </row>
    <row r="52" spans="1:16" hidden="1" x14ac:dyDescent="0.25"/>
    <row r="53" spans="1:16" hidden="1" x14ac:dyDescent="0.25"/>
    <row r="54" spans="1:16" hidden="1" x14ac:dyDescent="0.25"/>
    <row r="55" spans="1:16" s="48" customFormat="1" x14ac:dyDescent="0.25">
      <c r="A55"/>
      <c r="B55"/>
      <c r="C55"/>
      <c r="D55"/>
      <c r="E55"/>
      <c r="F55"/>
      <c r="G55"/>
      <c r="H55"/>
      <c r="I55"/>
      <c r="J55"/>
      <c r="K55"/>
      <c r="L55"/>
      <c r="M55"/>
      <c r="N55"/>
      <c r="P55" s="35"/>
    </row>
    <row r="56" spans="1:16" hidden="1" x14ac:dyDescent="0.25"/>
    <row r="57" spans="1:16" ht="31.5" x14ac:dyDescent="0.5">
      <c r="A57" s="52" t="s">
        <v>380</v>
      </c>
      <c r="B57" s="53"/>
      <c r="C57" s="53"/>
      <c r="D57" s="53"/>
      <c r="E57" s="53"/>
      <c r="F57" s="53"/>
      <c r="G57" s="53"/>
      <c r="H57" s="53"/>
      <c r="I57" s="53"/>
      <c r="J57" s="53"/>
      <c r="K57" s="53"/>
      <c r="L57" s="53"/>
      <c r="M57" s="53"/>
      <c r="N57" s="53"/>
      <c r="O57" s="53"/>
    </row>
    <row r="77" hidden="1" x14ac:dyDescent="0.25"/>
    <row r="78" hidden="1" x14ac:dyDescent="0.25"/>
    <row r="79" hidden="1" x14ac:dyDescent="0.25"/>
    <row r="80" hidden="1" x14ac:dyDescent="0.25"/>
    <row r="81" spans="1:15" x14ac:dyDescent="0.25">
      <c r="A81" s="360" t="s">
        <v>396</v>
      </c>
      <c r="B81" s="26" t="s">
        <v>598</v>
      </c>
      <c r="H81" s="360" t="s">
        <v>396</v>
      </c>
      <c r="I81" s="26" t="s">
        <v>598</v>
      </c>
      <c r="J81" s="48"/>
      <c r="O81"/>
    </row>
    <row r="82" spans="1:15" x14ac:dyDescent="0.25">
      <c r="H82" s="48"/>
      <c r="I82" s="48"/>
      <c r="J82" s="48"/>
      <c r="O82"/>
    </row>
    <row r="83" spans="1:15" x14ac:dyDescent="0.25">
      <c r="A83" s="360" t="s">
        <v>415</v>
      </c>
      <c r="B83" s="26" t="s">
        <v>1298</v>
      </c>
      <c r="H83" s="26"/>
      <c r="I83" s="26" t="s">
        <v>1298</v>
      </c>
      <c r="O83"/>
    </row>
    <row r="84" spans="1:15" x14ac:dyDescent="0.25">
      <c r="A84" s="359" t="s">
        <v>455</v>
      </c>
      <c r="B84" s="361">
        <v>2603</v>
      </c>
      <c r="H84" s="359" t="s">
        <v>455</v>
      </c>
      <c r="I84" s="361">
        <v>2603</v>
      </c>
      <c r="O84"/>
    </row>
    <row r="85" spans="1:15" x14ac:dyDescent="0.25">
      <c r="A85" s="359" t="s">
        <v>454</v>
      </c>
      <c r="B85" s="361">
        <v>7061</v>
      </c>
      <c r="H85" s="359" t="s">
        <v>454</v>
      </c>
      <c r="I85" s="361">
        <v>7061</v>
      </c>
      <c r="O85"/>
    </row>
    <row r="86" spans="1:15" x14ac:dyDescent="0.25">
      <c r="A86" s="359" t="s">
        <v>571</v>
      </c>
      <c r="B86" s="361">
        <v>77</v>
      </c>
      <c r="H86" s="359" t="s">
        <v>571</v>
      </c>
      <c r="I86" s="361">
        <v>77</v>
      </c>
      <c r="O86"/>
    </row>
    <row r="87" spans="1:15" x14ac:dyDescent="0.25">
      <c r="A87" s="359" t="s">
        <v>572</v>
      </c>
      <c r="B87" s="361">
        <v>405</v>
      </c>
      <c r="H87" s="359" t="s">
        <v>572</v>
      </c>
      <c r="I87" s="361">
        <v>405</v>
      </c>
      <c r="O87"/>
    </row>
    <row r="88" spans="1:15" x14ac:dyDescent="0.25">
      <c r="A88" s="359" t="s">
        <v>574</v>
      </c>
      <c r="B88" s="361">
        <v>32</v>
      </c>
      <c r="H88" s="359" t="s">
        <v>574</v>
      </c>
      <c r="I88" s="361">
        <v>32</v>
      </c>
      <c r="O88"/>
    </row>
    <row r="89" spans="1:15" x14ac:dyDescent="0.25">
      <c r="A89" s="359" t="s">
        <v>594</v>
      </c>
      <c r="B89" s="361">
        <v>725</v>
      </c>
      <c r="H89" s="359" t="s">
        <v>594</v>
      </c>
      <c r="I89" s="361">
        <v>725</v>
      </c>
      <c r="O89"/>
    </row>
    <row r="90" spans="1:15" x14ac:dyDescent="0.25">
      <c r="A90" s="359" t="s">
        <v>848</v>
      </c>
      <c r="B90" s="361">
        <v>900</v>
      </c>
      <c r="H90" s="359" t="s">
        <v>848</v>
      </c>
      <c r="I90" s="361">
        <v>900</v>
      </c>
      <c r="O90"/>
    </row>
    <row r="91" spans="1:15" x14ac:dyDescent="0.25">
      <c r="A91" s="359" t="s">
        <v>849</v>
      </c>
      <c r="B91" s="361">
        <v>279</v>
      </c>
      <c r="H91" s="359" t="s">
        <v>849</v>
      </c>
      <c r="I91" s="361">
        <v>279</v>
      </c>
      <c r="O91"/>
    </row>
    <row r="92" spans="1:15" x14ac:dyDescent="0.25">
      <c r="A92" s="359" t="s">
        <v>850</v>
      </c>
      <c r="B92" s="361">
        <v>205</v>
      </c>
      <c r="H92" s="359" t="s">
        <v>850</v>
      </c>
      <c r="I92" s="361">
        <v>205</v>
      </c>
      <c r="O92"/>
    </row>
    <row r="93" spans="1:15" x14ac:dyDescent="0.25">
      <c r="A93" s="359" t="s">
        <v>851</v>
      </c>
      <c r="B93" s="361">
        <v>12</v>
      </c>
      <c r="H93" s="359" t="s">
        <v>851</v>
      </c>
      <c r="I93" s="361">
        <v>12</v>
      </c>
      <c r="O93"/>
    </row>
    <row r="94" spans="1:15" x14ac:dyDescent="0.25">
      <c r="A94" s="359" t="s">
        <v>852</v>
      </c>
      <c r="B94" s="361">
        <v>10</v>
      </c>
      <c r="H94" s="359" t="s">
        <v>852</v>
      </c>
      <c r="I94" s="361">
        <v>10</v>
      </c>
      <c r="O94"/>
    </row>
    <row r="95" spans="1:15" x14ac:dyDescent="0.25">
      <c r="A95" s="359" t="s">
        <v>864</v>
      </c>
      <c r="B95" s="361">
        <v>0</v>
      </c>
      <c r="H95" s="359" t="s">
        <v>864</v>
      </c>
      <c r="I95" s="361">
        <v>0</v>
      </c>
    </row>
    <row r="96" spans="1:15" x14ac:dyDescent="0.25">
      <c r="A96" s="359" t="s">
        <v>861</v>
      </c>
      <c r="B96" s="361">
        <v>122</v>
      </c>
      <c r="H96" s="359" t="s">
        <v>861</v>
      </c>
      <c r="I96" s="361">
        <v>122</v>
      </c>
    </row>
    <row r="97" spans="1:9" x14ac:dyDescent="0.25">
      <c r="A97" s="359" t="s">
        <v>1102</v>
      </c>
      <c r="B97" s="361">
        <v>20</v>
      </c>
      <c r="H97" s="359" t="s">
        <v>1102</v>
      </c>
      <c r="I97" s="361">
        <v>20</v>
      </c>
    </row>
    <row r="98" spans="1:9" x14ac:dyDescent="0.25">
      <c r="A98" s="359" t="s">
        <v>1100</v>
      </c>
      <c r="B98" s="361">
        <v>269</v>
      </c>
      <c r="H98" s="359" t="s">
        <v>1100</v>
      </c>
      <c r="I98" s="361">
        <v>269</v>
      </c>
    </row>
    <row r="99" spans="1:9" x14ac:dyDescent="0.25">
      <c r="A99" s="359" t="s">
        <v>904</v>
      </c>
      <c r="B99" s="361">
        <v>350</v>
      </c>
      <c r="H99" s="359" t="s">
        <v>904</v>
      </c>
      <c r="I99" s="361">
        <v>350</v>
      </c>
    </row>
    <row r="100" spans="1:9" x14ac:dyDescent="0.25">
      <c r="A100" s="359" t="s">
        <v>416</v>
      </c>
      <c r="B100" s="361">
        <v>13070</v>
      </c>
      <c r="H100" s="359" t="s">
        <v>416</v>
      </c>
      <c r="I100" s="361">
        <v>13070</v>
      </c>
    </row>
  </sheetData>
  <sortState ref="A23:O41">
    <sortCondition ref="A22"/>
  </sortState>
  <mergeCells count="1">
    <mergeCell ref="A2:C2"/>
  </mergeCells>
  <conditionalFormatting sqref="N7:N28">
    <cfRule type="colorScale" priority="42">
      <colorScale>
        <cfvo type="percent" val="0"/>
        <cfvo type="percent" val="100"/>
        <color rgb="FFFF0000"/>
        <color rgb="FF00FF00"/>
      </colorScale>
    </cfRule>
    <cfRule type="colorScale" priority="43">
      <colorScale>
        <cfvo type="min"/>
        <cfvo type="percentile" val="50"/>
        <cfvo type="max"/>
        <color rgb="FFF8696B"/>
        <color rgb="FFFFEB84"/>
        <color rgb="FF63BE7B"/>
      </colorScale>
    </cfRule>
  </conditionalFormatting>
  <pageMargins left="0.7" right="0.7" top="0.75" bottom="0.75" header="0.3" footer="0.3"/>
  <pageSetup scale="40" fitToHeight="2" orientation="landscape" r:id="rId3"/>
  <rowBreaks count="2" manualBreakCount="2">
    <brk id="27" max="16383" man="1"/>
    <brk id="28" max="16383" man="1"/>
  </rowBreaks>
  <drawing r:id="rId4"/>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92D050"/>
    <pageSetUpPr fitToPage="1"/>
  </sheetPr>
  <dimension ref="A1:BG205"/>
  <sheetViews>
    <sheetView showZeros="0" zoomScale="80" zoomScaleNormal="80" workbookViewId="0">
      <selection activeCell="I45" sqref="I45"/>
    </sheetView>
  </sheetViews>
  <sheetFormatPr defaultColWidth="23.85546875" defaultRowHeight="15" x14ac:dyDescent="0.25"/>
  <cols>
    <col min="1" max="1" width="20.85546875" style="40" customWidth="1"/>
    <col min="2" max="2" width="22.42578125" style="40" customWidth="1"/>
    <col min="3" max="5" width="25.140625" style="40" customWidth="1"/>
    <col min="6" max="16384" width="23.85546875" style="40"/>
  </cols>
  <sheetData>
    <row r="1" spans="1:59" s="1" customFormat="1" ht="36" x14ac:dyDescent="0.25">
      <c r="A1" s="290"/>
      <c r="B1" s="291"/>
      <c r="C1" s="291"/>
      <c r="D1" s="291"/>
      <c r="E1" s="291"/>
      <c r="F1" s="292"/>
      <c r="BF1" s="56"/>
      <c r="BG1" s="56"/>
    </row>
    <row r="2" spans="1:59" s="1" customFormat="1" ht="56.25" customHeight="1" x14ac:dyDescent="0.25">
      <c r="A2" s="1018" t="s">
        <v>463</v>
      </c>
      <c r="B2" s="1019"/>
      <c r="C2" s="1019"/>
      <c r="D2" s="55"/>
      <c r="E2" s="55"/>
      <c r="F2" s="304"/>
      <c r="BF2" s="56"/>
      <c r="BG2" s="56"/>
    </row>
    <row r="3" spans="1:59" s="18" customFormat="1" ht="18" customHeight="1" x14ac:dyDescent="0.25">
      <c r="A3" s="1020">
        <f>Definition!B23</f>
        <v>42522</v>
      </c>
      <c r="B3" s="1021"/>
      <c r="C3" s="1021"/>
      <c r="D3" s="1021"/>
      <c r="E3" s="1021"/>
      <c r="F3" s="1022"/>
      <c r="G3" s="43"/>
      <c r="H3" s="43"/>
      <c r="I3" s="43"/>
      <c r="J3" s="43"/>
      <c r="L3" s="43"/>
      <c r="M3" s="43"/>
      <c r="N3" s="43"/>
      <c r="O3" s="43"/>
      <c r="P3" s="43"/>
      <c r="Q3" s="43"/>
      <c r="R3" s="43"/>
      <c r="S3" s="57"/>
      <c r="T3" s="43"/>
      <c r="U3" s="43"/>
      <c r="BF3" s="57"/>
      <c r="BG3" s="57"/>
    </row>
    <row r="4" spans="1:59" ht="15" customHeight="1" x14ac:dyDescent="0.25"/>
    <row r="5" spans="1:59" x14ac:dyDescent="0.25">
      <c r="A5" s="517" t="s">
        <v>396</v>
      </c>
      <c r="B5" s="517" t="s">
        <v>598</v>
      </c>
      <c r="C5" s="322" t="s">
        <v>422</v>
      </c>
      <c r="E5" s="467" t="s">
        <v>396</v>
      </c>
      <c r="F5" s="468" t="s">
        <v>598</v>
      </c>
      <c r="G5"/>
    </row>
    <row r="6" spans="1:59" x14ac:dyDescent="0.25">
      <c r="E6" s="49"/>
      <c r="F6" s="49"/>
    </row>
    <row r="7" spans="1:59" x14ac:dyDescent="0.25">
      <c r="A7" s="467" t="s">
        <v>415</v>
      </c>
      <c r="B7" s="456" t="s">
        <v>1299</v>
      </c>
      <c r="C7" s="457" t="s">
        <v>1300</v>
      </c>
      <c r="D7"/>
      <c r="E7" s="467" t="s">
        <v>415</v>
      </c>
      <c r="F7" s="468" t="s">
        <v>1298</v>
      </c>
      <c r="H7"/>
      <c r="I7"/>
    </row>
    <row r="8" spans="1:59" x14ac:dyDescent="0.25">
      <c r="A8" s="495" t="s">
        <v>594</v>
      </c>
      <c r="B8" s="497">
        <v>1041</v>
      </c>
      <c r="C8" s="513"/>
      <c r="D8"/>
      <c r="E8" s="495" t="s">
        <v>594</v>
      </c>
      <c r="F8" s="497">
        <v>725</v>
      </c>
      <c r="H8"/>
      <c r="I8"/>
    </row>
    <row r="9" spans="1:59" x14ac:dyDescent="0.25">
      <c r="A9" s="520" t="s">
        <v>849</v>
      </c>
      <c r="B9" s="535">
        <v>289</v>
      </c>
      <c r="C9" s="506"/>
      <c r="D9"/>
      <c r="E9" s="520" t="s">
        <v>849</v>
      </c>
      <c r="F9" s="535">
        <v>279</v>
      </c>
      <c r="G9"/>
      <c r="H9"/>
      <c r="I9"/>
      <c r="J9"/>
      <c r="K9"/>
      <c r="L9"/>
      <c r="M9"/>
      <c r="N9"/>
      <c r="O9"/>
      <c r="P9"/>
      <c r="Q9"/>
    </row>
    <row r="10" spans="1:59" x14ac:dyDescent="0.25">
      <c r="A10" s="520" t="s">
        <v>1102</v>
      </c>
      <c r="B10" s="535">
        <v>20</v>
      </c>
      <c r="C10" s="506"/>
      <c r="D10"/>
      <c r="E10" s="520" t="s">
        <v>1102</v>
      </c>
      <c r="F10" s="535">
        <v>20</v>
      </c>
      <c r="G10"/>
      <c r="H10"/>
      <c r="I10"/>
      <c r="J10"/>
      <c r="K10"/>
      <c r="L10"/>
      <c r="M10"/>
      <c r="N10"/>
      <c r="O10"/>
      <c r="P10"/>
      <c r="Q10"/>
    </row>
    <row r="11" spans="1:59" x14ac:dyDescent="0.25">
      <c r="A11" s="520" t="s">
        <v>904</v>
      </c>
      <c r="B11" s="535">
        <v>350</v>
      </c>
      <c r="C11" s="506"/>
      <c r="D11"/>
      <c r="E11" s="520" t="s">
        <v>904</v>
      </c>
      <c r="F11" s="535">
        <v>350</v>
      </c>
      <c r="G11"/>
      <c r="H11"/>
      <c r="I11"/>
      <c r="J11"/>
      <c r="K11"/>
      <c r="L11"/>
      <c r="M11"/>
      <c r="N11"/>
      <c r="O11"/>
      <c r="P11"/>
      <c r="Q11"/>
    </row>
    <row r="12" spans="1:59" x14ac:dyDescent="0.25">
      <c r="A12" s="520" t="s">
        <v>455</v>
      </c>
      <c r="B12" s="535">
        <v>3211</v>
      </c>
      <c r="C12" s="506"/>
      <c r="D12"/>
      <c r="E12" s="520" t="s">
        <v>455</v>
      </c>
      <c r="F12" s="535">
        <v>2603</v>
      </c>
      <c r="H12"/>
      <c r="I12"/>
    </row>
    <row r="13" spans="1:59" s="48" customFormat="1" x14ac:dyDescent="0.25">
      <c r="A13" s="520" t="s">
        <v>1100</v>
      </c>
      <c r="B13" s="535">
        <v>269</v>
      </c>
      <c r="C13" s="506"/>
      <c r="D13"/>
      <c r="E13" s="520" t="s">
        <v>1100</v>
      </c>
      <c r="F13" s="535">
        <v>269</v>
      </c>
    </row>
    <row r="14" spans="1:59" x14ac:dyDescent="0.25">
      <c r="A14" s="520" t="s">
        <v>574</v>
      </c>
      <c r="B14" s="535">
        <v>32</v>
      </c>
      <c r="C14" s="506"/>
      <c r="D14"/>
      <c r="E14" s="520" t="s">
        <v>574</v>
      </c>
      <c r="F14" s="535">
        <v>32</v>
      </c>
      <c r="H14"/>
      <c r="I14"/>
    </row>
    <row r="15" spans="1:59" x14ac:dyDescent="0.25">
      <c r="A15" s="520" t="s">
        <v>850</v>
      </c>
      <c r="B15" s="535">
        <v>205</v>
      </c>
      <c r="C15" s="506"/>
      <c r="D15"/>
      <c r="E15" s="520" t="s">
        <v>850</v>
      </c>
      <c r="F15" s="535">
        <v>205</v>
      </c>
      <c r="H15"/>
      <c r="I15"/>
    </row>
    <row r="16" spans="1:59" x14ac:dyDescent="0.25">
      <c r="A16" s="520" t="s">
        <v>848</v>
      </c>
      <c r="B16" s="535">
        <v>933</v>
      </c>
      <c r="C16" s="506"/>
      <c r="D16"/>
      <c r="E16" s="520" t="s">
        <v>848</v>
      </c>
      <c r="F16" s="535">
        <v>900</v>
      </c>
      <c r="H16"/>
      <c r="I16"/>
    </row>
    <row r="17" spans="1:9" x14ac:dyDescent="0.25">
      <c r="A17" s="520" t="s">
        <v>851</v>
      </c>
      <c r="B17" s="535">
        <v>12</v>
      </c>
      <c r="C17" s="506"/>
      <c r="D17"/>
      <c r="E17" s="520" t="s">
        <v>851</v>
      </c>
      <c r="F17" s="535">
        <v>12</v>
      </c>
      <c r="H17"/>
      <c r="I17"/>
    </row>
    <row r="18" spans="1:9" x14ac:dyDescent="0.25">
      <c r="A18" s="520" t="s">
        <v>572</v>
      </c>
      <c r="B18" s="535">
        <v>420</v>
      </c>
      <c r="C18" s="506"/>
      <c r="D18"/>
      <c r="E18" s="520" t="s">
        <v>572</v>
      </c>
      <c r="F18" s="535">
        <v>405</v>
      </c>
      <c r="H18"/>
      <c r="I18"/>
    </row>
    <row r="19" spans="1:9" x14ac:dyDescent="0.25">
      <c r="A19" s="520" t="s">
        <v>454</v>
      </c>
      <c r="B19" s="535">
        <v>7200</v>
      </c>
      <c r="C19" s="506">
        <v>85</v>
      </c>
      <c r="D19"/>
      <c r="E19" s="520" t="s">
        <v>454</v>
      </c>
      <c r="F19" s="535">
        <v>7061</v>
      </c>
    </row>
    <row r="20" spans="1:9" x14ac:dyDescent="0.25">
      <c r="A20" s="520" t="s">
        <v>571</v>
      </c>
      <c r="B20" s="535">
        <v>87</v>
      </c>
      <c r="C20" s="506"/>
      <c r="D20"/>
      <c r="E20" s="520" t="s">
        <v>571</v>
      </c>
      <c r="F20" s="535">
        <v>77</v>
      </c>
    </row>
    <row r="21" spans="1:9" x14ac:dyDescent="0.25">
      <c r="A21" s="520" t="s">
        <v>852</v>
      </c>
      <c r="B21" s="535">
        <v>10</v>
      </c>
      <c r="C21" s="506"/>
      <c r="D21"/>
      <c r="E21" s="520" t="s">
        <v>852</v>
      </c>
      <c r="F21" s="535">
        <v>10</v>
      </c>
    </row>
    <row r="22" spans="1:9" x14ac:dyDescent="0.25">
      <c r="A22" s="495" t="s">
        <v>416</v>
      </c>
      <c r="B22" s="497">
        <v>14079</v>
      </c>
      <c r="C22" s="513">
        <v>85</v>
      </c>
      <c r="D22"/>
      <c r="E22" s="495" t="s">
        <v>416</v>
      </c>
      <c r="F22" s="497">
        <v>12948</v>
      </c>
    </row>
    <row r="23" spans="1:9" x14ac:dyDescent="0.25">
      <c r="A23"/>
      <c r="B23"/>
      <c r="C23"/>
      <c r="D23"/>
      <c r="E23"/>
      <c r="F23"/>
      <c r="G23"/>
    </row>
    <row r="24" spans="1:9" x14ac:dyDescent="0.25">
      <c r="A24"/>
      <c r="B24"/>
      <c r="C24"/>
      <c r="D24"/>
      <c r="E24"/>
      <c r="F24"/>
      <c r="G24"/>
    </row>
    <row r="25" spans="1:9" x14ac:dyDescent="0.25">
      <c r="A25"/>
      <c r="B25"/>
      <c r="C25"/>
      <c r="D25"/>
      <c r="E25"/>
      <c r="F25"/>
      <c r="G25"/>
    </row>
    <row r="26" spans="1:9" x14ac:dyDescent="0.25">
      <c r="A26"/>
      <c r="B26"/>
      <c r="C26"/>
      <c r="D26"/>
      <c r="E26"/>
      <c r="F26"/>
      <c r="G26"/>
    </row>
    <row r="27" spans="1:9" x14ac:dyDescent="0.25">
      <c r="A27"/>
      <c r="B27"/>
      <c r="C27"/>
      <c r="D27"/>
      <c r="E27"/>
      <c r="F27"/>
      <c r="G27"/>
    </row>
    <row r="28" spans="1:9" x14ac:dyDescent="0.25">
      <c r="A28"/>
      <c r="B28"/>
      <c r="C28"/>
      <c r="D28"/>
      <c r="E28"/>
      <c r="F28"/>
      <c r="G28"/>
    </row>
    <row r="29" spans="1:9" hidden="1" x14ac:dyDescent="0.25">
      <c r="A29"/>
      <c r="B29"/>
      <c r="C29"/>
      <c r="D29"/>
      <c r="E29"/>
      <c r="F29"/>
      <c r="G29"/>
    </row>
    <row r="30" spans="1:9" hidden="1" x14ac:dyDescent="0.25">
      <c r="A30"/>
      <c r="B30"/>
      <c r="C30"/>
      <c r="D30"/>
      <c r="E30"/>
      <c r="F30"/>
      <c r="G30"/>
    </row>
    <row r="31" spans="1:9" x14ac:dyDescent="0.25">
      <c r="A31"/>
      <c r="B31"/>
      <c r="C31"/>
      <c r="D31"/>
      <c r="E31" s="49"/>
      <c r="F31"/>
      <c r="G31"/>
    </row>
    <row r="32" spans="1:9" x14ac:dyDescent="0.25">
      <c r="A32"/>
      <c r="B32"/>
      <c r="C32"/>
      <c r="D32"/>
      <c r="E32" s="49"/>
      <c r="F32"/>
      <c r="G32"/>
    </row>
    <row r="33" spans="1:7" x14ac:dyDescent="0.25">
      <c r="A33"/>
      <c r="B33"/>
      <c r="C33"/>
      <c r="D33"/>
      <c r="E33"/>
      <c r="F33"/>
      <c r="G33"/>
    </row>
    <row r="34" spans="1:7" x14ac:dyDescent="0.25">
      <c r="A34"/>
      <c r="B34"/>
      <c r="C34"/>
      <c r="D34"/>
      <c r="E34"/>
      <c r="F34"/>
      <c r="G34"/>
    </row>
    <row r="35" spans="1:7" x14ac:dyDescent="0.25">
      <c r="A35"/>
      <c r="B35"/>
      <c r="C35"/>
      <c r="D35"/>
      <c r="E35"/>
      <c r="F35"/>
      <c r="G35"/>
    </row>
    <row r="36" spans="1:7" x14ac:dyDescent="0.25">
      <c r="A36"/>
      <c r="B36"/>
      <c r="C36"/>
      <c r="D36"/>
      <c r="E36"/>
      <c r="F36"/>
      <c r="G36"/>
    </row>
    <row r="37" spans="1:7" x14ac:dyDescent="0.25">
      <c r="A37"/>
      <c r="B37"/>
      <c r="C37"/>
      <c r="D37"/>
      <c r="E37"/>
      <c r="F37"/>
      <c r="G37"/>
    </row>
    <row r="38" spans="1:7" x14ac:dyDescent="0.25">
      <c r="A38"/>
      <c r="B38"/>
      <c r="C38"/>
      <c r="D38"/>
      <c r="E38"/>
      <c r="F38"/>
      <c r="G38"/>
    </row>
    <row r="39" spans="1:7" x14ac:dyDescent="0.25">
      <c r="A39"/>
      <c r="B39"/>
      <c r="C39"/>
      <c r="D39"/>
      <c r="E39"/>
      <c r="F39"/>
      <c r="G39"/>
    </row>
    <row r="40" spans="1:7" x14ac:dyDescent="0.25">
      <c r="A40"/>
      <c r="B40"/>
      <c r="C40"/>
      <c r="D40"/>
      <c r="E40"/>
      <c r="F40"/>
      <c r="G40"/>
    </row>
    <row r="41" spans="1:7" x14ac:dyDescent="0.25">
      <c r="A41"/>
      <c r="B41"/>
      <c r="C41"/>
      <c r="D41"/>
      <c r="E41"/>
      <c r="F41"/>
      <c r="G41"/>
    </row>
    <row r="42" spans="1:7" x14ac:dyDescent="0.25">
      <c r="A42"/>
      <c r="B42"/>
      <c r="C42"/>
      <c r="D42"/>
      <c r="E42"/>
      <c r="F42"/>
      <c r="G42"/>
    </row>
    <row r="43" spans="1:7" x14ac:dyDescent="0.25">
      <c r="A43"/>
      <c r="B43"/>
      <c r="C43"/>
      <c r="D43"/>
      <c r="E43"/>
      <c r="F43"/>
    </row>
    <row r="44" spans="1:7" x14ac:dyDescent="0.25">
      <c r="A44"/>
      <c r="B44"/>
      <c r="C44"/>
      <c r="D44"/>
      <c r="E44"/>
      <c r="F44"/>
    </row>
    <row r="45" spans="1:7" x14ac:dyDescent="0.25">
      <c r="A45"/>
      <c r="B45"/>
      <c r="C45"/>
      <c r="D45"/>
      <c r="E45"/>
      <c r="F45"/>
    </row>
    <row r="46" spans="1:7" x14ac:dyDescent="0.25">
      <c r="A46"/>
      <c r="B46"/>
      <c r="C46"/>
      <c r="D46"/>
      <c r="E46"/>
      <c r="F46"/>
    </row>
    <row r="47" spans="1:7" x14ac:dyDescent="0.25">
      <c r="A47"/>
      <c r="B47"/>
      <c r="C47"/>
      <c r="D47"/>
      <c r="E47"/>
      <c r="F47"/>
    </row>
    <row r="48" spans="1:7" x14ac:dyDescent="0.25">
      <c r="A48"/>
      <c r="B48"/>
      <c r="C48"/>
      <c r="D48"/>
      <c r="E48"/>
      <c r="F48"/>
    </row>
    <row r="49" spans="1:6" x14ac:dyDescent="0.25">
      <c r="A49"/>
      <c r="B49"/>
      <c r="C49"/>
      <c r="D49"/>
      <c r="E49"/>
      <c r="F49"/>
    </row>
    <row r="50" spans="1:6" x14ac:dyDescent="0.25">
      <c r="A50"/>
      <c r="B50"/>
      <c r="C50"/>
      <c r="D50"/>
      <c r="E50"/>
      <c r="F50"/>
    </row>
    <row r="51" spans="1:6" x14ac:dyDescent="0.25">
      <c r="A51"/>
      <c r="B51"/>
      <c r="C51"/>
      <c r="D51"/>
      <c r="E51"/>
      <c r="F51"/>
    </row>
    <row r="52" spans="1:6" x14ac:dyDescent="0.25">
      <c r="A52"/>
      <c r="B52"/>
      <c r="C52"/>
      <c r="D52"/>
      <c r="E52"/>
      <c r="F52"/>
    </row>
    <row r="53" spans="1:6" x14ac:dyDescent="0.25">
      <c r="A53"/>
      <c r="B53"/>
      <c r="C53"/>
      <c r="D53"/>
      <c r="E53"/>
      <c r="F53"/>
    </row>
    <row r="54" spans="1:6" x14ac:dyDescent="0.25">
      <c r="A54"/>
      <c r="B54"/>
      <c r="C54"/>
      <c r="D54"/>
      <c r="E54"/>
      <c r="F54"/>
    </row>
    <row r="55" spans="1:6" x14ac:dyDescent="0.25">
      <c r="A55"/>
      <c r="B55"/>
      <c r="C55"/>
      <c r="D55"/>
      <c r="E55"/>
      <c r="F55"/>
    </row>
    <row r="56" spans="1:6" hidden="1" x14ac:dyDescent="0.25">
      <c r="A56"/>
      <c r="B56"/>
      <c r="C56"/>
      <c r="D56"/>
      <c r="E56"/>
      <c r="F56"/>
    </row>
    <row r="57" spans="1:6" hidden="1" x14ac:dyDescent="0.25">
      <c r="A57"/>
      <c r="B57"/>
      <c r="C57"/>
      <c r="D57"/>
      <c r="E57"/>
      <c r="F57"/>
    </row>
    <row r="58" spans="1:6" x14ac:dyDescent="0.25">
      <c r="A58"/>
      <c r="B58"/>
      <c r="C58"/>
      <c r="D58"/>
      <c r="E58"/>
      <c r="F58"/>
    </row>
    <row r="59" spans="1:6" x14ac:dyDescent="0.25">
      <c r="A59" s="517" t="s">
        <v>396</v>
      </c>
      <c r="B59" s="517" t="s">
        <v>598</v>
      </c>
      <c r="C59" s="242"/>
      <c r="D59"/>
      <c r="E59"/>
      <c r="F59"/>
    </row>
    <row r="60" spans="1:6" x14ac:dyDescent="0.25">
      <c r="A60" s="529" t="s">
        <v>0</v>
      </c>
      <c r="B60" s="517" t="s">
        <v>5</v>
      </c>
      <c r="C60" s="243"/>
      <c r="D60"/>
      <c r="E60"/>
      <c r="F60"/>
    </row>
    <row r="61" spans="1:6" x14ac:dyDescent="0.25">
      <c r="A61" s="517" t="s">
        <v>500</v>
      </c>
      <c r="B61" s="517" t="s">
        <v>1125</v>
      </c>
      <c r="C61" s="246" t="s">
        <v>422</v>
      </c>
      <c r="D61"/>
      <c r="E61"/>
    </row>
    <row r="62" spans="1:6" x14ac:dyDescent="0.25">
      <c r="A62" s="123"/>
      <c r="B62" s="123"/>
      <c r="C62" s="123"/>
      <c r="D62"/>
      <c r="E62"/>
    </row>
    <row r="63" spans="1:6" x14ac:dyDescent="0.25">
      <c r="A63" s="360" t="s">
        <v>415</v>
      </c>
      <c r="B63" s="26" t="s">
        <v>1246</v>
      </c>
      <c r="C63"/>
      <c r="D63"/>
      <c r="E63"/>
    </row>
    <row r="64" spans="1:6" x14ac:dyDescent="0.25">
      <c r="A64" s="359" t="s">
        <v>6</v>
      </c>
      <c r="B64" s="536">
        <v>0.20681265206812652</v>
      </c>
      <c r="C64"/>
      <c r="D64"/>
      <c r="E64"/>
    </row>
    <row r="65" spans="1:5" x14ac:dyDescent="0.25">
      <c r="A65" s="359" t="s">
        <v>514</v>
      </c>
      <c r="B65" s="536">
        <v>1.75</v>
      </c>
      <c r="C65"/>
      <c r="D65"/>
      <c r="E65"/>
    </row>
    <row r="66" spans="1:5" x14ac:dyDescent="0.25">
      <c r="A66" s="359" t="s">
        <v>14</v>
      </c>
      <c r="B66" s="536">
        <v>0.48717948717948717</v>
      </c>
      <c r="C66"/>
      <c r="D66"/>
      <c r="E66"/>
    </row>
    <row r="67" spans="1:5" x14ac:dyDescent="0.25">
      <c r="A67" s="359" t="s">
        <v>18</v>
      </c>
      <c r="B67" s="536">
        <v>0.12561576354679804</v>
      </c>
      <c r="C67"/>
      <c r="D67"/>
      <c r="E67"/>
    </row>
    <row r="68" spans="1:5" x14ac:dyDescent="0.25">
      <c r="A68" s="359" t="s">
        <v>8</v>
      </c>
      <c r="B68" s="536">
        <v>0.6428571428571429</v>
      </c>
      <c r="C68"/>
      <c r="D68"/>
      <c r="E68"/>
    </row>
    <row r="69" spans="1:5" x14ac:dyDescent="0.25">
      <c r="A69" s="359" t="s">
        <v>20</v>
      </c>
      <c r="B69" s="536">
        <v>0.5</v>
      </c>
      <c r="C69"/>
      <c r="D69"/>
      <c r="E69"/>
    </row>
    <row r="70" spans="1:5" x14ac:dyDescent="0.25">
      <c r="A70" s="359" t="s">
        <v>366</v>
      </c>
      <c r="B70" s="536">
        <v>0.21</v>
      </c>
      <c r="C70"/>
      <c r="D70"/>
      <c r="E70"/>
    </row>
    <row r="71" spans="1:5" x14ac:dyDescent="0.25">
      <c r="A71" s="359" t="s">
        <v>22</v>
      </c>
      <c r="B71" s="536">
        <v>0.13513513513513514</v>
      </c>
      <c r="C71"/>
      <c r="D71"/>
      <c r="E71"/>
    </row>
    <row r="72" spans="1:5" x14ac:dyDescent="0.25">
      <c r="A72" s="359" t="s">
        <v>24</v>
      </c>
      <c r="B72" s="536">
        <v>1.3095238095238095</v>
      </c>
      <c r="C72"/>
      <c r="D72"/>
      <c r="E72"/>
    </row>
    <row r="73" spans="1:5" x14ac:dyDescent="0.25">
      <c r="A73" s="359" t="s">
        <v>26</v>
      </c>
      <c r="B73" s="536">
        <v>0.76</v>
      </c>
      <c r="C73"/>
      <c r="D73"/>
      <c r="E73"/>
    </row>
    <row r="74" spans="1:5" x14ac:dyDescent="0.25">
      <c r="A74" s="359" t="s">
        <v>416</v>
      </c>
      <c r="B74" s="536">
        <v>0.47559226835844004</v>
      </c>
      <c r="C74"/>
      <c r="D74"/>
    </row>
    <row r="75" spans="1:5" x14ac:dyDescent="0.25">
      <c r="A75"/>
      <c r="B75"/>
      <c r="C75"/>
      <c r="D75"/>
    </row>
    <row r="76" spans="1:5" x14ac:dyDescent="0.25">
      <c r="A76"/>
      <c r="B76"/>
      <c r="C76"/>
      <c r="D76"/>
    </row>
    <row r="77" spans="1:5" x14ac:dyDescent="0.25">
      <c r="A77"/>
      <c r="B77"/>
      <c r="C77"/>
      <c r="D77"/>
    </row>
    <row r="78" spans="1:5" x14ac:dyDescent="0.25">
      <c r="A78"/>
      <c r="B78"/>
      <c r="C78"/>
      <c r="D78"/>
    </row>
    <row r="79" spans="1:5" x14ac:dyDescent="0.25">
      <c r="A79"/>
      <c r="B79"/>
      <c r="C79"/>
      <c r="D79"/>
    </row>
    <row r="80" spans="1:5" x14ac:dyDescent="0.25">
      <c r="A80"/>
      <c r="B80"/>
      <c r="C80"/>
      <c r="D80"/>
    </row>
    <row r="81" spans="1:4" x14ac:dyDescent="0.25">
      <c r="A81"/>
      <c r="B81"/>
      <c r="C81"/>
      <c r="D81"/>
    </row>
    <row r="82" spans="1:4" x14ac:dyDescent="0.25">
      <c r="A82"/>
      <c r="B82"/>
      <c r="C82"/>
      <c r="D82"/>
    </row>
    <row r="83" spans="1:4" x14ac:dyDescent="0.25">
      <c r="A83"/>
      <c r="B83"/>
      <c r="C83"/>
      <c r="D83"/>
    </row>
    <row r="84" spans="1:4" x14ac:dyDescent="0.25">
      <c r="A84"/>
      <c r="B84"/>
      <c r="C84"/>
      <c r="D84"/>
    </row>
    <row r="85" spans="1:4" x14ac:dyDescent="0.25">
      <c r="A85"/>
      <c r="B85"/>
      <c r="C85"/>
      <c r="D85"/>
    </row>
    <row r="86" spans="1:4" x14ac:dyDescent="0.25">
      <c r="A86"/>
      <c r="B86"/>
      <c r="C86"/>
      <c r="D86"/>
    </row>
    <row r="87" spans="1:4" x14ac:dyDescent="0.25">
      <c r="A87"/>
      <c r="B87"/>
      <c r="C87"/>
      <c r="D87"/>
    </row>
    <row r="88" spans="1:4" x14ac:dyDescent="0.25">
      <c r="A88"/>
      <c r="B88"/>
      <c r="C88"/>
      <c r="D88"/>
    </row>
    <row r="89" spans="1:4" x14ac:dyDescent="0.25">
      <c r="A89"/>
      <c r="B89"/>
      <c r="C89"/>
      <c r="D89"/>
    </row>
    <row r="90" spans="1:4" x14ac:dyDescent="0.25">
      <c r="A90"/>
      <c r="B90"/>
      <c r="C90"/>
      <c r="D90"/>
    </row>
    <row r="91" spans="1:4" x14ac:dyDescent="0.25">
      <c r="A91"/>
      <c r="B91"/>
      <c r="C91"/>
      <c r="D91"/>
    </row>
    <row r="92" spans="1:4" x14ac:dyDescent="0.25">
      <c r="A92"/>
      <c r="B92"/>
      <c r="C92"/>
      <c r="D92"/>
    </row>
    <row r="93" spans="1:4" x14ac:dyDescent="0.25">
      <c r="A93"/>
      <c r="B93"/>
      <c r="C93"/>
      <c r="D93"/>
    </row>
    <row r="94" spans="1:4" x14ac:dyDescent="0.25">
      <c r="A94"/>
      <c r="B94"/>
      <c r="C94"/>
      <c r="D94"/>
    </row>
    <row r="95" spans="1:4" x14ac:dyDescent="0.25">
      <c r="A95"/>
      <c r="B95"/>
      <c r="C95"/>
      <c r="D95"/>
    </row>
    <row r="96" spans="1:4" x14ac:dyDescent="0.25">
      <c r="A96"/>
      <c r="B96"/>
      <c r="C96"/>
      <c r="D96"/>
    </row>
    <row r="97" spans="1:4" x14ac:dyDescent="0.25">
      <c r="A97"/>
      <c r="B97"/>
      <c r="C97"/>
      <c r="D97"/>
    </row>
    <row r="98" spans="1:4" x14ac:dyDescent="0.25">
      <c r="A98"/>
      <c r="B98"/>
      <c r="C98"/>
      <c r="D98"/>
    </row>
    <row r="99" spans="1:4" x14ac:dyDescent="0.25">
      <c r="A99"/>
      <c r="B99"/>
      <c r="C99"/>
      <c r="D99"/>
    </row>
    <row r="100" spans="1:4" x14ac:dyDescent="0.25">
      <c r="A100"/>
      <c r="B100"/>
      <c r="C100"/>
      <c r="D100"/>
    </row>
    <row r="101" spans="1:4" x14ac:dyDescent="0.25">
      <c r="A101"/>
      <c r="B101"/>
      <c r="C101"/>
      <c r="D101"/>
    </row>
    <row r="102" spans="1:4" x14ac:dyDescent="0.25">
      <c r="A102"/>
      <c r="B102"/>
      <c r="C102"/>
      <c r="D102"/>
    </row>
    <row r="103" spans="1:4" x14ac:dyDescent="0.25">
      <c r="A103"/>
      <c r="B103"/>
      <c r="C103"/>
      <c r="D103"/>
    </row>
    <row r="104" spans="1:4" x14ac:dyDescent="0.25">
      <c r="A104"/>
      <c r="B104"/>
      <c r="C104"/>
      <c r="D104"/>
    </row>
    <row r="105" spans="1:4" x14ac:dyDescent="0.25">
      <c r="A105"/>
      <c r="B105"/>
      <c r="C105"/>
      <c r="D105"/>
    </row>
    <row r="106" spans="1:4" x14ac:dyDescent="0.25">
      <c r="A106"/>
      <c r="B106"/>
      <c r="C106"/>
      <c r="D106"/>
    </row>
    <row r="107" spans="1:4" x14ac:dyDescent="0.25">
      <c r="A107"/>
      <c r="B107"/>
      <c r="C107"/>
      <c r="D107"/>
    </row>
    <row r="108" spans="1:4" x14ac:dyDescent="0.25">
      <c r="A108"/>
      <c r="B108"/>
      <c r="C108"/>
      <c r="D108"/>
    </row>
    <row r="109" spans="1:4" x14ac:dyDescent="0.25">
      <c r="A109"/>
      <c r="B109"/>
      <c r="C109"/>
      <c r="D109"/>
    </row>
    <row r="110" spans="1:4" x14ac:dyDescent="0.25">
      <c r="A110"/>
      <c r="B110"/>
      <c r="C110"/>
      <c r="D110"/>
    </row>
    <row r="111" spans="1:4" x14ac:dyDescent="0.25">
      <c r="A111"/>
      <c r="B111"/>
      <c r="C111"/>
      <c r="D111"/>
    </row>
    <row r="112" spans="1:4" x14ac:dyDescent="0.25">
      <c r="A112"/>
      <c r="B112"/>
      <c r="C112"/>
      <c r="D112"/>
    </row>
    <row r="113" spans="1:4" x14ac:dyDescent="0.25">
      <c r="A113"/>
      <c r="B113"/>
      <c r="C113"/>
      <c r="D113"/>
    </row>
    <row r="114" spans="1:4" x14ac:dyDescent="0.25">
      <c r="A114"/>
      <c r="B114"/>
      <c r="C114"/>
      <c r="D114"/>
    </row>
    <row r="115" spans="1:4" x14ac:dyDescent="0.25">
      <c r="A115"/>
      <c r="B115"/>
      <c r="C115"/>
      <c r="D115"/>
    </row>
    <row r="116" spans="1:4" x14ac:dyDescent="0.25">
      <c r="A116"/>
      <c r="B116"/>
      <c r="C116"/>
      <c r="D116"/>
    </row>
    <row r="117" spans="1:4" x14ac:dyDescent="0.25">
      <c r="A117"/>
      <c r="B117"/>
      <c r="C117"/>
      <c r="D117"/>
    </row>
    <row r="118" spans="1:4" x14ac:dyDescent="0.25">
      <c r="A118"/>
      <c r="B118"/>
      <c r="C118"/>
      <c r="D118"/>
    </row>
    <row r="119" spans="1:4" x14ac:dyDescent="0.25">
      <c r="A119"/>
      <c r="B119"/>
      <c r="C119"/>
      <c r="D119"/>
    </row>
    <row r="120" spans="1:4" x14ac:dyDescent="0.25">
      <c r="A120"/>
      <c r="B120"/>
      <c r="C120"/>
      <c r="D120"/>
    </row>
    <row r="121" spans="1:4" x14ac:dyDescent="0.25">
      <c r="A121"/>
      <c r="B121"/>
      <c r="C121"/>
      <c r="D121"/>
    </row>
    <row r="122" spans="1:4" x14ac:dyDescent="0.25">
      <c r="A122"/>
      <c r="B122"/>
      <c r="C122"/>
      <c r="D122"/>
    </row>
    <row r="123" spans="1:4" x14ac:dyDescent="0.25">
      <c r="A123"/>
      <c r="B123"/>
      <c r="C123"/>
      <c r="D123"/>
    </row>
    <row r="124" spans="1:4" x14ac:dyDescent="0.25">
      <c r="A124"/>
      <c r="B124"/>
      <c r="C124"/>
      <c r="D124"/>
    </row>
    <row r="125" spans="1:4" x14ac:dyDescent="0.25">
      <c r="A125"/>
      <c r="B125"/>
      <c r="C125"/>
      <c r="D125"/>
    </row>
    <row r="126" spans="1:4" x14ac:dyDescent="0.25">
      <c r="A126"/>
      <c r="B126"/>
      <c r="C126"/>
      <c r="D126"/>
    </row>
    <row r="127" spans="1:4" x14ac:dyDescent="0.25">
      <c r="A127"/>
      <c r="B127"/>
      <c r="C127"/>
      <c r="D127"/>
    </row>
    <row r="128" spans="1:4" x14ac:dyDescent="0.25">
      <c r="A128"/>
      <c r="B128"/>
      <c r="C128"/>
      <c r="D128"/>
    </row>
    <row r="129" spans="1:4" x14ac:dyDescent="0.25">
      <c r="A129"/>
      <c r="B129"/>
      <c r="C129"/>
      <c r="D129"/>
    </row>
    <row r="130" spans="1:4" x14ac:dyDescent="0.25">
      <c r="A130"/>
      <c r="B130"/>
      <c r="C130"/>
      <c r="D130"/>
    </row>
    <row r="131" spans="1:4" x14ac:dyDescent="0.25">
      <c r="A131"/>
      <c r="B131"/>
      <c r="C131"/>
      <c r="D131"/>
    </row>
    <row r="132" spans="1:4" x14ac:dyDescent="0.25">
      <c r="A132"/>
      <c r="B132"/>
      <c r="C132"/>
      <c r="D132"/>
    </row>
    <row r="133" spans="1:4" x14ac:dyDescent="0.25">
      <c r="A133"/>
      <c r="B133"/>
      <c r="C133"/>
      <c r="D133"/>
    </row>
    <row r="134" spans="1:4" x14ac:dyDescent="0.25">
      <c r="A134"/>
      <c r="B134"/>
      <c r="C134"/>
      <c r="D134"/>
    </row>
    <row r="135" spans="1:4" x14ac:dyDescent="0.25">
      <c r="A135"/>
      <c r="B135"/>
      <c r="C135"/>
      <c r="D135"/>
    </row>
    <row r="136" spans="1:4" x14ac:dyDescent="0.25">
      <c r="A136"/>
      <c r="B136"/>
      <c r="C136"/>
      <c r="D136"/>
    </row>
    <row r="137" spans="1:4" x14ac:dyDescent="0.25">
      <c r="A137"/>
      <c r="B137"/>
      <c r="C137"/>
      <c r="D137"/>
    </row>
    <row r="138" spans="1:4" x14ac:dyDescent="0.25">
      <c r="A138"/>
      <c r="B138"/>
      <c r="C138"/>
      <c r="D138"/>
    </row>
    <row r="139" spans="1:4" x14ac:dyDescent="0.25">
      <c r="A139"/>
      <c r="B139"/>
      <c r="C139"/>
      <c r="D139"/>
    </row>
    <row r="140" spans="1:4" x14ac:dyDescent="0.25">
      <c r="A140"/>
      <c r="B140"/>
      <c r="C140"/>
      <c r="D140"/>
    </row>
    <row r="141" spans="1:4" x14ac:dyDescent="0.25">
      <c r="A141"/>
      <c r="B141"/>
      <c r="C141"/>
      <c r="D141"/>
    </row>
    <row r="142" spans="1:4" x14ac:dyDescent="0.25">
      <c r="A142"/>
      <c r="B142"/>
      <c r="C142"/>
      <c r="D142"/>
    </row>
    <row r="143" spans="1:4" x14ac:dyDescent="0.25">
      <c r="A143"/>
      <c r="B143"/>
      <c r="C143"/>
      <c r="D143"/>
    </row>
    <row r="144" spans="1:4" x14ac:dyDescent="0.25">
      <c r="A144"/>
      <c r="B144"/>
      <c r="C144"/>
      <c r="D144"/>
    </row>
    <row r="145" spans="1:4" x14ac:dyDescent="0.25">
      <c r="A145"/>
      <c r="B145"/>
      <c r="C145"/>
      <c r="D145"/>
    </row>
    <row r="146" spans="1:4" x14ac:dyDescent="0.25">
      <c r="A146"/>
      <c r="B146"/>
      <c r="C146"/>
      <c r="D146"/>
    </row>
    <row r="147" spans="1:4" x14ac:dyDescent="0.25">
      <c r="A147"/>
      <c r="B147"/>
      <c r="C147"/>
      <c r="D147"/>
    </row>
    <row r="148" spans="1:4" x14ac:dyDescent="0.25">
      <c r="A148"/>
      <c r="B148"/>
      <c r="C148"/>
      <c r="D148"/>
    </row>
    <row r="149" spans="1:4" x14ac:dyDescent="0.25">
      <c r="A149"/>
      <c r="B149"/>
      <c r="C149"/>
      <c r="D149"/>
    </row>
    <row r="150" spans="1:4" x14ac:dyDescent="0.25">
      <c r="A150"/>
      <c r="B150"/>
      <c r="C150"/>
      <c r="D150"/>
    </row>
    <row r="151" spans="1:4" x14ac:dyDescent="0.25">
      <c r="A151"/>
      <c r="B151"/>
      <c r="C151"/>
      <c r="D151"/>
    </row>
    <row r="152" spans="1:4" x14ac:dyDescent="0.25">
      <c r="A152"/>
      <c r="B152"/>
      <c r="C152"/>
      <c r="D152"/>
    </row>
    <row r="153" spans="1:4" x14ac:dyDescent="0.25">
      <c r="A153"/>
      <c r="B153"/>
      <c r="C153"/>
      <c r="D153"/>
    </row>
    <row r="154" spans="1:4" x14ac:dyDescent="0.25">
      <c r="A154"/>
      <c r="B154"/>
      <c r="C154"/>
      <c r="D154"/>
    </row>
    <row r="155" spans="1:4" x14ac:dyDescent="0.25">
      <c r="A155"/>
      <c r="B155"/>
      <c r="C155"/>
      <c r="D155"/>
    </row>
    <row r="156" spans="1:4" x14ac:dyDescent="0.25">
      <c r="A156"/>
      <c r="B156"/>
      <c r="C156"/>
      <c r="D156"/>
    </row>
    <row r="157" spans="1:4" x14ac:dyDescent="0.25">
      <c r="A157"/>
      <c r="B157"/>
      <c r="C157"/>
      <c r="D157"/>
    </row>
    <row r="158" spans="1:4" x14ac:dyDescent="0.25">
      <c r="A158"/>
      <c r="B158"/>
      <c r="C158"/>
      <c r="D158"/>
    </row>
    <row r="159" spans="1:4" x14ac:dyDescent="0.25">
      <c r="A159"/>
      <c r="B159"/>
      <c r="C159"/>
      <c r="D159"/>
    </row>
    <row r="160" spans="1:4" x14ac:dyDescent="0.25">
      <c r="A160"/>
      <c r="B160"/>
      <c r="C160"/>
      <c r="D160"/>
    </row>
    <row r="161" spans="1:4" x14ac:dyDescent="0.25">
      <c r="A161"/>
      <c r="B161"/>
      <c r="C161"/>
      <c r="D161"/>
    </row>
    <row r="162" spans="1:4" x14ac:dyDescent="0.25">
      <c r="A162"/>
      <c r="B162"/>
      <c r="C162"/>
      <c r="D162"/>
    </row>
    <row r="163" spans="1:4" x14ac:dyDescent="0.25">
      <c r="A163"/>
      <c r="B163"/>
      <c r="C163"/>
      <c r="D163"/>
    </row>
    <row r="164" spans="1:4" x14ac:dyDescent="0.25">
      <c r="A164"/>
      <c r="B164"/>
      <c r="C164"/>
      <c r="D164"/>
    </row>
    <row r="165" spans="1:4" x14ac:dyDescent="0.25">
      <c r="A165"/>
      <c r="B165"/>
      <c r="C165"/>
      <c r="D165"/>
    </row>
    <row r="166" spans="1:4" x14ac:dyDescent="0.25">
      <c r="A166"/>
      <c r="B166"/>
      <c r="C166"/>
      <c r="D166"/>
    </row>
    <row r="167" spans="1:4" x14ac:dyDescent="0.25">
      <c r="A167"/>
      <c r="B167"/>
      <c r="C167"/>
      <c r="D167"/>
    </row>
    <row r="168" spans="1:4" x14ac:dyDescent="0.25">
      <c r="A168"/>
      <c r="B168"/>
      <c r="C168"/>
      <c r="D168"/>
    </row>
    <row r="169" spans="1:4" x14ac:dyDescent="0.25">
      <c r="A169"/>
      <c r="B169"/>
      <c r="C169"/>
      <c r="D169"/>
    </row>
    <row r="170" spans="1:4" x14ac:dyDescent="0.25">
      <c r="A170"/>
      <c r="B170"/>
      <c r="C170"/>
      <c r="D170"/>
    </row>
    <row r="171" spans="1:4" x14ac:dyDescent="0.25">
      <c r="A171"/>
      <c r="B171"/>
      <c r="C171"/>
      <c r="D171"/>
    </row>
    <row r="172" spans="1:4" x14ac:dyDescent="0.25">
      <c r="A172"/>
      <c r="B172"/>
      <c r="C172"/>
      <c r="D172"/>
    </row>
    <row r="173" spans="1:4" x14ac:dyDescent="0.25">
      <c r="A173"/>
      <c r="B173"/>
      <c r="C173"/>
      <c r="D173"/>
    </row>
    <row r="174" spans="1:4" x14ac:dyDescent="0.25">
      <c r="A174"/>
      <c r="B174"/>
      <c r="C174"/>
      <c r="D174"/>
    </row>
    <row r="175" spans="1:4" x14ac:dyDescent="0.25">
      <c r="A175"/>
      <c r="B175"/>
      <c r="C175"/>
      <c r="D175"/>
    </row>
    <row r="176" spans="1:4" x14ac:dyDescent="0.25">
      <c r="A176"/>
      <c r="B176"/>
      <c r="C176"/>
      <c r="D176"/>
    </row>
    <row r="177" spans="1:4" x14ac:dyDescent="0.25">
      <c r="A177"/>
      <c r="B177"/>
      <c r="C177"/>
      <c r="D177"/>
    </row>
    <row r="178" spans="1:4" x14ac:dyDescent="0.25">
      <c r="A178"/>
      <c r="B178"/>
      <c r="C178"/>
      <c r="D178"/>
    </row>
    <row r="179" spans="1:4" x14ac:dyDescent="0.25">
      <c r="A179"/>
      <c r="B179"/>
      <c r="C179"/>
      <c r="D179"/>
    </row>
    <row r="180" spans="1:4" x14ac:dyDescent="0.25">
      <c r="A180"/>
      <c r="B180"/>
      <c r="C180"/>
      <c r="D180"/>
    </row>
    <row r="181" spans="1:4" x14ac:dyDescent="0.25">
      <c r="A181"/>
      <c r="B181"/>
      <c r="C181"/>
      <c r="D181"/>
    </row>
    <row r="182" spans="1:4" x14ac:dyDescent="0.25">
      <c r="A182"/>
      <c r="B182"/>
      <c r="C182"/>
      <c r="D182"/>
    </row>
    <row r="183" spans="1:4" x14ac:dyDescent="0.25">
      <c r="A183"/>
      <c r="B183"/>
      <c r="C183"/>
      <c r="D183"/>
    </row>
    <row r="184" spans="1:4" x14ac:dyDescent="0.25">
      <c r="A184"/>
      <c r="B184"/>
      <c r="C184"/>
      <c r="D184"/>
    </row>
    <row r="185" spans="1:4" x14ac:dyDescent="0.25">
      <c r="A185"/>
      <c r="B185"/>
      <c r="C185"/>
      <c r="D185"/>
    </row>
    <row r="186" spans="1:4" x14ac:dyDescent="0.25">
      <c r="A186"/>
      <c r="B186"/>
      <c r="C186"/>
      <c r="D186"/>
    </row>
    <row r="187" spans="1:4" x14ac:dyDescent="0.25">
      <c r="A187"/>
      <c r="B187"/>
      <c r="C187"/>
      <c r="D187"/>
    </row>
    <row r="188" spans="1:4" x14ac:dyDescent="0.25">
      <c r="A188"/>
      <c r="B188"/>
      <c r="C188"/>
      <c r="D188"/>
    </row>
    <row r="189" spans="1:4" x14ac:dyDescent="0.25">
      <c r="A189"/>
      <c r="B189"/>
      <c r="C189"/>
      <c r="D189"/>
    </row>
    <row r="190" spans="1:4" x14ac:dyDescent="0.25">
      <c r="A190"/>
      <c r="B190"/>
      <c r="C190"/>
      <c r="D190"/>
    </row>
    <row r="191" spans="1:4" x14ac:dyDescent="0.25">
      <c r="A191"/>
      <c r="B191"/>
      <c r="C191"/>
      <c r="D191"/>
    </row>
    <row r="192" spans="1:4" x14ac:dyDescent="0.25">
      <c r="A192"/>
      <c r="B192"/>
      <c r="C192"/>
      <c r="D192"/>
    </row>
    <row r="193" spans="1:4" x14ac:dyDescent="0.25">
      <c r="A193"/>
      <c r="B193"/>
      <c r="C193"/>
      <c r="D193"/>
    </row>
    <row r="194" spans="1:4" x14ac:dyDescent="0.25">
      <c r="A194"/>
      <c r="B194"/>
      <c r="C194"/>
      <c r="D194"/>
    </row>
    <row r="195" spans="1:4" x14ac:dyDescent="0.25">
      <c r="A195"/>
      <c r="B195"/>
      <c r="C195"/>
      <c r="D195"/>
    </row>
    <row r="196" spans="1:4" x14ac:dyDescent="0.25">
      <c r="A196"/>
      <c r="B196"/>
      <c r="C196"/>
      <c r="D196"/>
    </row>
    <row r="197" spans="1:4" x14ac:dyDescent="0.25">
      <c r="A197"/>
      <c r="B197"/>
      <c r="C197"/>
      <c r="D197"/>
    </row>
    <row r="198" spans="1:4" x14ac:dyDescent="0.25">
      <c r="A198"/>
      <c r="B198"/>
      <c r="C198"/>
      <c r="D198"/>
    </row>
    <row r="199" spans="1:4" x14ac:dyDescent="0.25">
      <c r="A199"/>
    </row>
    <row r="200" spans="1:4" x14ac:dyDescent="0.25">
      <c r="A200"/>
    </row>
    <row r="201" spans="1:4" x14ac:dyDescent="0.25">
      <c r="A201"/>
    </row>
    <row r="202" spans="1:4" x14ac:dyDescent="0.25">
      <c r="A202"/>
    </row>
    <row r="203" spans="1:4" x14ac:dyDescent="0.25">
      <c r="A203"/>
    </row>
    <row r="204" spans="1:4" x14ac:dyDescent="0.25">
      <c r="A204"/>
    </row>
    <row r="205" spans="1:4" x14ac:dyDescent="0.25">
      <c r="A205"/>
    </row>
  </sheetData>
  <mergeCells count="2">
    <mergeCell ref="A2:C2"/>
    <mergeCell ref="A3:F3"/>
  </mergeCells>
  <pageMargins left="0.7" right="0.7" top="0.75" bottom="0.75" header="0.3" footer="0.3"/>
  <pageSetup paperSize="9" scale="62" orientation="portrait" r:id="rId4"/>
  <drawing r:id="rId5"/>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92D050"/>
  </sheetPr>
  <dimension ref="A1:M227"/>
  <sheetViews>
    <sheetView topLeftCell="B117" zoomScale="90" zoomScaleNormal="90" workbookViewId="0">
      <selection activeCell="I12" sqref="I12"/>
    </sheetView>
  </sheetViews>
  <sheetFormatPr defaultRowHeight="15" x14ac:dyDescent="0.25"/>
  <cols>
    <col min="1" max="1" width="14.28515625" customWidth="1"/>
    <col min="2" max="2" width="25.28515625" style="98" customWidth="1"/>
    <col min="3" max="3" width="47.28515625" customWidth="1"/>
    <col min="4" max="4" width="16" customWidth="1"/>
    <col min="6" max="7" width="0" hidden="1" customWidth="1"/>
    <col min="8" max="8" width="52.7109375" style="4" customWidth="1"/>
    <col min="9" max="9" width="10.140625" style="4" customWidth="1"/>
    <col min="10" max="10" width="18.28515625" style="4" customWidth="1"/>
    <col min="11" max="11" width="22.28515625" customWidth="1"/>
    <col min="12" max="12" width="7.7109375" customWidth="1"/>
    <col min="13" max="13" width="13.7109375" customWidth="1"/>
  </cols>
  <sheetData>
    <row r="1" spans="1:13" x14ac:dyDescent="0.25">
      <c r="A1" s="360" t="s">
        <v>500</v>
      </c>
      <c r="B1" s="26" t="s">
        <v>1125</v>
      </c>
      <c r="H1" s="594" t="s">
        <v>500</v>
      </c>
      <c r="I1" s="628" t="s">
        <v>502</v>
      </c>
    </row>
    <row r="2" spans="1:13" x14ac:dyDescent="0.25">
      <c r="H2" s="594" t="s">
        <v>402</v>
      </c>
      <c r="I2" s="628" t="s">
        <v>556</v>
      </c>
    </row>
    <row r="3" spans="1:13" x14ac:dyDescent="0.25">
      <c r="A3" s="490" t="s">
        <v>0</v>
      </c>
      <c r="B3" s="491" t="s">
        <v>560</v>
      </c>
      <c r="C3" s="369" t="s">
        <v>512</v>
      </c>
      <c r="D3" s="367" t="s">
        <v>1009</v>
      </c>
    </row>
    <row r="4" spans="1:13" x14ac:dyDescent="0.25">
      <c r="A4" s="507" t="s">
        <v>5</v>
      </c>
      <c r="B4" s="507" t="s">
        <v>21</v>
      </c>
      <c r="C4" s="26" t="s">
        <v>22</v>
      </c>
      <c r="D4" s="530">
        <v>0.67567567567567566</v>
      </c>
      <c r="H4" s="629" t="s">
        <v>415</v>
      </c>
      <c r="I4" s="630" t="s">
        <v>870</v>
      </c>
      <c r="J4" s="631" t="s">
        <v>1130</v>
      </c>
      <c r="K4" s="507" t="s">
        <v>1128</v>
      </c>
      <c r="L4" s="456" t="s">
        <v>1131</v>
      </c>
      <c r="M4" s="507" t="s">
        <v>1132</v>
      </c>
    </row>
    <row r="5" spans="1:13" x14ac:dyDescent="0.25">
      <c r="A5" s="365"/>
      <c r="B5" s="365" t="s">
        <v>17</v>
      </c>
      <c r="C5" s="26" t="s">
        <v>18</v>
      </c>
      <c r="D5" s="531">
        <v>0.87931034482758619</v>
      </c>
      <c r="H5" s="632" t="s">
        <v>5</v>
      </c>
      <c r="I5" s="633"/>
      <c r="J5" s="634"/>
      <c r="K5" s="506"/>
      <c r="L5" s="519"/>
      <c r="M5" s="521"/>
    </row>
    <row r="6" spans="1:13" x14ac:dyDescent="0.25">
      <c r="A6" s="365"/>
      <c r="B6" s="365" t="s">
        <v>4</v>
      </c>
      <c r="C6" s="26" t="s">
        <v>6</v>
      </c>
      <c r="D6" s="531">
        <v>0.62043795620437958</v>
      </c>
      <c r="H6" s="635" t="s">
        <v>5</v>
      </c>
      <c r="I6" s="633">
        <v>1290</v>
      </c>
      <c r="J6" s="634">
        <v>357</v>
      </c>
      <c r="K6" s="506">
        <v>273</v>
      </c>
      <c r="L6" s="519">
        <v>0.27674418604651163</v>
      </c>
      <c r="M6" s="521">
        <v>0.21162790697674419</v>
      </c>
    </row>
    <row r="7" spans="1:13" x14ac:dyDescent="0.25">
      <c r="A7" s="365"/>
      <c r="B7" s="365" t="s">
        <v>13</v>
      </c>
      <c r="C7" s="26" t="s">
        <v>14</v>
      </c>
      <c r="D7" s="531">
        <v>0.97435897435897434</v>
      </c>
      <c r="H7" s="636" t="s">
        <v>22</v>
      </c>
      <c r="I7" s="637">
        <v>629</v>
      </c>
      <c r="J7" s="638">
        <v>204</v>
      </c>
      <c r="K7" s="511">
        <v>204</v>
      </c>
      <c r="L7" s="510">
        <v>0.32432432432432434</v>
      </c>
      <c r="M7" s="514">
        <v>0.32432432432432434</v>
      </c>
    </row>
    <row r="8" spans="1:13" x14ac:dyDescent="0.25">
      <c r="A8" s="365"/>
      <c r="B8" s="365" t="s">
        <v>25</v>
      </c>
      <c r="C8" s="26" t="s">
        <v>26</v>
      </c>
      <c r="D8" s="531">
        <v>3.8000000000000003</v>
      </c>
      <c r="H8" s="639" t="s">
        <v>6</v>
      </c>
      <c r="I8" s="640">
        <v>274</v>
      </c>
      <c r="J8" s="641">
        <v>104</v>
      </c>
      <c r="K8" s="512">
        <v>20</v>
      </c>
      <c r="L8" s="508">
        <v>0.37956204379562042</v>
      </c>
      <c r="M8" s="515">
        <v>7.2992700729927001E-2</v>
      </c>
    </row>
    <row r="9" spans="1:13" x14ac:dyDescent="0.25">
      <c r="A9" s="365"/>
      <c r="B9" s="365" t="s">
        <v>19</v>
      </c>
      <c r="C9" s="26" t="s">
        <v>20</v>
      </c>
      <c r="D9" s="531">
        <v>0.5</v>
      </c>
      <c r="H9" s="639" t="s">
        <v>366</v>
      </c>
      <c r="I9" s="640">
        <v>150</v>
      </c>
      <c r="J9" s="641">
        <v>24</v>
      </c>
      <c r="K9" s="512">
        <v>24</v>
      </c>
      <c r="L9" s="508">
        <v>0.16</v>
      </c>
      <c r="M9" s="515">
        <v>0.16</v>
      </c>
    </row>
    <row r="10" spans="1:13" x14ac:dyDescent="0.25">
      <c r="A10" s="365"/>
      <c r="B10" s="365" t="s">
        <v>23</v>
      </c>
      <c r="C10" s="26" t="s">
        <v>24</v>
      </c>
      <c r="D10" s="531">
        <v>2.6190476190476191</v>
      </c>
      <c r="H10" s="639" t="s">
        <v>18</v>
      </c>
      <c r="I10" s="640">
        <v>116</v>
      </c>
      <c r="J10" s="641">
        <v>14</v>
      </c>
      <c r="K10" s="512">
        <v>14</v>
      </c>
      <c r="L10" s="508">
        <v>0.1206896551724138</v>
      </c>
      <c r="M10" s="515">
        <v>0.1206896551724138</v>
      </c>
    </row>
    <row r="11" spans="1:13" x14ac:dyDescent="0.25">
      <c r="A11" s="365"/>
      <c r="B11" s="365" t="s">
        <v>376</v>
      </c>
      <c r="C11" s="26" t="s">
        <v>366</v>
      </c>
      <c r="D11" s="531">
        <v>0.83999999999999986</v>
      </c>
      <c r="H11" s="639" t="s">
        <v>20</v>
      </c>
      <c r="I11" s="640">
        <v>20</v>
      </c>
      <c r="J11" s="641">
        <v>10</v>
      </c>
      <c r="K11" s="512">
        <v>10</v>
      </c>
      <c r="L11" s="508">
        <v>0.5</v>
      </c>
      <c r="M11" s="515">
        <v>0.5</v>
      </c>
    </row>
    <row r="12" spans="1:13" x14ac:dyDescent="0.25">
      <c r="A12" s="365"/>
      <c r="B12" s="365" t="s">
        <v>7</v>
      </c>
      <c r="C12" s="26" t="s">
        <v>8</v>
      </c>
      <c r="D12" s="531">
        <v>1.2857142857142858</v>
      </c>
      <c r="H12" s="639" t="s">
        <v>14</v>
      </c>
      <c r="I12" s="640">
        <v>39</v>
      </c>
      <c r="J12" s="641">
        <v>1</v>
      </c>
      <c r="K12" s="512">
        <v>1</v>
      </c>
      <c r="L12" s="508">
        <v>2.564102564102564E-2</v>
      </c>
      <c r="M12" s="515">
        <v>2.564102564102564E-2</v>
      </c>
    </row>
    <row r="13" spans="1:13" x14ac:dyDescent="0.25">
      <c r="A13" s="366"/>
      <c r="B13" s="366" t="s">
        <v>377</v>
      </c>
      <c r="C13" s="26" t="s">
        <v>514</v>
      </c>
      <c r="D13" s="532">
        <v>3.5</v>
      </c>
      <c r="H13" s="639" t="s">
        <v>514</v>
      </c>
      <c r="I13" s="640">
        <v>12</v>
      </c>
      <c r="J13" s="641">
        <v>0</v>
      </c>
      <c r="K13" s="512">
        <v>0</v>
      </c>
      <c r="L13" s="508">
        <v>0</v>
      </c>
      <c r="M13" s="515">
        <v>0</v>
      </c>
    </row>
    <row r="14" spans="1:13" x14ac:dyDescent="0.25">
      <c r="A14" s="365" t="s">
        <v>27</v>
      </c>
      <c r="B14" s="365" t="s">
        <v>30</v>
      </c>
      <c r="C14" s="366" t="s">
        <v>1106</v>
      </c>
      <c r="D14" s="531">
        <v>0.9816513761467891</v>
      </c>
      <c r="H14" s="639" t="s">
        <v>24</v>
      </c>
      <c r="I14" s="640">
        <v>21</v>
      </c>
      <c r="J14" s="641">
        <v>0</v>
      </c>
      <c r="K14" s="512">
        <v>0</v>
      </c>
      <c r="L14" s="508">
        <v>0</v>
      </c>
      <c r="M14" s="515">
        <v>0</v>
      </c>
    </row>
    <row r="15" spans="1:13" x14ac:dyDescent="0.25">
      <c r="A15" s="365"/>
      <c r="B15" s="365" t="s">
        <v>378</v>
      </c>
      <c r="C15" s="366" t="s">
        <v>365</v>
      </c>
      <c r="D15" s="531">
        <v>0.51048951048951052</v>
      </c>
      <c r="H15" s="639" t="s">
        <v>26</v>
      </c>
      <c r="I15" s="640">
        <v>15</v>
      </c>
      <c r="J15" s="641">
        <v>0</v>
      </c>
      <c r="K15" s="512">
        <v>0</v>
      </c>
      <c r="L15" s="508">
        <v>0</v>
      </c>
      <c r="M15" s="515">
        <v>0</v>
      </c>
    </row>
    <row r="16" spans="1:13" x14ac:dyDescent="0.25">
      <c r="A16" s="365"/>
      <c r="B16" s="366" t="s">
        <v>865</v>
      </c>
      <c r="C16" s="366" t="s">
        <v>866</v>
      </c>
      <c r="D16" s="532">
        <v>0</v>
      </c>
      <c r="H16" s="642" t="s">
        <v>8</v>
      </c>
      <c r="I16" s="643">
        <v>14</v>
      </c>
      <c r="J16" s="644">
        <v>0</v>
      </c>
      <c r="K16" s="513">
        <v>0</v>
      </c>
      <c r="L16" s="509">
        <v>0</v>
      </c>
      <c r="M16" s="516">
        <v>0</v>
      </c>
    </row>
    <row r="17" spans="1:13" x14ac:dyDescent="0.25">
      <c r="A17" s="366"/>
      <c r="B17" s="422" t="s">
        <v>29</v>
      </c>
      <c r="C17" s="422" t="s">
        <v>364</v>
      </c>
      <c r="D17" s="368">
        <v>0</v>
      </c>
      <c r="H17" s="645" t="s">
        <v>27</v>
      </c>
      <c r="I17" s="643"/>
      <c r="J17" s="644"/>
      <c r="K17" s="513"/>
      <c r="L17" s="509"/>
      <c r="M17" s="516"/>
    </row>
    <row r="18" spans="1:13" x14ac:dyDescent="0.25">
      <c r="A18" s="365" t="s">
        <v>529</v>
      </c>
      <c r="B18" s="365" t="s">
        <v>1010</v>
      </c>
      <c r="C18" s="365" t="s">
        <v>902</v>
      </c>
      <c r="D18" s="531">
        <v>0</v>
      </c>
      <c r="H18" s="649" t="s">
        <v>27</v>
      </c>
      <c r="I18" s="643">
        <v>496</v>
      </c>
      <c r="J18" s="644">
        <v>316</v>
      </c>
      <c r="K18" s="513">
        <v>316</v>
      </c>
      <c r="L18" s="509">
        <v>0.63709677419354838</v>
      </c>
      <c r="M18" s="516">
        <v>0.63709677419354838</v>
      </c>
    </row>
    <row r="19" spans="1:13" x14ac:dyDescent="0.25">
      <c r="A19" s="365"/>
      <c r="B19" s="365"/>
      <c r="C19" s="366" t="s">
        <v>861</v>
      </c>
      <c r="D19" s="531">
        <v>0</v>
      </c>
      <c r="H19" s="646" t="s">
        <v>364</v>
      </c>
      <c r="I19" s="640">
        <v>154</v>
      </c>
      <c r="J19" s="641">
        <v>154</v>
      </c>
      <c r="K19" s="512">
        <v>154</v>
      </c>
      <c r="L19" s="508">
        <v>1</v>
      </c>
      <c r="M19" s="515">
        <v>1</v>
      </c>
    </row>
    <row r="20" spans="1:13" x14ac:dyDescent="0.25">
      <c r="A20" s="365"/>
      <c r="B20" s="365" t="s">
        <v>99</v>
      </c>
      <c r="C20" s="366" t="s">
        <v>100</v>
      </c>
      <c r="D20" s="531">
        <v>2</v>
      </c>
      <c r="H20" s="647" t="s">
        <v>365</v>
      </c>
      <c r="I20" s="640">
        <v>143</v>
      </c>
      <c r="J20" s="641">
        <v>70</v>
      </c>
      <c r="K20" s="512">
        <v>70</v>
      </c>
      <c r="L20" s="508">
        <v>0.48951048951048953</v>
      </c>
      <c r="M20" s="515">
        <v>0.48951048951048953</v>
      </c>
    </row>
    <row r="21" spans="1:13" x14ac:dyDescent="0.25">
      <c r="A21" s="365"/>
      <c r="B21" s="365" t="s">
        <v>107</v>
      </c>
      <c r="C21" s="366" t="s">
        <v>108</v>
      </c>
      <c r="D21" s="531">
        <v>1.0377358490566038</v>
      </c>
      <c r="H21" s="647" t="s">
        <v>866</v>
      </c>
      <c r="I21" s="640">
        <v>60</v>
      </c>
      <c r="J21" s="641">
        <v>60</v>
      </c>
      <c r="K21" s="512">
        <v>60</v>
      </c>
      <c r="L21" s="508">
        <v>1</v>
      </c>
      <c r="M21" s="515">
        <v>1</v>
      </c>
    </row>
    <row r="22" spans="1:13" x14ac:dyDescent="0.25">
      <c r="A22" s="365"/>
      <c r="B22" s="365" t="s">
        <v>139</v>
      </c>
      <c r="C22" s="366" t="s">
        <v>140</v>
      </c>
      <c r="D22" s="531">
        <v>0.52631578947368418</v>
      </c>
      <c r="H22" s="647" t="s">
        <v>1022</v>
      </c>
      <c r="I22" s="640">
        <v>30</v>
      </c>
      <c r="J22" s="641">
        <v>30</v>
      </c>
      <c r="K22" s="512">
        <v>30</v>
      </c>
      <c r="L22" s="508">
        <v>1</v>
      </c>
      <c r="M22" s="515">
        <v>1</v>
      </c>
    </row>
    <row r="23" spans="1:13" x14ac:dyDescent="0.25">
      <c r="A23" s="365"/>
      <c r="B23" s="365" t="s">
        <v>71</v>
      </c>
      <c r="C23" s="366" t="s">
        <v>72</v>
      </c>
      <c r="D23" s="531">
        <v>1</v>
      </c>
      <c r="H23" s="648" t="s">
        <v>28</v>
      </c>
      <c r="I23" s="643">
        <v>109</v>
      </c>
      <c r="J23" s="644">
        <v>2</v>
      </c>
      <c r="K23" s="513">
        <v>2</v>
      </c>
      <c r="L23" s="509">
        <v>1.834862385321101E-2</v>
      </c>
      <c r="M23" s="516">
        <v>1.834862385321101E-2</v>
      </c>
    </row>
    <row r="24" spans="1:13" x14ac:dyDescent="0.25">
      <c r="A24" s="365"/>
      <c r="B24" s="365" t="s">
        <v>51</v>
      </c>
      <c r="C24" s="366" t="s">
        <v>52</v>
      </c>
      <c r="D24" s="531">
        <v>0.55555555555555558</v>
      </c>
      <c r="H24" s="645" t="s">
        <v>529</v>
      </c>
      <c r="I24" s="643"/>
      <c r="J24" s="644"/>
      <c r="K24" s="513"/>
      <c r="L24" s="509"/>
      <c r="M24" s="516"/>
    </row>
    <row r="25" spans="1:13" x14ac:dyDescent="0.25">
      <c r="A25" s="365"/>
      <c r="B25" s="365" t="s">
        <v>75</v>
      </c>
      <c r="C25" s="366" t="s">
        <v>76</v>
      </c>
      <c r="D25" s="531">
        <v>1.1363636363636365</v>
      </c>
      <c r="H25" s="649" t="s">
        <v>529</v>
      </c>
      <c r="I25" s="643">
        <v>707</v>
      </c>
      <c r="J25" s="644">
        <v>302</v>
      </c>
      <c r="K25" s="513">
        <v>302</v>
      </c>
      <c r="L25" s="509">
        <v>0.42715700141442714</v>
      </c>
      <c r="M25" s="516">
        <v>0.42715700141442714</v>
      </c>
    </row>
    <row r="26" spans="1:13" x14ac:dyDescent="0.25">
      <c r="A26" s="365"/>
      <c r="B26" s="365" t="s">
        <v>40</v>
      </c>
      <c r="C26" s="366" t="s">
        <v>41</v>
      </c>
      <c r="D26" s="531">
        <v>0.89552238805970152</v>
      </c>
      <c r="H26" s="647" t="s">
        <v>1068</v>
      </c>
      <c r="I26" s="640">
        <v>116</v>
      </c>
      <c r="J26" s="641">
        <v>116</v>
      </c>
      <c r="K26" s="512">
        <v>116</v>
      </c>
      <c r="L26" s="508">
        <v>1</v>
      </c>
      <c r="M26" s="515">
        <v>1</v>
      </c>
    </row>
    <row r="27" spans="1:13" x14ac:dyDescent="0.25">
      <c r="A27" s="365"/>
      <c r="B27" s="365" t="s">
        <v>61</v>
      </c>
      <c r="C27" s="366" t="s">
        <v>62</v>
      </c>
      <c r="D27" s="531">
        <v>0.25974025974025972</v>
      </c>
      <c r="H27" s="647" t="s">
        <v>62</v>
      </c>
      <c r="I27" s="640">
        <v>77</v>
      </c>
      <c r="J27" s="641">
        <v>57</v>
      </c>
      <c r="K27" s="512">
        <v>57</v>
      </c>
      <c r="L27" s="508">
        <v>0.74025974025974028</v>
      </c>
      <c r="M27" s="515">
        <v>0.74025974025974028</v>
      </c>
    </row>
    <row r="28" spans="1:13" x14ac:dyDescent="0.25">
      <c r="A28" s="365"/>
      <c r="B28" s="365" t="s">
        <v>89</v>
      </c>
      <c r="C28" s="366" t="s">
        <v>90</v>
      </c>
      <c r="D28" s="531">
        <v>1</v>
      </c>
      <c r="H28" s="647" t="s">
        <v>120</v>
      </c>
      <c r="I28" s="640">
        <v>66</v>
      </c>
      <c r="J28" s="641">
        <v>54</v>
      </c>
      <c r="K28" s="512">
        <v>54</v>
      </c>
      <c r="L28" s="508">
        <v>0.81818181818181823</v>
      </c>
      <c r="M28" s="515">
        <v>0.81818181818181823</v>
      </c>
    </row>
    <row r="29" spans="1:13" x14ac:dyDescent="0.25">
      <c r="A29" s="365"/>
      <c r="B29" s="365" t="s">
        <v>117</v>
      </c>
      <c r="C29" s="366" t="s">
        <v>118</v>
      </c>
      <c r="D29" s="531">
        <v>1</v>
      </c>
      <c r="H29" s="646" t="s">
        <v>126</v>
      </c>
      <c r="I29" s="640">
        <v>35</v>
      </c>
      <c r="J29" s="641">
        <v>20</v>
      </c>
      <c r="K29" s="512">
        <v>20</v>
      </c>
      <c r="L29" s="508">
        <v>0.5714285714285714</v>
      </c>
      <c r="M29" s="515">
        <v>0.5714285714285714</v>
      </c>
    </row>
    <row r="30" spans="1:13" x14ac:dyDescent="0.25">
      <c r="A30" s="365"/>
      <c r="B30" s="365" t="s">
        <v>123</v>
      </c>
      <c r="C30" s="366" t="s">
        <v>124</v>
      </c>
      <c r="D30" s="531">
        <v>0.625</v>
      </c>
      <c r="H30" s="647" t="s">
        <v>52</v>
      </c>
      <c r="I30" s="640">
        <v>36</v>
      </c>
      <c r="J30" s="641">
        <v>16</v>
      </c>
      <c r="K30" s="512">
        <v>16</v>
      </c>
      <c r="L30" s="508">
        <v>0.44444444444444442</v>
      </c>
      <c r="M30" s="515">
        <v>0.44444444444444442</v>
      </c>
    </row>
    <row r="31" spans="1:13" x14ac:dyDescent="0.25">
      <c r="A31" s="365"/>
      <c r="B31" s="365" t="s">
        <v>125</v>
      </c>
      <c r="C31" s="366" t="s">
        <v>126</v>
      </c>
      <c r="D31" s="531">
        <v>0.42857142857142855</v>
      </c>
      <c r="H31" s="647" t="s">
        <v>88</v>
      </c>
      <c r="I31" s="640">
        <v>14</v>
      </c>
      <c r="J31" s="641">
        <v>14</v>
      </c>
      <c r="K31" s="512">
        <v>14</v>
      </c>
      <c r="L31" s="508">
        <v>1</v>
      </c>
      <c r="M31" s="515">
        <v>1</v>
      </c>
    </row>
    <row r="32" spans="1:13" x14ac:dyDescent="0.25">
      <c r="A32" s="365"/>
      <c r="B32" s="365" t="s">
        <v>45</v>
      </c>
      <c r="C32" s="366" t="s">
        <v>44</v>
      </c>
      <c r="D32" s="531">
        <v>1.875</v>
      </c>
      <c r="H32" s="647" t="s">
        <v>140</v>
      </c>
      <c r="I32" s="640">
        <v>19</v>
      </c>
      <c r="J32" s="641">
        <v>9</v>
      </c>
      <c r="K32" s="512">
        <v>9</v>
      </c>
      <c r="L32" s="508">
        <v>0.47368421052631576</v>
      </c>
      <c r="M32" s="515">
        <v>0.47368421052631576</v>
      </c>
    </row>
    <row r="33" spans="1:13" x14ac:dyDescent="0.25">
      <c r="A33" s="365"/>
      <c r="B33" s="365" t="s">
        <v>46</v>
      </c>
      <c r="C33" s="366" t="s">
        <v>613</v>
      </c>
      <c r="D33" s="531">
        <v>0.88235294117647056</v>
      </c>
      <c r="H33" s="647" t="s">
        <v>41</v>
      </c>
      <c r="I33" s="640">
        <v>67</v>
      </c>
      <c r="J33" s="641">
        <v>7</v>
      </c>
      <c r="K33" s="512">
        <v>7</v>
      </c>
      <c r="L33" s="508">
        <v>0.1044776119402985</v>
      </c>
      <c r="M33" s="515">
        <v>0.1044776119402985</v>
      </c>
    </row>
    <row r="34" spans="1:13" x14ac:dyDescent="0.25">
      <c r="A34" s="365"/>
      <c r="B34" s="365" t="s">
        <v>42</v>
      </c>
      <c r="C34" s="366" t="s">
        <v>43</v>
      </c>
      <c r="D34" s="531">
        <v>0.7142857142857143</v>
      </c>
      <c r="H34" s="647" t="s">
        <v>43</v>
      </c>
      <c r="I34" s="640">
        <v>14</v>
      </c>
      <c r="J34" s="641">
        <v>4</v>
      </c>
      <c r="K34" s="512">
        <v>4</v>
      </c>
      <c r="L34" s="508">
        <v>0.2857142857142857</v>
      </c>
      <c r="M34" s="515">
        <v>0.2857142857142857</v>
      </c>
    </row>
    <row r="35" spans="1:13" x14ac:dyDescent="0.25">
      <c r="A35" s="365"/>
      <c r="B35" s="366" t="s">
        <v>91</v>
      </c>
      <c r="C35" s="366" t="s">
        <v>92</v>
      </c>
      <c r="D35" s="532">
        <v>1</v>
      </c>
      <c r="H35" s="647" t="s">
        <v>124</v>
      </c>
      <c r="I35" s="640">
        <v>8</v>
      </c>
      <c r="J35" s="641">
        <v>3</v>
      </c>
      <c r="K35" s="512">
        <v>3</v>
      </c>
      <c r="L35" s="508">
        <v>0.375</v>
      </c>
      <c r="M35" s="515">
        <v>0.375</v>
      </c>
    </row>
    <row r="36" spans="1:13" x14ac:dyDescent="0.25">
      <c r="A36" s="365"/>
      <c r="B36" s="422" t="s">
        <v>1124</v>
      </c>
      <c r="C36" s="422" t="s">
        <v>1123</v>
      </c>
      <c r="D36" s="368">
        <v>1</v>
      </c>
      <c r="H36" s="647" t="s">
        <v>613</v>
      </c>
      <c r="I36" s="640">
        <v>17</v>
      </c>
      <c r="J36" s="641">
        <v>2</v>
      </c>
      <c r="K36" s="512">
        <v>2</v>
      </c>
      <c r="L36" s="508">
        <v>0.11764705882352941</v>
      </c>
      <c r="M36" s="515">
        <v>0.11764705882352941</v>
      </c>
    </row>
    <row r="37" spans="1:13" x14ac:dyDescent="0.25">
      <c r="A37" s="366"/>
      <c r="B37" s="422" t="s">
        <v>119</v>
      </c>
      <c r="C37" s="422" t="s">
        <v>120</v>
      </c>
      <c r="D37" s="368">
        <v>0.18181818181818182</v>
      </c>
      <c r="H37" s="647" t="s">
        <v>44</v>
      </c>
      <c r="I37" s="640">
        <v>8</v>
      </c>
      <c r="J37" s="641">
        <v>0</v>
      </c>
      <c r="K37" s="512">
        <v>0</v>
      </c>
      <c r="L37" s="508">
        <v>0</v>
      </c>
      <c r="M37" s="515">
        <v>0</v>
      </c>
    </row>
    <row r="38" spans="1:13" x14ac:dyDescent="0.25">
      <c r="A38" s="365" t="s">
        <v>146</v>
      </c>
      <c r="B38" s="365" t="s">
        <v>148</v>
      </c>
      <c r="C38" s="366" t="s">
        <v>149</v>
      </c>
      <c r="D38" s="531">
        <v>0.41935483870967738</v>
      </c>
      <c r="H38" s="647" t="s">
        <v>76</v>
      </c>
      <c r="I38" s="640">
        <v>66</v>
      </c>
      <c r="J38" s="641">
        <v>0</v>
      </c>
      <c r="K38" s="512">
        <v>0</v>
      </c>
      <c r="L38" s="508">
        <v>0</v>
      </c>
      <c r="M38" s="515">
        <v>0</v>
      </c>
    </row>
    <row r="39" spans="1:13" x14ac:dyDescent="0.25">
      <c r="A39" s="365"/>
      <c r="B39" s="365" t="s">
        <v>383</v>
      </c>
      <c r="C39" s="366" t="s">
        <v>369</v>
      </c>
      <c r="D39" s="531">
        <v>1.2698412698412698</v>
      </c>
      <c r="H39" s="647" t="s">
        <v>108</v>
      </c>
      <c r="I39" s="640">
        <v>53</v>
      </c>
      <c r="J39" s="641">
        <v>0</v>
      </c>
      <c r="K39" s="512">
        <v>0</v>
      </c>
      <c r="L39" s="508">
        <v>0</v>
      </c>
      <c r="M39" s="515">
        <v>0</v>
      </c>
    </row>
    <row r="40" spans="1:13" x14ac:dyDescent="0.25">
      <c r="A40" s="365"/>
      <c r="B40" s="365" t="s">
        <v>384</v>
      </c>
      <c r="C40" s="366" t="s">
        <v>370</v>
      </c>
      <c r="D40" s="531">
        <v>1.5483870967741935</v>
      </c>
      <c r="H40" s="647" t="s">
        <v>118</v>
      </c>
      <c r="I40" s="640">
        <v>10</v>
      </c>
      <c r="J40" s="641">
        <v>0</v>
      </c>
      <c r="K40" s="512">
        <v>0</v>
      </c>
      <c r="L40" s="508">
        <v>0</v>
      </c>
      <c r="M40" s="515">
        <v>0</v>
      </c>
    </row>
    <row r="41" spans="1:13" x14ac:dyDescent="0.25">
      <c r="A41" s="365"/>
      <c r="B41" s="365" t="s">
        <v>382</v>
      </c>
      <c r="C41" s="366" t="s">
        <v>372</v>
      </c>
      <c r="D41" s="531">
        <v>1.375</v>
      </c>
      <c r="H41" s="647" t="s">
        <v>90</v>
      </c>
      <c r="I41" s="640">
        <v>25</v>
      </c>
      <c r="J41" s="641">
        <v>0</v>
      </c>
      <c r="K41" s="512">
        <v>0</v>
      </c>
      <c r="L41" s="508">
        <v>0</v>
      </c>
      <c r="M41" s="515">
        <v>0</v>
      </c>
    </row>
    <row r="42" spans="1:13" x14ac:dyDescent="0.25">
      <c r="A42" s="365"/>
      <c r="B42" s="365" t="s">
        <v>385</v>
      </c>
      <c r="C42" s="366" t="s">
        <v>368</v>
      </c>
      <c r="D42" s="531">
        <v>1</v>
      </c>
      <c r="H42" s="647" t="s">
        <v>72</v>
      </c>
      <c r="I42" s="640">
        <v>6</v>
      </c>
      <c r="J42" s="641">
        <v>0</v>
      </c>
      <c r="K42" s="512">
        <v>0</v>
      </c>
      <c r="L42" s="508">
        <v>0</v>
      </c>
      <c r="M42" s="515">
        <v>0</v>
      </c>
    </row>
    <row r="43" spans="1:13" x14ac:dyDescent="0.25">
      <c r="A43" s="365"/>
      <c r="B43" s="365" t="s">
        <v>387</v>
      </c>
      <c r="C43" s="366" t="s">
        <v>373</v>
      </c>
      <c r="D43" s="531">
        <v>0.5</v>
      </c>
      <c r="H43" s="647" t="s">
        <v>92</v>
      </c>
      <c r="I43" s="640">
        <v>15</v>
      </c>
      <c r="J43" s="641">
        <v>0</v>
      </c>
      <c r="K43" s="512">
        <v>0</v>
      </c>
      <c r="L43" s="508">
        <v>0</v>
      </c>
      <c r="M43" s="515">
        <v>0</v>
      </c>
    </row>
    <row r="44" spans="1:13" x14ac:dyDescent="0.25">
      <c r="A44" s="366"/>
      <c r="B44" s="366" t="s">
        <v>147</v>
      </c>
      <c r="C44" s="366" t="s">
        <v>371</v>
      </c>
      <c r="D44" s="532">
        <v>0.10204081632653061</v>
      </c>
      <c r="H44" s="647" t="s">
        <v>100</v>
      </c>
      <c r="I44" s="640">
        <v>5</v>
      </c>
      <c r="J44" s="641">
        <v>0</v>
      </c>
      <c r="K44" s="512">
        <v>0</v>
      </c>
      <c r="L44" s="508">
        <v>0</v>
      </c>
      <c r="M44" s="515">
        <v>0</v>
      </c>
    </row>
    <row r="45" spans="1:13" x14ac:dyDescent="0.25">
      <c r="A45" s="365" t="s">
        <v>151</v>
      </c>
      <c r="B45" s="365" t="s">
        <v>150</v>
      </c>
      <c r="C45" s="366" t="s">
        <v>152</v>
      </c>
      <c r="D45" s="531">
        <v>0.47511312217194568</v>
      </c>
      <c r="H45" s="648" t="s">
        <v>1123</v>
      </c>
      <c r="I45" s="643">
        <v>50</v>
      </c>
      <c r="J45" s="644">
        <v>0</v>
      </c>
      <c r="K45" s="513">
        <v>0</v>
      </c>
      <c r="L45" s="509">
        <v>0</v>
      </c>
      <c r="M45" s="516">
        <v>0</v>
      </c>
    </row>
    <row r="46" spans="1:13" x14ac:dyDescent="0.25">
      <c r="A46" s="365"/>
      <c r="B46" s="365" t="s">
        <v>197</v>
      </c>
      <c r="C46" s="366" t="s">
        <v>198</v>
      </c>
      <c r="D46" s="531">
        <v>0.9064220183486239</v>
      </c>
      <c r="H46" s="645" t="s">
        <v>781</v>
      </c>
      <c r="I46" s="643"/>
      <c r="J46" s="644"/>
      <c r="K46" s="513"/>
      <c r="L46" s="509"/>
      <c r="M46" s="516"/>
    </row>
    <row r="47" spans="1:13" x14ac:dyDescent="0.25">
      <c r="A47" s="365"/>
      <c r="B47" s="365" t="s">
        <v>153</v>
      </c>
      <c r="C47" s="366" t="s">
        <v>154</v>
      </c>
      <c r="D47" s="531">
        <v>0.4366812227074236</v>
      </c>
      <c r="H47" s="649" t="s">
        <v>781</v>
      </c>
      <c r="I47" s="643">
        <v>38</v>
      </c>
      <c r="J47" s="644">
        <v>3</v>
      </c>
      <c r="K47" s="513">
        <v>3</v>
      </c>
      <c r="L47" s="509">
        <v>7.8947368421052627E-2</v>
      </c>
      <c r="M47" s="516">
        <v>7.8947368421052627E-2</v>
      </c>
    </row>
    <row r="48" spans="1:13" x14ac:dyDescent="0.25">
      <c r="A48" s="365"/>
      <c r="B48" s="365" t="s">
        <v>159</v>
      </c>
      <c r="C48" s="366" t="s">
        <v>160</v>
      </c>
      <c r="D48" s="531">
        <v>0.69158878504672894</v>
      </c>
      <c r="H48" s="648" t="s">
        <v>1279</v>
      </c>
      <c r="I48" s="643">
        <v>38</v>
      </c>
      <c r="J48" s="644">
        <v>3</v>
      </c>
      <c r="K48" s="513">
        <v>3</v>
      </c>
      <c r="L48" s="509">
        <v>7.8947368421052627E-2</v>
      </c>
      <c r="M48" s="516">
        <v>7.8947368421052627E-2</v>
      </c>
    </row>
    <row r="49" spans="1:13" x14ac:dyDescent="0.25">
      <c r="A49" s="365"/>
      <c r="B49" s="365" t="s">
        <v>888</v>
      </c>
      <c r="C49" s="366" t="s">
        <v>887</v>
      </c>
      <c r="D49" s="531">
        <v>0.84657534246575339</v>
      </c>
      <c r="H49" s="645" t="s">
        <v>1185</v>
      </c>
      <c r="I49" s="643"/>
      <c r="J49" s="644"/>
      <c r="K49" s="513"/>
      <c r="L49" s="509"/>
      <c r="M49" s="516"/>
    </row>
    <row r="50" spans="1:13" x14ac:dyDescent="0.25">
      <c r="A50" s="365"/>
      <c r="B50" s="365" t="s">
        <v>187</v>
      </c>
      <c r="C50" s="366" t="s">
        <v>188</v>
      </c>
      <c r="D50" s="531">
        <v>0.77551020408163263</v>
      </c>
      <c r="H50" s="649" t="s">
        <v>810</v>
      </c>
      <c r="I50" s="643">
        <v>166</v>
      </c>
      <c r="J50" s="644">
        <v>166</v>
      </c>
      <c r="K50" s="513">
        <v>166</v>
      </c>
      <c r="L50" s="509">
        <v>1</v>
      </c>
      <c r="M50" s="516">
        <v>1</v>
      </c>
    </row>
    <row r="51" spans="1:13" x14ac:dyDescent="0.25">
      <c r="A51" s="365"/>
      <c r="B51" s="365" t="s">
        <v>944</v>
      </c>
      <c r="C51" s="366" t="s">
        <v>945</v>
      </c>
      <c r="D51" s="531">
        <v>0.4065040650406504</v>
      </c>
      <c r="H51" s="647" t="s">
        <v>1302</v>
      </c>
      <c r="I51" s="640">
        <v>161</v>
      </c>
      <c r="J51" s="641">
        <v>161</v>
      </c>
      <c r="K51" s="512">
        <v>161</v>
      </c>
      <c r="L51" s="508">
        <v>1</v>
      </c>
      <c r="M51" s="515">
        <v>1</v>
      </c>
    </row>
    <row r="52" spans="1:13" x14ac:dyDescent="0.25">
      <c r="A52" s="366"/>
      <c r="B52" s="366" t="s">
        <v>1038</v>
      </c>
      <c r="C52" s="366" t="s">
        <v>1037</v>
      </c>
      <c r="D52" s="532">
        <v>0.54794520547945202</v>
      </c>
      <c r="H52" s="647" t="s">
        <v>810</v>
      </c>
      <c r="I52" s="643">
        <v>5</v>
      </c>
      <c r="J52" s="644">
        <v>5</v>
      </c>
      <c r="K52" s="513">
        <v>5</v>
      </c>
      <c r="L52" s="509">
        <v>1</v>
      </c>
      <c r="M52" s="516">
        <v>1</v>
      </c>
    </row>
    <row r="53" spans="1:13" x14ac:dyDescent="0.25">
      <c r="A53" s="365" t="s">
        <v>166</v>
      </c>
      <c r="B53" s="365" t="s">
        <v>165</v>
      </c>
      <c r="C53" s="366" t="s">
        <v>167</v>
      </c>
      <c r="D53" s="531">
        <v>1.0810810810810811</v>
      </c>
      <c r="H53" s="647" t="s">
        <v>1305</v>
      </c>
      <c r="I53" s="640"/>
      <c r="J53" s="641">
        <v>0</v>
      </c>
      <c r="K53" s="512">
        <v>0</v>
      </c>
      <c r="L53" s="508" t="e">
        <v>#DIV/0!</v>
      </c>
      <c r="M53" s="515" t="e">
        <v>#DIV/0!</v>
      </c>
    </row>
    <row r="54" spans="1:13" x14ac:dyDescent="0.25">
      <c r="A54" s="365"/>
      <c r="B54" s="365" t="s">
        <v>168</v>
      </c>
      <c r="C54" s="366" t="s">
        <v>169</v>
      </c>
      <c r="D54" s="531">
        <v>0.3125</v>
      </c>
      <c r="H54" s="649" t="s">
        <v>302</v>
      </c>
      <c r="I54" s="643">
        <v>127</v>
      </c>
      <c r="J54" s="644">
        <v>44</v>
      </c>
      <c r="K54" s="513">
        <v>44</v>
      </c>
      <c r="L54" s="509">
        <v>0.34645669291338582</v>
      </c>
      <c r="M54" s="516">
        <v>0.34645669291338582</v>
      </c>
    </row>
    <row r="55" spans="1:13" x14ac:dyDescent="0.25">
      <c r="A55" s="366"/>
      <c r="B55" s="366" t="s">
        <v>825</v>
      </c>
      <c r="C55" s="366" t="s">
        <v>824</v>
      </c>
      <c r="D55" s="532">
        <v>0.967741935483871</v>
      </c>
      <c r="H55" s="647" t="s">
        <v>306</v>
      </c>
      <c r="I55" s="640">
        <v>86</v>
      </c>
      <c r="J55" s="641">
        <v>44</v>
      </c>
      <c r="K55" s="512">
        <v>44</v>
      </c>
      <c r="L55" s="508">
        <v>0.51162790697674421</v>
      </c>
      <c r="M55" s="515">
        <v>0.51162790697674421</v>
      </c>
    </row>
    <row r="56" spans="1:13" x14ac:dyDescent="0.25">
      <c r="A56" s="365" t="s">
        <v>173</v>
      </c>
      <c r="B56" s="365" t="s">
        <v>175</v>
      </c>
      <c r="C56" s="366" t="s">
        <v>176</v>
      </c>
      <c r="D56" s="531">
        <v>0.58823529411764708</v>
      </c>
      <c r="H56" s="647" t="s">
        <v>308</v>
      </c>
      <c r="I56" s="643">
        <v>41</v>
      </c>
      <c r="J56" s="644">
        <v>0</v>
      </c>
      <c r="K56" s="513">
        <v>0</v>
      </c>
      <c r="L56" s="509">
        <v>0</v>
      </c>
      <c r="M56" s="516">
        <v>0</v>
      </c>
    </row>
    <row r="57" spans="1:13" x14ac:dyDescent="0.25">
      <c r="A57" s="365"/>
      <c r="B57" s="365" t="s">
        <v>172</v>
      </c>
      <c r="C57" s="366" t="s">
        <v>174</v>
      </c>
      <c r="D57" s="531">
        <v>1.1538461538461537</v>
      </c>
      <c r="H57" s="649" t="s">
        <v>173</v>
      </c>
      <c r="I57" s="643">
        <v>81</v>
      </c>
      <c r="J57" s="644">
        <v>16</v>
      </c>
      <c r="K57" s="513">
        <v>16</v>
      </c>
      <c r="L57" s="509">
        <v>0.19753086419753085</v>
      </c>
      <c r="M57" s="516">
        <v>0.19753086419753085</v>
      </c>
    </row>
    <row r="58" spans="1:13" x14ac:dyDescent="0.25">
      <c r="A58" s="365"/>
      <c r="B58" s="366" t="s">
        <v>177</v>
      </c>
      <c r="C58" s="366" t="s">
        <v>178</v>
      </c>
      <c r="D58" s="532">
        <v>1.25</v>
      </c>
      <c r="H58" s="647" t="s">
        <v>1272</v>
      </c>
      <c r="I58" s="640">
        <v>9</v>
      </c>
      <c r="J58" s="641">
        <v>9</v>
      </c>
      <c r="K58" s="512">
        <v>9</v>
      </c>
      <c r="L58" s="508">
        <v>1</v>
      </c>
      <c r="M58" s="515">
        <v>1</v>
      </c>
    </row>
    <row r="59" spans="1:13" x14ac:dyDescent="0.25">
      <c r="A59" s="366"/>
      <c r="B59" s="422" t="s">
        <v>1274</v>
      </c>
      <c r="C59" s="422" t="s">
        <v>1281</v>
      </c>
      <c r="D59" s="368">
        <v>1.3333333333333333</v>
      </c>
      <c r="H59" s="647" t="s">
        <v>176</v>
      </c>
      <c r="I59" s="643">
        <v>17</v>
      </c>
      <c r="J59" s="644">
        <v>7</v>
      </c>
      <c r="K59" s="513">
        <v>7</v>
      </c>
      <c r="L59" s="509">
        <v>0.41176470588235292</v>
      </c>
      <c r="M59" s="516">
        <v>0.41176470588235292</v>
      </c>
    </row>
    <row r="60" spans="1:13" x14ac:dyDescent="0.25">
      <c r="A60" s="365" t="s">
        <v>180</v>
      </c>
      <c r="B60" s="365" t="s">
        <v>179</v>
      </c>
      <c r="C60" s="366" t="s">
        <v>181</v>
      </c>
      <c r="D60" s="531">
        <v>1</v>
      </c>
      <c r="H60" s="647" t="s">
        <v>1281</v>
      </c>
      <c r="I60" s="640">
        <v>30</v>
      </c>
      <c r="J60" s="641">
        <v>0</v>
      </c>
      <c r="K60" s="512">
        <v>0</v>
      </c>
      <c r="L60" s="508">
        <v>0</v>
      </c>
      <c r="M60" s="515">
        <v>0</v>
      </c>
    </row>
    <row r="61" spans="1:13" x14ac:dyDescent="0.25">
      <c r="A61" s="366"/>
      <c r="B61" s="366" t="s">
        <v>286</v>
      </c>
      <c r="C61" s="366" t="s">
        <v>287</v>
      </c>
      <c r="D61" s="532">
        <v>1.5789473684210527</v>
      </c>
      <c r="H61" s="647" t="s">
        <v>174</v>
      </c>
      <c r="I61" s="640">
        <v>13</v>
      </c>
      <c r="J61" s="641">
        <v>0</v>
      </c>
      <c r="K61" s="512">
        <v>0</v>
      </c>
      <c r="L61" s="508">
        <v>0</v>
      </c>
      <c r="M61" s="515">
        <v>0</v>
      </c>
    </row>
    <row r="62" spans="1:13" x14ac:dyDescent="0.25">
      <c r="A62" s="365" t="s">
        <v>185</v>
      </c>
      <c r="B62" s="365" t="s">
        <v>208</v>
      </c>
      <c r="C62" s="366" t="s">
        <v>209</v>
      </c>
      <c r="D62" s="531">
        <v>1.2212389380530975</v>
      </c>
      <c r="H62" s="639" t="s">
        <v>178</v>
      </c>
      <c r="I62" s="643">
        <v>12</v>
      </c>
      <c r="J62" s="644">
        <v>0</v>
      </c>
      <c r="K62" s="513">
        <v>0</v>
      </c>
      <c r="L62" s="509">
        <v>0</v>
      </c>
      <c r="M62" s="516">
        <v>0</v>
      </c>
    </row>
    <row r="63" spans="1:13" x14ac:dyDescent="0.25">
      <c r="A63" s="365"/>
      <c r="B63" s="365" t="s">
        <v>201</v>
      </c>
      <c r="C63" s="366" t="s">
        <v>202</v>
      </c>
      <c r="D63" s="531">
        <v>0.58620689655172409</v>
      </c>
      <c r="H63" s="649" t="s">
        <v>230</v>
      </c>
      <c r="I63" s="643">
        <v>78</v>
      </c>
      <c r="J63" s="644">
        <v>8</v>
      </c>
      <c r="K63" s="513">
        <v>8</v>
      </c>
      <c r="L63" s="509">
        <v>0.10256410256410256</v>
      </c>
      <c r="M63" s="516">
        <v>0.10256410256410256</v>
      </c>
    </row>
    <row r="64" spans="1:13" x14ac:dyDescent="0.25">
      <c r="A64" s="365"/>
      <c r="B64" s="365" t="s">
        <v>222</v>
      </c>
      <c r="C64" s="366" t="s">
        <v>223</v>
      </c>
      <c r="D64" s="531">
        <v>0.54032258064516125</v>
      </c>
      <c r="H64" s="647" t="s">
        <v>1056</v>
      </c>
      <c r="I64" s="640">
        <v>52</v>
      </c>
      <c r="J64" s="641">
        <v>8</v>
      </c>
      <c r="K64" s="512">
        <v>8</v>
      </c>
      <c r="L64" s="508">
        <v>0.15384615384615385</v>
      </c>
      <c r="M64" s="515">
        <v>0.15384615384615385</v>
      </c>
    </row>
    <row r="65" spans="1:13" x14ac:dyDescent="0.25">
      <c r="A65" s="365"/>
      <c r="B65" s="365" t="s">
        <v>189</v>
      </c>
      <c r="C65" s="366" t="s">
        <v>190</v>
      </c>
      <c r="D65" s="531">
        <v>0.43157894736842106</v>
      </c>
      <c r="H65" s="648" t="s">
        <v>1066</v>
      </c>
      <c r="I65" s="643">
        <v>26</v>
      </c>
      <c r="J65" s="644">
        <v>0</v>
      </c>
      <c r="K65" s="513">
        <v>0</v>
      </c>
      <c r="L65" s="509">
        <v>0</v>
      </c>
      <c r="M65" s="516">
        <v>0</v>
      </c>
    </row>
    <row r="66" spans="1:13" x14ac:dyDescent="0.25">
      <c r="A66" s="365"/>
      <c r="B66" s="365" t="s">
        <v>184</v>
      </c>
      <c r="C66" s="366" t="s">
        <v>186</v>
      </c>
      <c r="D66" s="531">
        <v>1.0833333333333333</v>
      </c>
      <c r="H66" s="649" t="s">
        <v>166</v>
      </c>
      <c r="I66" s="643">
        <v>68</v>
      </c>
      <c r="J66" s="644">
        <v>1</v>
      </c>
      <c r="K66" s="513">
        <v>1</v>
      </c>
      <c r="L66" s="509">
        <v>1.4705882352941176E-2</v>
      </c>
      <c r="M66" s="516">
        <v>1.4705882352941176E-2</v>
      </c>
    </row>
    <row r="67" spans="1:13" x14ac:dyDescent="0.25">
      <c r="A67" s="365"/>
      <c r="B67" s="365" t="s">
        <v>228</v>
      </c>
      <c r="C67" s="366" t="s">
        <v>229</v>
      </c>
      <c r="D67" s="531">
        <v>0.9</v>
      </c>
      <c r="H67" s="647" t="s">
        <v>824</v>
      </c>
      <c r="I67" s="640">
        <v>31</v>
      </c>
      <c r="J67" s="641">
        <v>1</v>
      </c>
      <c r="K67" s="512">
        <v>1</v>
      </c>
      <c r="L67" s="508">
        <v>3.2258064516129031E-2</v>
      </c>
      <c r="M67" s="515">
        <v>3.2258064516129031E-2</v>
      </c>
    </row>
    <row r="68" spans="1:13" x14ac:dyDescent="0.25">
      <c r="A68" s="365"/>
      <c r="B68" s="365" t="s">
        <v>224</v>
      </c>
      <c r="C68" s="366" t="s">
        <v>225</v>
      </c>
      <c r="D68" s="531">
        <v>1.0256410256410255</v>
      </c>
      <c r="H68" s="647" t="s">
        <v>167</v>
      </c>
      <c r="I68" s="643">
        <v>37</v>
      </c>
      <c r="J68" s="644">
        <v>0</v>
      </c>
      <c r="K68" s="513">
        <v>0</v>
      </c>
      <c r="L68" s="509">
        <v>0</v>
      </c>
      <c r="M68" s="516">
        <v>0</v>
      </c>
    </row>
    <row r="69" spans="1:13" x14ac:dyDescent="0.25">
      <c r="A69" s="365"/>
      <c r="B69" s="365" t="s">
        <v>195</v>
      </c>
      <c r="C69" s="366" t="s">
        <v>196</v>
      </c>
      <c r="D69" s="531">
        <v>0.72732805842970172</v>
      </c>
      <c r="H69" s="649" t="s">
        <v>300</v>
      </c>
      <c r="I69" s="643">
        <v>59</v>
      </c>
      <c r="J69" s="644">
        <v>0</v>
      </c>
      <c r="K69" s="513">
        <v>0</v>
      </c>
      <c r="L69" s="509">
        <v>0</v>
      </c>
      <c r="M69" s="516">
        <v>0</v>
      </c>
    </row>
    <row r="70" spans="1:13" x14ac:dyDescent="0.25">
      <c r="A70" s="365"/>
      <c r="B70" s="365" t="s">
        <v>193</v>
      </c>
      <c r="C70" s="366" t="s">
        <v>194</v>
      </c>
      <c r="D70" s="531">
        <v>1.0546075085324231</v>
      </c>
      <c r="H70" s="647" t="s">
        <v>1264</v>
      </c>
      <c r="I70" s="643">
        <v>59</v>
      </c>
      <c r="J70" s="644">
        <v>0</v>
      </c>
      <c r="K70" s="513">
        <v>0</v>
      </c>
      <c r="L70" s="509">
        <v>0</v>
      </c>
      <c r="M70" s="516">
        <v>0</v>
      </c>
    </row>
    <row r="71" spans="1:13" x14ac:dyDescent="0.25">
      <c r="A71" s="365"/>
      <c r="B71" s="365" t="s">
        <v>191</v>
      </c>
      <c r="C71" s="366" t="s">
        <v>192</v>
      </c>
      <c r="D71" s="531">
        <v>1.8468468468468469</v>
      </c>
      <c r="H71" s="649" t="s">
        <v>180</v>
      </c>
      <c r="I71" s="643">
        <v>31</v>
      </c>
      <c r="J71" s="644">
        <v>0</v>
      </c>
      <c r="K71" s="513">
        <v>0</v>
      </c>
      <c r="L71" s="509">
        <v>0</v>
      </c>
      <c r="M71" s="516">
        <v>0</v>
      </c>
    </row>
    <row r="72" spans="1:13" x14ac:dyDescent="0.25">
      <c r="A72" s="365"/>
      <c r="B72" s="365" t="s">
        <v>218</v>
      </c>
      <c r="C72" s="366" t="s">
        <v>219</v>
      </c>
      <c r="D72" s="531">
        <v>1.0590841949778436</v>
      </c>
      <c r="H72" s="647" t="s">
        <v>181</v>
      </c>
      <c r="I72" s="640">
        <v>12</v>
      </c>
      <c r="J72" s="641">
        <v>0</v>
      </c>
      <c r="K72" s="512">
        <v>0</v>
      </c>
      <c r="L72" s="508">
        <v>0</v>
      </c>
      <c r="M72" s="515">
        <v>0</v>
      </c>
    </row>
    <row r="73" spans="1:13" x14ac:dyDescent="0.25">
      <c r="A73" s="365"/>
      <c r="B73" s="365" t="s">
        <v>214</v>
      </c>
      <c r="C73" s="366" t="s">
        <v>215</v>
      </c>
      <c r="D73" s="531">
        <v>1.6533333333333333</v>
      </c>
      <c r="H73" s="647" t="s">
        <v>287</v>
      </c>
      <c r="I73" s="643">
        <v>19</v>
      </c>
      <c r="J73" s="644">
        <v>0</v>
      </c>
      <c r="K73" s="513">
        <v>0</v>
      </c>
      <c r="L73" s="509">
        <v>0</v>
      </c>
      <c r="M73" s="516">
        <v>0</v>
      </c>
    </row>
    <row r="74" spans="1:13" x14ac:dyDescent="0.25">
      <c r="A74" s="366"/>
      <c r="B74" s="366" t="s">
        <v>199</v>
      </c>
      <c r="C74" s="366" t="s">
        <v>200</v>
      </c>
      <c r="D74" s="532">
        <v>46</v>
      </c>
      <c r="H74" s="649" t="s">
        <v>144</v>
      </c>
      <c r="I74" s="643">
        <v>11</v>
      </c>
      <c r="J74" s="644">
        <v>11</v>
      </c>
      <c r="K74" s="513">
        <v>11</v>
      </c>
      <c r="L74" s="509">
        <v>1</v>
      </c>
      <c r="M74" s="516">
        <v>1</v>
      </c>
    </row>
    <row r="75" spans="1:13" x14ac:dyDescent="0.25">
      <c r="A75" s="365" t="s">
        <v>230</v>
      </c>
      <c r="B75" s="365" t="s">
        <v>234</v>
      </c>
      <c r="C75" s="366" t="s">
        <v>235</v>
      </c>
      <c r="D75" s="531">
        <v>8.1300813008130079E-2</v>
      </c>
      <c r="H75" s="647" t="s">
        <v>145</v>
      </c>
      <c r="I75" s="643">
        <v>11</v>
      </c>
      <c r="J75" s="644">
        <v>11</v>
      </c>
      <c r="K75" s="513">
        <v>11</v>
      </c>
      <c r="L75" s="509">
        <v>1</v>
      </c>
      <c r="M75" s="516">
        <v>1</v>
      </c>
    </row>
    <row r="76" spans="1:13" x14ac:dyDescent="0.25">
      <c r="A76" s="365"/>
      <c r="B76" s="365" t="s">
        <v>1057</v>
      </c>
      <c r="C76" s="366" t="s">
        <v>1056</v>
      </c>
      <c r="D76" s="531">
        <v>0.84615384615384615</v>
      </c>
      <c r="H76" s="649" t="s">
        <v>298</v>
      </c>
      <c r="I76" s="643">
        <v>9</v>
      </c>
      <c r="J76" s="644">
        <v>0</v>
      </c>
      <c r="K76" s="513">
        <v>0</v>
      </c>
      <c r="L76" s="509">
        <v>0</v>
      </c>
      <c r="M76" s="516">
        <v>0</v>
      </c>
    </row>
    <row r="77" spans="1:13" x14ac:dyDescent="0.25">
      <c r="A77" s="366"/>
      <c r="B77" s="366" t="s">
        <v>1067</v>
      </c>
      <c r="C77" s="366" t="s">
        <v>1066</v>
      </c>
      <c r="D77" s="532">
        <v>1.153846153846154</v>
      </c>
      <c r="H77" s="647" t="s">
        <v>823</v>
      </c>
      <c r="I77" s="643">
        <v>9</v>
      </c>
      <c r="J77" s="644">
        <v>0</v>
      </c>
      <c r="K77" s="513">
        <v>0</v>
      </c>
      <c r="L77" s="509">
        <v>0</v>
      </c>
      <c r="M77" s="516">
        <v>0</v>
      </c>
    </row>
    <row r="78" spans="1:13" x14ac:dyDescent="0.25">
      <c r="A78" s="365" t="s">
        <v>237</v>
      </c>
      <c r="B78" s="365" t="s">
        <v>1010</v>
      </c>
      <c r="C78" s="365" t="s">
        <v>901</v>
      </c>
      <c r="D78" s="531">
        <v>0</v>
      </c>
      <c r="H78" s="645" t="s">
        <v>146</v>
      </c>
      <c r="I78" s="643"/>
      <c r="J78" s="644"/>
      <c r="K78" s="513"/>
      <c r="L78" s="509"/>
      <c r="M78" s="516"/>
    </row>
    <row r="79" spans="1:13" x14ac:dyDescent="0.25">
      <c r="A79" s="365"/>
      <c r="B79" s="365"/>
      <c r="C79" s="366" t="s">
        <v>861</v>
      </c>
      <c r="D79" s="531">
        <v>0</v>
      </c>
      <c r="H79" s="649" t="s">
        <v>146</v>
      </c>
      <c r="I79" s="643">
        <v>686</v>
      </c>
      <c r="J79" s="644">
        <v>309</v>
      </c>
      <c r="K79" s="513">
        <v>309</v>
      </c>
      <c r="L79" s="509">
        <v>0.45043731778425655</v>
      </c>
      <c r="M79" s="516">
        <v>0.45043731778425655</v>
      </c>
    </row>
    <row r="80" spans="1:13" x14ac:dyDescent="0.25">
      <c r="A80" s="365"/>
      <c r="B80" s="365" t="s">
        <v>236</v>
      </c>
      <c r="C80" s="366" t="s">
        <v>238</v>
      </c>
      <c r="D80" s="531">
        <v>0.89552238805970152</v>
      </c>
      <c r="H80" s="647" t="s">
        <v>1322</v>
      </c>
      <c r="I80" s="640">
        <v>105</v>
      </c>
      <c r="J80" s="641">
        <v>105</v>
      </c>
      <c r="K80" s="512">
        <v>105</v>
      </c>
      <c r="L80" s="508">
        <v>1</v>
      </c>
      <c r="M80" s="515">
        <v>1</v>
      </c>
    </row>
    <row r="81" spans="1:13" x14ac:dyDescent="0.25">
      <c r="A81" s="365"/>
      <c r="B81" s="365" t="s">
        <v>268</v>
      </c>
      <c r="C81" s="366" t="s">
        <v>269</v>
      </c>
      <c r="D81" s="531">
        <v>0.89655172413793105</v>
      </c>
      <c r="H81" s="647" t="s">
        <v>373</v>
      </c>
      <c r="I81" s="640">
        <v>202</v>
      </c>
      <c r="J81" s="641">
        <v>101</v>
      </c>
      <c r="K81" s="512">
        <v>101</v>
      </c>
      <c r="L81" s="508">
        <v>0.5</v>
      </c>
      <c r="M81" s="515">
        <v>0.5</v>
      </c>
    </row>
    <row r="82" spans="1:13" x14ac:dyDescent="0.25">
      <c r="A82" s="365"/>
      <c r="B82" s="365" t="s">
        <v>250</v>
      </c>
      <c r="C82" s="366" t="s">
        <v>251</v>
      </c>
      <c r="D82" s="531">
        <v>0.625</v>
      </c>
      <c r="H82" s="647" t="s">
        <v>371</v>
      </c>
      <c r="I82" s="640">
        <v>49</v>
      </c>
      <c r="J82" s="641">
        <v>44</v>
      </c>
      <c r="K82" s="512">
        <v>44</v>
      </c>
      <c r="L82" s="508">
        <v>0.89795918367346939</v>
      </c>
      <c r="M82" s="515">
        <v>0.89795918367346939</v>
      </c>
    </row>
    <row r="83" spans="1:13" x14ac:dyDescent="0.25">
      <c r="A83" s="365"/>
      <c r="B83" s="365" t="s">
        <v>248</v>
      </c>
      <c r="C83" s="366" t="s">
        <v>249</v>
      </c>
      <c r="D83" s="531">
        <v>2.5</v>
      </c>
      <c r="H83" s="647" t="s">
        <v>149</v>
      </c>
      <c r="I83" s="640">
        <v>62</v>
      </c>
      <c r="J83" s="641">
        <v>36</v>
      </c>
      <c r="K83" s="512">
        <v>36</v>
      </c>
      <c r="L83" s="508">
        <v>0.58064516129032262</v>
      </c>
      <c r="M83" s="515">
        <v>0.58064516129032262</v>
      </c>
    </row>
    <row r="84" spans="1:13" x14ac:dyDescent="0.25">
      <c r="A84" s="365"/>
      <c r="B84" s="365" t="s">
        <v>274</v>
      </c>
      <c r="C84" s="366" t="s">
        <v>275</v>
      </c>
      <c r="D84" s="531">
        <v>0.7441860465116279</v>
      </c>
      <c r="H84" s="647" t="s">
        <v>1105</v>
      </c>
      <c r="I84" s="640">
        <v>23</v>
      </c>
      <c r="J84" s="641">
        <v>23</v>
      </c>
      <c r="K84" s="512">
        <v>23</v>
      </c>
      <c r="L84" s="508">
        <v>1</v>
      </c>
      <c r="M84" s="515">
        <v>1</v>
      </c>
    </row>
    <row r="85" spans="1:13" x14ac:dyDescent="0.25">
      <c r="A85" s="365"/>
      <c r="B85" s="365" t="s">
        <v>276</v>
      </c>
      <c r="C85" s="366" t="s">
        <v>277</v>
      </c>
      <c r="D85" s="531">
        <v>0.71111111111111103</v>
      </c>
      <c r="H85" s="647" t="s">
        <v>370</v>
      </c>
      <c r="I85" s="640">
        <v>31</v>
      </c>
      <c r="J85" s="641">
        <v>0</v>
      </c>
      <c r="K85" s="512">
        <v>0</v>
      </c>
      <c r="L85" s="508">
        <v>0</v>
      </c>
      <c r="M85" s="515">
        <v>0</v>
      </c>
    </row>
    <row r="86" spans="1:13" x14ac:dyDescent="0.25">
      <c r="A86" s="365"/>
      <c r="B86" s="365" t="s">
        <v>260</v>
      </c>
      <c r="C86" s="366" t="s">
        <v>261</v>
      </c>
      <c r="D86" s="531">
        <v>0.79207920792079212</v>
      </c>
      <c r="H86" s="647" t="s">
        <v>369</v>
      </c>
      <c r="I86" s="640">
        <v>63</v>
      </c>
      <c r="J86" s="641">
        <v>0</v>
      </c>
      <c r="K86" s="512">
        <v>0</v>
      </c>
      <c r="L86" s="508">
        <v>0</v>
      </c>
      <c r="M86" s="515">
        <v>0</v>
      </c>
    </row>
    <row r="87" spans="1:13" x14ac:dyDescent="0.25">
      <c r="A87" s="365"/>
      <c r="B87" s="365" t="s">
        <v>280</v>
      </c>
      <c r="C87" s="366" t="s">
        <v>281</v>
      </c>
      <c r="D87" s="531">
        <v>0.5494505494505495</v>
      </c>
      <c r="H87" s="647" t="s">
        <v>368</v>
      </c>
      <c r="I87" s="640">
        <v>63</v>
      </c>
      <c r="J87" s="641">
        <v>0</v>
      </c>
      <c r="K87" s="512">
        <v>0</v>
      </c>
      <c r="L87" s="508">
        <v>0</v>
      </c>
      <c r="M87" s="515">
        <v>0</v>
      </c>
    </row>
    <row r="88" spans="1:13" x14ac:dyDescent="0.25">
      <c r="A88" s="365"/>
      <c r="B88" s="365" t="s">
        <v>244</v>
      </c>
      <c r="C88" s="366" t="s">
        <v>245</v>
      </c>
      <c r="D88" s="531">
        <v>1</v>
      </c>
      <c r="H88" s="648" t="s">
        <v>372</v>
      </c>
      <c r="I88" s="643">
        <v>88</v>
      </c>
      <c r="J88" s="644">
        <v>0</v>
      </c>
      <c r="K88" s="513">
        <v>0</v>
      </c>
      <c r="L88" s="509">
        <v>0</v>
      </c>
      <c r="M88" s="516">
        <v>0</v>
      </c>
    </row>
    <row r="89" spans="1:13" x14ac:dyDescent="0.25">
      <c r="A89" s="365"/>
      <c r="B89" s="365" t="s">
        <v>246</v>
      </c>
      <c r="C89" s="366" t="s">
        <v>247</v>
      </c>
      <c r="D89" s="531">
        <v>7.1428571428571425E-2</v>
      </c>
      <c r="H89" s="645" t="s">
        <v>151</v>
      </c>
      <c r="I89" s="643"/>
      <c r="J89" s="644"/>
      <c r="K89" s="513"/>
      <c r="L89" s="509"/>
      <c r="M89" s="516"/>
    </row>
    <row r="90" spans="1:13" x14ac:dyDescent="0.25">
      <c r="A90" s="365"/>
      <c r="B90" s="365" t="s">
        <v>242</v>
      </c>
      <c r="C90" s="366" t="s">
        <v>243</v>
      </c>
      <c r="D90" s="531">
        <v>0.5</v>
      </c>
      <c r="H90" s="649" t="s">
        <v>151</v>
      </c>
      <c r="I90" s="643">
        <v>2519</v>
      </c>
      <c r="J90" s="644">
        <v>977</v>
      </c>
      <c r="K90" s="513">
        <v>977</v>
      </c>
      <c r="L90" s="509">
        <v>0.38785232235013894</v>
      </c>
      <c r="M90" s="516">
        <v>0.38785232235013894</v>
      </c>
    </row>
    <row r="91" spans="1:13" x14ac:dyDescent="0.25">
      <c r="A91" s="365"/>
      <c r="B91" s="365" t="s">
        <v>256</v>
      </c>
      <c r="C91" s="366" t="s">
        <v>257</v>
      </c>
      <c r="D91" s="531">
        <v>0.11363636363636363</v>
      </c>
      <c r="H91" s="646" t="s">
        <v>154</v>
      </c>
      <c r="I91" s="640">
        <v>458</v>
      </c>
      <c r="J91" s="641">
        <v>258</v>
      </c>
      <c r="K91" s="512">
        <v>258</v>
      </c>
      <c r="L91" s="508">
        <v>0.5633187772925764</v>
      </c>
      <c r="M91" s="515">
        <v>0.5633187772925764</v>
      </c>
    </row>
    <row r="92" spans="1:13" x14ac:dyDescent="0.25">
      <c r="A92" s="365"/>
      <c r="B92" s="365" t="s">
        <v>284</v>
      </c>
      <c r="C92" s="366" t="s">
        <v>285</v>
      </c>
      <c r="D92" s="531">
        <v>0.90579710144927539</v>
      </c>
      <c r="H92" s="646" t="s">
        <v>1064</v>
      </c>
      <c r="I92" s="640">
        <v>123</v>
      </c>
      <c r="J92" s="641">
        <v>123</v>
      </c>
      <c r="K92" s="512">
        <v>123</v>
      </c>
      <c r="L92" s="508">
        <v>1</v>
      </c>
      <c r="M92" s="515">
        <v>1</v>
      </c>
    </row>
    <row r="93" spans="1:13" x14ac:dyDescent="0.25">
      <c r="A93" s="365"/>
      <c r="B93" s="365" t="s">
        <v>239</v>
      </c>
      <c r="C93" s="366" t="s">
        <v>240</v>
      </c>
      <c r="D93" s="531">
        <v>0.25</v>
      </c>
      <c r="H93" s="647" t="s">
        <v>152</v>
      </c>
      <c r="I93" s="640">
        <v>221</v>
      </c>
      <c r="J93" s="641">
        <v>116</v>
      </c>
      <c r="K93" s="512">
        <v>116</v>
      </c>
      <c r="L93" s="508">
        <v>0.52488687782805432</v>
      </c>
      <c r="M93" s="515">
        <v>0.52488687782805432</v>
      </c>
    </row>
    <row r="94" spans="1:13" x14ac:dyDescent="0.25">
      <c r="A94" s="365"/>
      <c r="B94" s="365" t="s">
        <v>258</v>
      </c>
      <c r="C94" s="366" t="s">
        <v>259</v>
      </c>
      <c r="D94" s="531">
        <v>0.33333333333333331</v>
      </c>
      <c r="H94" s="646" t="s">
        <v>1098</v>
      </c>
      <c r="I94" s="640">
        <v>113</v>
      </c>
      <c r="J94" s="641">
        <v>113</v>
      </c>
      <c r="K94" s="512">
        <v>113</v>
      </c>
      <c r="L94" s="508">
        <v>1</v>
      </c>
      <c r="M94" s="515">
        <v>1</v>
      </c>
    </row>
    <row r="95" spans="1:13" x14ac:dyDescent="0.25">
      <c r="A95" s="365"/>
      <c r="B95" s="365" t="s">
        <v>252</v>
      </c>
      <c r="C95" s="366" t="s">
        <v>253</v>
      </c>
      <c r="D95" s="531">
        <v>0.78431372549019618</v>
      </c>
      <c r="H95" s="647" t="s">
        <v>1037</v>
      </c>
      <c r="I95" s="640">
        <v>219</v>
      </c>
      <c r="J95" s="641">
        <v>99</v>
      </c>
      <c r="K95" s="512">
        <v>99</v>
      </c>
      <c r="L95" s="508">
        <v>0.45205479452054792</v>
      </c>
      <c r="M95" s="515">
        <v>0.45205479452054792</v>
      </c>
    </row>
    <row r="96" spans="1:13" x14ac:dyDescent="0.25">
      <c r="A96" s="365"/>
      <c r="B96" s="365" t="s">
        <v>254</v>
      </c>
      <c r="C96" s="366" t="s">
        <v>255</v>
      </c>
      <c r="D96" s="531">
        <v>0.77669902912621358</v>
      </c>
      <c r="H96" s="647" t="s">
        <v>945</v>
      </c>
      <c r="I96" s="640">
        <v>123</v>
      </c>
      <c r="J96" s="641">
        <v>73</v>
      </c>
      <c r="K96" s="512">
        <v>73</v>
      </c>
      <c r="L96" s="508">
        <v>0.5934959349593496</v>
      </c>
      <c r="M96" s="515">
        <v>0.5934959349593496</v>
      </c>
    </row>
    <row r="97" spans="1:13" x14ac:dyDescent="0.25">
      <c r="A97" s="365"/>
      <c r="B97" s="365" t="s">
        <v>262</v>
      </c>
      <c r="C97" s="366" t="s">
        <v>263</v>
      </c>
      <c r="D97" s="531">
        <v>1.5238095238095239</v>
      </c>
      <c r="H97" s="647" t="s">
        <v>887</v>
      </c>
      <c r="I97" s="640">
        <v>365</v>
      </c>
      <c r="J97" s="641">
        <v>56</v>
      </c>
      <c r="K97" s="512">
        <v>56</v>
      </c>
      <c r="L97" s="508">
        <v>0.15342465753424658</v>
      </c>
      <c r="M97" s="515">
        <v>0.15342465753424658</v>
      </c>
    </row>
    <row r="98" spans="1:13" x14ac:dyDescent="0.25">
      <c r="A98" s="365"/>
      <c r="B98" s="365" t="s">
        <v>264</v>
      </c>
      <c r="C98" s="366" t="s">
        <v>265</v>
      </c>
      <c r="D98" s="531">
        <v>1.3571428571428572</v>
      </c>
      <c r="H98" s="647" t="s">
        <v>188</v>
      </c>
      <c r="I98" s="640">
        <v>245</v>
      </c>
      <c r="J98" s="641">
        <v>55</v>
      </c>
      <c r="K98" s="512">
        <v>55</v>
      </c>
      <c r="L98" s="508">
        <v>0.22448979591836735</v>
      </c>
      <c r="M98" s="515">
        <v>0.22448979591836735</v>
      </c>
    </row>
    <row r="99" spans="1:13" x14ac:dyDescent="0.25">
      <c r="A99" s="365"/>
      <c r="B99" s="365" t="s">
        <v>282</v>
      </c>
      <c r="C99" s="366" t="s">
        <v>283</v>
      </c>
      <c r="D99" s="531">
        <v>3.4285714285714284</v>
      </c>
      <c r="H99" s="646" t="s">
        <v>198</v>
      </c>
      <c r="I99" s="640">
        <v>545</v>
      </c>
      <c r="J99" s="641">
        <v>51</v>
      </c>
      <c r="K99" s="512">
        <v>51</v>
      </c>
      <c r="L99" s="508">
        <v>9.3577981651376152E-2</v>
      </c>
      <c r="M99" s="515">
        <v>9.3577981651376152E-2</v>
      </c>
    </row>
    <row r="100" spans="1:13" x14ac:dyDescent="0.25">
      <c r="A100" s="365"/>
      <c r="B100" s="365" t="s">
        <v>270</v>
      </c>
      <c r="C100" s="366" t="s">
        <v>271</v>
      </c>
      <c r="D100" s="531">
        <v>1.0151515151515151</v>
      </c>
      <c r="H100" s="648" t="s">
        <v>160</v>
      </c>
      <c r="I100" s="643">
        <v>107</v>
      </c>
      <c r="J100" s="644">
        <v>33</v>
      </c>
      <c r="K100" s="513">
        <v>33</v>
      </c>
      <c r="L100" s="509">
        <v>0.30841121495327101</v>
      </c>
      <c r="M100" s="516">
        <v>0.30841121495327101</v>
      </c>
    </row>
    <row r="101" spans="1:13" x14ac:dyDescent="0.25">
      <c r="A101" s="365"/>
      <c r="B101" s="365" t="s">
        <v>272</v>
      </c>
      <c r="C101" s="366" t="s">
        <v>273</v>
      </c>
      <c r="D101" s="531">
        <v>1.0232558139534884</v>
      </c>
      <c r="H101" s="645" t="s">
        <v>185</v>
      </c>
      <c r="I101" s="643"/>
      <c r="J101" s="644"/>
      <c r="K101" s="513"/>
      <c r="L101" s="509"/>
      <c r="M101" s="516"/>
    </row>
    <row r="102" spans="1:13" x14ac:dyDescent="0.25">
      <c r="A102" s="366"/>
      <c r="B102" s="366" t="s">
        <v>241</v>
      </c>
      <c r="C102" s="366" t="s">
        <v>1248</v>
      </c>
      <c r="D102" s="532">
        <v>2.3518518518518521</v>
      </c>
      <c r="H102" s="649" t="s">
        <v>185</v>
      </c>
      <c r="I102" s="643">
        <v>2675</v>
      </c>
      <c r="J102" s="644">
        <v>278</v>
      </c>
      <c r="K102" s="513">
        <v>278</v>
      </c>
      <c r="L102" s="509">
        <v>0.10392523364485981</v>
      </c>
      <c r="M102" s="516">
        <v>0.10392523364485981</v>
      </c>
    </row>
    <row r="103" spans="1:13" x14ac:dyDescent="0.25">
      <c r="A103" s="365" t="s">
        <v>289</v>
      </c>
      <c r="B103" s="365" t="s">
        <v>288</v>
      </c>
      <c r="C103" s="366" t="s">
        <v>290</v>
      </c>
      <c r="D103" s="531">
        <v>0.41095890410958902</v>
      </c>
      <c r="H103" s="647" t="s">
        <v>190</v>
      </c>
      <c r="I103" s="640">
        <v>190</v>
      </c>
      <c r="J103" s="641">
        <v>108</v>
      </c>
      <c r="K103" s="512">
        <v>108</v>
      </c>
      <c r="L103" s="508">
        <v>0.56842105263157894</v>
      </c>
      <c r="M103" s="515">
        <v>0.56842105263157894</v>
      </c>
    </row>
    <row r="104" spans="1:13" x14ac:dyDescent="0.25">
      <c r="A104" s="365"/>
      <c r="B104" s="365" t="s">
        <v>291</v>
      </c>
      <c r="C104" s="366" t="s">
        <v>292</v>
      </c>
      <c r="D104" s="531">
        <v>1.4</v>
      </c>
      <c r="H104" s="646" t="s">
        <v>202</v>
      </c>
      <c r="I104" s="640">
        <v>261</v>
      </c>
      <c r="J104" s="641">
        <v>108</v>
      </c>
      <c r="K104" s="512">
        <v>108</v>
      </c>
      <c r="L104" s="508">
        <v>0.41379310344827586</v>
      </c>
      <c r="M104" s="515">
        <v>0.41379310344827586</v>
      </c>
    </row>
    <row r="105" spans="1:13" x14ac:dyDescent="0.25">
      <c r="A105" s="365"/>
      <c r="B105" s="365" t="s">
        <v>1059</v>
      </c>
      <c r="C105" s="366" t="s">
        <v>1058</v>
      </c>
      <c r="D105" s="531">
        <v>1</v>
      </c>
      <c r="H105" s="647" t="s">
        <v>223</v>
      </c>
      <c r="I105" s="640">
        <v>124</v>
      </c>
      <c r="J105" s="641">
        <v>57</v>
      </c>
      <c r="K105" s="512">
        <v>57</v>
      </c>
      <c r="L105" s="508">
        <v>0.45967741935483869</v>
      </c>
      <c r="M105" s="515">
        <v>0.45967741935483869</v>
      </c>
    </row>
    <row r="106" spans="1:13" x14ac:dyDescent="0.25">
      <c r="A106" s="366"/>
      <c r="B106" s="366" t="s">
        <v>1063</v>
      </c>
      <c r="C106" s="366" t="s">
        <v>1070</v>
      </c>
      <c r="D106" s="532">
        <v>0.58536585365853655</v>
      </c>
      <c r="H106" s="647" t="s">
        <v>229</v>
      </c>
      <c r="I106" s="640">
        <v>50</v>
      </c>
      <c r="J106" s="641">
        <v>5</v>
      </c>
      <c r="K106" s="512">
        <v>5</v>
      </c>
      <c r="L106" s="508">
        <v>0.1</v>
      </c>
      <c r="M106" s="515">
        <v>0.1</v>
      </c>
    </row>
    <row r="107" spans="1:13" x14ac:dyDescent="0.25">
      <c r="A107" s="366" t="s">
        <v>298</v>
      </c>
      <c r="B107" s="366" t="s">
        <v>297</v>
      </c>
      <c r="C107" s="366" t="s">
        <v>823</v>
      </c>
      <c r="D107" s="532">
        <v>1.1111111111111112</v>
      </c>
      <c r="H107" s="647" t="s">
        <v>215</v>
      </c>
      <c r="I107" s="640">
        <v>375</v>
      </c>
      <c r="J107" s="641">
        <v>0</v>
      </c>
      <c r="K107" s="512">
        <v>0</v>
      </c>
      <c r="L107" s="508">
        <v>0</v>
      </c>
      <c r="M107" s="515">
        <v>0</v>
      </c>
    </row>
    <row r="108" spans="1:13" x14ac:dyDescent="0.25">
      <c r="A108" s="365" t="s">
        <v>302</v>
      </c>
      <c r="B108" s="365" t="s">
        <v>305</v>
      </c>
      <c r="C108" s="366" t="s">
        <v>306</v>
      </c>
      <c r="D108" s="531">
        <v>0.48837209302325579</v>
      </c>
      <c r="H108" s="647" t="s">
        <v>186</v>
      </c>
      <c r="I108" s="640">
        <v>36</v>
      </c>
      <c r="J108" s="641">
        <v>0</v>
      </c>
      <c r="K108" s="512">
        <v>0</v>
      </c>
      <c r="L108" s="508">
        <v>0</v>
      </c>
      <c r="M108" s="515">
        <v>0</v>
      </c>
    </row>
    <row r="109" spans="1:13" x14ac:dyDescent="0.25">
      <c r="A109" s="366"/>
      <c r="B109" s="366" t="s">
        <v>307</v>
      </c>
      <c r="C109" s="366" t="s">
        <v>308</v>
      </c>
      <c r="D109" s="532">
        <v>1.1219512195121952</v>
      </c>
      <c r="H109" s="646" t="s">
        <v>219</v>
      </c>
      <c r="I109" s="640">
        <v>677</v>
      </c>
      <c r="J109" s="641">
        <v>0</v>
      </c>
      <c r="K109" s="512">
        <v>0</v>
      </c>
      <c r="L109" s="508">
        <v>0</v>
      </c>
      <c r="M109" s="515">
        <v>0</v>
      </c>
    </row>
    <row r="110" spans="1:13" x14ac:dyDescent="0.25">
      <c r="A110" s="365" t="s">
        <v>310</v>
      </c>
      <c r="B110" s="365" t="s">
        <v>341</v>
      </c>
      <c r="C110" s="366" t="s">
        <v>342</v>
      </c>
      <c r="D110" s="531">
        <v>0.58461538461538465</v>
      </c>
      <c r="H110" s="647" t="s">
        <v>194</v>
      </c>
      <c r="I110" s="640">
        <v>586</v>
      </c>
      <c r="J110" s="641">
        <v>0</v>
      </c>
      <c r="K110" s="512">
        <v>0</v>
      </c>
      <c r="L110" s="508">
        <v>0</v>
      </c>
      <c r="M110" s="515">
        <v>0</v>
      </c>
    </row>
    <row r="111" spans="1:13" x14ac:dyDescent="0.25">
      <c r="A111" s="365"/>
      <c r="B111" s="365" t="s">
        <v>350</v>
      </c>
      <c r="C111" s="366" t="s">
        <v>351</v>
      </c>
      <c r="D111" s="531">
        <v>1.1363636363636365</v>
      </c>
      <c r="H111" s="647" t="s">
        <v>225</v>
      </c>
      <c r="I111" s="640">
        <v>39</v>
      </c>
      <c r="J111" s="641">
        <v>0</v>
      </c>
      <c r="K111" s="512">
        <v>0</v>
      </c>
      <c r="L111" s="508">
        <v>0</v>
      </c>
      <c r="M111" s="515">
        <v>0</v>
      </c>
    </row>
    <row r="112" spans="1:13" x14ac:dyDescent="0.25">
      <c r="A112" s="365"/>
      <c r="B112" s="365" t="s">
        <v>319</v>
      </c>
      <c r="C112" s="366" t="s">
        <v>320</v>
      </c>
      <c r="D112" s="531">
        <v>1.1363636363636365</v>
      </c>
      <c r="H112" s="647" t="s">
        <v>192</v>
      </c>
      <c r="I112" s="640">
        <v>111</v>
      </c>
      <c r="J112" s="641">
        <v>0</v>
      </c>
      <c r="K112" s="512">
        <v>0</v>
      </c>
      <c r="L112" s="508">
        <v>0</v>
      </c>
      <c r="M112" s="515">
        <v>0</v>
      </c>
    </row>
    <row r="113" spans="1:13" x14ac:dyDescent="0.25">
      <c r="A113" s="365"/>
      <c r="B113" s="365" t="s">
        <v>312</v>
      </c>
      <c r="C113" s="366" t="s">
        <v>313</v>
      </c>
      <c r="D113" s="531">
        <v>1.0606060606060606</v>
      </c>
      <c r="H113" s="650" t="s">
        <v>209</v>
      </c>
      <c r="I113" s="643">
        <v>226</v>
      </c>
      <c r="J113" s="644">
        <v>0</v>
      </c>
      <c r="K113" s="513">
        <v>0</v>
      </c>
      <c r="L113" s="509">
        <v>0</v>
      </c>
      <c r="M113" s="516">
        <v>0</v>
      </c>
    </row>
    <row r="114" spans="1:13" x14ac:dyDescent="0.25">
      <c r="A114" s="365"/>
      <c r="B114" s="365" t="s">
        <v>329</v>
      </c>
      <c r="C114" s="366" t="s">
        <v>330</v>
      </c>
      <c r="D114" s="531">
        <v>0.94594594594594605</v>
      </c>
      <c r="H114" s="645" t="s">
        <v>237</v>
      </c>
      <c r="I114" s="643"/>
      <c r="J114" s="644"/>
      <c r="K114" s="513"/>
      <c r="L114" s="509"/>
      <c r="M114" s="516"/>
    </row>
    <row r="115" spans="1:13" x14ac:dyDescent="0.25">
      <c r="A115" s="365"/>
      <c r="B115" s="365" t="s">
        <v>337</v>
      </c>
      <c r="C115" s="366" t="s">
        <v>338</v>
      </c>
      <c r="D115" s="531">
        <v>1.258064516129032</v>
      </c>
      <c r="H115" s="649" t="s">
        <v>237</v>
      </c>
      <c r="I115" s="643">
        <v>1414</v>
      </c>
      <c r="J115" s="644">
        <v>419</v>
      </c>
      <c r="K115" s="513">
        <v>419</v>
      </c>
      <c r="L115" s="509">
        <v>0.29632248939179634</v>
      </c>
      <c r="M115" s="516">
        <v>0.29632248939179634</v>
      </c>
    </row>
    <row r="116" spans="1:13" x14ac:dyDescent="0.25">
      <c r="A116" s="365"/>
      <c r="B116" s="365" t="s">
        <v>327</v>
      </c>
      <c r="C116" s="366" t="s">
        <v>328</v>
      </c>
      <c r="D116" s="531">
        <v>0.74825174825174834</v>
      </c>
      <c r="H116" s="647" t="s">
        <v>240</v>
      </c>
      <c r="I116" s="640">
        <v>96</v>
      </c>
      <c r="J116" s="641">
        <v>72</v>
      </c>
      <c r="K116" s="512">
        <v>72</v>
      </c>
      <c r="L116" s="508">
        <v>0.75</v>
      </c>
      <c r="M116" s="515">
        <v>0.75</v>
      </c>
    </row>
    <row r="117" spans="1:13" x14ac:dyDescent="0.25">
      <c r="A117" s="365"/>
      <c r="B117" s="365" t="s">
        <v>317</v>
      </c>
      <c r="C117" s="366" t="s">
        <v>318</v>
      </c>
      <c r="D117" s="531">
        <v>1.054945054945055</v>
      </c>
      <c r="H117" s="647" t="s">
        <v>253</v>
      </c>
      <c r="I117" s="640">
        <v>204</v>
      </c>
      <c r="J117" s="641">
        <v>44</v>
      </c>
      <c r="K117" s="512">
        <v>44</v>
      </c>
      <c r="L117" s="508">
        <v>0.21568627450980393</v>
      </c>
      <c r="M117" s="515">
        <v>0.21568627450980393</v>
      </c>
    </row>
    <row r="118" spans="1:13" x14ac:dyDescent="0.25">
      <c r="A118" s="365"/>
      <c r="B118" s="365" t="s">
        <v>348</v>
      </c>
      <c r="C118" s="366" t="s">
        <v>349</v>
      </c>
      <c r="D118" s="531">
        <v>1.7954545454545454</v>
      </c>
      <c r="H118" s="647" t="s">
        <v>281</v>
      </c>
      <c r="I118" s="640">
        <v>91</v>
      </c>
      <c r="J118" s="641">
        <v>41</v>
      </c>
      <c r="K118" s="512">
        <v>41</v>
      </c>
      <c r="L118" s="508">
        <v>0.45054945054945056</v>
      </c>
      <c r="M118" s="515">
        <v>0.45054945054945056</v>
      </c>
    </row>
    <row r="119" spans="1:13" x14ac:dyDescent="0.25">
      <c r="A119" s="365"/>
      <c r="B119" s="365" t="s">
        <v>315</v>
      </c>
      <c r="C119" s="366" t="s">
        <v>316</v>
      </c>
      <c r="D119" s="531">
        <v>0.7857142857142857</v>
      </c>
      <c r="H119" s="647" t="s">
        <v>259</v>
      </c>
      <c r="I119" s="640">
        <v>60</v>
      </c>
      <c r="J119" s="641">
        <v>40</v>
      </c>
      <c r="K119" s="512">
        <v>40</v>
      </c>
      <c r="L119" s="508">
        <v>0.66666666666666663</v>
      </c>
      <c r="M119" s="515">
        <v>0.66666666666666663</v>
      </c>
    </row>
    <row r="120" spans="1:13" x14ac:dyDescent="0.25">
      <c r="A120" s="365"/>
      <c r="B120" s="365" t="s">
        <v>325</v>
      </c>
      <c r="C120" s="366" t="s">
        <v>326</v>
      </c>
      <c r="D120" s="531">
        <v>0.86956521739130432</v>
      </c>
      <c r="H120" s="647" t="s">
        <v>247</v>
      </c>
      <c r="I120" s="640">
        <v>42</v>
      </c>
      <c r="J120" s="641">
        <v>39</v>
      </c>
      <c r="K120" s="512">
        <v>39</v>
      </c>
      <c r="L120" s="508">
        <v>0.9285714285714286</v>
      </c>
      <c r="M120" s="515">
        <v>0.9285714285714286</v>
      </c>
    </row>
    <row r="121" spans="1:13" x14ac:dyDescent="0.25">
      <c r="A121" s="365"/>
      <c r="B121" s="365" t="s">
        <v>323</v>
      </c>
      <c r="C121" s="366" t="s">
        <v>324</v>
      </c>
      <c r="D121" s="531">
        <v>1.1616161616161618</v>
      </c>
      <c r="H121" s="647" t="s">
        <v>257</v>
      </c>
      <c r="I121" s="640">
        <v>44</v>
      </c>
      <c r="J121" s="641">
        <v>39</v>
      </c>
      <c r="K121" s="512">
        <v>39</v>
      </c>
      <c r="L121" s="508">
        <v>0.88636363636363635</v>
      </c>
      <c r="M121" s="515">
        <v>0.88636363636363635</v>
      </c>
    </row>
    <row r="122" spans="1:13" x14ac:dyDescent="0.25">
      <c r="A122" s="365"/>
      <c r="B122" s="365" t="s">
        <v>346</v>
      </c>
      <c r="C122" s="366" t="s">
        <v>347</v>
      </c>
      <c r="D122" s="531">
        <v>1.4581005586592179</v>
      </c>
      <c r="H122" s="647" t="s">
        <v>277</v>
      </c>
      <c r="I122" s="640">
        <v>90</v>
      </c>
      <c r="J122" s="641">
        <v>26</v>
      </c>
      <c r="K122" s="512">
        <v>26</v>
      </c>
      <c r="L122" s="508">
        <v>0.28888888888888886</v>
      </c>
      <c r="M122" s="515">
        <v>0.28888888888888886</v>
      </c>
    </row>
    <row r="123" spans="1:13" x14ac:dyDescent="0.25">
      <c r="A123" s="365"/>
      <c r="B123" s="365" t="s">
        <v>333</v>
      </c>
      <c r="C123" s="366" t="s">
        <v>334</v>
      </c>
      <c r="D123" s="531">
        <v>1.5290322580645161</v>
      </c>
      <c r="H123" s="647" t="s">
        <v>255</v>
      </c>
      <c r="I123" s="640">
        <v>103</v>
      </c>
      <c r="J123" s="641">
        <v>23</v>
      </c>
      <c r="K123" s="512">
        <v>23</v>
      </c>
      <c r="L123" s="508">
        <v>0.22330097087378642</v>
      </c>
      <c r="M123" s="515">
        <v>0.22330097087378642</v>
      </c>
    </row>
    <row r="124" spans="1:13" x14ac:dyDescent="0.25">
      <c r="A124" s="365"/>
      <c r="B124" s="365" t="s">
        <v>335</v>
      </c>
      <c r="C124" s="366" t="s">
        <v>336</v>
      </c>
      <c r="D124" s="531">
        <v>0.68493150684931503</v>
      </c>
      <c r="H124" s="647" t="s">
        <v>279</v>
      </c>
      <c r="I124" s="640">
        <v>22</v>
      </c>
      <c r="J124" s="641">
        <v>22</v>
      </c>
      <c r="K124" s="512">
        <v>22</v>
      </c>
      <c r="L124" s="508">
        <v>1</v>
      </c>
      <c r="M124" s="515">
        <v>1</v>
      </c>
    </row>
    <row r="125" spans="1:13" x14ac:dyDescent="0.25">
      <c r="A125" s="365"/>
      <c r="B125" s="365" t="s">
        <v>352</v>
      </c>
      <c r="C125" s="366" t="s">
        <v>353</v>
      </c>
      <c r="D125" s="531">
        <v>0.11816838995568685</v>
      </c>
      <c r="H125" s="647" t="s">
        <v>261</v>
      </c>
      <c r="I125" s="640">
        <v>101</v>
      </c>
      <c r="J125" s="641">
        <v>21</v>
      </c>
      <c r="K125" s="512">
        <v>21</v>
      </c>
      <c r="L125" s="508">
        <v>0.20792079207920791</v>
      </c>
      <c r="M125" s="515">
        <v>0.20792079207920791</v>
      </c>
    </row>
    <row r="126" spans="1:13" x14ac:dyDescent="0.25">
      <c r="A126" s="365"/>
      <c r="B126" s="365" t="s">
        <v>321</v>
      </c>
      <c r="C126" s="366" t="s">
        <v>322</v>
      </c>
      <c r="D126" s="531">
        <v>1.0307167235494881</v>
      </c>
      <c r="H126" s="647" t="s">
        <v>285</v>
      </c>
      <c r="I126" s="640">
        <v>138</v>
      </c>
      <c r="J126" s="641">
        <v>13</v>
      </c>
      <c r="K126" s="512">
        <v>13</v>
      </c>
      <c r="L126" s="508">
        <v>9.420289855072464E-2</v>
      </c>
      <c r="M126" s="515">
        <v>9.420289855072464E-2</v>
      </c>
    </row>
    <row r="127" spans="1:13" x14ac:dyDescent="0.25">
      <c r="A127" s="365"/>
      <c r="B127" s="365" t="s">
        <v>354</v>
      </c>
      <c r="C127" s="366" t="s">
        <v>355</v>
      </c>
      <c r="D127" s="531">
        <v>0.66326530612244894</v>
      </c>
      <c r="H127" s="647" t="s">
        <v>251</v>
      </c>
      <c r="I127" s="640">
        <v>32</v>
      </c>
      <c r="J127" s="641">
        <v>12</v>
      </c>
      <c r="K127" s="512">
        <v>12</v>
      </c>
      <c r="L127" s="508">
        <v>0.375</v>
      </c>
      <c r="M127" s="515">
        <v>0.375</v>
      </c>
    </row>
    <row r="128" spans="1:13" x14ac:dyDescent="0.25">
      <c r="A128" s="365"/>
      <c r="B128" s="365" t="s">
        <v>343</v>
      </c>
      <c r="C128" s="366" t="s">
        <v>344</v>
      </c>
      <c r="D128" s="531">
        <v>1.0555555555555556</v>
      </c>
      <c r="H128" s="647" t="s">
        <v>275</v>
      </c>
      <c r="I128" s="640">
        <v>43</v>
      </c>
      <c r="J128" s="641">
        <v>11</v>
      </c>
      <c r="K128" s="512">
        <v>11</v>
      </c>
      <c r="L128" s="508">
        <v>0.2558139534883721</v>
      </c>
      <c r="M128" s="515">
        <v>0.2558139534883721</v>
      </c>
    </row>
    <row r="129" spans="1:13" x14ac:dyDescent="0.25">
      <c r="A129" s="365"/>
      <c r="B129" s="365" t="s">
        <v>345</v>
      </c>
      <c r="C129" s="366" t="s">
        <v>1247</v>
      </c>
      <c r="D129" s="531">
        <v>0.19662921348314605</v>
      </c>
      <c r="H129" s="639" t="s">
        <v>238</v>
      </c>
      <c r="I129" s="640">
        <v>67</v>
      </c>
      <c r="J129" s="641">
        <v>7</v>
      </c>
      <c r="K129" s="512">
        <v>7</v>
      </c>
      <c r="L129" s="508">
        <v>0.1044776119402985</v>
      </c>
      <c r="M129" s="515">
        <v>0.1044776119402985</v>
      </c>
    </row>
    <row r="130" spans="1:13" x14ac:dyDescent="0.25">
      <c r="A130" s="366"/>
      <c r="B130" s="366" t="s">
        <v>356</v>
      </c>
      <c r="C130" s="366" t="s">
        <v>1249</v>
      </c>
      <c r="D130" s="532">
        <v>1.0147058823529411</v>
      </c>
      <c r="H130" s="639" t="s">
        <v>269</v>
      </c>
      <c r="I130" s="640">
        <v>58</v>
      </c>
      <c r="J130" s="641">
        <v>6</v>
      </c>
      <c r="K130" s="512">
        <v>6</v>
      </c>
      <c r="L130" s="508">
        <v>0.10344827586206896</v>
      </c>
      <c r="M130" s="515">
        <v>0.10344827586206896</v>
      </c>
    </row>
    <row r="131" spans="1:13" x14ac:dyDescent="0.25">
      <c r="A131" s="365" t="s">
        <v>300</v>
      </c>
      <c r="B131" s="366" t="s">
        <v>1010</v>
      </c>
      <c r="C131" s="366" t="s">
        <v>861</v>
      </c>
      <c r="D131" s="532">
        <v>0</v>
      </c>
      <c r="H131" s="639" t="s">
        <v>243</v>
      </c>
      <c r="I131" s="640">
        <v>6</v>
      </c>
      <c r="J131" s="641">
        <v>3</v>
      </c>
      <c r="K131" s="512">
        <v>3</v>
      </c>
      <c r="L131" s="508">
        <v>0.5</v>
      </c>
      <c r="M131" s="515">
        <v>0.5</v>
      </c>
    </row>
    <row r="132" spans="1:13" x14ac:dyDescent="0.25">
      <c r="A132" s="366"/>
      <c r="B132" s="422" t="s">
        <v>1263</v>
      </c>
      <c r="C132" s="422" t="s">
        <v>1264</v>
      </c>
      <c r="D132" s="368">
        <v>1.0169491525423728</v>
      </c>
      <c r="H132" s="639" t="s">
        <v>1248</v>
      </c>
      <c r="I132" s="640">
        <v>54</v>
      </c>
      <c r="J132" s="641">
        <v>0</v>
      </c>
      <c r="K132" s="512">
        <v>0</v>
      </c>
      <c r="L132" s="508">
        <v>0</v>
      </c>
      <c r="M132" s="515">
        <v>0</v>
      </c>
    </row>
    <row r="133" spans="1:13" x14ac:dyDescent="0.25">
      <c r="A133" s="365" t="s">
        <v>781</v>
      </c>
      <c r="B133" s="422" t="s">
        <v>1262</v>
      </c>
      <c r="C133" s="422" t="s">
        <v>1279</v>
      </c>
      <c r="D133" s="368">
        <v>0.92105263157894735</v>
      </c>
      <c r="H133" s="639" t="s">
        <v>263</v>
      </c>
      <c r="I133" s="640">
        <v>21</v>
      </c>
      <c r="J133" s="641">
        <v>0</v>
      </c>
      <c r="K133" s="512">
        <v>0</v>
      </c>
      <c r="L133" s="508">
        <v>0</v>
      </c>
      <c r="M133" s="515">
        <v>0</v>
      </c>
    </row>
    <row r="134" spans="1:13" x14ac:dyDescent="0.25">
      <c r="A134" s="366" t="s">
        <v>416</v>
      </c>
      <c r="B134" s="366"/>
      <c r="C134" s="366"/>
      <c r="D134" s="532">
        <v>165.57568381222549</v>
      </c>
      <c r="H134" s="639" t="s">
        <v>273</v>
      </c>
      <c r="I134" s="640">
        <v>43</v>
      </c>
      <c r="J134" s="641">
        <v>0</v>
      </c>
      <c r="K134" s="512">
        <v>0</v>
      </c>
      <c r="L134" s="508">
        <v>0</v>
      </c>
      <c r="M134" s="515">
        <v>0</v>
      </c>
    </row>
    <row r="135" spans="1:13" x14ac:dyDescent="0.25">
      <c r="B135"/>
      <c r="H135" s="639" t="s">
        <v>271</v>
      </c>
      <c r="I135" s="640">
        <v>66</v>
      </c>
      <c r="J135" s="641">
        <v>0</v>
      </c>
      <c r="K135" s="512">
        <v>0</v>
      </c>
      <c r="L135" s="508">
        <v>0</v>
      </c>
      <c r="M135" s="515">
        <v>0</v>
      </c>
    </row>
    <row r="136" spans="1:13" x14ac:dyDescent="0.25">
      <c r="B136"/>
      <c r="H136" s="639" t="s">
        <v>283</v>
      </c>
      <c r="I136" s="640">
        <v>7</v>
      </c>
      <c r="J136" s="641">
        <v>0</v>
      </c>
      <c r="K136" s="512">
        <v>0</v>
      </c>
      <c r="L136" s="508">
        <v>0</v>
      </c>
      <c r="M136" s="515">
        <v>0</v>
      </c>
    </row>
    <row r="137" spans="1:13" x14ac:dyDescent="0.25">
      <c r="B137"/>
      <c r="H137" s="639" t="s">
        <v>245</v>
      </c>
      <c r="I137" s="640">
        <v>6</v>
      </c>
      <c r="J137" s="641">
        <v>0</v>
      </c>
      <c r="K137" s="512">
        <v>0</v>
      </c>
      <c r="L137" s="508">
        <v>0</v>
      </c>
      <c r="M137" s="515">
        <v>0</v>
      </c>
    </row>
    <row r="138" spans="1:13" x14ac:dyDescent="0.25">
      <c r="B138"/>
      <c r="H138" s="639" t="s">
        <v>249</v>
      </c>
      <c r="I138" s="640">
        <v>6</v>
      </c>
      <c r="J138" s="641">
        <v>0</v>
      </c>
      <c r="K138" s="512">
        <v>0</v>
      </c>
      <c r="L138" s="508">
        <v>0</v>
      </c>
      <c r="M138" s="515">
        <v>0</v>
      </c>
    </row>
    <row r="139" spans="1:13" x14ac:dyDescent="0.25">
      <c r="B139"/>
      <c r="H139" s="642" t="s">
        <v>265</v>
      </c>
      <c r="I139" s="643">
        <v>14</v>
      </c>
      <c r="J139" s="644">
        <v>0</v>
      </c>
      <c r="K139" s="513">
        <v>0</v>
      </c>
      <c r="L139" s="509">
        <v>0</v>
      </c>
      <c r="M139" s="516">
        <v>0</v>
      </c>
    </row>
    <row r="140" spans="1:13" x14ac:dyDescent="0.25">
      <c r="B140"/>
      <c r="H140" s="645" t="s">
        <v>289</v>
      </c>
      <c r="I140" s="643"/>
      <c r="J140" s="644"/>
      <c r="K140" s="513"/>
      <c r="L140" s="509"/>
      <c r="M140" s="516"/>
    </row>
    <row r="141" spans="1:13" x14ac:dyDescent="0.25">
      <c r="B141"/>
      <c r="H141" s="649" t="s">
        <v>289</v>
      </c>
      <c r="I141" s="643">
        <v>351</v>
      </c>
      <c r="J141" s="644">
        <v>142</v>
      </c>
      <c r="K141" s="513">
        <v>142</v>
      </c>
      <c r="L141" s="509">
        <v>0.40455840455840458</v>
      </c>
      <c r="M141" s="516">
        <v>0.40455840455840458</v>
      </c>
    </row>
    <row r="142" spans="1:13" x14ac:dyDescent="0.25">
      <c r="B142"/>
      <c r="H142" s="646" t="s">
        <v>1070</v>
      </c>
      <c r="I142" s="640">
        <v>123</v>
      </c>
      <c r="J142" s="641">
        <v>51</v>
      </c>
      <c r="K142" s="512">
        <v>51</v>
      </c>
      <c r="L142" s="508">
        <v>0.41463414634146339</v>
      </c>
      <c r="M142" s="515">
        <v>0.41463414634146339</v>
      </c>
    </row>
    <row r="143" spans="1:13" x14ac:dyDescent="0.25">
      <c r="B143"/>
      <c r="H143" s="647" t="s">
        <v>374</v>
      </c>
      <c r="I143" s="640">
        <v>48</v>
      </c>
      <c r="J143" s="641">
        <v>48</v>
      </c>
      <c r="K143" s="512">
        <v>48</v>
      </c>
      <c r="L143" s="508">
        <v>1</v>
      </c>
      <c r="M143" s="515">
        <v>1</v>
      </c>
    </row>
    <row r="144" spans="1:13" x14ac:dyDescent="0.25">
      <c r="B144"/>
      <c r="H144" s="647" t="s">
        <v>290</v>
      </c>
      <c r="I144" s="640">
        <v>73</v>
      </c>
      <c r="J144" s="641">
        <v>43</v>
      </c>
      <c r="K144" s="512">
        <v>43</v>
      </c>
      <c r="L144" s="508">
        <v>0.58904109589041098</v>
      </c>
      <c r="M144" s="515">
        <v>0.58904109589041098</v>
      </c>
    </row>
    <row r="145" spans="2:13" x14ac:dyDescent="0.25">
      <c r="B145"/>
      <c r="H145" s="647" t="s">
        <v>292</v>
      </c>
      <c r="I145" s="640">
        <v>70</v>
      </c>
      <c r="J145" s="641">
        <v>0</v>
      </c>
      <c r="K145" s="512">
        <v>0</v>
      </c>
      <c r="L145" s="508">
        <v>0</v>
      </c>
      <c r="M145" s="515">
        <v>0</v>
      </c>
    </row>
    <row r="146" spans="2:13" x14ac:dyDescent="0.25">
      <c r="B146"/>
      <c r="H146" s="648" t="s">
        <v>1058</v>
      </c>
      <c r="I146" s="643">
        <v>37</v>
      </c>
      <c r="J146" s="644">
        <v>0</v>
      </c>
      <c r="K146" s="513">
        <v>0</v>
      </c>
      <c r="L146" s="509">
        <v>0</v>
      </c>
      <c r="M146" s="516">
        <v>0</v>
      </c>
    </row>
    <row r="147" spans="2:13" x14ac:dyDescent="0.25">
      <c r="B147"/>
      <c r="H147" s="645" t="s">
        <v>310</v>
      </c>
      <c r="I147" s="643"/>
      <c r="J147" s="644"/>
      <c r="K147" s="513"/>
      <c r="L147" s="509"/>
      <c r="M147" s="516"/>
    </row>
    <row r="148" spans="2:13" x14ac:dyDescent="0.25">
      <c r="B148"/>
      <c r="H148" s="649" t="s">
        <v>310</v>
      </c>
      <c r="I148" s="643">
        <v>6286</v>
      </c>
      <c r="J148" s="644">
        <v>1960</v>
      </c>
      <c r="K148" s="513">
        <v>1960</v>
      </c>
      <c r="L148" s="509">
        <v>0.31180400890868598</v>
      </c>
      <c r="M148" s="516">
        <v>0.31180400890868598</v>
      </c>
    </row>
    <row r="149" spans="2:13" x14ac:dyDescent="0.25">
      <c r="B149"/>
      <c r="H149" s="650" t="s">
        <v>353</v>
      </c>
      <c r="I149" s="643">
        <v>1354</v>
      </c>
      <c r="J149" s="644">
        <v>1194</v>
      </c>
      <c r="K149" s="513">
        <v>1194</v>
      </c>
      <c r="L149" s="509">
        <v>0.8818316100443131</v>
      </c>
      <c r="M149" s="516">
        <v>0.8818316100443131</v>
      </c>
    </row>
    <row r="150" spans="2:13" x14ac:dyDescent="0.25">
      <c r="B150"/>
      <c r="H150" s="646" t="s">
        <v>196</v>
      </c>
      <c r="I150" s="640">
        <v>1643</v>
      </c>
      <c r="J150" s="641">
        <v>448</v>
      </c>
      <c r="K150" s="512">
        <v>448</v>
      </c>
      <c r="L150" s="508">
        <v>0.27267194157029823</v>
      </c>
      <c r="M150" s="515">
        <v>0.27267194157029823</v>
      </c>
    </row>
    <row r="151" spans="2:13" x14ac:dyDescent="0.25">
      <c r="B151"/>
      <c r="H151" s="647" t="s">
        <v>1247</v>
      </c>
      <c r="I151" s="640">
        <v>178</v>
      </c>
      <c r="J151" s="641">
        <v>143</v>
      </c>
      <c r="K151" s="512">
        <v>143</v>
      </c>
      <c r="L151" s="508">
        <v>0.8033707865168539</v>
      </c>
      <c r="M151" s="515">
        <v>0.8033707865168539</v>
      </c>
    </row>
    <row r="152" spans="2:13" x14ac:dyDescent="0.25">
      <c r="B152"/>
      <c r="H152" s="647" t="s">
        <v>336</v>
      </c>
      <c r="I152" s="640">
        <v>146</v>
      </c>
      <c r="J152" s="641">
        <v>46</v>
      </c>
      <c r="K152" s="512">
        <v>46</v>
      </c>
      <c r="L152" s="508">
        <v>0.31506849315068491</v>
      </c>
      <c r="M152" s="515">
        <v>0.31506849315068491</v>
      </c>
    </row>
    <row r="153" spans="2:13" x14ac:dyDescent="0.25">
      <c r="B153"/>
      <c r="H153" s="647" t="s">
        <v>328</v>
      </c>
      <c r="I153" s="640">
        <v>143</v>
      </c>
      <c r="J153" s="641">
        <v>36</v>
      </c>
      <c r="K153" s="512">
        <v>36</v>
      </c>
      <c r="L153" s="508">
        <v>0.25174825174825177</v>
      </c>
      <c r="M153" s="515">
        <v>0.25174825174825177</v>
      </c>
    </row>
    <row r="154" spans="2:13" x14ac:dyDescent="0.25">
      <c r="B154"/>
      <c r="H154" s="646" t="s">
        <v>355</v>
      </c>
      <c r="I154" s="640">
        <v>98</v>
      </c>
      <c r="J154" s="641">
        <v>33</v>
      </c>
      <c r="K154" s="512">
        <v>33</v>
      </c>
      <c r="L154" s="508">
        <v>0.33673469387755101</v>
      </c>
      <c r="M154" s="515">
        <v>0.33673469387755101</v>
      </c>
    </row>
    <row r="155" spans="2:13" x14ac:dyDescent="0.25">
      <c r="B155"/>
      <c r="H155" s="647" t="s">
        <v>342</v>
      </c>
      <c r="I155" s="640">
        <v>65</v>
      </c>
      <c r="J155" s="641">
        <v>27</v>
      </c>
      <c r="K155" s="512">
        <v>27</v>
      </c>
      <c r="L155" s="508">
        <v>0.41538461538461541</v>
      </c>
      <c r="M155" s="515">
        <v>0.41538461538461541</v>
      </c>
    </row>
    <row r="156" spans="2:13" x14ac:dyDescent="0.25">
      <c r="B156"/>
      <c r="H156" s="647" t="s">
        <v>316</v>
      </c>
      <c r="I156" s="640">
        <v>70</v>
      </c>
      <c r="J156" s="641">
        <v>15</v>
      </c>
      <c r="K156" s="512">
        <v>15</v>
      </c>
      <c r="L156" s="508">
        <v>0.21428571428571427</v>
      </c>
      <c r="M156" s="515">
        <v>0.21428571428571427</v>
      </c>
    </row>
    <row r="157" spans="2:13" x14ac:dyDescent="0.25">
      <c r="B157"/>
      <c r="H157" s="647" t="s">
        <v>330</v>
      </c>
      <c r="I157" s="640">
        <v>222</v>
      </c>
      <c r="J157" s="641">
        <v>12</v>
      </c>
      <c r="K157" s="512">
        <v>12</v>
      </c>
      <c r="L157" s="508">
        <v>5.4054054054054057E-2</v>
      </c>
      <c r="M157" s="515">
        <v>5.4054054054054057E-2</v>
      </c>
    </row>
    <row r="158" spans="2:13" x14ac:dyDescent="0.25">
      <c r="B158"/>
      <c r="H158" s="647" t="s">
        <v>326</v>
      </c>
      <c r="I158" s="640">
        <v>46</v>
      </c>
      <c r="J158" s="641">
        <v>6</v>
      </c>
      <c r="K158" s="512">
        <v>6</v>
      </c>
      <c r="L158" s="508">
        <v>0.13043478260869565</v>
      </c>
      <c r="M158" s="515">
        <v>0.13043478260869565</v>
      </c>
    </row>
    <row r="159" spans="2:13" x14ac:dyDescent="0.25">
      <c r="B159"/>
      <c r="H159" s="647" t="s">
        <v>349</v>
      </c>
      <c r="I159" s="640">
        <v>44</v>
      </c>
      <c r="J159" s="641">
        <v>0</v>
      </c>
      <c r="K159" s="512">
        <v>0</v>
      </c>
      <c r="L159" s="508">
        <v>0</v>
      </c>
      <c r="M159" s="515">
        <v>0</v>
      </c>
    </row>
    <row r="160" spans="2:13" x14ac:dyDescent="0.25">
      <c r="B160"/>
      <c r="H160" s="647" t="s">
        <v>351</v>
      </c>
      <c r="I160" s="640">
        <v>88</v>
      </c>
      <c r="J160" s="641">
        <v>0</v>
      </c>
      <c r="K160" s="512">
        <v>0</v>
      </c>
      <c r="L160" s="508">
        <v>0</v>
      </c>
      <c r="M160" s="515">
        <v>0</v>
      </c>
    </row>
    <row r="161" spans="2:13" x14ac:dyDescent="0.25">
      <c r="B161"/>
      <c r="H161" s="647" t="s">
        <v>322</v>
      </c>
      <c r="I161" s="640">
        <v>586</v>
      </c>
      <c r="J161" s="641">
        <v>0</v>
      </c>
      <c r="K161" s="512">
        <v>0</v>
      </c>
      <c r="L161" s="508">
        <v>0</v>
      </c>
      <c r="M161" s="515">
        <v>0</v>
      </c>
    </row>
    <row r="162" spans="2:13" x14ac:dyDescent="0.25">
      <c r="B162"/>
      <c r="H162" s="647" t="s">
        <v>313</v>
      </c>
      <c r="I162" s="640">
        <v>99</v>
      </c>
      <c r="J162" s="641">
        <v>0</v>
      </c>
      <c r="K162" s="512">
        <v>0</v>
      </c>
      <c r="L162" s="508">
        <v>0</v>
      </c>
      <c r="M162" s="515">
        <v>0</v>
      </c>
    </row>
    <row r="163" spans="2:13" x14ac:dyDescent="0.25">
      <c r="B163"/>
      <c r="H163" s="647" t="s">
        <v>347</v>
      </c>
      <c r="I163" s="640">
        <v>179</v>
      </c>
      <c r="J163" s="641">
        <v>0</v>
      </c>
      <c r="K163" s="512">
        <v>0</v>
      </c>
      <c r="L163" s="508">
        <v>0</v>
      </c>
      <c r="M163" s="515">
        <v>0</v>
      </c>
    </row>
    <row r="164" spans="2:13" x14ac:dyDescent="0.25">
      <c r="B164"/>
      <c r="H164" s="647" t="s">
        <v>318</v>
      </c>
      <c r="I164" s="640">
        <v>91</v>
      </c>
      <c r="J164" s="641">
        <v>0</v>
      </c>
      <c r="K164" s="512">
        <v>0</v>
      </c>
      <c r="L164" s="508">
        <v>0</v>
      </c>
      <c r="M164" s="515">
        <v>0</v>
      </c>
    </row>
    <row r="165" spans="2:13" x14ac:dyDescent="0.25">
      <c r="B165"/>
      <c r="H165" s="647" t="s">
        <v>324</v>
      </c>
      <c r="I165" s="640">
        <v>396</v>
      </c>
      <c r="J165" s="641">
        <v>0</v>
      </c>
      <c r="K165" s="512">
        <v>0</v>
      </c>
      <c r="L165" s="508">
        <v>0</v>
      </c>
      <c r="M165" s="515">
        <v>0</v>
      </c>
    </row>
    <row r="166" spans="2:13" x14ac:dyDescent="0.25">
      <c r="B166"/>
      <c r="H166" s="647" t="s">
        <v>320</v>
      </c>
      <c r="I166" s="640">
        <v>22</v>
      </c>
      <c r="J166" s="641">
        <v>0</v>
      </c>
      <c r="K166" s="512">
        <v>0</v>
      </c>
      <c r="L166" s="508">
        <v>0</v>
      </c>
      <c r="M166" s="515">
        <v>0</v>
      </c>
    </row>
    <row r="167" spans="2:13" x14ac:dyDescent="0.25">
      <c r="B167"/>
      <c r="H167" s="647" t="s">
        <v>1249</v>
      </c>
      <c r="I167" s="640">
        <v>612</v>
      </c>
      <c r="J167" s="641">
        <v>0</v>
      </c>
      <c r="K167" s="512">
        <v>0</v>
      </c>
      <c r="L167" s="508">
        <v>0</v>
      </c>
      <c r="M167" s="515">
        <v>0</v>
      </c>
    </row>
    <row r="168" spans="2:13" x14ac:dyDescent="0.25">
      <c r="B168"/>
      <c r="H168" s="647" t="s">
        <v>338</v>
      </c>
      <c r="I168" s="640">
        <v>31</v>
      </c>
      <c r="J168" s="641">
        <v>0</v>
      </c>
      <c r="K168" s="512">
        <v>0</v>
      </c>
      <c r="L168" s="508">
        <v>0</v>
      </c>
      <c r="M168" s="515">
        <v>0</v>
      </c>
    </row>
    <row r="169" spans="2:13" x14ac:dyDescent="0.25">
      <c r="B169"/>
      <c r="H169" s="647" t="s">
        <v>334</v>
      </c>
      <c r="I169" s="640">
        <v>155</v>
      </c>
      <c r="J169" s="641">
        <v>0</v>
      </c>
      <c r="K169" s="512">
        <v>0</v>
      </c>
      <c r="L169" s="508">
        <v>0</v>
      </c>
      <c r="M169" s="515">
        <v>0</v>
      </c>
    </row>
    <row r="170" spans="2:13" x14ac:dyDescent="0.25">
      <c r="B170"/>
      <c r="H170" s="648" t="s">
        <v>344</v>
      </c>
      <c r="I170" s="643">
        <v>18</v>
      </c>
      <c r="J170" s="644">
        <v>0</v>
      </c>
      <c r="K170" s="513">
        <v>0</v>
      </c>
      <c r="L170" s="509">
        <v>0</v>
      </c>
      <c r="M170" s="516">
        <v>0</v>
      </c>
    </row>
    <row r="171" spans="2:13" x14ac:dyDescent="0.25">
      <c r="B171"/>
      <c r="H171" s="645" t="s">
        <v>416</v>
      </c>
      <c r="I171" s="643">
        <v>17092</v>
      </c>
      <c r="J171" s="644">
        <v>5309</v>
      </c>
      <c r="K171" s="513">
        <v>5225</v>
      </c>
      <c r="L171" s="509">
        <v>0.31061315235197751</v>
      </c>
      <c r="M171" s="516">
        <v>0.30569857243154691</v>
      </c>
    </row>
    <row r="172" spans="2:13" x14ac:dyDescent="0.25">
      <c r="B172"/>
      <c r="H172"/>
      <c r="I172"/>
      <c r="J172"/>
    </row>
    <row r="173" spans="2:13" x14ac:dyDescent="0.25">
      <c r="B173"/>
    </row>
    <row r="174" spans="2:13" x14ac:dyDescent="0.25">
      <c r="B174"/>
    </row>
    <row r="175" spans="2:13" x14ac:dyDescent="0.25">
      <c r="B175"/>
    </row>
    <row r="176" spans="2:13" x14ac:dyDescent="0.25">
      <c r="B176"/>
    </row>
    <row r="177" spans="2:2" x14ac:dyDescent="0.25">
      <c r="B177"/>
    </row>
    <row r="178" spans="2:2" x14ac:dyDescent="0.25">
      <c r="B178"/>
    </row>
    <row r="179" spans="2:2" x14ac:dyDescent="0.25">
      <c r="B179"/>
    </row>
    <row r="180" spans="2:2" x14ac:dyDescent="0.25">
      <c r="B180"/>
    </row>
    <row r="181" spans="2:2" x14ac:dyDescent="0.25">
      <c r="B181"/>
    </row>
    <row r="182" spans="2:2" x14ac:dyDescent="0.25">
      <c r="B182"/>
    </row>
    <row r="183" spans="2:2" x14ac:dyDescent="0.25">
      <c r="B183"/>
    </row>
    <row r="184" spans="2:2" x14ac:dyDescent="0.25">
      <c r="B184"/>
    </row>
    <row r="185" spans="2:2" x14ac:dyDescent="0.25">
      <c r="B185"/>
    </row>
    <row r="186" spans="2:2" x14ac:dyDescent="0.25">
      <c r="B186"/>
    </row>
    <row r="187" spans="2:2" x14ac:dyDescent="0.25">
      <c r="B187"/>
    </row>
    <row r="188" spans="2:2" x14ac:dyDescent="0.25">
      <c r="B188"/>
    </row>
    <row r="189" spans="2:2" x14ac:dyDescent="0.25">
      <c r="B189"/>
    </row>
    <row r="190" spans="2:2" x14ac:dyDescent="0.25">
      <c r="B190"/>
    </row>
    <row r="191" spans="2:2" x14ac:dyDescent="0.25">
      <c r="B191"/>
    </row>
    <row r="192" spans="2:2" x14ac:dyDescent="0.25">
      <c r="B192"/>
    </row>
    <row r="193" spans="2:2" x14ac:dyDescent="0.25">
      <c r="B193"/>
    </row>
    <row r="194" spans="2:2" x14ac:dyDescent="0.25">
      <c r="B194"/>
    </row>
    <row r="195" spans="2:2" x14ac:dyDescent="0.25">
      <c r="B195"/>
    </row>
    <row r="196" spans="2:2" x14ac:dyDescent="0.25">
      <c r="B196"/>
    </row>
    <row r="197" spans="2:2" x14ac:dyDescent="0.25">
      <c r="B197"/>
    </row>
    <row r="198" spans="2:2" x14ac:dyDescent="0.25">
      <c r="B198"/>
    </row>
    <row r="199" spans="2:2" x14ac:dyDescent="0.25">
      <c r="B199"/>
    </row>
    <row r="200" spans="2:2" x14ac:dyDescent="0.25">
      <c r="B200"/>
    </row>
    <row r="201" spans="2:2" x14ac:dyDescent="0.25">
      <c r="B201"/>
    </row>
    <row r="202" spans="2:2" x14ac:dyDescent="0.25">
      <c r="B202"/>
    </row>
    <row r="203" spans="2:2" x14ac:dyDescent="0.25">
      <c r="B203"/>
    </row>
    <row r="204" spans="2:2" x14ac:dyDescent="0.25">
      <c r="B204"/>
    </row>
    <row r="205" spans="2:2" x14ac:dyDescent="0.25">
      <c r="B205"/>
    </row>
    <row r="206" spans="2:2" x14ac:dyDescent="0.25">
      <c r="B206"/>
    </row>
    <row r="207" spans="2:2" x14ac:dyDescent="0.25">
      <c r="B207"/>
    </row>
    <row r="208" spans="2:2" x14ac:dyDescent="0.25">
      <c r="B208"/>
    </row>
    <row r="209" spans="2:2" x14ac:dyDescent="0.25">
      <c r="B209"/>
    </row>
    <row r="210" spans="2:2" x14ac:dyDescent="0.25">
      <c r="B210"/>
    </row>
    <row r="211" spans="2:2" x14ac:dyDescent="0.25">
      <c r="B211"/>
    </row>
    <row r="212" spans="2:2" x14ac:dyDescent="0.25">
      <c r="B212"/>
    </row>
    <row r="213" spans="2:2" x14ac:dyDescent="0.25">
      <c r="B213"/>
    </row>
    <row r="214" spans="2:2" x14ac:dyDescent="0.25">
      <c r="B214"/>
    </row>
    <row r="215" spans="2:2" x14ac:dyDescent="0.25">
      <c r="B215"/>
    </row>
    <row r="216" spans="2:2" x14ac:dyDescent="0.25">
      <c r="B216"/>
    </row>
    <row r="217" spans="2:2" x14ac:dyDescent="0.25">
      <c r="B217"/>
    </row>
    <row r="218" spans="2:2" x14ac:dyDescent="0.25">
      <c r="B218"/>
    </row>
    <row r="219" spans="2:2" x14ac:dyDescent="0.25">
      <c r="B219"/>
    </row>
    <row r="220" spans="2:2" x14ac:dyDescent="0.25">
      <c r="B220"/>
    </row>
    <row r="221" spans="2:2" x14ac:dyDescent="0.25">
      <c r="B221"/>
    </row>
    <row r="222" spans="2:2" x14ac:dyDescent="0.25">
      <c r="B222"/>
    </row>
    <row r="223" spans="2:2" x14ac:dyDescent="0.25">
      <c r="B223"/>
    </row>
    <row r="224" spans="2:2" x14ac:dyDescent="0.25">
      <c r="B224"/>
    </row>
    <row r="225" spans="2:2" x14ac:dyDescent="0.25">
      <c r="B225"/>
    </row>
    <row r="226" spans="2:2" x14ac:dyDescent="0.25">
      <c r="B226"/>
    </row>
    <row r="227" spans="2:2" x14ac:dyDescent="0.25">
      <c r="B227"/>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theme="3" tint="0.59999389629810485"/>
  </sheetPr>
  <dimension ref="A1:AQ103"/>
  <sheetViews>
    <sheetView showZeros="0" zoomScale="85" zoomScaleNormal="85" zoomScaleSheetLayoutView="100" zoomScalePageLayoutView="80" workbookViewId="0">
      <selection activeCell="F54" sqref="F54"/>
    </sheetView>
  </sheetViews>
  <sheetFormatPr defaultColWidth="9.140625" defaultRowHeight="15" x14ac:dyDescent="0.25"/>
  <cols>
    <col min="1" max="1" width="2.42578125" style="123" customWidth="1"/>
    <col min="2" max="2" width="1.85546875" style="123" customWidth="1"/>
    <col min="3" max="3" width="21.42578125" style="48" customWidth="1"/>
    <col min="4" max="4" width="8.85546875" style="48" customWidth="1"/>
    <col min="5" max="5" width="6.7109375" style="48" customWidth="1"/>
    <col min="6" max="6" width="8.28515625" style="48" customWidth="1"/>
    <col min="7" max="7" width="8.85546875" style="48" customWidth="1"/>
    <col min="8" max="8" width="8" style="48" customWidth="1"/>
    <col min="9" max="9" width="15" style="48" customWidth="1"/>
    <col min="10" max="11" width="16" style="48" customWidth="1"/>
    <col min="12" max="12" width="9.140625" style="48"/>
    <col min="13" max="13" width="8.7109375" style="48" customWidth="1"/>
    <col min="14" max="14" width="5.85546875" style="48" customWidth="1"/>
    <col min="15" max="15" width="3.140625" style="48" customWidth="1"/>
    <col min="16" max="16" width="11" style="48" customWidth="1"/>
    <col min="17" max="17" width="11" style="48" hidden="1" customWidth="1"/>
    <col min="18" max="18" width="10.5703125" style="48" hidden="1" customWidth="1"/>
    <col min="19" max="19" width="21.85546875" style="62" hidden="1" customWidth="1"/>
    <col min="20" max="20" width="21.5703125" style="62" hidden="1" customWidth="1"/>
    <col min="21" max="21" width="19.140625" style="62" hidden="1" customWidth="1"/>
    <col min="22" max="22" width="16.28515625" style="62" hidden="1" customWidth="1"/>
    <col min="23" max="23" width="7.7109375" style="62" customWidth="1"/>
    <col min="24" max="24" width="9.140625" style="62"/>
    <col min="25" max="25" width="21.140625" style="62" customWidth="1"/>
    <col min="26" max="32" width="9.140625" style="62"/>
    <col min="33" max="16384" width="9.140625" style="48"/>
  </cols>
  <sheetData>
    <row r="1" spans="2:43" s="123" customFormat="1" ht="9.75" customHeight="1" thickBot="1" x14ac:dyDescent="0.3"/>
    <row r="2" spans="2:43" s="123" customFormat="1" ht="3.6" customHeight="1" x14ac:dyDescent="0.25">
      <c r="B2" s="247"/>
      <c r="C2" s="248"/>
      <c r="D2" s="248"/>
      <c r="E2" s="248"/>
      <c r="F2" s="248"/>
      <c r="G2" s="248"/>
      <c r="H2" s="248"/>
      <c r="I2" s="248"/>
      <c r="J2" s="248"/>
      <c r="K2" s="248"/>
      <c r="L2" s="248"/>
      <c r="M2" s="248"/>
      <c r="N2" s="248"/>
      <c r="O2" s="249"/>
    </row>
    <row r="3" spans="2:43" s="1" customFormat="1" ht="28.15" customHeight="1" x14ac:dyDescent="0.25">
      <c r="B3" s="250"/>
      <c r="C3" s="263"/>
      <c r="D3" s="263"/>
      <c r="E3" s="263"/>
      <c r="F3" s="263"/>
      <c r="G3" s="263"/>
      <c r="H3" s="263"/>
      <c r="I3" s="263"/>
      <c r="J3" s="263"/>
      <c r="K3" s="263"/>
      <c r="L3" s="263"/>
      <c r="M3" s="263"/>
      <c r="N3" s="263"/>
      <c r="O3" s="251"/>
      <c r="P3" s="123"/>
      <c r="Q3" s="123"/>
      <c r="AO3" s="56"/>
      <c r="AP3" s="56"/>
    </row>
    <row r="4" spans="2:43" s="1" customFormat="1" ht="23.45" customHeight="1" x14ac:dyDescent="0.25">
      <c r="B4" s="250"/>
      <c r="C4" s="1023" t="s">
        <v>592</v>
      </c>
      <c r="D4" s="1023"/>
      <c r="E4" s="1023"/>
      <c r="F4" s="1023"/>
      <c r="G4" s="1023"/>
      <c r="H4" s="1023"/>
      <c r="I4" s="1023"/>
      <c r="J4" s="1023"/>
      <c r="K4" s="1023"/>
      <c r="L4" s="240"/>
      <c r="M4" s="240"/>
      <c r="N4" s="240"/>
      <c r="O4" s="251"/>
      <c r="P4" s="123"/>
      <c r="Q4" s="123"/>
      <c r="S4" s="26" t="s">
        <v>1155</v>
      </c>
      <c r="T4" s="50">
        <f>GETPIVOTDATA("# HH",$C$21)</f>
        <v>17092</v>
      </c>
      <c r="U4" s="77"/>
      <c r="V4" s="77"/>
      <c r="W4" s="77"/>
      <c r="X4" s="77"/>
      <c r="Y4" s="77"/>
      <c r="Z4" s="77"/>
      <c r="AA4" s="77"/>
      <c r="AB4" s="77"/>
      <c r="AC4" s="77"/>
      <c r="AD4" s="77"/>
      <c r="AE4" s="77"/>
      <c r="AF4" s="77"/>
      <c r="AP4" s="56"/>
      <c r="AQ4" s="56"/>
    </row>
    <row r="5" spans="2:43" s="18" customFormat="1" ht="18" customHeight="1" x14ac:dyDescent="0.25">
      <c r="B5" s="252"/>
      <c r="C5" s="1011">
        <f>Definition!B23</f>
        <v>42522</v>
      </c>
      <c r="D5" s="1011"/>
      <c r="E5" s="1011"/>
      <c r="F5" s="1011"/>
      <c r="G5" s="1011"/>
      <c r="H5" s="1011"/>
      <c r="I5" s="1011"/>
      <c r="J5" s="1011"/>
      <c r="K5" s="244"/>
      <c r="L5" s="244"/>
      <c r="M5" s="244"/>
      <c r="N5" s="244"/>
      <c r="O5" s="253"/>
      <c r="P5" s="123"/>
      <c r="Q5" s="123"/>
      <c r="S5" s="26" t="s">
        <v>1237</v>
      </c>
      <c r="T5" s="50">
        <f>GETPIVOTDATA("# Camps",$C$21)</f>
        <v>136</v>
      </c>
      <c r="U5" s="77"/>
      <c r="V5" s="77"/>
      <c r="W5" s="77"/>
      <c r="X5" s="77"/>
      <c r="Y5" s="77"/>
      <c r="Z5" s="77"/>
      <c r="AA5" s="77"/>
      <c r="AB5" s="77"/>
      <c r="AC5" s="77"/>
      <c r="AD5" s="77"/>
      <c r="AE5" s="77"/>
      <c r="AF5" s="77"/>
      <c r="AP5" s="57"/>
      <c r="AQ5" s="57"/>
    </row>
    <row r="6" spans="2:43" s="18" customFormat="1" ht="3.6" customHeight="1" x14ac:dyDescent="0.25">
      <c r="B6" s="270"/>
      <c r="C6" s="276"/>
      <c r="D6" s="276"/>
      <c r="E6" s="276"/>
      <c r="F6" s="276"/>
      <c r="G6" s="276"/>
      <c r="H6" s="276"/>
      <c r="I6" s="276"/>
      <c r="J6" s="276"/>
      <c r="K6" s="277"/>
      <c r="L6" s="277"/>
      <c r="M6" s="277"/>
      <c r="N6" s="277"/>
      <c r="O6" s="264"/>
      <c r="P6" s="123"/>
      <c r="Q6" s="123"/>
      <c r="S6" s="26"/>
      <c r="T6" s="50"/>
      <c r="U6" s="123"/>
      <c r="V6" s="123"/>
      <c r="W6" s="123"/>
      <c r="X6" s="123"/>
      <c r="Y6" s="123"/>
      <c r="Z6" s="123"/>
      <c r="AA6" s="123"/>
      <c r="AB6" s="123"/>
      <c r="AC6" s="123"/>
      <c r="AD6" s="123"/>
      <c r="AE6" s="123"/>
      <c r="AF6" s="123"/>
      <c r="AP6" s="57"/>
      <c r="AQ6" s="57"/>
    </row>
    <row r="7" spans="2:43" ht="10.15" customHeight="1" x14ac:dyDescent="0.25">
      <c r="B7" s="270"/>
      <c r="C7" s="39"/>
      <c r="D7" s="39"/>
      <c r="E7" s="39"/>
      <c r="F7" s="39"/>
      <c r="G7" s="39"/>
      <c r="H7" s="39"/>
      <c r="I7" s="39"/>
      <c r="J7" s="39"/>
      <c r="K7" s="39"/>
      <c r="L7" s="39"/>
      <c r="M7" s="39"/>
      <c r="N7" s="39"/>
      <c r="O7" s="264"/>
      <c r="S7" s="26" t="s">
        <v>1157</v>
      </c>
      <c r="T7" s="363">
        <f>GETPIVOTDATA("# HH",$C$21)-GETPIVOTDATA("# Shelter Gap",$C$21)</f>
        <v>11783</v>
      </c>
    </row>
    <row r="8" spans="2:43" ht="10.15" customHeight="1" x14ac:dyDescent="0.25">
      <c r="B8" s="270"/>
      <c r="C8" s="39"/>
      <c r="D8" s="39"/>
      <c r="E8" s="39"/>
      <c r="F8" s="39"/>
      <c r="G8" s="39"/>
      <c r="H8" s="39"/>
      <c r="I8" s="39"/>
      <c r="J8" s="39"/>
      <c r="K8" s="39"/>
      <c r="L8" s="39"/>
      <c r="M8" s="39"/>
      <c r="N8" s="39"/>
      <c r="O8" s="264"/>
      <c r="R8" s="18"/>
      <c r="S8" s="26" t="s">
        <v>1156</v>
      </c>
      <c r="T8" s="50">
        <f>GETPIVOTDATA("# Shelter Gap",$C$21)</f>
        <v>5309</v>
      </c>
    </row>
    <row r="9" spans="2:43" ht="10.15" customHeight="1" x14ac:dyDescent="0.25">
      <c r="B9" s="270"/>
      <c r="C9" s="39"/>
      <c r="D9" s="39"/>
      <c r="E9" s="39"/>
      <c r="F9" s="39"/>
      <c r="G9" s="39"/>
      <c r="H9" s="39"/>
      <c r="I9" s="39"/>
      <c r="J9" s="39"/>
      <c r="K9" s="39"/>
      <c r="L9" s="39"/>
      <c r="M9" s="39"/>
      <c r="N9" s="39"/>
      <c r="O9" s="264"/>
      <c r="S9" s="26" t="s">
        <v>1159</v>
      </c>
      <c r="T9" s="50">
        <f>GETPIVOTDATA("# Const. Shelter",$C$21)</f>
        <v>5225</v>
      </c>
    </row>
    <row r="10" spans="2:43" ht="10.15" customHeight="1" x14ac:dyDescent="0.25">
      <c r="B10" s="270"/>
      <c r="C10" s="39"/>
      <c r="D10" s="39"/>
      <c r="E10" s="39"/>
      <c r="F10" s="39"/>
      <c r="G10" s="39"/>
      <c r="H10" s="39"/>
      <c r="I10" s="39"/>
      <c r="J10" s="39"/>
      <c r="K10" s="39"/>
      <c r="L10" s="39"/>
      <c r="M10" s="39"/>
      <c r="N10" s="39"/>
      <c r="O10" s="264"/>
      <c r="S10" s="26" t="s">
        <v>1158</v>
      </c>
      <c r="T10" s="363">
        <f>GETPIVOTDATA("# Shelter Gap",$C$21)-GETPIVOTDATA("# Const. Shelter",$C$21)</f>
        <v>84</v>
      </c>
    </row>
    <row r="11" spans="2:43" ht="10.15" customHeight="1" x14ac:dyDescent="0.25">
      <c r="B11" s="270"/>
      <c r="C11" s="39"/>
      <c r="D11" s="39"/>
      <c r="E11" s="39"/>
      <c r="F11" s="39"/>
      <c r="G11" s="39"/>
      <c r="H11" s="39"/>
      <c r="I11" s="39"/>
      <c r="J11" s="39"/>
      <c r="K11" s="39"/>
      <c r="L11" s="39"/>
      <c r="M11" s="39"/>
      <c r="N11" s="39"/>
      <c r="O11" s="264"/>
    </row>
    <row r="12" spans="2:43" ht="10.15" customHeight="1" x14ac:dyDescent="0.25">
      <c r="B12" s="270"/>
      <c r="C12" s="39"/>
      <c r="D12" s="39"/>
      <c r="E12" s="39"/>
      <c r="F12" s="39"/>
      <c r="G12" s="39"/>
      <c r="H12" s="39"/>
      <c r="I12" s="39"/>
      <c r="J12" s="39"/>
      <c r="K12" s="39"/>
      <c r="L12" s="39"/>
      <c r="M12" s="39"/>
      <c r="N12" s="39"/>
      <c r="O12" s="264"/>
    </row>
    <row r="13" spans="2:43" ht="10.15" customHeight="1" x14ac:dyDescent="0.25">
      <c r="B13" s="270"/>
      <c r="C13" s="39"/>
      <c r="D13" s="39"/>
      <c r="E13" s="39"/>
      <c r="F13" s="39"/>
      <c r="G13" s="39"/>
      <c r="H13" s="39"/>
      <c r="I13" s="39"/>
      <c r="J13" s="39"/>
      <c r="K13" s="39"/>
      <c r="L13" s="39"/>
      <c r="M13" s="39"/>
      <c r="N13" s="39"/>
      <c r="O13" s="264"/>
      <c r="S13" s="26" t="s">
        <v>1191</v>
      </c>
      <c r="T13" s="26">
        <v>0.5</v>
      </c>
    </row>
    <row r="14" spans="2:43" s="123" customFormat="1" ht="10.15" customHeight="1" x14ac:dyDescent="0.25">
      <c r="B14" s="270"/>
      <c r="C14" s="39"/>
      <c r="D14" s="39"/>
      <c r="E14" s="39"/>
      <c r="F14" s="39"/>
      <c r="G14" s="39"/>
      <c r="H14" s="39"/>
      <c r="I14" s="39"/>
      <c r="J14" s="39"/>
      <c r="K14" s="39"/>
      <c r="L14" s="39"/>
      <c r="M14" s="39"/>
      <c r="N14" s="39"/>
      <c r="O14" s="264"/>
    </row>
    <row r="15" spans="2:43" ht="7.15" customHeight="1" thickBot="1" x14ac:dyDescent="0.3">
      <c r="B15" s="270"/>
      <c r="C15" s="39"/>
      <c r="D15" s="39"/>
      <c r="E15" s="39"/>
      <c r="F15" s="39"/>
      <c r="G15" s="39"/>
      <c r="H15" s="39"/>
      <c r="I15" s="39"/>
      <c r="J15" s="265"/>
      <c r="K15" s="265"/>
      <c r="L15" s="39"/>
      <c r="M15" s="39"/>
      <c r="N15" s="39"/>
      <c r="O15" s="264"/>
    </row>
    <row r="16" spans="2:43" ht="16.5" hidden="1" thickBot="1" x14ac:dyDescent="0.3">
      <c r="B16" s="46"/>
      <c r="C16" s="1"/>
      <c r="D16" s="1"/>
      <c r="E16" s="1"/>
      <c r="F16" s="1"/>
      <c r="G16" s="1"/>
      <c r="H16" s="1"/>
      <c r="I16" s="39"/>
      <c r="J16" s="266"/>
      <c r="K16" s="266"/>
      <c r="L16" s="39"/>
      <c r="M16" s="39"/>
      <c r="N16" s="39"/>
      <c r="O16" s="264"/>
    </row>
    <row r="17" spans="2:32" ht="16.5" hidden="1" thickBot="1" x14ac:dyDescent="0.3">
      <c r="B17" s="46"/>
      <c r="C17" s="1"/>
      <c r="D17" s="1"/>
      <c r="E17" s="1"/>
      <c r="F17" s="1"/>
      <c r="G17" s="1"/>
      <c r="H17" s="1"/>
      <c r="I17" s="39"/>
      <c r="J17" s="266"/>
      <c r="K17" s="266"/>
      <c r="L17" s="39"/>
      <c r="M17" s="39"/>
      <c r="N17" s="39"/>
      <c r="O17" s="264"/>
    </row>
    <row r="18" spans="2:32" ht="16.5" hidden="1" thickBot="1" x14ac:dyDescent="0.3">
      <c r="B18" s="46"/>
      <c r="C18" s="441" t="s">
        <v>500</v>
      </c>
      <c r="D18" s="442" t="s">
        <v>502</v>
      </c>
      <c r="E18" s="1"/>
      <c r="F18" s="1"/>
      <c r="G18" s="1"/>
      <c r="H18" s="1"/>
      <c r="I18" s="39"/>
      <c r="J18" s="39"/>
      <c r="K18" s="266"/>
      <c r="L18" s="39"/>
      <c r="M18" s="39"/>
      <c r="N18" s="39"/>
      <c r="O18" s="264"/>
    </row>
    <row r="19" spans="2:32" ht="16.5" hidden="1" thickBot="1" x14ac:dyDescent="0.3">
      <c r="B19" s="46"/>
      <c r="C19" s="441" t="s">
        <v>402</v>
      </c>
      <c r="D19" s="442" t="s">
        <v>556</v>
      </c>
      <c r="E19" s="1"/>
      <c r="F19" s="1"/>
      <c r="G19" s="1"/>
      <c r="H19" s="1"/>
      <c r="I19" s="39"/>
      <c r="J19" s="39"/>
      <c r="K19" s="266"/>
      <c r="L19" s="39"/>
      <c r="M19" s="39"/>
      <c r="N19" s="39"/>
      <c r="O19" s="264"/>
    </row>
    <row r="20" spans="2:32" ht="16.5" hidden="1" thickBot="1" x14ac:dyDescent="0.3">
      <c r="B20" s="46"/>
      <c r="C20" s="1"/>
      <c r="D20" s="1"/>
      <c r="E20" s="1"/>
      <c r="F20" s="1"/>
      <c r="G20" s="1"/>
      <c r="H20" s="1"/>
      <c r="I20" s="39"/>
      <c r="J20" s="39"/>
      <c r="K20" s="266"/>
      <c r="L20" s="39"/>
      <c r="M20" s="39"/>
      <c r="N20" s="39"/>
      <c r="O20" s="264"/>
    </row>
    <row r="21" spans="2:32" ht="30" x14ac:dyDescent="0.25">
      <c r="B21" s="270"/>
      <c r="C21" s="443" t="s">
        <v>0</v>
      </c>
      <c r="D21" s="444" t="s">
        <v>1180</v>
      </c>
      <c r="E21" s="444" t="s">
        <v>1181</v>
      </c>
      <c r="F21" s="444" t="s">
        <v>1182</v>
      </c>
      <c r="G21" s="444" t="s">
        <v>1183</v>
      </c>
      <c r="H21" s="445" t="s">
        <v>1184</v>
      </c>
      <c r="I21" s="39"/>
      <c r="J21" s="39"/>
      <c r="K21" s="266"/>
      <c r="L21" s="39"/>
      <c r="M21" s="39"/>
      <c r="N21" s="39"/>
      <c r="O21" s="264"/>
      <c r="S21" s="317" t="s">
        <v>0</v>
      </c>
      <c r="T21" s="366" t="s">
        <v>1188</v>
      </c>
      <c r="U21" s="366" t="s">
        <v>1189</v>
      </c>
      <c r="V21" s="316" t="s">
        <v>1190</v>
      </c>
      <c r="AF21" s="48"/>
    </row>
    <row r="22" spans="2:32" ht="13.9" customHeight="1" x14ac:dyDescent="0.25">
      <c r="B22" s="270"/>
      <c r="C22" s="446" t="s">
        <v>5</v>
      </c>
      <c r="D22" s="439">
        <v>1290</v>
      </c>
      <c r="E22" s="440">
        <v>7191</v>
      </c>
      <c r="F22" s="430">
        <v>10</v>
      </c>
      <c r="G22" s="439">
        <v>357</v>
      </c>
      <c r="H22" s="447">
        <v>273</v>
      </c>
      <c r="I22" s="39"/>
      <c r="J22" s="39"/>
      <c r="K22" s="266"/>
      <c r="L22" s="39"/>
      <c r="M22" s="39"/>
      <c r="N22" s="39"/>
      <c r="O22" s="264"/>
      <c r="S22" s="320" t="str">
        <f>C22</f>
        <v>Bhamo</v>
      </c>
      <c r="T22" s="363">
        <f>D22-Shelter_Draw[[#This Row],[V2]]-Shelter_Draw[[#This Row],[V3]]</f>
        <v>933</v>
      </c>
      <c r="U22" s="363">
        <f t="shared" ref="U22:U31" si="0">H22</f>
        <v>273</v>
      </c>
      <c r="V22" s="411">
        <f>G22-H22</f>
        <v>84</v>
      </c>
      <c r="AF22" s="48"/>
    </row>
    <row r="23" spans="2:32" ht="13.9" customHeight="1" x14ac:dyDescent="0.25">
      <c r="B23" s="270"/>
      <c r="C23" s="446" t="s">
        <v>27</v>
      </c>
      <c r="D23" s="439">
        <v>496</v>
      </c>
      <c r="E23" s="440">
        <v>2511</v>
      </c>
      <c r="F23" s="430">
        <v>5</v>
      </c>
      <c r="G23" s="439">
        <v>316</v>
      </c>
      <c r="H23" s="447">
        <v>316</v>
      </c>
      <c r="I23" s="39"/>
      <c r="J23" s="39"/>
      <c r="K23" s="266"/>
      <c r="L23" s="39"/>
      <c r="M23" s="39"/>
      <c r="N23" s="39"/>
      <c r="O23" s="264"/>
      <c r="S23" s="320" t="str">
        <f t="shared" ref="S23:S30" si="1">C23</f>
        <v>Chipwi</v>
      </c>
      <c r="T23" s="363">
        <f>D23-Shelter_Draw[[#This Row],[V2]]-Shelter_Draw[[#This Row],[V3]]</f>
        <v>180</v>
      </c>
      <c r="U23" s="363">
        <f t="shared" si="0"/>
        <v>316</v>
      </c>
      <c r="V23" s="411">
        <f t="shared" ref="V23:V31" si="2">G23-H23</f>
        <v>0</v>
      </c>
      <c r="AF23" s="48"/>
    </row>
    <row r="24" spans="2:32" ht="13.9" customHeight="1" x14ac:dyDescent="0.25">
      <c r="B24" s="270"/>
      <c r="C24" s="446" t="s">
        <v>529</v>
      </c>
      <c r="D24" s="439">
        <v>707</v>
      </c>
      <c r="E24" s="440">
        <v>3526</v>
      </c>
      <c r="F24" s="430">
        <v>20</v>
      </c>
      <c r="G24" s="439">
        <v>302</v>
      </c>
      <c r="H24" s="447">
        <v>302</v>
      </c>
      <c r="I24" s="39"/>
      <c r="J24" s="39"/>
      <c r="K24" s="267"/>
      <c r="L24" s="39"/>
      <c r="M24" s="39"/>
      <c r="N24" s="39"/>
      <c r="O24" s="264"/>
      <c r="S24" s="320" t="str">
        <f t="shared" si="1"/>
        <v>Hpakant</v>
      </c>
      <c r="T24" s="363">
        <f>D24-Shelter_Draw[[#This Row],[V2]]-Shelter_Draw[[#This Row],[V3]]</f>
        <v>405</v>
      </c>
      <c r="U24" s="363">
        <f t="shared" si="0"/>
        <v>302</v>
      </c>
      <c r="V24" s="411">
        <f t="shared" si="2"/>
        <v>0</v>
      </c>
      <c r="AF24" s="48"/>
    </row>
    <row r="25" spans="2:32" ht="13.9" customHeight="1" x14ac:dyDescent="0.25">
      <c r="B25" s="270"/>
      <c r="C25" s="446" t="s">
        <v>781</v>
      </c>
      <c r="D25" s="439">
        <v>38</v>
      </c>
      <c r="E25" s="440">
        <v>172</v>
      </c>
      <c r="F25" s="430">
        <v>1</v>
      </c>
      <c r="G25" s="439">
        <v>3</v>
      </c>
      <c r="H25" s="447">
        <v>3</v>
      </c>
      <c r="I25" s="39"/>
      <c r="J25" s="39"/>
      <c r="K25" s="39"/>
      <c r="L25" s="39"/>
      <c r="M25" s="39"/>
      <c r="N25" s="39"/>
      <c r="O25" s="264"/>
      <c r="S25" s="320" t="str">
        <f t="shared" si="1"/>
        <v>Hseni</v>
      </c>
      <c r="T25" s="363">
        <f>D25-Shelter_Draw[[#This Row],[V2]]-Shelter_Draw[[#This Row],[V3]]</f>
        <v>35</v>
      </c>
      <c r="U25" s="363">
        <f t="shared" si="0"/>
        <v>3</v>
      </c>
      <c r="V25" s="411">
        <f t="shared" si="2"/>
        <v>0</v>
      </c>
      <c r="AF25" s="48"/>
    </row>
    <row r="26" spans="2:32" ht="13.9" customHeight="1" x14ac:dyDescent="0.25">
      <c r="B26" s="270"/>
      <c r="C26" s="446" t="s">
        <v>146</v>
      </c>
      <c r="D26" s="439">
        <v>686</v>
      </c>
      <c r="E26" s="440">
        <v>3377</v>
      </c>
      <c r="F26" s="430">
        <v>9</v>
      </c>
      <c r="G26" s="439">
        <v>309</v>
      </c>
      <c r="H26" s="447">
        <v>309</v>
      </c>
      <c r="I26" s="39"/>
      <c r="J26" s="39"/>
      <c r="K26" s="39"/>
      <c r="L26" s="39"/>
      <c r="M26" s="39"/>
      <c r="N26" s="39"/>
      <c r="O26" s="264"/>
      <c r="S26" s="320" t="str">
        <f t="shared" si="1"/>
        <v>Kutkai</v>
      </c>
      <c r="T26" s="363">
        <f>D26-Shelter_Draw[[#This Row],[V2]]-Shelter_Draw[[#This Row],[V3]]</f>
        <v>377</v>
      </c>
      <c r="U26" s="363">
        <f t="shared" si="0"/>
        <v>309</v>
      </c>
      <c r="V26" s="411">
        <f t="shared" si="2"/>
        <v>0</v>
      </c>
      <c r="AF26" s="48"/>
    </row>
    <row r="27" spans="2:32" ht="13.9" customHeight="1" x14ac:dyDescent="0.25">
      <c r="B27" s="270"/>
      <c r="C27" s="446" t="s">
        <v>151</v>
      </c>
      <c r="D27" s="439">
        <v>2519</v>
      </c>
      <c r="E27" s="440">
        <v>11637</v>
      </c>
      <c r="F27" s="430">
        <v>10</v>
      </c>
      <c r="G27" s="439">
        <v>977</v>
      </c>
      <c r="H27" s="447">
        <v>977</v>
      </c>
      <c r="I27" s="39"/>
      <c r="J27" s="39"/>
      <c r="K27" s="39"/>
      <c r="L27" s="39"/>
      <c r="M27" s="39"/>
      <c r="N27" s="39"/>
      <c r="O27" s="264"/>
      <c r="S27" s="320" t="str">
        <f t="shared" si="1"/>
        <v>Mansi</v>
      </c>
      <c r="T27" s="363">
        <f>D27-Shelter_Draw[[#This Row],[V2]]-Shelter_Draw[[#This Row],[V3]]</f>
        <v>1542</v>
      </c>
      <c r="U27" s="363">
        <f t="shared" si="0"/>
        <v>977</v>
      </c>
      <c r="V27" s="411">
        <f t="shared" si="2"/>
        <v>0</v>
      </c>
      <c r="AF27" s="48"/>
    </row>
    <row r="28" spans="2:32" ht="13.9" customHeight="1" x14ac:dyDescent="0.25">
      <c r="B28" s="270"/>
      <c r="C28" s="446" t="s">
        <v>185</v>
      </c>
      <c r="D28" s="439">
        <v>2675</v>
      </c>
      <c r="E28" s="440">
        <v>13880</v>
      </c>
      <c r="F28" s="430">
        <v>11</v>
      </c>
      <c r="G28" s="439">
        <v>278</v>
      </c>
      <c r="H28" s="447">
        <v>278</v>
      </c>
      <c r="I28" s="39"/>
      <c r="J28" s="39"/>
      <c r="K28" s="39"/>
      <c r="L28" s="39"/>
      <c r="M28" s="39"/>
      <c r="N28" s="39"/>
      <c r="O28" s="264"/>
      <c r="S28" s="320" t="str">
        <f t="shared" si="1"/>
        <v>Momauk</v>
      </c>
      <c r="T28" s="363">
        <f>D28-Shelter_Draw[[#This Row],[V2]]-Shelter_Draw[[#This Row],[V3]]</f>
        <v>2397</v>
      </c>
      <c r="U28" s="363">
        <f t="shared" si="0"/>
        <v>278</v>
      </c>
      <c r="V28" s="411">
        <f t="shared" si="2"/>
        <v>0</v>
      </c>
      <c r="AF28" s="48"/>
    </row>
    <row r="29" spans="2:32" ht="13.9" customHeight="1" x14ac:dyDescent="0.25">
      <c r="B29" s="270"/>
      <c r="C29" s="446" t="s">
        <v>237</v>
      </c>
      <c r="D29" s="439">
        <v>1414</v>
      </c>
      <c r="E29" s="440">
        <v>7179</v>
      </c>
      <c r="F29" s="430">
        <v>24</v>
      </c>
      <c r="G29" s="439">
        <v>419</v>
      </c>
      <c r="H29" s="447">
        <v>419</v>
      </c>
      <c r="I29" s="39"/>
      <c r="J29" s="39"/>
      <c r="K29" s="39"/>
      <c r="L29" s="39"/>
      <c r="M29" s="39"/>
      <c r="N29" s="39"/>
      <c r="O29" s="264"/>
      <c r="S29" s="320" t="str">
        <f t="shared" si="1"/>
        <v>Myitkyina</v>
      </c>
      <c r="T29" s="363">
        <f>D29-Shelter_Draw[[#This Row],[V2]]-Shelter_Draw[[#This Row],[V3]]</f>
        <v>995</v>
      </c>
      <c r="U29" s="363">
        <f t="shared" si="0"/>
        <v>419</v>
      </c>
      <c r="V29" s="411">
        <f t="shared" si="2"/>
        <v>0</v>
      </c>
      <c r="AF29" s="48"/>
    </row>
    <row r="30" spans="2:32" ht="13.9" customHeight="1" x14ac:dyDescent="0.25">
      <c r="B30" s="270"/>
      <c r="C30" s="446" t="s">
        <v>289</v>
      </c>
      <c r="D30" s="439">
        <v>351</v>
      </c>
      <c r="E30" s="440">
        <v>1739</v>
      </c>
      <c r="F30" s="430">
        <v>5</v>
      </c>
      <c r="G30" s="439">
        <v>142</v>
      </c>
      <c r="H30" s="447">
        <v>142</v>
      </c>
      <c r="I30" s="39"/>
      <c r="J30" s="39"/>
      <c r="K30" s="268"/>
      <c r="L30" s="39"/>
      <c r="M30" s="39"/>
      <c r="N30" s="39"/>
      <c r="O30" s="264"/>
      <c r="S30" s="320" t="str">
        <f t="shared" si="1"/>
        <v>Namhkan</v>
      </c>
      <c r="T30" s="363">
        <f>D30-Shelter_Draw[[#This Row],[V2]]-Shelter_Draw[[#This Row],[V3]]</f>
        <v>209</v>
      </c>
      <c r="U30" s="363">
        <f t="shared" si="0"/>
        <v>142</v>
      </c>
      <c r="V30" s="411">
        <f t="shared" si="2"/>
        <v>0</v>
      </c>
      <c r="AF30" s="48"/>
    </row>
    <row r="31" spans="2:32" ht="13.9" customHeight="1" x14ac:dyDescent="0.25">
      <c r="B31" s="270"/>
      <c r="C31" s="446" t="s">
        <v>310</v>
      </c>
      <c r="D31" s="439">
        <v>6286</v>
      </c>
      <c r="E31" s="440">
        <v>31646</v>
      </c>
      <c r="F31" s="430">
        <v>22</v>
      </c>
      <c r="G31" s="439">
        <v>1960</v>
      </c>
      <c r="H31" s="447">
        <v>1960</v>
      </c>
      <c r="I31" s="39"/>
      <c r="J31" s="39"/>
      <c r="K31" s="268"/>
      <c r="L31" s="39"/>
      <c r="M31" s="39"/>
      <c r="N31" s="39"/>
      <c r="O31" s="264"/>
      <c r="S31" s="318" t="str">
        <f>C31</f>
        <v>Waingmaw</v>
      </c>
      <c r="T31" s="370">
        <f>D31-Shelter_Draw[[#This Row],[V2]]-Shelter_Draw[[#This Row],[V3]]</f>
        <v>4326</v>
      </c>
      <c r="U31" s="370">
        <f t="shared" si="0"/>
        <v>1960</v>
      </c>
      <c r="V31" s="412">
        <f t="shared" si="2"/>
        <v>0</v>
      </c>
      <c r="AF31" s="48"/>
    </row>
    <row r="32" spans="2:32" ht="13.9" customHeight="1" x14ac:dyDescent="0.25">
      <c r="B32" s="270"/>
      <c r="C32" s="446" t="s">
        <v>1187</v>
      </c>
      <c r="D32" s="439">
        <v>630</v>
      </c>
      <c r="E32" s="440">
        <v>3161</v>
      </c>
      <c r="F32" s="430">
        <v>19</v>
      </c>
      <c r="G32" s="439">
        <v>246</v>
      </c>
      <c r="H32" s="447">
        <v>246</v>
      </c>
      <c r="I32" s="39"/>
      <c r="J32" s="39"/>
      <c r="K32" s="268"/>
      <c r="L32" s="39"/>
      <c r="M32" s="39"/>
      <c r="N32" s="39"/>
      <c r="O32" s="264"/>
      <c r="AF32" s="48"/>
    </row>
    <row r="33" spans="2:32" ht="15.75" customHeight="1" thickBot="1" x14ac:dyDescent="0.3">
      <c r="B33" s="270"/>
      <c r="C33" s="448" t="s">
        <v>3</v>
      </c>
      <c r="D33" s="449">
        <v>17092</v>
      </c>
      <c r="E33" s="450">
        <v>86019</v>
      </c>
      <c r="F33" s="451">
        <v>136</v>
      </c>
      <c r="G33" s="449">
        <v>5309</v>
      </c>
      <c r="H33" s="452">
        <v>5225</v>
      </c>
      <c r="I33" s="39"/>
      <c r="J33" s="39"/>
      <c r="K33" s="268"/>
      <c r="L33" s="39"/>
      <c r="M33" s="39"/>
      <c r="N33" s="39"/>
      <c r="O33" s="264"/>
      <c r="AF33" s="48"/>
    </row>
    <row r="34" spans="2:32" x14ac:dyDescent="0.25">
      <c r="B34" s="270"/>
      <c r="C34" s="239"/>
      <c r="D34" s="239"/>
      <c r="E34" s="239"/>
      <c r="F34" s="239"/>
      <c r="G34" s="239"/>
      <c r="H34" s="239"/>
      <c r="I34" s="39"/>
      <c r="J34" s="39"/>
      <c r="K34" s="39"/>
      <c r="L34" s="39"/>
      <c r="M34" s="39"/>
      <c r="N34" s="39"/>
      <c r="O34" s="264"/>
      <c r="AF34" s="48"/>
    </row>
    <row r="35" spans="2:32" x14ac:dyDescent="0.25">
      <c r="B35" s="270"/>
      <c r="C35" s="239"/>
      <c r="D35" s="239"/>
      <c r="E35" s="239"/>
      <c r="F35" s="239"/>
      <c r="G35" s="239"/>
      <c r="H35" s="239"/>
      <c r="I35" s="39"/>
      <c r="J35" s="39"/>
      <c r="K35" s="39"/>
      <c r="L35" s="39"/>
      <c r="M35" s="39"/>
      <c r="N35" s="39"/>
      <c r="O35" s="264"/>
      <c r="AF35" s="48"/>
    </row>
    <row r="36" spans="2:32" x14ac:dyDescent="0.25">
      <c r="B36" s="270"/>
      <c r="C36" s="239"/>
      <c r="D36" s="239"/>
      <c r="E36" s="239"/>
      <c r="F36" s="239"/>
      <c r="G36" s="239"/>
      <c r="H36" s="239"/>
      <c r="I36" s="39"/>
      <c r="J36" s="39"/>
      <c r="K36" s="39"/>
      <c r="L36" s="39"/>
      <c r="M36" s="39"/>
      <c r="N36" s="39"/>
      <c r="O36" s="264"/>
      <c r="AF36" s="48"/>
    </row>
    <row r="37" spans="2:32" x14ac:dyDescent="0.25">
      <c r="B37" s="270"/>
      <c r="C37" s="239"/>
      <c r="D37" s="239"/>
      <c r="E37" s="239"/>
      <c r="F37" s="239"/>
      <c r="G37" s="239"/>
      <c r="H37" s="239"/>
      <c r="I37" s="39"/>
      <c r="J37" s="39"/>
      <c r="K37" s="39"/>
      <c r="L37" s="39"/>
      <c r="M37" s="39"/>
      <c r="N37" s="39"/>
      <c r="O37" s="264"/>
      <c r="AF37" s="48"/>
    </row>
    <row r="38" spans="2:32" x14ac:dyDescent="0.25">
      <c r="B38" s="270"/>
      <c r="C38" s="239"/>
      <c r="D38" s="239"/>
      <c r="E38" s="239"/>
      <c r="F38" s="239"/>
      <c r="G38" s="239"/>
      <c r="H38" s="239"/>
      <c r="I38" s="39"/>
      <c r="J38" s="39"/>
      <c r="K38" s="39"/>
      <c r="L38" s="39"/>
      <c r="M38" s="39"/>
      <c r="N38" s="39"/>
      <c r="O38" s="264"/>
      <c r="AF38" s="48"/>
    </row>
    <row r="39" spans="2:32" x14ac:dyDescent="0.25">
      <c r="B39" s="270"/>
      <c r="C39" s="239"/>
      <c r="D39" s="239"/>
      <c r="E39" s="239"/>
      <c r="F39" s="239"/>
      <c r="G39" s="239"/>
      <c r="H39" s="239"/>
      <c r="I39" s="39"/>
      <c r="J39" s="39"/>
      <c r="K39" s="39"/>
      <c r="L39" s="39"/>
      <c r="M39" s="39"/>
      <c r="N39" s="39"/>
      <c r="O39" s="264"/>
      <c r="AF39" s="48"/>
    </row>
    <row r="40" spans="2:32" x14ac:dyDescent="0.25">
      <c r="B40" s="270"/>
      <c r="C40" s="239"/>
      <c r="D40" s="239"/>
      <c r="E40" s="239"/>
      <c r="F40" s="239"/>
      <c r="G40" s="239"/>
      <c r="H40" s="239"/>
      <c r="I40" s="39"/>
      <c r="J40" s="39"/>
      <c r="K40" s="39"/>
      <c r="L40" s="39"/>
      <c r="M40" s="39"/>
      <c r="N40" s="39"/>
      <c r="O40" s="264"/>
    </row>
    <row r="41" spans="2:32" x14ac:dyDescent="0.25">
      <c r="B41" s="270"/>
      <c r="C41" s="239"/>
      <c r="D41" s="239"/>
      <c r="E41" s="239"/>
      <c r="F41" s="239"/>
      <c r="G41" s="239"/>
      <c r="H41" s="239"/>
      <c r="I41" s="39"/>
      <c r="J41" s="39"/>
      <c r="K41" s="39"/>
      <c r="L41" s="39"/>
      <c r="M41" s="39"/>
      <c r="N41" s="39"/>
      <c r="O41" s="264"/>
      <c r="R41" s="123"/>
    </row>
    <row r="42" spans="2:32" s="123" customFormat="1" x14ac:dyDescent="0.25">
      <c r="B42" s="270"/>
      <c r="C42" s="239"/>
      <c r="D42" s="239"/>
      <c r="E42" s="239"/>
      <c r="F42" s="239"/>
      <c r="G42" s="239"/>
      <c r="H42" s="239"/>
      <c r="I42" s="39"/>
      <c r="J42" s="39"/>
      <c r="K42" s="39"/>
      <c r="L42" s="39"/>
      <c r="M42" s="39"/>
      <c r="N42" s="39"/>
      <c r="O42" s="264"/>
    </row>
    <row r="43" spans="2:32" s="123" customFormat="1" x14ac:dyDescent="0.25">
      <c r="B43" s="270"/>
      <c r="C43" s="239"/>
      <c r="D43" s="239"/>
      <c r="E43" s="239"/>
      <c r="F43" s="239"/>
      <c r="G43" s="239"/>
      <c r="H43" s="239"/>
      <c r="I43" s="39"/>
      <c r="J43" s="39"/>
      <c r="K43" s="39"/>
      <c r="L43" s="39"/>
      <c r="M43" s="39"/>
      <c r="N43" s="39"/>
      <c r="O43" s="264"/>
    </row>
    <row r="44" spans="2:32" s="123" customFormat="1" x14ac:dyDescent="0.25">
      <c r="B44" s="270"/>
      <c r="C44" s="239"/>
      <c r="D44" s="239"/>
      <c r="E44" s="239"/>
      <c r="F44" s="239"/>
      <c r="G44" s="239"/>
      <c r="H44" s="239"/>
      <c r="I44" s="39"/>
      <c r="J44" s="39"/>
      <c r="K44" s="39"/>
      <c r="L44" s="39"/>
      <c r="M44" s="39"/>
      <c r="N44" s="39"/>
      <c r="O44" s="264"/>
    </row>
    <row r="45" spans="2:32" s="123" customFormat="1" x14ac:dyDescent="0.25">
      <c r="B45" s="270"/>
      <c r="C45" s="239"/>
      <c r="D45" s="239"/>
      <c r="E45" s="239"/>
      <c r="F45" s="239"/>
      <c r="G45" s="239"/>
      <c r="H45" s="239"/>
      <c r="I45" s="39"/>
      <c r="J45" s="39"/>
      <c r="K45" s="39"/>
      <c r="L45" s="39"/>
      <c r="M45" s="39"/>
      <c r="N45" s="39"/>
      <c r="O45" s="264"/>
    </row>
    <row r="46" spans="2:32" s="123" customFormat="1" ht="11.45" customHeight="1" x14ac:dyDescent="0.25">
      <c r="B46" s="270"/>
      <c r="C46" s="239"/>
      <c r="D46" s="239"/>
      <c r="E46" s="239"/>
      <c r="F46" s="239"/>
      <c r="G46" s="239"/>
      <c r="H46" s="239"/>
      <c r="I46" s="39"/>
      <c r="J46" s="39"/>
      <c r="K46" s="39"/>
      <c r="L46" s="39"/>
      <c r="M46" s="39"/>
      <c r="N46" s="39"/>
      <c r="O46" s="264"/>
    </row>
    <row r="47" spans="2:32" s="123" customFormat="1" ht="0.75" customHeight="1" x14ac:dyDescent="0.25">
      <c r="B47" s="270"/>
      <c r="C47" s="239"/>
      <c r="D47" s="239"/>
      <c r="E47" s="239"/>
      <c r="F47" s="239"/>
      <c r="G47" s="239"/>
      <c r="H47" s="239"/>
      <c r="I47" s="39"/>
      <c r="J47" s="39"/>
      <c r="K47" s="39"/>
      <c r="L47" s="39"/>
      <c r="M47" s="39"/>
      <c r="N47" s="39"/>
      <c r="O47" s="264"/>
    </row>
    <row r="48" spans="2:32" s="421" customFormat="1" ht="12.6" customHeight="1" x14ac:dyDescent="0.25">
      <c r="B48" s="270"/>
      <c r="C48" s="39"/>
      <c r="D48" s="39"/>
      <c r="E48" s="39"/>
      <c r="F48" s="39"/>
      <c r="G48" s="39"/>
      <c r="H48" s="39"/>
      <c r="I48" s="39"/>
      <c r="J48" s="39"/>
      <c r="K48" s="39"/>
      <c r="L48" s="39"/>
      <c r="M48" s="39"/>
      <c r="N48" s="39"/>
      <c r="O48" s="264"/>
    </row>
    <row r="49" spans="2:18" s="421" customFormat="1" ht="4.1500000000000004" customHeight="1" x14ac:dyDescent="0.25">
      <c r="B49" s="270"/>
      <c r="C49" s="39"/>
      <c r="D49" s="39"/>
      <c r="E49" s="39"/>
      <c r="F49" s="39"/>
      <c r="G49" s="39"/>
      <c r="H49" s="39"/>
      <c r="I49" s="39"/>
      <c r="J49" s="39"/>
      <c r="K49" s="39"/>
      <c r="L49" s="39"/>
      <c r="M49" s="39"/>
      <c r="N49" s="39"/>
      <c r="O49" s="264"/>
    </row>
    <row r="50" spans="2:18" s="123" customFormat="1" ht="32.450000000000003" customHeight="1" thickBot="1" x14ac:dyDescent="0.3">
      <c r="B50" s="271"/>
      <c r="C50" s="272"/>
      <c r="D50" s="273"/>
      <c r="E50" s="274"/>
      <c r="F50" s="275"/>
      <c r="G50" s="273"/>
      <c r="H50" s="273"/>
      <c r="I50" s="256"/>
      <c r="J50" s="256"/>
      <c r="K50" s="256"/>
      <c r="L50" s="256"/>
      <c r="M50" s="256"/>
      <c r="N50" s="256"/>
      <c r="O50" s="269"/>
    </row>
    <row r="51" spans="2:18" s="123" customFormat="1" x14ac:dyDescent="0.25">
      <c r="C51" s="22"/>
      <c r="D51" s="51"/>
      <c r="E51" s="128"/>
      <c r="F51" s="3"/>
      <c r="G51" s="51"/>
      <c r="H51" s="51"/>
    </row>
    <row r="52" spans="2:18" s="123" customFormat="1" x14ac:dyDescent="0.25">
      <c r="C52" s="22"/>
      <c r="D52" s="51"/>
      <c r="E52" s="128"/>
      <c r="F52" s="3"/>
      <c r="G52" s="51"/>
      <c r="H52" s="51"/>
    </row>
    <row r="53" spans="2:18" s="123" customFormat="1" x14ac:dyDescent="0.25">
      <c r="C53" s="22"/>
      <c r="D53" s="51"/>
      <c r="E53" s="128"/>
      <c r="F53" s="3"/>
      <c r="G53" s="51"/>
      <c r="H53" s="51"/>
    </row>
    <row r="54" spans="2:18" s="123" customFormat="1" x14ac:dyDescent="0.25">
      <c r="C54" s="22"/>
      <c r="D54" s="51"/>
      <c r="E54" s="128"/>
      <c r="F54" s="3"/>
      <c r="G54" s="51"/>
      <c r="H54" s="51"/>
    </row>
    <row r="55" spans="2:18" s="123" customFormat="1" x14ac:dyDescent="0.25">
      <c r="C55" s="22"/>
      <c r="D55" s="51"/>
      <c r="E55" s="128"/>
      <c r="F55" s="3"/>
      <c r="G55" s="51"/>
      <c r="H55" s="51"/>
    </row>
    <row r="56" spans="2:18" s="123" customFormat="1" x14ac:dyDescent="0.25">
      <c r="C56" s="22"/>
      <c r="D56" s="51"/>
      <c r="E56" s="128"/>
      <c r="F56" s="3"/>
      <c r="G56" s="51"/>
      <c r="H56" s="51"/>
    </row>
    <row r="57" spans="2:18" s="123" customFormat="1" x14ac:dyDescent="0.25">
      <c r="C57" s="22"/>
      <c r="D57" s="51"/>
      <c r="E57" s="128"/>
      <c r="F57" s="3"/>
      <c r="G57" s="51"/>
      <c r="H57" s="51"/>
    </row>
    <row r="58" spans="2:18" s="123" customFormat="1" x14ac:dyDescent="0.25">
      <c r="C58" s="22"/>
      <c r="D58" s="51"/>
      <c r="E58" s="128"/>
      <c r="F58" s="3"/>
      <c r="G58" s="51"/>
      <c r="H58" s="51"/>
    </row>
    <row r="59" spans="2:18" s="123" customFormat="1" x14ac:dyDescent="0.25">
      <c r="C59" s="22"/>
      <c r="D59" s="51"/>
      <c r="E59" s="128"/>
      <c r="F59" s="3"/>
      <c r="G59" s="51"/>
      <c r="H59" s="51"/>
    </row>
    <row r="60" spans="2:18" x14ac:dyDescent="0.25">
      <c r="R60" s="123"/>
    </row>
    <row r="61" spans="2:18" x14ac:dyDescent="0.25">
      <c r="R61" s="123"/>
    </row>
    <row r="62" spans="2:18" x14ac:dyDescent="0.25">
      <c r="R62" s="123"/>
    </row>
    <row r="63" spans="2:18" x14ac:dyDescent="0.25">
      <c r="R63" s="123"/>
    </row>
    <row r="64" spans="2:18" x14ac:dyDescent="0.25">
      <c r="R64" s="123"/>
    </row>
    <row r="65" spans="3:18" x14ac:dyDescent="0.25">
      <c r="R65" s="123"/>
    </row>
    <row r="66" spans="3:18" x14ac:dyDescent="0.25">
      <c r="R66" s="123"/>
    </row>
    <row r="67" spans="3:18" x14ac:dyDescent="0.25">
      <c r="R67" s="123"/>
    </row>
    <row r="68" spans="3:18" x14ac:dyDescent="0.25">
      <c r="C68" s="123"/>
      <c r="D68" s="123"/>
      <c r="E68" s="123"/>
      <c r="F68" s="123"/>
      <c r="G68" s="123"/>
      <c r="H68" s="123"/>
      <c r="R68" s="123"/>
    </row>
    <row r="69" spans="3:18" x14ac:dyDescent="0.25">
      <c r="C69" s="123"/>
      <c r="D69" s="123"/>
      <c r="E69" s="123"/>
      <c r="F69" s="123"/>
      <c r="G69" s="123"/>
      <c r="H69" s="123"/>
      <c r="R69" s="123"/>
    </row>
    <row r="70" spans="3:18" x14ac:dyDescent="0.25">
      <c r="C70" s="123"/>
      <c r="D70" s="123"/>
      <c r="E70" s="123"/>
      <c r="F70" s="123"/>
      <c r="G70" s="123"/>
      <c r="H70" s="123"/>
      <c r="R70" s="123"/>
    </row>
    <row r="71" spans="3:18" x14ac:dyDescent="0.25">
      <c r="C71" s="123"/>
      <c r="D71" s="123"/>
      <c r="E71" s="123"/>
      <c r="F71" s="123"/>
      <c r="G71" s="123"/>
      <c r="H71" s="123"/>
      <c r="R71" s="123"/>
    </row>
    <row r="72" spans="3:18" x14ac:dyDescent="0.25">
      <c r="G72" s="123"/>
      <c r="H72" s="123"/>
      <c r="R72" s="123"/>
    </row>
    <row r="73" spans="3:18" x14ac:dyDescent="0.25">
      <c r="G73" s="123"/>
      <c r="H73" s="123"/>
      <c r="R73" s="123"/>
    </row>
    <row r="74" spans="3:18" x14ac:dyDescent="0.25">
      <c r="G74" s="123"/>
      <c r="H74" s="123"/>
      <c r="R74" s="123"/>
    </row>
    <row r="75" spans="3:18" x14ac:dyDescent="0.25">
      <c r="G75"/>
      <c r="H75"/>
      <c r="I75"/>
      <c r="J75"/>
      <c r="K75"/>
      <c r="R75" s="123"/>
    </row>
    <row r="76" spans="3:18" x14ac:dyDescent="0.25">
      <c r="G76"/>
      <c r="H76"/>
      <c r="I76"/>
      <c r="J76" s="123"/>
      <c r="K76" s="123"/>
      <c r="L76" s="123"/>
      <c r="R76" s="123"/>
    </row>
    <row r="77" spans="3:18" x14ac:dyDescent="0.25">
      <c r="G77"/>
      <c r="H77"/>
      <c r="I77" s="123"/>
      <c r="J77" s="123"/>
      <c r="K77" s="123"/>
      <c r="L77" s="123"/>
      <c r="R77" s="123"/>
    </row>
    <row r="78" spans="3:18" x14ac:dyDescent="0.25">
      <c r="G78"/>
      <c r="H78"/>
      <c r="I78" s="123"/>
      <c r="J78" s="123"/>
      <c r="K78" s="123"/>
      <c r="L78" s="123"/>
      <c r="R78" s="123"/>
    </row>
    <row r="79" spans="3:18" x14ac:dyDescent="0.25">
      <c r="G79"/>
      <c r="H79"/>
      <c r="I79" s="123"/>
      <c r="J79" s="123"/>
      <c r="K79" s="123"/>
      <c r="L79" s="123"/>
      <c r="R79" s="123"/>
    </row>
    <row r="80" spans="3:18" x14ac:dyDescent="0.25">
      <c r="G80"/>
      <c r="H80"/>
      <c r="I80" s="123"/>
      <c r="J80" s="123"/>
      <c r="K80" s="123"/>
      <c r="L80" s="123"/>
      <c r="R80" s="123"/>
    </row>
    <row r="81" spans="3:18" x14ac:dyDescent="0.25">
      <c r="G81"/>
      <c r="H81"/>
      <c r="I81" s="123"/>
      <c r="J81" s="123"/>
      <c r="K81" s="123"/>
      <c r="L81" s="123"/>
      <c r="R81" s="123"/>
    </row>
    <row r="82" spans="3:18" x14ac:dyDescent="0.25">
      <c r="G82"/>
      <c r="H82"/>
      <c r="I82" s="123"/>
      <c r="J82" s="123"/>
      <c r="K82" s="123"/>
      <c r="L82" s="123"/>
      <c r="R82" s="123"/>
    </row>
    <row r="83" spans="3:18" x14ac:dyDescent="0.25">
      <c r="G83"/>
      <c r="H83"/>
      <c r="I83" s="123"/>
      <c r="J83" s="123"/>
      <c r="K83" s="123"/>
      <c r="L83" s="123"/>
      <c r="R83" s="123"/>
    </row>
    <row r="84" spans="3:18" x14ac:dyDescent="0.25">
      <c r="G84"/>
      <c r="H84"/>
      <c r="I84" s="123"/>
      <c r="J84" s="123"/>
      <c r="K84" s="123"/>
      <c r="L84" s="123"/>
      <c r="R84" s="123"/>
    </row>
    <row r="85" spans="3:18" x14ac:dyDescent="0.25">
      <c r="G85"/>
      <c r="H85"/>
      <c r="I85" s="123"/>
      <c r="J85" s="123"/>
      <c r="K85" s="123"/>
      <c r="L85" s="123"/>
      <c r="R85" s="123"/>
    </row>
    <row r="86" spans="3:18" x14ac:dyDescent="0.25">
      <c r="G86"/>
      <c r="H86"/>
      <c r="I86"/>
      <c r="J86"/>
      <c r="K86"/>
    </row>
    <row r="87" spans="3:18" x14ac:dyDescent="0.25">
      <c r="C87"/>
      <c r="D87"/>
      <c r="E87"/>
      <c r="F87"/>
      <c r="G87"/>
    </row>
    <row r="88" spans="3:18" x14ac:dyDescent="0.25">
      <c r="C88"/>
      <c r="D88"/>
      <c r="E88"/>
      <c r="F88"/>
      <c r="G88"/>
    </row>
    <row r="89" spans="3:18" x14ac:dyDescent="0.25">
      <c r="C89"/>
      <c r="D89"/>
      <c r="E89"/>
      <c r="F89"/>
      <c r="G89"/>
    </row>
    <row r="90" spans="3:18" x14ac:dyDescent="0.25">
      <c r="C90"/>
      <c r="D90"/>
      <c r="E90"/>
      <c r="F90"/>
      <c r="G90"/>
    </row>
    <row r="91" spans="3:18" x14ac:dyDescent="0.25">
      <c r="C91"/>
      <c r="D91"/>
      <c r="E91"/>
      <c r="F91"/>
      <c r="G91"/>
    </row>
    <row r="92" spans="3:18" x14ac:dyDescent="0.25">
      <c r="C92"/>
      <c r="D92"/>
      <c r="E92"/>
      <c r="F92"/>
      <c r="G92"/>
    </row>
    <row r="93" spans="3:18" x14ac:dyDescent="0.25">
      <c r="C93"/>
      <c r="D93"/>
      <c r="E93"/>
      <c r="F93"/>
      <c r="G93"/>
    </row>
    <row r="94" spans="3:18" x14ac:dyDescent="0.25">
      <c r="C94"/>
      <c r="D94"/>
      <c r="E94"/>
      <c r="F94"/>
      <c r="G94"/>
    </row>
    <row r="95" spans="3:18" x14ac:dyDescent="0.25">
      <c r="C95"/>
      <c r="D95"/>
      <c r="E95"/>
      <c r="F95"/>
      <c r="G95"/>
    </row>
    <row r="96" spans="3:18" x14ac:dyDescent="0.25">
      <c r="C96"/>
      <c r="D96"/>
      <c r="E96"/>
      <c r="F96"/>
      <c r="G96"/>
    </row>
    <row r="97" spans="3:7" x14ac:dyDescent="0.25">
      <c r="C97"/>
      <c r="D97"/>
      <c r="E97"/>
      <c r="F97"/>
      <c r="G97"/>
    </row>
    <row r="98" spans="3:7" x14ac:dyDescent="0.25">
      <c r="C98"/>
      <c r="D98"/>
      <c r="E98"/>
      <c r="F98"/>
      <c r="G98"/>
    </row>
    <row r="99" spans="3:7" x14ac:dyDescent="0.25">
      <c r="C99"/>
      <c r="D99"/>
      <c r="E99"/>
      <c r="F99"/>
      <c r="G99"/>
    </row>
    <row r="100" spans="3:7" x14ac:dyDescent="0.25">
      <c r="C100"/>
      <c r="D100"/>
      <c r="E100"/>
      <c r="F100"/>
      <c r="G100"/>
    </row>
    <row r="101" spans="3:7" x14ac:dyDescent="0.25">
      <c r="C101"/>
      <c r="D101"/>
      <c r="E101"/>
      <c r="F101"/>
      <c r="G101"/>
    </row>
    <row r="102" spans="3:7" x14ac:dyDescent="0.25">
      <c r="C102"/>
      <c r="D102"/>
      <c r="E102"/>
      <c r="F102"/>
      <c r="G102"/>
    </row>
    <row r="103" spans="3:7" x14ac:dyDescent="0.25">
      <c r="C103"/>
      <c r="D103"/>
      <c r="E103"/>
      <c r="F103"/>
      <c r="G103"/>
    </row>
  </sheetData>
  <dataConsolidate/>
  <mergeCells count="2">
    <mergeCell ref="C5:J5"/>
    <mergeCell ref="C4:K4"/>
  </mergeCells>
  <printOptions horizontalCentered="1" verticalCentered="1"/>
  <pageMargins left="0.23622047244094491" right="0.23622047244094491" top="0.17" bottom="0.17" header="0" footer="0"/>
  <pageSetup paperSize="9" orientation="landscape" horizontalDpi="1200" verticalDpi="1200" r:id="rId2"/>
  <rowBreaks count="1" manualBreakCount="1">
    <brk id="61" max="16383" man="1"/>
  </rowBreaks>
  <drawing r:id="rId3"/>
  <legacyDrawing r:id="rId4"/>
  <controls>
    <mc:AlternateContent xmlns:mc="http://schemas.openxmlformats.org/markup-compatibility/2006">
      <mc:Choice Requires="x14">
        <control shapeId="9217" r:id="rId5" name="CommandButton1">
          <controlPr defaultSize="0" autoLine="0" r:id="rId6">
            <anchor moveWithCells="1">
              <from>
                <xdr:col>23</xdr:col>
                <xdr:colOff>19050</xdr:colOff>
                <xdr:row>32</xdr:row>
                <xdr:rowOff>66675</xdr:rowOff>
              </from>
              <to>
                <xdr:col>24</xdr:col>
                <xdr:colOff>542925</xdr:colOff>
                <xdr:row>33</xdr:row>
                <xdr:rowOff>161925</xdr:rowOff>
              </to>
            </anchor>
          </controlPr>
        </control>
      </mc:Choice>
      <mc:Fallback>
        <control shapeId="9217" r:id="rId5" name="CommandButton1"/>
      </mc:Fallback>
    </mc:AlternateContent>
  </controls>
  <tableParts count="1">
    <tablePart r:id="rId7"/>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FF0000"/>
    <pageSetUpPr fitToPage="1"/>
  </sheetPr>
  <dimension ref="A1:AZ1194"/>
  <sheetViews>
    <sheetView showZeros="0" zoomScale="90" zoomScaleNormal="90" workbookViewId="0">
      <pane xSplit="1" ySplit="5" topLeftCell="B6" activePane="bottomRight" state="frozen"/>
      <selection activeCell="B11" sqref="B11"/>
      <selection pane="topRight" activeCell="B11" sqref="B11"/>
      <selection pane="bottomLeft" activeCell="B11" sqref="B11"/>
      <selection pane="bottomRight" activeCell="AR15" sqref="AR15"/>
    </sheetView>
  </sheetViews>
  <sheetFormatPr defaultColWidth="8.85546875" defaultRowHeight="15" x14ac:dyDescent="0.25"/>
  <cols>
    <col min="1" max="1" width="11.7109375" style="586" customWidth="1"/>
    <col min="2" max="2" width="15" style="578" customWidth="1"/>
    <col min="3" max="3" width="13.7109375" style="578" customWidth="1"/>
    <col min="4" max="4" width="13" style="578" customWidth="1"/>
    <col min="5" max="5" width="14.28515625" style="578" customWidth="1"/>
    <col min="6" max="6" width="13.85546875" style="578" customWidth="1"/>
    <col min="7" max="7" width="34.85546875" style="578" customWidth="1"/>
    <col min="8" max="8" width="9.5703125" style="101" customWidth="1"/>
    <col min="9" max="9" width="8.140625" style="101" customWidth="1"/>
    <col min="10" max="10" width="9" style="101" customWidth="1"/>
    <col min="11" max="11" width="8.42578125" style="101" customWidth="1"/>
    <col min="12" max="12" width="11.85546875" style="101" customWidth="1"/>
    <col min="13" max="13" width="7.5703125" style="101" customWidth="1"/>
    <col min="14" max="14" width="8.28515625" style="101" customWidth="1"/>
    <col min="15" max="16" width="10" style="101" customWidth="1"/>
    <col min="17" max="17" width="7.5703125" style="101" customWidth="1"/>
    <col min="18" max="20" width="9.28515625" style="101" customWidth="1"/>
    <col min="21" max="24" width="7.7109375" style="101" customWidth="1"/>
    <col min="25" max="26" width="13.140625" style="105" hidden="1" customWidth="1"/>
    <col min="27" max="27" width="18.140625" style="105" hidden="1" customWidth="1"/>
    <col min="28" max="28" width="19.140625" style="105" hidden="1" customWidth="1"/>
    <col min="29" max="29" width="16.140625" style="105" hidden="1" customWidth="1"/>
    <col min="30" max="30" width="14.85546875" style="105" hidden="1" customWidth="1"/>
    <col min="31" max="31" width="17.7109375" style="105" hidden="1" customWidth="1"/>
    <col min="32" max="32" width="17.28515625" style="105" hidden="1" customWidth="1"/>
    <col min="33" max="33" width="20.42578125" style="105" hidden="1" customWidth="1"/>
    <col min="34" max="34" width="18.140625" style="105" hidden="1" customWidth="1"/>
    <col min="35" max="36" width="17.7109375" style="105" hidden="1" customWidth="1"/>
    <col min="37" max="37" width="16.42578125" style="105" hidden="1" customWidth="1"/>
    <col min="38" max="38" width="21" style="105" hidden="1" customWidth="1"/>
    <col min="39" max="39" width="11.5703125" style="105" hidden="1" customWidth="1"/>
    <col min="40" max="40" width="16" style="105" hidden="1" customWidth="1"/>
    <col min="41" max="41" width="14.85546875" style="578" customWidth="1"/>
    <col min="42" max="42" width="15.85546875" style="586" customWidth="1"/>
    <col min="43" max="43" width="9" style="578" customWidth="1"/>
    <col min="44" max="44" width="18.140625" style="578" customWidth="1"/>
    <col min="45" max="45" width="8.5703125" style="578" customWidth="1"/>
    <col min="46" max="46" width="10.5703125" style="578" customWidth="1"/>
    <col min="47" max="47" width="67.28515625" style="578" bestFit="1" customWidth="1"/>
    <col min="48" max="16384" width="8.85546875" style="578"/>
  </cols>
  <sheetData>
    <row r="1" spans="1:52" s="559" customFormat="1" ht="36" x14ac:dyDescent="0.25">
      <c r="A1" s="290"/>
      <c r="B1" s="291"/>
      <c r="C1" s="291"/>
      <c r="D1" s="291"/>
      <c r="E1" s="291"/>
      <c r="F1" s="291"/>
      <c r="G1" s="291"/>
      <c r="H1" s="298"/>
      <c r="I1" s="299">
        <f>'NFI Summary'!W3</f>
        <v>1</v>
      </c>
      <c r="J1" s="298"/>
      <c r="K1" s="298"/>
      <c r="L1" s="298"/>
      <c r="M1" s="298"/>
      <c r="N1" s="298"/>
      <c r="O1" s="298"/>
      <c r="P1" s="298"/>
      <c r="Q1" s="298"/>
      <c r="R1" s="298"/>
      <c r="S1" s="298"/>
      <c r="T1" s="298"/>
      <c r="U1" s="298"/>
      <c r="V1" s="298"/>
      <c r="W1" s="298"/>
      <c r="X1" s="298"/>
      <c r="Y1" s="298"/>
      <c r="Z1" s="298"/>
      <c r="AA1" s="298"/>
      <c r="AB1" s="298"/>
      <c r="AC1" s="298"/>
      <c r="AD1" s="298"/>
      <c r="AE1" s="300"/>
      <c r="AF1" s="300"/>
      <c r="AG1" s="300"/>
      <c r="AH1" s="300"/>
      <c r="AI1" s="300"/>
      <c r="AJ1" s="300"/>
      <c r="AK1" s="300"/>
      <c r="AL1" s="300"/>
      <c r="AM1" s="300"/>
      <c r="AN1" s="300"/>
      <c r="AO1" s="556"/>
      <c r="AP1" s="557"/>
      <c r="AQ1" s="556"/>
      <c r="AR1" s="556"/>
      <c r="AS1" s="556"/>
      <c r="AT1" s="556"/>
      <c r="AU1" s="558"/>
      <c r="AY1" s="560"/>
      <c r="AZ1" s="560"/>
    </row>
    <row r="2" spans="1:52" s="559" customFormat="1" ht="33" customHeight="1" x14ac:dyDescent="0.25">
      <c r="A2" s="1018" t="s">
        <v>435</v>
      </c>
      <c r="B2" s="1019"/>
      <c r="C2" s="1019"/>
      <c r="D2" s="1019"/>
      <c r="E2" s="1019"/>
      <c r="F2" s="1019"/>
      <c r="G2" s="1019"/>
      <c r="H2" s="1019"/>
      <c r="I2" s="99"/>
      <c r="J2" s="99"/>
      <c r="K2" s="99"/>
      <c r="L2" s="99"/>
      <c r="M2" s="99"/>
      <c r="N2" s="99"/>
      <c r="O2" s="99"/>
      <c r="P2" s="99"/>
      <c r="Q2" s="99"/>
      <c r="R2" s="99"/>
      <c r="S2" s="99"/>
      <c r="T2" s="99"/>
      <c r="U2" s="99"/>
      <c r="V2" s="99"/>
      <c r="W2" s="99"/>
      <c r="X2" s="99"/>
      <c r="Y2" s="100"/>
      <c r="Z2" s="100"/>
      <c r="AA2" s="100"/>
      <c r="AB2" s="100"/>
      <c r="AC2" s="100"/>
      <c r="AD2" s="100"/>
      <c r="AE2" s="100"/>
      <c r="AF2" s="100"/>
      <c r="AG2" s="100"/>
      <c r="AH2" s="100"/>
      <c r="AI2" s="100"/>
      <c r="AJ2" s="100"/>
      <c r="AK2" s="100"/>
      <c r="AL2" s="100"/>
      <c r="AM2" s="100"/>
      <c r="AN2" s="100"/>
      <c r="AO2" s="561"/>
      <c r="AP2" s="562"/>
      <c r="AQ2" s="561"/>
      <c r="AR2" s="561"/>
      <c r="AS2" s="561"/>
      <c r="AT2" s="561"/>
      <c r="AU2" s="563"/>
      <c r="AW2" s="560"/>
      <c r="AX2" s="560"/>
    </row>
    <row r="3" spans="1:52" s="130" customFormat="1" ht="18" customHeight="1" x14ac:dyDescent="0.25">
      <c r="A3" s="1020">
        <f>Definition!B23</f>
        <v>42522</v>
      </c>
      <c r="B3" s="1021"/>
      <c r="C3" s="1021"/>
      <c r="D3" s="1021"/>
      <c r="E3" s="1021"/>
      <c r="F3" s="1021"/>
      <c r="G3" s="1021"/>
      <c r="H3" s="1021"/>
      <c r="I3" s="301"/>
      <c r="J3" s="301"/>
      <c r="K3" s="301"/>
      <c r="L3" s="301"/>
      <c r="M3" s="301"/>
      <c r="N3" s="301"/>
      <c r="O3" s="301"/>
      <c r="P3" s="301"/>
      <c r="Q3" s="301"/>
      <c r="R3" s="301"/>
      <c r="S3" s="301"/>
      <c r="T3" s="301"/>
      <c r="U3" s="301"/>
      <c r="V3" s="301"/>
      <c r="W3" s="301"/>
      <c r="X3" s="301"/>
      <c r="Y3" s="302"/>
      <c r="Z3" s="302"/>
      <c r="AA3" s="302"/>
      <c r="AB3" s="302"/>
      <c r="AC3" s="302"/>
      <c r="AD3" s="303"/>
      <c r="AE3" s="303"/>
      <c r="AF3" s="303"/>
      <c r="AG3" s="303"/>
      <c r="AH3" s="303"/>
      <c r="AI3" s="303"/>
      <c r="AJ3" s="303"/>
      <c r="AK3" s="303"/>
      <c r="AL3" s="303"/>
      <c r="AM3" s="303"/>
      <c r="AN3" s="303"/>
      <c r="AO3" s="564"/>
      <c r="AP3" s="565"/>
      <c r="AQ3" s="564"/>
      <c r="AR3" s="564"/>
      <c r="AS3" s="564"/>
      <c r="AT3" s="564"/>
      <c r="AU3" s="566"/>
      <c r="AW3" s="567"/>
      <c r="AX3" s="567"/>
    </row>
    <row r="4" spans="1:52" s="130" customFormat="1" ht="18" hidden="1" customHeight="1" x14ac:dyDescent="0.25">
      <c r="A4" s="1024"/>
      <c r="B4" s="1025"/>
      <c r="C4" s="1025"/>
      <c r="D4" s="43"/>
      <c r="E4" s="43"/>
      <c r="F4" s="43"/>
      <c r="G4" s="43"/>
      <c r="H4" s="103"/>
      <c r="I4" s="103"/>
      <c r="J4" s="103"/>
      <c r="K4" s="102"/>
      <c r="L4" s="103"/>
      <c r="M4" s="103"/>
      <c r="N4" s="103"/>
      <c r="O4" s="103"/>
      <c r="P4" s="103"/>
      <c r="Q4" s="103"/>
      <c r="R4" s="103"/>
      <c r="S4" s="103"/>
      <c r="T4" s="103"/>
      <c r="U4" s="103"/>
      <c r="V4" s="103"/>
      <c r="W4" s="103"/>
      <c r="X4" s="103"/>
      <c r="Y4" s="103"/>
      <c r="Z4" s="103"/>
      <c r="AA4" s="103"/>
      <c r="AB4" s="104"/>
      <c r="AC4" s="103"/>
      <c r="AD4" s="103"/>
      <c r="AE4" s="102"/>
      <c r="AF4" s="102"/>
      <c r="AG4" s="102"/>
      <c r="AH4" s="102"/>
      <c r="AI4" s="102"/>
      <c r="AJ4" s="102"/>
      <c r="AK4" s="102"/>
      <c r="AL4" s="102"/>
      <c r="AM4" s="102"/>
      <c r="AN4" s="102"/>
      <c r="AP4" s="568"/>
      <c r="AU4" s="569"/>
      <c r="AY4" s="567"/>
      <c r="AZ4" s="567"/>
    </row>
    <row r="5" spans="1:52" s="570" customFormat="1" ht="69.75" customHeight="1" x14ac:dyDescent="0.25">
      <c r="A5" s="371" t="s">
        <v>440</v>
      </c>
      <c r="B5" s="371" t="s">
        <v>413</v>
      </c>
      <c r="C5" s="371" t="s">
        <v>403</v>
      </c>
      <c r="D5" s="371" t="s">
        <v>414</v>
      </c>
      <c r="E5" s="371" t="s">
        <v>396</v>
      </c>
      <c r="F5" s="371" t="s">
        <v>0</v>
      </c>
      <c r="G5" s="371" t="s">
        <v>395</v>
      </c>
      <c r="H5" s="371" t="s">
        <v>457</v>
      </c>
      <c r="I5" s="371" t="s">
        <v>405</v>
      </c>
      <c r="J5" s="371" t="s">
        <v>458</v>
      </c>
      <c r="K5" s="371" t="s">
        <v>597</v>
      </c>
      <c r="L5" s="371" t="s">
        <v>459</v>
      </c>
      <c r="M5" s="371" t="s">
        <v>436</v>
      </c>
      <c r="N5" s="371" t="s">
        <v>437</v>
      </c>
      <c r="O5" s="371" t="s">
        <v>1222</v>
      </c>
      <c r="P5" s="371" t="s">
        <v>579</v>
      </c>
      <c r="Q5" s="371" t="s">
        <v>580</v>
      </c>
      <c r="R5" s="371" t="s">
        <v>990</v>
      </c>
      <c r="S5" s="371" t="s">
        <v>994</v>
      </c>
      <c r="T5" s="371" t="s">
        <v>998</v>
      </c>
      <c r="U5" s="371" t="s">
        <v>1114</v>
      </c>
      <c r="V5" s="371" t="s">
        <v>1312</v>
      </c>
      <c r="W5" s="371" t="s">
        <v>1350</v>
      </c>
      <c r="X5" s="371" t="s">
        <v>1351</v>
      </c>
      <c r="Y5" s="372" t="s">
        <v>1139</v>
      </c>
      <c r="Z5" s="372" t="s">
        <v>1140</v>
      </c>
      <c r="AA5" s="372" t="s">
        <v>1141</v>
      </c>
      <c r="AB5" s="372" t="s">
        <v>1142</v>
      </c>
      <c r="AC5" s="372" t="s">
        <v>1143</v>
      </c>
      <c r="AD5" s="372" t="s">
        <v>1145</v>
      </c>
      <c r="AE5" s="372" t="s">
        <v>1144</v>
      </c>
      <c r="AF5" s="372" t="s">
        <v>1223</v>
      </c>
      <c r="AG5" s="372" t="s">
        <v>1146</v>
      </c>
      <c r="AH5" s="372" t="s">
        <v>1147</v>
      </c>
      <c r="AI5" s="372" t="s">
        <v>1148</v>
      </c>
      <c r="AJ5" s="372" t="s">
        <v>1149</v>
      </c>
      <c r="AK5" s="372" t="s">
        <v>1150</v>
      </c>
      <c r="AL5" s="372" t="s">
        <v>1151</v>
      </c>
      <c r="AM5" s="372" t="s">
        <v>1154</v>
      </c>
      <c r="AN5" s="372" t="s">
        <v>1313</v>
      </c>
      <c r="AO5" s="371" t="s">
        <v>560</v>
      </c>
      <c r="AP5" s="371" t="s">
        <v>1138</v>
      </c>
      <c r="AQ5" s="371" t="s">
        <v>500</v>
      </c>
      <c r="AR5" s="371" t="s">
        <v>1083</v>
      </c>
      <c r="AS5" s="371" t="s">
        <v>442</v>
      </c>
      <c r="AT5" s="371" t="s">
        <v>1094</v>
      </c>
      <c r="AU5" s="371" t="s">
        <v>498</v>
      </c>
    </row>
    <row r="6" spans="1:52" s="625" customFormat="1" ht="16.149999999999999" customHeight="1" x14ac:dyDescent="0.25">
      <c r="A6" s="381">
        <f t="shared" ref="A6:A69" si="0">IF(ISBLANK(B6),"",(Report_Date-B6)/30)</f>
        <v>39.93333333333333</v>
      </c>
      <c r="B6" s="571">
        <v>41324</v>
      </c>
      <c r="C6" s="572" t="s">
        <v>454</v>
      </c>
      <c r="D6" s="572" t="s">
        <v>454</v>
      </c>
      <c r="E6" s="572" t="s">
        <v>380</v>
      </c>
      <c r="F6" s="572" t="s">
        <v>529</v>
      </c>
      <c r="G6" s="374" t="s">
        <v>128</v>
      </c>
      <c r="H6" s="375"/>
      <c r="I6" s="375"/>
      <c r="J6" s="375">
        <v>3</v>
      </c>
      <c r="K6" s="375">
        <v>7</v>
      </c>
      <c r="L6" s="376">
        <v>4</v>
      </c>
      <c r="M6" s="376">
        <v>7</v>
      </c>
      <c r="N6" s="376">
        <v>4</v>
      </c>
      <c r="O6" s="376">
        <v>4</v>
      </c>
      <c r="P6" s="378">
        <v>4</v>
      </c>
      <c r="Q6" s="378">
        <v>4</v>
      </c>
      <c r="R6" s="378"/>
      <c r="S6" s="378"/>
      <c r="T6" s="378"/>
      <c r="U6" s="378"/>
      <c r="V6" s="533"/>
      <c r="W6" s="378"/>
      <c r="X6" s="378"/>
      <c r="Y6" s="378">
        <f>IF(NFI_Expiration=1,IF($A6&lt;VLOOKUP(H$5,NFI,5,0),1,0)*Table_NFI[[#This Row],[Hygiene Kit]],Table_NFI[Hygiene Kit])</f>
        <v>0</v>
      </c>
      <c r="Z6" s="378">
        <f>IF(NFI_Expiration=1,IF($A6&lt;VLOOKUP(I$5,NFI,5,0),1,0)*Table_NFI[[#This Row],[NFI Core Kit]],Table_NFI[NFI Core Kit])</f>
        <v>0</v>
      </c>
      <c r="AA6" s="378">
        <f>IF(NFI_Expiration=1,IF($A6&lt;VLOOKUP(J$5,NFI,5,0),1,0)*Table_NFI[[#This Row],[Sanitary Kit]],Table_NFI[Sanitary Kit])</f>
        <v>0</v>
      </c>
      <c r="AB6" s="378">
        <f>IF(NFI_Expiration=1,IF($A6&lt;VLOOKUP(K$5,NFI,5,0),1,0)*Table_NFI[[#This Row],[Mosquito net]],Table_NFI[Mosquito net])</f>
        <v>0</v>
      </c>
      <c r="AC6" s="378">
        <f>IF(NFI_Expiration=1,IF($A6&lt;VLOOKUP(L$5,NFI,5,0),1,0)*Table_NFI[[#This Row],[Tarpaulin]],Table_NFI[[#This Row],[Tarpaulin]])</f>
        <v>0</v>
      </c>
      <c r="AD6" s="378">
        <f>IF(NFI_Expiration=1,IF($A6&lt;VLOOKUP(M$5,NFI,5,0),1,0)*Table_NFI[[#This Row],[Blanket]],Table_NFI[[#This Row],[Blanket]])</f>
        <v>0</v>
      </c>
      <c r="AE6" s="378">
        <f>IF(NFI_Expiration=1,IF($A6&lt;VLOOKUP(N$5,NFI,5,0),1,0)*Table_NFI[[#This Row],[Kitchen Set]],Table_NFI[Kitchen Set])</f>
        <v>0</v>
      </c>
      <c r="AF6" s="378">
        <f>IF(NFI_Expiration=1,IF($A6&lt;VLOOKUP(O$5,NFI,5,0),1,0)*Table_NFI[[#This Row],[Clothes Kit]],Table_NFI[Clothes Kit])</f>
        <v>0</v>
      </c>
      <c r="AG6" s="378">
        <f>IF(NFI_Expiration=1,IF($A6&lt;VLOOKUP(P$5,NFI,5,0),1,0)*Table_NFI[[#This Row],[Plastic Bucket]],Table_NFI[Plastic Bucket])</f>
        <v>0</v>
      </c>
      <c r="AH6" s="378">
        <f>IF(NFI_Expiration=1,IF($A6&lt;VLOOKUP(Q$5,NFI,5,0),1,0)*Table_NFI[[#This Row],[Plastic Mat]],Table_NFI[Plastic Mat])*IF(Table_NFI[[#This Row],[Distribution Date]]&gt;"2014-04-01",1,2.5)</f>
        <v>0</v>
      </c>
      <c r="AI6" s="378">
        <f>IF(NFI_Expiration=1,IF($A6&lt;VLOOKUP(R$5,NFI,5,0),1,0)*Table_NFI[[#This Row],[Winter Clothes Adult]],Table_NFI[Winter Clothes Adult])</f>
        <v>0</v>
      </c>
      <c r="AJ6" s="378">
        <f>IF(NFI_Expiration=1,IF($A6&lt;VLOOKUP(S$5,NFI,5,0),1,0)*Table_NFI[[#This Row],[Winter Clothes Children]],Table_NFI[Winter Clothes Children])</f>
        <v>0</v>
      </c>
      <c r="AK6" s="378">
        <f>IF(NFI_Expiration=1,IF($A6&lt;VLOOKUP(T$5,NFI,5,0),1,0)*Table_NFI[[#This Row],[Winter Items Other]],Table_NFI[Winter Items Other])</f>
        <v>0</v>
      </c>
      <c r="AL6" s="378">
        <f>IF(NFI_Expiration=1,IF($A6&lt;VLOOKUP(M$5,NFI,5,0),1,0)*Table_NFI[[#This Row],[Winter Blanket]],Table_NFI[[#This Row],[Winter Blanket]])</f>
        <v>0</v>
      </c>
      <c r="AM6" s="378">
        <f>IF(Table_NFI[[#This Row],[Winter Clothes Adult]]+Table_NFI[[#This Row],[Winter Clothes Children]]+Table_NFI[[#This Row],[Winter Items Other]]+Table_NFI[[#This Row],[Winter Blanket]]&gt;0,1,0)</f>
        <v>0</v>
      </c>
      <c r="AN6" s="418">
        <f>IF(NFI_Expiration=1,IF($A6&lt;VLOOKUP(V$5,NFI,5,0),1,0)*Table_NFI[[#This Row],[Jerry Can]],Table_NFI[Jerry Can])</f>
        <v>0</v>
      </c>
      <c r="AO6" s="579" t="str">
        <f>IFERROR(VLOOKUP(Table_NFI[[#This Row],[Camp Name]],CL,2,0),"")</f>
        <v>MMR001CMP171</v>
      </c>
      <c r="AP6" s="574">
        <f ca="1">IF(Table_NFI[[#This Row],[Pcode]]="","",IF(OFFSET(CampList[Opening Date],MATCH(Table_NFI[[#This Row],[Pcode]],CampList[CP_Pcode],0)-1,0,1,1)&gt;=NFI_Monitor_Date,1,0))</f>
        <v>0</v>
      </c>
      <c r="AQ6" s="579" t="str">
        <f>IFERROR(VLOOKUP(Table_NFI[[#This Row],[Camp Name]],CL,3,0),"")</f>
        <v>Closed</v>
      </c>
      <c r="AR6" s="378" t="str">
        <f ca="1">IF(Table_NFI[[#This Row],[Pcode]]="","",OFFSET(CampList[Priority],MATCH(Table_NFI[[#This Row],[Pcode]],CampList[CP_Pcode],0)-1,0,1,1))</f>
        <v/>
      </c>
      <c r="AS6" s="377" t="str">
        <f>IFERROR(Table_NFI[[#This Row],[Kitchen Set]]/VLOOKUP(Table_NFI[[#This Row],[Camp Name]],CL,4,0),"")</f>
        <v/>
      </c>
      <c r="AT6" s="572" t="s">
        <v>1095</v>
      </c>
      <c r="AU6" s="575"/>
    </row>
    <row r="7" spans="1:52" s="625" customFormat="1" ht="16.149999999999999" customHeight="1" x14ac:dyDescent="0.25">
      <c r="A7" s="381">
        <f t="shared" si="0"/>
        <v>19.3</v>
      </c>
      <c r="B7" s="571">
        <v>41943</v>
      </c>
      <c r="C7" s="572" t="s">
        <v>454</v>
      </c>
      <c r="D7" s="572"/>
      <c r="E7" s="572" t="s">
        <v>380</v>
      </c>
      <c r="F7" s="572" t="s">
        <v>529</v>
      </c>
      <c r="G7" s="572" t="s">
        <v>62</v>
      </c>
      <c r="H7" s="375"/>
      <c r="I7" s="375"/>
      <c r="J7" s="375">
        <v>77</v>
      </c>
      <c r="K7" s="375">
        <v>154</v>
      </c>
      <c r="L7" s="376">
        <v>77</v>
      </c>
      <c r="M7" s="376">
        <v>154</v>
      </c>
      <c r="N7" s="376">
        <v>77</v>
      </c>
      <c r="O7" s="376"/>
      <c r="P7" s="378">
        <v>77</v>
      </c>
      <c r="Q7" s="378">
        <v>385</v>
      </c>
      <c r="R7" s="378"/>
      <c r="S7" s="378"/>
      <c r="T7" s="378"/>
      <c r="U7" s="378"/>
      <c r="V7" s="533"/>
      <c r="W7" s="378"/>
      <c r="X7" s="378"/>
      <c r="Y7" s="378">
        <f>IF(NFI_Expiration=1,IF($A7&lt;VLOOKUP(H$5,NFI,5,0),1,0)*Table_NFI[[#This Row],[Hygiene Kit]],Table_NFI[Hygiene Kit])</f>
        <v>0</v>
      </c>
      <c r="Z7" s="378">
        <f>IF(NFI_Expiration=1,IF($A7&lt;VLOOKUP(I$5,NFI,5,0),1,0)*Table_NFI[[#This Row],[NFI Core Kit]],Table_NFI[NFI Core Kit])</f>
        <v>0</v>
      </c>
      <c r="AA7" s="378">
        <f>IF(NFI_Expiration=1,IF($A7&lt;VLOOKUP(J$5,NFI,5,0),1,0)*Table_NFI[[#This Row],[Sanitary Kit]],Table_NFI[Sanitary Kit])</f>
        <v>0</v>
      </c>
      <c r="AB7" s="378">
        <f>IF(NFI_Expiration=1,IF($A7&lt;VLOOKUP(K$5,NFI,5,0),1,0)*Table_NFI[[#This Row],[Mosquito net]],Table_NFI[Mosquito net])</f>
        <v>0</v>
      </c>
      <c r="AC7" s="378">
        <f>IF(NFI_Expiration=1,IF($A7&lt;VLOOKUP(L$5,NFI,5,0),1,0)*Table_NFI[[#This Row],[Tarpaulin]],Table_NFI[[#This Row],[Tarpaulin]])</f>
        <v>0</v>
      </c>
      <c r="AD7" s="378">
        <f>IF(NFI_Expiration=1,IF($A7&lt;VLOOKUP(M$5,NFI,5,0),1,0)*Table_NFI[[#This Row],[Blanket]],Table_NFI[[#This Row],[Blanket]])</f>
        <v>0</v>
      </c>
      <c r="AE7" s="378">
        <f>IF(NFI_Expiration=1,IF($A7&lt;VLOOKUP(N$5,NFI,5,0),1,0)*Table_NFI[[#This Row],[Kitchen Set]],Table_NFI[Kitchen Set])</f>
        <v>0</v>
      </c>
      <c r="AF7" s="378">
        <f>IF(NFI_Expiration=1,IF($A7&lt;VLOOKUP(O$5,NFI,5,0),1,0)*Table_NFI[[#This Row],[Clothes Kit]],Table_NFI[Clothes Kit])</f>
        <v>0</v>
      </c>
      <c r="AG7" s="378">
        <f>IF(NFI_Expiration=1,IF($A7&lt;VLOOKUP(P$5,NFI,5,0),1,0)*Table_NFI[[#This Row],[Plastic Bucket]],Table_NFI[Plastic Bucket])</f>
        <v>0</v>
      </c>
      <c r="AH7" s="378">
        <f>IF(NFI_Expiration=1,IF($A7&lt;VLOOKUP(Q$5,NFI,5,0),1,0)*Table_NFI[[#This Row],[Plastic Mat]],Table_NFI[Plastic Mat])*IF(Table_NFI[[#This Row],[Distribution Date]]&gt;"2014-04-01",1,2.5)</f>
        <v>0</v>
      </c>
      <c r="AI7" s="378">
        <f>IF(NFI_Expiration=1,IF($A7&lt;VLOOKUP(R$5,NFI,5,0),1,0)*Table_NFI[[#This Row],[Winter Clothes Adult]],Table_NFI[Winter Clothes Adult])</f>
        <v>0</v>
      </c>
      <c r="AJ7" s="378">
        <f>IF(NFI_Expiration=1,IF($A7&lt;VLOOKUP(S$5,NFI,5,0),1,0)*Table_NFI[[#This Row],[Winter Clothes Children]],Table_NFI[Winter Clothes Children])</f>
        <v>0</v>
      </c>
      <c r="AK7" s="378">
        <f>IF(NFI_Expiration=1,IF($A7&lt;VLOOKUP(T$5,NFI,5,0),1,0)*Table_NFI[[#This Row],[Winter Items Other]],Table_NFI[Winter Items Other])</f>
        <v>0</v>
      </c>
      <c r="AL7" s="378">
        <f>IF(NFI_Expiration=1,IF($A7&lt;VLOOKUP(M$5,NFI,5,0),1,0)*Table_NFI[[#This Row],[Winter Blanket]],Table_NFI[[#This Row],[Winter Blanket]])</f>
        <v>0</v>
      </c>
      <c r="AM7" s="378">
        <f>IF(Table_NFI[[#This Row],[Winter Clothes Adult]]+Table_NFI[[#This Row],[Winter Clothes Children]]+Table_NFI[[#This Row],[Winter Items Other]]+Table_NFI[[#This Row],[Winter Blanket]]&gt;0,1,0)</f>
        <v>0</v>
      </c>
      <c r="AN7" s="418">
        <f>IF(NFI_Expiration=1,IF($A7&lt;VLOOKUP(V$5,NFI,5,0),1,0)*Table_NFI[[#This Row],[Jerry Can]],Table_NFI[Jerry Can])</f>
        <v>0</v>
      </c>
      <c r="AO7" s="579" t="str">
        <f>IFERROR(VLOOKUP(Table_NFI[[#This Row],[Camp Name]],CL,2,0),"")</f>
        <v>MMR001CMP179</v>
      </c>
      <c r="AP7" s="574">
        <f ca="1">IF(Table_NFI[[#This Row],[Pcode]]="","",IF(OFFSET(CampList[Opening Date],MATCH(Table_NFI[[#This Row],[Pcode]],CampList[CP_Pcode],0)-1,0,1,1)&gt;=NFI_Monitor_Date,1,0))</f>
        <v>0</v>
      </c>
      <c r="AQ7" s="579" t="str">
        <f>IFERROR(VLOOKUP(Table_NFI[[#This Row],[Camp Name]],CL,3,0),"")</f>
        <v>Open</v>
      </c>
      <c r="AR7" s="378" t="str">
        <f ca="1">IF(Table_NFI[[#This Row],[Pcode]]="","",OFFSET(CampList[Priority],MATCH(Table_NFI[[#This Row],[Pcode]],CampList[CP_Pcode],0)-1,0,1,1))</f>
        <v>P4</v>
      </c>
      <c r="AS7" s="377">
        <f>IFERROR(Table_NFI[[#This Row],[Kitchen Set]]/VLOOKUP(Table_NFI[[#This Row],[Camp Name]],CL,4,0),"")</f>
        <v>1</v>
      </c>
      <c r="AT7" s="572"/>
      <c r="AU7" s="575"/>
    </row>
    <row r="8" spans="1:52" s="625" customFormat="1" ht="16.149999999999999" customHeight="1" x14ac:dyDescent="0.25">
      <c r="A8" s="381">
        <f t="shared" si="0"/>
        <v>19.5</v>
      </c>
      <c r="B8" s="571">
        <v>41937</v>
      </c>
      <c r="C8" s="572" t="s">
        <v>1097</v>
      </c>
      <c r="D8" s="572" t="s">
        <v>903</v>
      </c>
      <c r="E8" s="572" t="s">
        <v>380</v>
      </c>
      <c r="F8" s="572" t="s">
        <v>529</v>
      </c>
      <c r="G8" s="572" t="s">
        <v>62</v>
      </c>
      <c r="H8" s="375"/>
      <c r="I8" s="375"/>
      <c r="J8" s="375"/>
      <c r="K8" s="375"/>
      <c r="L8" s="376"/>
      <c r="M8" s="376"/>
      <c r="N8" s="376"/>
      <c r="O8" s="376"/>
      <c r="P8" s="378"/>
      <c r="Q8" s="378"/>
      <c r="R8" s="378">
        <v>229</v>
      </c>
      <c r="S8" s="378">
        <v>126</v>
      </c>
      <c r="T8" s="378"/>
      <c r="U8" s="378"/>
      <c r="V8" s="533"/>
      <c r="W8" s="378"/>
      <c r="X8" s="378"/>
      <c r="Y8" s="378">
        <f>IF(NFI_Expiration=1,IF($A8&lt;VLOOKUP(H$5,NFI,5,0),1,0)*Table_NFI[[#This Row],[Hygiene Kit]],Table_NFI[Hygiene Kit])</f>
        <v>0</v>
      </c>
      <c r="Z8" s="378">
        <f>IF(NFI_Expiration=1,IF($A8&lt;VLOOKUP(I$5,NFI,5,0),1,0)*Table_NFI[[#This Row],[NFI Core Kit]],Table_NFI[NFI Core Kit])</f>
        <v>0</v>
      </c>
      <c r="AA8" s="378">
        <f>IF(NFI_Expiration=1,IF($A8&lt;VLOOKUP(J$5,NFI,5,0),1,0)*Table_NFI[[#This Row],[Sanitary Kit]],Table_NFI[Sanitary Kit])</f>
        <v>0</v>
      </c>
      <c r="AB8" s="378">
        <f>IF(NFI_Expiration=1,IF($A8&lt;VLOOKUP(K$5,NFI,5,0),1,0)*Table_NFI[[#This Row],[Mosquito net]],Table_NFI[Mosquito net])</f>
        <v>0</v>
      </c>
      <c r="AC8" s="378">
        <f>IF(NFI_Expiration=1,IF($A8&lt;VLOOKUP(L$5,NFI,5,0),1,0)*Table_NFI[[#This Row],[Tarpaulin]],Table_NFI[[#This Row],[Tarpaulin]])</f>
        <v>0</v>
      </c>
      <c r="AD8" s="378">
        <f>IF(NFI_Expiration=1,IF($A8&lt;VLOOKUP(M$5,NFI,5,0),1,0)*Table_NFI[[#This Row],[Blanket]],Table_NFI[[#This Row],[Blanket]])</f>
        <v>0</v>
      </c>
      <c r="AE8" s="378">
        <f>IF(NFI_Expiration=1,IF($A8&lt;VLOOKUP(N$5,NFI,5,0),1,0)*Table_NFI[[#This Row],[Kitchen Set]],Table_NFI[Kitchen Set])</f>
        <v>0</v>
      </c>
      <c r="AF8" s="378">
        <f>IF(NFI_Expiration=1,IF($A8&lt;VLOOKUP(O$5,NFI,5,0),1,0)*Table_NFI[[#This Row],[Clothes Kit]],Table_NFI[Clothes Kit])</f>
        <v>0</v>
      </c>
      <c r="AG8" s="378">
        <f>IF(NFI_Expiration=1,IF($A8&lt;VLOOKUP(P$5,NFI,5,0),1,0)*Table_NFI[[#This Row],[Plastic Bucket]],Table_NFI[Plastic Bucket])</f>
        <v>0</v>
      </c>
      <c r="AH8" s="378">
        <f>IF(NFI_Expiration=1,IF($A8&lt;VLOOKUP(Q$5,NFI,5,0),1,0)*Table_NFI[[#This Row],[Plastic Mat]],Table_NFI[Plastic Mat])*IF(Table_NFI[[#This Row],[Distribution Date]]&gt;"2014-04-01",1,2.5)</f>
        <v>0</v>
      </c>
      <c r="AI8" s="378">
        <f>IF(NFI_Expiration=1,IF($A8&lt;VLOOKUP(R$5,NFI,5,0),1,0)*Table_NFI[[#This Row],[Winter Clothes Adult]],Table_NFI[Winter Clothes Adult])</f>
        <v>0</v>
      </c>
      <c r="AJ8" s="378">
        <f>IF(NFI_Expiration=1,IF($A8&lt;VLOOKUP(S$5,NFI,5,0),1,0)*Table_NFI[[#This Row],[Winter Clothes Children]],Table_NFI[Winter Clothes Children])</f>
        <v>0</v>
      </c>
      <c r="AK8" s="378">
        <f>IF(NFI_Expiration=1,IF($A8&lt;VLOOKUP(T$5,NFI,5,0),1,0)*Table_NFI[[#This Row],[Winter Items Other]],Table_NFI[Winter Items Other])</f>
        <v>0</v>
      </c>
      <c r="AL8" s="378">
        <f>IF(NFI_Expiration=1,IF($A8&lt;VLOOKUP(M$5,NFI,5,0),1,0)*Table_NFI[[#This Row],[Winter Blanket]],Table_NFI[[#This Row],[Winter Blanket]])</f>
        <v>0</v>
      </c>
      <c r="AM8" s="378">
        <f>IF(Table_NFI[[#This Row],[Winter Clothes Adult]]+Table_NFI[[#This Row],[Winter Clothes Children]]+Table_NFI[[#This Row],[Winter Items Other]]+Table_NFI[[#This Row],[Winter Blanket]]&gt;0,1,0)</f>
        <v>1</v>
      </c>
      <c r="AN8" s="418">
        <f>IF(NFI_Expiration=1,IF($A8&lt;VLOOKUP(V$5,NFI,5,0),1,0)*Table_NFI[[#This Row],[Jerry Can]],Table_NFI[Jerry Can])</f>
        <v>0</v>
      </c>
      <c r="AO8" s="579" t="str">
        <f>IFERROR(VLOOKUP(Table_NFI[[#This Row],[Camp Name]],CL,2,0),"")</f>
        <v>MMR001CMP179</v>
      </c>
      <c r="AP8" s="574">
        <f ca="1">IF(Table_NFI[[#This Row],[Pcode]]="","",IF(OFFSET(CampList[Opening Date],MATCH(Table_NFI[[#This Row],[Pcode]],CampList[CP_Pcode],0)-1,0,1,1)&gt;=NFI_Monitor_Date,1,0))</f>
        <v>0</v>
      </c>
      <c r="AQ8" s="579" t="str">
        <f>IFERROR(VLOOKUP(Table_NFI[[#This Row],[Camp Name]],CL,3,0),"")</f>
        <v>Open</v>
      </c>
      <c r="AR8" s="378" t="str">
        <f ca="1">IF(Table_NFI[[#This Row],[Pcode]]="","",OFFSET(CampList[Priority],MATCH(Table_NFI[[#This Row],[Pcode]],CampList[CP_Pcode],0)-1,0,1,1))</f>
        <v>P4</v>
      </c>
      <c r="AS8" s="377">
        <f>IFERROR(Table_NFI[[#This Row],[Kitchen Set]]/VLOOKUP(Table_NFI[[#This Row],[Camp Name]],CL,4,0),"")</f>
        <v>0</v>
      </c>
      <c r="AT8" s="572"/>
      <c r="AU8" s="575"/>
    </row>
    <row r="9" spans="1:52" s="625" customFormat="1" ht="16.149999999999999" customHeight="1" x14ac:dyDescent="0.25">
      <c r="A9" s="381">
        <f t="shared" si="0"/>
        <v>39.93333333333333</v>
      </c>
      <c r="B9" s="571">
        <v>41324</v>
      </c>
      <c r="C9" s="572" t="s">
        <v>454</v>
      </c>
      <c r="D9" s="573" t="s">
        <v>454</v>
      </c>
      <c r="E9" s="582" t="s">
        <v>380</v>
      </c>
      <c r="F9" s="656" t="s">
        <v>529</v>
      </c>
      <c r="G9" s="374" t="s">
        <v>62</v>
      </c>
      <c r="H9" s="375"/>
      <c r="I9" s="375"/>
      <c r="J9" s="375">
        <v>18</v>
      </c>
      <c r="K9" s="375">
        <v>30</v>
      </c>
      <c r="L9" s="376">
        <v>17</v>
      </c>
      <c r="M9" s="376">
        <v>64</v>
      </c>
      <c r="N9" s="376">
        <v>17</v>
      </c>
      <c r="O9" s="376">
        <v>17</v>
      </c>
      <c r="P9" s="378">
        <v>17</v>
      </c>
      <c r="Q9" s="378">
        <v>17</v>
      </c>
      <c r="R9" s="378"/>
      <c r="S9" s="378"/>
      <c r="T9" s="378"/>
      <c r="U9" s="378"/>
      <c r="V9" s="533"/>
      <c r="W9" s="418"/>
      <c r="X9" s="418"/>
      <c r="Y9" s="378">
        <f>IF(NFI_Expiration=1,IF($A9&lt;VLOOKUP(H$5,NFI,5,0),1,0)*Table_NFI[[#This Row],[Hygiene Kit]],Table_NFI[Hygiene Kit])</f>
        <v>0</v>
      </c>
      <c r="Z9" s="378">
        <f>IF(NFI_Expiration=1,IF($A9&lt;VLOOKUP(I$5,NFI,5,0),1,0)*Table_NFI[[#This Row],[NFI Core Kit]],Table_NFI[NFI Core Kit])</f>
        <v>0</v>
      </c>
      <c r="AA9" s="378">
        <f>IF(NFI_Expiration=1,IF($A9&lt;VLOOKUP(J$5,NFI,5,0),1,0)*Table_NFI[[#This Row],[Sanitary Kit]],Table_NFI[Sanitary Kit])</f>
        <v>0</v>
      </c>
      <c r="AB9" s="378">
        <f>IF(NFI_Expiration=1,IF($A9&lt;VLOOKUP(K$5,NFI,5,0),1,0)*Table_NFI[[#This Row],[Mosquito net]],Table_NFI[Mosquito net])</f>
        <v>0</v>
      </c>
      <c r="AC9" s="378">
        <f>IF(NFI_Expiration=1,IF($A9&lt;VLOOKUP(L$5,NFI,5,0),1,0)*Table_NFI[[#This Row],[Tarpaulin]],Table_NFI[[#This Row],[Tarpaulin]])</f>
        <v>0</v>
      </c>
      <c r="AD9" s="378">
        <f>IF(NFI_Expiration=1,IF($A9&lt;VLOOKUP(M$5,NFI,5,0),1,0)*Table_NFI[[#This Row],[Blanket]],Table_NFI[[#This Row],[Blanket]])</f>
        <v>0</v>
      </c>
      <c r="AE9" s="378">
        <f>IF(NFI_Expiration=1,IF($A9&lt;VLOOKUP(N$5,NFI,5,0),1,0)*Table_NFI[[#This Row],[Kitchen Set]],Table_NFI[Kitchen Set])</f>
        <v>0</v>
      </c>
      <c r="AF9" s="378">
        <f>IF(NFI_Expiration=1,IF($A9&lt;VLOOKUP(O$5,NFI,5,0),1,0)*Table_NFI[[#This Row],[Clothes Kit]],Table_NFI[Clothes Kit])</f>
        <v>0</v>
      </c>
      <c r="AG9" s="378">
        <f>IF(NFI_Expiration=1,IF($A9&lt;VLOOKUP(P$5,NFI,5,0),1,0)*Table_NFI[[#This Row],[Plastic Bucket]],Table_NFI[Plastic Bucket])</f>
        <v>0</v>
      </c>
      <c r="AH9" s="378">
        <f>IF(NFI_Expiration=1,IF($A9&lt;VLOOKUP(Q$5,NFI,5,0),1,0)*Table_NFI[[#This Row],[Plastic Mat]],Table_NFI[Plastic Mat])*IF(Table_NFI[[#This Row],[Distribution Date]]&gt;"2014-04-01",1,2.5)</f>
        <v>0</v>
      </c>
      <c r="AI9" s="378">
        <f>IF(NFI_Expiration=1,IF($A9&lt;VLOOKUP(R$5,NFI,5,0),1,0)*Table_NFI[[#This Row],[Winter Clothes Adult]],Table_NFI[Winter Clothes Adult])</f>
        <v>0</v>
      </c>
      <c r="AJ9" s="378">
        <f>IF(NFI_Expiration=1,IF($A9&lt;VLOOKUP(S$5,NFI,5,0),1,0)*Table_NFI[[#This Row],[Winter Clothes Children]],Table_NFI[Winter Clothes Children])</f>
        <v>0</v>
      </c>
      <c r="AK9" s="378">
        <f>IF(NFI_Expiration=1,IF($A9&lt;VLOOKUP(T$5,NFI,5,0),1,0)*Table_NFI[[#This Row],[Winter Items Other]],Table_NFI[Winter Items Other])</f>
        <v>0</v>
      </c>
      <c r="AL9" s="378">
        <f>IF(NFI_Expiration=1,IF($A9&lt;VLOOKUP(M$5,NFI,5,0),1,0)*Table_NFI[[#This Row],[Winter Blanket]],Table_NFI[[#This Row],[Winter Blanket]])</f>
        <v>0</v>
      </c>
      <c r="AM9" s="378">
        <f>IF(Table_NFI[[#This Row],[Winter Clothes Adult]]+Table_NFI[[#This Row],[Winter Clothes Children]]+Table_NFI[[#This Row],[Winter Items Other]]+Table_NFI[[#This Row],[Winter Blanket]]&gt;0,1,0)</f>
        <v>0</v>
      </c>
      <c r="AN9" s="418">
        <f>IF(NFI_Expiration=1,IF($A9&lt;VLOOKUP(V$5,NFI,5,0),1,0)*Table_NFI[[#This Row],[Jerry Can]],Table_NFI[Jerry Can])</f>
        <v>0</v>
      </c>
      <c r="AO9" s="579" t="str">
        <f>IFERROR(VLOOKUP(Table_NFI[[#This Row],[Camp Name]],CL,2,0),"")</f>
        <v>MMR001CMP179</v>
      </c>
      <c r="AP9" s="574">
        <f ca="1">IF(Table_NFI[[#This Row],[Pcode]]="","",IF(OFFSET(CampList[Opening Date],MATCH(Table_NFI[[#This Row],[Pcode]],CampList[CP_Pcode],0)-1,0,1,1)&gt;=NFI_Monitor_Date,1,0))</f>
        <v>0</v>
      </c>
      <c r="AQ9" s="579" t="str">
        <f>IFERROR(VLOOKUP(Table_NFI[[#This Row],[Camp Name]],CL,3,0),"")</f>
        <v>Open</v>
      </c>
      <c r="AR9" s="378" t="str">
        <f ca="1">IF(Table_NFI[[#This Row],[Pcode]]="","",OFFSET(CampList[Priority],MATCH(Table_NFI[[#This Row],[Pcode]],CampList[CP_Pcode],0)-1,0,1,1))</f>
        <v>P4</v>
      </c>
      <c r="AS9" s="377">
        <f>IFERROR(Table_NFI[[#This Row],[Kitchen Set]]/VLOOKUP(Table_NFI[[#This Row],[Camp Name]],CL,4,0),"")</f>
        <v>0.22077922077922077</v>
      </c>
      <c r="AT9" s="572" t="s">
        <v>1095</v>
      </c>
      <c r="AU9" s="575"/>
    </row>
    <row r="10" spans="1:52" s="625" customFormat="1" ht="16.149999999999999" customHeight="1" x14ac:dyDescent="0.25">
      <c r="A10" s="381">
        <f t="shared" si="0"/>
        <v>40.43333333333333</v>
      </c>
      <c r="B10" s="571">
        <v>41309</v>
      </c>
      <c r="C10" s="572" t="s">
        <v>903</v>
      </c>
      <c r="D10" s="572" t="s">
        <v>903</v>
      </c>
      <c r="E10" s="572" t="s">
        <v>380</v>
      </c>
      <c r="F10" s="572" t="s">
        <v>529</v>
      </c>
      <c r="G10" s="374" t="s">
        <v>62</v>
      </c>
      <c r="H10" s="375"/>
      <c r="I10" s="375"/>
      <c r="J10" s="375"/>
      <c r="K10" s="375"/>
      <c r="L10" s="376"/>
      <c r="M10" s="376"/>
      <c r="N10" s="376">
        <v>162</v>
      </c>
      <c r="O10" s="376"/>
      <c r="P10" s="378">
        <v>0</v>
      </c>
      <c r="Q10" s="378">
        <v>0</v>
      </c>
      <c r="R10" s="378"/>
      <c r="S10" s="378"/>
      <c r="T10" s="378"/>
      <c r="U10" s="378"/>
      <c r="V10" s="533"/>
      <c r="W10" s="418"/>
      <c r="X10" s="418"/>
      <c r="Y10" s="378">
        <f>IF(NFI_Expiration=1,IF($A10&lt;VLOOKUP(H$5,NFI,5,0),1,0)*Table_NFI[[#This Row],[Hygiene Kit]],Table_NFI[Hygiene Kit])</f>
        <v>0</v>
      </c>
      <c r="Z10" s="378">
        <f>IF(NFI_Expiration=1,IF($A10&lt;VLOOKUP(I$5,NFI,5,0),1,0)*Table_NFI[[#This Row],[NFI Core Kit]],Table_NFI[NFI Core Kit])</f>
        <v>0</v>
      </c>
      <c r="AA10" s="378">
        <f>IF(NFI_Expiration=1,IF($A10&lt;VLOOKUP(J$5,NFI,5,0),1,0)*Table_NFI[[#This Row],[Sanitary Kit]],Table_NFI[Sanitary Kit])</f>
        <v>0</v>
      </c>
      <c r="AB10" s="378">
        <f>IF(NFI_Expiration=1,IF($A10&lt;VLOOKUP(K$5,NFI,5,0),1,0)*Table_NFI[[#This Row],[Mosquito net]],Table_NFI[Mosquito net])</f>
        <v>0</v>
      </c>
      <c r="AC10" s="378">
        <f>IF(NFI_Expiration=1,IF($A10&lt;VLOOKUP(L$5,NFI,5,0),1,0)*Table_NFI[[#This Row],[Tarpaulin]],Table_NFI[[#This Row],[Tarpaulin]])</f>
        <v>0</v>
      </c>
      <c r="AD10" s="378">
        <f>IF(NFI_Expiration=1,IF($A10&lt;VLOOKUP(M$5,NFI,5,0),1,0)*Table_NFI[[#This Row],[Blanket]],Table_NFI[[#This Row],[Blanket]])</f>
        <v>0</v>
      </c>
      <c r="AE10" s="378">
        <f>IF(NFI_Expiration=1,IF($A10&lt;VLOOKUP(N$5,NFI,5,0),1,0)*Table_NFI[[#This Row],[Kitchen Set]],Table_NFI[Kitchen Set])</f>
        <v>0</v>
      </c>
      <c r="AF10" s="378">
        <f>IF(NFI_Expiration=1,IF($A10&lt;VLOOKUP(O$5,NFI,5,0),1,0)*Table_NFI[[#This Row],[Clothes Kit]],Table_NFI[Clothes Kit])</f>
        <v>0</v>
      </c>
      <c r="AG10" s="378">
        <f>IF(NFI_Expiration=1,IF($A10&lt;VLOOKUP(P$5,NFI,5,0),1,0)*Table_NFI[[#This Row],[Plastic Bucket]],Table_NFI[Plastic Bucket])</f>
        <v>0</v>
      </c>
      <c r="AH10" s="378">
        <f>IF(NFI_Expiration=1,IF($A10&lt;VLOOKUP(Q$5,NFI,5,0),1,0)*Table_NFI[[#This Row],[Plastic Mat]],Table_NFI[Plastic Mat])*IF(Table_NFI[[#This Row],[Distribution Date]]&gt;"2014-04-01",1,2.5)</f>
        <v>0</v>
      </c>
      <c r="AI10" s="378">
        <f>IF(NFI_Expiration=1,IF($A10&lt;VLOOKUP(R$5,NFI,5,0),1,0)*Table_NFI[[#This Row],[Winter Clothes Adult]],Table_NFI[Winter Clothes Adult])</f>
        <v>0</v>
      </c>
      <c r="AJ10" s="378">
        <f>IF(NFI_Expiration=1,IF($A10&lt;VLOOKUP(S$5,NFI,5,0),1,0)*Table_NFI[[#This Row],[Winter Clothes Children]],Table_NFI[Winter Clothes Children])</f>
        <v>0</v>
      </c>
      <c r="AK10" s="378">
        <f>IF(NFI_Expiration=1,IF($A10&lt;VLOOKUP(T$5,NFI,5,0),1,0)*Table_NFI[[#This Row],[Winter Items Other]],Table_NFI[Winter Items Other])</f>
        <v>0</v>
      </c>
      <c r="AL10" s="378">
        <f>IF(NFI_Expiration=1,IF($A10&lt;VLOOKUP(M$5,NFI,5,0),1,0)*Table_NFI[[#This Row],[Winter Blanket]],Table_NFI[[#This Row],[Winter Blanket]])</f>
        <v>0</v>
      </c>
      <c r="AM10" s="378">
        <f>IF(Table_NFI[[#This Row],[Winter Clothes Adult]]+Table_NFI[[#This Row],[Winter Clothes Children]]+Table_NFI[[#This Row],[Winter Items Other]]+Table_NFI[[#This Row],[Winter Blanket]]&gt;0,1,0)</f>
        <v>0</v>
      </c>
      <c r="AN10" s="418">
        <f>IF(NFI_Expiration=1,IF($A10&lt;VLOOKUP(V$5,NFI,5,0),1,0)*Table_NFI[[#This Row],[Jerry Can]],Table_NFI[Jerry Can])</f>
        <v>0</v>
      </c>
      <c r="AO10" s="579" t="str">
        <f>IFERROR(VLOOKUP(Table_NFI[[#This Row],[Camp Name]],CL,2,0),"")</f>
        <v>MMR001CMP179</v>
      </c>
      <c r="AP10" s="574">
        <f ca="1">IF(Table_NFI[[#This Row],[Pcode]]="","",IF(OFFSET(CampList[Opening Date],MATCH(Table_NFI[[#This Row],[Pcode]],CampList[CP_Pcode],0)-1,0,1,1)&gt;=NFI_Monitor_Date,1,0))</f>
        <v>0</v>
      </c>
      <c r="AQ10" s="579" t="str">
        <f>IFERROR(VLOOKUP(Table_NFI[[#This Row],[Camp Name]],CL,3,0),"")</f>
        <v>Open</v>
      </c>
      <c r="AR10" s="378" t="str">
        <f ca="1">IF(Table_NFI[[#This Row],[Pcode]]="","",OFFSET(CampList[Priority],MATCH(Table_NFI[[#This Row],[Pcode]],CampList[CP_Pcode],0)-1,0,1,1))</f>
        <v>P4</v>
      </c>
      <c r="AS10" s="377">
        <f>IFERROR(Table_NFI[[#This Row],[Kitchen Set]]/VLOOKUP(Table_NFI[[#This Row],[Camp Name]],CL,4,0),"")</f>
        <v>2.1038961038961039</v>
      </c>
      <c r="AT10" s="572" t="s">
        <v>1095</v>
      </c>
      <c r="AU10" s="575"/>
    </row>
    <row r="11" spans="1:52" s="589" customFormat="1" ht="15" customHeight="1" x14ac:dyDescent="0.25">
      <c r="A11" s="381">
        <f t="shared" si="0"/>
        <v>41.6</v>
      </c>
      <c r="B11" s="571">
        <v>41274</v>
      </c>
      <c r="C11" s="572" t="s">
        <v>455</v>
      </c>
      <c r="D11" s="573" t="s">
        <v>455</v>
      </c>
      <c r="E11" s="572" t="s">
        <v>380</v>
      </c>
      <c r="F11" s="374" t="s">
        <v>529</v>
      </c>
      <c r="G11" s="374" t="s">
        <v>62</v>
      </c>
      <c r="H11" s="375">
        <v>12</v>
      </c>
      <c r="I11" s="375"/>
      <c r="J11" s="375"/>
      <c r="K11" s="375"/>
      <c r="L11" s="376"/>
      <c r="M11" s="376"/>
      <c r="N11" s="376"/>
      <c r="O11" s="376"/>
      <c r="P11" s="378">
        <v>0</v>
      </c>
      <c r="Q11" s="378">
        <v>0</v>
      </c>
      <c r="R11" s="378"/>
      <c r="S11" s="378"/>
      <c r="T11" s="378"/>
      <c r="U11" s="378"/>
      <c r="V11" s="533"/>
      <c r="W11" s="378"/>
      <c r="X11" s="378"/>
      <c r="Y11" s="378">
        <f>IF(NFI_Expiration=1,IF($A11&lt;VLOOKUP(H$5,NFI,5,0),1,0)*Table_NFI[[#This Row],[Hygiene Kit]],Table_NFI[Hygiene Kit])</f>
        <v>0</v>
      </c>
      <c r="Z11" s="378">
        <f>IF(NFI_Expiration=1,IF($A11&lt;VLOOKUP(I$5,NFI,5,0),1,0)*Table_NFI[[#This Row],[NFI Core Kit]],Table_NFI[NFI Core Kit])</f>
        <v>0</v>
      </c>
      <c r="AA11" s="378">
        <f>IF(NFI_Expiration=1,IF($A11&lt;VLOOKUP(J$5,NFI,5,0),1,0)*Table_NFI[[#This Row],[Sanitary Kit]],Table_NFI[Sanitary Kit])</f>
        <v>0</v>
      </c>
      <c r="AB11" s="378">
        <f>IF(NFI_Expiration=1,IF($A11&lt;VLOOKUP(K$5,NFI,5,0),1,0)*Table_NFI[[#This Row],[Mosquito net]],Table_NFI[Mosquito net])</f>
        <v>0</v>
      </c>
      <c r="AC11" s="378">
        <f>IF(NFI_Expiration=1,IF($A11&lt;VLOOKUP(L$5,NFI,5,0),1,0)*Table_NFI[[#This Row],[Tarpaulin]],Table_NFI[[#This Row],[Tarpaulin]])</f>
        <v>0</v>
      </c>
      <c r="AD11" s="378">
        <f>IF(NFI_Expiration=1,IF($A11&lt;VLOOKUP(M$5,NFI,5,0),1,0)*Table_NFI[[#This Row],[Blanket]],Table_NFI[[#This Row],[Blanket]])</f>
        <v>0</v>
      </c>
      <c r="AE11" s="378">
        <f>IF(NFI_Expiration=1,IF($A11&lt;VLOOKUP(N$5,NFI,5,0),1,0)*Table_NFI[[#This Row],[Kitchen Set]],Table_NFI[Kitchen Set])</f>
        <v>0</v>
      </c>
      <c r="AF11" s="378">
        <f>IF(NFI_Expiration=1,IF($A11&lt;VLOOKUP(O$5,NFI,5,0),1,0)*Table_NFI[[#This Row],[Clothes Kit]],Table_NFI[Clothes Kit])</f>
        <v>0</v>
      </c>
      <c r="AG11" s="378">
        <f>IF(NFI_Expiration=1,IF($A11&lt;VLOOKUP(P$5,NFI,5,0),1,0)*Table_NFI[[#This Row],[Plastic Bucket]],Table_NFI[Plastic Bucket])</f>
        <v>0</v>
      </c>
      <c r="AH11" s="378">
        <f>IF(NFI_Expiration=1,IF($A11&lt;VLOOKUP(Q$5,NFI,5,0),1,0)*Table_NFI[[#This Row],[Plastic Mat]],Table_NFI[Plastic Mat])*IF(Table_NFI[[#This Row],[Distribution Date]]&gt;"2014-04-01",1,2.5)</f>
        <v>0</v>
      </c>
      <c r="AI11" s="378">
        <f>IF(NFI_Expiration=1,IF($A11&lt;VLOOKUP(R$5,NFI,5,0),1,0)*Table_NFI[[#This Row],[Winter Clothes Adult]],Table_NFI[Winter Clothes Adult])</f>
        <v>0</v>
      </c>
      <c r="AJ11" s="378">
        <f>IF(NFI_Expiration=1,IF($A11&lt;VLOOKUP(S$5,NFI,5,0),1,0)*Table_NFI[[#This Row],[Winter Clothes Children]],Table_NFI[Winter Clothes Children])</f>
        <v>0</v>
      </c>
      <c r="AK11" s="378">
        <f>IF(NFI_Expiration=1,IF($A11&lt;VLOOKUP(T$5,NFI,5,0),1,0)*Table_NFI[[#This Row],[Winter Items Other]],Table_NFI[Winter Items Other])</f>
        <v>0</v>
      </c>
      <c r="AL11" s="378">
        <f>IF(NFI_Expiration=1,IF($A11&lt;VLOOKUP(M$5,NFI,5,0),1,0)*Table_NFI[[#This Row],[Winter Blanket]],Table_NFI[[#This Row],[Winter Blanket]])</f>
        <v>0</v>
      </c>
      <c r="AM11" s="378">
        <f>IF(Table_NFI[[#This Row],[Winter Clothes Adult]]+Table_NFI[[#This Row],[Winter Clothes Children]]+Table_NFI[[#This Row],[Winter Items Other]]+Table_NFI[[#This Row],[Winter Blanket]]&gt;0,1,0)</f>
        <v>0</v>
      </c>
      <c r="AN11" s="418">
        <f>IF(NFI_Expiration=1,IF($A11&lt;VLOOKUP(V$5,NFI,5,0),1,0)*Table_NFI[[#This Row],[Jerry Can]],Table_NFI[Jerry Can])</f>
        <v>0</v>
      </c>
      <c r="AO11" s="579" t="str">
        <f>IFERROR(VLOOKUP(Table_NFI[[#This Row],[Camp Name]],CL,2,0),"")</f>
        <v>MMR001CMP179</v>
      </c>
      <c r="AP11" s="574">
        <f ca="1">IF(Table_NFI[[#This Row],[Pcode]]="","",IF(OFFSET(CampList[Opening Date],MATCH(Table_NFI[[#This Row],[Pcode]],CampList[CP_Pcode],0)-1,0,1,1)&gt;=NFI_Monitor_Date,1,0))</f>
        <v>0</v>
      </c>
      <c r="AQ11" s="579" t="str">
        <f>IFERROR(VLOOKUP(Table_NFI[[#This Row],[Camp Name]],CL,3,0),"")</f>
        <v>Open</v>
      </c>
      <c r="AR11" s="378" t="str">
        <f ca="1">IF(Table_NFI[[#This Row],[Pcode]]="","",OFFSET(CampList[Priority],MATCH(Table_NFI[[#This Row],[Pcode]],CampList[CP_Pcode],0)-1,0,1,1))</f>
        <v>P4</v>
      </c>
      <c r="AS11" s="377">
        <f>IFERROR(Table_NFI[[#This Row],[Kitchen Set]]/VLOOKUP(Table_NFI[[#This Row],[Camp Name]],CL,4,0),"")</f>
        <v>0</v>
      </c>
      <c r="AT11" s="572" t="s">
        <v>1095</v>
      </c>
      <c r="AU11" s="575"/>
    </row>
    <row r="12" spans="1:52" s="589" customFormat="1" ht="15" customHeight="1" x14ac:dyDescent="0.25">
      <c r="A12" s="381">
        <f t="shared" si="0"/>
        <v>53.366666666666667</v>
      </c>
      <c r="B12" s="571">
        <v>40921</v>
      </c>
      <c r="C12" s="572" t="s">
        <v>454</v>
      </c>
      <c r="D12" s="573" t="s">
        <v>462</v>
      </c>
      <c r="E12" s="572" t="s">
        <v>380</v>
      </c>
      <c r="F12" s="374" t="s">
        <v>529</v>
      </c>
      <c r="G12" s="374" t="s">
        <v>62</v>
      </c>
      <c r="H12" s="375"/>
      <c r="I12" s="375"/>
      <c r="J12" s="375"/>
      <c r="K12" s="375">
        <v>52</v>
      </c>
      <c r="L12" s="376">
        <v>26</v>
      </c>
      <c r="M12" s="376">
        <v>36</v>
      </c>
      <c r="N12" s="376">
        <v>0</v>
      </c>
      <c r="O12" s="376">
        <v>26</v>
      </c>
      <c r="P12" s="378">
        <v>26</v>
      </c>
      <c r="Q12" s="378">
        <v>26</v>
      </c>
      <c r="R12" s="378"/>
      <c r="S12" s="378"/>
      <c r="T12" s="378"/>
      <c r="U12" s="378"/>
      <c r="V12" s="533"/>
      <c r="W12" s="378"/>
      <c r="X12" s="378"/>
      <c r="Y12" s="378">
        <f>IF(NFI_Expiration=1,IF($A12&lt;VLOOKUP(H$5,NFI,5,0),1,0)*Table_NFI[[#This Row],[Hygiene Kit]],Table_NFI[Hygiene Kit])</f>
        <v>0</v>
      </c>
      <c r="Z12" s="378">
        <f>IF(NFI_Expiration=1,IF($A12&lt;VLOOKUP(I$5,NFI,5,0),1,0)*Table_NFI[[#This Row],[NFI Core Kit]],Table_NFI[NFI Core Kit])</f>
        <v>0</v>
      </c>
      <c r="AA12" s="378">
        <f>IF(NFI_Expiration=1,IF($A12&lt;VLOOKUP(J$5,NFI,5,0),1,0)*Table_NFI[[#This Row],[Sanitary Kit]],Table_NFI[Sanitary Kit])</f>
        <v>0</v>
      </c>
      <c r="AB12" s="378">
        <f>IF(NFI_Expiration=1,IF($A12&lt;VLOOKUP(K$5,NFI,5,0),1,0)*Table_NFI[[#This Row],[Mosquito net]],Table_NFI[Mosquito net])</f>
        <v>0</v>
      </c>
      <c r="AC12" s="378">
        <f>IF(NFI_Expiration=1,IF($A12&lt;VLOOKUP(L$5,NFI,5,0),1,0)*Table_NFI[[#This Row],[Tarpaulin]],Table_NFI[[#This Row],[Tarpaulin]])</f>
        <v>0</v>
      </c>
      <c r="AD12" s="378">
        <f>IF(NFI_Expiration=1,IF($A12&lt;VLOOKUP(M$5,NFI,5,0),1,0)*Table_NFI[[#This Row],[Blanket]],Table_NFI[[#This Row],[Blanket]])</f>
        <v>0</v>
      </c>
      <c r="AE12" s="378">
        <f>IF(NFI_Expiration=1,IF($A12&lt;VLOOKUP(N$5,NFI,5,0),1,0)*Table_NFI[[#This Row],[Kitchen Set]],Table_NFI[Kitchen Set])</f>
        <v>0</v>
      </c>
      <c r="AF12" s="378">
        <f>IF(NFI_Expiration=1,IF($A12&lt;VLOOKUP(O$5,NFI,5,0),1,0)*Table_NFI[[#This Row],[Clothes Kit]],Table_NFI[Clothes Kit])</f>
        <v>0</v>
      </c>
      <c r="AG12" s="378">
        <f>IF(NFI_Expiration=1,IF($A12&lt;VLOOKUP(P$5,NFI,5,0),1,0)*Table_NFI[[#This Row],[Plastic Bucket]],Table_NFI[Plastic Bucket])</f>
        <v>0</v>
      </c>
      <c r="AH12" s="378">
        <f>IF(NFI_Expiration=1,IF($A12&lt;VLOOKUP(Q$5,NFI,5,0),1,0)*Table_NFI[[#This Row],[Plastic Mat]],Table_NFI[Plastic Mat])*IF(Table_NFI[[#This Row],[Distribution Date]]&gt;"2014-04-01",1,2.5)</f>
        <v>0</v>
      </c>
      <c r="AI12" s="378">
        <f>IF(NFI_Expiration=1,IF($A12&lt;VLOOKUP(R$5,NFI,5,0),1,0)*Table_NFI[[#This Row],[Winter Clothes Adult]],Table_NFI[Winter Clothes Adult])</f>
        <v>0</v>
      </c>
      <c r="AJ12" s="378">
        <f>IF(NFI_Expiration=1,IF($A12&lt;VLOOKUP(S$5,NFI,5,0),1,0)*Table_NFI[[#This Row],[Winter Clothes Children]],Table_NFI[Winter Clothes Children])</f>
        <v>0</v>
      </c>
      <c r="AK12" s="378">
        <f>IF(NFI_Expiration=1,IF($A12&lt;VLOOKUP(T$5,NFI,5,0),1,0)*Table_NFI[[#This Row],[Winter Items Other]],Table_NFI[Winter Items Other])</f>
        <v>0</v>
      </c>
      <c r="AL12" s="378">
        <f>IF(NFI_Expiration=1,IF($A12&lt;VLOOKUP(M$5,NFI,5,0),1,0)*Table_NFI[[#This Row],[Winter Blanket]],Table_NFI[[#This Row],[Winter Blanket]])</f>
        <v>0</v>
      </c>
      <c r="AM12" s="378">
        <f>IF(Table_NFI[[#This Row],[Winter Clothes Adult]]+Table_NFI[[#This Row],[Winter Clothes Children]]+Table_NFI[[#This Row],[Winter Items Other]]+Table_NFI[[#This Row],[Winter Blanket]]&gt;0,1,0)</f>
        <v>0</v>
      </c>
      <c r="AN12" s="418">
        <f>IF(NFI_Expiration=1,IF($A12&lt;VLOOKUP(V$5,NFI,5,0),1,0)*Table_NFI[[#This Row],[Jerry Can]],Table_NFI[Jerry Can])</f>
        <v>0</v>
      </c>
      <c r="AO12" s="579" t="str">
        <f>IFERROR(VLOOKUP(Table_NFI[[#This Row],[Camp Name]],CL,2,0),"")</f>
        <v>MMR001CMP179</v>
      </c>
      <c r="AP12" s="574">
        <f ca="1">IF(Table_NFI[[#This Row],[Pcode]]="","",IF(OFFSET(CampList[Opening Date],MATCH(Table_NFI[[#This Row],[Pcode]],CampList[CP_Pcode],0)-1,0,1,1)&gt;=NFI_Monitor_Date,1,0))</f>
        <v>0</v>
      </c>
      <c r="AQ12" s="579" t="str">
        <f>IFERROR(VLOOKUP(Table_NFI[[#This Row],[Camp Name]],CL,3,0),"")</f>
        <v>Open</v>
      </c>
      <c r="AR12" s="378" t="str">
        <f ca="1">IF(Table_NFI[[#This Row],[Pcode]]="","",OFFSET(CampList[Priority],MATCH(Table_NFI[[#This Row],[Pcode]],CampList[CP_Pcode],0)-1,0,1,1))</f>
        <v>P4</v>
      </c>
      <c r="AS12" s="377">
        <f>IFERROR(Table_NFI[[#This Row],[Kitchen Set]]/VLOOKUP(Table_NFI[[#This Row],[Camp Name]],CL,4,0),"")</f>
        <v>0</v>
      </c>
      <c r="AT12" s="572" t="s">
        <v>1095</v>
      </c>
      <c r="AU12" s="575"/>
    </row>
    <row r="13" spans="1:52" s="589" customFormat="1" ht="15" customHeight="1" x14ac:dyDescent="0.25">
      <c r="A13" s="381">
        <f t="shared" si="0"/>
        <v>53.366666666666667</v>
      </c>
      <c r="B13" s="571">
        <v>40921</v>
      </c>
      <c r="C13" s="572" t="s">
        <v>454</v>
      </c>
      <c r="D13" s="572" t="s">
        <v>462</v>
      </c>
      <c r="E13" s="572" t="s">
        <v>380</v>
      </c>
      <c r="F13" s="374" t="s">
        <v>529</v>
      </c>
      <c r="G13" s="374" t="s">
        <v>62</v>
      </c>
      <c r="H13" s="375"/>
      <c r="I13" s="375"/>
      <c r="J13" s="375"/>
      <c r="K13" s="375">
        <v>120</v>
      </c>
      <c r="L13" s="376">
        <v>60</v>
      </c>
      <c r="M13" s="376">
        <v>60</v>
      </c>
      <c r="N13" s="376">
        <v>0</v>
      </c>
      <c r="O13" s="376">
        <v>60</v>
      </c>
      <c r="P13" s="378">
        <v>60</v>
      </c>
      <c r="Q13" s="378">
        <v>60</v>
      </c>
      <c r="R13" s="378"/>
      <c r="S13" s="378"/>
      <c r="T13" s="378"/>
      <c r="U13" s="378"/>
      <c r="V13" s="533"/>
      <c r="W13" s="378"/>
      <c r="X13" s="378"/>
      <c r="Y13" s="378">
        <f>IF(NFI_Expiration=1,IF($A13&lt;VLOOKUP(H$5,NFI,5,0),1,0)*Table_NFI[[#This Row],[Hygiene Kit]],Table_NFI[Hygiene Kit])</f>
        <v>0</v>
      </c>
      <c r="Z13" s="378">
        <f>IF(NFI_Expiration=1,IF($A13&lt;VLOOKUP(I$5,NFI,5,0),1,0)*Table_NFI[[#This Row],[NFI Core Kit]],Table_NFI[NFI Core Kit])</f>
        <v>0</v>
      </c>
      <c r="AA13" s="378">
        <f>IF(NFI_Expiration=1,IF($A13&lt;VLOOKUP(J$5,NFI,5,0),1,0)*Table_NFI[[#This Row],[Sanitary Kit]],Table_NFI[Sanitary Kit])</f>
        <v>0</v>
      </c>
      <c r="AB13" s="378">
        <f>IF(NFI_Expiration=1,IF($A13&lt;VLOOKUP(K$5,NFI,5,0),1,0)*Table_NFI[[#This Row],[Mosquito net]],Table_NFI[Mosquito net])</f>
        <v>0</v>
      </c>
      <c r="AC13" s="378">
        <f>IF(NFI_Expiration=1,IF($A13&lt;VLOOKUP(L$5,NFI,5,0),1,0)*Table_NFI[[#This Row],[Tarpaulin]],Table_NFI[[#This Row],[Tarpaulin]])</f>
        <v>0</v>
      </c>
      <c r="AD13" s="378">
        <f>IF(NFI_Expiration=1,IF($A13&lt;VLOOKUP(M$5,NFI,5,0),1,0)*Table_NFI[[#This Row],[Blanket]],Table_NFI[[#This Row],[Blanket]])</f>
        <v>0</v>
      </c>
      <c r="AE13" s="378">
        <f>IF(NFI_Expiration=1,IF($A13&lt;VLOOKUP(N$5,NFI,5,0),1,0)*Table_NFI[[#This Row],[Kitchen Set]],Table_NFI[Kitchen Set])</f>
        <v>0</v>
      </c>
      <c r="AF13" s="378">
        <f>IF(NFI_Expiration=1,IF($A13&lt;VLOOKUP(O$5,NFI,5,0),1,0)*Table_NFI[[#This Row],[Clothes Kit]],Table_NFI[Clothes Kit])</f>
        <v>0</v>
      </c>
      <c r="AG13" s="378">
        <f>IF(NFI_Expiration=1,IF($A13&lt;VLOOKUP(P$5,NFI,5,0),1,0)*Table_NFI[[#This Row],[Plastic Bucket]],Table_NFI[Plastic Bucket])</f>
        <v>0</v>
      </c>
      <c r="AH13" s="378">
        <f>IF(NFI_Expiration=1,IF($A13&lt;VLOOKUP(Q$5,NFI,5,0),1,0)*Table_NFI[[#This Row],[Plastic Mat]],Table_NFI[Plastic Mat])*IF(Table_NFI[[#This Row],[Distribution Date]]&gt;"2014-04-01",1,2.5)</f>
        <v>0</v>
      </c>
      <c r="AI13" s="378">
        <f>IF(NFI_Expiration=1,IF($A13&lt;VLOOKUP(R$5,NFI,5,0),1,0)*Table_NFI[[#This Row],[Winter Clothes Adult]],Table_NFI[Winter Clothes Adult])</f>
        <v>0</v>
      </c>
      <c r="AJ13" s="378">
        <f>IF(NFI_Expiration=1,IF($A13&lt;VLOOKUP(S$5,NFI,5,0),1,0)*Table_NFI[[#This Row],[Winter Clothes Children]],Table_NFI[Winter Clothes Children])</f>
        <v>0</v>
      </c>
      <c r="AK13" s="378">
        <f>IF(NFI_Expiration=1,IF($A13&lt;VLOOKUP(T$5,NFI,5,0),1,0)*Table_NFI[[#This Row],[Winter Items Other]],Table_NFI[Winter Items Other])</f>
        <v>0</v>
      </c>
      <c r="AL13" s="378">
        <f>IF(NFI_Expiration=1,IF($A13&lt;VLOOKUP(M$5,NFI,5,0),1,0)*Table_NFI[[#This Row],[Winter Blanket]],Table_NFI[[#This Row],[Winter Blanket]])</f>
        <v>0</v>
      </c>
      <c r="AM13" s="378">
        <f>IF(Table_NFI[[#This Row],[Winter Clothes Adult]]+Table_NFI[[#This Row],[Winter Clothes Children]]+Table_NFI[[#This Row],[Winter Items Other]]+Table_NFI[[#This Row],[Winter Blanket]]&gt;0,1,0)</f>
        <v>0</v>
      </c>
      <c r="AN13" s="418">
        <f>IF(NFI_Expiration=1,IF($A13&lt;VLOOKUP(V$5,NFI,5,0),1,0)*Table_NFI[[#This Row],[Jerry Can]],Table_NFI[Jerry Can])</f>
        <v>0</v>
      </c>
      <c r="AO13" s="579" t="str">
        <f>IFERROR(VLOOKUP(Table_NFI[[#This Row],[Camp Name]],CL,2,0),"")</f>
        <v>MMR001CMP179</v>
      </c>
      <c r="AP13" s="574">
        <f ca="1">IF(Table_NFI[[#This Row],[Pcode]]="","",IF(OFFSET(CampList[Opening Date],MATCH(Table_NFI[[#This Row],[Pcode]],CampList[CP_Pcode],0)-1,0,1,1)&gt;=NFI_Monitor_Date,1,0))</f>
        <v>0</v>
      </c>
      <c r="AQ13" s="579" t="str">
        <f>IFERROR(VLOOKUP(Table_NFI[[#This Row],[Camp Name]],CL,3,0),"")</f>
        <v>Open</v>
      </c>
      <c r="AR13" s="378" t="str">
        <f ca="1">IF(Table_NFI[[#This Row],[Pcode]]="","",OFFSET(CampList[Priority],MATCH(Table_NFI[[#This Row],[Pcode]],CampList[CP_Pcode],0)-1,0,1,1))</f>
        <v>P4</v>
      </c>
      <c r="AS13" s="377">
        <f>IFERROR(Table_NFI[[#This Row],[Kitchen Set]]/VLOOKUP(Table_NFI[[#This Row],[Camp Name]],CL,4,0),"")</f>
        <v>0</v>
      </c>
      <c r="AT13" s="572" t="s">
        <v>1095</v>
      </c>
      <c r="AU13" s="575"/>
    </row>
    <row r="14" spans="1:52" s="130" customFormat="1" ht="15" customHeight="1" x14ac:dyDescent="0.25">
      <c r="A14" s="381">
        <f t="shared" si="0"/>
        <v>53.366666666666667</v>
      </c>
      <c r="B14" s="571">
        <v>40921</v>
      </c>
      <c r="C14" s="572" t="s">
        <v>454</v>
      </c>
      <c r="D14" s="573" t="s">
        <v>462</v>
      </c>
      <c r="E14" s="572" t="s">
        <v>380</v>
      </c>
      <c r="F14" s="374" t="s">
        <v>529</v>
      </c>
      <c r="G14" s="374" t="s">
        <v>62</v>
      </c>
      <c r="H14" s="375"/>
      <c r="I14" s="375"/>
      <c r="J14" s="375"/>
      <c r="K14" s="375">
        <v>148</v>
      </c>
      <c r="L14" s="376">
        <v>74</v>
      </c>
      <c r="M14" s="376">
        <v>74</v>
      </c>
      <c r="N14" s="376">
        <v>0</v>
      </c>
      <c r="O14" s="376">
        <v>74</v>
      </c>
      <c r="P14" s="378">
        <v>74</v>
      </c>
      <c r="Q14" s="378">
        <v>74</v>
      </c>
      <c r="R14" s="378"/>
      <c r="S14" s="378"/>
      <c r="T14" s="378"/>
      <c r="U14" s="378"/>
      <c r="V14" s="533"/>
      <c r="W14" s="378"/>
      <c r="X14" s="378"/>
      <c r="Y14" s="378">
        <f>IF(NFI_Expiration=1,IF($A14&lt;VLOOKUP(H$5,NFI,5,0),1,0)*Table_NFI[[#This Row],[Hygiene Kit]],Table_NFI[Hygiene Kit])</f>
        <v>0</v>
      </c>
      <c r="Z14" s="378">
        <f>IF(NFI_Expiration=1,IF($A14&lt;VLOOKUP(I$5,NFI,5,0),1,0)*Table_NFI[[#This Row],[NFI Core Kit]],Table_NFI[NFI Core Kit])</f>
        <v>0</v>
      </c>
      <c r="AA14" s="378">
        <f>IF(NFI_Expiration=1,IF($A14&lt;VLOOKUP(J$5,NFI,5,0),1,0)*Table_NFI[[#This Row],[Sanitary Kit]],Table_NFI[Sanitary Kit])</f>
        <v>0</v>
      </c>
      <c r="AB14" s="378">
        <f>IF(NFI_Expiration=1,IF($A14&lt;VLOOKUP(K$5,NFI,5,0),1,0)*Table_NFI[[#This Row],[Mosquito net]],Table_NFI[Mosquito net])</f>
        <v>0</v>
      </c>
      <c r="AC14" s="378">
        <f>IF(NFI_Expiration=1,IF($A14&lt;VLOOKUP(L$5,NFI,5,0),1,0)*Table_NFI[[#This Row],[Tarpaulin]],Table_NFI[[#This Row],[Tarpaulin]])</f>
        <v>0</v>
      </c>
      <c r="AD14" s="378">
        <f>IF(NFI_Expiration=1,IF($A14&lt;VLOOKUP(M$5,NFI,5,0),1,0)*Table_NFI[[#This Row],[Blanket]],Table_NFI[[#This Row],[Blanket]])</f>
        <v>0</v>
      </c>
      <c r="AE14" s="378">
        <f>IF(NFI_Expiration=1,IF($A14&lt;VLOOKUP(N$5,NFI,5,0),1,0)*Table_NFI[[#This Row],[Kitchen Set]],Table_NFI[Kitchen Set])</f>
        <v>0</v>
      </c>
      <c r="AF14" s="378">
        <f>IF(NFI_Expiration=1,IF($A14&lt;VLOOKUP(O$5,NFI,5,0),1,0)*Table_NFI[[#This Row],[Clothes Kit]],Table_NFI[Clothes Kit])</f>
        <v>0</v>
      </c>
      <c r="AG14" s="378">
        <f>IF(NFI_Expiration=1,IF($A14&lt;VLOOKUP(P$5,NFI,5,0),1,0)*Table_NFI[[#This Row],[Plastic Bucket]],Table_NFI[Plastic Bucket])</f>
        <v>0</v>
      </c>
      <c r="AH14" s="378">
        <f>IF(NFI_Expiration=1,IF($A14&lt;VLOOKUP(Q$5,NFI,5,0),1,0)*Table_NFI[[#This Row],[Plastic Mat]],Table_NFI[Plastic Mat])*IF(Table_NFI[[#This Row],[Distribution Date]]&gt;"2014-04-01",1,2.5)</f>
        <v>0</v>
      </c>
      <c r="AI14" s="378">
        <f>IF(NFI_Expiration=1,IF($A14&lt;VLOOKUP(R$5,NFI,5,0),1,0)*Table_NFI[[#This Row],[Winter Clothes Adult]],Table_NFI[Winter Clothes Adult])</f>
        <v>0</v>
      </c>
      <c r="AJ14" s="378">
        <f>IF(NFI_Expiration=1,IF($A14&lt;VLOOKUP(S$5,NFI,5,0),1,0)*Table_NFI[[#This Row],[Winter Clothes Children]],Table_NFI[Winter Clothes Children])</f>
        <v>0</v>
      </c>
      <c r="AK14" s="378">
        <f>IF(NFI_Expiration=1,IF($A14&lt;VLOOKUP(T$5,NFI,5,0),1,0)*Table_NFI[[#This Row],[Winter Items Other]],Table_NFI[Winter Items Other])</f>
        <v>0</v>
      </c>
      <c r="AL14" s="378">
        <f>IF(NFI_Expiration=1,IF($A14&lt;VLOOKUP(M$5,NFI,5,0),1,0)*Table_NFI[[#This Row],[Winter Blanket]],Table_NFI[[#This Row],[Winter Blanket]])</f>
        <v>0</v>
      </c>
      <c r="AM14" s="378">
        <f>IF(Table_NFI[[#This Row],[Winter Clothes Adult]]+Table_NFI[[#This Row],[Winter Clothes Children]]+Table_NFI[[#This Row],[Winter Items Other]]+Table_NFI[[#This Row],[Winter Blanket]]&gt;0,1,0)</f>
        <v>0</v>
      </c>
      <c r="AN14" s="418">
        <f>IF(NFI_Expiration=1,IF($A14&lt;VLOOKUP(V$5,NFI,5,0),1,0)*Table_NFI[[#This Row],[Jerry Can]],Table_NFI[Jerry Can])</f>
        <v>0</v>
      </c>
      <c r="AO14" s="579" t="str">
        <f>IFERROR(VLOOKUP(Table_NFI[[#This Row],[Camp Name]],CL,2,0),"")</f>
        <v>MMR001CMP179</v>
      </c>
      <c r="AP14" s="574">
        <f ca="1">IF(Table_NFI[[#This Row],[Pcode]]="","",IF(OFFSET(CampList[Opening Date],MATCH(Table_NFI[[#This Row],[Pcode]],CampList[CP_Pcode],0)-1,0,1,1)&gt;=NFI_Monitor_Date,1,0))</f>
        <v>0</v>
      </c>
      <c r="AQ14" s="579" t="str">
        <f>IFERROR(VLOOKUP(Table_NFI[[#This Row],[Camp Name]],CL,3,0),"")</f>
        <v>Open</v>
      </c>
      <c r="AR14" s="378" t="str">
        <f ca="1">IF(Table_NFI[[#This Row],[Pcode]]="","",OFFSET(CampList[Priority],MATCH(Table_NFI[[#This Row],[Pcode]],CampList[CP_Pcode],0)-1,0,1,1))</f>
        <v>P4</v>
      </c>
      <c r="AS14" s="377">
        <f>IFERROR(Table_NFI[[#This Row],[Kitchen Set]]/VLOOKUP(Table_NFI[[#This Row],[Camp Name]],CL,4,0),"")</f>
        <v>0</v>
      </c>
      <c r="AT14" s="572" t="s">
        <v>1095</v>
      </c>
      <c r="AU14" s="575"/>
    </row>
    <row r="15" spans="1:52" s="576" customFormat="1" ht="15" customHeight="1" x14ac:dyDescent="0.25">
      <c r="A15" s="381">
        <f t="shared" si="0"/>
        <v>16.399999999999999</v>
      </c>
      <c r="B15" s="571">
        <v>42030</v>
      </c>
      <c r="C15" s="577" t="s">
        <v>454</v>
      </c>
      <c r="D15" s="577" t="s">
        <v>462</v>
      </c>
      <c r="E15" s="577" t="s">
        <v>380</v>
      </c>
      <c r="F15" s="577" t="s">
        <v>529</v>
      </c>
      <c r="G15" s="577" t="s">
        <v>120</v>
      </c>
      <c r="H15" s="376"/>
      <c r="I15" s="376">
        <v>100</v>
      </c>
      <c r="J15" s="376"/>
      <c r="K15" s="376">
        <v>200</v>
      </c>
      <c r="L15" s="376">
        <v>200</v>
      </c>
      <c r="M15" s="376">
        <v>200</v>
      </c>
      <c r="N15" s="376">
        <v>100</v>
      </c>
      <c r="O15" s="376"/>
      <c r="P15" s="378">
        <v>100</v>
      </c>
      <c r="Q15" s="378">
        <v>500</v>
      </c>
      <c r="R15" s="378"/>
      <c r="S15" s="378"/>
      <c r="T15" s="378"/>
      <c r="U15" s="378"/>
      <c r="V15" s="533">
        <v>100</v>
      </c>
      <c r="W15" s="378"/>
      <c r="X15" s="378"/>
      <c r="Y15" s="378">
        <f>IF(NFI_Expiration=1,IF($A15&lt;VLOOKUP(H$5,NFI,5,0),1,0)*Table_NFI[[#This Row],[Hygiene Kit]],Table_NFI[Hygiene Kit])</f>
        <v>0</v>
      </c>
      <c r="Z15" s="378">
        <f>IF(NFI_Expiration=1,IF($A15&lt;VLOOKUP(I$5,NFI,5,0),1,0)*Table_NFI[[#This Row],[NFI Core Kit]],Table_NFI[NFI Core Kit])</f>
        <v>0</v>
      </c>
      <c r="AA15" s="378">
        <f>IF(NFI_Expiration=1,IF($A15&lt;VLOOKUP(J$5,NFI,5,0),1,0)*Table_NFI[[#This Row],[Sanitary Kit]],Table_NFI[Sanitary Kit])</f>
        <v>0</v>
      </c>
      <c r="AB15" s="378">
        <f>IF(NFI_Expiration=1,IF($A15&lt;VLOOKUP(K$5,NFI,5,0),1,0)*Table_NFI[[#This Row],[Mosquito net]],Table_NFI[Mosquito net])</f>
        <v>0</v>
      </c>
      <c r="AC15" s="378">
        <f>IF(NFI_Expiration=1,IF($A15&lt;VLOOKUP(L$5,NFI,5,0),1,0)*Table_NFI[[#This Row],[Tarpaulin]],Table_NFI[[#This Row],[Tarpaulin]])</f>
        <v>0</v>
      </c>
      <c r="AD15" s="378">
        <f>IF(NFI_Expiration=1,IF($A15&lt;VLOOKUP(M$5,NFI,5,0),1,0)*Table_NFI[[#This Row],[Blanket]],Table_NFI[[#This Row],[Blanket]])</f>
        <v>0</v>
      </c>
      <c r="AE15" s="378">
        <f>IF(NFI_Expiration=1,IF($A15&lt;VLOOKUP(N$5,NFI,5,0),1,0)*Table_NFI[[#This Row],[Kitchen Set]],Table_NFI[Kitchen Set])</f>
        <v>0</v>
      </c>
      <c r="AF15" s="378">
        <f>IF(NFI_Expiration=1,IF($A15&lt;VLOOKUP(O$5,NFI,5,0),1,0)*Table_NFI[[#This Row],[Clothes Kit]],Table_NFI[Clothes Kit])</f>
        <v>0</v>
      </c>
      <c r="AG15" s="378">
        <f>IF(NFI_Expiration=1,IF($A15&lt;VLOOKUP(P$5,NFI,5,0),1,0)*Table_NFI[[#This Row],[Plastic Bucket]],Table_NFI[Plastic Bucket])</f>
        <v>0</v>
      </c>
      <c r="AH15" s="378">
        <f>IF(NFI_Expiration=1,IF($A15&lt;VLOOKUP(Q$5,NFI,5,0),1,0)*Table_NFI[[#This Row],[Plastic Mat]],Table_NFI[Plastic Mat])*IF(Table_NFI[[#This Row],[Distribution Date]]&gt;"2014-04-01",1,2.5)</f>
        <v>0</v>
      </c>
      <c r="AI15" s="378">
        <f>IF(NFI_Expiration=1,IF($A15&lt;VLOOKUP(R$5,NFI,5,0),1,0)*Table_NFI[[#This Row],[Winter Clothes Adult]],Table_NFI[Winter Clothes Adult])</f>
        <v>0</v>
      </c>
      <c r="AJ15" s="378">
        <f>IF(NFI_Expiration=1,IF($A15&lt;VLOOKUP(S$5,NFI,5,0),1,0)*Table_NFI[[#This Row],[Winter Clothes Children]],Table_NFI[Winter Clothes Children])</f>
        <v>0</v>
      </c>
      <c r="AK15" s="378">
        <f>IF(NFI_Expiration=1,IF($A15&lt;VLOOKUP(T$5,NFI,5,0),1,0)*Table_NFI[[#This Row],[Winter Items Other]],Table_NFI[Winter Items Other])</f>
        <v>0</v>
      </c>
      <c r="AL15" s="378">
        <f>IF(NFI_Expiration=1,IF($A15&lt;VLOOKUP(M$5,NFI,5,0),1,0)*Table_NFI[[#This Row],[Winter Blanket]],Table_NFI[[#This Row],[Winter Blanket]])</f>
        <v>0</v>
      </c>
      <c r="AM15" s="378">
        <f>IF(Table_NFI[[#This Row],[Winter Clothes Adult]]+Table_NFI[[#This Row],[Winter Clothes Children]]+Table_NFI[[#This Row],[Winter Items Other]]+Table_NFI[[#This Row],[Winter Blanket]]&gt;0,1,0)</f>
        <v>0</v>
      </c>
      <c r="AN15" s="418">
        <f>IF(NFI_Expiration=1,IF($A15&lt;VLOOKUP(V$5,NFI,5,0),1,0)*Table_NFI[[#This Row],[Jerry Can]],Table_NFI[Jerry Can])</f>
        <v>0</v>
      </c>
      <c r="AO15" s="579" t="str">
        <f>IFERROR(VLOOKUP(Table_NFI[[#This Row],[Camp Name]],CL,2,0),"")</f>
        <v>MMR001CMP168</v>
      </c>
      <c r="AP15" s="574">
        <f ca="1">IF(Table_NFI[[#This Row],[Pcode]]="","",IF(OFFSET(CampList[Opening Date],MATCH(Table_NFI[[#This Row],[Pcode]],CampList[CP_Pcode],0)-1,0,1,1)&gt;=NFI_Monitor_Date,1,0))</f>
        <v>0</v>
      </c>
      <c r="AQ15" s="579" t="str">
        <f>IFERROR(VLOOKUP(Table_NFI[[#This Row],[Camp Name]],CL,3,0),"")</f>
        <v>Open</v>
      </c>
      <c r="AR15" s="378" t="str">
        <f ca="1">IF(Table_NFI[[#This Row],[Pcode]]="","",OFFSET(CampList[Priority],MATCH(Table_NFI[[#This Row],[Pcode]],CampList[CP_Pcode],0)-1,0,1,1))</f>
        <v>P4</v>
      </c>
      <c r="AS15" s="377">
        <f>IFERROR(Table_NFI[[#This Row],[Kitchen Set]]/VLOOKUP(Table_NFI[[#This Row],[Camp Name]],CL,4,0),"")</f>
        <v>1.5151515151515151</v>
      </c>
      <c r="AT15" s="572" t="s">
        <v>1095</v>
      </c>
      <c r="AU15" s="580" t="s">
        <v>1376</v>
      </c>
    </row>
    <row r="16" spans="1:52" s="576" customFormat="1" ht="15" customHeight="1" x14ac:dyDescent="0.25">
      <c r="A16" s="381">
        <f t="shared" si="0"/>
        <v>19.3</v>
      </c>
      <c r="B16" s="571">
        <v>41943</v>
      </c>
      <c r="C16" s="572" t="s">
        <v>454</v>
      </c>
      <c r="D16" s="572"/>
      <c r="E16" s="572" t="s">
        <v>380</v>
      </c>
      <c r="F16" s="572" t="s">
        <v>529</v>
      </c>
      <c r="G16" s="572" t="s">
        <v>120</v>
      </c>
      <c r="H16" s="375"/>
      <c r="I16" s="375"/>
      <c r="J16" s="375">
        <v>59</v>
      </c>
      <c r="K16" s="375">
        <v>118</v>
      </c>
      <c r="L16" s="376">
        <v>59</v>
      </c>
      <c r="M16" s="376">
        <v>118</v>
      </c>
      <c r="N16" s="376">
        <v>59</v>
      </c>
      <c r="O16" s="376"/>
      <c r="P16" s="378">
        <v>59</v>
      </c>
      <c r="Q16" s="378">
        <v>295</v>
      </c>
      <c r="R16" s="378"/>
      <c r="S16" s="378"/>
      <c r="T16" s="378"/>
      <c r="U16" s="378"/>
      <c r="V16" s="533"/>
      <c r="W16" s="378"/>
      <c r="X16" s="378"/>
      <c r="Y16" s="378">
        <f>IF(NFI_Expiration=1,IF($A16&lt;VLOOKUP(H$5,NFI,5,0),1,0)*Table_NFI[[#This Row],[Hygiene Kit]],Table_NFI[Hygiene Kit])</f>
        <v>0</v>
      </c>
      <c r="Z16" s="378">
        <f>IF(NFI_Expiration=1,IF($A16&lt;VLOOKUP(I$5,NFI,5,0),1,0)*Table_NFI[[#This Row],[NFI Core Kit]],Table_NFI[NFI Core Kit])</f>
        <v>0</v>
      </c>
      <c r="AA16" s="378">
        <f>IF(NFI_Expiration=1,IF($A16&lt;VLOOKUP(J$5,NFI,5,0),1,0)*Table_NFI[[#This Row],[Sanitary Kit]],Table_NFI[Sanitary Kit])</f>
        <v>0</v>
      </c>
      <c r="AB16" s="378">
        <f>IF(NFI_Expiration=1,IF($A16&lt;VLOOKUP(K$5,NFI,5,0),1,0)*Table_NFI[[#This Row],[Mosquito net]],Table_NFI[Mosquito net])</f>
        <v>0</v>
      </c>
      <c r="AC16" s="378">
        <f>IF(NFI_Expiration=1,IF($A16&lt;VLOOKUP(L$5,NFI,5,0),1,0)*Table_NFI[[#This Row],[Tarpaulin]],Table_NFI[[#This Row],[Tarpaulin]])</f>
        <v>0</v>
      </c>
      <c r="AD16" s="378">
        <f>IF(NFI_Expiration=1,IF($A16&lt;VLOOKUP(M$5,NFI,5,0),1,0)*Table_NFI[[#This Row],[Blanket]],Table_NFI[[#This Row],[Blanket]])</f>
        <v>0</v>
      </c>
      <c r="AE16" s="378">
        <f>IF(NFI_Expiration=1,IF($A16&lt;VLOOKUP(N$5,NFI,5,0),1,0)*Table_NFI[[#This Row],[Kitchen Set]],Table_NFI[Kitchen Set])</f>
        <v>0</v>
      </c>
      <c r="AF16" s="378">
        <f>IF(NFI_Expiration=1,IF($A16&lt;VLOOKUP(O$5,NFI,5,0),1,0)*Table_NFI[[#This Row],[Clothes Kit]],Table_NFI[Clothes Kit])</f>
        <v>0</v>
      </c>
      <c r="AG16" s="378">
        <f>IF(NFI_Expiration=1,IF($A16&lt;VLOOKUP(P$5,NFI,5,0),1,0)*Table_NFI[[#This Row],[Plastic Bucket]],Table_NFI[Plastic Bucket])</f>
        <v>0</v>
      </c>
      <c r="AH16" s="378">
        <f>IF(NFI_Expiration=1,IF($A16&lt;VLOOKUP(Q$5,NFI,5,0),1,0)*Table_NFI[[#This Row],[Plastic Mat]],Table_NFI[Plastic Mat])*IF(Table_NFI[[#This Row],[Distribution Date]]&gt;"2014-04-01",1,2.5)</f>
        <v>0</v>
      </c>
      <c r="AI16" s="378">
        <f>IF(NFI_Expiration=1,IF($A16&lt;VLOOKUP(R$5,NFI,5,0),1,0)*Table_NFI[[#This Row],[Winter Clothes Adult]],Table_NFI[Winter Clothes Adult])</f>
        <v>0</v>
      </c>
      <c r="AJ16" s="378">
        <f>IF(NFI_Expiration=1,IF($A16&lt;VLOOKUP(S$5,NFI,5,0),1,0)*Table_NFI[[#This Row],[Winter Clothes Children]],Table_NFI[Winter Clothes Children])</f>
        <v>0</v>
      </c>
      <c r="AK16" s="378">
        <f>IF(NFI_Expiration=1,IF($A16&lt;VLOOKUP(T$5,NFI,5,0),1,0)*Table_NFI[[#This Row],[Winter Items Other]],Table_NFI[Winter Items Other])</f>
        <v>0</v>
      </c>
      <c r="AL16" s="378">
        <f>IF(NFI_Expiration=1,IF($A16&lt;VLOOKUP(M$5,NFI,5,0),1,0)*Table_NFI[[#This Row],[Winter Blanket]],Table_NFI[[#This Row],[Winter Blanket]])</f>
        <v>0</v>
      </c>
      <c r="AM16" s="378">
        <f>IF(Table_NFI[[#This Row],[Winter Clothes Adult]]+Table_NFI[[#This Row],[Winter Clothes Children]]+Table_NFI[[#This Row],[Winter Items Other]]+Table_NFI[[#This Row],[Winter Blanket]]&gt;0,1,0)</f>
        <v>0</v>
      </c>
      <c r="AN16" s="418">
        <f>IF(NFI_Expiration=1,IF($A16&lt;VLOOKUP(V$5,NFI,5,0),1,0)*Table_NFI[[#This Row],[Jerry Can]],Table_NFI[Jerry Can])</f>
        <v>0</v>
      </c>
      <c r="AO16" s="579" t="str">
        <f>IFERROR(VLOOKUP(Table_NFI[[#This Row],[Camp Name]],CL,2,0),"")</f>
        <v>MMR001CMP168</v>
      </c>
      <c r="AP16" s="574">
        <f ca="1">IF(Table_NFI[[#This Row],[Pcode]]="","",IF(OFFSET(CampList[Opening Date],MATCH(Table_NFI[[#This Row],[Pcode]],CampList[CP_Pcode],0)-1,0,1,1)&gt;=NFI_Monitor_Date,1,0))</f>
        <v>0</v>
      </c>
      <c r="AQ16" s="579" t="str">
        <f>IFERROR(VLOOKUP(Table_NFI[[#This Row],[Camp Name]],CL,3,0),"")</f>
        <v>Open</v>
      </c>
      <c r="AR16" s="378" t="str">
        <f ca="1">IF(Table_NFI[[#This Row],[Pcode]]="","",OFFSET(CampList[Priority],MATCH(Table_NFI[[#This Row],[Pcode]],CampList[CP_Pcode],0)-1,0,1,1))</f>
        <v>P4</v>
      </c>
      <c r="AS16" s="377">
        <f>IFERROR(Table_NFI[[#This Row],[Kitchen Set]]/VLOOKUP(Table_NFI[[#This Row],[Camp Name]],CL,4,0),"")</f>
        <v>0.89393939393939392</v>
      </c>
      <c r="AT16" s="572"/>
      <c r="AU16" s="575"/>
    </row>
    <row r="17" spans="1:47" s="576" customFormat="1" ht="15" customHeight="1" x14ac:dyDescent="0.25">
      <c r="A17" s="381">
        <f t="shared" si="0"/>
        <v>19.5</v>
      </c>
      <c r="B17" s="571">
        <v>41937</v>
      </c>
      <c r="C17" s="572" t="s">
        <v>1097</v>
      </c>
      <c r="D17" s="572" t="s">
        <v>903</v>
      </c>
      <c r="E17" s="572" t="s">
        <v>380</v>
      </c>
      <c r="F17" s="572" t="s">
        <v>529</v>
      </c>
      <c r="G17" s="572" t="s">
        <v>120</v>
      </c>
      <c r="H17" s="375"/>
      <c r="I17" s="375"/>
      <c r="J17" s="375"/>
      <c r="K17" s="375"/>
      <c r="L17" s="376"/>
      <c r="M17" s="376"/>
      <c r="N17" s="376"/>
      <c r="O17" s="376"/>
      <c r="P17" s="378"/>
      <c r="Q17" s="378"/>
      <c r="R17" s="378">
        <v>223</v>
      </c>
      <c r="S17" s="378">
        <v>96</v>
      </c>
      <c r="T17" s="378"/>
      <c r="U17" s="378"/>
      <c r="V17" s="533"/>
      <c r="W17" s="378"/>
      <c r="X17" s="378"/>
      <c r="Y17" s="378">
        <f>IF(NFI_Expiration=1,IF($A17&lt;VLOOKUP(H$5,NFI,5,0),1,0)*Table_NFI[[#This Row],[Hygiene Kit]],Table_NFI[Hygiene Kit])</f>
        <v>0</v>
      </c>
      <c r="Z17" s="378">
        <f>IF(NFI_Expiration=1,IF($A17&lt;VLOOKUP(I$5,NFI,5,0),1,0)*Table_NFI[[#This Row],[NFI Core Kit]],Table_NFI[NFI Core Kit])</f>
        <v>0</v>
      </c>
      <c r="AA17" s="378">
        <f>IF(NFI_Expiration=1,IF($A17&lt;VLOOKUP(J$5,NFI,5,0),1,0)*Table_NFI[[#This Row],[Sanitary Kit]],Table_NFI[Sanitary Kit])</f>
        <v>0</v>
      </c>
      <c r="AB17" s="378">
        <f>IF(NFI_Expiration=1,IF($A17&lt;VLOOKUP(K$5,NFI,5,0),1,0)*Table_NFI[[#This Row],[Mosquito net]],Table_NFI[Mosquito net])</f>
        <v>0</v>
      </c>
      <c r="AC17" s="378">
        <f>IF(NFI_Expiration=1,IF($A17&lt;VLOOKUP(L$5,NFI,5,0),1,0)*Table_NFI[[#This Row],[Tarpaulin]],Table_NFI[[#This Row],[Tarpaulin]])</f>
        <v>0</v>
      </c>
      <c r="AD17" s="378">
        <f>IF(NFI_Expiration=1,IF($A17&lt;VLOOKUP(M$5,NFI,5,0),1,0)*Table_NFI[[#This Row],[Blanket]],Table_NFI[[#This Row],[Blanket]])</f>
        <v>0</v>
      </c>
      <c r="AE17" s="378">
        <f>IF(NFI_Expiration=1,IF($A17&lt;VLOOKUP(N$5,NFI,5,0),1,0)*Table_NFI[[#This Row],[Kitchen Set]],Table_NFI[Kitchen Set])</f>
        <v>0</v>
      </c>
      <c r="AF17" s="378">
        <f>IF(NFI_Expiration=1,IF($A17&lt;VLOOKUP(O$5,NFI,5,0),1,0)*Table_NFI[[#This Row],[Clothes Kit]],Table_NFI[Clothes Kit])</f>
        <v>0</v>
      </c>
      <c r="AG17" s="378">
        <f>IF(NFI_Expiration=1,IF($A17&lt;VLOOKUP(P$5,NFI,5,0),1,0)*Table_NFI[[#This Row],[Plastic Bucket]],Table_NFI[Plastic Bucket])</f>
        <v>0</v>
      </c>
      <c r="AH17" s="378">
        <f>IF(NFI_Expiration=1,IF($A17&lt;VLOOKUP(Q$5,NFI,5,0),1,0)*Table_NFI[[#This Row],[Plastic Mat]],Table_NFI[Plastic Mat])*IF(Table_NFI[[#This Row],[Distribution Date]]&gt;"2014-04-01",1,2.5)</f>
        <v>0</v>
      </c>
      <c r="AI17" s="378">
        <f>IF(NFI_Expiration=1,IF($A17&lt;VLOOKUP(R$5,NFI,5,0),1,0)*Table_NFI[[#This Row],[Winter Clothes Adult]],Table_NFI[Winter Clothes Adult])</f>
        <v>0</v>
      </c>
      <c r="AJ17" s="378">
        <f>IF(NFI_Expiration=1,IF($A17&lt;VLOOKUP(S$5,NFI,5,0),1,0)*Table_NFI[[#This Row],[Winter Clothes Children]],Table_NFI[Winter Clothes Children])</f>
        <v>0</v>
      </c>
      <c r="AK17" s="378">
        <f>IF(NFI_Expiration=1,IF($A17&lt;VLOOKUP(T$5,NFI,5,0),1,0)*Table_NFI[[#This Row],[Winter Items Other]],Table_NFI[Winter Items Other])</f>
        <v>0</v>
      </c>
      <c r="AL17" s="378">
        <f>IF(NFI_Expiration=1,IF($A17&lt;VLOOKUP(M$5,NFI,5,0),1,0)*Table_NFI[[#This Row],[Winter Blanket]],Table_NFI[[#This Row],[Winter Blanket]])</f>
        <v>0</v>
      </c>
      <c r="AM17" s="378">
        <f>IF(Table_NFI[[#This Row],[Winter Clothes Adult]]+Table_NFI[[#This Row],[Winter Clothes Children]]+Table_NFI[[#This Row],[Winter Items Other]]+Table_NFI[[#This Row],[Winter Blanket]]&gt;0,1,0)</f>
        <v>1</v>
      </c>
      <c r="AN17" s="418">
        <f>IF(NFI_Expiration=1,IF($A17&lt;VLOOKUP(V$5,NFI,5,0),1,0)*Table_NFI[[#This Row],[Jerry Can]],Table_NFI[Jerry Can])</f>
        <v>0</v>
      </c>
      <c r="AO17" s="579" t="str">
        <f>IFERROR(VLOOKUP(Table_NFI[[#This Row],[Camp Name]],CL,2,0),"")</f>
        <v>MMR001CMP168</v>
      </c>
      <c r="AP17" s="574">
        <f ca="1">IF(Table_NFI[[#This Row],[Pcode]]="","",IF(OFFSET(CampList[Opening Date],MATCH(Table_NFI[[#This Row],[Pcode]],CampList[CP_Pcode],0)-1,0,1,1)&gt;=NFI_Monitor_Date,1,0))</f>
        <v>0</v>
      </c>
      <c r="AQ17" s="579" t="str">
        <f>IFERROR(VLOOKUP(Table_NFI[[#This Row],[Camp Name]],CL,3,0),"")</f>
        <v>Open</v>
      </c>
      <c r="AR17" s="378" t="str">
        <f ca="1">IF(Table_NFI[[#This Row],[Pcode]]="","",OFFSET(CampList[Priority],MATCH(Table_NFI[[#This Row],[Pcode]],CampList[CP_Pcode],0)-1,0,1,1))</f>
        <v>P4</v>
      </c>
      <c r="AS17" s="377">
        <f>IFERROR(Table_NFI[[#This Row],[Kitchen Set]]/VLOOKUP(Table_NFI[[#This Row],[Camp Name]],CL,4,0),"")</f>
        <v>0</v>
      </c>
      <c r="AT17" s="572"/>
      <c r="AU17" s="575"/>
    </row>
    <row r="18" spans="1:47" s="576" customFormat="1" ht="15" customHeight="1" x14ac:dyDescent="0.25">
      <c r="A18" s="381">
        <f t="shared" si="0"/>
        <v>20.3</v>
      </c>
      <c r="B18" s="571">
        <v>41913</v>
      </c>
      <c r="C18" s="572" t="s">
        <v>454</v>
      </c>
      <c r="D18" s="577" t="s">
        <v>508</v>
      </c>
      <c r="E18" s="577" t="s">
        <v>380</v>
      </c>
      <c r="F18" s="577" t="s">
        <v>529</v>
      </c>
      <c r="G18" s="577" t="s">
        <v>120</v>
      </c>
      <c r="H18" s="376"/>
      <c r="I18" s="376"/>
      <c r="J18" s="376"/>
      <c r="K18" s="376">
        <v>156</v>
      </c>
      <c r="L18" s="376"/>
      <c r="M18" s="376"/>
      <c r="N18" s="376"/>
      <c r="O18" s="376"/>
      <c r="P18" s="378"/>
      <c r="Q18" s="378"/>
      <c r="R18" s="378"/>
      <c r="S18" s="378"/>
      <c r="T18" s="378"/>
      <c r="U18" s="378"/>
      <c r="V18" s="533"/>
      <c r="W18" s="378"/>
      <c r="X18" s="378"/>
      <c r="Y18" s="378">
        <f>IF(NFI_Expiration=1,IF($A18&lt;VLOOKUP(H$5,NFI,5,0),1,0)*Table_NFI[[#This Row],[Hygiene Kit]],Table_NFI[Hygiene Kit])</f>
        <v>0</v>
      </c>
      <c r="Z18" s="378">
        <f>IF(NFI_Expiration=1,IF($A18&lt;VLOOKUP(I$5,NFI,5,0),1,0)*Table_NFI[[#This Row],[NFI Core Kit]],Table_NFI[NFI Core Kit])</f>
        <v>0</v>
      </c>
      <c r="AA18" s="378">
        <f>IF(NFI_Expiration=1,IF($A18&lt;VLOOKUP(J$5,NFI,5,0),1,0)*Table_NFI[[#This Row],[Sanitary Kit]],Table_NFI[Sanitary Kit])</f>
        <v>0</v>
      </c>
      <c r="AB18" s="378">
        <f>IF(NFI_Expiration=1,IF($A18&lt;VLOOKUP(K$5,NFI,5,0),1,0)*Table_NFI[[#This Row],[Mosquito net]],Table_NFI[Mosquito net])</f>
        <v>0</v>
      </c>
      <c r="AC18" s="378">
        <f>IF(NFI_Expiration=1,IF($A18&lt;VLOOKUP(L$5,NFI,5,0),1,0)*Table_NFI[[#This Row],[Tarpaulin]],Table_NFI[[#This Row],[Tarpaulin]])</f>
        <v>0</v>
      </c>
      <c r="AD18" s="378">
        <f>IF(NFI_Expiration=1,IF($A18&lt;VLOOKUP(M$5,NFI,5,0),1,0)*Table_NFI[[#This Row],[Blanket]],Table_NFI[[#This Row],[Blanket]])</f>
        <v>0</v>
      </c>
      <c r="AE18" s="378">
        <f>IF(NFI_Expiration=1,IF($A18&lt;VLOOKUP(N$5,NFI,5,0),1,0)*Table_NFI[[#This Row],[Kitchen Set]],Table_NFI[Kitchen Set])</f>
        <v>0</v>
      </c>
      <c r="AF18" s="378">
        <f>IF(NFI_Expiration=1,IF($A18&lt;VLOOKUP(O$5,NFI,5,0),1,0)*Table_NFI[[#This Row],[Clothes Kit]],Table_NFI[Clothes Kit])</f>
        <v>0</v>
      </c>
      <c r="AG18" s="378">
        <f>IF(NFI_Expiration=1,IF($A18&lt;VLOOKUP(P$5,NFI,5,0),1,0)*Table_NFI[[#This Row],[Plastic Bucket]],Table_NFI[Plastic Bucket])</f>
        <v>0</v>
      </c>
      <c r="AH18" s="378">
        <f>IF(NFI_Expiration=1,IF($A18&lt;VLOOKUP(Q$5,NFI,5,0),1,0)*Table_NFI[[#This Row],[Plastic Mat]],Table_NFI[Plastic Mat])*IF(Table_NFI[[#This Row],[Distribution Date]]&gt;"2014-04-01",1,2.5)</f>
        <v>0</v>
      </c>
      <c r="AI18" s="378">
        <f>IF(NFI_Expiration=1,IF($A18&lt;VLOOKUP(R$5,NFI,5,0),1,0)*Table_NFI[[#This Row],[Winter Clothes Adult]],Table_NFI[Winter Clothes Adult])</f>
        <v>0</v>
      </c>
      <c r="AJ18" s="378">
        <f>IF(NFI_Expiration=1,IF($A18&lt;VLOOKUP(S$5,NFI,5,0),1,0)*Table_NFI[[#This Row],[Winter Clothes Children]],Table_NFI[Winter Clothes Children])</f>
        <v>0</v>
      </c>
      <c r="AK18" s="378">
        <f>IF(NFI_Expiration=1,IF($A18&lt;VLOOKUP(T$5,NFI,5,0),1,0)*Table_NFI[[#This Row],[Winter Items Other]],Table_NFI[Winter Items Other])</f>
        <v>0</v>
      </c>
      <c r="AL18" s="378">
        <f>IF(NFI_Expiration=1,IF($A18&lt;VLOOKUP(M$5,NFI,5,0),1,0)*Table_NFI[[#This Row],[Winter Blanket]],Table_NFI[[#This Row],[Winter Blanket]])</f>
        <v>0</v>
      </c>
      <c r="AM18" s="378">
        <f>IF(Table_NFI[[#This Row],[Winter Clothes Adult]]+Table_NFI[[#This Row],[Winter Clothes Children]]+Table_NFI[[#This Row],[Winter Items Other]]+Table_NFI[[#This Row],[Winter Blanket]]&gt;0,1,0)</f>
        <v>0</v>
      </c>
      <c r="AN18" s="418">
        <f>IF(NFI_Expiration=1,IF($A18&lt;VLOOKUP(V$5,NFI,5,0),1,0)*Table_NFI[[#This Row],[Jerry Can]],Table_NFI[Jerry Can])</f>
        <v>0</v>
      </c>
      <c r="AO18" s="579" t="str">
        <f>IFERROR(VLOOKUP(Table_NFI[[#This Row],[Camp Name]],CL,2,0),"")</f>
        <v>MMR001CMP168</v>
      </c>
      <c r="AP18" s="574">
        <f ca="1">IF(Table_NFI[[#This Row],[Pcode]]="","",IF(OFFSET(CampList[Opening Date],MATCH(Table_NFI[[#This Row],[Pcode]],CampList[CP_Pcode],0)-1,0,1,1)&gt;=NFI_Monitor_Date,1,0))</f>
        <v>0</v>
      </c>
      <c r="AQ18" s="579" t="str">
        <f>IFERROR(VLOOKUP(Table_NFI[[#This Row],[Camp Name]],CL,3,0),"")</f>
        <v>Open</v>
      </c>
      <c r="AR18" s="378" t="str">
        <f ca="1">IF(Table_NFI[[#This Row],[Pcode]]="","",OFFSET(CampList[Priority],MATCH(Table_NFI[[#This Row],[Pcode]],CampList[CP_Pcode],0)-1,0,1,1))</f>
        <v>P4</v>
      </c>
      <c r="AS18" s="377">
        <f>IFERROR(Table_NFI[[#This Row],[Kitchen Set]]/VLOOKUP(Table_NFI[[#This Row],[Camp Name]],CL,4,0),"")</f>
        <v>0</v>
      </c>
      <c r="AT18" s="577"/>
      <c r="AU18" s="580"/>
    </row>
    <row r="19" spans="1:47" s="576" customFormat="1" ht="15" customHeight="1" x14ac:dyDescent="0.25">
      <c r="A19" s="381">
        <f t="shared" si="0"/>
        <v>40.43333333333333</v>
      </c>
      <c r="B19" s="571">
        <v>41309</v>
      </c>
      <c r="C19" s="572" t="s">
        <v>903</v>
      </c>
      <c r="D19" s="573" t="s">
        <v>903</v>
      </c>
      <c r="E19" s="572" t="s">
        <v>380</v>
      </c>
      <c r="F19" s="374" t="s">
        <v>529</v>
      </c>
      <c r="G19" s="374" t="s">
        <v>120</v>
      </c>
      <c r="H19" s="375"/>
      <c r="I19" s="375"/>
      <c r="J19" s="375"/>
      <c r="K19" s="375"/>
      <c r="L19" s="376"/>
      <c r="M19" s="376"/>
      <c r="N19" s="376">
        <v>117</v>
      </c>
      <c r="O19" s="376"/>
      <c r="P19" s="378">
        <v>0</v>
      </c>
      <c r="Q19" s="378">
        <v>0</v>
      </c>
      <c r="R19" s="378"/>
      <c r="S19" s="378"/>
      <c r="T19" s="378"/>
      <c r="U19" s="378"/>
      <c r="V19" s="533"/>
      <c r="W19" s="378"/>
      <c r="X19" s="378"/>
      <c r="Y19" s="378">
        <f>IF(NFI_Expiration=1,IF($A19&lt;VLOOKUP(H$5,NFI,5,0),1,0)*Table_NFI[[#This Row],[Hygiene Kit]],Table_NFI[Hygiene Kit])</f>
        <v>0</v>
      </c>
      <c r="Z19" s="378">
        <f>IF(NFI_Expiration=1,IF($A19&lt;VLOOKUP(I$5,NFI,5,0),1,0)*Table_NFI[[#This Row],[NFI Core Kit]],Table_NFI[NFI Core Kit])</f>
        <v>0</v>
      </c>
      <c r="AA19" s="378">
        <f>IF(NFI_Expiration=1,IF($A19&lt;VLOOKUP(J$5,NFI,5,0),1,0)*Table_NFI[[#This Row],[Sanitary Kit]],Table_NFI[Sanitary Kit])</f>
        <v>0</v>
      </c>
      <c r="AB19" s="378">
        <f>IF(NFI_Expiration=1,IF($A19&lt;VLOOKUP(K$5,NFI,5,0),1,0)*Table_NFI[[#This Row],[Mosquito net]],Table_NFI[Mosquito net])</f>
        <v>0</v>
      </c>
      <c r="AC19" s="378">
        <f>IF(NFI_Expiration=1,IF($A19&lt;VLOOKUP(L$5,NFI,5,0),1,0)*Table_NFI[[#This Row],[Tarpaulin]],Table_NFI[[#This Row],[Tarpaulin]])</f>
        <v>0</v>
      </c>
      <c r="AD19" s="378">
        <f>IF(NFI_Expiration=1,IF($A19&lt;VLOOKUP(M$5,NFI,5,0),1,0)*Table_NFI[[#This Row],[Blanket]],Table_NFI[[#This Row],[Blanket]])</f>
        <v>0</v>
      </c>
      <c r="AE19" s="378">
        <f>IF(NFI_Expiration=1,IF($A19&lt;VLOOKUP(N$5,NFI,5,0),1,0)*Table_NFI[[#This Row],[Kitchen Set]],Table_NFI[Kitchen Set])</f>
        <v>0</v>
      </c>
      <c r="AF19" s="378">
        <f>IF(NFI_Expiration=1,IF($A19&lt;VLOOKUP(O$5,NFI,5,0),1,0)*Table_NFI[[#This Row],[Clothes Kit]],Table_NFI[Clothes Kit])</f>
        <v>0</v>
      </c>
      <c r="AG19" s="378">
        <f>IF(NFI_Expiration=1,IF($A19&lt;VLOOKUP(P$5,NFI,5,0),1,0)*Table_NFI[[#This Row],[Plastic Bucket]],Table_NFI[Plastic Bucket])</f>
        <v>0</v>
      </c>
      <c r="AH19" s="378">
        <f>IF(NFI_Expiration=1,IF($A19&lt;VLOOKUP(Q$5,NFI,5,0),1,0)*Table_NFI[[#This Row],[Plastic Mat]],Table_NFI[Plastic Mat])*IF(Table_NFI[[#This Row],[Distribution Date]]&gt;"2014-04-01",1,2.5)</f>
        <v>0</v>
      </c>
      <c r="AI19" s="378">
        <f>IF(NFI_Expiration=1,IF($A19&lt;VLOOKUP(R$5,NFI,5,0),1,0)*Table_NFI[[#This Row],[Winter Clothes Adult]],Table_NFI[Winter Clothes Adult])</f>
        <v>0</v>
      </c>
      <c r="AJ19" s="378">
        <f>IF(NFI_Expiration=1,IF($A19&lt;VLOOKUP(S$5,NFI,5,0),1,0)*Table_NFI[[#This Row],[Winter Clothes Children]],Table_NFI[Winter Clothes Children])</f>
        <v>0</v>
      </c>
      <c r="AK19" s="378">
        <f>IF(NFI_Expiration=1,IF($A19&lt;VLOOKUP(T$5,NFI,5,0),1,0)*Table_NFI[[#This Row],[Winter Items Other]],Table_NFI[Winter Items Other])</f>
        <v>0</v>
      </c>
      <c r="AL19" s="378">
        <f>IF(NFI_Expiration=1,IF($A19&lt;VLOOKUP(M$5,NFI,5,0),1,0)*Table_NFI[[#This Row],[Winter Blanket]],Table_NFI[[#This Row],[Winter Blanket]])</f>
        <v>0</v>
      </c>
      <c r="AM19" s="378">
        <f>IF(Table_NFI[[#This Row],[Winter Clothes Adult]]+Table_NFI[[#This Row],[Winter Clothes Children]]+Table_NFI[[#This Row],[Winter Items Other]]+Table_NFI[[#This Row],[Winter Blanket]]&gt;0,1,0)</f>
        <v>0</v>
      </c>
      <c r="AN19" s="418">
        <f>IF(NFI_Expiration=1,IF($A19&lt;VLOOKUP(V$5,NFI,5,0),1,0)*Table_NFI[[#This Row],[Jerry Can]],Table_NFI[Jerry Can])</f>
        <v>0</v>
      </c>
      <c r="AO19" s="579" t="str">
        <f>IFERROR(VLOOKUP(Table_NFI[[#This Row],[Camp Name]],CL,2,0),"")</f>
        <v>MMR001CMP168</v>
      </c>
      <c r="AP19" s="574">
        <f ca="1">IF(Table_NFI[[#This Row],[Pcode]]="","",IF(OFFSET(CampList[Opening Date],MATCH(Table_NFI[[#This Row],[Pcode]],CampList[CP_Pcode],0)-1,0,1,1)&gt;=NFI_Monitor_Date,1,0))</f>
        <v>0</v>
      </c>
      <c r="AQ19" s="579" t="str">
        <f>IFERROR(VLOOKUP(Table_NFI[[#This Row],[Camp Name]],CL,3,0),"")</f>
        <v>Open</v>
      </c>
      <c r="AR19" s="378" t="str">
        <f ca="1">IF(Table_NFI[[#This Row],[Pcode]]="","",OFFSET(CampList[Priority],MATCH(Table_NFI[[#This Row],[Pcode]],CampList[CP_Pcode],0)-1,0,1,1))</f>
        <v>P4</v>
      </c>
      <c r="AS19" s="377">
        <f>IFERROR(Table_NFI[[#This Row],[Kitchen Set]]/VLOOKUP(Table_NFI[[#This Row],[Camp Name]],CL,4,0),"")</f>
        <v>1.7727272727272727</v>
      </c>
      <c r="AT19" s="572" t="s">
        <v>1095</v>
      </c>
      <c r="AU19" s="575"/>
    </row>
    <row r="20" spans="1:47" s="576" customFormat="1" ht="15" customHeight="1" x14ac:dyDescent="0.25">
      <c r="A20" s="381">
        <f t="shared" si="0"/>
        <v>41.6</v>
      </c>
      <c r="B20" s="571">
        <v>41274</v>
      </c>
      <c r="C20" s="572" t="s">
        <v>455</v>
      </c>
      <c r="D20" s="573" t="s">
        <v>455</v>
      </c>
      <c r="E20" s="572" t="s">
        <v>380</v>
      </c>
      <c r="F20" s="374" t="s">
        <v>529</v>
      </c>
      <c r="G20" s="374" t="s">
        <v>120</v>
      </c>
      <c r="H20" s="375">
        <v>19</v>
      </c>
      <c r="I20" s="375"/>
      <c r="J20" s="375"/>
      <c r="K20" s="375"/>
      <c r="L20" s="376"/>
      <c r="M20" s="376"/>
      <c r="N20" s="376"/>
      <c r="O20" s="376"/>
      <c r="P20" s="378">
        <v>0</v>
      </c>
      <c r="Q20" s="378">
        <v>0</v>
      </c>
      <c r="R20" s="378"/>
      <c r="S20" s="378"/>
      <c r="T20" s="378"/>
      <c r="U20" s="378"/>
      <c r="V20" s="533"/>
      <c r="W20" s="378"/>
      <c r="X20" s="378"/>
      <c r="Y20" s="378">
        <f>IF(NFI_Expiration=1,IF($A20&lt;VLOOKUP(H$5,NFI,5,0),1,0)*Table_NFI[[#This Row],[Hygiene Kit]],Table_NFI[Hygiene Kit])</f>
        <v>0</v>
      </c>
      <c r="Z20" s="378">
        <f>IF(NFI_Expiration=1,IF($A20&lt;VLOOKUP(I$5,NFI,5,0),1,0)*Table_NFI[[#This Row],[NFI Core Kit]],Table_NFI[NFI Core Kit])</f>
        <v>0</v>
      </c>
      <c r="AA20" s="378">
        <f>IF(NFI_Expiration=1,IF($A20&lt;VLOOKUP(J$5,NFI,5,0),1,0)*Table_NFI[[#This Row],[Sanitary Kit]],Table_NFI[Sanitary Kit])</f>
        <v>0</v>
      </c>
      <c r="AB20" s="378">
        <f>IF(NFI_Expiration=1,IF($A20&lt;VLOOKUP(K$5,NFI,5,0),1,0)*Table_NFI[[#This Row],[Mosquito net]],Table_NFI[Mosquito net])</f>
        <v>0</v>
      </c>
      <c r="AC20" s="378">
        <f>IF(NFI_Expiration=1,IF($A20&lt;VLOOKUP(L$5,NFI,5,0),1,0)*Table_NFI[[#This Row],[Tarpaulin]],Table_NFI[[#This Row],[Tarpaulin]])</f>
        <v>0</v>
      </c>
      <c r="AD20" s="378">
        <f>IF(NFI_Expiration=1,IF($A20&lt;VLOOKUP(M$5,NFI,5,0),1,0)*Table_NFI[[#This Row],[Blanket]],Table_NFI[[#This Row],[Blanket]])</f>
        <v>0</v>
      </c>
      <c r="AE20" s="378">
        <f>IF(NFI_Expiration=1,IF($A20&lt;VLOOKUP(N$5,NFI,5,0),1,0)*Table_NFI[[#This Row],[Kitchen Set]],Table_NFI[Kitchen Set])</f>
        <v>0</v>
      </c>
      <c r="AF20" s="378">
        <f>IF(NFI_Expiration=1,IF($A20&lt;VLOOKUP(O$5,NFI,5,0),1,0)*Table_NFI[[#This Row],[Clothes Kit]],Table_NFI[Clothes Kit])</f>
        <v>0</v>
      </c>
      <c r="AG20" s="378">
        <f>IF(NFI_Expiration=1,IF($A20&lt;VLOOKUP(P$5,NFI,5,0),1,0)*Table_NFI[[#This Row],[Plastic Bucket]],Table_NFI[Plastic Bucket])</f>
        <v>0</v>
      </c>
      <c r="AH20" s="378">
        <f>IF(NFI_Expiration=1,IF($A20&lt;VLOOKUP(Q$5,NFI,5,0),1,0)*Table_NFI[[#This Row],[Plastic Mat]],Table_NFI[Plastic Mat])*IF(Table_NFI[[#This Row],[Distribution Date]]&gt;"2014-04-01",1,2.5)</f>
        <v>0</v>
      </c>
      <c r="AI20" s="378">
        <f>IF(NFI_Expiration=1,IF($A20&lt;VLOOKUP(R$5,NFI,5,0),1,0)*Table_NFI[[#This Row],[Winter Clothes Adult]],Table_NFI[Winter Clothes Adult])</f>
        <v>0</v>
      </c>
      <c r="AJ20" s="378">
        <f>IF(NFI_Expiration=1,IF($A20&lt;VLOOKUP(S$5,NFI,5,0),1,0)*Table_NFI[[#This Row],[Winter Clothes Children]],Table_NFI[Winter Clothes Children])</f>
        <v>0</v>
      </c>
      <c r="AK20" s="378">
        <f>IF(NFI_Expiration=1,IF($A20&lt;VLOOKUP(T$5,NFI,5,0),1,0)*Table_NFI[[#This Row],[Winter Items Other]],Table_NFI[Winter Items Other])</f>
        <v>0</v>
      </c>
      <c r="AL20" s="378">
        <f>IF(NFI_Expiration=1,IF($A20&lt;VLOOKUP(M$5,NFI,5,0),1,0)*Table_NFI[[#This Row],[Winter Blanket]],Table_NFI[[#This Row],[Winter Blanket]])</f>
        <v>0</v>
      </c>
      <c r="AM20" s="378">
        <f>IF(Table_NFI[[#This Row],[Winter Clothes Adult]]+Table_NFI[[#This Row],[Winter Clothes Children]]+Table_NFI[[#This Row],[Winter Items Other]]+Table_NFI[[#This Row],[Winter Blanket]]&gt;0,1,0)</f>
        <v>0</v>
      </c>
      <c r="AN20" s="418">
        <f>IF(NFI_Expiration=1,IF($A20&lt;VLOOKUP(V$5,NFI,5,0),1,0)*Table_NFI[[#This Row],[Jerry Can]],Table_NFI[Jerry Can])</f>
        <v>0</v>
      </c>
      <c r="AO20" s="579" t="str">
        <f>IFERROR(VLOOKUP(Table_NFI[[#This Row],[Camp Name]],CL,2,0),"")</f>
        <v>MMR001CMP168</v>
      </c>
      <c r="AP20" s="574">
        <f ca="1">IF(Table_NFI[[#This Row],[Pcode]]="","",IF(OFFSET(CampList[Opening Date],MATCH(Table_NFI[[#This Row],[Pcode]],CampList[CP_Pcode],0)-1,0,1,1)&gt;=NFI_Monitor_Date,1,0))</f>
        <v>0</v>
      </c>
      <c r="AQ20" s="579" t="str">
        <f>IFERROR(VLOOKUP(Table_NFI[[#This Row],[Camp Name]],CL,3,0),"")</f>
        <v>Open</v>
      </c>
      <c r="AR20" s="378" t="str">
        <f ca="1">IF(Table_NFI[[#This Row],[Pcode]]="","",OFFSET(CampList[Priority],MATCH(Table_NFI[[#This Row],[Pcode]],CampList[CP_Pcode],0)-1,0,1,1))</f>
        <v>P4</v>
      </c>
      <c r="AS20" s="377">
        <f>IFERROR(Table_NFI[[#This Row],[Kitchen Set]]/VLOOKUP(Table_NFI[[#This Row],[Camp Name]],CL,4,0),"")</f>
        <v>0</v>
      </c>
      <c r="AT20" s="572" t="s">
        <v>1095</v>
      </c>
      <c r="AU20" s="575"/>
    </row>
    <row r="21" spans="1:47" s="576" customFormat="1" ht="15" customHeight="1" x14ac:dyDescent="0.25">
      <c r="A21" s="381">
        <f t="shared" si="0"/>
        <v>24.933333333333334</v>
      </c>
      <c r="B21" s="571">
        <v>41774</v>
      </c>
      <c r="C21" s="572" t="s">
        <v>454</v>
      </c>
      <c r="D21" s="572" t="s">
        <v>454</v>
      </c>
      <c r="E21" s="572" t="s">
        <v>380</v>
      </c>
      <c r="F21" s="572" t="s">
        <v>5</v>
      </c>
      <c r="G21" s="572" t="s">
        <v>6</v>
      </c>
      <c r="H21" s="375"/>
      <c r="I21" s="375"/>
      <c r="J21" s="375"/>
      <c r="K21" s="375">
        <v>10</v>
      </c>
      <c r="L21" s="376">
        <v>4</v>
      </c>
      <c r="M21" s="376">
        <v>12</v>
      </c>
      <c r="N21" s="376">
        <v>4</v>
      </c>
      <c r="O21" s="376">
        <v>4</v>
      </c>
      <c r="P21" s="378">
        <v>4</v>
      </c>
      <c r="Q21" s="378">
        <v>12</v>
      </c>
      <c r="R21" s="378"/>
      <c r="S21" s="378"/>
      <c r="T21" s="378"/>
      <c r="U21" s="378"/>
      <c r="V21" s="533"/>
      <c r="W21" s="378"/>
      <c r="X21" s="378"/>
      <c r="Y21" s="378">
        <f>IF(NFI_Expiration=1,IF($A21&lt;VLOOKUP(H$5,NFI,5,0),1,0)*Table_NFI[[#This Row],[Hygiene Kit]],Table_NFI[Hygiene Kit])</f>
        <v>0</v>
      </c>
      <c r="Z21" s="378">
        <f>IF(NFI_Expiration=1,IF($A21&lt;VLOOKUP(I$5,NFI,5,0),1,0)*Table_NFI[[#This Row],[NFI Core Kit]],Table_NFI[NFI Core Kit])</f>
        <v>0</v>
      </c>
      <c r="AA21" s="378">
        <f>IF(NFI_Expiration=1,IF($A21&lt;VLOOKUP(J$5,NFI,5,0),1,0)*Table_NFI[[#This Row],[Sanitary Kit]],Table_NFI[Sanitary Kit])</f>
        <v>0</v>
      </c>
      <c r="AB21" s="378">
        <f>IF(NFI_Expiration=1,IF($A21&lt;VLOOKUP(K$5,NFI,5,0),1,0)*Table_NFI[[#This Row],[Mosquito net]],Table_NFI[Mosquito net])</f>
        <v>0</v>
      </c>
      <c r="AC21" s="378">
        <f>IF(NFI_Expiration=1,IF($A21&lt;VLOOKUP(L$5,NFI,5,0),1,0)*Table_NFI[[#This Row],[Tarpaulin]],Table_NFI[[#This Row],[Tarpaulin]])</f>
        <v>0</v>
      </c>
      <c r="AD21" s="378">
        <f>IF(NFI_Expiration=1,IF($A21&lt;VLOOKUP(M$5,NFI,5,0),1,0)*Table_NFI[[#This Row],[Blanket]],Table_NFI[[#This Row],[Blanket]])</f>
        <v>0</v>
      </c>
      <c r="AE21" s="378">
        <f>IF(NFI_Expiration=1,IF($A21&lt;VLOOKUP(N$5,NFI,5,0),1,0)*Table_NFI[[#This Row],[Kitchen Set]],Table_NFI[Kitchen Set])</f>
        <v>0</v>
      </c>
      <c r="AF21" s="378">
        <f>IF(NFI_Expiration=1,IF($A21&lt;VLOOKUP(O$5,NFI,5,0),1,0)*Table_NFI[[#This Row],[Clothes Kit]],Table_NFI[Clothes Kit])</f>
        <v>0</v>
      </c>
      <c r="AG21" s="378">
        <f>IF(NFI_Expiration=1,IF($A21&lt;VLOOKUP(P$5,NFI,5,0),1,0)*Table_NFI[[#This Row],[Plastic Bucket]],Table_NFI[Plastic Bucket])</f>
        <v>0</v>
      </c>
      <c r="AH21" s="378">
        <f>IF(NFI_Expiration=1,IF($A21&lt;VLOOKUP(Q$5,NFI,5,0),1,0)*Table_NFI[[#This Row],[Plastic Mat]],Table_NFI[Plastic Mat])*IF(Table_NFI[[#This Row],[Distribution Date]]&gt;"2014-04-01",1,2.5)</f>
        <v>0</v>
      </c>
      <c r="AI21" s="378">
        <f>IF(NFI_Expiration=1,IF($A21&lt;VLOOKUP(R$5,NFI,5,0),1,0)*Table_NFI[[#This Row],[Winter Clothes Adult]],Table_NFI[Winter Clothes Adult])</f>
        <v>0</v>
      </c>
      <c r="AJ21" s="378">
        <f>IF(NFI_Expiration=1,IF($A21&lt;VLOOKUP(S$5,NFI,5,0),1,0)*Table_NFI[[#This Row],[Winter Clothes Children]],Table_NFI[Winter Clothes Children])</f>
        <v>0</v>
      </c>
      <c r="AK21" s="378">
        <f>IF(NFI_Expiration=1,IF($A21&lt;VLOOKUP(T$5,NFI,5,0),1,0)*Table_NFI[[#This Row],[Winter Items Other]],Table_NFI[Winter Items Other])</f>
        <v>0</v>
      </c>
      <c r="AL21" s="378">
        <f>IF(NFI_Expiration=1,IF($A21&lt;VLOOKUP(M$5,NFI,5,0),1,0)*Table_NFI[[#This Row],[Winter Blanket]],Table_NFI[[#This Row],[Winter Blanket]])</f>
        <v>0</v>
      </c>
      <c r="AM21" s="378">
        <f>IF(Table_NFI[[#This Row],[Winter Clothes Adult]]+Table_NFI[[#This Row],[Winter Clothes Children]]+Table_NFI[[#This Row],[Winter Items Other]]+Table_NFI[[#This Row],[Winter Blanket]]&gt;0,1,0)</f>
        <v>0</v>
      </c>
      <c r="AN21" s="418">
        <f>IF(NFI_Expiration=1,IF($A21&lt;VLOOKUP(V$5,NFI,5,0),1,0)*Table_NFI[[#This Row],[Jerry Can]],Table_NFI[Jerry Can])</f>
        <v>0</v>
      </c>
      <c r="AO21" s="579" t="str">
        <f>IFERROR(VLOOKUP(Table_NFI[[#This Row],[Camp Name]],CL,2,0),"")</f>
        <v>MMR001CMP050</v>
      </c>
      <c r="AP21" s="574">
        <f ca="1">IF(Table_NFI[[#This Row],[Pcode]]="","",IF(OFFSET(CampList[Opening Date],MATCH(Table_NFI[[#This Row],[Pcode]],CampList[CP_Pcode],0)-1,0,1,1)&gt;=NFI_Monitor_Date,1,0))</f>
        <v>0</v>
      </c>
      <c r="AQ21" s="579" t="str">
        <f>IFERROR(VLOOKUP(Table_NFI[[#This Row],[Camp Name]],CL,3,0),"")</f>
        <v>Open</v>
      </c>
      <c r="AR21" s="378" t="str">
        <f ca="1">IF(Table_NFI[[#This Row],[Pcode]]="","",OFFSET(CampList[Priority],MATCH(Table_NFI[[#This Row],[Pcode]],CampList[CP_Pcode],0)-1,0,1,1))</f>
        <v>P4</v>
      </c>
      <c r="AS21" s="377">
        <f>IFERROR(Table_NFI[[#This Row],[Kitchen Set]]/VLOOKUP(Table_NFI[[#This Row],[Camp Name]],CL,4,0),"")</f>
        <v>1.4598540145985401E-2</v>
      </c>
      <c r="AT21" s="572" t="s">
        <v>1095</v>
      </c>
      <c r="AU21" s="575"/>
    </row>
    <row r="22" spans="1:47" s="576" customFormat="1" ht="15" customHeight="1" x14ac:dyDescent="0.25">
      <c r="A22" s="381">
        <f t="shared" si="0"/>
        <v>24.966666666666665</v>
      </c>
      <c r="B22" s="571">
        <v>41773</v>
      </c>
      <c r="C22" s="572" t="s">
        <v>454</v>
      </c>
      <c r="D22" s="572" t="s">
        <v>454</v>
      </c>
      <c r="E22" s="572" t="s">
        <v>380</v>
      </c>
      <c r="F22" s="572" t="s">
        <v>5</v>
      </c>
      <c r="G22" s="572" t="s">
        <v>6</v>
      </c>
      <c r="H22" s="375"/>
      <c r="I22" s="375"/>
      <c r="J22" s="375">
        <v>11</v>
      </c>
      <c r="K22" s="375">
        <v>12</v>
      </c>
      <c r="L22" s="376">
        <v>4</v>
      </c>
      <c r="M22" s="376">
        <v>12</v>
      </c>
      <c r="N22" s="376">
        <v>4</v>
      </c>
      <c r="O22" s="376">
        <v>4</v>
      </c>
      <c r="P22" s="378">
        <v>4</v>
      </c>
      <c r="Q22" s="378">
        <v>15</v>
      </c>
      <c r="R22" s="378"/>
      <c r="S22" s="378"/>
      <c r="T22" s="378"/>
      <c r="U22" s="378"/>
      <c r="V22" s="533"/>
      <c r="W22" s="378"/>
      <c r="X22" s="378"/>
      <c r="Y22" s="378">
        <f>IF(NFI_Expiration=1,IF($A22&lt;VLOOKUP(H$5,NFI,5,0),1,0)*Table_NFI[[#This Row],[Hygiene Kit]],Table_NFI[Hygiene Kit])</f>
        <v>0</v>
      </c>
      <c r="Z22" s="378">
        <f>IF(NFI_Expiration=1,IF($A22&lt;VLOOKUP(I$5,NFI,5,0),1,0)*Table_NFI[[#This Row],[NFI Core Kit]],Table_NFI[NFI Core Kit])</f>
        <v>0</v>
      </c>
      <c r="AA22" s="378">
        <f>IF(NFI_Expiration=1,IF($A22&lt;VLOOKUP(J$5,NFI,5,0),1,0)*Table_NFI[[#This Row],[Sanitary Kit]],Table_NFI[Sanitary Kit])</f>
        <v>0</v>
      </c>
      <c r="AB22" s="378">
        <f>IF(NFI_Expiration=1,IF($A22&lt;VLOOKUP(K$5,NFI,5,0),1,0)*Table_NFI[[#This Row],[Mosquito net]],Table_NFI[Mosquito net])</f>
        <v>0</v>
      </c>
      <c r="AC22" s="378">
        <f>IF(NFI_Expiration=1,IF($A22&lt;VLOOKUP(L$5,NFI,5,0),1,0)*Table_NFI[[#This Row],[Tarpaulin]],Table_NFI[[#This Row],[Tarpaulin]])</f>
        <v>0</v>
      </c>
      <c r="AD22" s="378">
        <f>IF(NFI_Expiration=1,IF($A22&lt;VLOOKUP(M$5,NFI,5,0),1,0)*Table_NFI[[#This Row],[Blanket]],Table_NFI[[#This Row],[Blanket]])</f>
        <v>0</v>
      </c>
      <c r="AE22" s="378">
        <f>IF(NFI_Expiration=1,IF($A22&lt;VLOOKUP(N$5,NFI,5,0),1,0)*Table_NFI[[#This Row],[Kitchen Set]],Table_NFI[Kitchen Set])</f>
        <v>0</v>
      </c>
      <c r="AF22" s="378">
        <f>IF(NFI_Expiration=1,IF($A22&lt;VLOOKUP(O$5,NFI,5,0),1,0)*Table_NFI[[#This Row],[Clothes Kit]],Table_NFI[Clothes Kit])</f>
        <v>0</v>
      </c>
      <c r="AG22" s="378">
        <f>IF(NFI_Expiration=1,IF($A22&lt;VLOOKUP(P$5,NFI,5,0),1,0)*Table_NFI[[#This Row],[Plastic Bucket]],Table_NFI[Plastic Bucket])</f>
        <v>0</v>
      </c>
      <c r="AH22" s="378">
        <f>IF(NFI_Expiration=1,IF($A22&lt;VLOOKUP(Q$5,NFI,5,0),1,0)*Table_NFI[[#This Row],[Plastic Mat]],Table_NFI[Plastic Mat])*IF(Table_NFI[[#This Row],[Distribution Date]]&gt;"2014-04-01",1,2.5)</f>
        <v>0</v>
      </c>
      <c r="AI22" s="378">
        <f>IF(NFI_Expiration=1,IF($A22&lt;VLOOKUP(R$5,NFI,5,0),1,0)*Table_NFI[[#This Row],[Winter Clothes Adult]],Table_NFI[Winter Clothes Adult])</f>
        <v>0</v>
      </c>
      <c r="AJ22" s="378">
        <f>IF(NFI_Expiration=1,IF($A22&lt;VLOOKUP(S$5,NFI,5,0),1,0)*Table_NFI[[#This Row],[Winter Clothes Children]],Table_NFI[Winter Clothes Children])</f>
        <v>0</v>
      </c>
      <c r="AK22" s="378">
        <f>IF(NFI_Expiration=1,IF($A22&lt;VLOOKUP(T$5,NFI,5,0),1,0)*Table_NFI[[#This Row],[Winter Items Other]],Table_NFI[Winter Items Other])</f>
        <v>0</v>
      </c>
      <c r="AL22" s="378">
        <f>IF(NFI_Expiration=1,IF($A22&lt;VLOOKUP(M$5,NFI,5,0),1,0)*Table_NFI[[#This Row],[Winter Blanket]],Table_NFI[[#This Row],[Winter Blanket]])</f>
        <v>0</v>
      </c>
      <c r="AM22" s="378">
        <f>IF(Table_NFI[[#This Row],[Winter Clothes Adult]]+Table_NFI[[#This Row],[Winter Clothes Children]]+Table_NFI[[#This Row],[Winter Items Other]]+Table_NFI[[#This Row],[Winter Blanket]]&gt;0,1,0)</f>
        <v>0</v>
      </c>
      <c r="AN22" s="418">
        <f>IF(NFI_Expiration=1,IF($A22&lt;VLOOKUP(V$5,NFI,5,0),1,0)*Table_NFI[[#This Row],[Jerry Can]],Table_NFI[Jerry Can])</f>
        <v>0</v>
      </c>
      <c r="AO22" s="579" t="str">
        <f>IFERROR(VLOOKUP(Table_NFI[[#This Row],[Camp Name]],CL,2,0),"")</f>
        <v>MMR001CMP050</v>
      </c>
      <c r="AP22" s="574">
        <f ca="1">IF(Table_NFI[[#This Row],[Pcode]]="","",IF(OFFSET(CampList[Opening Date],MATCH(Table_NFI[[#This Row],[Pcode]],CampList[CP_Pcode],0)-1,0,1,1)&gt;=NFI_Monitor_Date,1,0))</f>
        <v>0</v>
      </c>
      <c r="AQ22" s="579" t="str">
        <f>IFERROR(VLOOKUP(Table_NFI[[#This Row],[Camp Name]],CL,3,0),"")</f>
        <v>Open</v>
      </c>
      <c r="AR22" s="378" t="str">
        <f ca="1">IF(Table_NFI[[#This Row],[Pcode]]="","",OFFSET(CampList[Priority],MATCH(Table_NFI[[#This Row],[Pcode]],CampList[CP_Pcode],0)-1,0,1,1))</f>
        <v>P4</v>
      </c>
      <c r="AS22" s="377">
        <f>IFERROR(Table_NFI[[#This Row],[Kitchen Set]]/VLOOKUP(Table_NFI[[#This Row],[Camp Name]],CL,4,0),"")</f>
        <v>1.4598540145985401E-2</v>
      </c>
      <c r="AT22" s="572" t="s">
        <v>1095</v>
      </c>
      <c r="AU22" s="575"/>
    </row>
    <row r="23" spans="1:47" s="576" customFormat="1" ht="15" customHeight="1" x14ac:dyDescent="0.25">
      <c r="A23" s="381">
        <f t="shared" si="0"/>
        <v>25.733333333333334</v>
      </c>
      <c r="B23" s="571">
        <v>41750</v>
      </c>
      <c r="C23" s="572" t="s">
        <v>454</v>
      </c>
      <c r="D23" s="572" t="s">
        <v>454</v>
      </c>
      <c r="E23" s="572" t="s">
        <v>380</v>
      </c>
      <c r="F23" s="572" t="s">
        <v>5</v>
      </c>
      <c r="G23" s="572" t="s">
        <v>6</v>
      </c>
      <c r="H23" s="375"/>
      <c r="I23" s="375"/>
      <c r="J23" s="375">
        <v>5</v>
      </c>
      <c r="K23" s="375">
        <v>6</v>
      </c>
      <c r="L23" s="376">
        <v>2</v>
      </c>
      <c r="M23" s="376">
        <v>6</v>
      </c>
      <c r="N23" s="376">
        <v>2</v>
      </c>
      <c r="O23" s="376">
        <v>2</v>
      </c>
      <c r="P23" s="378">
        <v>2</v>
      </c>
      <c r="Q23" s="378">
        <v>6</v>
      </c>
      <c r="R23" s="378"/>
      <c r="S23" s="378"/>
      <c r="T23" s="378"/>
      <c r="U23" s="378"/>
      <c r="V23" s="533"/>
      <c r="W23" s="378"/>
      <c r="X23" s="378"/>
      <c r="Y23" s="378">
        <f>IF(NFI_Expiration=1,IF($A23&lt;VLOOKUP(H$5,NFI,5,0),1,0)*Table_NFI[[#This Row],[Hygiene Kit]],Table_NFI[Hygiene Kit])</f>
        <v>0</v>
      </c>
      <c r="Z23" s="378">
        <f>IF(NFI_Expiration=1,IF($A23&lt;VLOOKUP(I$5,NFI,5,0),1,0)*Table_NFI[[#This Row],[NFI Core Kit]],Table_NFI[NFI Core Kit])</f>
        <v>0</v>
      </c>
      <c r="AA23" s="378">
        <f>IF(NFI_Expiration=1,IF($A23&lt;VLOOKUP(J$5,NFI,5,0),1,0)*Table_NFI[[#This Row],[Sanitary Kit]],Table_NFI[Sanitary Kit])</f>
        <v>0</v>
      </c>
      <c r="AB23" s="378">
        <f>IF(NFI_Expiration=1,IF($A23&lt;VLOOKUP(K$5,NFI,5,0),1,0)*Table_NFI[[#This Row],[Mosquito net]],Table_NFI[Mosquito net])</f>
        <v>0</v>
      </c>
      <c r="AC23" s="378">
        <f>IF(NFI_Expiration=1,IF($A23&lt;VLOOKUP(L$5,NFI,5,0),1,0)*Table_NFI[[#This Row],[Tarpaulin]],Table_NFI[[#This Row],[Tarpaulin]])</f>
        <v>0</v>
      </c>
      <c r="AD23" s="378">
        <f>IF(NFI_Expiration=1,IF($A23&lt;VLOOKUP(M$5,NFI,5,0),1,0)*Table_NFI[[#This Row],[Blanket]],Table_NFI[[#This Row],[Blanket]])</f>
        <v>0</v>
      </c>
      <c r="AE23" s="378">
        <f>IF(NFI_Expiration=1,IF($A23&lt;VLOOKUP(N$5,NFI,5,0),1,0)*Table_NFI[[#This Row],[Kitchen Set]],Table_NFI[Kitchen Set])</f>
        <v>0</v>
      </c>
      <c r="AF23" s="378">
        <f>IF(NFI_Expiration=1,IF($A23&lt;VLOOKUP(O$5,NFI,5,0),1,0)*Table_NFI[[#This Row],[Clothes Kit]],Table_NFI[Clothes Kit])</f>
        <v>0</v>
      </c>
      <c r="AG23" s="378">
        <f>IF(NFI_Expiration=1,IF($A23&lt;VLOOKUP(P$5,NFI,5,0),1,0)*Table_NFI[[#This Row],[Plastic Bucket]],Table_NFI[Plastic Bucket])</f>
        <v>0</v>
      </c>
      <c r="AH23" s="378">
        <f>IF(NFI_Expiration=1,IF($A23&lt;VLOOKUP(Q$5,NFI,5,0),1,0)*Table_NFI[[#This Row],[Plastic Mat]],Table_NFI[Plastic Mat])*IF(Table_NFI[[#This Row],[Distribution Date]]&gt;"2014-04-01",1,2.5)</f>
        <v>0</v>
      </c>
      <c r="AI23" s="378">
        <f>IF(NFI_Expiration=1,IF($A23&lt;VLOOKUP(R$5,NFI,5,0),1,0)*Table_NFI[[#This Row],[Winter Clothes Adult]],Table_NFI[Winter Clothes Adult])</f>
        <v>0</v>
      </c>
      <c r="AJ23" s="378">
        <f>IF(NFI_Expiration=1,IF($A23&lt;VLOOKUP(S$5,NFI,5,0),1,0)*Table_NFI[[#This Row],[Winter Clothes Children]],Table_NFI[Winter Clothes Children])</f>
        <v>0</v>
      </c>
      <c r="AK23" s="378">
        <f>IF(NFI_Expiration=1,IF($A23&lt;VLOOKUP(T$5,NFI,5,0),1,0)*Table_NFI[[#This Row],[Winter Items Other]],Table_NFI[Winter Items Other])</f>
        <v>0</v>
      </c>
      <c r="AL23" s="378">
        <f>IF(NFI_Expiration=1,IF($A23&lt;VLOOKUP(M$5,NFI,5,0),1,0)*Table_NFI[[#This Row],[Winter Blanket]],Table_NFI[[#This Row],[Winter Blanket]])</f>
        <v>0</v>
      </c>
      <c r="AM23" s="378">
        <f>IF(Table_NFI[[#This Row],[Winter Clothes Adult]]+Table_NFI[[#This Row],[Winter Clothes Children]]+Table_NFI[[#This Row],[Winter Items Other]]+Table_NFI[[#This Row],[Winter Blanket]]&gt;0,1,0)</f>
        <v>0</v>
      </c>
      <c r="AN23" s="418">
        <f>IF(NFI_Expiration=1,IF($A23&lt;VLOOKUP(V$5,NFI,5,0),1,0)*Table_NFI[[#This Row],[Jerry Can]],Table_NFI[Jerry Can])</f>
        <v>0</v>
      </c>
      <c r="AO23" s="579" t="str">
        <f>IFERROR(VLOOKUP(Table_NFI[[#This Row],[Camp Name]],CL,2,0),"")</f>
        <v>MMR001CMP050</v>
      </c>
      <c r="AP23" s="574">
        <f ca="1">IF(Table_NFI[[#This Row],[Pcode]]="","",IF(OFFSET(CampList[Opening Date],MATCH(Table_NFI[[#This Row],[Pcode]],CampList[CP_Pcode],0)-1,0,1,1)&gt;=NFI_Monitor_Date,1,0))</f>
        <v>0</v>
      </c>
      <c r="AQ23" s="579" t="str">
        <f>IFERROR(VLOOKUP(Table_NFI[[#This Row],[Camp Name]],CL,3,0),"")</f>
        <v>Open</v>
      </c>
      <c r="AR23" s="378" t="str">
        <f ca="1">IF(Table_NFI[[#This Row],[Pcode]]="","",OFFSET(CampList[Priority],MATCH(Table_NFI[[#This Row],[Pcode]],CampList[CP_Pcode],0)-1,0,1,1))</f>
        <v>P4</v>
      </c>
      <c r="AS23" s="377">
        <f>IFERROR(Table_NFI[[#This Row],[Kitchen Set]]/VLOOKUP(Table_NFI[[#This Row],[Camp Name]],CL,4,0),"")</f>
        <v>7.2992700729927005E-3</v>
      </c>
      <c r="AT23" s="572" t="s">
        <v>1095</v>
      </c>
      <c r="AU23" s="575"/>
    </row>
    <row r="24" spans="1:47" s="576" customFormat="1" ht="15" customHeight="1" x14ac:dyDescent="0.25">
      <c r="A24" s="381">
        <f t="shared" si="0"/>
        <v>29.7</v>
      </c>
      <c r="B24" s="571">
        <v>41631</v>
      </c>
      <c r="C24" s="572" t="s">
        <v>454</v>
      </c>
      <c r="D24" s="573" t="s">
        <v>454</v>
      </c>
      <c r="E24" s="572" t="s">
        <v>380</v>
      </c>
      <c r="F24" s="374" t="s">
        <v>5</v>
      </c>
      <c r="G24" s="374" t="s">
        <v>6</v>
      </c>
      <c r="H24" s="375"/>
      <c r="I24" s="375"/>
      <c r="J24" s="375">
        <v>10</v>
      </c>
      <c r="K24" s="375">
        <v>10</v>
      </c>
      <c r="L24" s="376">
        <v>7</v>
      </c>
      <c r="M24" s="376">
        <v>10</v>
      </c>
      <c r="N24" s="376">
        <v>7</v>
      </c>
      <c r="O24" s="376">
        <v>7</v>
      </c>
      <c r="P24" s="378"/>
      <c r="Q24" s="378"/>
      <c r="R24" s="378"/>
      <c r="S24" s="378"/>
      <c r="T24" s="378"/>
      <c r="U24" s="378"/>
      <c r="V24" s="533"/>
      <c r="W24" s="378"/>
      <c r="X24" s="378"/>
      <c r="Y24" s="378">
        <f>IF(NFI_Expiration=1,IF($A24&lt;VLOOKUP(H$5,NFI,5,0),1,0)*Table_NFI[[#This Row],[Hygiene Kit]],Table_NFI[Hygiene Kit])</f>
        <v>0</v>
      </c>
      <c r="Z24" s="378">
        <f>IF(NFI_Expiration=1,IF($A24&lt;VLOOKUP(I$5,NFI,5,0),1,0)*Table_NFI[[#This Row],[NFI Core Kit]],Table_NFI[NFI Core Kit])</f>
        <v>0</v>
      </c>
      <c r="AA24" s="378">
        <f>IF(NFI_Expiration=1,IF($A24&lt;VLOOKUP(J$5,NFI,5,0),1,0)*Table_NFI[[#This Row],[Sanitary Kit]],Table_NFI[Sanitary Kit])</f>
        <v>0</v>
      </c>
      <c r="AB24" s="378">
        <f>IF(NFI_Expiration=1,IF($A24&lt;VLOOKUP(K$5,NFI,5,0),1,0)*Table_NFI[[#This Row],[Mosquito net]],Table_NFI[Mosquito net])</f>
        <v>0</v>
      </c>
      <c r="AC24" s="378">
        <f>IF(NFI_Expiration=1,IF($A24&lt;VLOOKUP(L$5,NFI,5,0),1,0)*Table_NFI[[#This Row],[Tarpaulin]],Table_NFI[[#This Row],[Tarpaulin]])</f>
        <v>0</v>
      </c>
      <c r="AD24" s="378">
        <f>IF(NFI_Expiration=1,IF($A24&lt;VLOOKUP(M$5,NFI,5,0),1,0)*Table_NFI[[#This Row],[Blanket]],Table_NFI[[#This Row],[Blanket]])</f>
        <v>0</v>
      </c>
      <c r="AE24" s="378">
        <f>IF(NFI_Expiration=1,IF($A24&lt;VLOOKUP(N$5,NFI,5,0),1,0)*Table_NFI[[#This Row],[Kitchen Set]],Table_NFI[Kitchen Set])</f>
        <v>0</v>
      </c>
      <c r="AF24" s="378">
        <f>IF(NFI_Expiration=1,IF($A24&lt;VLOOKUP(O$5,NFI,5,0),1,0)*Table_NFI[[#This Row],[Clothes Kit]],Table_NFI[Clothes Kit])</f>
        <v>0</v>
      </c>
      <c r="AG24" s="378">
        <f>IF(NFI_Expiration=1,IF($A24&lt;VLOOKUP(P$5,NFI,5,0),1,0)*Table_NFI[[#This Row],[Plastic Bucket]],Table_NFI[Plastic Bucket])</f>
        <v>0</v>
      </c>
      <c r="AH24" s="378">
        <f>IF(NFI_Expiration=1,IF($A24&lt;VLOOKUP(Q$5,NFI,5,0),1,0)*Table_NFI[[#This Row],[Plastic Mat]],Table_NFI[Plastic Mat])*IF(Table_NFI[[#This Row],[Distribution Date]]&gt;"2014-04-01",1,2.5)</f>
        <v>0</v>
      </c>
      <c r="AI24" s="378">
        <f>IF(NFI_Expiration=1,IF($A24&lt;VLOOKUP(R$5,NFI,5,0),1,0)*Table_NFI[[#This Row],[Winter Clothes Adult]],Table_NFI[Winter Clothes Adult])</f>
        <v>0</v>
      </c>
      <c r="AJ24" s="378">
        <f>IF(NFI_Expiration=1,IF($A24&lt;VLOOKUP(S$5,NFI,5,0),1,0)*Table_NFI[[#This Row],[Winter Clothes Children]],Table_NFI[Winter Clothes Children])</f>
        <v>0</v>
      </c>
      <c r="AK24" s="378">
        <f>IF(NFI_Expiration=1,IF($A24&lt;VLOOKUP(T$5,NFI,5,0),1,0)*Table_NFI[[#This Row],[Winter Items Other]],Table_NFI[Winter Items Other])</f>
        <v>0</v>
      </c>
      <c r="AL24" s="378">
        <f>IF(NFI_Expiration=1,IF($A24&lt;VLOOKUP(M$5,NFI,5,0),1,0)*Table_NFI[[#This Row],[Winter Blanket]],Table_NFI[[#This Row],[Winter Blanket]])</f>
        <v>0</v>
      </c>
      <c r="AM24" s="378">
        <f>IF(Table_NFI[[#This Row],[Winter Clothes Adult]]+Table_NFI[[#This Row],[Winter Clothes Children]]+Table_NFI[[#This Row],[Winter Items Other]]+Table_NFI[[#This Row],[Winter Blanket]]&gt;0,1,0)</f>
        <v>0</v>
      </c>
      <c r="AN24" s="418">
        <f>IF(NFI_Expiration=1,IF($A24&lt;VLOOKUP(V$5,NFI,5,0),1,0)*Table_NFI[[#This Row],[Jerry Can]],Table_NFI[Jerry Can])</f>
        <v>0</v>
      </c>
      <c r="AO24" s="579" t="str">
        <f>IFERROR(VLOOKUP(Table_NFI[[#This Row],[Camp Name]],CL,2,0),"")</f>
        <v>MMR001CMP050</v>
      </c>
      <c r="AP24" s="574">
        <f ca="1">IF(Table_NFI[[#This Row],[Pcode]]="","",IF(OFFSET(CampList[Opening Date],MATCH(Table_NFI[[#This Row],[Pcode]],CampList[CP_Pcode],0)-1,0,1,1)&gt;=NFI_Monitor_Date,1,0))</f>
        <v>0</v>
      </c>
      <c r="AQ24" s="579" t="str">
        <f>IFERROR(VLOOKUP(Table_NFI[[#This Row],[Camp Name]],CL,3,0),"")</f>
        <v>Open</v>
      </c>
      <c r="AR24" s="378" t="str">
        <f ca="1">IF(Table_NFI[[#This Row],[Pcode]]="","",OFFSET(CampList[Priority],MATCH(Table_NFI[[#This Row],[Pcode]],CampList[CP_Pcode],0)-1,0,1,1))</f>
        <v>P4</v>
      </c>
      <c r="AS24" s="377">
        <f>IFERROR(Table_NFI[[#This Row],[Kitchen Set]]/VLOOKUP(Table_NFI[[#This Row],[Camp Name]],CL,4,0),"")</f>
        <v>2.5547445255474453E-2</v>
      </c>
      <c r="AT24" s="572" t="s">
        <v>1095</v>
      </c>
      <c r="AU24" s="575"/>
    </row>
    <row r="25" spans="1:47" s="576" customFormat="1" x14ac:dyDescent="0.25">
      <c r="A25" s="381">
        <f t="shared" si="0"/>
        <v>30.466666666666665</v>
      </c>
      <c r="B25" s="571">
        <v>41608</v>
      </c>
      <c r="C25" s="572" t="s">
        <v>1100</v>
      </c>
      <c r="D25" s="573" t="s">
        <v>947</v>
      </c>
      <c r="E25" s="572" t="s">
        <v>380</v>
      </c>
      <c r="F25" s="572" t="s">
        <v>5</v>
      </c>
      <c r="G25" s="374" t="s">
        <v>6</v>
      </c>
      <c r="H25" s="375"/>
      <c r="I25" s="375"/>
      <c r="J25" s="375"/>
      <c r="K25" s="375"/>
      <c r="L25" s="376"/>
      <c r="M25" s="376">
        <v>104</v>
      </c>
      <c r="N25" s="376"/>
      <c r="O25" s="376"/>
      <c r="P25" s="378"/>
      <c r="Q25" s="378"/>
      <c r="R25" s="378">
        <v>146</v>
      </c>
      <c r="S25" s="378">
        <v>39</v>
      </c>
      <c r="T25" s="378">
        <v>0</v>
      </c>
      <c r="U25" s="378"/>
      <c r="V25" s="533"/>
      <c r="W25" s="378"/>
      <c r="X25" s="378"/>
      <c r="Y25" s="378">
        <f>IF(NFI_Expiration=1,IF($A25&lt;VLOOKUP(H$5,NFI,5,0),1,0)*Table_NFI[[#This Row],[Hygiene Kit]],Table_NFI[Hygiene Kit])</f>
        <v>0</v>
      </c>
      <c r="Z25" s="378">
        <f>IF(NFI_Expiration=1,IF($A25&lt;VLOOKUP(I$5,NFI,5,0),1,0)*Table_NFI[[#This Row],[NFI Core Kit]],Table_NFI[NFI Core Kit])</f>
        <v>0</v>
      </c>
      <c r="AA25" s="378">
        <f>IF(NFI_Expiration=1,IF($A25&lt;VLOOKUP(J$5,NFI,5,0),1,0)*Table_NFI[[#This Row],[Sanitary Kit]],Table_NFI[Sanitary Kit])</f>
        <v>0</v>
      </c>
      <c r="AB25" s="378">
        <f>IF(NFI_Expiration=1,IF($A25&lt;VLOOKUP(K$5,NFI,5,0),1,0)*Table_NFI[[#This Row],[Mosquito net]],Table_NFI[Mosquito net])</f>
        <v>0</v>
      </c>
      <c r="AC25" s="378">
        <f>IF(NFI_Expiration=1,IF($A25&lt;VLOOKUP(L$5,NFI,5,0),1,0)*Table_NFI[[#This Row],[Tarpaulin]],Table_NFI[[#This Row],[Tarpaulin]])</f>
        <v>0</v>
      </c>
      <c r="AD25" s="378">
        <f>IF(NFI_Expiration=1,IF($A25&lt;VLOOKUP(M$5,NFI,5,0),1,0)*Table_NFI[[#This Row],[Blanket]],Table_NFI[[#This Row],[Blanket]])</f>
        <v>0</v>
      </c>
      <c r="AE25" s="378">
        <f>IF(NFI_Expiration=1,IF($A25&lt;VLOOKUP(N$5,NFI,5,0),1,0)*Table_NFI[[#This Row],[Kitchen Set]],Table_NFI[Kitchen Set])</f>
        <v>0</v>
      </c>
      <c r="AF25" s="378">
        <f>IF(NFI_Expiration=1,IF($A25&lt;VLOOKUP(O$5,NFI,5,0),1,0)*Table_NFI[[#This Row],[Clothes Kit]],Table_NFI[Clothes Kit])</f>
        <v>0</v>
      </c>
      <c r="AG25" s="378">
        <f>IF(NFI_Expiration=1,IF($A25&lt;VLOOKUP(P$5,NFI,5,0),1,0)*Table_NFI[[#This Row],[Plastic Bucket]],Table_NFI[Plastic Bucket])</f>
        <v>0</v>
      </c>
      <c r="AH25" s="378">
        <f>IF(NFI_Expiration=1,IF($A25&lt;VLOOKUP(Q$5,NFI,5,0),1,0)*Table_NFI[[#This Row],[Plastic Mat]],Table_NFI[Plastic Mat])*IF(Table_NFI[[#This Row],[Distribution Date]]&gt;"2014-04-01",1,2.5)</f>
        <v>0</v>
      </c>
      <c r="AI25" s="378">
        <f>IF(NFI_Expiration=1,IF($A25&lt;VLOOKUP(R$5,NFI,5,0),1,0)*Table_NFI[[#This Row],[Winter Clothes Adult]],Table_NFI[Winter Clothes Adult])</f>
        <v>0</v>
      </c>
      <c r="AJ25" s="378">
        <f>IF(NFI_Expiration=1,IF($A25&lt;VLOOKUP(S$5,NFI,5,0),1,0)*Table_NFI[[#This Row],[Winter Clothes Children]],Table_NFI[Winter Clothes Children])</f>
        <v>0</v>
      </c>
      <c r="AK25" s="378">
        <f>IF(NFI_Expiration=1,IF($A25&lt;VLOOKUP(T$5,NFI,5,0),1,0)*Table_NFI[[#This Row],[Winter Items Other]],Table_NFI[Winter Items Other])</f>
        <v>0</v>
      </c>
      <c r="AL25" s="378">
        <f>IF(NFI_Expiration=1,IF($A25&lt;VLOOKUP(M$5,NFI,5,0),1,0)*Table_NFI[[#This Row],[Winter Blanket]],Table_NFI[[#This Row],[Winter Blanket]])</f>
        <v>0</v>
      </c>
      <c r="AM25" s="378">
        <f>IF(Table_NFI[[#This Row],[Winter Clothes Adult]]+Table_NFI[[#This Row],[Winter Clothes Children]]+Table_NFI[[#This Row],[Winter Items Other]]+Table_NFI[[#This Row],[Winter Blanket]]&gt;0,1,0)</f>
        <v>1</v>
      </c>
      <c r="AN25" s="418">
        <f>IF(NFI_Expiration=1,IF($A25&lt;VLOOKUP(V$5,NFI,5,0),1,0)*Table_NFI[[#This Row],[Jerry Can]],Table_NFI[Jerry Can])</f>
        <v>0</v>
      </c>
      <c r="AO25" s="579" t="str">
        <f>IFERROR(VLOOKUP(Table_NFI[[#This Row],[Camp Name]],CL,2,0),"")</f>
        <v>MMR001CMP050</v>
      </c>
      <c r="AP25" s="574">
        <f ca="1">IF(Table_NFI[[#This Row],[Pcode]]="","",IF(OFFSET(CampList[Opening Date],MATCH(Table_NFI[[#This Row],[Pcode]],CampList[CP_Pcode],0)-1,0,1,1)&gt;=NFI_Monitor_Date,1,0))</f>
        <v>0</v>
      </c>
      <c r="AQ25" s="579" t="str">
        <f>IFERROR(VLOOKUP(Table_NFI[[#This Row],[Camp Name]],CL,3,0),"")</f>
        <v>Open</v>
      </c>
      <c r="AR25" s="378" t="str">
        <f ca="1">IF(Table_NFI[[#This Row],[Pcode]]="","",OFFSET(CampList[Priority],MATCH(Table_NFI[[#This Row],[Pcode]],CampList[CP_Pcode],0)-1,0,1,1))</f>
        <v>P4</v>
      </c>
      <c r="AS25" s="377">
        <f>IFERROR(Table_NFI[[#This Row],[Kitchen Set]]/VLOOKUP(Table_NFI[[#This Row],[Camp Name]],CL,4,0),"")</f>
        <v>0</v>
      </c>
      <c r="AT25" s="572" t="s">
        <v>1095</v>
      </c>
      <c r="AU25" s="575"/>
    </row>
    <row r="26" spans="1:47" s="576" customFormat="1" x14ac:dyDescent="0.25">
      <c r="A26" s="381">
        <f t="shared" si="0"/>
        <v>30.466666666666665</v>
      </c>
      <c r="B26" s="571">
        <v>41608</v>
      </c>
      <c r="C26" s="572" t="s">
        <v>908</v>
      </c>
      <c r="D26" s="572"/>
      <c r="E26" s="572" t="s">
        <v>380</v>
      </c>
      <c r="F26" s="374" t="s">
        <v>5</v>
      </c>
      <c r="G26" s="374" t="s">
        <v>6</v>
      </c>
      <c r="H26" s="375"/>
      <c r="I26" s="375"/>
      <c r="J26" s="375"/>
      <c r="K26" s="375"/>
      <c r="L26" s="376"/>
      <c r="M26" s="376"/>
      <c r="N26" s="376"/>
      <c r="O26" s="376"/>
      <c r="P26" s="378"/>
      <c r="Q26" s="378">
        <v>660</v>
      </c>
      <c r="R26" s="378"/>
      <c r="S26" s="378"/>
      <c r="T26" s="378"/>
      <c r="U26" s="378"/>
      <c r="V26" s="533"/>
      <c r="W26" s="378"/>
      <c r="X26" s="378"/>
      <c r="Y26" s="378">
        <f>IF(NFI_Expiration=1,IF($A26&lt;VLOOKUP(H$5,NFI,5,0),1,0)*Table_NFI[[#This Row],[Hygiene Kit]],Table_NFI[Hygiene Kit])</f>
        <v>0</v>
      </c>
      <c r="Z26" s="378">
        <f>IF(NFI_Expiration=1,IF($A26&lt;VLOOKUP(I$5,NFI,5,0),1,0)*Table_NFI[[#This Row],[NFI Core Kit]],Table_NFI[NFI Core Kit])</f>
        <v>0</v>
      </c>
      <c r="AA26" s="378">
        <f>IF(NFI_Expiration=1,IF($A26&lt;VLOOKUP(J$5,NFI,5,0),1,0)*Table_NFI[[#This Row],[Sanitary Kit]],Table_NFI[Sanitary Kit])</f>
        <v>0</v>
      </c>
      <c r="AB26" s="378">
        <f>IF(NFI_Expiration=1,IF($A26&lt;VLOOKUP(K$5,NFI,5,0),1,0)*Table_NFI[[#This Row],[Mosquito net]],Table_NFI[Mosquito net])</f>
        <v>0</v>
      </c>
      <c r="AC26" s="378">
        <f>IF(NFI_Expiration=1,IF($A26&lt;VLOOKUP(L$5,NFI,5,0),1,0)*Table_NFI[[#This Row],[Tarpaulin]],Table_NFI[[#This Row],[Tarpaulin]])</f>
        <v>0</v>
      </c>
      <c r="AD26" s="378">
        <f>IF(NFI_Expiration=1,IF($A26&lt;VLOOKUP(M$5,NFI,5,0),1,0)*Table_NFI[[#This Row],[Blanket]],Table_NFI[[#This Row],[Blanket]])</f>
        <v>0</v>
      </c>
      <c r="AE26" s="378">
        <f>IF(NFI_Expiration=1,IF($A26&lt;VLOOKUP(N$5,NFI,5,0),1,0)*Table_NFI[[#This Row],[Kitchen Set]],Table_NFI[Kitchen Set])</f>
        <v>0</v>
      </c>
      <c r="AF26" s="378">
        <f>IF(NFI_Expiration=1,IF($A26&lt;VLOOKUP(O$5,NFI,5,0),1,0)*Table_NFI[[#This Row],[Clothes Kit]],Table_NFI[Clothes Kit])</f>
        <v>0</v>
      </c>
      <c r="AG26" s="378">
        <f>IF(NFI_Expiration=1,IF($A26&lt;VLOOKUP(P$5,NFI,5,0),1,0)*Table_NFI[[#This Row],[Plastic Bucket]],Table_NFI[Plastic Bucket])</f>
        <v>0</v>
      </c>
      <c r="AH26" s="378">
        <f>IF(NFI_Expiration=1,IF($A26&lt;VLOOKUP(Q$5,NFI,5,0),1,0)*Table_NFI[[#This Row],[Plastic Mat]],Table_NFI[Plastic Mat])*IF(Table_NFI[[#This Row],[Distribution Date]]&gt;"2014-04-01",1,2.5)</f>
        <v>0</v>
      </c>
      <c r="AI26" s="378">
        <f>IF(NFI_Expiration=1,IF($A26&lt;VLOOKUP(R$5,NFI,5,0),1,0)*Table_NFI[[#This Row],[Winter Clothes Adult]],Table_NFI[Winter Clothes Adult])</f>
        <v>0</v>
      </c>
      <c r="AJ26" s="378">
        <f>IF(NFI_Expiration=1,IF($A26&lt;VLOOKUP(S$5,NFI,5,0),1,0)*Table_NFI[[#This Row],[Winter Clothes Children]],Table_NFI[Winter Clothes Children])</f>
        <v>0</v>
      </c>
      <c r="AK26" s="378">
        <f>IF(NFI_Expiration=1,IF($A26&lt;VLOOKUP(T$5,NFI,5,0),1,0)*Table_NFI[[#This Row],[Winter Items Other]],Table_NFI[Winter Items Other])</f>
        <v>0</v>
      </c>
      <c r="AL26" s="378">
        <f>IF(NFI_Expiration=1,IF($A26&lt;VLOOKUP(M$5,NFI,5,0),1,0)*Table_NFI[[#This Row],[Winter Blanket]],Table_NFI[[#This Row],[Winter Blanket]])</f>
        <v>0</v>
      </c>
      <c r="AM26" s="378">
        <f>IF(Table_NFI[[#This Row],[Winter Clothes Adult]]+Table_NFI[[#This Row],[Winter Clothes Children]]+Table_NFI[[#This Row],[Winter Items Other]]+Table_NFI[[#This Row],[Winter Blanket]]&gt;0,1,0)</f>
        <v>0</v>
      </c>
      <c r="AN26" s="418">
        <f>IF(NFI_Expiration=1,IF($A26&lt;VLOOKUP(V$5,NFI,5,0),1,0)*Table_NFI[[#This Row],[Jerry Can]],Table_NFI[Jerry Can])</f>
        <v>0</v>
      </c>
      <c r="AO26" s="579" t="str">
        <f>IFERROR(VLOOKUP(Table_NFI[[#This Row],[Camp Name]],CL,2,0),"")</f>
        <v>MMR001CMP050</v>
      </c>
      <c r="AP26" s="574">
        <f ca="1">IF(Table_NFI[[#This Row],[Pcode]]="","",IF(OFFSET(CampList[Opening Date],MATCH(Table_NFI[[#This Row],[Pcode]],CampList[CP_Pcode],0)-1,0,1,1)&gt;=NFI_Monitor_Date,1,0))</f>
        <v>0</v>
      </c>
      <c r="AQ26" s="579" t="str">
        <f>IFERROR(VLOOKUP(Table_NFI[[#This Row],[Camp Name]],CL,3,0),"")</f>
        <v>Open</v>
      </c>
      <c r="AR26" s="378" t="str">
        <f ca="1">IF(Table_NFI[[#This Row],[Pcode]]="","",OFFSET(CampList[Priority],MATCH(Table_NFI[[#This Row],[Pcode]],CampList[CP_Pcode],0)-1,0,1,1))</f>
        <v>P4</v>
      </c>
      <c r="AS26" s="377">
        <f>IFERROR(Table_NFI[[#This Row],[Kitchen Set]]/VLOOKUP(Table_NFI[[#This Row],[Camp Name]],CL,4,0),"")</f>
        <v>0</v>
      </c>
      <c r="AT26" s="572" t="s">
        <v>1095</v>
      </c>
      <c r="AU26" s="575"/>
    </row>
    <row r="27" spans="1:47" s="576" customFormat="1" ht="16.5" customHeight="1" x14ac:dyDescent="0.25">
      <c r="A27" s="381">
        <f t="shared" si="0"/>
        <v>30.466666666666665</v>
      </c>
      <c r="B27" s="571">
        <v>41608</v>
      </c>
      <c r="C27" s="573" t="s">
        <v>454</v>
      </c>
      <c r="D27" s="573" t="s">
        <v>454</v>
      </c>
      <c r="E27" s="572" t="s">
        <v>380</v>
      </c>
      <c r="F27" s="374" t="s">
        <v>5</v>
      </c>
      <c r="G27" s="374" t="s">
        <v>6</v>
      </c>
      <c r="H27" s="375"/>
      <c r="I27" s="375"/>
      <c r="J27" s="375"/>
      <c r="K27" s="375">
        <v>6</v>
      </c>
      <c r="L27" s="376">
        <v>6</v>
      </c>
      <c r="M27" s="376">
        <v>6</v>
      </c>
      <c r="N27" s="376">
        <v>6</v>
      </c>
      <c r="O27" s="376">
        <v>6</v>
      </c>
      <c r="P27" s="378"/>
      <c r="Q27" s="378"/>
      <c r="R27" s="378"/>
      <c r="S27" s="378"/>
      <c r="T27" s="378"/>
      <c r="U27" s="378"/>
      <c r="V27" s="533"/>
      <c r="W27" s="378"/>
      <c r="X27" s="378"/>
      <c r="Y27" s="378">
        <f>IF(NFI_Expiration=1,IF($A27&lt;VLOOKUP(H$5,NFI,5,0),1,0)*Table_NFI[[#This Row],[Hygiene Kit]],Table_NFI[Hygiene Kit])</f>
        <v>0</v>
      </c>
      <c r="Z27" s="378">
        <f>IF(NFI_Expiration=1,IF($A27&lt;VLOOKUP(I$5,NFI,5,0),1,0)*Table_NFI[[#This Row],[NFI Core Kit]],Table_NFI[NFI Core Kit])</f>
        <v>0</v>
      </c>
      <c r="AA27" s="378">
        <f>IF(NFI_Expiration=1,IF($A27&lt;VLOOKUP(J$5,NFI,5,0),1,0)*Table_NFI[[#This Row],[Sanitary Kit]],Table_NFI[Sanitary Kit])</f>
        <v>0</v>
      </c>
      <c r="AB27" s="378">
        <f>IF(NFI_Expiration=1,IF($A27&lt;VLOOKUP(K$5,NFI,5,0),1,0)*Table_NFI[[#This Row],[Mosquito net]],Table_NFI[Mosquito net])</f>
        <v>0</v>
      </c>
      <c r="AC27" s="378">
        <f>IF(NFI_Expiration=1,IF($A27&lt;VLOOKUP(L$5,NFI,5,0),1,0)*Table_NFI[[#This Row],[Tarpaulin]],Table_NFI[[#This Row],[Tarpaulin]])</f>
        <v>0</v>
      </c>
      <c r="AD27" s="378">
        <f>IF(NFI_Expiration=1,IF($A27&lt;VLOOKUP(M$5,NFI,5,0),1,0)*Table_NFI[[#This Row],[Blanket]],Table_NFI[[#This Row],[Blanket]])</f>
        <v>0</v>
      </c>
      <c r="AE27" s="378">
        <f>IF(NFI_Expiration=1,IF($A27&lt;VLOOKUP(N$5,NFI,5,0),1,0)*Table_NFI[[#This Row],[Kitchen Set]],Table_NFI[Kitchen Set])</f>
        <v>0</v>
      </c>
      <c r="AF27" s="378">
        <f>IF(NFI_Expiration=1,IF($A27&lt;VLOOKUP(O$5,NFI,5,0),1,0)*Table_NFI[[#This Row],[Clothes Kit]],Table_NFI[Clothes Kit])</f>
        <v>0</v>
      </c>
      <c r="AG27" s="378">
        <f>IF(NFI_Expiration=1,IF($A27&lt;VLOOKUP(P$5,NFI,5,0),1,0)*Table_NFI[[#This Row],[Plastic Bucket]],Table_NFI[Plastic Bucket])</f>
        <v>0</v>
      </c>
      <c r="AH27" s="378">
        <f>IF(NFI_Expiration=1,IF($A27&lt;VLOOKUP(Q$5,NFI,5,0),1,0)*Table_NFI[[#This Row],[Plastic Mat]],Table_NFI[Plastic Mat])*IF(Table_NFI[[#This Row],[Distribution Date]]&gt;"2014-04-01",1,2.5)</f>
        <v>0</v>
      </c>
      <c r="AI27" s="378">
        <f>IF(NFI_Expiration=1,IF($A27&lt;VLOOKUP(R$5,NFI,5,0),1,0)*Table_NFI[[#This Row],[Winter Clothes Adult]],Table_NFI[Winter Clothes Adult])</f>
        <v>0</v>
      </c>
      <c r="AJ27" s="378">
        <f>IF(NFI_Expiration=1,IF($A27&lt;VLOOKUP(S$5,NFI,5,0),1,0)*Table_NFI[[#This Row],[Winter Clothes Children]],Table_NFI[Winter Clothes Children])</f>
        <v>0</v>
      </c>
      <c r="AK27" s="378">
        <f>IF(NFI_Expiration=1,IF($A27&lt;VLOOKUP(T$5,NFI,5,0),1,0)*Table_NFI[[#This Row],[Winter Items Other]],Table_NFI[Winter Items Other])</f>
        <v>0</v>
      </c>
      <c r="AL27" s="378">
        <f>IF(NFI_Expiration=1,IF($A27&lt;VLOOKUP(M$5,NFI,5,0),1,0)*Table_NFI[[#This Row],[Winter Blanket]],Table_NFI[[#This Row],[Winter Blanket]])</f>
        <v>0</v>
      </c>
      <c r="AM27" s="378">
        <f>IF(Table_NFI[[#This Row],[Winter Clothes Adult]]+Table_NFI[[#This Row],[Winter Clothes Children]]+Table_NFI[[#This Row],[Winter Items Other]]+Table_NFI[[#This Row],[Winter Blanket]]&gt;0,1,0)</f>
        <v>0</v>
      </c>
      <c r="AN27" s="418">
        <f>IF(NFI_Expiration=1,IF($A27&lt;VLOOKUP(V$5,NFI,5,0),1,0)*Table_NFI[[#This Row],[Jerry Can]],Table_NFI[Jerry Can])</f>
        <v>0</v>
      </c>
      <c r="AO27" s="579" t="str">
        <f>IFERROR(VLOOKUP(Table_NFI[[#This Row],[Camp Name]],CL,2,0),"")</f>
        <v>MMR001CMP050</v>
      </c>
      <c r="AP27" s="574">
        <f ca="1">IF(Table_NFI[[#This Row],[Pcode]]="","",IF(OFFSET(CampList[Opening Date],MATCH(Table_NFI[[#This Row],[Pcode]],CampList[CP_Pcode],0)-1,0,1,1)&gt;=NFI_Monitor_Date,1,0))</f>
        <v>0</v>
      </c>
      <c r="AQ27" s="579" t="str">
        <f>IFERROR(VLOOKUP(Table_NFI[[#This Row],[Camp Name]],CL,3,0),"")</f>
        <v>Open</v>
      </c>
      <c r="AR27" s="378" t="str">
        <f ca="1">IF(Table_NFI[[#This Row],[Pcode]]="","",OFFSET(CampList[Priority],MATCH(Table_NFI[[#This Row],[Pcode]],CampList[CP_Pcode],0)-1,0,1,1))</f>
        <v>P4</v>
      </c>
      <c r="AS27" s="377">
        <f>IFERROR(Table_NFI[[#This Row],[Kitchen Set]]/VLOOKUP(Table_NFI[[#This Row],[Camp Name]],CL,4,0),"")</f>
        <v>2.1897810218978103E-2</v>
      </c>
      <c r="AT27" s="572" t="s">
        <v>1095</v>
      </c>
      <c r="AU27" s="575"/>
    </row>
    <row r="28" spans="1:47" s="576" customFormat="1" x14ac:dyDescent="0.25">
      <c r="A28" s="381">
        <f t="shared" si="0"/>
        <v>31.366666666666667</v>
      </c>
      <c r="B28" s="571">
        <v>41581</v>
      </c>
      <c r="C28" s="572" t="s">
        <v>903</v>
      </c>
      <c r="D28" s="572" t="s">
        <v>903</v>
      </c>
      <c r="E28" s="572" t="s">
        <v>380</v>
      </c>
      <c r="F28" s="374" t="s">
        <v>5</v>
      </c>
      <c r="G28" s="374" t="s">
        <v>6</v>
      </c>
      <c r="H28" s="375"/>
      <c r="I28" s="375"/>
      <c r="J28" s="375">
        <v>21</v>
      </c>
      <c r="K28" s="375"/>
      <c r="L28" s="376"/>
      <c r="M28" s="376"/>
      <c r="N28" s="376">
        <v>21</v>
      </c>
      <c r="O28" s="376"/>
      <c r="P28" s="378"/>
      <c r="Q28" s="378"/>
      <c r="R28" s="378"/>
      <c r="S28" s="378"/>
      <c r="T28" s="378"/>
      <c r="U28" s="378"/>
      <c r="V28" s="533"/>
      <c r="W28" s="378"/>
      <c r="X28" s="378"/>
      <c r="Y28" s="378">
        <f>IF(NFI_Expiration=1,IF($A28&lt;VLOOKUP(H$5,NFI,5,0),1,0)*Table_NFI[[#This Row],[Hygiene Kit]],Table_NFI[Hygiene Kit])</f>
        <v>0</v>
      </c>
      <c r="Z28" s="378">
        <f>IF(NFI_Expiration=1,IF($A28&lt;VLOOKUP(I$5,NFI,5,0),1,0)*Table_NFI[[#This Row],[NFI Core Kit]],Table_NFI[NFI Core Kit])</f>
        <v>0</v>
      </c>
      <c r="AA28" s="378">
        <f>IF(NFI_Expiration=1,IF($A28&lt;VLOOKUP(J$5,NFI,5,0),1,0)*Table_NFI[[#This Row],[Sanitary Kit]],Table_NFI[Sanitary Kit])</f>
        <v>0</v>
      </c>
      <c r="AB28" s="378">
        <f>IF(NFI_Expiration=1,IF($A28&lt;VLOOKUP(K$5,NFI,5,0),1,0)*Table_NFI[[#This Row],[Mosquito net]],Table_NFI[Mosquito net])</f>
        <v>0</v>
      </c>
      <c r="AC28" s="378">
        <f>IF(NFI_Expiration=1,IF($A28&lt;VLOOKUP(L$5,NFI,5,0),1,0)*Table_NFI[[#This Row],[Tarpaulin]],Table_NFI[[#This Row],[Tarpaulin]])</f>
        <v>0</v>
      </c>
      <c r="AD28" s="378">
        <f>IF(NFI_Expiration=1,IF($A28&lt;VLOOKUP(M$5,NFI,5,0),1,0)*Table_NFI[[#This Row],[Blanket]],Table_NFI[[#This Row],[Blanket]])</f>
        <v>0</v>
      </c>
      <c r="AE28" s="378">
        <f>IF(NFI_Expiration=1,IF($A28&lt;VLOOKUP(N$5,NFI,5,0),1,0)*Table_NFI[[#This Row],[Kitchen Set]],Table_NFI[Kitchen Set])</f>
        <v>0</v>
      </c>
      <c r="AF28" s="378">
        <f>IF(NFI_Expiration=1,IF($A28&lt;VLOOKUP(O$5,NFI,5,0),1,0)*Table_NFI[[#This Row],[Clothes Kit]],Table_NFI[Clothes Kit])</f>
        <v>0</v>
      </c>
      <c r="AG28" s="378">
        <f>IF(NFI_Expiration=1,IF($A28&lt;VLOOKUP(P$5,NFI,5,0),1,0)*Table_NFI[[#This Row],[Plastic Bucket]],Table_NFI[Plastic Bucket])</f>
        <v>0</v>
      </c>
      <c r="AH28" s="378">
        <f>IF(NFI_Expiration=1,IF($A28&lt;VLOOKUP(Q$5,NFI,5,0),1,0)*Table_NFI[[#This Row],[Plastic Mat]],Table_NFI[Plastic Mat])*IF(Table_NFI[[#This Row],[Distribution Date]]&gt;"2014-04-01",1,2.5)</f>
        <v>0</v>
      </c>
      <c r="AI28" s="378">
        <f>IF(NFI_Expiration=1,IF($A28&lt;VLOOKUP(R$5,NFI,5,0),1,0)*Table_NFI[[#This Row],[Winter Clothes Adult]],Table_NFI[Winter Clothes Adult])</f>
        <v>0</v>
      </c>
      <c r="AJ28" s="378">
        <f>IF(NFI_Expiration=1,IF($A28&lt;VLOOKUP(S$5,NFI,5,0),1,0)*Table_NFI[[#This Row],[Winter Clothes Children]],Table_NFI[Winter Clothes Children])</f>
        <v>0</v>
      </c>
      <c r="AK28" s="378">
        <f>IF(NFI_Expiration=1,IF($A28&lt;VLOOKUP(T$5,NFI,5,0),1,0)*Table_NFI[[#This Row],[Winter Items Other]],Table_NFI[Winter Items Other])</f>
        <v>0</v>
      </c>
      <c r="AL28" s="378">
        <f>IF(NFI_Expiration=1,IF($A28&lt;VLOOKUP(M$5,NFI,5,0),1,0)*Table_NFI[[#This Row],[Winter Blanket]],Table_NFI[[#This Row],[Winter Blanket]])</f>
        <v>0</v>
      </c>
      <c r="AM28" s="378">
        <f>IF(Table_NFI[[#This Row],[Winter Clothes Adult]]+Table_NFI[[#This Row],[Winter Clothes Children]]+Table_NFI[[#This Row],[Winter Items Other]]+Table_NFI[[#This Row],[Winter Blanket]]&gt;0,1,0)</f>
        <v>0</v>
      </c>
      <c r="AN28" s="418">
        <f>IF(NFI_Expiration=1,IF($A28&lt;VLOOKUP(V$5,NFI,5,0),1,0)*Table_NFI[[#This Row],[Jerry Can]],Table_NFI[Jerry Can])</f>
        <v>0</v>
      </c>
      <c r="AO28" s="579" t="str">
        <f>IFERROR(VLOOKUP(Table_NFI[[#This Row],[Camp Name]],CL,2,0),"")</f>
        <v>MMR001CMP050</v>
      </c>
      <c r="AP28" s="574">
        <f ca="1">IF(Table_NFI[[#This Row],[Pcode]]="","",IF(OFFSET(CampList[Opening Date],MATCH(Table_NFI[[#This Row],[Pcode]],CampList[CP_Pcode],0)-1,0,1,1)&gt;=NFI_Monitor_Date,1,0))</f>
        <v>0</v>
      </c>
      <c r="AQ28" s="579" t="str">
        <f>IFERROR(VLOOKUP(Table_NFI[[#This Row],[Camp Name]],CL,3,0),"")</f>
        <v>Open</v>
      </c>
      <c r="AR28" s="378" t="str">
        <f ca="1">IF(Table_NFI[[#This Row],[Pcode]]="","",OFFSET(CampList[Priority],MATCH(Table_NFI[[#This Row],[Pcode]],CampList[CP_Pcode],0)-1,0,1,1))</f>
        <v>P4</v>
      </c>
      <c r="AS28" s="377">
        <f>IFERROR(Table_NFI[[#This Row],[Kitchen Set]]/VLOOKUP(Table_NFI[[#This Row],[Camp Name]],CL,4,0),"")</f>
        <v>7.6642335766423361E-2</v>
      </c>
      <c r="AT28" s="572" t="s">
        <v>1095</v>
      </c>
      <c r="AU28" s="575"/>
    </row>
    <row r="29" spans="1:47" s="576" customFormat="1" x14ac:dyDescent="0.25">
      <c r="A29" s="381">
        <f t="shared" si="0"/>
        <v>31.5</v>
      </c>
      <c r="B29" s="571">
        <v>41577</v>
      </c>
      <c r="C29" s="572" t="s">
        <v>454</v>
      </c>
      <c r="D29" s="572" t="s">
        <v>454</v>
      </c>
      <c r="E29" s="572" t="s">
        <v>380</v>
      </c>
      <c r="F29" s="374" t="s">
        <v>5</v>
      </c>
      <c r="G29" s="374" t="s">
        <v>6</v>
      </c>
      <c r="H29" s="375"/>
      <c r="I29" s="375"/>
      <c r="J29" s="375">
        <v>22</v>
      </c>
      <c r="K29" s="375">
        <v>40</v>
      </c>
      <c r="L29" s="376">
        <v>21</v>
      </c>
      <c r="M29" s="376">
        <v>40</v>
      </c>
      <c r="N29" s="376">
        <v>21</v>
      </c>
      <c r="O29" s="376">
        <v>21</v>
      </c>
      <c r="P29" s="378">
        <v>21</v>
      </c>
      <c r="Q29" s="378">
        <v>21</v>
      </c>
      <c r="R29" s="378"/>
      <c r="S29" s="378"/>
      <c r="T29" s="378"/>
      <c r="U29" s="378"/>
      <c r="V29" s="533"/>
      <c r="W29" s="378"/>
      <c r="X29" s="378"/>
      <c r="Y29" s="378">
        <f>IF(NFI_Expiration=1,IF($A29&lt;VLOOKUP(H$5,NFI,5,0),1,0)*Table_NFI[[#This Row],[Hygiene Kit]],Table_NFI[Hygiene Kit])</f>
        <v>0</v>
      </c>
      <c r="Z29" s="378">
        <f>IF(NFI_Expiration=1,IF($A29&lt;VLOOKUP(I$5,NFI,5,0),1,0)*Table_NFI[[#This Row],[NFI Core Kit]],Table_NFI[NFI Core Kit])</f>
        <v>0</v>
      </c>
      <c r="AA29" s="378">
        <f>IF(NFI_Expiration=1,IF($A29&lt;VLOOKUP(J$5,NFI,5,0),1,0)*Table_NFI[[#This Row],[Sanitary Kit]],Table_NFI[Sanitary Kit])</f>
        <v>0</v>
      </c>
      <c r="AB29" s="378">
        <f>IF(NFI_Expiration=1,IF($A29&lt;VLOOKUP(K$5,NFI,5,0),1,0)*Table_NFI[[#This Row],[Mosquito net]],Table_NFI[Mosquito net])</f>
        <v>0</v>
      </c>
      <c r="AC29" s="378">
        <f>IF(NFI_Expiration=1,IF($A29&lt;VLOOKUP(L$5,NFI,5,0),1,0)*Table_NFI[[#This Row],[Tarpaulin]],Table_NFI[[#This Row],[Tarpaulin]])</f>
        <v>0</v>
      </c>
      <c r="AD29" s="378">
        <f>IF(NFI_Expiration=1,IF($A29&lt;VLOOKUP(M$5,NFI,5,0),1,0)*Table_NFI[[#This Row],[Blanket]],Table_NFI[[#This Row],[Blanket]])</f>
        <v>0</v>
      </c>
      <c r="AE29" s="378">
        <f>IF(NFI_Expiration=1,IF($A29&lt;VLOOKUP(N$5,NFI,5,0),1,0)*Table_NFI[[#This Row],[Kitchen Set]],Table_NFI[Kitchen Set])</f>
        <v>0</v>
      </c>
      <c r="AF29" s="378">
        <f>IF(NFI_Expiration=1,IF($A29&lt;VLOOKUP(O$5,NFI,5,0),1,0)*Table_NFI[[#This Row],[Clothes Kit]],Table_NFI[Clothes Kit])</f>
        <v>0</v>
      </c>
      <c r="AG29" s="378">
        <f>IF(NFI_Expiration=1,IF($A29&lt;VLOOKUP(P$5,NFI,5,0),1,0)*Table_NFI[[#This Row],[Plastic Bucket]],Table_NFI[Plastic Bucket])</f>
        <v>0</v>
      </c>
      <c r="AH29" s="378">
        <f>IF(NFI_Expiration=1,IF($A29&lt;VLOOKUP(Q$5,NFI,5,0),1,0)*Table_NFI[[#This Row],[Plastic Mat]],Table_NFI[Plastic Mat])*IF(Table_NFI[[#This Row],[Distribution Date]]&gt;"2014-04-01",1,2.5)</f>
        <v>0</v>
      </c>
      <c r="AI29" s="378">
        <f>IF(NFI_Expiration=1,IF($A29&lt;VLOOKUP(R$5,NFI,5,0),1,0)*Table_NFI[[#This Row],[Winter Clothes Adult]],Table_NFI[Winter Clothes Adult])</f>
        <v>0</v>
      </c>
      <c r="AJ29" s="378">
        <f>IF(NFI_Expiration=1,IF($A29&lt;VLOOKUP(S$5,NFI,5,0),1,0)*Table_NFI[[#This Row],[Winter Clothes Children]],Table_NFI[Winter Clothes Children])</f>
        <v>0</v>
      </c>
      <c r="AK29" s="378">
        <f>IF(NFI_Expiration=1,IF($A29&lt;VLOOKUP(T$5,NFI,5,0),1,0)*Table_NFI[[#This Row],[Winter Items Other]],Table_NFI[Winter Items Other])</f>
        <v>0</v>
      </c>
      <c r="AL29" s="378">
        <f>IF(NFI_Expiration=1,IF($A29&lt;VLOOKUP(M$5,NFI,5,0),1,0)*Table_NFI[[#This Row],[Winter Blanket]],Table_NFI[[#This Row],[Winter Blanket]])</f>
        <v>0</v>
      </c>
      <c r="AM29" s="378">
        <f>IF(Table_NFI[[#This Row],[Winter Clothes Adult]]+Table_NFI[[#This Row],[Winter Clothes Children]]+Table_NFI[[#This Row],[Winter Items Other]]+Table_NFI[[#This Row],[Winter Blanket]]&gt;0,1,0)</f>
        <v>0</v>
      </c>
      <c r="AN29" s="418">
        <f>IF(NFI_Expiration=1,IF($A29&lt;VLOOKUP(V$5,NFI,5,0),1,0)*Table_NFI[[#This Row],[Jerry Can]],Table_NFI[Jerry Can])</f>
        <v>0</v>
      </c>
      <c r="AO29" s="579" t="str">
        <f>IFERROR(VLOOKUP(Table_NFI[[#This Row],[Camp Name]],CL,2,0),"")</f>
        <v>MMR001CMP050</v>
      </c>
      <c r="AP29" s="574">
        <f ca="1">IF(Table_NFI[[#This Row],[Pcode]]="","",IF(OFFSET(CampList[Opening Date],MATCH(Table_NFI[[#This Row],[Pcode]],CampList[CP_Pcode],0)-1,0,1,1)&gt;=NFI_Monitor_Date,1,0))</f>
        <v>0</v>
      </c>
      <c r="AQ29" s="579" t="str">
        <f>IFERROR(VLOOKUP(Table_NFI[[#This Row],[Camp Name]],CL,3,0),"")</f>
        <v>Open</v>
      </c>
      <c r="AR29" s="378" t="str">
        <f ca="1">IF(Table_NFI[[#This Row],[Pcode]]="","",OFFSET(CampList[Priority],MATCH(Table_NFI[[#This Row],[Pcode]],CampList[CP_Pcode],0)-1,0,1,1))</f>
        <v>P4</v>
      </c>
      <c r="AS29" s="377">
        <f>IFERROR(Table_NFI[[#This Row],[Kitchen Set]]/VLOOKUP(Table_NFI[[#This Row],[Camp Name]],CL,4,0),"")</f>
        <v>7.6642335766423361E-2</v>
      </c>
      <c r="AT29" s="572" t="s">
        <v>1095</v>
      </c>
      <c r="AU29" s="575"/>
    </row>
    <row r="30" spans="1:47" s="576" customFormat="1" ht="15" customHeight="1" x14ac:dyDescent="0.25">
      <c r="A30" s="381">
        <f t="shared" si="0"/>
        <v>41.133333333333333</v>
      </c>
      <c r="B30" s="571">
        <v>41288</v>
      </c>
      <c r="C30" s="572" t="s">
        <v>908</v>
      </c>
      <c r="D30" s="572" t="s">
        <v>908</v>
      </c>
      <c r="E30" s="572" t="s">
        <v>380</v>
      </c>
      <c r="F30" s="374" t="s">
        <v>5</v>
      </c>
      <c r="G30" s="374" t="s">
        <v>6</v>
      </c>
      <c r="H30" s="375">
        <v>940</v>
      </c>
      <c r="I30" s="375"/>
      <c r="J30" s="375">
        <v>1310</v>
      </c>
      <c r="K30" s="375"/>
      <c r="L30" s="376"/>
      <c r="M30" s="376"/>
      <c r="N30" s="376"/>
      <c r="O30" s="376"/>
      <c r="P30" s="378">
        <v>0</v>
      </c>
      <c r="Q30" s="378">
        <v>0</v>
      </c>
      <c r="R30" s="378"/>
      <c r="S30" s="378"/>
      <c r="T30" s="378"/>
      <c r="U30" s="378"/>
      <c r="V30" s="533"/>
      <c r="W30" s="378"/>
      <c r="X30" s="378"/>
      <c r="Y30" s="378">
        <f>IF(NFI_Expiration=1,IF($A30&lt;VLOOKUP(H$5,NFI,5,0),1,0)*Table_NFI[[#This Row],[Hygiene Kit]],Table_NFI[Hygiene Kit])</f>
        <v>0</v>
      </c>
      <c r="Z30" s="378">
        <f>IF(NFI_Expiration=1,IF($A30&lt;VLOOKUP(I$5,NFI,5,0),1,0)*Table_NFI[[#This Row],[NFI Core Kit]],Table_NFI[NFI Core Kit])</f>
        <v>0</v>
      </c>
      <c r="AA30" s="378">
        <f>IF(NFI_Expiration=1,IF($A30&lt;VLOOKUP(J$5,NFI,5,0),1,0)*Table_NFI[[#This Row],[Sanitary Kit]],Table_NFI[Sanitary Kit])</f>
        <v>0</v>
      </c>
      <c r="AB30" s="378">
        <f>IF(NFI_Expiration=1,IF($A30&lt;VLOOKUP(K$5,NFI,5,0),1,0)*Table_NFI[[#This Row],[Mosquito net]],Table_NFI[Mosquito net])</f>
        <v>0</v>
      </c>
      <c r="AC30" s="378">
        <f>IF(NFI_Expiration=1,IF($A30&lt;VLOOKUP(L$5,NFI,5,0),1,0)*Table_NFI[[#This Row],[Tarpaulin]],Table_NFI[[#This Row],[Tarpaulin]])</f>
        <v>0</v>
      </c>
      <c r="AD30" s="378">
        <f>IF(NFI_Expiration=1,IF($A30&lt;VLOOKUP(M$5,NFI,5,0),1,0)*Table_NFI[[#This Row],[Blanket]],Table_NFI[[#This Row],[Blanket]])</f>
        <v>0</v>
      </c>
      <c r="AE30" s="378">
        <f>IF(NFI_Expiration=1,IF($A30&lt;VLOOKUP(N$5,NFI,5,0),1,0)*Table_NFI[[#This Row],[Kitchen Set]],Table_NFI[Kitchen Set])</f>
        <v>0</v>
      </c>
      <c r="AF30" s="378">
        <f>IF(NFI_Expiration=1,IF($A30&lt;VLOOKUP(O$5,NFI,5,0),1,0)*Table_NFI[[#This Row],[Clothes Kit]],Table_NFI[Clothes Kit])</f>
        <v>0</v>
      </c>
      <c r="AG30" s="378">
        <f>IF(NFI_Expiration=1,IF($A30&lt;VLOOKUP(P$5,NFI,5,0),1,0)*Table_NFI[[#This Row],[Plastic Bucket]],Table_NFI[Plastic Bucket])</f>
        <v>0</v>
      </c>
      <c r="AH30" s="378">
        <f>IF(NFI_Expiration=1,IF($A30&lt;VLOOKUP(Q$5,NFI,5,0),1,0)*Table_NFI[[#This Row],[Plastic Mat]],Table_NFI[Plastic Mat])*IF(Table_NFI[[#This Row],[Distribution Date]]&gt;"2014-04-01",1,2.5)</f>
        <v>0</v>
      </c>
      <c r="AI30" s="378">
        <f>IF(NFI_Expiration=1,IF($A30&lt;VLOOKUP(R$5,NFI,5,0),1,0)*Table_NFI[[#This Row],[Winter Clothes Adult]],Table_NFI[Winter Clothes Adult])</f>
        <v>0</v>
      </c>
      <c r="AJ30" s="378">
        <f>IF(NFI_Expiration=1,IF($A30&lt;VLOOKUP(S$5,NFI,5,0),1,0)*Table_NFI[[#This Row],[Winter Clothes Children]],Table_NFI[Winter Clothes Children])</f>
        <v>0</v>
      </c>
      <c r="AK30" s="378">
        <f>IF(NFI_Expiration=1,IF($A30&lt;VLOOKUP(T$5,NFI,5,0),1,0)*Table_NFI[[#This Row],[Winter Items Other]],Table_NFI[Winter Items Other])</f>
        <v>0</v>
      </c>
      <c r="AL30" s="378">
        <f>IF(NFI_Expiration=1,IF($A30&lt;VLOOKUP(M$5,NFI,5,0),1,0)*Table_NFI[[#This Row],[Winter Blanket]],Table_NFI[[#This Row],[Winter Blanket]])</f>
        <v>0</v>
      </c>
      <c r="AM30" s="378">
        <f>IF(Table_NFI[[#This Row],[Winter Clothes Adult]]+Table_NFI[[#This Row],[Winter Clothes Children]]+Table_NFI[[#This Row],[Winter Items Other]]+Table_NFI[[#This Row],[Winter Blanket]]&gt;0,1,0)</f>
        <v>0</v>
      </c>
      <c r="AN30" s="418">
        <f>IF(NFI_Expiration=1,IF($A30&lt;VLOOKUP(V$5,NFI,5,0),1,0)*Table_NFI[[#This Row],[Jerry Can]],Table_NFI[Jerry Can])</f>
        <v>0</v>
      </c>
      <c r="AO30" s="579" t="str">
        <f>IFERROR(VLOOKUP(Table_NFI[[#This Row],[Camp Name]],CL,2,0),"")</f>
        <v>MMR001CMP050</v>
      </c>
      <c r="AP30" s="574">
        <f ca="1">IF(Table_NFI[[#This Row],[Pcode]]="","",IF(OFFSET(CampList[Opening Date],MATCH(Table_NFI[[#This Row],[Pcode]],CampList[CP_Pcode],0)-1,0,1,1)&gt;=NFI_Monitor_Date,1,0))</f>
        <v>0</v>
      </c>
      <c r="AQ30" s="579" t="str">
        <f>IFERROR(VLOOKUP(Table_NFI[[#This Row],[Camp Name]],CL,3,0),"")</f>
        <v>Open</v>
      </c>
      <c r="AR30" s="378" t="str">
        <f ca="1">IF(Table_NFI[[#This Row],[Pcode]]="","",OFFSET(CampList[Priority],MATCH(Table_NFI[[#This Row],[Pcode]],CampList[CP_Pcode],0)-1,0,1,1))</f>
        <v>P4</v>
      </c>
      <c r="AS30" s="377">
        <f>IFERROR(Table_NFI[[#This Row],[Kitchen Set]]/VLOOKUP(Table_NFI[[#This Row],[Camp Name]],CL,4,0),"")</f>
        <v>0</v>
      </c>
      <c r="AT30" s="572" t="s">
        <v>1095</v>
      </c>
      <c r="AU30" s="575"/>
    </row>
    <row r="31" spans="1:47" s="576" customFormat="1" x14ac:dyDescent="0.25">
      <c r="A31" s="381">
        <f t="shared" si="0"/>
        <v>49.06666666666667</v>
      </c>
      <c r="B31" s="571">
        <v>41050</v>
      </c>
      <c r="C31" s="572" t="s">
        <v>454</v>
      </c>
      <c r="D31" s="573" t="s">
        <v>454</v>
      </c>
      <c r="E31" s="572" t="s">
        <v>380</v>
      </c>
      <c r="F31" s="374" t="s">
        <v>5</v>
      </c>
      <c r="G31" s="374" t="s">
        <v>6</v>
      </c>
      <c r="H31" s="375"/>
      <c r="I31" s="375"/>
      <c r="J31" s="375"/>
      <c r="K31" s="375">
        <v>0</v>
      </c>
      <c r="L31" s="376">
        <v>15</v>
      </c>
      <c r="M31" s="376">
        <v>0</v>
      </c>
      <c r="N31" s="376">
        <v>0</v>
      </c>
      <c r="O31" s="376">
        <v>0</v>
      </c>
      <c r="P31" s="378"/>
      <c r="Q31" s="378"/>
      <c r="R31" s="378"/>
      <c r="S31" s="378"/>
      <c r="T31" s="378"/>
      <c r="U31" s="378"/>
      <c r="V31" s="533"/>
      <c r="W31" s="378"/>
      <c r="X31" s="378"/>
      <c r="Y31" s="378">
        <f>IF(NFI_Expiration=1,IF($A31&lt;VLOOKUP(H$5,NFI,5,0),1,0)*Table_NFI[[#This Row],[Hygiene Kit]],Table_NFI[Hygiene Kit])</f>
        <v>0</v>
      </c>
      <c r="Z31" s="378">
        <f>IF(NFI_Expiration=1,IF($A31&lt;VLOOKUP(I$5,NFI,5,0),1,0)*Table_NFI[[#This Row],[NFI Core Kit]],Table_NFI[NFI Core Kit])</f>
        <v>0</v>
      </c>
      <c r="AA31" s="378">
        <f>IF(NFI_Expiration=1,IF($A31&lt;VLOOKUP(J$5,NFI,5,0),1,0)*Table_NFI[[#This Row],[Sanitary Kit]],Table_NFI[Sanitary Kit])</f>
        <v>0</v>
      </c>
      <c r="AB31" s="378">
        <f>IF(NFI_Expiration=1,IF($A31&lt;VLOOKUP(K$5,NFI,5,0),1,0)*Table_NFI[[#This Row],[Mosquito net]],Table_NFI[Mosquito net])</f>
        <v>0</v>
      </c>
      <c r="AC31" s="378">
        <f>IF(NFI_Expiration=1,IF($A31&lt;VLOOKUP(L$5,NFI,5,0),1,0)*Table_NFI[[#This Row],[Tarpaulin]],Table_NFI[[#This Row],[Tarpaulin]])</f>
        <v>0</v>
      </c>
      <c r="AD31" s="378">
        <f>IF(NFI_Expiration=1,IF($A31&lt;VLOOKUP(M$5,NFI,5,0),1,0)*Table_NFI[[#This Row],[Blanket]],Table_NFI[[#This Row],[Blanket]])</f>
        <v>0</v>
      </c>
      <c r="AE31" s="378">
        <f>IF(NFI_Expiration=1,IF($A31&lt;VLOOKUP(N$5,NFI,5,0),1,0)*Table_NFI[[#This Row],[Kitchen Set]],Table_NFI[Kitchen Set])</f>
        <v>0</v>
      </c>
      <c r="AF31" s="378">
        <f>IF(NFI_Expiration=1,IF($A31&lt;VLOOKUP(O$5,NFI,5,0),1,0)*Table_NFI[[#This Row],[Clothes Kit]],Table_NFI[Clothes Kit])</f>
        <v>0</v>
      </c>
      <c r="AG31" s="378">
        <f>IF(NFI_Expiration=1,IF($A31&lt;VLOOKUP(P$5,NFI,5,0),1,0)*Table_NFI[[#This Row],[Plastic Bucket]],Table_NFI[Plastic Bucket])</f>
        <v>0</v>
      </c>
      <c r="AH31" s="378">
        <f>IF(NFI_Expiration=1,IF($A31&lt;VLOOKUP(Q$5,NFI,5,0),1,0)*Table_NFI[[#This Row],[Plastic Mat]],Table_NFI[Plastic Mat])*IF(Table_NFI[[#This Row],[Distribution Date]]&gt;"2014-04-01",1,2.5)</f>
        <v>0</v>
      </c>
      <c r="AI31" s="378">
        <f>IF(NFI_Expiration=1,IF($A31&lt;VLOOKUP(R$5,NFI,5,0),1,0)*Table_NFI[[#This Row],[Winter Clothes Adult]],Table_NFI[Winter Clothes Adult])</f>
        <v>0</v>
      </c>
      <c r="AJ31" s="378">
        <f>IF(NFI_Expiration=1,IF($A31&lt;VLOOKUP(S$5,NFI,5,0),1,0)*Table_NFI[[#This Row],[Winter Clothes Children]],Table_NFI[Winter Clothes Children])</f>
        <v>0</v>
      </c>
      <c r="AK31" s="378">
        <f>IF(NFI_Expiration=1,IF($A31&lt;VLOOKUP(T$5,NFI,5,0),1,0)*Table_NFI[[#This Row],[Winter Items Other]],Table_NFI[Winter Items Other])</f>
        <v>0</v>
      </c>
      <c r="AL31" s="378">
        <f>IF(NFI_Expiration=1,IF($A31&lt;VLOOKUP(M$5,NFI,5,0),1,0)*Table_NFI[[#This Row],[Winter Blanket]],Table_NFI[[#This Row],[Winter Blanket]])</f>
        <v>0</v>
      </c>
      <c r="AM31" s="378">
        <f>IF(Table_NFI[[#This Row],[Winter Clothes Adult]]+Table_NFI[[#This Row],[Winter Clothes Children]]+Table_NFI[[#This Row],[Winter Items Other]]+Table_NFI[[#This Row],[Winter Blanket]]&gt;0,1,0)</f>
        <v>0</v>
      </c>
      <c r="AN31" s="418">
        <f>IF(NFI_Expiration=1,IF($A31&lt;VLOOKUP(V$5,NFI,5,0),1,0)*Table_NFI[[#This Row],[Jerry Can]],Table_NFI[Jerry Can])</f>
        <v>0</v>
      </c>
      <c r="AO31" s="579" t="str">
        <f>IFERROR(VLOOKUP(Table_NFI[[#This Row],[Camp Name]],CL,2,0),"")</f>
        <v>MMR001CMP050</v>
      </c>
      <c r="AP31" s="574">
        <f ca="1">IF(Table_NFI[[#This Row],[Pcode]]="","",IF(OFFSET(CampList[Opening Date],MATCH(Table_NFI[[#This Row],[Pcode]],CampList[CP_Pcode],0)-1,0,1,1)&gt;=NFI_Monitor_Date,1,0))</f>
        <v>0</v>
      </c>
      <c r="AQ31" s="579" t="str">
        <f>IFERROR(VLOOKUP(Table_NFI[[#This Row],[Camp Name]],CL,3,0),"")</f>
        <v>Open</v>
      </c>
      <c r="AR31" s="378" t="str">
        <f ca="1">IF(Table_NFI[[#This Row],[Pcode]]="","",OFFSET(CampList[Priority],MATCH(Table_NFI[[#This Row],[Pcode]],CampList[CP_Pcode],0)-1,0,1,1))</f>
        <v>P4</v>
      </c>
      <c r="AS31" s="377">
        <f>IFERROR(Table_NFI[[#This Row],[Kitchen Set]]/VLOOKUP(Table_NFI[[#This Row],[Camp Name]],CL,4,0),"")</f>
        <v>0</v>
      </c>
      <c r="AT31" s="572" t="s">
        <v>1095</v>
      </c>
      <c r="AU31" s="575"/>
    </row>
    <row r="32" spans="1:47" s="576" customFormat="1" x14ac:dyDescent="0.25">
      <c r="A32" s="381">
        <f t="shared" si="0"/>
        <v>49.266666666666666</v>
      </c>
      <c r="B32" s="571">
        <v>41044</v>
      </c>
      <c r="C32" s="572" t="s">
        <v>454</v>
      </c>
      <c r="D32" s="573" t="s">
        <v>461</v>
      </c>
      <c r="E32" s="572" t="s">
        <v>380</v>
      </c>
      <c r="F32" s="374" t="s">
        <v>5</v>
      </c>
      <c r="G32" s="374" t="s">
        <v>6</v>
      </c>
      <c r="H32" s="375"/>
      <c r="I32" s="375"/>
      <c r="J32" s="375"/>
      <c r="K32" s="375">
        <v>90</v>
      </c>
      <c r="L32" s="376">
        <v>0</v>
      </c>
      <c r="M32" s="376">
        <v>0</v>
      </c>
      <c r="N32" s="376">
        <v>0</v>
      </c>
      <c r="O32" s="376">
        <v>0</v>
      </c>
      <c r="P32" s="378"/>
      <c r="Q32" s="378"/>
      <c r="R32" s="378"/>
      <c r="S32" s="378"/>
      <c r="T32" s="378"/>
      <c r="U32" s="378"/>
      <c r="V32" s="533"/>
      <c r="W32" s="378"/>
      <c r="X32" s="378"/>
      <c r="Y32" s="378">
        <f>IF(NFI_Expiration=1,IF($A32&lt;VLOOKUP(H$5,NFI,5,0),1,0)*Table_NFI[[#This Row],[Hygiene Kit]],Table_NFI[Hygiene Kit])</f>
        <v>0</v>
      </c>
      <c r="Z32" s="378">
        <f>IF(NFI_Expiration=1,IF($A32&lt;VLOOKUP(I$5,NFI,5,0),1,0)*Table_NFI[[#This Row],[NFI Core Kit]],Table_NFI[NFI Core Kit])</f>
        <v>0</v>
      </c>
      <c r="AA32" s="378">
        <f>IF(NFI_Expiration=1,IF($A32&lt;VLOOKUP(J$5,NFI,5,0),1,0)*Table_NFI[[#This Row],[Sanitary Kit]],Table_NFI[Sanitary Kit])</f>
        <v>0</v>
      </c>
      <c r="AB32" s="378">
        <f>IF(NFI_Expiration=1,IF($A32&lt;VLOOKUP(K$5,NFI,5,0),1,0)*Table_NFI[[#This Row],[Mosquito net]],Table_NFI[Mosquito net])</f>
        <v>0</v>
      </c>
      <c r="AC32" s="378">
        <f>IF(NFI_Expiration=1,IF($A32&lt;VLOOKUP(L$5,NFI,5,0),1,0)*Table_NFI[[#This Row],[Tarpaulin]],Table_NFI[[#This Row],[Tarpaulin]])</f>
        <v>0</v>
      </c>
      <c r="AD32" s="378">
        <f>IF(NFI_Expiration=1,IF($A32&lt;VLOOKUP(M$5,NFI,5,0),1,0)*Table_NFI[[#This Row],[Blanket]],Table_NFI[[#This Row],[Blanket]])</f>
        <v>0</v>
      </c>
      <c r="AE32" s="378">
        <f>IF(NFI_Expiration=1,IF($A32&lt;VLOOKUP(N$5,NFI,5,0),1,0)*Table_NFI[[#This Row],[Kitchen Set]],Table_NFI[Kitchen Set])</f>
        <v>0</v>
      </c>
      <c r="AF32" s="378">
        <f>IF(NFI_Expiration=1,IF($A32&lt;VLOOKUP(O$5,NFI,5,0),1,0)*Table_NFI[[#This Row],[Clothes Kit]],Table_NFI[Clothes Kit])</f>
        <v>0</v>
      </c>
      <c r="AG32" s="378">
        <f>IF(NFI_Expiration=1,IF($A32&lt;VLOOKUP(P$5,NFI,5,0),1,0)*Table_NFI[[#This Row],[Plastic Bucket]],Table_NFI[Plastic Bucket])</f>
        <v>0</v>
      </c>
      <c r="AH32" s="378">
        <f>IF(NFI_Expiration=1,IF($A32&lt;VLOOKUP(Q$5,NFI,5,0),1,0)*Table_NFI[[#This Row],[Plastic Mat]],Table_NFI[Plastic Mat])*IF(Table_NFI[[#This Row],[Distribution Date]]&gt;"2014-04-01",1,2.5)</f>
        <v>0</v>
      </c>
      <c r="AI32" s="378">
        <f>IF(NFI_Expiration=1,IF($A32&lt;VLOOKUP(R$5,NFI,5,0),1,0)*Table_NFI[[#This Row],[Winter Clothes Adult]],Table_NFI[Winter Clothes Adult])</f>
        <v>0</v>
      </c>
      <c r="AJ32" s="378">
        <f>IF(NFI_Expiration=1,IF($A32&lt;VLOOKUP(S$5,NFI,5,0),1,0)*Table_NFI[[#This Row],[Winter Clothes Children]],Table_NFI[Winter Clothes Children])</f>
        <v>0</v>
      </c>
      <c r="AK32" s="378">
        <f>IF(NFI_Expiration=1,IF($A32&lt;VLOOKUP(T$5,NFI,5,0),1,0)*Table_NFI[[#This Row],[Winter Items Other]],Table_NFI[Winter Items Other])</f>
        <v>0</v>
      </c>
      <c r="AL32" s="378">
        <f>IF(NFI_Expiration=1,IF($A32&lt;VLOOKUP(M$5,NFI,5,0),1,0)*Table_NFI[[#This Row],[Winter Blanket]],Table_NFI[[#This Row],[Winter Blanket]])</f>
        <v>0</v>
      </c>
      <c r="AM32" s="378">
        <f>IF(Table_NFI[[#This Row],[Winter Clothes Adult]]+Table_NFI[[#This Row],[Winter Clothes Children]]+Table_NFI[[#This Row],[Winter Items Other]]+Table_NFI[[#This Row],[Winter Blanket]]&gt;0,1,0)</f>
        <v>0</v>
      </c>
      <c r="AN32" s="418">
        <f>IF(NFI_Expiration=1,IF($A32&lt;VLOOKUP(V$5,NFI,5,0),1,0)*Table_NFI[[#This Row],[Jerry Can]],Table_NFI[Jerry Can])</f>
        <v>0</v>
      </c>
      <c r="AO32" s="579" t="str">
        <f>IFERROR(VLOOKUP(Table_NFI[[#This Row],[Camp Name]],CL,2,0),"")</f>
        <v>MMR001CMP050</v>
      </c>
      <c r="AP32" s="574">
        <f ca="1">IF(Table_NFI[[#This Row],[Pcode]]="","",IF(OFFSET(CampList[Opening Date],MATCH(Table_NFI[[#This Row],[Pcode]],CampList[CP_Pcode],0)-1,0,1,1)&gt;=NFI_Monitor_Date,1,0))</f>
        <v>0</v>
      </c>
      <c r="AQ32" s="579" t="str">
        <f>IFERROR(VLOOKUP(Table_NFI[[#This Row],[Camp Name]],CL,3,0),"")</f>
        <v>Open</v>
      </c>
      <c r="AR32" s="378" t="str">
        <f ca="1">IF(Table_NFI[[#This Row],[Pcode]]="","",OFFSET(CampList[Priority],MATCH(Table_NFI[[#This Row],[Pcode]],CampList[CP_Pcode],0)-1,0,1,1))</f>
        <v>P4</v>
      </c>
      <c r="AS32" s="377">
        <f>IFERROR(Table_NFI[[#This Row],[Kitchen Set]]/VLOOKUP(Table_NFI[[#This Row],[Camp Name]],CL,4,0),"")</f>
        <v>0</v>
      </c>
      <c r="AT32" s="572" t="s">
        <v>1095</v>
      </c>
      <c r="AU32" s="575"/>
    </row>
    <row r="33" spans="1:47" s="130" customFormat="1" x14ac:dyDescent="0.25">
      <c r="A33" s="381">
        <f t="shared" si="0"/>
        <v>50.9</v>
      </c>
      <c r="B33" s="571">
        <v>40995</v>
      </c>
      <c r="C33" s="572" t="s">
        <v>454</v>
      </c>
      <c r="D33" s="573" t="s">
        <v>454</v>
      </c>
      <c r="E33" s="572" t="s">
        <v>380</v>
      </c>
      <c r="F33" s="374" t="s">
        <v>5</v>
      </c>
      <c r="G33" s="374" t="s">
        <v>6</v>
      </c>
      <c r="H33" s="375"/>
      <c r="I33" s="375"/>
      <c r="J33" s="375"/>
      <c r="K33" s="375">
        <v>560</v>
      </c>
      <c r="L33" s="376">
        <v>280</v>
      </c>
      <c r="M33" s="376">
        <v>560</v>
      </c>
      <c r="N33" s="376">
        <v>280</v>
      </c>
      <c r="O33" s="376">
        <v>280</v>
      </c>
      <c r="P33" s="378">
        <v>280</v>
      </c>
      <c r="Q33" s="378">
        <v>280</v>
      </c>
      <c r="R33" s="378"/>
      <c r="S33" s="378"/>
      <c r="T33" s="378"/>
      <c r="U33" s="378"/>
      <c r="V33" s="533"/>
      <c r="W33" s="378"/>
      <c r="X33" s="378"/>
      <c r="Y33" s="378">
        <f>IF(NFI_Expiration=1,IF($A33&lt;VLOOKUP(H$5,NFI,5,0),1,0)*Table_NFI[[#This Row],[Hygiene Kit]],Table_NFI[Hygiene Kit])</f>
        <v>0</v>
      </c>
      <c r="Z33" s="378">
        <f>IF(NFI_Expiration=1,IF($A33&lt;VLOOKUP(I$5,NFI,5,0),1,0)*Table_NFI[[#This Row],[NFI Core Kit]],Table_NFI[NFI Core Kit])</f>
        <v>0</v>
      </c>
      <c r="AA33" s="378">
        <f>IF(NFI_Expiration=1,IF($A33&lt;VLOOKUP(J$5,NFI,5,0),1,0)*Table_NFI[[#This Row],[Sanitary Kit]],Table_NFI[Sanitary Kit])</f>
        <v>0</v>
      </c>
      <c r="AB33" s="378">
        <f>IF(NFI_Expiration=1,IF($A33&lt;VLOOKUP(K$5,NFI,5,0),1,0)*Table_NFI[[#This Row],[Mosquito net]],Table_NFI[Mosquito net])</f>
        <v>0</v>
      </c>
      <c r="AC33" s="378">
        <f>IF(NFI_Expiration=1,IF($A33&lt;VLOOKUP(L$5,NFI,5,0),1,0)*Table_NFI[[#This Row],[Tarpaulin]],Table_NFI[[#This Row],[Tarpaulin]])</f>
        <v>0</v>
      </c>
      <c r="AD33" s="378">
        <f>IF(NFI_Expiration=1,IF($A33&lt;VLOOKUP(M$5,NFI,5,0),1,0)*Table_NFI[[#This Row],[Blanket]],Table_NFI[[#This Row],[Blanket]])</f>
        <v>0</v>
      </c>
      <c r="AE33" s="378">
        <f>IF(NFI_Expiration=1,IF($A33&lt;VLOOKUP(N$5,NFI,5,0),1,0)*Table_NFI[[#This Row],[Kitchen Set]],Table_NFI[Kitchen Set])</f>
        <v>0</v>
      </c>
      <c r="AF33" s="378">
        <f>IF(NFI_Expiration=1,IF($A33&lt;VLOOKUP(O$5,NFI,5,0),1,0)*Table_NFI[[#This Row],[Clothes Kit]],Table_NFI[Clothes Kit])</f>
        <v>0</v>
      </c>
      <c r="AG33" s="378">
        <f>IF(NFI_Expiration=1,IF($A33&lt;VLOOKUP(P$5,NFI,5,0),1,0)*Table_NFI[[#This Row],[Plastic Bucket]],Table_NFI[Plastic Bucket])</f>
        <v>0</v>
      </c>
      <c r="AH33" s="378">
        <f>IF(NFI_Expiration=1,IF($A33&lt;VLOOKUP(Q$5,NFI,5,0),1,0)*Table_NFI[[#This Row],[Plastic Mat]],Table_NFI[Plastic Mat])*IF(Table_NFI[[#This Row],[Distribution Date]]&gt;"2014-04-01",1,2.5)</f>
        <v>0</v>
      </c>
      <c r="AI33" s="378">
        <f>IF(NFI_Expiration=1,IF($A33&lt;VLOOKUP(R$5,NFI,5,0),1,0)*Table_NFI[[#This Row],[Winter Clothes Adult]],Table_NFI[Winter Clothes Adult])</f>
        <v>0</v>
      </c>
      <c r="AJ33" s="378">
        <f>IF(NFI_Expiration=1,IF($A33&lt;VLOOKUP(S$5,NFI,5,0),1,0)*Table_NFI[[#This Row],[Winter Clothes Children]],Table_NFI[Winter Clothes Children])</f>
        <v>0</v>
      </c>
      <c r="AK33" s="378">
        <f>IF(NFI_Expiration=1,IF($A33&lt;VLOOKUP(T$5,NFI,5,0),1,0)*Table_NFI[[#This Row],[Winter Items Other]],Table_NFI[Winter Items Other])</f>
        <v>0</v>
      </c>
      <c r="AL33" s="378">
        <f>IF(NFI_Expiration=1,IF($A33&lt;VLOOKUP(M$5,NFI,5,0),1,0)*Table_NFI[[#This Row],[Winter Blanket]],Table_NFI[[#This Row],[Winter Blanket]])</f>
        <v>0</v>
      </c>
      <c r="AM33" s="378">
        <f>IF(Table_NFI[[#This Row],[Winter Clothes Adult]]+Table_NFI[[#This Row],[Winter Clothes Children]]+Table_NFI[[#This Row],[Winter Items Other]]+Table_NFI[[#This Row],[Winter Blanket]]&gt;0,1,0)</f>
        <v>0</v>
      </c>
      <c r="AN33" s="418">
        <f>IF(NFI_Expiration=1,IF($A33&lt;VLOOKUP(V$5,NFI,5,0),1,0)*Table_NFI[[#This Row],[Jerry Can]],Table_NFI[Jerry Can])</f>
        <v>0</v>
      </c>
      <c r="AO33" s="579" t="str">
        <f>IFERROR(VLOOKUP(Table_NFI[[#This Row],[Camp Name]],CL,2,0),"")</f>
        <v>MMR001CMP050</v>
      </c>
      <c r="AP33" s="574">
        <f ca="1">IF(Table_NFI[[#This Row],[Pcode]]="","",IF(OFFSET(CampList[Opening Date],MATCH(Table_NFI[[#This Row],[Pcode]],CampList[CP_Pcode],0)-1,0,1,1)&gt;=NFI_Monitor_Date,1,0))</f>
        <v>0</v>
      </c>
      <c r="AQ33" s="579" t="str">
        <f>IFERROR(VLOOKUP(Table_NFI[[#This Row],[Camp Name]],CL,3,0),"")</f>
        <v>Open</v>
      </c>
      <c r="AR33" s="378" t="str">
        <f ca="1">IF(Table_NFI[[#This Row],[Pcode]]="","",OFFSET(CampList[Priority],MATCH(Table_NFI[[#This Row],[Pcode]],CampList[CP_Pcode],0)-1,0,1,1))</f>
        <v>P4</v>
      </c>
      <c r="AS33" s="377">
        <f>IFERROR(Table_NFI[[#This Row],[Kitchen Set]]/VLOOKUP(Table_NFI[[#This Row],[Camp Name]],CL,4,0),"")</f>
        <v>1.0218978102189782</v>
      </c>
      <c r="AT33" s="572" t="s">
        <v>1095</v>
      </c>
      <c r="AU33" s="575"/>
    </row>
    <row r="34" spans="1:47" s="576" customFormat="1" x14ac:dyDescent="0.25">
      <c r="A34" s="381">
        <f t="shared" si="0"/>
        <v>19.3</v>
      </c>
      <c r="B34" s="571">
        <v>41943</v>
      </c>
      <c r="C34" s="572" t="s">
        <v>454</v>
      </c>
      <c r="D34" s="572"/>
      <c r="E34" s="572" t="s">
        <v>380</v>
      </c>
      <c r="F34" s="572" t="s">
        <v>529</v>
      </c>
      <c r="G34" s="572" t="s">
        <v>41</v>
      </c>
      <c r="H34" s="375"/>
      <c r="I34" s="375"/>
      <c r="J34" s="375">
        <v>67</v>
      </c>
      <c r="K34" s="375">
        <v>134</v>
      </c>
      <c r="L34" s="376">
        <v>67</v>
      </c>
      <c r="M34" s="376">
        <v>134</v>
      </c>
      <c r="N34" s="376">
        <v>67</v>
      </c>
      <c r="O34" s="376"/>
      <c r="P34" s="378">
        <v>67</v>
      </c>
      <c r="Q34" s="378">
        <v>335</v>
      </c>
      <c r="R34" s="378"/>
      <c r="S34" s="378"/>
      <c r="T34" s="378"/>
      <c r="U34" s="378"/>
      <c r="V34" s="533"/>
      <c r="W34" s="378"/>
      <c r="X34" s="378"/>
      <c r="Y34" s="378">
        <f>IF(NFI_Expiration=1,IF($A34&lt;VLOOKUP(H$5,NFI,5,0),1,0)*Table_NFI[[#This Row],[Hygiene Kit]],Table_NFI[Hygiene Kit])</f>
        <v>0</v>
      </c>
      <c r="Z34" s="378">
        <f>IF(NFI_Expiration=1,IF($A34&lt;VLOOKUP(I$5,NFI,5,0),1,0)*Table_NFI[[#This Row],[NFI Core Kit]],Table_NFI[NFI Core Kit])</f>
        <v>0</v>
      </c>
      <c r="AA34" s="378">
        <f>IF(NFI_Expiration=1,IF($A34&lt;VLOOKUP(J$5,NFI,5,0),1,0)*Table_NFI[[#This Row],[Sanitary Kit]],Table_NFI[Sanitary Kit])</f>
        <v>0</v>
      </c>
      <c r="AB34" s="378">
        <f>IF(NFI_Expiration=1,IF($A34&lt;VLOOKUP(K$5,NFI,5,0),1,0)*Table_NFI[[#This Row],[Mosquito net]],Table_NFI[Mosquito net])</f>
        <v>0</v>
      </c>
      <c r="AC34" s="378">
        <f>IF(NFI_Expiration=1,IF($A34&lt;VLOOKUP(L$5,NFI,5,0),1,0)*Table_NFI[[#This Row],[Tarpaulin]],Table_NFI[[#This Row],[Tarpaulin]])</f>
        <v>0</v>
      </c>
      <c r="AD34" s="378">
        <f>IF(NFI_Expiration=1,IF($A34&lt;VLOOKUP(M$5,NFI,5,0),1,0)*Table_NFI[[#This Row],[Blanket]],Table_NFI[[#This Row],[Blanket]])</f>
        <v>0</v>
      </c>
      <c r="AE34" s="378">
        <f>IF(NFI_Expiration=1,IF($A34&lt;VLOOKUP(N$5,NFI,5,0),1,0)*Table_NFI[[#This Row],[Kitchen Set]],Table_NFI[Kitchen Set])</f>
        <v>0</v>
      </c>
      <c r="AF34" s="378">
        <f>IF(NFI_Expiration=1,IF($A34&lt;VLOOKUP(O$5,NFI,5,0),1,0)*Table_NFI[[#This Row],[Clothes Kit]],Table_NFI[Clothes Kit])</f>
        <v>0</v>
      </c>
      <c r="AG34" s="378">
        <f>IF(NFI_Expiration=1,IF($A34&lt;VLOOKUP(P$5,NFI,5,0),1,0)*Table_NFI[[#This Row],[Plastic Bucket]],Table_NFI[Plastic Bucket])</f>
        <v>0</v>
      </c>
      <c r="AH34" s="378">
        <f>IF(NFI_Expiration=1,IF($A34&lt;VLOOKUP(Q$5,NFI,5,0),1,0)*Table_NFI[[#This Row],[Plastic Mat]],Table_NFI[Plastic Mat])*IF(Table_NFI[[#This Row],[Distribution Date]]&gt;"2014-04-01",1,2.5)</f>
        <v>0</v>
      </c>
      <c r="AI34" s="378">
        <f>IF(NFI_Expiration=1,IF($A34&lt;VLOOKUP(R$5,NFI,5,0),1,0)*Table_NFI[[#This Row],[Winter Clothes Adult]],Table_NFI[Winter Clothes Adult])</f>
        <v>0</v>
      </c>
      <c r="AJ34" s="378">
        <f>IF(NFI_Expiration=1,IF($A34&lt;VLOOKUP(S$5,NFI,5,0),1,0)*Table_NFI[[#This Row],[Winter Clothes Children]],Table_NFI[Winter Clothes Children])</f>
        <v>0</v>
      </c>
      <c r="AK34" s="378">
        <f>IF(NFI_Expiration=1,IF($A34&lt;VLOOKUP(T$5,NFI,5,0),1,0)*Table_NFI[[#This Row],[Winter Items Other]],Table_NFI[Winter Items Other])</f>
        <v>0</v>
      </c>
      <c r="AL34" s="378">
        <f>IF(NFI_Expiration=1,IF($A34&lt;VLOOKUP(M$5,NFI,5,0),1,0)*Table_NFI[[#This Row],[Winter Blanket]],Table_NFI[[#This Row],[Winter Blanket]])</f>
        <v>0</v>
      </c>
      <c r="AM34" s="378">
        <f>IF(Table_NFI[[#This Row],[Winter Clothes Adult]]+Table_NFI[[#This Row],[Winter Clothes Children]]+Table_NFI[[#This Row],[Winter Items Other]]+Table_NFI[[#This Row],[Winter Blanket]]&gt;0,1,0)</f>
        <v>0</v>
      </c>
      <c r="AN34" s="418">
        <f>IF(NFI_Expiration=1,IF($A34&lt;VLOOKUP(V$5,NFI,5,0),1,0)*Table_NFI[[#This Row],[Jerry Can]],Table_NFI[Jerry Can])</f>
        <v>0</v>
      </c>
      <c r="AO34" s="579" t="str">
        <f>IFERROR(VLOOKUP(Table_NFI[[#This Row],[Camp Name]],CL,2,0),"")</f>
        <v>MMR001CMP176</v>
      </c>
      <c r="AP34" s="574">
        <f ca="1">IF(Table_NFI[[#This Row],[Pcode]]="","",IF(OFFSET(CampList[Opening Date],MATCH(Table_NFI[[#This Row],[Pcode]],CampList[CP_Pcode],0)-1,0,1,1)&gt;=NFI_Monitor_Date,1,0))</f>
        <v>0</v>
      </c>
      <c r="AQ34" s="579" t="str">
        <f>IFERROR(VLOOKUP(Table_NFI[[#This Row],[Camp Name]],CL,3,0),"")</f>
        <v>Open</v>
      </c>
      <c r="AR34" s="378" t="str">
        <f ca="1">IF(Table_NFI[[#This Row],[Pcode]]="","",OFFSET(CampList[Priority],MATCH(Table_NFI[[#This Row],[Pcode]],CampList[CP_Pcode],0)-1,0,1,1))</f>
        <v>P4</v>
      </c>
      <c r="AS34" s="377">
        <f>IFERROR(Table_NFI[[#This Row],[Kitchen Set]]/VLOOKUP(Table_NFI[[#This Row],[Camp Name]],CL,4,0),"")</f>
        <v>1</v>
      </c>
      <c r="AT34" s="572"/>
      <c r="AU34" s="575"/>
    </row>
    <row r="35" spans="1:47" s="576" customFormat="1" x14ac:dyDescent="0.25">
      <c r="A35" s="381">
        <f t="shared" si="0"/>
        <v>19.5</v>
      </c>
      <c r="B35" s="571">
        <v>41937</v>
      </c>
      <c r="C35" s="572" t="s">
        <v>1097</v>
      </c>
      <c r="D35" s="572" t="s">
        <v>903</v>
      </c>
      <c r="E35" s="572" t="s">
        <v>380</v>
      </c>
      <c r="F35" s="572" t="s">
        <v>529</v>
      </c>
      <c r="G35" s="572" t="s">
        <v>41</v>
      </c>
      <c r="H35" s="375"/>
      <c r="I35" s="375"/>
      <c r="J35" s="375"/>
      <c r="K35" s="375"/>
      <c r="L35" s="376"/>
      <c r="M35" s="376"/>
      <c r="N35" s="376"/>
      <c r="O35" s="376"/>
      <c r="P35" s="378"/>
      <c r="Q35" s="378"/>
      <c r="R35" s="378">
        <v>232</v>
      </c>
      <c r="S35" s="378">
        <v>105</v>
      </c>
      <c r="T35" s="378"/>
      <c r="U35" s="378"/>
      <c r="V35" s="533"/>
      <c r="W35" s="378"/>
      <c r="X35" s="378"/>
      <c r="Y35" s="378">
        <f>IF(NFI_Expiration=1,IF($A35&lt;VLOOKUP(H$5,NFI,5,0),1,0)*Table_NFI[[#This Row],[Hygiene Kit]],Table_NFI[Hygiene Kit])</f>
        <v>0</v>
      </c>
      <c r="Z35" s="378">
        <f>IF(NFI_Expiration=1,IF($A35&lt;VLOOKUP(I$5,NFI,5,0),1,0)*Table_NFI[[#This Row],[NFI Core Kit]],Table_NFI[NFI Core Kit])</f>
        <v>0</v>
      </c>
      <c r="AA35" s="378">
        <f>IF(NFI_Expiration=1,IF($A35&lt;VLOOKUP(J$5,NFI,5,0),1,0)*Table_NFI[[#This Row],[Sanitary Kit]],Table_NFI[Sanitary Kit])</f>
        <v>0</v>
      </c>
      <c r="AB35" s="378">
        <f>IF(NFI_Expiration=1,IF($A35&lt;VLOOKUP(K$5,NFI,5,0),1,0)*Table_NFI[[#This Row],[Mosquito net]],Table_NFI[Mosquito net])</f>
        <v>0</v>
      </c>
      <c r="AC35" s="378">
        <f>IF(NFI_Expiration=1,IF($A35&lt;VLOOKUP(L$5,NFI,5,0),1,0)*Table_NFI[[#This Row],[Tarpaulin]],Table_NFI[[#This Row],[Tarpaulin]])</f>
        <v>0</v>
      </c>
      <c r="AD35" s="378">
        <f>IF(NFI_Expiration=1,IF($A35&lt;VLOOKUP(M$5,NFI,5,0),1,0)*Table_NFI[[#This Row],[Blanket]],Table_NFI[[#This Row],[Blanket]])</f>
        <v>0</v>
      </c>
      <c r="AE35" s="378">
        <f>IF(NFI_Expiration=1,IF($A35&lt;VLOOKUP(N$5,NFI,5,0),1,0)*Table_NFI[[#This Row],[Kitchen Set]],Table_NFI[Kitchen Set])</f>
        <v>0</v>
      </c>
      <c r="AF35" s="378">
        <f>IF(NFI_Expiration=1,IF($A35&lt;VLOOKUP(O$5,NFI,5,0),1,0)*Table_NFI[[#This Row],[Clothes Kit]],Table_NFI[Clothes Kit])</f>
        <v>0</v>
      </c>
      <c r="AG35" s="378">
        <f>IF(NFI_Expiration=1,IF($A35&lt;VLOOKUP(P$5,NFI,5,0),1,0)*Table_NFI[[#This Row],[Plastic Bucket]],Table_NFI[Plastic Bucket])</f>
        <v>0</v>
      </c>
      <c r="AH35" s="378">
        <f>IF(NFI_Expiration=1,IF($A35&lt;VLOOKUP(Q$5,NFI,5,0),1,0)*Table_NFI[[#This Row],[Plastic Mat]],Table_NFI[Plastic Mat])*IF(Table_NFI[[#This Row],[Distribution Date]]&gt;"2014-04-01",1,2.5)</f>
        <v>0</v>
      </c>
      <c r="AI35" s="378">
        <f>IF(NFI_Expiration=1,IF($A35&lt;VLOOKUP(R$5,NFI,5,0),1,0)*Table_NFI[[#This Row],[Winter Clothes Adult]],Table_NFI[Winter Clothes Adult])</f>
        <v>0</v>
      </c>
      <c r="AJ35" s="378">
        <f>IF(NFI_Expiration=1,IF($A35&lt;VLOOKUP(S$5,NFI,5,0),1,0)*Table_NFI[[#This Row],[Winter Clothes Children]],Table_NFI[Winter Clothes Children])</f>
        <v>0</v>
      </c>
      <c r="AK35" s="378">
        <f>IF(NFI_Expiration=1,IF($A35&lt;VLOOKUP(T$5,NFI,5,0),1,0)*Table_NFI[[#This Row],[Winter Items Other]],Table_NFI[Winter Items Other])</f>
        <v>0</v>
      </c>
      <c r="AL35" s="378">
        <f>IF(NFI_Expiration=1,IF($A35&lt;VLOOKUP(M$5,NFI,5,0),1,0)*Table_NFI[[#This Row],[Winter Blanket]],Table_NFI[[#This Row],[Winter Blanket]])</f>
        <v>0</v>
      </c>
      <c r="AM35" s="378">
        <f>IF(Table_NFI[[#This Row],[Winter Clothes Adult]]+Table_NFI[[#This Row],[Winter Clothes Children]]+Table_NFI[[#This Row],[Winter Items Other]]+Table_NFI[[#This Row],[Winter Blanket]]&gt;0,1,0)</f>
        <v>1</v>
      </c>
      <c r="AN35" s="418">
        <f>IF(NFI_Expiration=1,IF($A35&lt;VLOOKUP(V$5,NFI,5,0),1,0)*Table_NFI[[#This Row],[Jerry Can]],Table_NFI[Jerry Can])</f>
        <v>0</v>
      </c>
      <c r="AO35" s="579" t="str">
        <f>IFERROR(VLOOKUP(Table_NFI[[#This Row],[Camp Name]],CL,2,0),"")</f>
        <v>MMR001CMP176</v>
      </c>
      <c r="AP35" s="574">
        <f ca="1">IF(Table_NFI[[#This Row],[Pcode]]="","",IF(OFFSET(CampList[Opening Date],MATCH(Table_NFI[[#This Row],[Pcode]],CampList[CP_Pcode],0)-1,0,1,1)&gt;=NFI_Monitor_Date,1,0))</f>
        <v>0</v>
      </c>
      <c r="AQ35" s="579" t="str">
        <f>IFERROR(VLOOKUP(Table_NFI[[#This Row],[Camp Name]],CL,3,0),"")</f>
        <v>Open</v>
      </c>
      <c r="AR35" s="378" t="str">
        <f ca="1">IF(Table_NFI[[#This Row],[Pcode]]="","",OFFSET(CampList[Priority],MATCH(Table_NFI[[#This Row],[Pcode]],CampList[CP_Pcode],0)-1,0,1,1))</f>
        <v>P4</v>
      </c>
      <c r="AS35" s="377">
        <f>IFERROR(Table_NFI[[#This Row],[Kitchen Set]]/VLOOKUP(Table_NFI[[#This Row],[Camp Name]],CL,4,0),"")</f>
        <v>0</v>
      </c>
      <c r="AT35" s="572"/>
      <c r="AU35" s="575"/>
    </row>
    <row r="36" spans="1:47" s="576" customFormat="1" ht="15" customHeight="1" x14ac:dyDescent="0.25">
      <c r="A36" s="381">
        <f t="shared" si="0"/>
        <v>20.3</v>
      </c>
      <c r="B36" s="571">
        <v>41913</v>
      </c>
      <c r="C36" s="572" t="s">
        <v>454</v>
      </c>
      <c r="D36" s="577" t="s">
        <v>507</v>
      </c>
      <c r="E36" s="577" t="s">
        <v>380</v>
      </c>
      <c r="F36" s="577" t="s">
        <v>529</v>
      </c>
      <c r="G36" s="577" t="s">
        <v>41</v>
      </c>
      <c r="H36" s="376"/>
      <c r="I36" s="376"/>
      <c r="J36" s="376"/>
      <c r="K36" s="376">
        <v>130</v>
      </c>
      <c r="L36" s="376"/>
      <c r="M36" s="376"/>
      <c r="N36" s="376"/>
      <c r="O36" s="376"/>
      <c r="P36" s="378"/>
      <c r="Q36" s="378"/>
      <c r="R36" s="378"/>
      <c r="S36" s="378"/>
      <c r="T36" s="378"/>
      <c r="U36" s="378"/>
      <c r="V36" s="533"/>
      <c r="W36" s="378"/>
      <c r="X36" s="378"/>
      <c r="Y36" s="378">
        <f>IF(NFI_Expiration=1,IF($A36&lt;VLOOKUP(H$5,NFI,5,0),1,0)*Table_NFI[[#This Row],[Hygiene Kit]],Table_NFI[Hygiene Kit])</f>
        <v>0</v>
      </c>
      <c r="Z36" s="378">
        <f>IF(NFI_Expiration=1,IF($A36&lt;VLOOKUP(I$5,NFI,5,0),1,0)*Table_NFI[[#This Row],[NFI Core Kit]],Table_NFI[NFI Core Kit])</f>
        <v>0</v>
      </c>
      <c r="AA36" s="378">
        <f>IF(NFI_Expiration=1,IF($A36&lt;VLOOKUP(J$5,NFI,5,0),1,0)*Table_NFI[[#This Row],[Sanitary Kit]],Table_NFI[Sanitary Kit])</f>
        <v>0</v>
      </c>
      <c r="AB36" s="378">
        <f>IF(NFI_Expiration=1,IF($A36&lt;VLOOKUP(K$5,NFI,5,0),1,0)*Table_NFI[[#This Row],[Mosquito net]],Table_NFI[Mosquito net])</f>
        <v>0</v>
      </c>
      <c r="AC36" s="378">
        <f>IF(NFI_Expiration=1,IF($A36&lt;VLOOKUP(L$5,NFI,5,0),1,0)*Table_NFI[[#This Row],[Tarpaulin]],Table_NFI[[#This Row],[Tarpaulin]])</f>
        <v>0</v>
      </c>
      <c r="AD36" s="378">
        <f>IF(NFI_Expiration=1,IF($A36&lt;VLOOKUP(M$5,NFI,5,0),1,0)*Table_NFI[[#This Row],[Blanket]],Table_NFI[[#This Row],[Blanket]])</f>
        <v>0</v>
      </c>
      <c r="AE36" s="378">
        <f>IF(NFI_Expiration=1,IF($A36&lt;VLOOKUP(N$5,NFI,5,0),1,0)*Table_NFI[[#This Row],[Kitchen Set]],Table_NFI[Kitchen Set])</f>
        <v>0</v>
      </c>
      <c r="AF36" s="378">
        <f>IF(NFI_Expiration=1,IF($A36&lt;VLOOKUP(O$5,NFI,5,0),1,0)*Table_NFI[[#This Row],[Clothes Kit]],Table_NFI[Clothes Kit])</f>
        <v>0</v>
      </c>
      <c r="AG36" s="378">
        <f>IF(NFI_Expiration=1,IF($A36&lt;VLOOKUP(P$5,NFI,5,0),1,0)*Table_NFI[[#This Row],[Plastic Bucket]],Table_NFI[Plastic Bucket])</f>
        <v>0</v>
      </c>
      <c r="AH36" s="378">
        <f>IF(NFI_Expiration=1,IF($A36&lt;VLOOKUP(Q$5,NFI,5,0),1,0)*Table_NFI[[#This Row],[Plastic Mat]],Table_NFI[Plastic Mat])*IF(Table_NFI[[#This Row],[Distribution Date]]&gt;"2014-04-01",1,2.5)</f>
        <v>0</v>
      </c>
      <c r="AI36" s="378">
        <f>IF(NFI_Expiration=1,IF($A36&lt;VLOOKUP(R$5,NFI,5,0),1,0)*Table_NFI[[#This Row],[Winter Clothes Adult]],Table_NFI[Winter Clothes Adult])</f>
        <v>0</v>
      </c>
      <c r="AJ36" s="378">
        <f>IF(NFI_Expiration=1,IF($A36&lt;VLOOKUP(S$5,NFI,5,0),1,0)*Table_NFI[[#This Row],[Winter Clothes Children]],Table_NFI[Winter Clothes Children])</f>
        <v>0</v>
      </c>
      <c r="AK36" s="378">
        <f>IF(NFI_Expiration=1,IF($A36&lt;VLOOKUP(T$5,NFI,5,0),1,0)*Table_NFI[[#This Row],[Winter Items Other]],Table_NFI[Winter Items Other])</f>
        <v>0</v>
      </c>
      <c r="AL36" s="378">
        <f>IF(NFI_Expiration=1,IF($A36&lt;VLOOKUP(M$5,NFI,5,0),1,0)*Table_NFI[[#This Row],[Winter Blanket]],Table_NFI[[#This Row],[Winter Blanket]])</f>
        <v>0</v>
      </c>
      <c r="AM36" s="378">
        <f>IF(Table_NFI[[#This Row],[Winter Clothes Adult]]+Table_NFI[[#This Row],[Winter Clothes Children]]+Table_NFI[[#This Row],[Winter Items Other]]+Table_NFI[[#This Row],[Winter Blanket]]&gt;0,1,0)</f>
        <v>0</v>
      </c>
      <c r="AN36" s="418">
        <f>IF(NFI_Expiration=1,IF($A36&lt;VLOOKUP(V$5,NFI,5,0),1,0)*Table_NFI[[#This Row],[Jerry Can]],Table_NFI[Jerry Can])</f>
        <v>0</v>
      </c>
      <c r="AO36" s="579" t="str">
        <f>IFERROR(VLOOKUP(Table_NFI[[#This Row],[Camp Name]],CL,2,0),"")</f>
        <v>MMR001CMP176</v>
      </c>
      <c r="AP36" s="574">
        <f ca="1">IF(Table_NFI[[#This Row],[Pcode]]="","",IF(OFFSET(CampList[Opening Date],MATCH(Table_NFI[[#This Row],[Pcode]],CampList[CP_Pcode],0)-1,0,1,1)&gt;=NFI_Monitor_Date,1,0))</f>
        <v>0</v>
      </c>
      <c r="AQ36" s="579" t="str">
        <f>IFERROR(VLOOKUP(Table_NFI[[#This Row],[Camp Name]],CL,3,0),"")</f>
        <v>Open</v>
      </c>
      <c r="AR36" s="378" t="str">
        <f ca="1">IF(Table_NFI[[#This Row],[Pcode]]="","",OFFSET(CampList[Priority],MATCH(Table_NFI[[#This Row],[Pcode]],CampList[CP_Pcode],0)-1,0,1,1))</f>
        <v>P4</v>
      </c>
      <c r="AS36" s="377">
        <f>IFERROR(Table_NFI[[#This Row],[Kitchen Set]]/VLOOKUP(Table_NFI[[#This Row],[Camp Name]],CL,4,0),"")</f>
        <v>0</v>
      </c>
      <c r="AT36" s="577"/>
      <c r="AU36" s="580"/>
    </row>
    <row r="37" spans="1:47" s="576" customFormat="1" x14ac:dyDescent="0.25">
      <c r="A37" s="381">
        <f t="shared" si="0"/>
        <v>41.6</v>
      </c>
      <c r="B37" s="571">
        <v>41274</v>
      </c>
      <c r="C37" s="572" t="s">
        <v>455</v>
      </c>
      <c r="D37" s="572" t="s">
        <v>455</v>
      </c>
      <c r="E37" s="572" t="s">
        <v>380</v>
      </c>
      <c r="F37" s="572" t="s">
        <v>529</v>
      </c>
      <c r="G37" s="374" t="s">
        <v>41</v>
      </c>
      <c r="H37" s="375">
        <v>7</v>
      </c>
      <c r="I37" s="375"/>
      <c r="J37" s="375"/>
      <c r="K37" s="375"/>
      <c r="L37" s="376"/>
      <c r="M37" s="376"/>
      <c r="N37" s="376"/>
      <c r="O37" s="376"/>
      <c r="P37" s="378">
        <v>0</v>
      </c>
      <c r="Q37" s="378">
        <v>0</v>
      </c>
      <c r="R37" s="378"/>
      <c r="S37" s="378"/>
      <c r="T37" s="378"/>
      <c r="U37" s="378"/>
      <c r="V37" s="533"/>
      <c r="W37" s="378"/>
      <c r="X37" s="378"/>
      <c r="Y37" s="378">
        <f>IF(NFI_Expiration=1,IF($A37&lt;VLOOKUP(H$5,NFI,5,0),1,0)*Table_NFI[[#This Row],[Hygiene Kit]],Table_NFI[Hygiene Kit])</f>
        <v>0</v>
      </c>
      <c r="Z37" s="378">
        <f>IF(NFI_Expiration=1,IF($A37&lt;VLOOKUP(I$5,NFI,5,0),1,0)*Table_NFI[[#This Row],[NFI Core Kit]],Table_NFI[NFI Core Kit])</f>
        <v>0</v>
      </c>
      <c r="AA37" s="378">
        <f>IF(NFI_Expiration=1,IF($A37&lt;VLOOKUP(J$5,NFI,5,0),1,0)*Table_NFI[[#This Row],[Sanitary Kit]],Table_NFI[Sanitary Kit])</f>
        <v>0</v>
      </c>
      <c r="AB37" s="378">
        <f>IF(NFI_Expiration=1,IF($A37&lt;VLOOKUP(K$5,NFI,5,0),1,0)*Table_NFI[[#This Row],[Mosquito net]],Table_NFI[Mosquito net])</f>
        <v>0</v>
      </c>
      <c r="AC37" s="378">
        <f>IF(NFI_Expiration=1,IF($A37&lt;VLOOKUP(L$5,NFI,5,0),1,0)*Table_NFI[[#This Row],[Tarpaulin]],Table_NFI[[#This Row],[Tarpaulin]])</f>
        <v>0</v>
      </c>
      <c r="AD37" s="378">
        <f>IF(NFI_Expiration=1,IF($A37&lt;VLOOKUP(M$5,NFI,5,0),1,0)*Table_NFI[[#This Row],[Blanket]],Table_NFI[[#This Row],[Blanket]])</f>
        <v>0</v>
      </c>
      <c r="AE37" s="378">
        <f>IF(NFI_Expiration=1,IF($A37&lt;VLOOKUP(N$5,NFI,5,0),1,0)*Table_NFI[[#This Row],[Kitchen Set]],Table_NFI[Kitchen Set])</f>
        <v>0</v>
      </c>
      <c r="AF37" s="378">
        <f>IF(NFI_Expiration=1,IF($A37&lt;VLOOKUP(O$5,NFI,5,0),1,0)*Table_NFI[[#This Row],[Clothes Kit]],Table_NFI[Clothes Kit])</f>
        <v>0</v>
      </c>
      <c r="AG37" s="378">
        <f>IF(NFI_Expiration=1,IF($A37&lt;VLOOKUP(P$5,NFI,5,0),1,0)*Table_NFI[[#This Row],[Plastic Bucket]],Table_NFI[Plastic Bucket])</f>
        <v>0</v>
      </c>
      <c r="AH37" s="378">
        <f>IF(NFI_Expiration=1,IF($A37&lt;VLOOKUP(Q$5,NFI,5,0),1,0)*Table_NFI[[#This Row],[Plastic Mat]],Table_NFI[Plastic Mat])*IF(Table_NFI[[#This Row],[Distribution Date]]&gt;"2014-04-01",1,2.5)</f>
        <v>0</v>
      </c>
      <c r="AI37" s="378">
        <f>IF(NFI_Expiration=1,IF($A37&lt;VLOOKUP(R$5,NFI,5,0),1,0)*Table_NFI[[#This Row],[Winter Clothes Adult]],Table_NFI[Winter Clothes Adult])</f>
        <v>0</v>
      </c>
      <c r="AJ37" s="378">
        <f>IF(NFI_Expiration=1,IF($A37&lt;VLOOKUP(S$5,NFI,5,0),1,0)*Table_NFI[[#This Row],[Winter Clothes Children]],Table_NFI[Winter Clothes Children])</f>
        <v>0</v>
      </c>
      <c r="AK37" s="378">
        <f>IF(NFI_Expiration=1,IF($A37&lt;VLOOKUP(T$5,NFI,5,0),1,0)*Table_NFI[[#This Row],[Winter Items Other]],Table_NFI[Winter Items Other])</f>
        <v>0</v>
      </c>
      <c r="AL37" s="378">
        <f>IF(NFI_Expiration=1,IF($A37&lt;VLOOKUP(M$5,NFI,5,0),1,0)*Table_NFI[[#This Row],[Winter Blanket]],Table_NFI[[#This Row],[Winter Blanket]])</f>
        <v>0</v>
      </c>
      <c r="AM37" s="378">
        <f>IF(Table_NFI[[#This Row],[Winter Clothes Adult]]+Table_NFI[[#This Row],[Winter Clothes Children]]+Table_NFI[[#This Row],[Winter Items Other]]+Table_NFI[[#This Row],[Winter Blanket]]&gt;0,1,0)</f>
        <v>0</v>
      </c>
      <c r="AN37" s="418">
        <f>IF(NFI_Expiration=1,IF($A37&lt;VLOOKUP(V$5,NFI,5,0),1,0)*Table_NFI[[#This Row],[Jerry Can]],Table_NFI[Jerry Can])</f>
        <v>0</v>
      </c>
      <c r="AO37" s="579" t="str">
        <f>IFERROR(VLOOKUP(Table_NFI[[#This Row],[Camp Name]],CL,2,0),"")</f>
        <v>MMR001CMP176</v>
      </c>
      <c r="AP37" s="574">
        <f ca="1">IF(Table_NFI[[#This Row],[Pcode]]="","",IF(OFFSET(CampList[Opening Date],MATCH(Table_NFI[[#This Row],[Pcode]],CampList[CP_Pcode],0)-1,0,1,1)&gt;=NFI_Monitor_Date,1,0))</f>
        <v>0</v>
      </c>
      <c r="AQ37" s="579" t="str">
        <f>IFERROR(VLOOKUP(Table_NFI[[#This Row],[Camp Name]],CL,3,0),"")</f>
        <v>Open</v>
      </c>
      <c r="AR37" s="378" t="str">
        <f ca="1">IF(Table_NFI[[#This Row],[Pcode]]="","",OFFSET(CampList[Priority],MATCH(Table_NFI[[#This Row],[Pcode]],CampList[CP_Pcode],0)-1,0,1,1))</f>
        <v>P4</v>
      </c>
      <c r="AS37" s="377">
        <f>IFERROR(Table_NFI[[#This Row],[Kitchen Set]]/VLOOKUP(Table_NFI[[#This Row],[Camp Name]],CL,4,0),"")</f>
        <v>0</v>
      </c>
      <c r="AT37" s="572" t="s">
        <v>1095</v>
      </c>
      <c r="AU37" s="575"/>
    </row>
    <row r="38" spans="1:47" s="576" customFormat="1" x14ac:dyDescent="0.25">
      <c r="A38" s="381">
        <f t="shared" si="0"/>
        <v>19.3</v>
      </c>
      <c r="B38" s="571">
        <v>41943</v>
      </c>
      <c r="C38" s="572" t="s">
        <v>454</v>
      </c>
      <c r="D38" s="572"/>
      <c r="E38" s="572" t="s">
        <v>380</v>
      </c>
      <c r="F38" s="572" t="s">
        <v>529</v>
      </c>
      <c r="G38" s="572" t="s">
        <v>43</v>
      </c>
      <c r="H38" s="375"/>
      <c r="I38" s="375"/>
      <c r="J38" s="375">
        <v>14</v>
      </c>
      <c r="K38" s="375">
        <v>28</v>
      </c>
      <c r="L38" s="376">
        <v>14</v>
      </c>
      <c r="M38" s="376">
        <v>28</v>
      </c>
      <c r="N38" s="376">
        <v>14</v>
      </c>
      <c r="O38" s="376"/>
      <c r="P38" s="378">
        <v>14</v>
      </c>
      <c r="Q38" s="378">
        <v>70</v>
      </c>
      <c r="R38" s="378"/>
      <c r="S38" s="378"/>
      <c r="T38" s="378"/>
      <c r="U38" s="378"/>
      <c r="V38" s="533"/>
      <c r="W38" s="378"/>
      <c r="X38" s="378"/>
      <c r="Y38" s="378">
        <f>IF(NFI_Expiration=1,IF($A38&lt;VLOOKUP(H$5,NFI,5,0),1,0)*Table_NFI[[#This Row],[Hygiene Kit]],Table_NFI[Hygiene Kit])</f>
        <v>0</v>
      </c>
      <c r="Z38" s="378">
        <f>IF(NFI_Expiration=1,IF($A38&lt;VLOOKUP(I$5,NFI,5,0),1,0)*Table_NFI[[#This Row],[NFI Core Kit]],Table_NFI[NFI Core Kit])</f>
        <v>0</v>
      </c>
      <c r="AA38" s="378">
        <f>IF(NFI_Expiration=1,IF($A38&lt;VLOOKUP(J$5,NFI,5,0),1,0)*Table_NFI[[#This Row],[Sanitary Kit]],Table_NFI[Sanitary Kit])</f>
        <v>0</v>
      </c>
      <c r="AB38" s="378">
        <f>IF(NFI_Expiration=1,IF($A38&lt;VLOOKUP(K$5,NFI,5,0),1,0)*Table_NFI[[#This Row],[Mosquito net]],Table_NFI[Mosquito net])</f>
        <v>0</v>
      </c>
      <c r="AC38" s="378">
        <f>IF(NFI_Expiration=1,IF($A38&lt;VLOOKUP(L$5,NFI,5,0),1,0)*Table_NFI[[#This Row],[Tarpaulin]],Table_NFI[[#This Row],[Tarpaulin]])</f>
        <v>0</v>
      </c>
      <c r="AD38" s="378">
        <f>IF(NFI_Expiration=1,IF($A38&lt;VLOOKUP(M$5,NFI,5,0),1,0)*Table_NFI[[#This Row],[Blanket]],Table_NFI[[#This Row],[Blanket]])</f>
        <v>0</v>
      </c>
      <c r="AE38" s="378">
        <f>IF(NFI_Expiration=1,IF($A38&lt;VLOOKUP(N$5,NFI,5,0),1,0)*Table_NFI[[#This Row],[Kitchen Set]],Table_NFI[Kitchen Set])</f>
        <v>0</v>
      </c>
      <c r="AF38" s="378">
        <f>IF(NFI_Expiration=1,IF($A38&lt;VLOOKUP(O$5,NFI,5,0),1,0)*Table_NFI[[#This Row],[Clothes Kit]],Table_NFI[Clothes Kit])</f>
        <v>0</v>
      </c>
      <c r="AG38" s="378">
        <f>IF(NFI_Expiration=1,IF($A38&lt;VLOOKUP(P$5,NFI,5,0),1,0)*Table_NFI[[#This Row],[Plastic Bucket]],Table_NFI[Plastic Bucket])</f>
        <v>0</v>
      </c>
      <c r="AH38" s="378">
        <f>IF(NFI_Expiration=1,IF($A38&lt;VLOOKUP(Q$5,NFI,5,0),1,0)*Table_NFI[[#This Row],[Plastic Mat]],Table_NFI[Plastic Mat])*IF(Table_NFI[[#This Row],[Distribution Date]]&gt;"2014-04-01",1,2.5)</f>
        <v>0</v>
      </c>
      <c r="AI38" s="378">
        <f>IF(NFI_Expiration=1,IF($A38&lt;VLOOKUP(R$5,NFI,5,0),1,0)*Table_NFI[[#This Row],[Winter Clothes Adult]],Table_NFI[Winter Clothes Adult])</f>
        <v>0</v>
      </c>
      <c r="AJ38" s="378">
        <f>IF(NFI_Expiration=1,IF($A38&lt;VLOOKUP(S$5,NFI,5,0),1,0)*Table_NFI[[#This Row],[Winter Clothes Children]],Table_NFI[Winter Clothes Children])</f>
        <v>0</v>
      </c>
      <c r="AK38" s="378">
        <f>IF(NFI_Expiration=1,IF($A38&lt;VLOOKUP(T$5,NFI,5,0),1,0)*Table_NFI[[#This Row],[Winter Items Other]],Table_NFI[Winter Items Other])</f>
        <v>0</v>
      </c>
      <c r="AL38" s="378">
        <f>IF(NFI_Expiration=1,IF($A38&lt;VLOOKUP(M$5,NFI,5,0),1,0)*Table_NFI[[#This Row],[Winter Blanket]],Table_NFI[[#This Row],[Winter Blanket]])</f>
        <v>0</v>
      </c>
      <c r="AM38" s="378">
        <f>IF(Table_NFI[[#This Row],[Winter Clothes Adult]]+Table_NFI[[#This Row],[Winter Clothes Children]]+Table_NFI[[#This Row],[Winter Items Other]]+Table_NFI[[#This Row],[Winter Blanket]]&gt;0,1,0)</f>
        <v>0</v>
      </c>
      <c r="AN38" s="418">
        <f>IF(NFI_Expiration=1,IF($A38&lt;VLOOKUP(V$5,NFI,5,0),1,0)*Table_NFI[[#This Row],[Jerry Can]],Table_NFI[Jerry Can])</f>
        <v>0</v>
      </c>
      <c r="AO38" s="579" t="str">
        <f>IFERROR(VLOOKUP(Table_NFI[[#This Row],[Camp Name]],CL,2,0),"")</f>
        <v>MMR001CMP190</v>
      </c>
      <c r="AP38" s="574">
        <f ca="1">IF(Table_NFI[[#This Row],[Pcode]]="","",IF(OFFSET(CampList[Opening Date],MATCH(Table_NFI[[#This Row],[Pcode]],CampList[CP_Pcode],0)-1,0,1,1)&gt;=NFI_Monitor_Date,1,0))</f>
        <v>0</v>
      </c>
      <c r="AQ38" s="579" t="str">
        <f>IFERROR(VLOOKUP(Table_NFI[[#This Row],[Camp Name]],CL,3,0),"")</f>
        <v>Open</v>
      </c>
      <c r="AR38" s="378" t="str">
        <f ca="1">IF(Table_NFI[[#This Row],[Pcode]]="","",OFFSET(CampList[Priority],MATCH(Table_NFI[[#This Row],[Pcode]],CampList[CP_Pcode],0)-1,0,1,1))</f>
        <v>P4</v>
      </c>
      <c r="AS38" s="377">
        <f>IFERROR(Table_NFI[[#This Row],[Kitchen Set]]/VLOOKUP(Table_NFI[[#This Row],[Camp Name]],CL,4,0),"")</f>
        <v>1</v>
      </c>
      <c r="AT38" s="572"/>
      <c r="AU38" s="575"/>
    </row>
    <row r="39" spans="1:47" s="576" customFormat="1" ht="15" customHeight="1" x14ac:dyDescent="0.25">
      <c r="A39" s="381">
        <f t="shared" si="0"/>
        <v>19.5</v>
      </c>
      <c r="B39" s="571">
        <v>41937</v>
      </c>
      <c r="C39" s="572" t="s">
        <v>1097</v>
      </c>
      <c r="D39" s="572" t="s">
        <v>903</v>
      </c>
      <c r="E39" s="572" t="s">
        <v>380</v>
      </c>
      <c r="F39" s="572" t="s">
        <v>529</v>
      </c>
      <c r="G39" s="572" t="s">
        <v>43</v>
      </c>
      <c r="H39" s="375"/>
      <c r="I39" s="375"/>
      <c r="J39" s="375"/>
      <c r="K39" s="375"/>
      <c r="L39" s="376"/>
      <c r="M39" s="376"/>
      <c r="N39" s="376"/>
      <c r="O39" s="376"/>
      <c r="P39" s="378"/>
      <c r="Q39" s="378"/>
      <c r="R39" s="378">
        <v>55</v>
      </c>
      <c r="S39" s="378">
        <v>27</v>
      </c>
      <c r="T39" s="378"/>
      <c r="U39" s="378"/>
      <c r="V39" s="533"/>
      <c r="W39" s="378"/>
      <c r="X39" s="378"/>
      <c r="Y39" s="378">
        <f>IF(NFI_Expiration=1,IF($A39&lt;VLOOKUP(H$5,NFI,5,0),1,0)*Table_NFI[[#This Row],[Hygiene Kit]],Table_NFI[Hygiene Kit])</f>
        <v>0</v>
      </c>
      <c r="Z39" s="378">
        <f>IF(NFI_Expiration=1,IF($A39&lt;VLOOKUP(I$5,NFI,5,0),1,0)*Table_NFI[[#This Row],[NFI Core Kit]],Table_NFI[NFI Core Kit])</f>
        <v>0</v>
      </c>
      <c r="AA39" s="378">
        <f>IF(NFI_Expiration=1,IF($A39&lt;VLOOKUP(J$5,NFI,5,0),1,0)*Table_NFI[[#This Row],[Sanitary Kit]],Table_NFI[Sanitary Kit])</f>
        <v>0</v>
      </c>
      <c r="AB39" s="378">
        <f>IF(NFI_Expiration=1,IF($A39&lt;VLOOKUP(K$5,NFI,5,0),1,0)*Table_NFI[[#This Row],[Mosquito net]],Table_NFI[Mosquito net])</f>
        <v>0</v>
      </c>
      <c r="AC39" s="378">
        <f>IF(NFI_Expiration=1,IF($A39&lt;VLOOKUP(L$5,NFI,5,0),1,0)*Table_NFI[[#This Row],[Tarpaulin]],Table_NFI[[#This Row],[Tarpaulin]])</f>
        <v>0</v>
      </c>
      <c r="AD39" s="378">
        <f>IF(NFI_Expiration=1,IF($A39&lt;VLOOKUP(M$5,NFI,5,0),1,0)*Table_NFI[[#This Row],[Blanket]],Table_NFI[[#This Row],[Blanket]])</f>
        <v>0</v>
      </c>
      <c r="AE39" s="378">
        <f>IF(NFI_Expiration=1,IF($A39&lt;VLOOKUP(N$5,NFI,5,0),1,0)*Table_NFI[[#This Row],[Kitchen Set]],Table_NFI[Kitchen Set])</f>
        <v>0</v>
      </c>
      <c r="AF39" s="378">
        <f>IF(NFI_Expiration=1,IF($A39&lt;VLOOKUP(O$5,NFI,5,0),1,0)*Table_NFI[[#This Row],[Clothes Kit]],Table_NFI[Clothes Kit])</f>
        <v>0</v>
      </c>
      <c r="AG39" s="378">
        <f>IF(NFI_Expiration=1,IF($A39&lt;VLOOKUP(P$5,NFI,5,0),1,0)*Table_NFI[[#This Row],[Plastic Bucket]],Table_NFI[Plastic Bucket])</f>
        <v>0</v>
      </c>
      <c r="AH39" s="378">
        <f>IF(NFI_Expiration=1,IF($A39&lt;VLOOKUP(Q$5,NFI,5,0),1,0)*Table_NFI[[#This Row],[Plastic Mat]],Table_NFI[Plastic Mat])*IF(Table_NFI[[#This Row],[Distribution Date]]&gt;"2014-04-01",1,2.5)</f>
        <v>0</v>
      </c>
      <c r="AI39" s="378">
        <f>IF(NFI_Expiration=1,IF($A39&lt;VLOOKUP(R$5,NFI,5,0),1,0)*Table_NFI[[#This Row],[Winter Clothes Adult]],Table_NFI[Winter Clothes Adult])</f>
        <v>0</v>
      </c>
      <c r="AJ39" s="378">
        <f>IF(NFI_Expiration=1,IF($A39&lt;VLOOKUP(S$5,NFI,5,0),1,0)*Table_NFI[[#This Row],[Winter Clothes Children]],Table_NFI[Winter Clothes Children])</f>
        <v>0</v>
      </c>
      <c r="AK39" s="378">
        <f>IF(NFI_Expiration=1,IF($A39&lt;VLOOKUP(T$5,NFI,5,0),1,0)*Table_NFI[[#This Row],[Winter Items Other]],Table_NFI[Winter Items Other])</f>
        <v>0</v>
      </c>
      <c r="AL39" s="378">
        <f>IF(NFI_Expiration=1,IF($A39&lt;VLOOKUP(M$5,NFI,5,0),1,0)*Table_NFI[[#This Row],[Winter Blanket]],Table_NFI[[#This Row],[Winter Blanket]])</f>
        <v>0</v>
      </c>
      <c r="AM39" s="378">
        <f>IF(Table_NFI[[#This Row],[Winter Clothes Adult]]+Table_NFI[[#This Row],[Winter Clothes Children]]+Table_NFI[[#This Row],[Winter Items Other]]+Table_NFI[[#This Row],[Winter Blanket]]&gt;0,1,0)</f>
        <v>1</v>
      </c>
      <c r="AN39" s="418">
        <f>IF(NFI_Expiration=1,IF($A39&lt;VLOOKUP(V$5,NFI,5,0),1,0)*Table_NFI[[#This Row],[Jerry Can]],Table_NFI[Jerry Can])</f>
        <v>0</v>
      </c>
      <c r="AO39" s="579" t="str">
        <f>IFERROR(VLOOKUP(Table_NFI[[#This Row],[Camp Name]],CL,2,0),"")</f>
        <v>MMR001CMP190</v>
      </c>
      <c r="AP39" s="574">
        <f ca="1">IF(Table_NFI[[#This Row],[Pcode]]="","",IF(OFFSET(CampList[Opening Date],MATCH(Table_NFI[[#This Row],[Pcode]],CampList[CP_Pcode],0)-1,0,1,1)&gt;=NFI_Monitor_Date,1,0))</f>
        <v>0</v>
      </c>
      <c r="AQ39" s="579" t="str">
        <f>IFERROR(VLOOKUP(Table_NFI[[#This Row],[Camp Name]],CL,3,0),"")</f>
        <v>Open</v>
      </c>
      <c r="AR39" s="378" t="str">
        <f ca="1">IF(Table_NFI[[#This Row],[Pcode]]="","",OFFSET(CampList[Priority],MATCH(Table_NFI[[#This Row],[Pcode]],CampList[CP_Pcode],0)-1,0,1,1))</f>
        <v>P4</v>
      </c>
      <c r="AS39" s="377">
        <f>IFERROR(Table_NFI[[#This Row],[Kitchen Set]]/VLOOKUP(Table_NFI[[#This Row],[Camp Name]],CL,4,0),"")</f>
        <v>0</v>
      </c>
      <c r="AT39" s="572"/>
      <c r="AU39" s="575"/>
    </row>
    <row r="40" spans="1:47" s="576" customFormat="1" x14ac:dyDescent="0.25">
      <c r="A40" s="381">
        <f t="shared" si="0"/>
        <v>20.3</v>
      </c>
      <c r="B40" s="571">
        <v>41913</v>
      </c>
      <c r="C40" s="572" t="s">
        <v>454</v>
      </c>
      <c r="D40" s="577" t="s">
        <v>507</v>
      </c>
      <c r="E40" s="577" t="s">
        <v>380</v>
      </c>
      <c r="F40" s="577" t="s">
        <v>529</v>
      </c>
      <c r="G40" s="577" t="s">
        <v>43</v>
      </c>
      <c r="H40" s="376"/>
      <c r="I40" s="376"/>
      <c r="J40" s="376"/>
      <c r="K40" s="376">
        <v>30</v>
      </c>
      <c r="L40" s="376"/>
      <c r="M40" s="376"/>
      <c r="N40" s="376"/>
      <c r="O40" s="376"/>
      <c r="P40" s="378"/>
      <c r="Q40" s="378"/>
      <c r="R40" s="378"/>
      <c r="S40" s="378"/>
      <c r="T40" s="378"/>
      <c r="U40" s="378"/>
      <c r="V40" s="533"/>
      <c r="W40" s="378"/>
      <c r="X40" s="378"/>
      <c r="Y40" s="378">
        <f>IF(NFI_Expiration=1,IF($A40&lt;VLOOKUP(H$5,NFI,5,0),1,0)*Table_NFI[[#This Row],[Hygiene Kit]],Table_NFI[Hygiene Kit])</f>
        <v>0</v>
      </c>
      <c r="Z40" s="378">
        <f>IF(NFI_Expiration=1,IF($A40&lt;VLOOKUP(I$5,NFI,5,0),1,0)*Table_NFI[[#This Row],[NFI Core Kit]],Table_NFI[NFI Core Kit])</f>
        <v>0</v>
      </c>
      <c r="AA40" s="378">
        <f>IF(NFI_Expiration=1,IF($A40&lt;VLOOKUP(J$5,NFI,5,0),1,0)*Table_NFI[[#This Row],[Sanitary Kit]],Table_NFI[Sanitary Kit])</f>
        <v>0</v>
      </c>
      <c r="AB40" s="378">
        <f>IF(NFI_Expiration=1,IF($A40&lt;VLOOKUP(K$5,NFI,5,0),1,0)*Table_NFI[[#This Row],[Mosquito net]],Table_NFI[Mosquito net])</f>
        <v>0</v>
      </c>
      <c r="AC40" s="378">
        <f>IF(NFI_Expiration=1,IF($A40&lt;VLOOKUP(L$5,NFI,5,0),1,0)*Table_NFI[[#This Row],[Tarpaulin]],Table_NFI[[#This Row],[Tarpaulin]])</f>
        <v>0</v>
      </c>
      <c r="AD40" s="378">
        <f>IF(NFI_Expiration=1,IF($A40&lt;VLOOKUP(M$5,NFI,5,0),1,0)*Table_NFI[[#This Row],[Blanket]],Table_NFI[[#This Row],[Blanket]])</f>
        <v>0</v>
      </c>
      <c r="AE40" s="378">
        <f>IF(NFI_Expiration=1,IF($A40&lt;VLOOKUP(N$5,NFI,5,0),1,0)*Table_NFI[[#This Row],[Kitchen Set]],Table_NFI[Kitchen Set])</f>
        <v>0</v>
      </c>
      <c r="AF40" s="378">
        <f>IF(NFI_Expiration=1,IF($A40&lt;VLOOKUP(O$5,NFI,5,0),1,0)*Table_NFI[[#This Row],[Clothes Kit]],Table_NFI[Clothes Kit])</f>
        <v>0</v>
      </c>
      <c r="AG40" s="378">
        <f>IF(NFI_Expiration=1,IF($A40&lt;VLOOKUP(P$5,NFI,5,0),1,0)*Table_NFI[[#This Row],[Plastic Bucket]],Table_NFI[Plastic Bucket])</f>
        <v>0</v>
      </c>
      <c r="AH40" s="378">
        <f>IF(NFI_Expiration=1,IF($A40&lt;VLOOKUP(Q$5,NFI,5,0),1,0)*Table_NFI[[#This Row],[Plastic Mat]],Table_NFI[Plastic Mat])*IF(Table_NFI[[#This Row],[Distribution Date]]&gt;"2014-04-01",1,2.5)</f>
        <v>0</v>
      </c>
      <c r="AI40" s="378">
        <f>IF(NFI_Expiration=1,IF($A40&lt;VLOOKUP(R$5,NFI,5,0),1,0)*Table_NFI[[#This Row],[Winter Clothes Adult]],Table_NFI[Winter Clothes Adult])</f>
        <v>0</v>
      </c>
      <c r="AJ40" s="378">
        <f>IF(NFI_Expiration=1,IF($A40&lt;VLOOKUP(S$5,NFI,5,0),1,0)*Table_NFI[[#This Row],[Winter Clothes Children]],Table_NFI[Winter Clothes Children])</f>
        <v>0</v>
      </c>
      <c r="AK40" s="378">
        <f>IF(NFI_Expiration=1,IF($A40&lt;VLOOKUP(T$5,NFI,5,0),1,0)*Table_NFI[[#This Row],[Winter Items Other]],Table_NFI[Winter Items Other])</f>
        <v>0</v>
      </c>
      <c r="AL40" s="378">
        <f>IF(NFI_Expiration=1,IF($A40&lt;VLOOKUP(M$5,NFI,5,0),1,0)*Table_NFI[[#This Row],[Winter Blanket]],Table_NFI[[#This Row],[Winter Blanket]])</f>
        <v>0</v>
      </c>
      <c r="AM40" s="378">
        <f>IF(Table_NFI[[#This Row],[Winter Clothes Adult]]+Table_NFI[[#This Row],[Winter Clothes Children]]+Table_NFI[[#This Row],[Winter Items Other]]+Table_NFI[[#This Row],[Winter Blanket]]&gt;0,1,0)</f>
        <v>0</v>
      </c>
      <c r="AN40" s="418">
        <f>IF(NFI_Expiration=1,IF($A40&lt;VLOOKUP(V$5,NFI,5,0),1,0)*Table_NFI[[#This Row],[Jerry Can]],Table_NFI[Jerry Can])</f>
        <v>0</v>
      </c>
      <c r="AO40" s="579" t="str">
        <f>IFERROR(VLOOKUP(Table_NFI[[#This Row],[Camp Name]],CL,2,0),"")</f>
        <v>MMR001CMP190</v>
      </c>
      <c r="AP40" s="574">
        <f ca="1">IF(Table_NFI[[#This Row],[Pcode]]="","",IF(OFFSET(CampList[Opening Date],MATCH(Table_NFI[[#This Row],[Pcode]],CampList[CP_Pcode],0)-1,0,1,1)&gt;=NFI_Monitor_Date,1,0))</f>
        <v>0</v>
      </c>
      <c r="AQ40" s="579" t="str">
        <f>IFERROR(VLOOKUP(Table_NFI[[#This Row],[Camp Name]],CL,3,0),"")</f>
        <v>Open</v>
      </c>
      <c r="AR40" s="378" t="str">
        <f ca="1">IF(Table_NFI[[#This Row],[Pcode]]="","",OFFSET(CampList[Priority],MATCH(Table_NFI[[#This Row],[Pcode]],CampList[CP_Pcode],0)-1,0,1,1))</f>
        <v>P4</v>
      </c>
      <c r="AS40" s="377">
        <f>IFERROR(Table_NFI[[#This Row],[Kitchen Set]]/VLOOKUP(Table_NFI[[#This Row],[Camp Name]],CL,4,0),"")</f>
        <v>0</v>
      </c>
      <c r="AT40" s="577"/>
      <c r="AU40" s="580"/>
    </row>
    <row r="41" spans="1:47" s="576" customFormat="1" x14ac:dyDescent="0.25">
      <c r="A41" s="381">
        <f t="shared" si="0"/>
        <v>38.966666666666669</v>
      </c>
      <c r="B41" s="571">
        <v>41353</v>
      </c>
      <c r="C41" s="572" t="s">
        <v>454</v>
      </c>
      <c r="D41" s="572" t="s">
        <v>454</v>
      </c>
      <c r="E41" s="572" t="s">
        <v>380</v>
      </c>
      <c r="F41" s="572" t="s">
        <v>529</v>
      </c>
      <c r="G41" s="374" t="s">
        <v>43</v>
      </c>
      <c r="H41" s="375"/>
      <c r="I41" s="375"/>
      <c r="J41" s="375">
        <v>24</v>
      </c>
      <c r="K41" s="375">
        <v>17</v>
      </c>
      <c r="L41" s="376">
        <v>17</v>
      </c>
      <c r="M41" s="376">
        <v>41</v>
      </c>
      <c r="N41" s="376">
        <v>17</v>
      </c>
      <c r="O41" s="376">
        <v>41</v>
      </c>
      <c r="P41" s="378">
        <v>41</v>
      </c>
      <c r="Q41" s="378">
        <v>41</v>
      </c>
      <c r="R41" s="378"/>
      <c r="S41" s="378"/>
      <c r="T41" s="378"/>
      <c r="U41" s="378"/>
      <c r="V41" s="533"/>
      <c r="W41" s="378"/>
      <c r="X41" s="378"/>
      <c r="Y41" s="378">
        <f>IF(NFI_Expiration=1,IF($A41&lt;VLOOKUP(H$5,NFI,5,0),1,0)*Table_NFI[[#This Row],[Hygiene Kit]],Table_NFI[Hygiene Kit])</f>
        <v>0</v>
      </c>
      <c r="Z41" s="378">
        <f>IF(NFI_Expiration=1,IF($A41&lt;VLOOKUP(I$5,NFI,5,0),1,0)*Table_NFI[[#This Row],[NFI Core Kit]],Table_NFI[NFI Core Kit])</f>
        <v>0</v>
      </c>
      <c r="AA41" s="378">
        <f>IF(NFI_Expiration=1,IF($A41&lt;VLOOKUP(J$5,NFI,5,0),1,0)*Table_NFI[[#This Row],[Sanitary Kit]],Table_NFI[Sanitary Kit])</f>
        <v>0</v>
      </c>
      <c r="AB41" s="378">
        <f>IF(NFI_Expiration=1,IF($A41&lt;VLOOKUP(K$5,NFI,5,0),1,0)*Table_NFI[[#This Row],[Mosquito net]],Table_NFI[Mosquito net])</f>
        <v>0</v>
      </c>
      <c r="AC41" s="378">
        <f>IF(NFI_Expiration=1,IF($A41&lt;VLOOKUP(L$5,NFI,5,0),1,0)*Table_NFI[[#This Row],[Tarpaulin]],Table_NFI[[#This Row],[Tarpaulin]])</f>
        <v>0</v>
      </c>
      <c r="AD41" s="378">
        <f>IF(NFI_Expiration=1,IF($A41&lt;VLOOKUP(M$5,NFI,5,0),1,0)*Table_NFI[[#This Row],[Blanket]],Table_NFI[[#This Row],[Blanket]])</f>
        <v>0</v>
      </c>
      <c r="AE41" s="378">
        <f>IF(NFI_Expiration=1,IF($A41&lt;VLOOKUP(N$5,NFI,5,0),1,0)*Table_NFI[[#This Row],[Kitchen Set]],Table_NFI[Kitchen Set])</f>
        <v>0</v>
      </c>
      <c r="AF41" s="378">
        <f>IF(NFI_Expiration=1,IF($A41&lt;VLOOKUP(O$5,NFI,5,0),1,0)*Table_NFI[[#This Row],[Clothes Kit]],Table_NFI[Clothes Kit])</f>
        <v>0</v>
      </c>
      <c r="AG41" s="378">
        <f>IF(NFI_Expiration=1,IF($A41&lt;VLOOKUP(P$5,NFI,5,0),1,0)*Table_NFI[[#This Row],[Plastic Bucket]],Table_NFI[Plastic Bucket])</f>
        <v>0</v>
      </c>
      <c r="AH41" s="378">
        <f>IF(NFI_Expiration=1,IF($A41&lt;VLOOKUP(Q$5,NFI,5,0),1,0)*Table_NFI[[#This Row],[Plastic Mat]],Table_NFI[Plastic Mat])*IF(Table_NFI[[#This Row],[Distribution Date]]&gt;"2014-04-01",1,2.5)</f>
        <v>0</v>
      </c>
      <c r="AI41" s="378">
        <f>IF(NFI_Expiration=1,IF($A41&lt;VLOOKUP(R$5,NFI,5,0),1,0)*Table_NFI[[#This Row],[Winter Clothes Adult]],Table_NFI[Winter Clothes Adult])</f>
        <v>0</v>
      </c>
      <c r="AJ41" s="378">
        <f>IF(NFI_Expiration=1,IF($A41&lt;VLOOKUP(S$5,NFI,5,0),1,0)*Table_NFI[[#This Row],[Winter Clothes Children]],Table_NFI[Winter Clothes Children])</f>
        <v>0</v>
      </c>
      <c r="AK41" s="378">
        <f>IF(NFI_Expiration=1,IF($A41&lt;VLOOKUP(T$5,NFI,5,0),1,0)*Table_NFI[[#This Row],[Winter Items Other]],Table_NFI[Winter Items Other])</f>
        <v>0</v>
      </c>
      <c r="AL41" s="378">
        <f>IF(NFI_Expiration=1,IF($A41&lt;VLOOKUP(M$5,NFI,5,0),1,0)*Table_NFI[[#This Row],[Winter Blanket]],Table_NFI[[#This Row],[Winter Blanket]])</f>
        <v>0</v>
      </c>
      <c r="AM41" s="378">
        <f>IF(Table_NFI[[#This Row],[Winter Clothes Adult]]+Table_NFI[[#This Row],[Winter Clothes Children]]+Table_NFI[[#This Row],[Winter Items Other]]+Table_NFI[[#This Row],[Winter Blanket]]&gt;0,1,0)</f>
        <v>0</v>
      </c>
      <c r="AN41" s="418">
        <f>IF(NFI_Expiration=1,IF($A41&lt;VLOOKUP(V$5,NFI,5,0),1,0)*Table_NFI[[#This Row],[Jerry Can]],Table_NFI[Jerry Can])</f>
        <v>0</v>
      </c>
      <c r="AO41" s="579" t="str">
        <f>IFERROR(VLOOKUP(Table_NFI[[#This Row],[Camp Name]],CL,2,0),"")</f>
        <v>MMR001CMP190</v>
      </c>
      <c r="AP41" s="574">
        <f ca="1">IF(Table_NFI[[#This Row],[Pcode]]="","",IF(OFFSET(CampList[Opening Date],MATCH(Table_NFI[[#This Row],[Pcode]],CampList[CP_Pcode],0)-1,0,1,1)&gt;=NFI_Monitor_Date,1,0))</f>
        <v>0</v>
      </c>
      <c r="AQ41" s="579" t="str">
        <f>IFERROR(VLOOKUP(Table_NFI[[#This Row],[Camp Name]],CL,3,0),"")</f>
        <v>Open</v>
      </c>
      <c r="AR41" s="378" t="str">
        <f ca="1">IF(Table_NFI[[#This Row],[Pcode]]="","",OFFSET(CampList[Priority],MATCH(Table_NFI[[#This Row],[Pcode]],CampList[CP_Pcode],0)-1,0,1,1))</f>
        <v>P4</v>
      </c>
      <c r="AS41" s="377">
        <f>IFERROR(Table_NFI[[#This Row],[Kitchen Set]]/VLOOKUP(Table_NFI[[#This Row],[Camp Name]],CL,4,0),"")</f>
        <v>1.2142857142857142</v>
      </c>
      <c r="AT41" s="572" t="s">
        <v>1095</v>
      </c>
      <c r="AU41" s="575"/>
    </row>
    <row r="42" spans="1:47" s="576" customFormat="1" x14ac:dyDescent="0.25">
      <c r="A42" s="381">
        <f t="shared" si="0"/>
        <v>39.9</v>
      </c>
      <c r="B42" s="571">
        <v>41325</v>
      </c>
      <c r="C42" s="572" t="s">
        <v>454</v>
      </c>
      <c r="D42" s="573" t="s">
        <v>454</v>
      </c>
      <c r="E42" s="572" t="s">
        <v>380</v>
      </c>
      <c r="F42" s="374" t="s">
        <v>529</v>
      </c>
      <c r="G42" s="374" t="s">
        <v>43</v>
      </c>
      <c r="H42" s="375"/>
      <c r="I42" s="375"/>
      <c r="J42" s="375"/>
      <c r="K42" s="375">
        <v>59</v>
      </c>
      <c r="L42" s="376">
        <v>28</v>
      </c>
      <c r="M42" s="376">
        <v>0</v>
      </c>
      <c r="N42" s="376">
        <v>28</v>
      </c>
      <c r="O42" s="376">
        <v>28</v>
      </c>
      <c r="P42" s="378">
        <v>28</v>
      </c>
      <c r="Q42" s="378">
        <v>28</v>
      </c>
      <c r="R42" s="378"/>
      <c r="S42" s="378"/>
      <c r="T42" s="378"/>
      <c r="U42" s="378"/>
      <c r="V42" s="533"/>
      <c r="W42" s="378"/>
      <c r="X42" s="378"/>
      <c r="Y42" s="378">
        <f>IF(NFI_Expiration=1,IF($A42&lt;VLOOKUP(H$5,NFI,5,0),1,0)*Table_NFI[[#This Row],[Hygiene Kit]],Table_NFI[Hygiene Kit])</f>
        <v>0</v>
      </c>
      <c r="Z42" s="378">
        <f>IF(NFI_Expiration=1,IF($A42&lt;VLOOKUP(I$5,NFI,5,0),1,0)*Table_NFI[[#This Row],[NFI Core Kit]],Table_NFI[NFI Core Kit])</f>
        <v>0</v>
      </c>
      <c r="AA42" s="378">
        <f>IF(NFI_Expiration=1,IF($A42&lt;VLOOKUP(J$5,NFI,5,0),1,0)*Table_NFI[[#This Row],[Sanitary Kit]],Table_NFI[Sanitary Kit])</f>
        <v>0</v>
      </c>
      <c r="AB42" s="378">
        <f>IF(NFI_Expiration=1,IF($A42&lt;VLOOKUP(K$5,NFI,5,0),1,0)*Table_NFI[[#This Row],[Mosquito net]],Table_NFI[Mosquito net])</f>
        <v>0</v>
      </c>
      <c r="AC42" s="378">
        <f>IF(NFI_Expiration=1,IF($A42&lt;VLOOKUP(L$5,NFI,5,0),1,0)*Table_NFI[[#This Row],[Tarpaulin]],Table_NFI[[#This Row],[Tarpaulin]])</f>
        <v>0</v>
      </c>
      <c r="AD42" s="378">
        <f>IF(NFI_Expiration=1,IF($A42&lt;VLOOKUP(M$5,NFI,5,0),1,0)*Table_NFI[[#This Row],[Blanket]],Table_NFI[[#This Row],[Blanket]])</f>
        <v>0</v>
      </c>
      <c r="AE42" s="378">
        <f>IF(NFI_Expiration=1,IF($A42&lt;VLOOKUP(N$5,NFI,5,0),1,0)*Table_NFI[[#This Row],[Kitchen Set]],Table_NFI[Kitchen Set])</f>
        <v>0</v>
      </c>
      <c r="AF42" s="378">
        <f>IF(NFI_Expiration=1,IF($A42&lt;VLOOKUP(O$5,NFI,5,0),1,0)*Table_NFI[[#This Row],[Clothes Kit]],Table_NFI[Clothes Kit])</f>
        <v>0</v>
      </c>
      <c r="AG42" s="378">
        <f>IF(NFI_Expiration=1,IF($A42&lt;VLOOKUP(P$5,NFI,5,0),1,0)*Table_NFI[[#This Row],[Plastic Bucket]],Table_NFI[Plastic Bucket])</f>
        <v>0</v>
      </c>
      <c r="AH42" s="378">
        <f>IF(NFI_Expiration=1,IF($A42&lt;VLOOKUP(Q$5,NFI,5,0),1,0)*Table_NFI[[#This Row],[Plastic Mat]],Table_NFI[Plastic Mat])*IF(Table_NFI[[#This Row],[Distribution Date]]&gt;"2014-04-01",1,2.5)</f>
        <v>0</v>
      </c>
      <c r="AI42" s="378">
        <f>IF(NFI_Expiration=1,IF($A42&lt;VLOOKUP(R$5,NFI,5,0),1,0)*Table_NFI[[#This Row],[Winter Clothes Adult]],Table_NFI[Winter Clothes Adult])</f>
        <v>0</v>
      </c>
      <c r="AJ42" s="378">
        <f>IF(NFI_Expiration=1,IF($A42&lt;VLOOKUP(S$5,NFI,5,0),1,0)*Table_NFI[[#This Row],[Winter Clothes Children]],Table_NFI[Winter Clothes Children])</f>
        <v>0</v>
      </c>
      <c r="AK42" s="378">
        <f>IF(NFI_Expiration=1,IF($A42&lt;VLOOKUP(T$5,NFI,5,0),1,0)*Table_NFI[[#This Row],[Winter Items Other]],Table_NFI[Winter Items Other])</f>
        <v>0</v>
      </c>
      <c r="AL42" s="378">
        <f>IF(NFI_Expiration=1,IF($A42&lt;VLOOKUP(M$5,NFI,5,0),1,0)*Table_NFI[[#This Row],[Winter Blanket]],Table_NFI[[#This Row],[Winter Blanket]])</f>
        <v>0</v>
      </c>
      <c r="AM42" s="378">
        <f>IF(Table_NFI[[#This Row],[Winter Clothes Adult]]+Table_NFI[[#This Row],[Winter Clothes Children]]+Table_NFI[[#This Row],[Winter Items Other]]+Table_NFI[[#This Row],[Winter Blanket]]&gt;0,1,0)</f>
        <v>0</v>
      </c>
      <c r="AN42" s="418">
        <f>IF(NFI_Expiration=1,IF($A42&lt;VLOOKUP(V$5,NFI,5,0),1,0)*Table_NFI[[#This Row],[Jerry Can]],Table_NFI[Jerry Can])</f>
        <v>0</v>
      </c>
      <c r="AO42" s="579" t="str">
        <f>IFERROR(VLOOKUP(Table_NFI[[#This Row],[Camp Name]],CL,2,0),"")</f>
        <v>MMR001CMP190</v>
      </c>
      <c r="AP42" s="574">
        <f ca="1">IF(Table_NFI[[#This Row],[Pcode]]="","",IF(OFFSET(CampList[Opening Date],MATCH(Table_NFI[[#This Row],[Pcode]],CampList[CP_Pcode],0)-1,0,1,1)&gt;=NFI_Monitor_Date,1,0))</f>
        <v>0</v>
      </c>
      <c r="AQ42" s="579" t="str">
        <f>IFERROR(VLOOKUP(Table_NFI[[#This Row],[Camp Name]],CL,3,0),"")</f>
        <v>Open</v>
      </c>
      <c r="AR42" s="378" t="str">
        <f ca="1">IF(Table_NFI[[#This Row],[Pcode]]="","",OFFSET(CampList[Priority],MATCH(Table_NFI[[#This Row],[Pcode]],CampList[CP_Pcode],0)-1,0,1,1))</f>
        <v>P4</v>
      </c>
      <c r="AS42" s="377">
        <f>IFERROR(Table_NFI[[#This Row],[Kitchen Set]]/VLOOKUP(Table_NFI[[#This Row],[Camp Name]],CL,4,0),"")</f>
        <v>2</v>
      </c>
      <c r="AT42" s="572" t="s">
        <v>1095</v>
      </c>
      <c r="AU42" s="575"/>
    </row>
    <row r="43" spans="1:47" s="576" customFormat="1" x14ac:dyDescent="0.25">
      <c r="A43" s="381">
        <f t="shared" si="0"/>
        <v>41.6</v>
      </c>
      <c r="B43" s="571">
        <v>41274</v>
      </c>
      <c r="C43" s="572" t="s">
        <v>455</v>
      </c>
      <c r="D43" s="573" t="s">
        <v>455</v>
      </c>
      <c r="E43" s="572" t="s">
        <v>380</v>
      </c>
      <c r="F43" s="374" t="s">
        <v>529</v>
      </c>
      <c r="G43" s="374" t="s">
        <v>43</v>
      </c>
      <c r="H43" s="375">
        <v>4</v>
      </c>
      <c r="I43" s="375"/>
      <c r="J43" s="375"/>
      <c r="K43" s="375"/>
      <c r="L43" s="376"/>
      <c r="M43" s="376"/>
      <c r="N43" s="376"/>
      <c r="O43" s="376"/>
      <c r="P43" s="378">
        <v>0</v>
      </c>
      <c r="Q43" s="378">
        <v>0</v>
      </c>
      <c r="R43" s="378"/>
      <c r="S43" s="378"/>
      <c r="T43" s="378"/>
      <c r="U43" s="378"/>
      <c r="V43" s="533"/>
      <c r="W43" s="378"/>
      <c r="X43" s="378"/>
      <c r="Y43" s="378">
        <f>IF(NFI_Expiration=1,IF($A43&lt;VLOOKUP(H$5,NFI,5,0),1,0)*Table_NFI[[#This Row],[Hygiene Kit]],Table_NFI[Hygiene Kit])</f>
        <v>0</v>
      </c>
      <c r="Z43" s="378">
        <f>IF(NFI_Expiration=1,IF($A43&lt;VLOOKUP(I$5,NFI,5,0),1,0)*Table_NFI[[#This Row],[NFI Core Kit]],Table_NFI[NFI Core Kit])</f>
        <v>0</v>
      </c>
      <c r="AA43" s="378">
        <f>IF(NFI_Expiration=1,IF($A43&lt;VLOOKUP(J$5,NFI,5,0),1,0)*Table_NFI[[#This Row],[Sanitary Kit]],Table_NFI[Sanitary Kit])</f>
        <v>0</v>
      </c>
      <c r="AB43" s="378">
        <f>IF(NFI_Expiration=1,IF($A43&lt;VLOOKUP(K$5,NFI,5,0),1,0)*Table_NFI[[#This Row],[Mosquito net]],Table_NFI[Mosquito net])</f>
        <v>0</v>
      </c>
      <c r="AC43" s="378">
        <f>IF(NFI_Expiration=1,IF($A43&lt;VLOOKUP(L$5,NFI,5,0),1,0)*Table_NFI[[#This Row],[Tarpaulin]],Table_NFI[[#This Row],[Tarpaulin]])</f>
        <v>0</v>
      </c>
      <c r="AD43" s="378">
        <f>IF(NFI_Expiration=1,IF($A43&lt;VLOOKUP(M$5,NFI,5,0),1,0)*Table_NFI[[#This Row],[Blanket]],Table_NFI[[#This Row],[Blanket]])</f>
        <v>0</v>
      </c>
      <c r="AE43" s="378">
        <f>IF(NFI_Expiration=1,IF($A43&lt;VLOOKUP(N$5,NFI,5,0),1,0)*Table_NFI[[#This Row],[Kitchen Set]],Table_NFI[Kitchen Set])</f>
        <v>0</v>
      </c>
      <c r="AF43" s="378">
        <f>IF(NFI_Expiration=1,IF($A43&lt;VLOOKUP(O$5,NFI,5,0),1,0)*Table_NFI[[#This Row],[Clothes Kit]],Table_NFI[Clothes Kit])</f>
        <v>0</v>
      </c>
      <c r="AG43" s="378">
        <f>IF(NFI_Expiration=1,IF($A43&lt;VLOOKUP(P$5,NFI,5,0),1,0)*Table_NFI[[#This Row],[Plastic Bucket]],Table_NFI[Plastic Bucket])</f>
        <v>0</v>
      </c>
      <c r="AH43" s="378">
        <f>IF(NFI_Expiration=1,IF($A43&lt;VLOOKUP(Q$5,NFI,5,0),1,0)*Table_NFI[[#This Row],[Plastic Mat]],Table_NFI[Plastic Mat])*IF(Table_NFI[[#This Row],[Distribution Date]]&gt;"2014-04-01",1,2.5)</f>
        <v>0</v>
      </c>
      <c r="AI43" s="378">
        <f>IF(NFI_Expiration=1,IF($A43&lt;VLOOKUP(R$5,NFI,5,0),1,0)*Table_NFI[[#This Row],[Winter Clothes Adult]],Table_NFI[Winter Clothes Adult])</f>
        <v>0</v>
      </c>
      <c r="AJ43" s="378">
        <f>IF(NFI_Expiration=1,IF($A43&lt;VLOOKUP(S$5,NFI,5,0),1,0)*Table_NFI[[#This Row],[Winter Clothes Children]],Table_NFI[Winter Clothes Children])</f>
        <v>0</v>
      </c>
      <c r="AK43" s="378">
        <f>IF(NFI_Expiration=1,IF($A43&lt;VLOOKUP(T$5,NFI,5,0),1,0)*Table_NFI[[#This Row],[Winter Items Other]],Table_NFI[Winter Items Other])</f>
        <v>0</v>
      </c>
      <c r="AL43" s="378">
        <f>IF(NFI_Expiration=1,IF($A43&lt;VLOOKUP(M$5,NFI,5,0),1,0)*Table_NFI[[#This Row],[Winter Blanket]],Table_NFI[[#This Row],[Winter Blanket]])</f>
        <v>0</v>
      </c>
      <c r="AM43" s="378">
        <f>IF(Table_NFI[[#This Row],[Winter Clothes Adult]]+Table_NFI[[#This Row],[Winter Clothes Children]]+Table_NFI[[#This Row],[Winter Items Other]]+Table_NFI[[#This Row],[Winter Blanket]]&gt;0,1,0)</f>
        <v>0</v>
      </c>
      <c r="AN43" s="418">
        <f>IF(NFI_Expiration=1,IF($A43&lt;VLOOKUP(V$5,NFI,5,0),1,0)*Table_NFI[[#This Row],[Jerry Can]],Table_NFI[Jerry Can])</f>
        <v>0</v>
      </c>
      <c r="AO43" s="579" t="str">
        <f>IFERROR(VLOOKUP(Table_NFI[[#This Row],[Camp Name]],CL,2,0),"")</f>
        <v>MMR001CMP190</v>
      </c>
      <c r="AP43" s="574">
        <f ca="1">IF(Table_NFI[[#This Row],[Pcode]]="","",IF(OFFSET(CampList[Opening Date],MATCH(Table_NFI[[#This Row],[Pcode]],CampList[CP_Pcode],0)-1,0,1,1)&gt;=NFI_Monitor_Date,1,0))</f>
        <v>0</v>
      </c>
      <c r="AQ43" s="579" t="str">
        <f>IFERROR(VLOOKUP(Table_NFI[[#This Row],[Camp Name]],CL,3,0),"")</f>
        <v>Open</v>
      </c>
      <c r="AR43" s="378" t="str">
        <f ca="1">IF(Table_NFI[[#This Row],[Pcode]]="","",OFFSET(CampList[Priority],MATCH(Table_NFI[[#This Row],[Pcode]],CampList[CP_Pcode],0)-1,0,1,1))</f>
        <v>P4</v>
      </c>
      <c r="AS43" s="377">
        <f>IFERROR(Table_NFI[[#This Row],[Kitchen Set]]/VLOOKUP(Table_NFI[[#This Row],[Camp Name]],CL,4,0),"")</f>
        <v>0</v>
      </c>
      <c r="AT43" s="572" t="s">
        <v>1095</v>
      </c>
      <c r="AU43" s="575"/>
    </row>
    <row r="44" spans="1:47" s="576" customFormat="1" x14ac:dyDescent="0.25">
      <c r="A44" s="381">
        <f t="shared" si="0"/>
        <v>38.966666666666669</v>
      </c>
      <c r="B44" s="571">
        <v>41353</v>
      </c>
      <c r="C44" s="572" t="s">
        <v>454</v>
      </c>
      <c r="D44" s="572" t="s">
        <v>454</v>
      </c>
      <c r="E44" s="572" t="s">
        <v>380</v>
      </c>
      <c r="F44" s="374" t="s">
        <v>529</v>
      </c>
      <c r="G44" s="374" t="s">
        <v>39</v>
      </c>
      <c r="H44" s="375"/>
      <c r="I44" s="375"/>
      <c r="J44" s="375">
        <v>38</v>
      </c>
      <c r="K44" s="375">
        <v>11</v>
      </c>
      <c r="L44" s="376">
        <v>11</v>
      </c>
      <c r="M44" s="376">
        <v>87</v>
      </c>
      <c r="N44" s="376">
        <v>11</v>
      </c>
      <c r="O44" s="376">
        <v>26</v>
      </c>
      <c r="P44" s="378">
        <v>26</v>
      </c>
      <c r="Q44" s="378">
        <v>26</v>
      </c>
      <c r="R44" s="378"/>
      <c r="S44" s="378"/>
      <c r="T44" s="378"/>
      <c r="U44" s="378"/>
      <c r="V44" s="533"/>
      <c r="W44" s="378"/>
      <c r="X44" s="378"/>
      <c r="Y44" s="378">
        <f>IF(NFI_Expiration=1,IF($A44&lt;VLOOKUP(H$5,NFI,5,0),1,0)*Table_NFI[[#This Row],[Hygiene Kit]],Table_NFI[Hygiene Kit])</f>
        <v>0</v>
      </c>
      <c r="Z44" s="378">
        <f>IF(NFI_Expiration=1,IF($A44&lt;VLOOKUP(I$5,NFI,5,0),1,0)*Table_NFI[[#This Row],[NFI Core Kit]],Table_NFI[NFI Core Kit])</f>
        <v>0</v>
      </c>
      <c r="AA44" s="378">
        <f>IF(NFI_Expiration=1,IF($A44&lt;VLOOKUP(J$5,NFI,5,0),1,0)*Table_NFI[[#This Row],[Sanitary Kit]],Table_NFI[Sanitary Kit])</f>
        <v>0</v>
      </c>
      <c r="AB44" s="378">
        <f>IF(NFI_Expiration=1,IF($A44&lt;VLOOKUP(K$5,NFI,5,0),1,0)*Table_NFI[[#This Row],[Mosquito net]],Table_NFI[Mosquito net])</f>
        <v>0</v>
      </c>
      <c r="AC44" s="378">
        <f>IF(NFI_Expiration=1,IF($A44&lt;VLOOKUP(L$5,NFI,5,0),1,0)*Table_NFI[[#This Row],[Tarpaulin]],Table_NFI[[#This Row],[Tarpaulin]])</f>
        <v>0</v>
      </c>
      <c r="AD44" s="378">
        <f>IF(NFI_Expiration=1,IF($A44&lt;VLOOKUP(M$5,NFI,5,0),1,0)*Table_NFI[[#This Row],[Blanket]],Table_NFI[[#This Row],[Blanket]])</f>
        <v>0</v>
      </c>
      <c r="AE44" s="378">
        <f>IF(NFI_Expiration=1,IF($A44&lt;VLOOKUP(N$5,NFI,5,0),1,0)*Table_NFI[[#This Row],[Kitchen Set]],Table_NFI[Kitchen Set])</f>
        <v>0</v>
      </c>
      <c r="AF44" s="378">
        <f>IF(NFI_Expiration=1,IF($A44&lt;VLOOKUP(O$5,NFI,5,0),1,0)*Table_NFI[[#This Row],[Clothes Kit]],Table_NFI[Clothes Kit])</f>
        <v>0</v>
      </c>
      <c r="AG44" s="378">
        <f>IF(NFI_Expiration=1,IF($A44&lt;VLOOKUP(P$5,NFI,5,0),1,0)*Table_NFI[[#This Row],[Plastic Bucket]],Table_NFI[Plastic Bucket])</f>
        <v>0</v>
      </c>
      <c r="AH44" s="378">
        <f>IF(NFI_Expiration=1,IF($A44&lt;VLOOKUP(Q$5,NFI,5,0),1,0)*Table_NFI[[#This Row],[Plastic Mat]],Table_NFI[Plastic Mat])*IF(Table_NFI[[#This Row],[Distribution Date]]&gt;"2014-04-01",1,2.5)</f>
        <v>0</v>
      </c>
      <c r="AI44" s="378">
        <f>IF(NFI_Expiration=1,IF($A44&lt;VLOOKUP(R$5,NFI,5,0),1,0)*Table_NFI[[#This Row],[Winter Clothes Adult]],Table_NFI[Winter Clothes Adult])</f>
        <v>0</v>
      </c>
      <c r="AJ44" s="378">
        <f>IF(NFI_Expiration=1,IF($A44&lt;VLOOKUP(S$5,NFI,5,0),1,0)*Table_NFI[[#This Row],[Winter Clothes Children]],Table_NFI[Winter Clothes Children])</f>
        <v>0</v>
      </c>
      <c r="AK44" s="378">
        <f>IF(NFI_Expiration=1,IF($A44&lt;VLOOKUP(T$5,NFI,5,0),1,0)*Table_NFI[[#This Row],[Winter Items Other]],Table_NFI[Winter Items Other])</f>
        <v>0</v>
      </c>
      <c r="AL44" s="378">
        <f>IF(NFI_Expiration=1,IF($A44&lt;VLOOKUP(M$5,NFI,5,0),1,0)*Table_NFI[[#This Row],[Winter Blanket]],Table_NFI[[#This Row],[Winter Blanket]])</f>
        <v>0</v>
      </c>
      <c r="AM44" s="378">
        <f>IF(Table_NFI[[#This Row],[Winter Clothes Adult]]+Table_NFI[[#This Row],[Winter Clothes Children]]+Table_NFI[[#This Row],[Winter Items Other]]+Table_NFI[[#This Row],[Winter Blanket]]&gt;0,1,0)</f>
        <v>0</v>
      </c>
      <c r="AN44" s="418">
        <f>IF(NFI_Expiration=1,IF($A44&lt;VLOOKUP(V$5,NFI,5,0),1,0)*Table_NFI[[#This Row],[Jerry Can]],Table_NFI[Jerry Can])</f>
        <v>0</v>
      </c>
      <c r="AO44" s="579" t="str">
        <f>IFERROR(VLOOKUP(Table_NFI[[#This Row],[Camp Name]],CL,2,0),"")</f>
        <v>MMR001CMP173</v>
      </c>
      <c r="AP44" s="574">
        <f ca="1">IF(Table_NFI[[#This Row],[Pcode]]="","",IF(OFFSET(CampList[Opening Date],MATCH(Table_NFI[[#This Row],[Pcode]],CampList[CP_Pcode],0)-1,0,1,1)&gt;=NFI_Monitor_Date,1,0))</f>
        <v>0</v>
      </c>
      <c r="AQ44" s="579" t="str">
        <f>IFERROR(VLOOKUP(Table_NFI[[#This Row],[Camp Name]],CL,3,0),"")</f>
        <v>Closed</v>
      </c>
      <c r="AR44" s="378" t="str">
        <f ca="1">IF(Table_NFI[[#This Row],[Pcode]]="","",OFFSET(CampList[Priority],MATCH(Table_NFI[[#This Row],[Pcode]],CampList[CP_Pcode],0)-1,0,1,1))</f>
        <v/>
      </c>
      <c r="AS44" s="377" t="str">
        <f>IFERROR(Table_NFI[[#This Row],[Kitchen Set]]/VLOOKUP(Table_NFI[[#This Row],[Camp Name]],CL,4,0),"")</f>
        <v/>
      </c>
      <c r="AT44" s="572" t="s">
        <v>1095</v>
      </c>
      <c r="AU44" s="575"/>
    </row>
    <row r="45" spans="1:47" s="576" customFormat="1" x14ac:dyDescent="0.25">
      <c r="A45" s="381">
        <f t="shared" si="0"/>
        <v>39.93333333333333</v>
      </c>
      <c r="B45" s="571">
        <v>41324</v>
      </c>
      <c r="C45" s="572" t="s">
        <v>454</v>
      </c>
      <c r="D45" s="572" t="s">
        <v>454</v>
      </c>
      <c r="E45" s="572" t="s">
        <v>380</v>
      </c>
      <c r="F45" s="374" t="s">
        <v>529</v>
      </c>
      <c r="G45" s="374" t="s">
        <v>39</v>
      </c>
      <c r="H45" s="375"/>
      <c r="I45" s="375"/>
      <c r="J45" s="375">
        <v>1</v>
      </c>
      <c r="K45" s="375">
        <v>6</v>
      </c>
      <c r="L45" s="376">
        <v>3</v>
      </c>
      <c r="M45" s="376">
        <v>15</v>
      </c>
      <c r="N45" s="376">
        <v>4</v>
      </c>
      <c r="O45" s="376">
        <v>4</v>
      </c>
      <c r="P45" s="378">
        <v>4</v>
      </c>
      <c r="Q45" s="378">
        <v>4</v>
      </c>
      <c r="R45" s="378"/>
      <c r="S45" s="378"/>
      <c r="T45" s="378"/>
      <c r="U45" s="378"/>
      <c r="V45" s="533"/>
      <c r="W45" s="378"/>
      <c r="X45" s="378"/>
      <c r="Y45" s="378">
        <f>IF(NFI_Expiration=1,IF($A45&lt;VLOOKUP(H$5,NFI,5,0),1,0)*Table_NFI[[#This Row],[Hygiene Kit]],Table_NFI[Hygiene Kit])</f>
        <v>0</v>
      </c>
      <c r="Z45" s="378">
        <f>IF(NFI_Expiration=1,IF($A45&lt;VLOOKUP(I$5,NFI,5,0),1,0)*Table_NFI[[#This Row],[NFI Core Kit]],Table_NFI[NFI Core Kit])</f>
        <v>0</v>
      </c>
      <c r="AA45" s="378">
        <f>IF(NFI_Expiration=1,IF($A45&lt;VLOOKUP(J$5,NFI,5,0),1,0)*Table_NFI[[#This Row],[Sanitary Kit]],Table_NFI[Sanitary Kit])</f>
        <v>0</v>
      </c>
      <c r="AB45" s="378">
        <f>IF(NFI_Expiration=1,IF($A45&lt;VLOOKUP(K$5,NFI,5,0),1,0)*Table_NFI[[#This Row],[Mosquito net]],Table_NFI[Mosquito net])</f>
        <v>0</v>
      </c>
      <c r="AC45" s="378">
        <f>IF(NFI_Expiration=1,IF($A45&lt;VLOOKUP(L$5,NFI,5,0),1,0)*Table_NFI[[#This Row],[Tarpaulin]],Table_NFI[[#This Row],[Tarpaulin]])</f>
        <v>0</v>
      </c>
      <c r="AD45" s="378">
        <f>IF(NFI_Expiration=1,IF($A45&lt;VLOOKUP(M$5,NFI,5,0),1,0)*Table_NFI[[#This Row],[Blanket]],Table_NFI[[#This Row],[Blanket]])</f>
        <v>0</v>
      </c>
      <c r="AE45" s="378">
        <f>IF(NFI_Expiration=1,IF($A45&lt;VLOOKUP(N$5,NFI,5,0),1,0)*Table_NFI[[#This Row],[Kitchen Set]],Table_NFI[Kitchen Set])</f>
        <v>0</v>
      </c>
      <c r="AF45" s="378">
        <f>IF(NFI_Expiration=1,IF($A45&lt;VLOOKUP(O$5,NFI,5,0),1,0)*Table_NFI[[#This Row],[Clothes Kit]],Table_NFI[Clothes Kit])</f>
        <v>0</v>
      </c>
      <c r="AG45" s="378">
        <f>IF(NFI_Expiration=1,IF($A45&lt;VLOOKUP(P$5,NFI,5,0),1,0)*Table_NFI[[#This Row],[Plastic Bucket]],Table_NFI[Plastic Bucket])</f>
        <v>0</v>
      </c>
      <c r="AH45" s="378">
        <f>IF(NFI_Expiration=1,IF($A45&lt;VLOOKUP(Q$5,NFI,5,0),1,0)*Table_NFI[[#This Row],[Plastic Mat]],Table_NFI[Plastic Mat])*IF(Table_NFI[[#This Row],[Distribution Date]]&gt;"2014-04-01",1,2.5)</f>
        <v>0</v>
      </c>
      <c r="AI45" s="378">
        <f>IF(NFI_Expiration=1,IF($A45&lt;VLOOKUP(R$5,NFI,5,0),1,0)*Table_NFI[[#This Row],[Winter Clothes Adult]],Table_NFI[Winter Clothes Adult])</f>
        <v>0</v>
      </c>
      <c r="AJ45" s="378">
        <f>IF(NFI_Expiration=1,IF($A45&lt;VLOOKUP(S$5,NFI,5,0),1,0)*Table_NFI[[#This Row],[Winter Clothes Children]],Table_NFI[Winter Clothes Children])</f>
        <v>0</v>
      </c>
      <c r="AK45" s="378">
        <f>IF(NFI_Expiration=1,IF($A45&lt;VLOOKUP(T$5,NFI,5,0),1,0)*Table_NFI[[#This Row],[Winter Items Other]],Table_NFI[Winter Items Other])</f>
        <v>0</v>
      </c>
      <c r="AL45" s="378">
        <f>IF(NFI_Expiration=1,IF($A45&lt;VLOOKUP(M$5,NFI,5,0),1,0)*Table_NFI[[#This Row],[Winter Blanket]],Table_NFI[[#This Row],[Winter Blanket]])</f>
        <v>0</v>
      </c>
      <c r="AM45" s="378">
        <f>IF(Table_NFI[[#This Row],[Winter Clothes Adult]]+Table_NFI[[#This Row],[Winter Clothes Children]]+Table_NFI[[#This Row],[Winter Items Other]]+Table_NFI[[#This Row],[Winter Blanket]]&gt;0,1,0)</f>
        <v>0</v>
      </c>
      <c r="AN45" s="418">
        <f>IF(NFI_Expiration=1,IF($A45&lt;VLOOKUP(V$5,NFI,5,0),1,0)*Table_NFI[[#This Row],[Jerry Can]],Table_NFI[Jerry Can])</f>
        <v>0</v>
      </c>
      <c r="AO45" s="579" t="str">
        <f>IFERROR(VLOOKUP(Table_NFI[[#This Row],[Camp Name]],CL,2,0),"")</f>
        <v>MMR001CMP173</v>
      </c>
      <c r="AP45" s="574">
        <f ca="1">IF(Table_NFI[[#This Row],[Pcode]]="","",IF(OFFSET(CampList[Opening Date],MATCH(Table_NFI[[#This Row],[Pcode]],CampList[CP_Pcode],0)-1,0,1,1)&gt;=NFI_Monitor_Date,1,0))</f>
        <v>0</v>
      </c>
      <c r="AQ45" s="579" t="str">
        <f>IFERROR(VLOOKUP(Table_NFI[[#This Row],[Camp Name]],CL,3,0),"")</f>
        <v>Closed</v>
      </c>
      <c r="AR45" s="378" t="str">
        <f ca="1">IF(Table_NFI[[#This Row],[Pcode]]="","",OFFSET(CampList[Priority],MATCH(Table_NFI[[#This Row],[Pcode]],CampList[CP_Pcode],0)-1,0,1,1))</f>
        <v/>
      </c>
      <c r="AS45" s="377" t="str">
        <f>IFERROR(Table_NFI[[#This Row],[Kitchen Set]]/VLOOKUP(Table_NFI[[#This Row],[Camp Name]],CL,4,0),"")</f>
        <v/>
      </c>
      <c r="AT45" s="572" t="s">
        <v>1095</v>
      </c>
      <c r="AU45" s="575"/>
    </row>
    <row r="46" spans="1:47" s="576" customFormat="1" x14ac:dyDescent="0.25">
      <c r="A46" s="381">
        <f t="shared" si="0"/>
        <v>39.93333333333333</v>
      </c>
      <c r="B46" s="571">
        <v>41324</v>
      </c>
      <c r="C46" s="572" t="s">
        <v>454</v>
      </c>
      <c r="D46" s="572" t="s">
        <v>454</v>
      </c>
      <c r="E46" s="572" t="s">
        <v>380</v>
      </c>
      <c r="F46" s="374" t="s">
        <v>529</v>
      </c>
      <c r="G46" s="374" t="s">
        <v>39</v>
      </c>
      <c r="H46" s="375"/>
      <c r="I46" s="375"/>
      <c r="J46" s="375">
        <v>92</v>
      </c>
      <c r="K46" s="375">
        <v>130</v>
      </c>
      <c r="L46" s="376">
        <v>67</v>
      </c>
      <c r="M46" s="376">
        <v>130</v>
      </c>
      <c r="N46" s="376">
        <v>67</v>
      </c>
      <c r="O46" s="376">
        <v>67</v>
      </c>
      <c r="P46" s="378">
        <v>67</v>
      </c>
      <c r="Q46" s="378">
        <v>67</v>
      </c>
      <c r="R46" s="378"/>
      <c r="S46" s="378"/>
      <c r="T46" s="378"/>
      <c r="U46" s="378"/>
      <c r="V46" s="533"/>
      <c r="W46" s="378"/>
      <c r="X46" s="378"/>
      <c r="Y46" s="378">
        <f>IF(NFI_Expiration=1,IF($A46&lt;VLOOKUP(H$5,NFI,5,0),1,0)*Table_NFI[[#This Row],[Hygiene Kit]],Table_NFI[Hygiene Kit])</f>
        <v>0</v>
      </c>
      <c r="Z46" s="378">
        <f>IF(NFI_Expiration=1,IF($A46&lt;VLOOKUP(I$5,NFI,5,0),1,0)*Table_NFI[[#This Row],[NFI Core Kit]],Table_NFI[NFI Core Kit])</f>
        <v>0</v>
      </c>
      <c r="AA46" s="378">
        <f>IF(NFI_Expiration=1,IF($A46&lt;VLOOKUP(J$5,NFI,5,0),1,0)*Table_NFI[[#This Row],[Sanitary Kit]],Table_NFI[Sanitary Kit])</f>
        <v>0</v>
      </c>
      <c r="AB46" s="378">
        <f>IF(NFI_Expiration=1,IF($A46&lt;VLOOKUP(K$5,NFI,5,0),1,0)*Table_NFI[[#This Row],[Mosquito net]],Table_NFI[Mosquito net])</f>
        <v>0</v>
      </c>
      <c r="AC46" s="378">
        <f>IF(NFI_Expiration=1,IF($A46&lt;VLOOKUP(L$5,NFI,5,0),1,0)*Table_NFI[[#This Row],[Tarpaulin]],Table_NFI[[#This Row],[Tarpaulin]])</f>
        <v>0</v>
      </c>
      <c r="AD46" s="378">
        <f>IF(NFI_Expiration=1,IF($A46&lt;VLOOKUP(M$5,NFI,5,0),1,0)*Table_NFI[[#This Row],[Blanket]],Table_NFI[[#This Row],[Blanket]])</f>
        <v>0</v>
      </c>
      <c r="AE46" s="378">
        <f>IF(NFI_Expiration=1,IF($A46&lt;VLOOKUP(N$5,NFI,5,0),1,0)*Table_NFI[[#This Row],[Kitchen Set]],Table_NFI[Kitchen Set])</f>
        <v>0</v>
      </c>
      <c r="AF46" s="378">
        <f>IF(NFI_Expiration=1,IF($A46&lt;VLOOKUP(O$5,NFI,5,0),1,0)*Table_NFI[[#This Row],[Clothes Kit]],Table_NFI[Clothes Kit])</f>
        <v>0</v>
      </c>
      <c r="AG46" s="378">
        <f>IF(NFI_Expiration=1,IF($A46&lt;VLOOKUP(P$5,NFI,5,0),1,0)*Table_NFI[[#This Row],[Plastic Bucket]],Table_NFI[Plastic Bucket])</f>
        <v>0</v>
      </c>
      <c r="AH46" s="378">
        <f>IF(NFI_Expiration=1,IF($A46&lt;VLOOKUP(Q$5,NFI,5,0),1,0)*Table_NFI[[#This Row],[Plastic Mat]],Table_NFI[Plastic Mat])*IF(Table_NFI[[#This Row],[Distribution Date]]&gt;"2014-04-01",1,2.5)</f>
        <v>0</v>
      </c>
      <c r="AI46" s="378">
        <f>IF(NFI_Expiration=1,IF($A46&lt;VLOOKUP(R$5,NFI,5,0),1,0)*Table_NFI[[#This Row],[Winter Clothes Adult]],Table_NFI[Winter Clothes Adult])</f>
        <v>0</v>
      </c>
      <c r="AJ46" s="378">
        <f>IF(NFI_Expiration=1,IF($A46&lt;VLOOKUP(S$5,NFI,5,0),1,0)*Table_NFI[[#This Row],[Winter Clothes Children]],Table_NFI[Winter Clothes Children])</f>
        <v>0</v>
      </c>
      <c r="AK46" s="378">
        <f>IF(NFI_Expiration=1,IF($A46&lt;VLOOKUP(T$5,NFI,5,0),1,0)*Table_NFI[[#This Row],[Winter Items Other]],Table_NFI[Winter Items Other])</f>
        <v>0</v>
      </c>
      <c r="AL46" s="378">
        <f>IF(NFI_Expiration=1,IF($A46&lt;VLOOKUP(M$5,NFI,5,0),1,0)*Table_NFI[[#This Row],[Winter Blanket]],Table_NFI[[#This Row],[Winter Blanket]])</f>
        <v>0</v>
      </c>
      <c r="AM46" s="378">
        <f>IF(Table_NFI[[#This Row],[Winter Clothes Adult]]+Table_NFI[[#This Row],[Winter Clothes Children]]+Table_NFI[[#This Row],[Winter Items Other]]+Table_NFI[[#This Row],[Winter Blanket]]&gt;0,1,0)</f>
        <v>0</v>
      </c>
      <c r="AN46" s="418">
        <f>IF(NFI_Expiration=1,IF($A46&lt;VLOOKUP(V$5,NFI,5,0),1,0)*Table_NFI[[#This Row],[Jerry Can]],Table_NFI[Jerry Can])</f>
        <v>0</v>
      </c>
      <c r="AO46" s="579" t="str">
        <f>IFERROR(VLOOKUP(Table_NFI[[#This Row],[Camp Name]],CL,2,0),"")</f>
        <v>MMR001CMP173</v>
      </c>
      <c r="AP46" s="574">
        <f ca="1">IF(Table_NFI[[#This Row],[Pcode]]="","",IF(OFFSET(CampList[Opening Date],MATCH(Table_NFI[[#This Row],[Pcode]],CampList[CP_Pcode],0)-1,0,1,1)&gt;=NFI_Monitor_Date,1,0))</f>
        <v>0</v>
      </c>
      <c r="AQ46" s="579" t="str">
        <f>IFERROR(VLOOKUP(Table_NFI[[#This Row],[Camp Name]],CL,3,0),"")</f>
        <v>Closed</v>
      </c>
      <c r="AR46" s="378" t="str">
        <f ca="1">IF(Table_NFI[[#This Row],[Pcode]]="","",OFFSET(CampList[Priority],MATCH(Table_NFI[[#This Row],[Pcode]],CampList[CP_Pcode],0)-1,0,1,1))</f>
        <v/>
      </c>
      <c r="AS46" s="377" t="str">
        <f>IFERROR(Table_NFI[[#This Row],[Kitchen Set]]/VLOOKUP(Table_NFI[[#This Row],[Camp Name]],CL,4,0),"")</f>
        <v/>
      </c>
      <c r="AT46" s="572" t="s">
        <v>1095</v>
      </c>
      <c r="AU46" s="575"/>
    </row>
    <row r="47" spans="1:47" s="576" customFormat="1" ht="15" customHeight="1" x14ac:dyDescent="0.25">
      <c r="A47" s="381">
        <f t="shared" si="0"/>
        <v>19.333333333333332</v>
      </c>
      <c r="B47" s="571">
        <v>41942</v>
      </c>
      <c r="C47" s="577" t="s">
        <v>454</v>
      </c>
      <c r="D47" s="577"/>
      <c r="E47" s="577" t="s">
        <v>380</v>
      </c>
      <c r="F47" s="577" t="s">
        <v>5</v>
      </c>
      <c r="G47" s="577" t="s">
        <v>514</v>
      </c>
      <c r="H47" s="376"/>
      <c r="I47" s="376"/>
      <c r="J47" s="376"/>
      <c r="K47" s="376"/>
      <c r="L47" s="376"/>
      <c r="M47" s="376"/>
      <c r="N47" s="376"/>
      <c r="O47" s="376"/>
      <c r="P47" s="378"/>
      <c r="Q47" s="378"/>
      <c r="R47" s="378"/>
      <c r="S47" s="378"/>
      <c r="T47" s="378"/>
      <c r="U47" s="378"/>
      <c r="V47" s="533"/>
      <c r="W47" s="378"/>
      <c r="X47" s="378"/>
      <c r="Y47" s="378">
        <f>IF(NFI_Expiration=1,IF($A47&lt;VLOOKUP(H$5,NFI,5,0),1,0)*Table_NFI[[#This Row],[Hygiene Kit]],Table_NFI[Hygiene Kit])</f>
        <v>0</v>
      </c>
      <c r="Z47" s="378">
        <f>IF(NFI_Expiration=1,IF($A47&lt;VLOOKUP(I$5,NFI,5,0),1,0)*Table_NFI[[#This Row],[NFI Core Kit]],Table_NFI[NFI Core Kit])</f>
        <v>0</v>
      </c>
      <c r="AA47" s="378">
        <f>IF(NFI_Expiration=1,IF($A47&lt;VLOOKUP(J$5,NFI,5,0),1,0)*Table_NFI[[#This Row],[Sanitary Kit]],Table_NFI[Sanitary Kit])</f>
        <v>0</v>
      </c>
      <c r="AB47" s="378">
        <f>IF(NFI_Expiration=1,IF($A47&lt;VLOOKUP(K$5,NFI,5,0),1,0)*Table_NFI[[#This Row],[Mosquito net]],Table_NFI[Mosquito net])</f>
        <v>0</v>
      </c>
      <c r="AC47" s="378">
        <f>IF(NFI_Expiration=1,IF($A47&lt;VLOOKUP(L$5,NFI,5,0),1,0)*Table_NFI[[#This Row],[Tarpaulin]],Table_NFI[[#This Row],[Tarpaulin]])</f>
        <v>0</v>
      </c>
      <c r="AD47" s="378">
        <f>IF(NFI_Expiration=1,IF($A47&lt;VLOOKUP(M$5,NFI,5,0),1,0)*Table_NFI[[#This Row],[Blanket]],Table_NFI[[#This Row],[Blanket]])</f>
        <v>0</v>
      </c>
      <c r="AE47" s="378">
        <f>IF(NFI_Expiration=1,IF($A47&lt;VLOOKUP(N$5,NFI,5,0),1,0)*Table_NFI[[#This Row],[Kitchen Set]],Table_NFI[Kitchen Set])</f>
        <v>0</v>
      </c>
      <c r="AF47" s="378">
        <f>IF(NFI_Expiration=1,IF($A47&lt;VLOOKUP(O$5,NFI,5,0),1,0)*Table_NFI[[#This Row],[Clothes Kit]],Table_NFI[Clothes Kit])</f>
        <v>0</v>
      </c>
      <c r="AG47" s="378">
        <f>IF(NFI_Expiration=1,IF($A47&lt;VLOOKUP(P$5,NFI,5,0),1,0)*Table_NFI[[#This Row],[Plastic Bucket]],Table_NFI[Plastic Bucket])</f>
        <v>0</v>
      </c>
      <c r="AH47" s="378">
        <f>IF(NFI_Expiration=1,IF($A47&lt;VLOOKUP(Q$5,NFI,5,0),1,0)*Table_NFI[[#This Row],[Plastic Mat]],Table_NFI[Plastic Mat])*IF(Table_NFI[[#This Row],[Distribution Date]]&gt;"2014-04-01",1,2.5)</f>
        <v>0</v>
      </c>
      <c r="AI47" s="378">
        <f>IF(NFI_Expiration=1,IF($A47&lt;VLOOKUP(R$5,NFI,5,0),1,0)*Table_NFI[[#This Row],[Winter Clothes Adult]],Table_NFI[Winter Clothes Adult])</f>
        <v>0</v>
      </c>
      <c r="AJ47" s="378">
        <f>IF(NFI_Expiration=1,IF($A47&lt;VLOOKUP(S$5,NFI,5,0),1,0)*Table_NFI[[#This Row],[Winter Clothes Children]],Table_NFI[Winter Clothes Children])</f>
        <v>0</v>
      </c>
      <c r="AK47" s="378">
        <f>IF(NFI_Expiration=1,IF($A47&lt;VLOOKUP(T$5,NFI,5,0),1,0)*Table_NFI[[#This Row],[Winter Items Other]],Table_NFI[Winter Items Other])</f>
        <v>0</v>
      </c>
      <c r="AL47" s="378">
        <f>IF(NFI_Expiration=1,IF($A47&lt;VLOOKUP(M$5,NFI,5,0),1,0)*Table_NFI[[#This Row],[Winter Blanket]],Table_NFI[[#This Row],[Winter Blanket]])</f>
        <v>0</v>
      </c>
      <c r="AM47" s="378">
        <f>IF(Table_NFI[[#This Row],[Winter Clothes Adult]]+Table_NFI[[#This Row],[Winter Clothes Children]]+Table_NFI[[#This Row],[Winter Items Other]]+Table_NFI[[#This Row],[Winter Blanket]]&gt;0,1,0)</f>
        <v>0</v>
      </c>
      <c r="AN47" s="418">
        <f>IF(NFI_Expiration=1,IF($A47&lt;VLOOKUP(V$5,NFI,5,0),1,0)*Table_NFI[[#This Row],[Jerry Can]],Table_NFI[Jerry Can])</f>
        <v>0</v>
      </c>
      <c r="AO47" s="579" t="str">
        <f>IFERROR(VLOOKUP(Table_NFI[[#This Row],[Camp Name]],CL,2,0),"")</f>
        <v>MMR001CMP194</v>
      </c>
      <c r="AP47" s="574">
        <f ca="1">IF(Table_NFI[[#This Row],[Pcode]]="","",IF(OFFSET(CampList[Opening Date],MATCH(Table_NFI[[#This Row],[Pcode]],CampList[CP_Pcode],0)-1,0,1,1)&gt;=NFI_Monitor_Date,1,0))</f>
        <v>0</v>
      </c>
      <c r="AQ47" s="579" t="str">
        <f>IFERROR(VLOOKUP(Table_NFI[[#This Row],[Camp Name]],CL,3,0),"")</f>
        <v>Open</v>
      </c>
      <c r="AR47" s="378" t="str">
        <f ca="1">IF(Table_NFI[[#This Row],[Pcode]]="","",OFFSET(CampList[Priority],MATCH(Table_NFI[[#This Row],[Pcode]],CampList[CP_Pcode],0)-1,0,1,1))</f>
        <v>P4</v>
      </c>
      <c r="AS47" s="377">
        <f>IFERROR(Table_NFI[[#This Row],[Kitchen Set]]/VLOOKUP(Table_NFI[[#This Row],[Camp Name]],CL,4,0),"")</f>
        <v>0</v>
      </c>
      <c r="AT47" s="577"/>
      <c r="AU47" s="580"/>
    </row>
    <row r="48" spans="1:47" s="576" customFormat="1" x14ac:dyDescent="0.25">
      <c r="A48" s="381">
        <f t="shared" si="0"/>
        <v>30.333333333333332</v>
      </c>
      <c r="B48" s="571">
        <v>41612</v>
      </c>
      <c r="C48" s="572" t="s">
        <v>454</v>
      </c>
      <c r="D48" s="573" t="s">
        <v>454</v>
      </c>
      <c r="E48" s="572" t="s">
        <v>380</v>
      </c>
      <c r="F48" s="374" t="s">
        <v>5</v>
      </c>
      <c r="G48" s="374" t="s">
        <v>514</v>
      </c>
      <c r="H48" s="375"/>
      <c r="I48" s="375"/>
      <c r="J48" s="375"/>
      <c r="K48" s="375"/>
      <c r="L48" s="376"/>
      <c r="M48" s="376">
        <v>10</v>
      </c>
      <c r="N48" s="376">
        <v>5</v>
      </c>
      <c r="O48" s="376">
        <v>5</v>
      </c>
      <c r="P48" s="378"/>
      <c r="Q48" s="378"/>
      <c r="R48" s="378"/>
      <c r="S48" s="378"/>
      <c r="T48" s="378"/>
      <c r="U48" s="378"/>
      <c r="V48" s="533"/>
      <c r="W48" s="378"/>
      <c r="X48" s="378"/>
      <c r="Y48" s="378">
        <f>IF(NFI_Expiration=1,IF($A48&lt;VLOOKUP(H$5,NFI,5,0),1,0)*Table_NFI[[#This Row],[Hygiene Kit]],Table_NFI[Hygiene Kit])</f>
        <v>0</v>
      </c>
      <c r="Z48" s="378">
        <f>IF(NFI_Expiration=1,IF($A48&lt;VLOOKUP(I$5,NFI,5,0),1,0)*Table_NFI[[#This Row],[NFI Core Kit]],Table_NFI[NFI Core Kit])</f>
        <v>0</v>
      </c>
      <c r="AA48" s="378">
        <f>IF(NFI_Expiration=1,IF($A48&lt;VLOOKUP(J$5,NFI,5,0),1,0)*Table_NFI[[#This Row],[Sanitary Kit]],Table_NFI[Sanitary Kit])</f>
        <v>0</v>
      </c>
      <c r="AB48" s="378">
        <f>IF(NFI_Expiration=1,IF($A48&lt;VLOOKUP(K$5,NFI,5,0),1,0)*Table_NFI[[#This Row],[Mosquito net]],Table_NFI[Mosquito net])</f>
        <v>0</v>
      </c>
      <c r="AC48" s="378">
        <f>IF(NFI_Expiration=1,IF($A48&lt;VLOOKUP(L$5,NFI,5,0),1,0)*Table_NFI[[#This Row],[Tarpaulin]],Table_NFI[[#This Row],[Tarpaulin]])</f>
        <v>0</v>
      </c>
      <c r="AD48" s="378">
        <f>IF(NFI_Expiration=1,IF($A48&lt;VLOOKUP(M$5,NFI,5,0),1,0)*Table_NFI[[#This Row],[Blanket]],Table_NFI[[#This Row],[Blanket]])</f>
        <v>0</v>
      </c>
      <c r="AE48" s="378">
        <f>IF(NFI_Expiration=1,IF($A48&lt;VLOOKUP(N$5,NFI,5,0),1,0)*Table_NFI[[#This Row],[Kitchen Set]],Table_NFI[Kitchen Set])</f>
        <v>0</v>
      </c>
      <c r="AF48" s="378">
        <f>IF(NFI_Expiration=1,IF($A48&lt;VLOOKUP(O$5,NFI,5,0),1,0)*Table_NFI[[#This Row],[Clothes Kit]],Table_NFI[Clothes Kit])</f>
        <v>0</v>
      </c>
      <c r="AG48" s="378">
        <f>IF(NFI_Expiration=1,IF($A48&lt;VLOOKUP(P$5,NFI,5,0),1,0)*Table_NFI[[#This Row],[Plastic Bucket]],Table_NFI[Plastic Bucket])</f>
        <v>0</v>
      </c>
      <c r="AH48" s="378">
        <f>IF(NFI_Expiration=1,IF($A48&lt;VLOOKUP(Q$5,NFI,5,0),1,0)*Table_NFI[[#This Row],[Plastic Mat]],Table_NFI[Plastic Mat])*IF(Table_NFI[[#This Row],[Distribution Date]]&gt;"2014-04-01",1,2.5)</f>
        <v>0</v>
      </c>
      <c r="AI48" s="378">
        <f>IF(NFI_Expiration=1,IF($A48&lt;VLOOKUP(R$5,NFI,5,0),1,0)*Table_NFI[[#This Row],[Winter Clothes Adult]],Table_NFI[Winter Clothes Adult])</f>
        <v>0</v>
      </c>
      <c r="AJ48" s="378">
        <f>IF(NFI_Expiration=1,IF($A48&lt;VLOOKUP(S$5,NFI,5,0),1,0)*Table_NFI[[#This Row],[Winter Clothes Children]],Table_NFI[Winter Clothes Children])</f>
        <v>0</v>
      </c>
      <c r="AK48" s="378">
        <f>IF(NFI_Expiration=1,IF($A48&lt;VLOOKUP(T$5,NFI,5,0),1,0)*Table_NFI[[#This Row],[Winter Items Other]],Table_NFI[Winter Items Other])</f>
        <v>0</v>
      </c>
      <c r="AL48" s="378">
        <f>IF(NFI_Expiration=1,IF($A48&lt;VLOOKUP(M$5,NFI,5,0),1,0)*Table_NFI[[#This Row],[Winter Blanket]],Table_NFI[[#This Row],[Winter Blanket]])</f>
        <v>0</v>
      </c>
      <c r="AM48" s="378">
        <f>IF(Table_NFI[[#This Row],[Winter Clothes Adult]]+Table_NFI[[#This Row],[Winter Clothes Children]]+Table_NFI[[#This Row],[Winter Items Other]]+Table_NFI[[#This Row],[Winter Blanket]]&gt;0,1,0)</f>
        <v>0</v>
      </c>
      <c r="AN48" s="418">
        <f>IF(NFI_Expiration=1,IF($A48&lt;VLOOKUP(V$5,NFI,5,0),1,0)*Table_NFI[[#This Row],[Jerry Can]],Table_NFI[Jerry Can])</f>
        <v>0</v>
      </c>
      <c r="AO48" s="579" t="str">
        <f>IFERROR(VLOOKUP(Table_NFI[[#This Row],[Camp Name]],CL,2,0),"")</f>
        <v>MMR001CMP194</v>
      </c>
      <c r="AP48" s="574">
        <f ca="1">IF(Table_NFI[[#This Row],[Pcode]]="","",IF(OFFSET(CampList[Opening Date],MATCH(Table_NFI[[#This Row],[Pcode]],CampList[CP_Pcode],0)-1,0,1,1)&gt;=NFI_Monitor_Date,1,0))</f>
        <v>0</v>
      </c>
      <c r="AQ48" s="579" t="str">
        <f>IFERROR(VLOOKUP(Table_NFI[[#This Row],[Camp Name]],CL,3,0),"")</f>
        <v>Open</v>
      </c>
      <c r="AR48" s="378" t="str">
        <f ca="1">IF(Table_NFI[[#This Row],[Pcode]]="","",OFFSET(CampList[Priority],MATCH(Table_NFI[[#This Row],[Pcode]],CampList[CP_Pcode],0)-1,0,1,1))</f>
        <v>P4</v>
      </c>
      <c r="AS48" s="377">
        <f>IFERROR(Table_NFI[[#This Row],[Kitchen Set]]/VLOOKUP(Table_NFI[[#This Row],[Camp Name]],CL,4,0),"")</f>
        <v>0.41666666666666669</v>
      </c>
      <c r="AT48" s="572" t="s">
        <v>1095</v>
      </c>
      <c r="AU48" s="575"/>
    </row>
    <row r="49" spans="1:47" s="576" customFormat="1" x14ac:dyDescent="0.25">
      <c r="A49" s="381">
        <f t="shared" si="0"/>
        <v>30.466666666666665</v>
      </c>
      <c r="B49" s="571">
        <v>41608</v>
      </c>
      <c r="C49" s="572" t="s">
        <v>908</v>
      </c>
      <c r="D49" s="572"/>
      <c r="E49" s="572" t="s">
        <v>380</v>
      </c>
      <c r="F49" s="374" t="s">
        <v>5</v>
      </c>
      <c r="G49" s="374" t="s">
        <v>514</v>
      </c>
      <c r="H49" s="375"/>
      <c r="I49" s="375"/>
      <c r="J49" s="375"/>
      <c r="K49" s="375"/>
      <c r="L49" s="376"/>
      <c r="M49" s="376"/>
      <c r="N49" s="376"/>
      <c r="O49" s="376"/>
      <c r="P49" s="378"/>
      <c r="Q49" s="378"/>
      <c r="R49" s="378"/>
      <c r="S49" s="378"/>
      <c r="T49" s="378"/>
      <c r="U49" s="378"/>
      <c r="V49" s="533"/>
      <c r="W49" s="378"/>
      <c r="X49" s="378"/>
      <c r="Y49" s="378">
        <f>IF(NFI_Expiration=1,IF($A49&lt;VLOOKUP(H$5,NFI,5,0),1,0)*Table_NFI[[#This Row],[Hygiene Kit]],Table_NFI[Hygiene Kit])</f>
        <v>0</v>
      </c>
      <c r="Z49" s="378">
        <f>IF(NFI_Expiration=1,IF($A49&lt;VLOOKUP(I$5,NFI,5,0),1,0)*Table_NFI[[#This Row],[NFI Core Kit]],Table_NFI[NFI Core Kit])</f>
        <v>0</v>
      </c>
      <c r="AA49" s="378">
        <f>IF(NFI_Expiration=1,IF($A49&lt;VLOOKUP(J$5,NFI,5,0),1,0)*Table_NFI[[#This Row],[Sanitary Kit]],Table_NFI[Sanitary Kit])</f>
        <v>0</v>
      </c>
      <c r="AB49" s="378">
        <f>IF(NFI_Expiration=1,IF($A49&lt;VLOOKUP(K$5,NFI,5,0),1,0)*Table_NFI[[#This Row],[Mosquito net]],Table_NFI[Mosquito net])</f>
        <v>0</v>
      </c>
      <c r="AC49" s="378">
        <f>IF(NFI_Expiration=1,IF($A49&lt;VLOOKUP(L$5,NFI,5,0),1,0)*Table_NFI[[#This Row],[Tarpaulin]],Table_NFI[[#This Row],[Tarpaulin]])</f>
        <v>0</v>
      </c>
      <c r="AD49" s="378">
        <f>IF(NFI_Expiration=1,IF($A49&lt;VLOOKUP(M$5,NFI,5,0),1,0)*Table_NFI[[#This Row],[Blanket]],Table_NFI[[#This Row],[Blanket]])</f>
        <v>0</v>
      </c>
      <c r="AE49" s="378">
        <f>IF(NFI_Expiration=1,IF($A49&lt;VLOOKUP(N$5,NFI,5,0),1,0)*Table_NFI[[#This Row],[Kitchen Set]],Table_NFI[Kitchen Set])</f>
        <v>0</v>
      </c>
      <c r="AF49" s="378">
        <f>IF(NFI_Expiration=1,IF($A49&lt;VLOOKUP(O$5,NFI,5,0),1,0)*Table_NFI[[#This Row],[Clothes Kit]],Table_NFI[Clothes Kit])</f>
        <v>0</v>
      </c>
      <c r="AG49" s="378">
        <f>IF(NFI_Expiration=1,IF($A49&lt;VLOOKUP(P$5,NFI,5,0),1,0)*Table_NFI[[#This Row],[Plastic Bucket]],Table_NFI[Plastic Bucket])</f>
        <v>0</v>
      </c>
      <c r="AH49" s="378">
        <f>IF(NFI_Expiration=1,IF($A49&lt;VLOOKUP(Q$5,NFI,5,0),1,0)*Table_NFI[[#This Row],[Plastic Mat]],Table_NFI[Plastic Mat])*IF(Table_NFI[[#This Row],[Distribution Date]]&gt;"2014-04-01",1,2.5)</f>
        <v>0</v>
      </c>
      <c r="AI49" s="378">
        <f>IF(NFI_Expiration=1,IF($A49&lt;VLOOKUP(R$5,NFI,5,0),1,0)*Table_NFI[[#This Row],[Winter Clothes Adult]],Table_NFI[Winter Clothes Adult])</f>
        <v>0</v>
      </c>
      <c r="AJ49" s="378">
        <f>IF(NFI_Expiration=1,IF($A49&lt;VLOOKUP(S$5,NFI,5,0),1,0)*Table_NFI[[#This Row],[Winter Clothes Children]],Table_NFI[Winter Clothes Children])</f>
        <v>0</v>
      </c>
      <c r="AK49" s="378">
        <f>IF(NFI_Expiration=1,IF($A49&lt;VLOOKUP(T$5,NFI,5,0),1,0)*Table_NFI[[#This Row],[Winter Items Other]],Table_NFI[Winter Items Other])</f>
        <v>0</v>
      </c>
      <c r="AL49" s="378">
        <f>IF(NFI_Expiration=1,IF($A49&lt;VLOOKUP(M$5,NFI,5,0),1,0)*Table_NFI[[#This Row],[Winter Blanket]],Table_NFI[[#This Row],[Winter Blanket]])</f>
        <v>0</v>
      </c>
      <c r="AM49" s="378">
        <f>IF(Table_NFI[[#This Row],[Winter Clothes Adult]]+Table_NFI[[#This Row],[Winter Clothes Children]]+Table_NFI[[#This Row],[Winter Items Other]]+Table_NFI[[#This Row],[Winter Blanket]]&gt;0,1,0)</f>
        <v>0</v>
      </c>
      <c r="AN49" s="418">
        <f>IF(NFI_Expiration=1,IF($A49&lt;VLOOKUP(V$5,NFI,5,0),1,0)*Table_NFI[[#This Row],[Jerry Can]],Table_NFI[Jerry Can])</f>
        <v>0</v>
      </c>
      <c r="AO49" s="579" t="str">
        <f>IFERROR(VLOOKUP(Table_NFI[[#This Row],[Camp Name]],CL,2,0),"")</f>
        <v>MMR001CMP194</v>
      </c>
      <c r="AP49" s="574">
        <f ca="1">IF(Table_NFI[[#This Row],[Pcode]]="","",IF(OFFSET(CampList[Opening Date],MATCH(Table_NFI[[#This Row],[Pcode]],CampList[CP_Pcode],0)-1,0,1,1)&gt;=NFI_Monitor_Date,1,0))</f>
        <v>0</v>
      </c>
      <c r="AQ49" s="579" t="s">
        <v>845</v>
      </c>
      <c r="AR49" s="378" t="str">
        <f ca="1">IF(Table_NFI[[#This Row],[Pcode]]="","",OFFSET(CampList[Priority],MATCH(Table_NFI[[#This Row],[Pcode]],CampList[CP_Pcode],0)-1,0,1,1))</f>
        <v>P4</v>
      </c>
      <c r="AS49" s="377">
        <f>IFERROR(Table_NFI[[#This Row],[Kitchen Set]]/VLOOKUP(Table_NFI[[#This Row],[Camp Name]],CL,4,0),"")</f>
        <v>0</v>
      </c>
      <c r="AT49" s="572" t="s">
        <v>1095</v>
      </c>
      <c r="AU49" s="575"/>
    </row>
    <row r="50" spans="1:47" s="576" customFormat="1" x14ac:dyDescent="0.25">
      <c r="A50" s="381">
        <f t="shared" si="0"/>
        <v>30.6</v>
      </c>
      <c r="B50" s="571">
        <v>41604</v>
      </c>
      <c r="C50" s="573" t="s">
        <v>454</v>
      </c>
      <c r="D50" s="573" t="s">
        <v>454</v>
      </c>
      <c r="E50" s="572" t="s">
        <v>380</v>
      </c>
      <c r="F50" s="572" t="s">
        <v>5</v>
      </c>
      <c r="G50" s="374" t="s">
        <v>514</v>
      </c>
      <c r="H50" s="375"/>
      <c r="I50" s="375"/>
      <c r="J50" s="375"/>
      <c r="K50" s="375">
        <v>11</v>
      </c>
      <c r="L50" s="376">
        <v>5</v>
      </c>
      <c r="M50" s="376">
        <v>11</v>
      </c>
      <c r="N50" s="376">
        <v>5</v>
      </c>
      <c r="O50" s="376">
        <v>5</v>
      </c>
      <c r="P50" s="378"/>
      <c r="Q50" s="378"/>
      <c r="R50" s="378"/>
      <c r="S50" s="378"/>
      <c r="T50" s="378"/>
      <c r="U50" s="378"/>
      <c r="V50" s="533"/>
      <c r="W50" s="378"/>
      <c r="X50" s="378"/>
      <c r="Y50" s="378">
        <f>IF(NFI_Expiration=1,IF($A50&lt;VLOOKUP(H$5,NFI,5,0),1,0)*Table_NFI[[#This Row],[Hygiene Kit]],Table_NFI[Hygiene Kit])</f>
        <v>0</v>
      </c>
      <c r="Z50" s="378">
        <f>IF(NFI_Expiration=1,IF($A50&lt;VLOOKUP(I$5,NFI,5,0),1,0)*Table_NFI[[#This Row],[NFI Core Kit]],Table_NFI[NFI Core Kit])</f>
        <v>0</v>
      </c>
      <c r="AA50" s="378">
        <f>IF(NFI_Expiration=1,IF($A50&lt;VLOOKUP(J$5,NFI,5,0),1,0)*Table_NFI[[#This Row],[Sanitary Kit]],Table_NFI[Sanitary Kit])</f>
        <v>0</v>
      </c>
      <c r="AB50" s="378">
        <f>IF(NFI_Expiration=1,IF($A50&lt;VLOOKUP(K$5,NFI,5,0),1,0)*Table_NFI[[#This Row],[Mosquito net]],Table_NFI[Mosquito net])</f>
        <v>0</v>
      </c>
      <c r="AC50" s="378">
        <f>IF(NFI_Expiration=1,IF($A50&lt;VLOOKUP(L$5,NFI,5,0),1,0)*Table_NFI[[#This Row],[Tarpaulin]],Table_NFI[[#This Row],[Tarpaulin]])</f>
        <v>0</v>
      </c>
      <c r="AD50" s="378">
        <f>IF(NFI_Expiration=1,IF($A50&lt;VLOOKUP(M$5,NFI,5,0),1,0)*Table_NFI[[#This Row],[Blanket]],Table_NFI[[#This Row],[Blanket]])</f>
        <v>0</v>
      </c>
      <c r="AE50" s="378">
        <f>IF(NFI_Expiration=1,IF($A50&lt;VLOOKUP(N$5,NFI,5,0),1,0)*Table_NFI[[#This Row],[Kitchen Set]],Table_NFI[Kitchen Set])</f>
        <v>0</v>
      </c>
      <c r="AF50" s="378">
        <f>IF(NFI_Expiration=1,IF($A50&lt;VLOOKUP(O$5,NFI,5,0),1,0)*Table_NFI[[#This Row],[Clothes Kit]],Table_NFI[Clothes Kit])</f>
        <v>0</v>
      </c>
      <c r="AG50" s="378">
        <f>IF(NFI_Expiration=1,IF($A50&lt;VLOOKUP(P$5,NFI,5,0),1,0)*Table_NFI[[#This Row],[Plastic Bucket]],Table_NFI[Plastic Bucket])</f>
        <v>0</v>
      </c>
      <c r="AH50" s="378">
        <f>IF(NFI_Expiration=1,IF($A50&lt;VLOOKUP(Q$5,NFI,5,0),1,0)*Table_NFI[[#This Row],[Plastic Mat]],Table_NFI[Plastic Mat])*IF(Table_NFI[[#This Row],[Distribution Date]]&gt;"2014-04-01",1,2.5)</f>
        <v>0</v>
      </c>
      <c r="AI50" s="378">
        <f>IF(NFI_Expiration=1,IF($A50&lt;VLOOKUP(R$5,NFI,5,0),1,0)*Table_NFI[[#This Row],[Winter Clothes Adult]],Table_NFI[Winter Clothes Adult])</f>
        <v>0</v>
      </c>
      <c r="AJ50" s="378">
        <f>IF(NFI_Expiration=1,IF($A50&lt;VLOOKUP(S$5,NFI,5,0),1,0)*Table_NFI[[#This Row],[Winter Clothes Children]],Table_NFI[Winter Clothes Children])</f>
        <v>0</v>
      </c>
      <c r="AK50" s="378">
        <f>IF(NFI_Expiration=1,IF($A50&lt;VLOOKUP(T$5,NFI,5,0),1,0)*Table_NFI[[#This Row],[Winter Items Other]],Table_NFI[Winter Items Other])</f>
        <v>0</v>
      </c>
      <c r="AL50" s="378">
        <f>IF(NFI_Expiration=1,IF($A50&lt;VLOOKUP(M$5,NFI,5,0),1,0)*Table_NFI[[#This Row],[Winter Blanket]],Table_NFI[[#This Row],[Winter Blanket]])</f>
        <v>0</v>
      </c>
      <c r="AM50" s="378">
        <f>IF(Table_NFI[[#This Row],[Winter Clothes Adult]]+Table_NFI[[#This Row],[Winter Clothes Children]]+Table_NFI[[#This Row],[Winter Items Other]]+Table_NFI[[#This Row],[Winter Blanket]]&gt;0,1,0)</f>
        <v>0</v>
      </c>
      <c r="AN50" s="418">
        <f>IF(NFI_Expiration=1,IF($A50&lt;VLOOKUP(V$5,NFI,5,0),1,0)*Table_NFI[[#This Row],[Jerry Can]],Table_NFI[Jerry Can])</f>
        <v>0</v>
      </c>
      <c r="AO50" s="579" t="str">
        <f>IFERROR(VLOOKUP(Table_NFI[[#This Row],[Camp Name]],CL,2,0),"")</f>
        <v>MMR001CMP194</v>
      </c>
      <c r="AP50" s="574">
        <f ca="1">IF(Table_NFI[[#This Row],[Pcode]]="","",IF(OFFSET(CampList[Opening Date],MATCH(Table_NFI[[#This Row],[Pcode]],CampList[CP_Pcode],0)-1,0,1,1)&gt;=NFI_Monitor_Date,1,0))</f>
        <v>0</v>
      </c>
      <c r="AQ50" s="579" t="str">
        <f>IFERROR(VLOOKUP(Table_NFI[[#This Row],[Camp Name]],CL,3,0),"")</f>
        <v>Open</v>
      </c>
      <c r="AR50" s="378" t="str">
        <f ca="1">IF(Table_NFI[[#This Row],[Pcode]]="","",OFFSET(CampList[Priority],MATCH(Table_NFI[[#This Row],[Pcode]],CampList[CP_Pcode],0)-1,0,1,1))</f>
        <v>P4</v>
      </c>
      <c r="AS50" s="377">
        <f>IFERROR(Table_NFI[[#This Row],[Kitchen Set]]/VLOOKUP(Table_NFI[[#This Row],[Camp Name]],CL,4,0),"")</f>
        <v>0.41666666666666669</v>
      </c>
      <c r="AT50" s="572" t="s">
        <v>1095</v>
      </c>
      <c r="AU50" s="575"/>
    </row>
    <row r="51" spans="1:47" s="576" customFormat="1" x14ac:dyDescent="0.25">
      <c r="A51" s="381">
        <f t="shared" si="0"/>
        <v>30.766666666666666</v>
      </c>
      <c r="B51" s="571">
        <v>41599</v>
      </c>
      <c r="C51" s="573" t="s">
        <v>454</v>
      </c>
      <c r="D51" s="573" t="s">
        <v>454</v>
      </c>
      <c r="E51" s="572" t="s">
        <v>380</v>
      </c>
      <c r="F51" s="374" t="s">
        <v>5</v>
      </c>
      <c r="G51" s="374" t="s">
        <v>514</v>
      </c>
      <c r="H51" s="375"/>
      <c r="I51" s="375"/>
      <c r="J51" s="375"/>
      <c r="K51" s="375">
        <v>34</v>
      </c>
      <c r="L51" s="376">
        <v>18</v>
      </c>
      <c r="M51" s="376">
        <v>34</v>
      </c>
      <c r="N51" s="376">
        <v>18</v>
      </c>
      <c r="O51" s="376">
        <v>18</v>
      </c>
      <c r="P51" s="378"/>
      <c r="Q51" s="378"/>
      <c r="R51" s="378"/>
      <c r="S51" s="378"/>
      <c r="T51" s="378"/>
      <c r="U51" s="378"/>
      <c r="V51" s="533"/>
      <c r="W51" s="378"/>
      <c r="X51" s="378"/>
      <c r="Y51" s="378">
        <f>IF(NFI_Expiration=1,IF($A51&lt;VLOOKUP(H$5,NFI,5,0),1,0)*Table_NFI[[#This Row],[Hygiene Kit]],Table_NFI[Hygiene Kit])</f>
        <v>0</v>
      </c>
      <c r="Z51" s="378">
        <f>IF(NFI_Expiration=1,IF($A51&lt;VLOOKUP(I$5,NFI,5,0),1,0)*Table_NFI[[#This Row],[NFI Core Kit]],Table_NFI[NFI Core Kit])</f>
        <v>0</v>
      </c>
      <c r="AA51" s="378">
        <f>IF(NFI_Expiration=1,IF($A51&lt;VLOOKUP(J$5,NFI,5,0),1,0)*Table_NFI[[#This Row],[Sanitary Kit]],Table_NFI[Sanitary Kit])</f>
        <v>0</v>
      </c>
      <c r="AB51" s="378">
        <f>IF(NFI_Expiration=1,IF($A51&lt;VLOOKUP(K$5,NFI,5,0),1,0)*Table_NFI[[#This Row],[Mosquito net]],Table_NFI[Mosquito net])</f>
        <v>0</v>
      </c>
      <c r="AC51" s="378">
        <f>IF(NFI_Expiration=1,IF($A51&lt;VLOOKUP(L$5,NFI,5,0),1,0)*Table_NFI[[#This Row],[Tarpaulin]],Table_NFI[[#This Row],[Tarpaulin]])</f>
        <v>0</v>
      </c>
      <c r="AD51" s="378">
        <f>IF(NFI_Expiration=1,IF($A51&lt;VLOOKUP(M$5,NFI,5,0),1,0)*Table_NFI[[#This Row],[Blanket]],Table_NFI[[#This Row],[Blanket]])</f>
        <v>0</v>
      </c>
      <c r="AE51" s="378">
        <f>IF(NFI_Expiration=1,IF($A51&lt;VLOOKUP(N$5,NFI,5,0),1,0)*Table_NFI[[#This Row],[Kitchen Set]],Table_NFI[Kitchen Set])</f>
        <v>0</v>
      </c>
      <c r="AF51" s="378">
        <f>IF(NFI_Expiration=1,IF($A51&lt;VLOOKUP(O$5,NFI,5,0),1,0)*Table_NFI[[#This Row],[Clothes Kit]],Table_NFI[Clothes Kit])</f>
        <v>0</v>
      </c>
      <c r="AG51" s="378">
        <f>IF(NFI_Expiration=1,IF($A51&lt;VLOOKUP(P$5,NFI,5,0),1,0)*Table_NFI[[#This Row],[Plastic Bucket]],Table_NFI[Plastic Bucket])</f>
        <v>0</v>
      </c>
      <c r="AH51" s="378">
        <f>IF(NFI_Expiration=1,IF($A51&lt;VLOOKUP(Q$5,NFI,5,0),1,0)*Table_NFI[[#This Row],[Plastic Mat]],Table_NFI[Plastic Mat])*IF(Table_NFI[[#This Row],[Distribution Date]]&gt;"2014-04-01",1,2.5)</f>
        <v>0</v>
      </c>
      <c r="AI51" s="378">
        <f>IF(NFI_Expiration=1,IF($A51&lt;VLOOKUP(R$5,NFI,5,0),1,0)*Table_NFI[[#This Row],[Winter Clothes Adult]],Table_NFI[Winter Clothes Adult])</f>
        <v>0</v>
      </c>
      <c r="AJ51" s="378">
        <f>IF(NFI_Expiration=1,IF($A51&lt;VLOOKUP(S$5,NFI,5,0),1,0)*Table_NFI[[#This Row],[Winter Clothes Children]],Table_NFI[Winter Clothes Children])</f>
        <v>0</v>
      </c>
      <c r="AK51" s="378">
        <f>IF(NFI_Expiration=1,IF($A51&lt;VLOOKUP(T$5,NFI,5,0),1,0)*Table_NFI[[#This Row],[Winter Items Other]],Table_NFI[Winter Items Other])</f>
        <v>0</v>
      </c>
      <c r="AL51" s="378">
        <f>IF(NFI_Expiration=1,IF($A51&lt;VLOOKUP(M$5,NFI,5,0),1,0)*Table_NFI[[#This Row],[Winter Blanket]],Table_NFI[[#This Row],[Winter Blanket]])</f>
        <v>0</v>
      </c>
      <c r="AM51" s="378">
        <f>IF(Table_NFI[[#This Row],[Winter Clothes Adult]]+Table_NFI[[#This Row],[Winter Clothes Children]]+Table_NFI[[#This Row],[Winter Items Other]]+Table_NFI[[#This Row],[Winter Blanket]]&gt;0,1,0)</f>
        <v>0</v>
      </c>
      <c r="AN51" s="418">
        <f>IF(NFI_Expiration=1,IF($A51&lt;VLOOKUP(V$5,NFI,5,0),1,0)*Table_NFI[[#This Row],[Jerry Can]],Table_NFI[Jerry Can])</f>
        <v>0</v>
      </c>
      <c r="AO51" s="579" t="str">
        <f>IFERROR(VLOOKUP(Table_NFI[[#This Row],[Camp Name]],CL,2,0),"")</f>
        <v>MMR001CMP194</v>
      </c>
      <c r="AP51" s="574">
        <f ca="1">IF(Table_NFI[[#This Row],[Pcode]]="","",IF(OFFSET(CampList[Opening Date],MATCH(Table_NFI[[#This Row],[Pcode]],CampList[CP_Pcode],0)-1,0,1,1)&gt;=NFI_Monitor_Date,1,0))</f>
        <v>0</v>
      </c>
      <c r="AQ51" s="579" t="str">
        <f>IFERROR(VLOOKUP(Table_NFI[[#This Row],[Camp Name]],CL,3,0),"")</f>
        <v>Open</v>
      </c>
      <c r="AR51" s="378" t="str">
        <f ca="1">IF(Table_NFI[[#This Row],[Pcode]]="","",OFFSET(CampList[Priority],MATCH(Table_NFI[[#This Row],[Pcode]],CampList[CP_Pcode],0)-1,0,1,1))</f>
        <v>P4</v>
      </c>
      <c r="AS51" s="377">
        <f>IFERROR(Table_NFI[[#This Row],[Kitchen Set]]/VLOOKUP(Table_NFI[[#This Row],[Camp Name]],CL,4,0),"")</f>
        <v>1.5</v>
      </c>
      <c r="AT51" s="572" t="s">
        <v>1095</v>
      </c>
      <c r="AU51" s="575"/>
    </row>
    <row r="52" spans="1:47" s="576" customFormat="1" ht="15" customHeight="1" x14ac:dyDescent="0.25">
      <c r="A52" s="381">
        <f t="shared" si="0"/>
        <v>31</v>
      </c>
      <c r="B52" s="571">
        <v>41592</v>
      </c>
      <c r="C52" s="572" t="s">
        <v>454</v>
      </c>
      <c r="D52" s="572" t="s">
        <v>575</v>
      </c>
      <c r="E52" s="572" t="s">
        <v>380</v>
      </c>
      <c r="F52" s="374" t="s">
        <v>5</v>
      </c>
      <c r="G52" s="374" t="s">
        <v>514</v>
      </c>
      <c r="H52" s="375"/>
      <c r="I52" s="375"/>
      <c r="J52" s="375"/>
      <c r="K52" s="375">
        <v>12</v>
      </c>
      <c r="L52" s="376">
        <v>9</v>
      </c>
      <c r="M52" s="376">
        <v>12</v>
      </c>
      <c r="N52" s="376">
        <v>9</v>
      </c>
      <c r="O52" s="376">
        <v>9</v>
      </c>
      <c r="P52" s="378"/>
      <c r="Q52" s="378"/>
      <c r="R52" s="378"/>
      <c r="S52" s="378"/>
      <c r="T52" s="378"/>
      <c r="U52" s="378"/>
      <c r="V52" s="533"/>
      <c r="W52" s="378"/>
      <c r="X52" s="378"/>
      <c r="Y52" s="378">
        <f>IF(NFI_Expiration=1,IF($A52&lt;VLOOKUP(H$5,NFI,5,0),1,0)*Table_NFI[[#This Row],[Hygiene Kit]],Table_NFI[Hygiene Kit])</f>
        <v>0</v>
      </c>
      <c r="Z52" s="378">
        <f>IF(NFI_Expiration=1,IF($A52&lt;VLOOKUP(I$5,NFI,5,0),1,0)*Table_NFI[[#This Row],[NFI Core Kit]],Table_NFI[NFI Core Kit])</f>
        <v>0</v>
      </c>
      <c r="AA52" s="378">
        <f>IF(NFI_Expiration=1,IF($A52&lt;VLOOKUP(J$5,NFI,5,0),1,0)*Table_NFI[[#This Row],[Sanitary Kit]],Table_NFI[Sanitary Kit])</f>
        <v>0</v>
      </c>
      <c r="AB52" s="378">
        <f>IF(NFI_Expiration=1,IF($A52&lt;VLOOKUP(K$5,NFI,5,0),1,0)*Table_NFI[[#This Row],[Mosquito net]],Table_NFI[Mosquito net])</f>
        <v>0</v>
      </c>
      <c r="AC52" s="378">
        <f>IF(NFI_Expiration=1,IF($A52&lt;VLOOKUP(L$5,NFI,5,0),1,0)*Table_NFI[[#This Row],[Tarpaulin]],Table_NFI[[#This Row],[Tarpaulin]])</f>
        <v>0</v>
      </c>
      <c r="AD52" s="378">
        <f>IF(NFI_Expiration=1,IF($A52&lt;VLOOKUP(M$5,NFI,5,0),1,0)*Table_NFI[[#This Row],[Blanket]],Table_NFI[[#This Row],[Blanket]])</f>
        <v>0</v>
      </c>
      <c r="AE52" s="378">
        <f>IF(NFI_Expiration=1,IF($A52&lt;VLOOKUP(N$5,NFI,5,0),1,0)*Table_NFI[[#This Row],[Kitchen Set]],Table_NFI[Kitchen Set])</f>
        <v>0</v>
      </c>
      <c r="AF52" s="378">
        <f>IF(NFI_Expiration=1,IF($A52&lt;VLOOKUP(O$5,NFI,5,0),1,0)*Table_NFI[[#This Row],[Clothes Kit]],Table_NFI[Clothes Kit])</f>
        <v>0</v>
      </c>
      <c r="AG52" s="378">
        <f>IF(NFI_Expiration=1,IF($A52&lt;VLOOKUP(P$5,NFI,5,0),1,0)*Table_NFI[[#This Row],[Plastic Bucket]],Table_NFI[Plastic Bucket])</f>
        <v>0</v>
      </c>
      <c r="AH52" s="378">
        <f>IF(NFI_Expiration=1,IF($A52&lt;VLOOKUP(Q$5,NFI,5,0),1,0)*Table_NFI[[#This Row],[Plastic Mat]],Table_NFI[Plastic Mat])*IF(Table_NFI[[#This Row],[Distribution Date]]&gt;"2014-04-01",1,2.5)</f>
        <v>0</v>
      </c>
      <c r="AI52" s="378">
        <f>IF(NFI_Expiration=1,IF($A52&lt;VLOOKUP(R$5,NFI,5,0),1,0)*Table_NFI[[#This Row],[Winter Clothes Adult]],Table_NFI[Winter Clothes Adult])</f>
        <v>0</v>
      </c>
      <c r="AJ52" s="378">
        <f>IF(NFI_Expiration=1,IF($A52&lt;VLOOKUP(S$5,NFI,5,0),1,0)*Table_NFI[[#This Row],[Winter Clothes Children]],Table_NFI[Winter Clothes Children])</f>
        <v>0</v>
      </c>
      <c r="AK52" s="378">
        <f>IF(NFI_Expiration=1,IF($A52&lt;VLOOKUP(T$5,NFI,5,0),1,0)*Table_NFI[[#This Row],[Winter Items Other]],Table_NFI[Winter Items Other])</f>
        <v>0</v>
      </c>
      <c r="AL52" s="378">
        <f>IF(NFI_Expiration=1,IF($A52&lt;VLOOKUP(M$5,NFI,5,0),1,0)*Table_NFI[[#This Row],[Winter Blanket]],Table_NFI[[#This Row],[Winter Blanket]])</f>
        <v>0</v>
      </c>
      <c r="AM52" s="378">
        <f>IF(Table_NFI[[#This Row],[Winter Clothes Adult]]+Table_NFI[[#This Row],[Winter Clothes Children]]+Table_NFI[[#This Row],[Winter Items Other]]+Table_NFI[[#This Row],[Winter Blanket]]&gt;0,1,0)</f>
        <v>0</v>
      </c>
      <c r="AN52" s="418">
        <f>IF(NFI_Expiration=1,IF($A52&lt;VLOOKUP(V$5,NFI,5,0),1,0)*Table_NFI[[#This Row],[Jerry Can]],Table_NFI[Jerry Can])</f>
        <v>0</v>
      </c>
      <c r="AO52" s="579" t="str">
        <f>IFERROR(VLOOKUP(Table_NFI[[#This Row],[Camp Name]],CL,2,0),"")</f>
        <v>MMR001CMP194</v>
      </c>
      <c r="AP52" s="574">
        <f ca="1">IF(Table_NFI[[#This Row],[Pcode]]="","",IF(OFFSET(CampList[Opening Date],MATCH(Table_NFI[[#This Row],[Pcode]],CampList[CP_Pcode],0)-1,0,1,1)&gt;=NFI_Monitor_Date,1,0))</f>
        <v>0</v>
      </c>
      <c r="AQ52" s="579" t="str">
        <f>IFERROR(VLOOKUP(Table_NFI[[#This Row],[Camp Name]],CL,3,0),"")</f>
        <v>Open</v>
      </c>
      <c r="AR52" s="378" t="str">
        <f ca="1">IF(Table_NFI[[#This Row],[Pcode]]="","",OFFSET(CampList[Priority],MATCH(Table_NFI[[#This Row],[Pcode]],CampList[CP_Pcode],0)-1,0,1,1))</f>
        <v>P4</v>
      </c>
      <c r="AS52" s="377">
        <f>IFERROR(Table_NFI[[#This Row],[Kitchen Set]]/VLOOKUP(Table_NFI[[#This Row],[Camp Name]],CL,4,0),"")</f>
        <v>0.75</v>
      </c>
      <c r="AT52" s="572" t="s">
        <v>1095</v>
      </c>
      <c r="AU52" s="575"/>
    </row>
    <row r="53" spans="1:47" s="130" customFormat="1" x14ac:dyDescent="0.25">
      <c r="A53" s="381">
        <f t="shared" si="0"/>
        <v>31.233333333333334</v>
      </c>
      <c r="B53" s="571">
        <v>41585</v>
      </c>
      <c r="C53" s="572" t="s">
        <v>908</v>
      </c>
      <c r="D53" s="572" t="s">
        <v>908</v>
      </c>
      <c r="E53" s="572" t="s">
        <v>380</v>
      </c>
      <c r="F53" s="572" t="s">
        <v>5</v>
      </c>
      <c r="G53" s="572" t="s">
        <v>514</v>
      </c>
      <c r="H53" s="375"/>
      <c r="I53" s="375"/>
      <c r="J53" s="375"/>
      <c r="K53" s="375"/>
      <c r="L53" s="376"/>
      <c r="M53" s="376"/>
      <c r="N53" s="376"/>
      <c r="O53" s="376"/>
      <c r="P53" s="378"/>
      <c r="Q53" s="378"/>
      <c r="R53" s="378">
        <v>25</v>
      </c>
      <c r="S53" s="378">
        <v>73</v>
      </c>
      <c r="T53" s="378">
        <v>196</v>
      </c>
      <c r="U53" s="378">
        <v>98</v>
      </c>
      <c r="V53" s="533"/>
      <c r="W53" s="378"/>
      <c r="X53" s="378"/>
      <c r="Y53" s="378">
        <f>IF(NFI_Expiration=1,IF($A53&lt;VLOOKUP(H$5,NFI,5,0),1,0)*Table_NFI[[#This Row],[Hygiene Kit]],Table_NFI[Hygiene Kit])</f>
        <v>0</v>
      </c>
      <c r="Z53" s="378">
        <f>IF(NFI_Expiration=1,IF($A53&lt;VLOOKUP(I$5,NFI,5,0),1,0)*Table_NFI[[#This Row],[NFI Core Kit]],Table_NFI[NFI Core Kit])</f>
        <v>0</v>
      </c>
      <c r="AA53" s="378">
        <f>IF(NFI_Expiration=1,IF($A53&lt;VLOOKUP(J$5,NFI,5,0),1,0)*Table_NFI[[#This Row],[Sanitary Kit]],Table_NFI[Sanitary Kit])</f>
        <v>0</v>
      </c>
      <c r="AB53" s="378">
        <f>IF(NFI_Expiration=1,IF($A53&lt;VLOOKUP(K$5,NFI,5,0),1,0)*Table_NFI[[#This Row],[Mosquito net]],Table_NFI[Mosquito net])</f>
        <v>0</v>
      </c>
      <c r="AC53" s="378">
        <f>IF(NFI_Expiration=1,IF($A53&lt;VLOOKUP(L$5,NFI,5,0),1,0)*Table_NFI[[#This Row],[Tarpaulin]],Table_NFI[[#This Row],[Tarpaulin]])</f>
        <v>0</v>
      </c>
      <c r="AD53" s="378">
        <f>IF(NFI_Expiration=1,IF($A53&lt;VLOOKUP(M$5,NFI,5,0),1,0)*Table_NFI[[#This Row],[Blanket]],Table_NFI[[#This Row],[Blanket]])</f>
        <v>0</v>
      </c>
      <c r="AE53" s="378">
        <f>IF(NFI_Expiration=1,IF($A53&lt;VLOOKUP(N$5,NFI,5,0),1,0)*Table_NFI[[#This Row],[Kitchen Set]],Table_NFI[Kitchen Set])</f>
        <v>0</v>
      </c>
      <c r="AF53" s="378">
        <f>IF(NFI_Expiration=1,IF($A53&lt;VLOOKUP(O$5,NFI,5,0),1,0)*Table_NFI[[#This Row],[Clothes Kit]],Table_NFI[Clothes Kit])</f>
        <v>0</v>
      </c>
      <c r="AG53" s="378">
        <f>IF(NFI_Expiration=1,IF($A53&lt;VLOOKUP(P$5,NFI,5,0),1,0)*Table_NFI[[#This Row],[Plastic Bucket]],Table_NFI[Plastic Bucket])</f>
        <v>0</v>
      </c>
      <c r="AH53" s="378">
        <f>IF(NFI_Expiration=1,IF($A53&lt;VLOOKUP(Q$5,NFI,5,0),1,0)*Table_NFI[[#This Row],[Plastic Mat]],Table_NFI[Plastic Mat])*IF(Table_NFI[[#This Row],[Distribution Date]]&gt;"2014-04-01",1,2.5)</f>
        <v>0</v>
      </c>
      <c r="AI53" s="378">
        <f>IF(NFI_Expiration=1,IF($A53&lt;VLOOKUP(R$5,NFI,5,0),1,0)*Table_NFI[[#This Row],[Winter Clothes Adult]],Table_NFI[Winter Clothes Adult])</f>
        <v>0</v>
      </c>
      <c r="AJ53" s="378">
        <f>IF(NFI_Expiration=1,IF($A53&lt;VLOOKUP(S$5,NFI,5,0),1,0)*Table_NFI[[#This Row],[Winter Clothes Children]],Table_NFI[Winter Clothes Children])</f>
        <v>0</v>
      </c>
      <c r="AK53" s="378">
        <f>IF(NFI_Expiration=1,IF($A53&lt;VLOOKUP(T$5,NFI,5,0),1,0)*Table_NFI[[#This Row],[Winter Items Other]],Table_NFI[Winter Items Other])</f>
        <v>0</v>
      </c>
      <c r="AL53" s="378">
        <f>IF(NFI_Expiration=1,IF($A53&lt;VLOOKUP(M$5,NFI,5,0),1,0)*Table_NFI[[#This Row],[Winter Blanket]],Table_NFI[[#This Row],[Winter Blanket]])</f>
        <v>0</v>
      </c>
      <c r="AM53" s="378">
        <f>IF(Table_NFI[[#This Row],[Winter Clothes Adult]]+Table_NFI[[#This Row],[Winter Clothes Children]]+Table_NFI[[#This Row],[Winter Items Other]]+Table_NFI[[#This Row],[Winter Blanket]]&gt;0,1,0)</f>
        <v>1</v>
      </c>
      <c r="AN53" s="418">
        <f>IF(NFI_Expiration=1,IF($A53&lt;VLOOKUP(V$5,NFI,5,0),1,0)*Table_NFI[[#This Row],[Jerry Can]],Table_NFI[Jerry Can])</f>
        <v>0</v>
      </c>
      <c r="AO53" s="579" t="str">
        <f>IFERROR(VLOOKUP(Table_NFI[[#This Row],[Camp Name]],CL,2,0),"")</f>
        <v>MMR001CMP194</v>
      </c>
      <c r="AP53" s="574">
        <f ca="1">IF(Table_NFI[[#This Row],[Pcode]]="","",IF(OFFSET(CampList[Opening Date],MATCH(Table_NFI[[#This Row],[Pcode]],CampList[CP_Pcode],0)-1,0,1,1)&gt;=NFI_Monitor_Date,1,0))</f>
        <v>0</v>
      </c>
      <c r="AQ53" s="579" t="s">
        <v>845</v>
      </c>
      <c r="AR53" s="378" t="str">
        <f ca="1">IF(Table_NFI[[#This Row],[Pcode]]="","",OFFSET(CampList[Priority],MATCH(Table_NFI[[#This Row],[Pcode]],CampList[CP_Pcode],0)-1,0,1,1))</f>
        <v>P4</v>
      </c>
      <c r="AS53" s="377">
        <f>IFERROR(Table_NFI[[#This Row],[Kitchen Set]]/VLOOKUP(Table_NFI[[#This Row],[Camp Name]],CL,4,0),"")</f>
        <v>0</v>
      </c>
      <c r="AT53" s="572"/>
      <c r="AU53" s="575"/>
    </row>
    <row r="54" spans="1:47" s="576" customFormat="1" x14ac:dyDescent="0.25">
      <c r="A54" s="381">
        <f t="shared" si="0"/>
        <v>31.433333333333334</v>
      </c>
      <c r="B54" s="571">
        <v>41579</v>
      </c>
      <c r="C54" s="572" t="s">
        <v>454</v>
      </c>
      <c r="D54" s="572" t="s">
        <v>454</v>
      </c>
      <c r="E54" s="572" t="s">
        <v>380</v>
      </c>
      <c r="F54" s="374" t="s">
        <v>5</v>
      </c>
      <c r="G54" s="374" t="s">
        <v>514</v>
      </c>
      <c r="H54" s="375"/>
      <c r="I54" s="375"/>
      <c r="J54" s="375">
        <v>8</v>
      </c>
      <c r="K54" s="375">
        <v>6</v>
      </c>
      <c r="L54" s="376">
        <v>4</v>
      </c>
      <c r="M54" s="376">
        <v>6</v>
      </c>
      <c r="N54" s="376">
        <v>4</v>
      </c>
      <c r="O54" s="376">
        <v>4</v>
      </c>
      <c r="P54" s="378"/>
      <c r="Q54" s="378"/>
      <c r="R54" s="378"/>
      <c r="S54" s="378"/>
      <c r="T54" s="378"/>
      <c r="U54" s="378"/>
      <c r="V54" s="533"/>
      <c r="W54" s="378"/>
      <c r="X54" s="378"/>
      <c r="Y54" s="378">
        <f>IF(NFI_Expiration=1,IF($A54&lt;VLOOKUP(H$5,NFI,5,0),1,0)*Table_NFI[[#This Row],[Hygiene Kit]],Table_NFI[Hygiene Kit])</f>
        <v>0</v>
      </c>
      <c r="Z54" s="378">
        <f>IF(NFI_Expiration=1,IF($A54&lt;VLOOKUP(I$5,NFI,5,0),1,0)*Table_NFI[[#This Row],[NFI Core Kit]],Table_NFI[NFI Core Kit])</f>
        <v>0</v>
      </c>
      <c r="AA54" s="378">
        <f>IF(NFI_Expiration=1,IF($A54&lt;VLOOKUP(J$5,NFI,5,0),1,0)*Table_NFI[[#This Row],[Sanitary Kit]],Table_NFI[Sanitary Kit])</f>
        <v>0</v>
      </c>
      <c r="AB54" s="378">
        <f>IF(NFI_Expiration=1,IF($A54&lt;VLOOKUP(K$5,NFI,5,0),1,0)*Table_NFI[[#This Row],[Mosquito net]],Table_NFI[Mosquito net])</f>
        <v>0</v>
      </c>
      <c r="AC54" s="378">
        <f>IF(NFI_Expiration=1,IF($A54&lt;VLOOKUP(L$5,NFI,5,0),1,0)*Table_NFI[[#This Row],[Tarpaulin]],Table_NFI[[#This Row],[Tarpaulin]])</f>
        <v>0</v>
      </c>
      <c r="AD54" s="378">
        <f>IF(NFI_Expiration=1,IF($A54&lt;VLOOKUP(M$5,NFI,5,0),1,0)*Table_NFI[[#This Row],[Blanket]],Table_NFI[[#This Row],[Blanket]])</f>
        <v>0</v>
      </c>
      <c r="AE54" s="378">
        <f>IF(NFI_Expiration=1,IF($A54&lt;VLOOKUP(N$5,NFI,5,0),1,0)*Table_NFI[[#This Row],[Kitchen Set]],Table_NFI[Kitchen Set])</f>
        <v>0</v>
      </c>
      <c r="AF54" s="378">
        <f>IF(NFI_Expiration=1,IF($A54&lt;VLOOKUP(O$5,NFI,5,0),1,0)*Table_NFI[[#This Row],[Clothes Kit]],Table_NFI[Clothes Kit])</f>
        <v>0</v>
      </c>
      <c r="AG54" s="378">
        <f>IF(NFI_Expiration=1,IF($A54&lt;VLOOKUP(P$5,NFI,5,0),1,0)*Table_NFI[[#This Row],[Plastic Bucket]],Table_NFI[Plastic Bucket])</f>
        <v>0</v>
      </c>
      <c r="AH54" s="378">
        <f>IF(NFI_Expiration=1,IF($A54&lt;VLOOKUP(Q$5,NFI,5,0),1,0)*Table_NFI[[#This Row],[Plastic Mat]],Table_NFI[Plastic Mat])*IF(Table_NFI[[#This Row],[Distribution Date]]&gt;"2014-04-01",1,2.5)</f>
        <v>0</v>
      </c>
      <c r="AI54" s="378">
        <f>IF(NFI_Expiration=1,IF($A54&lt;VLOOKUP(R$5,NFI,5,0),1,0)*Table_NFI[[#This Row],[Winter Clothes Adult]],Table_NFI[Winter Clothes Adult])</f>
        <v>0</v>
      </c>
      <c r="AJ54" s="378">
        <f>IF(NFI_Expiration=1,IF($A54&lt;VLOOKUP(S$5,NFI,5,0),1,0)*Table_NFI[[#This Row],[Winter Clothes Children]],Table_NFI[Winter Clothes Children])</f>
        <v>0</v>
      </c>
      <c r="AK54" s="378">
        <f>IF(NFI_Expiration=1,IF($A54&lt;VLOOKUP(T$5,NFI,5,0),1,0)*Table_NFI[[#This Row],[Winter Items Other]],Table_NFI[Winter Items Other])</f>
        <v>0</v>
      </c>
      <c r="AL54" s="378">
        <f>IF(NFI_Expiration=1,IF($A54&lt;VLOOKUP(M$5,NFI,5,0),1,0)*Table_NFI[[#This Row],[Winter Blanket]],Table_NFI[[#This Row],[Winter Blanket]])</f>
        <v>0</v>
      </c>
      <c r="AM54" s="378">
        <f>IF(Table_NFI[[#This Row],[Winter Clothes Adult]]+Table_NFI[[#This Row],[Winter Clothes Children]]+Table_NFI[[#This Row],[Winter Items Other]]+Table_NFI[[#This Row],[Winter Blanket]]&gt;0,1,0)</f>
        <v>0</v>
      </c>
      <c r="AN54" s="418">
        <f>IF(NFI_Expiration=1,IF($A54&lt;VLOOKUP(V$5,NFI,5,0),1,0)*Table_NFI[[#This Row],[Jerry Can]],Table_NFI[Jerry Can])</f>
        <v>0</v>
      </c>
      <c r="AO54" s="579" t="str">
        <f>IFERROR(VLOOKUP(Table_NFI[[#This Row],[Camp Name]],CL,2,0),"")</f>
        <v>MMR001CMP194</v>
      </c>
      <c r="AP54" s="574">
        <f ca="1">IF(Table_NFI[[#This Row],[Pcode]]="","",IF(OFFSET(CampList[Opening Date],MATCH(Table_NFI[[#This Row],[Pcode]],CampList[CP_Pcode],0)-1,0,1,1)&gt;=NFI_Monitor_Date,1,0))</f>
        <v>0</v>
      </c>
      <c r="AQ54" s="579" t="str">
        <f>IFERROR(VLOOKUP(Table_NFI[[#This Row],[Camp Name]],CL,3,0),"")</f>
        <v>Open</v>
      </c>
      <c r="AR54" s="378" t="str">
        <f ca="1">IF(Table_NFI[[#This Row],[Pcode]]="","",OFFSET(CampList[Priority],MATCH(Table_NFI[[#This Row],[Pcode]],CampList[CP_Pcode],0)-1,0,1,1))</f>
        <v>P4</v>
      </c>
      <c r="AS54" s="377">
        <f>IFERROR(Table_NFI[[#This Row],[Kitchen Set]]/VLOOKUP(Table_NFI[[#This Row],[Camp Name]],CL,4,0),"")</f>
        <v>0.33333333333333331</v>
      </c>
      <c r="AT54" s="572" t="s">
        <v>1095</v>
      </c>
      <c r="AU54" s="575"/>
    </row>
    <row r="55" spans="1:47" s="576" customFormat="1" x14ac:dyDescent="0.25">
      <c r="A55" s="381">
        <f t="shared" si="0"/>
        <v>39.93333333333333</v>
      </c>
      <c r="B55" s="571">
        <v>41324</v>
      </c>
      <c r="C55" s="572" t="s">
        <v>454</v>
      </c>
      <c r="D55" s="573" t="s">
        <v>454</v>
      </c>
      <c r="E55" s="572" t="s">
        <v>380</v>
      </c>
      <c r="F55" s="374" t="s">
        <v>529</v>
      </c>
      <c r="G55" s="374" t="s">
        <v>48</v>
      </c>
      <c r="H55" s="375"/>
      <c r="I55" s="375"/>
      <c r="J55" s="375">
        <v>8</v>
      </c>
      <c r="K55" s="375">
        <v>16</v>
      </c>
      <c r="L55" s="376">
        <v>8</v>
      </c>
      <c r="M55" s="376">
        <v>16</v>
      </c>
      <c r="N55" s="376">
        <v>8</v>
      </c>
      <c r="O55" s="376">
        <v>8</v>
      </c>
      <c r="P55" s="378">
        <v>8</v>
      </c>
      <c r="Q55" s="378">
        <v>8</v>
      </c>
      <c r="R55" s="378"/>
      <c r="S55" s="378"/>
      <c r="T55" s="378"/>
      <c r="U55" s="378"/>
      <c r="V55" s="533"/>
      <c r="W55" s="378"/>
      <c r="X55" s="378"/>
      <c r="Y55" s="378">
        <f>IF(NFI_Expiration=1,IF($A55&lt;VLOOKUP(H$5,NFI,5,0),1,0)*Table_NFI[[#This Row],[Hygiene Kit]],Table_NFI[Hygiene Kit])</f>
        <v>0</v>
      </c>
      <c r="Z55" s="378">
        <f>IF(NFI_Expiration=1,IF($A55&lt;VLOOKUP(I$5,NFI,5,0),1,0)*Table_NFI[[#This Row],[NFI Core Kit]],Table_NFI[NFI Core Kit])</f>
        <v>0</v>
      </c>
      <c r="AA55" s="378">
        <f>IF(NFI_Expiration=1,IF($A55&lt;VLOOKUP(J$5,NFI,5,0),1,0)*Table_NFI[[#This Row],[Sanitary Kit]],Table_NFI[Sanitary Kit])</f>
        <v>0</v>
      </c>
      <c r="AB55" s="378">
        <f>IF(NFI_Expiration=1,IF($A55&lt;VLOOKUP(K$5,NFI,5,0),1,0)*Table_NFI[[#This Row],[Mosquito net]],Table_NFI[Mosquito net])</f>
        <v>0</v>
      </c>
      <c r="AC55" s="378">
        <f>IF(NFI_Expiration=1,IF($A55&lt;VLOOKUP(L$5,NFI,5,0),1,0)*Table_NFI[[#This Row],[Tarpaulin]],Table_NFI[[#This Row],[Tarpaulin]])</f>
        <v>0</v>
      </c>
      <c r="AD55" s="378">
        <f>IF(NFI_Expiration=1,IF($A55&lt;VLOOKUP(M$5,NFI,5,0),1,0)*Table_NFI[[#This Row],[Blanket]],Table_NFI[[#This Row],[Blanket]])</f>
        <v>0</v>
      </c>
      <c r="AE55" s="378">
        <f>IF(NFI_Expiration=1,IF($A55&lt;VLOOKUP(N$5,NFI,5,0),1,0)*Table_NFI[[#This Row],[Kitchen Set]],Table_NFI[Kitchen Set])</f>
        <v>0</v>
      </c>
      <c r="AF55" s="378">
        <f>IF(NFI_Expiration=1,IF($A55&lt;VLOOKUP(O$5,NFI,5,0),1,0)*Table_NFI[[#This Row],[Clothes Kit]],Table_NFI[Clothes Kit])</f>
        <v>0</v>
      </c>
      <c r="AG55" s="378">
        <f>IF(NFI_Expiration=1,IF($A55&lt;VLOOKUP(P$5,NFI,5,0),1,0)*Table_NFI[[#This Row],[Plastic Bucket]],Table_NFI[Plastic Bucket])</f>
        <v>0</v>
      </c>
      <c r="AH55" s="378">
        <f>IF(NFI_Expiration=1,IF($A55&lt;VLOOKUP(Q$5,NFI,5,0),1,0)*Table_NFI[[#This Row],[Plastic Mat]],Table_NFI[Plastic Mat])*IF(Table_NFI[[#This Row],[Distribution Date]]&gt;"2014-04-01",1,2.5)</f>
        <v>0</v>
      </c>
      <c r="AI55" s="378">
        <f>IF(NFI_Expiration=1,IF($A55&lt;VLOOKUP(R$5,NFI,5,0),1,0)*Table_NFI[[#This Row],[Winter Clothes Adult]],Table_NFI[Winter Clothes Adult])</f>
        <v>0</v>
      </c>
      <c r="AJ55" s="378">
        <f>IF(NFI_Expiration=1,IF($A55&lt;VLOOKUP(S$5,NFI,5,0),1,0)*Table_NFI[[#This Row],[Winter Clothes Children]],Table_NFI[Winter Clothes Children])</f>
        <v>0</v>
      </c>
      <c r="AK55" s="378">
        <f>IF(NFI_Expiration=1,IF($A55&lt;VLOOKUP(T$5,NFI,5,0),1,0)*Table_NFI[[#This Row],[Winter Items Other]],Table_NFI[Winter Items Other])</f>
        <v>0</v>
      </c>
      <c r="AL55" s="378">
        <f>IF(NFI_Expiration=1,IF($A55&lt;VLOOKUP(M$5,NFI,5,0),1,0)*Table_NFI[[#This Row],[Winter Blanket]],Table_NFI[[#This Row],[Winter Blanket]])</f>
        <v>0</v>
      </c>
      <c r="AM55" s="378">
        <f>IF(Table_NFI[[#This Row],[Winter Clothes Adult]]+Table_NFI[[#This Row],[Winter Clothes Children]]+Table_NFI[[#This Row],[Winter Items Other]]+Table_NFI[[#This Row],[Winter Blanket]]&gt;0,1,0)</f>
        <v>0</v>
      </c>
      <c r="AN55" s="418">
        <f>IF(NFI_Expiration=1,IF($A55&lt;VLOOKUP(V$5,NFI,5,0),1,0)*Table_NFI[[#This Row],[Jerry Can]],Table_NFI[Jerry Can])</f>
        <v>0</v>
      </c>
      <c r="AO55" s="579" t="str">
        <f>IFERROR(VLOOKUP(Table_NFI[[#This Row],[Camp Name]],CL,2,0),"")</f>
        <v>MMR001CMP170</v>
      </c>
      <c r="AP55" s="574">
        <f ca="1">IF(Table_NFI[[#This Row],[Pcode]]="","",IF(OFFSET(CampList[Opening Date],MATCH(Table_NFI[[#This Row],[Pcode]],CampList[CP_Pcode],0)-1,0,1,1)&gt;=NFI_Monitor_Date,1,0))</f>
        <v>0</v>
      </c>
      <c r="AQ55" s="579" t="str">
        <f>IFERROR(VLOOKUP(Table_NFI[[#This Row],[Camp Name]],CL,3,0),"")</f>
        <v>Closed</v>
      </c>
      <c r="AR55" s="378" t="str">
        <f ca="1">IF(Table_NFI[[#This Row],[Pcode]]="","",OFFSET(CampList[Priority],MATCH(Table_NFI[[#This Row],[Pcode]],CampList[CP_Pcode],0)-1,0,1,1))</f>
        <v/>
      </c>
      <c r="AS55" s="377" t="str">
        <f>IFERROR(Table_NFI[[#This Row],[Kitchen Set]]/VLOOKUP(Table_NFI[[#This Row],[Camp Name]],CL,4,0),"")</f>
        <v/>
      </c>
      <c r="AT55" s="572" t="s">
        <v>1095</v>
      </c>
      <c r="AU55" s="575"/>
    </row>
    <row r="56" spans="1:47" s="130" customFormat="1" x14ac:dyDescent="0.25">
      <c r="A56" s="381">
        <f t="shared" si="0"/>
        <v>39.9</v>
      </c>
      <c r="B56" s="571">
        <v>41325</v>
      </c>
      <c r="C56" s="572" t="s">
        <v>454</v>
      </c>
      <c r="D56" s="572" t="s">
        <v>454</v>
      </c>
      <c r="E56" s="572" t="s">
        <v>380</v>
      </c>
      <c r="F56" s="572" t="s">
        <v>529</v>
      </c>
      <c r="G56" s="374" t="s">
        <v>50</v>
      </c>
      <c r="H56" s="375"/>
      <c r="I56" s="375"/>
      <c r="J56" s="375">
        <v>18</v>
      </c>
      <c r="K56" s="375">
        <v>0</v>
      </c>
      <c r="L56" s="376">
        <v>0</v>
      </c>
      <c r="M56" s="376">
        <v>0</v>
      </c>
      <c r="N56" s="376">
        <v>0</v>
      </c>
      <c r="O56" s="376">
        <v>0</v>
      </c>
      <c r="P56" s="378"/>
      <c r="Q56" s="378"/>
      <c r="R56" s="378"/>
      <c r="S56" s="378"/>
      <c r="T56" s="378"/>
      <c r="U56" s="378"/>
      <c r="V56" s="533"/>
      <c r="W56" s="378"/>
      <c r="X56" s="378"/>
      <c r="Y56" s="378">
        <f>IF(NFI_Expiration=1,IF($A56&lt;VLOOKUP(H$5,NFI,5,0),1,0)*Table_NFI[[#This Row],[Hygiene Kit]],Table_NFI[Hygiene Kit])</f>
        <v>0</v>
      </c>
      <c r="Z56" s="378">
        <f>IF(NFI_Expiration=1,IF($A56&lt;VLOOKUP(I$5,NFI,5,0),1,0)*Table_NFI[[#This Row],[NFI Core Kit]],Table_NFI[NFI Core Kit])</f>
        <v>0</v>
      </c>
      <c r="AA56" s="378">
        <f>IF(NFI_Expiration=1,IF($A56&lt;VLOOKUP(J$5,NFI,5,0),1,0)*Table_NFI[[#This Row],[Sanitary Kit]],Table_NFI[Sanitary Kit])</f>
        <v>0</v>
      </c>
      <c r="AB56" s="378">
        <f>IF(NFI_Expiration=1,IF($A56&lt;VLOOKUP(K$5,NFI,5,0),1,0)*Table_NFI[[#This Row],[Mosquito net]],Table_NFI[Mosquito net])</f>
        <v>0</v>
      </c>
      <c r="AC56" s="378">
        <f>IF(NFI_Expiration=1,IF($A56&lt;VLOOKUP(L$5,NFI,5,0),1,0)*Table_NFI[[#This Row],[Tarpaulin]],Table_NFI[[#This Row],[Tarpaulin]])</f>
        <v>0</v>
      </c>
      <c r="AD56" s="378">
        <f>IF(NFI_Expiration=1,IF($A56&lt;VLOOKUP(M$5,NFI,5,0),1,0)*Table_NFI[[#This Row],[Blanket]],Table_NFI[[#This Row],[Blanket]])</f>
        <v>0</v>
      </c>
      <c r="AE56" s="378">
        <f>IF(NFI_Expiration=1,IF($A56&lt;VLOOKUP(N$5,NFI,5,0),1,0)*Table_NFI[[#This Row],[Kitchen Set]],Table_NFI[Kitchen Set])</f>
        <v>0</v>
      </c>
      <c r="AF56" s="378">
        <f>IF(NFI_Expiration=1,IF($A56&lt;VLOOKUP(O$5,NFI,5,0),1,0)*Table_NFI[[#This Row],[Clothes Kit]],Table_NFI[Clothes Kit])</f>
        <v>0</v>
      </c>
      <c r="AG56" s="378">
        <f>IF(NFI_Expiration=1,IF($A56&lt;VLOOKUP(P$5,NFI,5,0),1,0)*Table_NFI[[#This Row],[Plastic Bucket]],Table_NFI[Plastic Bucket])</f>
        <v>0</v>
      </c>
      <c r="AH56" s="378">
        <f>IF(NFI_Expiration=1,IF($A56&lt;VLOOKUP(Q$5,NFI,5,0),1,0)*Table_NFI[[#This Row],[Plastic Mat]],Table_NFI[Plastic Mat])*IF(Table_NFI[[#This Row],[Distribution Date]]&gt;"2014-04-01",1,2.5)</f>
        <v>0</v>
      </c>
      <c r="AI56" s="378">
        <f>IF(NFI_Expiration=1,IF($A56&lt;VLOOKUP(R$5,NFI,5,0),1,0)*Table_NFI[[#This Row],[Winter Clothes Adult]],Table_NFI[Winter Clothes Adult])</f>
        <v>0</v>
      </c>
      <c r="AJ56" s="378">
        <f>IF(NFI_Expiration=1,IF($A56&lt;VLOOKUP(S$5,NFI,5,0),1,0)*Table_NFI[[#This Row],[Winter Clothes Children]],Table_NFI[Winter Clothes Children])</f>
        <v>0</v>
      </c>
      <c r="AK56" s="378">
        <f>IF(NFI_Expiration=1,IF($A56&lt;VLOOKUP(T$5,NFI,5,0),1,0)*Table_NFI[[#This Row],[Winter Items Other]],Table_NFI[Winter Items Other])</f>
        <v>0</v>
      </c>
      <c r="AL56" s="378">
        <f>IF(NFI_Expiration=1,IF($A56&lt;VLOOKUP(M$5,NFI,5,0),1,0)*Table_NFI[[#This Row],[Winter Blanket]],Table_NFI[[#This Row],[Winter Blanket]])</f>
        <v>0</v>
      </c>
      <c r="AM56" s="378">
        <f>IF(Table_NFI[[#This Row],[Winter Clothes Adult]]+Table_NFI[[#This Row],[Winter Clothes Children]]+Table_NFI[[#This Row],[Winter Items Other]]+Table_NFI[[#This Row],[Winter Blanket]]&gt;0,1,0)</f>
        <v>0</v>
      </c>
      <c r="AN56" s="418">
        <f>IF(NFI_Expiration=1,IF($A56&lt;VLOOKUP(V$5,NFI,5,0),1,0)*Table_NFI[[#This Row],[Jerry Can]],Table_NFI[Jerry Can])</f>
        <v>0</v>
      </c>
      <c r="AO56" s="579" t="str">
        <f>IFERROR(VLOOKUP(Table_NFI[[#This Row],[Camp Name]],CL,2,0),"")</f>
        <v>MMR001CMP092</v>
      </c>
      <c r="AP56" s="574">
        <f ca="1">IF(Table_NFI[[#This Row],[Pcode]]="","",IF(OFFSET(CampList[Opening Date],MATCH(Table_NFI[[#This Row],[Pcode]],CampList[CP_Pcode],0)-1,0,1,1)&gt;=NFI_Monitor_Date,1,0))</f>
        <v>0</v>
      </c>
      <c r="AQ56" s="579" t="str">
        <f>IFERROR(VLOOKUP(Table_NFI[[#This Row],[Camp Name]],CL,3,0),"")</f>
        <v>Closed</v>
      </c>
      <c r="AR56" s="378" t="str">
        <f ca="1">IF(Table_NFI[[#This Row],[Pcode]]="","",OFFSET(CampList[Priority],MATCH(Table_NFI[[#This Row],[Pcode]],CampList[CP_Pcode],0)-1,0,1,1))</f>
        <v/>
      </c>
      <c r="AS56" s="377" t="str">
        <f>IFERROR(Table_NFI[[#This Row],[Kitchen Set]]/VLOOKUP(Table_NFI[[#This Row],[Camp Name]],CL,4,0),"")</f>
        <v/>
      </c>
      <c r="AT56" s="572" t="s">
        <v>1095</v>
      </c>
      <c r="AU56" s="575"/>
    </row>
    <row r="57" spans="1:47" s="576" customFormat="1" x14ac:dyDescent="0.25">
      <c r="A57" s="381">
        <f t="shared" si="0"/>
        <v>41.6</v>
      </c>
      <c r="B57" s="571">
        <v>41274</v>
      </c>
      <c r="C57" s="572" t="s">
        <v>455</v>
      </c>
      <c r="D57" s="572" t="s">
        <v>455</v>
      </c>
      <c r="E57" s="572" t="s">
        <v>380</v>
      </c>
      <c r="F57" s="374" t="s">
        <v>529</v>
      </c>
      <c r="G57" s="374" t="s">
        <v>50</v>
      </c>
      <c r="H57" s="375">
        <v>16</v>
      </c>
      <c r="I57" s="375"/>
      <c r="J57" s="375"/>
      <c r="K57" s="375"/>
      <c r="L57" s="376"/>
      <c r="M57" s="376"/>
      <c r="N57" s="376"/>
      <c r="O57" s="376"/>
      <c r="P57" s="378">
        <v>0</v>
      </c>
      <c r="Q57" s="378">
        <v>0</v>
      </c>
      <c r="R57" s="378"/>
      <c r="S57" s="378"/>
      <c r="T57" s="378"/>
      <c r="U57" s="378"/>
      <c r="V57" s="533"/>
      <c r="W57" s="378"/>
      <c r="X57" s="378"/>
      <c r="Y57" s="378">
        <f>IF(NFI_Expiration=1,IF($A57&lt;VLOOKUP(H$5,NFI,5,0),1,0)*Table_NFI[[#This Row],[Hygiene Kit]],Table_NFI[Hygiene Kit])</f>
        <v>0</v>
      </c>
      <c r="Z57" s="378">
        <f>IF(NFI_Expiration=1,IF($A57&lt;VLOOKUP(I$5,NFI,5,0),1,0)*Table_NFI[[#This Row],[NFI Core Kit]],Table_NFI[NFI Core Kit])</f>
        <v>0</v>
      </c>
      <c r="AA57" s="378">
        <f>IF(NFI_Expiration=1,IF($A57&lt;VLOOKUP(J$5,NFI,5,0),1,0)*Table_NFI[[#This Row],[Sanitary Kit]],Table_NFI[Sanitary Kit])</f>
        <v>0</v>
      </c>
      <c r="AB57" s="378">
        <f>IF(NFI_Expiration=1,IF($A57&lt;VLOOKUP(K$5,NFI,5,0),1,0)*Table_NFI[[#This Row],[Mosquito net]],Table_NFI[Mosquito net])</f>
        <v>0</v>
      </c>
      <c r="AC57" s="378">
        <f>IF(NFI_Expiration=1,IF($A57&lt;VLOOKUP(L$5,NFI,5,0),1,0)*Table_NFI[[#This Row],[Tarpaulin]],Table_NFI[[#This Row],[Tarpaulin]])</f>
        <v>0</v>
      </c>
      <c r="AD57" s="378">
        <f>IF(NFI_Expiration=1,IF($A57&lt;VLOOKUP(M$5,NFI,5,0),1,0)*Table_NFI[[#This Row],[Blanket]],Table_NFI[[#This Row],[Blanket]])</f>
        <v>0</v>
      </c>
      <c r="AE57" s="378">
        <f>IF(NFI_Expiration=1,IF($A57&lt;VLOOKUP(N$5,NFI,5,0),1,0)*Table_NFI[[#This Row],[Kitchen Set]],Table_NFI[Kitchen Set])</f>
        <v>0</v>
      </c>
      <c r="AF57" s="378">
        <f>IF(NFI_Expiration=1,IF($A57&lt;VLOOKUP(O$5,NFI,5,0),1,0)*Table_NFI[[#This Row],[Clothes Kit]],Table_NFI[Clothes Kit])</f>
        <v>0</v>
      </c>
      <c r="AG57" s="378">
        <f>IF(NFI_Expiration=1,IF($A57&lt;VLOOKUP(P$5,NFI,5,0),1,0)*Table_NFI[[#This Row],[Plastic Bucket]],Table_NFI[Plastic Bucket])</f>
        <v>0</v>
      </c>
      <c r="AH57" s="378">
        <f>IF(NFI_Expiration=1,IF($A57&lt;VLOOKUP(Q$5,NFI,5,0),1,0)*Table_NFI[[#This Row],[Plastic Mat]],Table_NFI[Plastic Mat])*IF(Table_NFI[[#This Row],[Distribution Date]]&gt;"2014-04-01",1,2.5)</f>
        <v>0</v>
      </c>
      <c r="AI57" s="378">
        <f>IF(NFI_Expiration=1,IF($A57&lt;VLOOKUP(R$5,NFI,5,0),1,0)*Table_NFI[[#This Row],[Winter Clothes Adult]],Table_NFI[Winter Clothes Adult])</f>
        <v>0</v>
      </c>
      <c r="AJ57" s="378">
        <f>IF(NFI_Expiration=1,IF($A57&lt;VLOOKUP(S$5,NFI,5,0),1,0)*Table_NFI[[#This Row],[Winter Clothes Children]],Table_NFI[Winter Clothes Children])</f>
        <v>0</v>
      </c>
      <c r="AK57" s="378">
        <f>IF(NFI_Expiration=1,IF($A57&lt;VLOOKUP(T$5,NFI,5,0),1,0)*Table_NFI[[#This Row],[Winter Items Other]],Table_NFI[Winter Items Other])</f>
        <v>0</v>
      </c>
      <c r="AL57" s="378">
        <f>IF(NFI_Expiration=1,IF($A57&lt;VLOOKUP(M$5,NFI,5,0),1,0)*Table_NFI[[#This Row],[Winter Blanket]],Table_NFI[[#This Row],[Winter Blanket]])</f>
        <v>0</v>
      </c>
      <c r="AM57" s="378">
        <f>IF(Table_NFI[[#This Row],[Winter Clothes Adult]]+Table_NFI[[#This Row],[Winter Clothes Children]]+Table_NFI[[#This Row],[Winter Items Other]]+Table_NFI[[#This Row],[Winter Blanket]]&gt;0,1,0)</f>
        <v>0</v>
      </c>
      <c r="AN57" s="418">
        <f>IF(NFI_Expiration=1,IF($A57&lt;VLOOKUP(V$5,NFI,5,0),1,0)*Table_NFI[[#This Row],[Jerry Can]],Table_NFI[Jerry Can])</f>
        <v>0</v>
      </c>
      <c r="AO57" s="579" t="str">
        <f>IFERROR(VLOOKUP(Table_NFI[[#This Row],[Camp Name]],CL,2,0),"")</f>
        <v>MMR001CMP092</v>
      </c>
      <c r="AP57" s="574">
        <f ca="1">IF(Table_NFI[[#This Row],[Pcode]]="","",IF(OFFSET(CampList[Opening Date],MATCH(Table_NFI[[#This Row],[Pcode]],CampList[CP_Pcode],0)-1,0,1,1)&gt;=NFI_Monitor_Date,1,0))</f>
        <v>0</v>
      </c>
      <c r="AQ57" s="579" t="str">
        <f>IFERROR(VLOOKUP(Table_NFI[[#This Row],[Camp Name]],CL,3,0),"")</f>
        <v>Closed</v>
      </c>
      <c r="AR57" s="378" t="str">
        <f ca="1">IF(Table_NFI[[#This Row],[Pcode]]="","",OFFSET(CampList[Priority],MATCH(Table_NFI[[#This Row],[Pcode]],CampList[CP_Pcode],0)-1,0,1,1))</f>
        <v/>
      </c>
      <c r="AS57" s="377" t="str">
        <f>IFERROR(Table_NFI[[#This Row],[Kitchen Set]]/VLOOKUP(Table_NFI[[#This Row],[Camp Name]],CL,4,0),"")</f>
        <v/>
      </c>
      <c r="AT57" s="572" t="s">
        <v>1095</v>
      </c>
      <c r="AU57" s="575"/>
    </row>
    <row r="58" spans="1:47" s="576" customFormat="1" x14ac:dyDescent="0.25">
      <c r="A58" s="381">
        <f t="shared" si="0"/>
        <v>30.666666666666668</v>
      </c>
      <c r="B58" s="571">
        <v>41602</v>
      </c>
      <c r="C58" s="572" t="s">
        <v>908</v>
      </c>
      <c r="D58" s="572" t="s">
        <v>908</v>
      </c>
      <c r="E58" s="572" t="s">
        <v>380</v>
      </c>
      <c r="F58" s="572" t="s">
        <v>151</v>
      </c>
      <c r="G58" s="572" t="s">
        <v>884</v>
      </c>
      <c r="H58" s="375"/>
      <c r="I58" s="375"/>
      <c r="J58" s="375"/>
      <c r="K58" s="375"/>
      <c r="L58" s="376"/>
      <c r="M58" s="376"/>
      <c r="N58" s="376"/>
      <c r="O58" s="376"/>
      <c r="P58" s="378"/>
      <c r="Q58" s="378"/>
      <c r="R58" s="378">
        <v>24</v>
      </c>
      <c r="S58" s="378">
        <v>48</v>
      </c>
      <c r="T58" s="378">
        <v>144</v>
      </c>
      <c r="U58" s="378">
        <v>72</v>
      </c>
      <c r="V58" s="533"/>
      <c r="W58" s="378"/>
      <c r="X58" s="378"/>
      <c r="Y58" s="378">
        <f>IF(NFI_Expiration=1,IF($A58&lt;VLOOKUP(H$5,NFI,5,0),1,0)*Table_NFI[[#This Row],[Hygiene Kit]],Table_NFI[Hygiene Kit])</f>
        <v>0</v>
      </c>
      <c r="Z58" s="378">
        <f>IF(NFI_Expiration=1,IF($A58&lt;VLOOKUP(I$5,NFI,5,0),1,0)*Table_NFI[[#This Row],[NFI Core Kit]],Table_NFI[NFI Core Kit])</f>
        <v>0</v>
      </c>
      <c r="AA58" s="378">
        <f>IF(NFI_Expiration=1,IF($A58&lt;VLOOKUP(J$5,NFI,5,0),1,0)*Table_NFI[[#This Row],[Sanitary Kit]],Table_NFI[Sanitary Kit])</f>
        <v>0</v>
      </c>
      <c r="AB58" s="378">
        <f>IF(NFI_Expiration=1,IF($A58&lt;VLOOKUP(K$5,NFI,5,0),1,0)*Table_NFI[[#This Row],[Mosquito net]],Table_NFI[Mosquito net])</f>
        <v>0</v>
      </c>
      <c r="AC58" s="378">
        <f>IF(NFI_Expiration=1,IF($A58&lt;VLOOKUP(L$5,NFI,5,0),1,0)*Table_NFI[[#This Row],[Tarpaulin]],Table_NFI[[#This Row],[Tarpaulin]])</f>
        <v>0</v>
      </c>
      <c r="AD58" s="378">
        <f>IF(NFI_Expiration=1,IF($A58&lt;VLOOKUP(M$5,NFI,5,0),1,0)*Table_NFI[[#This Row],[Blanket]],Table_NFI[[#This Row],[Blanket]])</f>
        <v>0</v>
      </c>
      <c r="AE58" s="378">
        <f>IF(NFI_Expiration=1,IF($A58&lt;VLOOKUP(N$5,NFI,5,0),1,0)*Table_NFI[[#This Row],[Kitchen Set]],Table_NFI[Kitchen Set])</f>
        <v>0</v>
      </c>
      <c r="AF58" s="378">
        <f>IF(NFI_Expiration=1,IF($A58&lt;VLOOKUP(O$5,NFI,5,0),1,0)*Table_NFI[[#This Row],[Clothes Kit]],Table_NFI[Clothes Kit])</f>
        <v>0</v>
      </c>
      <c r="AG58" s="378">
        <f>IF(NFI_Expiration=1,IF($A58&lt;VLOOKUP(P$5,NFI,5,0),1,0)*Table_NFI[[#This Row],[Plastic Bucket]],Table_NFI[Plastic Bucket])</f>
        <v>0</v>
      </c>
      <c r="AH58" s="378">
        <f>IF(NFI_Expiration=1,IF($A58&lt;VLOOKUP(Q$5,NFI,5,0),1,0)*Table_NFI[[#This Row],[Plastic Mat]],Table_NFI[Plastic Mat])*IF(Table_NFI[[#This Row],[Distribution Date]]&gt;"2014-04-01",1,2.5)</f>
        <v>0</v>
      </c>
      <c r="AI58" s="378">
        <f>IF(NFI_Expiration=1,IF($A58&lt;VLOOKUP(R$5,NFI,5,0),1,0)*Table_NFI[[#This Row],[Winter Clothes Adult]],Table_NFI[Winter Clothes Adult])</f>
        <v>0</v>
      </c>
      <c r="AJ58" s="378">
        <f>IF(NFI_Expiration=1,IF($A58&lt;VLOOKUP(S$5,NFI,5,0),1,0)*Table_NFI[[#This Row],[Winter Clothes Children]],Table_NFI[Winter Clothes Children])</f>
        <v>0</v>
      </c>
      <c r="AK58" s="378">
        <f>IF(NFI_Expiration=1,IF($A58&lt;VLOOKUP(T$5,NFI,5,0),1,0)*Table_NFI[[#This Row],[Winter Items Other]],Table_NFI[Winter Items Other])</f>
        <v>0</v>
      </c>
      <c r="AL58" s="378">
        <f>IF(NFI_Expiration=1,IF($A58&lt;VLOOKUP(M$5,NFI,5,0),1,0)*Table_NFI[[#This Row],[Winter Blanket]],Table_NFI[[#This Row],[Winter Blanket]])</f>
        <v>0</v>
      </c>
      <c r="AM58" s="378">
        <f>IF(Table_NFI[[#This Row],[Winter Clothes Adult]]+Table_NFI[[#This Row],[Winter Clothes Children]]+Table_NFI[[#This Row],[Winter Items Other]]+Table_NFI[[#This Row],[Winter Blanket]]&gt;0,1,0)</f>
        <v>1</v>
      </c>
      <c r="AN58" s="418">
        <f>IF(NFI_Expiration=1,IF($A58&lt;VLOOKUP(V$5,NFI,5,0),1,0)*Table_NFI[[#This Row],[Jerry Can]],Table_NFI[Jerry Can])</f>
        <v>0</v>
      </c>
      <c r="AO58" s="579" t="str">
        <f>IFERROR(VLOOKUP(Table_NFI[[#This Row],[Camp Name]],CL,2,0),"")</f>
        <v>MMR001CMP215</v>
      </c>
      <c r="AP58" s="574">
        <f ca="1">IF(Table_NFI[[#This Row],[Pcode]]="","",IF(OFFSET(CampList[Opening Date],MATCH(Table_NFI[[#This Row],[Pcode]],CampList[CP_Pcode],0)-1,0,1,1)&gt;=NFI_Monitor_Date,1,0))</f>
        <v>0</v>
      </c>
      <c r="AQ58" s="579" t="str">
        <f>IFERROR(VLOOKUP(Table_NFI[[#This Row],[Camp Name]],CL,3,0),"")</f>
        <v>Closed</v>
      </c>
      <c r="AR58" s="378" t="str">
        <f ca="1">IF(Table_NFI[[#This Row],[Pcode]]="","",OFFSET(CampList[Priority],MATCH(Table_NFI[[#This Row],[Pcode]],CampList[CP_Pcode],0)-1,0,1,1))</f>
        <v/>
      </c>
      <c r="AS58" s="377" t="str">
        <f>IFERROR(Table_NFI[[#This Row],[Kitchen Set]]/VLOOKUP(Table_NFI[[#This Row],[Camp Name]],CL,4,0),"")</f>
        <v/>
      </c>
      <c r="AT58" s="572"/>
      <c r="AU58" s="575"/>
    </row>
    <row r="59" spans="1:47" s="576" customFormat="1" x14ac:dyDescent="0.25">
      <c r="A59" s="381">
        <f t="shared" si="0"/>
        <v>30.666666666666668</v>
      </c>
      <c r="B59" s="571">
        <v>41602</v>
      </c>
      <c r="C59" s="572" t="s">
        <v>908</v>
      </c>
      <c r="D59" s="572" t="s">
        <v>908</v>
      </c>
      <c r="E59" s="572" t="s">
        <v>380</v>
      </c>
      <c r="F59" s="572" t="s">
        <v>151</v>
      </c>
      <c r="G59" s="572" t="s">
        <v>880</v>
      </c>
      <c r="H59" s="375"/>
      <c r="I59" s="375"/>
      <c r="J59" s="375"/>
      <c r="K59" s="375"/>
      <c r="L59" s="376"/>
      <c r="M59" s="376"/>
      <c r="N59" s="376"/>
      <c r="O59" s="376"/>
      <c r="P59" s="378"/>
      <c r="Q59" s="378"/>
      <c r="R59" s="378">
        <v>135</v>
      </c>
      <c r="S59" s="378">
        <v>270</v>
      </c>
      <c r="T59" s="378">
        <v>810</v>
      </c>
      <c r="U59" s="378">
        <v>405</v>
      </c>
      <c r="V59" s="533"/>
      <c r="W59" s="378"/>
      <c r="X59" s="378"/>
      <c r="Y59" s="378">
        <f>IF(NFI_Expiration=1,IF($A59&lt;VLOOKUP(H$5,NFI,5,0),1,0)*Table_NFI[[#This Row],[Hygiene Kit]],Table_NFI[Hygiene Kit])</f>
        <v>0</v>
      </c>
      <c r="Z59" s="378">
        <f>IF(NFI_Expiration=1,IF($A59&lt;VLOOKUP(I$5,NFI,5,0),1,0)*Table_NFI[[#This Row],[NFI Core Kit]],Table_NFI[NFI Core Kit])</f>
        <v>0</v>
      </c>
      <c r="AA59" s="378">
        <f>IF(NFI_Expiration=1,IF($A59&lt;VLOOKUP(J$5,NFI,5,0),1,0)*Table_NFI[[#This Row],[Sanitary Kit]],Table_NFI[Sanitary Kit])</f>
        <v>0</v>
      </c>
      <c r="AB59" s="378">
        <f>IF(NFI_Expiration=1,IF($A59&lt;VLOOKUP(K$5,NFI,5,0),1,0)*Table_NFI[[#This Row],[Mosquito net]],Table_NFI[Mosquito net])</f>
        <v>0</v>
      </c>
      <c r="AC59" s="378">
        <f>IF(NFI_Expiration=1,IF($A59&lt;VLOOKUP(L$5,NFI,5,0),1,0)*Table_NFI[[#This Row],[Tarpaulin]],Table_NFI[[#This Row],[Tarpaulin]])</f>
        <v>0</v>
      </c>
      <c r="AD59" s="378">
        <f>IF(NFI_Expiration=1,IF($A59&lt;VLOOKUP(M$5,NFI,5,0),1,0)*Table_NFI[[#This Row],[Blanket]],Table_NFI[[#This Row],[Blanket]])</f>
        <v>0</v>
      </c>
      <c r="AE59" s="378">
        <f>IF(NFI_Expiration=1,IF($A59&lt;VLOOKUP(N$5,NFI,5,0),1,0)*Table_NFI[[#This Row],[Kitchen Set]],Table_NFI[Kitchen Set])</f>
        <v>0</v>
      </c>
      <c r="AF59" s="378">
        <f>IF(NFI_Expiration=1,IF($A59&lt;VLOOKUP(O$5,NFI,5,0),1,0)*Table_NFI[[#This Row],[Clothes Kit]],Table_NFI[Clothes Kit])</f>
        <v>0</v>
      </c>
      <c r="AG59" s="378">
        <f>IF(NFI_Expiration=1,IF($A59&lt;VLOOKUP(P$5,NFI,5,0),1,0)*Table_NFI[[#This Row],[Plastic Bucket]],Table_NFI[Plastic Bucket])</f>
        <v>0</v>
      </c>
      <c r="AH59" s="378">
        <f>IF(NFI_Expiration=1,IF($A59&lt;VLOOKUP(Q$5,NFI,5,0),1,0)*Table_NFI[[#This Row],[Plastic Mat]],Table_NFI[Plastic Mat])*IF(Table_NFI[[#This Row],[Distribution Date]]&gt;"2014-04-01",1,2.5)</f>
        <v>0</v>
      </c>
      <c r="AI59" s="378">
        <f>IF(NFI_Expiration=1,IF($A59&lt;VLOOKUP(R$5,NFI,5,0),1,0)*Table_NFI[[#This Row],[Winter Clothes Adult]],Table_NFI[Winter Clothes Adult])</f>
        <v>0</v>
      </c>
      <c r="AJ59" s="378">
        <f>IF(NFI_Expiration=1,IF($A59&lt;VLOOKUP(S$5,NFI,5,0),1,0)*Table_NFI[[#This Row],[Winter Clothes Children]],Table_NFI[Winter Clothes Children])</f>
        <v>0</v>
      </c>
      <c r="AK59" s="378">
        <f>IF(NFI_Expiration=1,IF($A59&lt;VLOOKUP(T$5,NFI,5,0),1,0)*Table_NFI[[#This Row],[Winter Items Other]],Table_NFI[Winter Items Other])</f>
        <v>0</v>
      </c>
      <c r="AL59" s="378">
        <f>IF(NFI_Expiration=1,IF($A59&lt;VLOOKUP(M$5,NFI,5,0),1,0)*Table_NFI[[#This Row],[Winter Blanket]],Table_NFI[[#This Row],[Winter Blanket]])</f>
        <v>0</v>
      </c>
      <c r="AM59" s="378">
        <f>IF(Table_NFI[[#This Row],[Winter Clothes Adult]]+Table_NFI[[#This Row],[Winter Clothes Children]]+Table_NFI[[#This Row],[Winter Items Other]]+Table_NFI[[#This Row],[Winter Blanket]]&gt;0,1,0)</f>
        <v>1</v>
      </c>
      <c r="AN59" s="418">
        <f>IF(NFI_Expiration=1,IF($A59&lt;VLOOKUP(V$5,NFI,5,0),1,0)*Table_NFI[[#This Row],[Jerry Can]],Table_NFI[Jerry Can])</f>
        <v>0</v>
      </c>
      <c r="AO59" s="579" t="str">
        <f>IFERROR(VLOOKUP(Table_NFI[[#This Row],[Camp Name]],CL,2,0),"")</f>
        <v>MMR001CMP214</v>
      </c>
      <c r="AP59" s="574">
        <f ca="1">IF(Table_NFI[[#This Row],[Pcode]]="","",IF(OFFSET(CampList[Opening Date],MATCH(Table_NFI[[#This Row],[Pcode]],CampList[CP_Pcode],0)-1,0,1,1)&gt;=NFI_Monitor_Date,1,0))</f>
        <v>0</v>
      </c>
      <c r="AQ59" s="579" t="str">
        <f>IFERROR(VLOOKUP(Table_NFI[[#This Row],[Camp Name]],CL,3,0),"")</f>
        <v>Closed</v>
      </c>
      <c r="AR59" s="378" t="str">
        <f ca="1">IF(Table_NFI[[#This Row],[Pcode]]="","",OFFSET(CampList[Priority],MATCH(Table_NFI[[#This Row],[Pcode]],CampList[CP_Pcode],0)-1,0,1,1))</f>
        <v/>
      </c>
      <c r="AS59" s="377" t="str">
        <f>IFERROR(Table_NFI[[#This Row],[Kitchen Set]]/VLOOKUP(Table_NFI[[#This Row],[Camp Name]],CL,4,0),"")</f>
        <v/>
      </c>
      <c r="AT59" s="572"/>
      <c r="AU59" s="575"/>
    </row>
    <row r="60" spans="1:47" s="130" customFormat="1" x14ac:dyDescent="0.25">
      <c r="A60" s="381">
        <f t="shared" si="0"/>
        <v>19.3</v>
      </c>
      <c r="B60" s="571">
        <v>41943</v>
      </c>
      <c r="C60" s="572" t="s">
        <v>454</v>
      </c>
      <c r="D60" s="572"/>
      <c r="E60" s="572" t="s">
        <v>380</v>
      </c>
      <c r="F60" s="572" t="s">
        <v>529</v>
      </c>
      <c r="G60" s="572" t="s">
        <v>52</v>
      </c>
      <c r="H60" s="375"/>
      <c r="I60" s="375"/>
      <c r="J60" s="375">
        <v>38</v>
      </c>
      <c r="K60" s="375">
        <v>76</v>
      </c>
      <c r="L60" s="376">
        <v>38</v>
      </c>
      <c r="M60" s="376">
        <v>76</v>
      </c>
      <c r="N60" s="376">
        <v>38</v>
      </c>
      <c r="O60" s="376"/>
      <c r="P60" s="378">
        <v>38</v>
      </c>
      <c r="Q60" s="378">
        <v>190</v>
      </c>
      <c r="R60" s="378"/>
      <c r="S60" s="378"/>
      <c r="T60" s="378"/>
      <c r="U60" s="378"/>
      <c r="V60" s="533"/>
      <c r="W60" s="378"/>
      <c r="X60" s="378"/>
      <c r="Y60" s="378">
        <f>IF(NFI_Expiration=1,IF($A60&lt;VLOOKUP(H$5,NFI,5,0),1,0)*Table_NFI[[#This Row],[Hygiene Kit]],Table_NFI[Hygiene Kit])</f>
        <v>0</v>
      </c>
      <c r="Z60" s="378">
        <f>IF(NFI_Expiration=1,IF($A60&lt;VLOOKUP(I$5,NFI,5,0),1,0)*Table_NFI[[#This Row],[NFI Core Kit]],Table_NFI[NFI Core Kit])</f>
        <v>0</v>
      </c>
      <c r="AA60" s="378">
        <f>IF(NFI_Expiration=1,IF($A60&lt;VLOOKUP(J$5,NFI,5,0),1,0)*Table_NFI[[#This Row],[Sanitary Kit]],Table_NFI[Sanitary Kit])</f>
        <v>0</v>
      </c>
      <c r="AB60" s="378">
        <f>IF(NFI_Expiration=1,IF($A60&lt;VLOOKUP(K$5,NFI,5,0),1,0)*Table_NFI[[#This Row],[Mosquito net]],Table_NFI[Mosquito net])</f>
        <v>0</v>
      </c>
      <c r="AC60" s="378">
        <f>IF(NFI_Expiration=1,IF($A60&lt;VLOOKUP(L$5,NFI,5,0),1,0)*Table_NFI[[#This Row],[Tarpaulin]],Table_NFI[[#This Row],[Tarpaulin]])</f>
        <v>0</v>
      </c>
      <c r="AD60" s="378">
        <f>IF(NFI_Expiration=1,IF($A60&lt;VLOOKUP(M$5,NFI,5,0),1,0)*Table_NFI[[#This Row],[Blanket]],Table_NFI[[#This Row],[Blanket]])</f>
        <v>0</v>
      </c>
      <c r="AE60" s="378">
        <f>IF(NFI_Expiration=1,IF($A60&lt;VLOOKUP(N$5,NFI,5,0),1,0)*Table_NFI[[#This Row],[Kitchen Set]],Table_NFI[Kitchen Set])</f>
        <v>0</v>
      </c>
      <c r="AF60" s="378">
        <f>IF(NFI_Expiration=1,IF($A60&lt;VLOOKUP(O$5,NFI,5,0),1,0)*Table_NFI[[#This Row],[Clothes Kit]],Table_NFI[Clothes Kit])</f>
        <v>0</v>
      </c>
      <c r="AG60" s="378">
        <f>IF(NFI_Expiration=1,IF($A60&lt;VLOOKUP(P$5,NFI,5,0),1,0)*Table_NFI[[#This Row],[Plastic Bucket]],Table_NFI[Plastic Bucket])</f>
        <v>0</v>
      </c>
      <c r="AH60" s="378">
        <f>IF(NFI_Expiration=1,IF($A60&lt;VLOOKUP(Q$5,NFI,5,0),1,0)*Table_NFI[[#This Row],[Plastic Mat]],Table_NFI[Plastic Mat])*IF(Table_NFI[[#This Row],[Distribution Date]]&gt;"2014-04-01",1,2.5)</f>
        <v>0</v>
      </c>
      <c r="AI60" s="378">
        <f>IF(NFI_Expiration=1,IF($A60&lt;VLOOKUP(R$5,NFI,5,0),1,0)*Table_NFI[[#This Row],[Winter Clothes Adult]],Table_NFI[Winter Clothes Adult])</f>
        <v>0</v>
      </c>
      <c r="AJ60" s="378">
        <f>IF(NFI_Expiration=1,IF($A60&lt;VLOOKUP(S$5,NFI,5,0),1,0)*Table_NFI[[#This Row],[Winter Clothes Children]],Table_NFI[Winter Clothes Children])</f>
        <v>0</v>
      </c>
      <c r="AK60" s="378">
        <f>IF(NFI_Expiration=1,IF($A60&lt;VLOOKUP(T$5,NFI,5,0),1,0)*Table_NFI[[#This Row],[Winter Items Other]],Table_NFI[Winter Items Other])</f>
        <v>0</v>
      </c>
      <c r="AL60" s="378">
        <f>IF(NFI_Expiration=1,IF($A60&lt;VLOOKUP(M$5,NFI,5,0),1,0)*Table_NFI[[#This Row],[Winter Blanket]],Table_NFI[[#This Row],[Winter Blanket]])</f>
        <v>0</v>
      </c>
      <c r="AM60" s="378">
        <f>IF(Table_NFI[[#This Row],[Winter Clothes Adult]]+Table_NFI[[#This Row],[Winter Clothes Children]]+Table_NFI[[#This Row],[Winter Items Other]]+Table_NFI[[#This Row],[Winter Blanket]]&gt;0,1,0)</f>
        <v>0</v>
      </c>
      <c r="AN60" s="418">
        <f>IF(NFI_Expiration=1,IF($A60&lt;VLOOKUP(V$5,NFI,5,0),1,0)*Table_NFI[[#This Row],[Jerry Can]],Table_NFI[Jerry Can])</f>
        <v>0</v>
      </c>
      <c r="AO60" s="579" t="str">
        <f>IFERROR(VLOOKUP(Table_NFI[[#This Row],[Camp Name]],CL,2,0),"")</f>
        <v>MMR001CMP169</v>
      </c>
      <c r="AP60" s="574">
        <f ca="1">IF(Table_NFI[[#This Row],[Pcode]]="","",IF(OFFSET(CampList[Opening Date],MATCH(Table_NFI[[#This Row],[Pcode]],CampList[CP_Pcode],0)-1,0,1,1)&gt;=NFI_Monitor_Date,1,0))</f>
        <v>0</v>
      </c>
      <c r="AQ60" s="579" t="str">
        <f>IFERROR(VLOOKUP(Table_NFI[[#This Row],[Camp Name]],CL,3,0),"")</f>
        <v>Open</v>
      </c>
      <c r="AR60" s="378" t="str">
        <f ca="1">IF(Table_NFI[[#This Row],[Pcode]]="","",OFFSET(CampList[Priority],MATCH(Table_NFI[[#This Row],[Pcode]],CampList[CP_Pcode],0)-1,0,1,1))</f>
        <v>P4</v>
      </c>
      <c r="AS60" s="377">
        <f>IFERROR(Table_NFI[[#This Row],[Kitchen Set]]/VLOOKUP(Table_NFI[[#This Row],[Camp Name]],CL,4,0),"")</f>
        <v>1.0555555555555556</v>
      </c>
      <c r="AT60" s="572"/>
      <c r="AU60" s="575"/>
    </row>
    <row r="61" spans="1:47" s="130" customFormat="1" x14ac:dyDescent="0.25">
      <c r="A61" s="381">
        <f t="shared" si="0"/>
        <v>19.5</v>
      </c>
      <c r="B61" s="571">
        <v>41937</v>
      </c>
      <c r="C61" s="572" t="s">
        <v>1097</v>
      </c>
      <c r="D61" s="572" t="s">
        <v>903</v>
      </c>
      <c r="E61" s="572" t="s">
        <v>380</v>
      </c>
      <c r="F61" s="572" t="s">
        <v>529</v>
      </c>
      <c r="G61" s="572" t="s">
        <v>52</v>
      </c>
      <c r="H61" s="375"/>
      <c r="I61" s="375"/>
      <c r="J61" s="375"/>
      <c r="K61" s="375"/>
      <c r="L61" s="376"/>
      <c r="M61" s="376"/>
      <c r="N61" s="376"/>
      <c r="O61" s="376"/>
      <c r="P61" s="378"/>
      <c r="Q61" s="378"/>
      <c r="R61" s="378">
        <v>123</v>
      </c>
      <c r="S61" s="378">
        <v>104</v>
      </c>
      <c r="T61" s="378"/>
      <c r="U61" s="378"/>
      <c r="V61" s="533"/>
      <c r="W61" s="378"/>
      <c r="X61" s="378"/>
      <c r="Y61" s="378">
        <f>IF(NFI_Expiration=1,IF($A61&lt;VLOOKUP(H$5,NFI,5,0),1,0)*Table_NFI[[#This Row],[Hygiene Kit]],Table_NFI[Hygiene Kit])</f>
        <v>0</v>
      </c>
      <c r="Z61" s="378">
        <f>IF(NFI_Expiration=1,IF($A61&lt;VLOOKUP(I$5,NFI,5,0),1,0)*Table_NFI[[#This Row],[NFI Core Kit]],Table_NFI[NFI Core Kit])</f>
        <v>0</v>
      </c>
      <c r="AA61" s="378">
        <f>IF(NFI_Expiration=1,IF($A61&lt;VLOOKUP(J$5,NFI,5,0),1,0)*Table_NFI[[#This Row],[Sanitary Kit]],Table_NFI[Sanitary Kit])</f>
        <v>0</v>
      </c>
      <c r="AB61" s="378">
        <f>IF(NFI_Expiration=1,IF($A61&lt;VLOOKUP(K$5,NFI,5,0),1,0)*Table_NFI[[#This Row],[Mosquito net]],Table_NFI[Mosquito net])</f>
        <v>0</v>
      </c>
      <c r="AC61" s="378">
        <f>IF(NFI_Expiration=1,IF($A61&lt;VLOOKUP(L$5,NFI,5,0),1,0)*Table_NFI[[#This Row],[Tarpaulin]],Table_NFI[[#This Row],[Tarpaulin]])</f>
        <v>0</v>
      </c>
      <c r="AD61" s="378">
        <f>IF(NFI_Expiration=1,IF($A61&lt;VLOOKUP(M$5,NFI,5,0),1,0)*Table_NFI[[#This Row],[Blanket]],Table_NFI[[#This Row],[Blanket]])</f>
        <v>0</v>
      </c>
      <c r="AE61" s="378">
        <f>IF(NFI_Expiration=1,IF($A61&lt;VLOOKUP(N$5,NFI,5,0),1,0)*Table_NFI[[#This Row],[Kitchen Set]],Table_NFI[Kitchen Set])</f>
        <v>0</v>
      </c>
      <c r="AF61" s="378">
        <f>IF(NFI_Expiration=1,IF($A61&lt;VLOOKUP(O$5,NFI,5,0),1,0)*Table_NFI[[#This Row],[Clothes Kit]],Table_NFI[Clothes Kit])</f>
        <v>0</v>
      </c>
      <c r="AG61" s="378">
        <f>IF(NFI_Expiration=1,IF($A61&lt;VLOOKUP(P$5,NFI,5,0),1,0)*Table_NFI[[#This Row],[Plastic Bucket]],Table_NFI[Plastic Bucket])</f>
        <v>0</v>
      </c>
      <c r="AH61" s="378">
        <f>IF(NFI_Expiration=1,IF($A61&lt;VLOOKUP(Q$5,NFI,5,0),1,0)*Table_NFI[[#This Row],[Plastic Mat]],Table_NFI[Plastic Mat])*IF(Table_NFI[[#This Row],[Distribution Date]]&gt;"2014-04-01",1,2.5)</f>
        <v>0</v>
      </c>
      <c r="AI61" s="378">
        <f>IF(NFI_Expiration=1,IF($A61&lt;VLOOKUP(R$5,NFI,5,0),1,0)*Table_NFI[[#This Row],[Winter Clothes Adult]],Table_NFI[Winter Clothes Adult])</f>
        <v>0</v>
      </c>
      <c r="AJ61" s="378">
        <f>IF(NFI_Expiration=1,IF($A61&lt;VLOOKUP(S$5,NFI,5,0),1,0)*Table_NFI[[#This Row],[Winter Clothes Children]],Table_NFI[Winter Clothes Children])</f>
        <v>0</v>
      </c>
      <c r="AK61" s="378">
        <f>IF(NFI_Expiration=1,IF($A61&lt;VLOOKUP(T$5,NFI,5,0),1,0)*Table_NFI[[#This Row],[Winter Items Other]],Table_NFI[Winter Items Other])</f>
        <v>0</v>
      </c>
      <c r="AL61" s="378">
        <f>IF(NFI_Expiration=1,IF($A61&lt;VLOOKUP(M$5,NFI,5,0),1,0)*Table_NFI[[#This Row],[Winter Blanket]],Table_NFI[[#This Row],[Winter Blanket]])</f>
        <v>0</v>
      </c>
      <c r="AM61" s="378">
        <f>IF(Table_NFI[[#This Row],[Winter Clothes Adult]]+Table_NFI[[#This Row],[Winter Clothes Children]]+Table_NFI[[#This Row],[Winter Items Other]]+Table_NFI[[#This Row],[Winter Blanket]]&gt;0,1,0)</f>
        <v>1</v>
      </c>
      <c r="AN61" s="418">
        <f>IF(NFI_Expiration=1,IF($A61&lt;VLOOKUP(V$5,NFI,5,0),1,0)*Table_NFI[[#This Row],[Jerry Can]],Table_NFI[Jerry Can])</f>
        <v>0</v>
      </c>
      <c r="AO61" s="579" t="str">
        <f>IFERROR(VLOOKUP(Table_NFI[[#This Row],[Camp Name]],CL,2,0),"")</f>
        <v>MMR001CMP169</v>
      </c>
      <c r="AP61" s="574">
        <f ca="1">IF(Table_NFI[[#This Row],[Pcode]]="","",IF(OFFSET(CampList[Opening Date],MATCH(Table_NFI[[#This Row],[Pcode]],CampList[CP_Pcode],0)-1,0,1,1)&gt;=NFI_Monitor_Date,1,0))</f>
        <v>0</v>
      </c>
      <c r="AQ61" s="579" t="str">
        <f>IFERROR(VLOOKUP(Table_NFI[[#This Row],[Camp Name]],CL,3,0),"")</f>
        <v>Open</v>
      </c>
      <c r="AR61" s="378" t="str">
        <f ca="1">IF(Table_NFI[[#This Row],[Pcode]]="","",OFFSET(CampList[Priority],MATCH(Table_NFI[[#This Row],[Pcode]],CampList[CP_Pcode],0)-1,0,1,1))</f>
        <v>P4</v>
      </c>
      <c r="AS61" s="377">
        <f>IFERROR(Table_NFI[[#This Row],[Kitchen Set]]/VLOOKUP(Table_NFI[[#This Row],[Camp Name]],CL,4,0),"")</f>
        <v>0</v>
      </c>
      <c r="AT61" s="572"/>
      <c r="AU61" s="575"/>
    </row>
    <row r="62" spans="1:47" s="130" customFormat="1" x14ac:dyDescent="0.25">
      <c r="A62" s="381">
        <f t="shared" si="0"/>
        <v>40.43333333333333</v>
      </c>
      <c r="B62" s="571">
        <v>41309</v>
      </c>
      <c r="C62" s="572" t="s">
        <v>903</v>
      </c>
      <c r="D62" s="573" t="s">
        <v>903</v>
      </c>
      <c r="E62" s="572" t="s">
        <v>380</v>
      </c>
      <c r="F62" s="374" t="s">
        <v>529</v>
      </c>
      <c r="G62" s="374" t="s">
        <v>52</v>
      </c>
      <c r="H62" s="375"/>
      <c r="I62" s="375"/>
      <c r="J62" s="375"/>
      <c r="K62" s="375"/>
      <c r="L62" s="376"/>
      <c r="M62" s="376"/>
      <c r="N62" s="376">
        <v>106</v>
      </c>
      <c r="O62" s="376"/>
      <c r="P62" s="378">
        <v>0</v>
      </c>
      <c r="Q62" s="378">
        <v>0</v>
      </c>
      <c r="R62" s="378"/>
      <c r="S62" s="378"/>
      <c r="T62" s="378"/>
      <c r="U62" s="378"/>
      <c r="V62" s="533"/>
      <c r="W62" s="378"/>
      <c r="X62" s="378"/>
      <c r="Y62" s="378">
        <f>IF(NFI_Expiration=1,IF($A62&lt;VLOOKUP(H$5,NFI,5,0),1,0)*Table_NFI[[#This Row],[Hygiene Kit]],Table_NFI[Hygiene Kit])</f>
        <v>0</v>
      </c>
      <c r="Z62" s="378">
        <f>IF(NFI_Expiration=1,IF($A62&lt;VLOOKUP(I$5,NFI,5,0),1,0)*Table_NFI[[#This Row],[NFI Core Kit]],Table_NFI[NFI Core Kit])</f>
        <v>0</v>
      </c>
      <c r="AA62" s="378">
        <f>IF(NFI_Expiration=1,IF($A62&lt;VLOOKUP(J$5,NFI,5,0),1,0)*Table_NFI[[#This Row],[Sanitary Kit]],Table_NFI[Sanitary Kit])</f>
        <v>0</v>
      </c>
      <c r="AB62" s="378">
        <f>IF(NFI_Expiration=1,IF($A62&lt;VLOOKUP(K$5,NFI,5,0),1,0)*Table_NFI[[#This Row],[Mosquito net]],Table_NFI[Mosquito net])</f>
        <v>0</v>
      </c>
      <c r="AC62" s="378">
        <f>IF(NFI_Expiration=1,IF($A62&lt;VLOOKUP(L$5,NFI,5,0),1,0)*Table_NFI[[#This Row],[Tarpaulin]],Table_NFI[[#This Row],[Tarpaulin]])</f>
        <v>0</v>
      </c>
      <c r="AD62" s="378">
        <f>IF(NFI_Expiration=1,IF($A62&lt;VLOOKUP(M$5,NFI,5,0),1,0)*Table_NFI[[#This Row],[Blanket]],Table_NFI[[#This Row],[Blanket]])</f>
        <v>0</v>
      </c>
      <c r="AE62" s="378">
        <f>IF(NFI_Expiration=1,IF($A62&lt;VLOOKUP(N$5,NFI,5,0),1,0)*Table_NFI[[#This Row],[Kitchen Set]],Table_NFI[Kitchen Set])</f>
        <v>0</v>
      </c>
      <c r="AF62" s="378">
        <f>IF(NFI_Expiration=1,IF($A62&lt;VLOOKUP(O$5,NFI,5,0),1,0)*Table_NFI[[#This Row],[Clothes Kit]],Table_NFI[Clothes Kit])</f>
        <v>0</v>
      </c>
      <c r="AG62" s="378">
        <f>IF(NFI_Expiration=1,IF($A62&lt;VLOOKUP(P$5,NFI,5,0),1,0)*Table_NFI[[#This Row],[Plastic Bucket]],Table_NFI[Plastic Bucket])</f>
        <v>0</v>
      </c>
      <c r="AH62" s="378">
        <f>IF(NFI_Expiration=1,IF($A62&lt;VLOOKUP(Q$5,NFI,5,0),1,0)*Table_NFI[[#This Row],[Plastic Mat]],Table_NFI[Plastic Mat])*IF(Table_NFI[[#This Row],[Distribution Date]]&gt;"2014-04-01",1,2.5)</f>
        <v>0</v>
      </c>
      <c r="AI62" s="378">
        <f>IF(NFI_Expiration=1,IF($A62&lt;VLOOKUP(R$5,NFI,5,0),1,0)*Table_NFI[[#This Row],[Winter Clothes Adult]],Table_NFI[Winter Clothes Adult])</f>
        <v>0</v>
      </c>
      <c r="AJ62" s="378">
        <f>IF(NFI_Expiration=1,IF($A62&lt;VLOOKUP(S$5,NFI,5,0),1,0)*Table_NFI[[#This Row],[Winter Clothes Children]],Table_NFI[Winter Clothes Children])</f>
        <v>0</v>
      </c>
      <c r="AK62" s="378">
        <f>IF(NFI_Expiration=1,IF($A62&lt;VLOOKUP(T$5,NFI,5,0),1,0)*Table_NFI[[#This Row],[Winter Items Other]],Table_NFI[Winter Items Other])</f>
        <v>0</v>
      </c>
      <c r="AL62" s="378">
        <f>IF(NFI_Expiration=1,IF($A62&lt;VLOOKUP(M$5,NFI,5,0),1,0)*Table_NFI[[#This Row],[Winter Blanket]],Table_NFI[[#This Row],[Winter Blanket]])</f>
        <v>0</v>
      </c>
      <c r="AM62" s="378">
        <f>IF(Table_NFI[[#This Row],[Winter Clothes Adult]]+Table_NFI[[#This Row],[Winter Clothes Children]]+Table_NFI[[#This Row],[Winter Items Other]]+Table_NFI[[#This Row],[Winter Blanket]]&gt;0,1,0)</f>
        <v>0</v>
      </c>
      <c r="AN62" s="418">
        <f>IF(NFI_Expiration=1,IF($A62&lt;VLOOKUP(V$5,NFI,5,0),1,0)*Table_NFI[[#This Row],[Jerry Can]],Table_NFI[Jerry Can])</f>
        <v>0</v>
      </c>
      <c r="AO62" s="579" t="str">
        <f>IFERROR(VLOOKUP(Table_NFI[[#This Row],[Camp Name]],CL,2,0),"")</f>
        <v>MMR001CMP169</v>
      </c>
      <c r="AP62" s="574">
        <f ca="1">IF(Table_NFI[[#This Row],[Pcode]]="","",IF(OFFSET(CampList[Opening Date],MATCH(Table_NFI[[#This Row],[Pcode]],CampList[CP_Pcode],0)-1,0,1,1)&gt;=NFI_Monitor_Date,1,0))</f>
        <v>0</v>
      </c>
      <c r="AQ62" s="579" t="str">
        <f>IFERROR(VLOOKUP(Table_NFI[[#This Row],[Camp Name]],CL,3,0),"")</f>
        <v>Open</v>
      </c>
      <c r="AR62" s="378" t="str">
        <f ca="1">IF(Table_NFI[[#This Row],[Pcode]]="","",OFFSET(CampList[Priority],MATCH(Table_NFI[[#This Row],[Pcode]],CampList[CP_Pcode],0)-1,0,1,1))</f>
        <v>P4</v>
      </c>
      <c r="AS62" s="377">
        <f>IFERROR(Table_NFI[[#This Row],[Kitchen Set]]/VLOOKUP(Table_NFI[[#This Row],[Camp Name]],CL,4,0),"")</f>
        <v>2.9444444444444446</v>
      </c>
      <c r="AT62" s="572" t="s">
        <v>1095</v>
      </c>
      <c r="AU62" s="575"/>
    </row>
    <row r="63" spans="1:47" s="576" customFormat="1" x14ac:dyDescent="0.25">
      <c r="A63" s="381">
        <f t="shared" si="0"/>
        <v>41.6</v>
      </c>
      <c r="B63" s="571">
        <v>41274</v>
      </c>
      <c r="C63" s="572" t="s">
        <v>455</v>
      </c>
      <c r="D63" s="573" t="s">
        <v>455</v>
      </c>
      <c r="E63" s="572" t="s">
        <v>380</v>
      </c>
      <c r="F63" s="374" t="s">
        <v>529</v>
      </c>
      <c r="G63" s="374" t="s">
        <v>52</v>
      </c>
      <c r="H63" s="375">
        <v>20</v>
      </c>
      <c r="I63" s="375"/>
      <c r="J63" s="375"/>
      <c r="K63" s="375"/>
      <c r="L63" s="376"/>
      <c r="M63" s="376"/>
      <c r="N63" s="376"/>
      <c r="O63" s="376"/>
      <c r="P63" s="378">
        <v>0</v>
      </c>
      <c r="Q63" s="378">
        <v>0</v>
      </c>
      <c r="R63" s="378"/>
      <c r="S63" s="378"/>
      <c r="T63" s="378"/>
      <c r="U63" s="378"/>
      <c r="V63" s="533"/>
      <c r="W63" s="378"/>
      <c r="X63" s="378"/>
      <c r="Y63" s="378">
        <f>IF(NFI_Expiration=1,IF($A63&lt;VLOOKUP(H$5,NFI,5,0),1,0)*Table_NFI[[#This Row],[Hygiene Kit]],Table_NFI[Hygiene Kit])</f>
        <v>0</v>
      </c>
      <c r="Z63" s="378">
        <f>IF(NFI_Expiration=1,IF($A63&lt;VLOOKUP(I$5,NFI,5,0),1,0)*Table_NFI[[#This Row],[NFI Core Kit]],Table_NFI[NFI Core Kit])</f>
        <v>0</v>
      </c>
      <c r="AA63" s="378">
        <f>IF(NFI_Expiration=1,IF($A63&lt;VLOOKUP(J$5,NFI,5,0),1,0)*Table_NFI[[#This Row],[Sanitary Kit]],Table_NFI[Sanitary Kit])</f>
        <v>0</v>
      </c>
      <c r="AB63" s="378">
        <f>IF(NFI_Expiration=1,IF($A63&lt;VLOOKUP(K$5,NFI,5,0),1,0)*Table_NFI[[#This Row],[Mosquito net]],Table_NFI[Mosquito net])</f>
        <v>0</v>
      </c>
      <c r="AC63" s="378">
        <f>IF(NFI_Expiration=1,IF($A63&lt;VLOOKUP(L$5,NFI,5,0),1,0)*Table_NFI[[#This Row],[Tarpaulin]],Table_NFI[[#This Row],[Tarpaulin]])</f>
        <v>0</v>
      </c>
      <c r="AD63" s="378">
        <f>IF(NFI_Expiration=1,IF($A63&lt;VLOOKUP(M$5,NFI,5,0),1,0)*Table_NFI[[#This Row],[Blanket]],Table_NFI[[#This Row],[Blanket]])</f>
        <v>0</v>
      </c>
      <c r="AE63" s="378">
        <f>IF(NFI_Expiration=1,IF($A63&lt;VLOOKUP(N$5,NFI,5,0),1,0)*Table_NFI[[#This Row],[Kitchen Set]],Table_NFI[Kitchen Set])</f>
        <v>0</v>
      </c>
      <c r="AF63" s="378">
        <f>IF(NFI_Expiration=1,IF($A63&lt;VLOOKUP(O$5,NFI,5,0),1,0)*Table_NFI[[#This Row],[Clothes Kit]],Table_NFI[Clothes Kit])</f>
        <v>0</v>
      </c>
      <c r="AG63" s="378">
        <f>IF(NFI_Expiration=1,IF($A63&lt;VLOOKUP(P$5,NFI,5,0),1,0)*Table_NFI[[#This Row],[Plastic Bucket]],Table_NFI[Plastic Bucket])</f>
        <v>0</v>
      </c>
      <c r="AH63" s="378">
        <f>IF(NFI_Expiration=1,IF($A63&lt;VLOOKUP(Q$5,NFI,5,0),1,0)*Table_NFI[[#This Row],[Plastic Mat]],Table_NFI[Plastic Mat])*IF(Table_NFI[[#This Row],[Distribution Date]]&gt;"2014-04-01",1,2.5)</f>
        <v>0</v>
      </c>
      <c r="AI63" s="378">
        <f>IF(NFI_Expiration=1,IF($A63&lt;VLOOKUP(R$5,NFI,5,0),1,0)*Table_NFI[[#This Row],[Winter Clothes Adult]],Table_NFI[Winter Clothes Adult])</f>
        <v>0</v>
      </c>
      <c r="AJ63" s="378">
        <f>IF(NFI_Expiration=1,IF($A63&lt;VLOOKUP(S$5,NFI,5,0),1,0)*Table_NFI[[#This Row],[Winter Clothes Children]],Table_NFI[Winter Clothes Children])</f>
        <v>0</v>
      </c>
      <c r="AK63" s="378">
        <f>IF(NFI_Expiration=1,IF($A63&lt;VLOOKUP(T$5,NFI,5,0),1,0)*Table_NFI[[#This Row],[Winter Items Other]],Table_NFI[Winter Items Other])</f>
        <v>0</v>
      </c>
      <c r="AL63" s="378">
        <f>IF(NFI_Expiration=1,IF($A63&lt;VLOOKUP(M$5,NFI,5,0),1,0)*Table_NFI[[#This Row],[Winter Blanket]],Table_NFI[[#This Row],[Winter Blanket]])</f>
        <v>0</v>
      </c>
      <c r="AM63" s="378">
        <f>IF(Table_NFI[[#This Row],[Winter Clothes Adult]]+Table_NFI[[#This Row],[Winter Clothes Children]]+Table_NFI[[#This Row],[Winter Items Other]]+Table_NFI[[#This Row],[Winter Blanket]]&gt;0,1,0)</f>
        <v>0</v>
      </c>
      <c r="AN63" s="418">
        <f>IF(NFI_Expiration=1,IF($A63&lt;VLOOKUP(V$5,NFI,5,0),1,0)*Table_NFI[[#This Row],[Jerry Can]],Table_NFI[Jerry Can])</f>
        <v>0</v>
      </c>
      <c r="AO63" s="579" t="str">
        <f>IFERROR(VLOOKUP(Table_NFI[[#This Row],[Camp Name]],CL,2,0),"")</f>
        <v>MMR001CMP169</v>
      </c>
      <c r="AP63" s="574">
        <f ca="1">IF(Table_NFI[[#This Row],[Pcode]]="","",IF(OFFSET(CampList[Opening Date],MATCH(Table_NFI[[#This Row],[Pcode]],CampList[CP_Pcode],0)-1,0,1,1)&gt;=NFI_Monitor_Date,1,0))</f>
        <v>0</v>
      </c>
      <c r="AQ63" s="579" t="str">
        <f>IFERROR(VLOOKUP(Table_NFI[[#This Row],[Camp Name]],CL,3,0),"")</f>
        <v>Open</v>
      </c>
      <c r="AR63" s="378" t="str">
        <f ca="1">IF(Table_NFI[[#This Row],[Pcode]]="","",OFFSET(CampList[Priority],MATCH(Table_NFI[[#This Row],[Pcode]],CampList[CP_Pcode],0)-1,0,1,1))</f>
        <v>P4</v>
      </c>
      <c r="AS63" s="377">
        <f>IFERROR(Table_NFI[[#This Row],[Kitchen Set]]/VLOOKUP(Table_NFI[[#This Row],[Camp Name]],CL,4,0),"")</f>
        <v>0</v>
      </c>
      <c r="AT63" s="572" t="s">
        <v>1095</v>
      </c>
      <c r="AU63" s="575"/>
    </row>
    <row r="64" spans="1:47" s="576" customFormat="1" x14ac:dyDescent="0.25">
      <c r="A64" s="381">
        <f t="shared" si="0"/>
        <v>53.366666666666667</v>
      </c>
      <c r="B64" s="571">
        <v>40921</v>
      </c>
      <c r="C64" s="572" t="s">
        <v>454</v>
      </c>
      <c r="D64" s="573" t="s">
        <v>462</v>
      </c>
      <c r="E64" s="572" t="s">
        <v>380</v>
      </c>
      <c r="F64" s="374" t="s">
        <v>529</v>
      </c>
      <c r="G64" s="374" t="s">
        <v>52</v>
      </c>
      <c r="H64" s="375"/>
      <c r="I64" s="375"/>
      <c r="J64" s="375"/>
      <c r="K64" s="375">
        <v>70</v>
      </c>
      <c r="L64" s="376">
        <v>35</v>
      </c>
      <c r="M64" s="376">
        <v>35</v>
      </c>
      <c r="N64" s="376">
        <v>0</v>
      </c>
      <c r="O64" s="376">
        <v>35</v>
      </c>
      <c r="P64" s="378">
        <v>35</v>
      </c>
      <c r="Q64" s="378">
        <v>35</v>
      </c>
      <c r="R64" s="378"/>
      <c r="S64" s="378"/>
      <c r="T64" s="378"/>
      <c r="U64" s="378"/>
      <c r="V64" s="533"/>
      <c r="W64" s="378"/>
      <c r="X64" s="378"/>
      <c r="Y64" s="378">
        <f>IF(NFI_Expiration=1,IF($A64&lt;VLOOKUP(H$5,NFI,5,0),1,0)*Table_NFI[[#This Row],[Hygiene Kit]],Table_NFI[Hygiene Kit])</f>
        <v>0</v>
      </c>
      <c r="Z64" s="378">
        <f>IF(NFI_Expiration=1,IF($A64&lt;VLOOKUP(I$5,NFI,5,0),1,0)*Table_NFI[[#This Row],[NFI Core Kit]],Table_NFI[NFI Core Kit])</f>
        <v>0</v>
      </c>
      <c r="AA64" s="378">
        <f>IF(NFI_Expiration=1,IF($A64&lt;VLOOKUP(J$5,NFI,5,0),1,0)*Table_NFI[[#This Row],[Sanitary Kit]],Table_NFI[Sanitary Kit])</f>
        <v>0</v>
      </c>
      <c r="AB64" s="378">
        <f>IF(NFI_Expiration=1,IF($A64&lt;VLOOKUP(K$5,NFI,5,0),1,0)*Table_NFI[[#This Row],[Mosquito net]],Table_NFI[Mosquito net])</f>
        <v>0</v>
      </c>
      <c r="AC64" s="378">
        <f>IF(NFI_Expiration=1,IF($A64&lt;VLOOKUP(L$5,NFI,5,0),1,0)*Table_NFI[[#This Row],[Tarpaulin]],Table_NFI[[#This Row],[Tarpaulin]])</f>
        <v>0</v>
      </c>
      <c r="AD64" s="378">
        <f>IF(NFI_Expiration=1,IF($A64&lt;VLOOKUP(M$5,NFI,5,0),1,0)*Table_NFI[[#This Row],[Blanket]],Table_NFI[[#This Row],[Blanket]])</f>
        <v>0</v>
      </c>
      <c r="AE64" s="378">
        <f>IF(NFI_Expiration=1,IF($A64&lt;VLOOKUP(N$5,NFI,5,0),1,0)*Table_NFI[[#This Row],[Kitchen Set]],Table_NFI[Kitchen Set])</f>
        <v>0</v>
      </c>
      <c r="AF64" s="378">
        <f>IF(NFI_Expiration=1,IF($A64&lt;VLOOKUP(O$5,NFI,5,0),1,0)*Table_NFI[[#This Row],[Clothes Kit]],Table_NFI[Clothes Kit])</f>
        <v>0</v>
      </c>
      <c r="AG64" s="378">
        <f>IF(NFI_Expiration=1,IF($A64&lt;VLOOKUP(P$5,NFI,5,0),1,0)*Table_NFI[[#This Row],[Plastic Bucket]],Table_NFI[Plastic Bucket])</f>
        <v>0</v>
      </c>
      <c r="AH64" s="378">
        <f>IF(NFI_Expiration=1,IF($A64&lt;VLOOKUP(Q$5,NFI,5,0),1,0)*Table_NFI[[#This Row],[Plastic Mat]],Table_NFI[Plastic Mat])*IF(Table_NFI[[#This Row],[Distribution Date]]&gt;"2014-04-01",1,2.5)</f>
        <v>0</v>
      </c>
      <c r="AI64" s="378">
        <f>IF(NFI_Expiration=1,IF($A64&lt;VLOOKUP(R$5,NFI,5,0),1,0)*Table_NFI[[#This Row],[Winter Clothes Adult]],Table_NFI[Winter Clothes Adult])</f>
        <v>0</v>
      </c>
      <c r="AJ64" s="378">
        <f>IF(NFI_Expiration=1,IF($A64&lt;VLOOKUP(S$5,NFI,5,0),1,0)*Table_NFI[[#This Row],[Winter Clothes Children]],Table_NFI[Winter Clothes Children])</f>
        <v>0</v>
      </c>
      <c r="AK64" s="378">
        <f>IF(NFI_Expiration=1,IF($A64&lt;VLOOKUP(T$5,NFI,5,0),1,0)*Table_NFI[[#This Row],[Winter Items Other]],Table_NFI[Winter Items Other])</f>
        <v>0</v>
      </c>
      <c r="AL64" s="378">
        <f>IF(NFI_Expiration=1,IF($A64&lt;VLOOKUP(M$5,NFI,5,0),1,0)*Table_NFI[[#This Row],[Winter Blanket]],Table_NFI[[#This Row],[Winter Blanket]])</f>
        <v>0</v>
      </c>
      <c r="AM64" s="378">
        <f>IF(Table_NFI[[#This Row],[Winter Clothes Adult]]+Table_NFI[[#This Row],[Winter Clothes Children]]+Table_NFI[[#This Row],[Winter Items Other]]+Table_NFI[[#This Row],[Winter Blanket]]&gt;0,1,0)</f>
        <v>0</v>
      </c>
      <c r="AN64" s="418">
        <f>IF(NFI_Expiration=1,IF($A64&lt;VLOOKUP(V$5,NFI,5,0),1,0)*Table_NFI[[#This Row],[Jerry Can]],Table_NFI[Jerry Can])</f>
        <v>0</v>
      </c>
      <c r="AO64" s="579" t="str">
        <f>IFERROR(VLOOKUP(Table_NFI[[#This Row],[Camp Name]],CL,2,0),"")</f>
        <v>MMR001CMP169</v>
      </c>
      <c r="AP64" s="574">
        <f ca="1">IF(Table_NFI[[#This Row],[Pcode]]="","",IF(OFFSET(CampList[Opening Date],MATCH(Table_NFI[[#This Row],[Pcode]],CampList[CP_Pcode],0)-1,0,1,1)&gt;=NFI_Monitor_Date,1,0))</f>
        <v>0</v>
      </c>
      <c r="AQ64" s="579" t="str">
        <f>IFERROR(VLOOKUP(Table_NFI[[#This Row],[Camp Name]],CL,3,0),"")</f>
        <v>Open</v>
      </c>
      <c r="AR64" s="378" t="str">
        <f ca="1">IF(Table_NFI[[#This Row],[Pcode]]="","",OFFSET(CampList[Priority],MATCH(Table_NFI[[#This Row],[Pcode]],CampList[CP_Pcode],0)-1,0,1,1))</f>
        <v>P4</v>
      </c>
      <c r="AS64" s="377">
        <f>IFERROR(Table_NFI[[#This Row],[Kitchen Set]]/VLOOKUP(Table_NFI[[#This Row],[Camp Name]],CL,4,0),"")</f>
        <v>0</v>
      </c>
      <c r="AT64" s="572" t="s">
        <v>1095</v>
      </c>
      <c r="AU64" s="575"/>
    </row>
    <row r="65" spans="1:47" s="576" customFormat="1" x14ac:dyDescent="0.25">
      <c r="A65" s="381">
        <f t="shared" si="0"/>
        <v>19.5</v>
      </c>
      <c r="B65" s="571">
        <v>41937</v>
      </c>
      <c r="C65" s="572" t="s">
        <v>1097</v>
      </c>
      <c r="D65" s="572" t="s">
        <v>903</v>
      </c>
      <c r="E65" s="572" t="s">
        <v>380</v>
      </c>
      <c r="F65" s="572" t="s">
        <v>529</v>
      </c>
      <c r="G65" s="572" t="s">
        <v>58</v>
      </c>
      <c r="H65" s="375"/>
      <c r="I65" s="375"/>
      <c r="J65" s="375"/>
      <c r="K65" s="375"/>
      <c r="L65" s="376"/>
      <c r="M65" s="376"/>
      <c r="N65" s="376"/>
      <c r="O65" s="376"/>
      <c r="P65" s="378"/>
      <c r="Q65" s="378"/>
      <c r="R65" s="378">
        <v>48</v>
      </c>
      <c r="S65" s="378">
        <v>30</v>
      </c>
      <c r="T65" s="378"/>
      <c r="U65" s="378"/>
      <c r="V65" s="533"/>
      <c r="W65" s="378"/>
      <c r="X65" s="378"/>
      <c r="Y65" s="378">
        <f>IF(NFI_Expiration=1,IF($A65&lt;VLOOKUP(H$5,NFI,5,0),1,0)*Table_NFI[[#This Row],[Hygiene Kit]],Table_NFI[Hygiene Kit])</f>
        <v>0</v>
      </c>
      <c r="Z65" s="378">
        <f>IF(NFI_Expiration=1,IF($A65&lt;VLOOKUP(I$5,NFI,5,0),1,0)*Table_NFI[[#This Row],[NFI Core Kit]],Table_NFI[NFI Core Kit])</f>
        <v>0</v>
      </c>
      <c r="AA65" s="378">
        <f>IF(NFI_Expiration=1,IF($A65&lt;VLOOKUP(J$5,NFI,5,0),1,0)*Table_NFI[[#This Row],[Sanitary Kit]],Table_NFI[Sanitary Kit])</f>
        <v>0</v>
      </c>
      <c r="AB65" s="378">
        <f>IF(NFI_Expiration=1,IF($A65&lt;VLOOKUP(K$5,NFI,5,0),1,0)*Table_NFI[[#This Row],[Mosquito net]],Table_NFI[Mosquito net])</f>
        <v>0</v>
      </c>
      <c r="AC65" s="378">
        <f>IF(NFI_Expiration=1,IF($A65&lt;VLOOKUP(L$5,NFI,5,0),1,0)*Table_NFI[[#This Row],[Tarpaulin]],Table_NFI[[#This Row],[Tarpaulin]])</f>
        <v>0</v>
      </c>
      <c r="AD65" s="378">
        <f>IF(NFI_Expiration=1,IF($A65&lt;VLOOKUP(M$5,NFI,5,0),1,0)*Table_NFI[[#This Row],[Blanket]],Table_NFI[[#This Row],[Blanket]])</f>
        <v>0</v>
      </c>
      <c r="AE65" s="378">
        <f>IF(NFI_Expiration=1,IF($A65&lt;VLOOKUP(N$5,NFI,5,0),1,0)*Table_NFI[[#This Row],[Kitchen Set]],Table_NFI[Kitchen Set])</f>
        <v>0</v>
      </c>
      <c r="AF65" s="378">
        <f>IF(NFI_Expiration=1,IF($A65&lt;VLOOKUP(O$5,NFI,5,0),1,0)*Table_NFI[[#This Row],[Clothes Kit]],Table_NFI[Clothes Kit])</f>
        <v>0</v>
      </c>
      <c r="AG65" s="378">
        <f>IF(NFI_Expiration=1,IF($A65&lt;VLOOKUP(P$5,NFI,5,0),1,0)*Table_NFI[[#This Row],[Plastic Bucket]],Table_NFI[Plastic Bucket])</f>
        <v>0</v>
      </c>
      <c r="AH65" s="378">
        <f>IF(NFI_Expiration=1,IF($A65&lt;VLOOKUP(Q$5,NFI,5,0),1,0)*Table_NFI[[#This Row],[Plastic Mat]],Table_NFI[Plastic Mat])*IF(Table_NFI[[#This Row],[Distribution Date]]&gt;"2014-04-01",1,2.5)</f>
        <v>0</v>
      </c>
      <c r="AI65" s="378">
        <f>IF(NFI_Expiration=1,IF($A65&lt;VLOOKUP(R$5,NFI,5,0),1,0)*Table_NFI[[#This Row],[Winter Clothes Adult]],Table_NFI[Winter Clothes Adult])</f>
        <v>0</v>
      </c>
      <c r="AJ65" s="378">
        <f>IF(NFI_Expiration=1,IF($A65&lt;VLOOKUP(S$5,NFI,5,0),1,0)*Table_NFI[[#This Row],[Winter Clothes Children]],Table_NFI[Winter Clothes Children])</f>
        <v>0</v>
      </c>
      <c r="AK65" s="378">
        <f>IF(NFI_Expiration=1,IF($A65&lt;VLOOKUP(T$5,NFI,5,0),1,0)*Table_NFI[[#This Row],[Winter Items Other]],Table_NFI[Winter Items Other])</f>
        <v>0</v>
      </c>
      <c r="AL65" s="378">
        <f>IF(NFI_Expiration=1,IF($A65&lt;VLOOKUP(M$5,NFI,5,0),1,0)*Table_NFI[[#This Row],[Winter Blanket]],Table_NFI[[#This Row],[Winter Blanket]])</f>
        <v>0</v>
      </c>
      <c r="AM65" s="378">
        <f>IF(Table_NFI[[#This Row],[Winter Clothes Adult]]+Table_NFI[[#This Row],[Winter Clothes Children]]+Table_NFI[[#This Row],[Winter Items Other]]+Table_NFI[[#This Row],[Winter Blanket]]&gt;0,1,0)</f>
        <v>1</v>
      </c>
      <c r="AN65" s="418">
        <f>IF(NFI_Expiration=1,IF($A65&lt;VLOOKUP(V$5,NFI,5,0),1,0)*Table_NFI[[#This Row],[Jerry Can]],Table_NFI[Jerry Can])</f>
        <v>0</v>
      </c>
      <c r="AO65" s="579" t="str">
        <f>IFERROR(VLOOKUP(Table_NFI[[#This Row],[Camp Name]],CL,2,0),"")</f>
        <v>MMR001CMP188</v>
      </c>
      <c r="AP65" s="574">
        <f ca="1">IF(Table_NFI[[#This Row],[Pcode]]="","",IF(OFFSET(CampList[Opening Date],MATCH(Table_NFI[[#This Row],[Pcode]],CampList[CP_Pcode],0)-1,0,1,1)&gt;=NFI_Monitor_Date,1,0))</f>
        <v>0</v>
      </c>
      <c r="AQ65" s="579" t="str">
        <f>IFERROR(VLOOKUP(Table_NFI[[#This Row],[Camp Name]],CL,3,0),"")</f>
        <v>Closed</v>
      </c>
      <c r="AR65" s="378" t="str">
        <f ca="1">IF(Table_NFI[[#This Row],[Pcode]]="","",OFFSET(CampList[Priority],MATCH(Table_NFI[[#This Row],[Pcode]],CampList[CP_Pcode],0)-1,0,1,1))</f>
        <v>P4</v>
      </c>
      <c r="AS65" s="377" t="str">
        <f>IFERROR(Table_NFI[[#This Row],[Kitchen Set]]/VLOOKUP(Table_NFI[[#This Row],[Camp Name]],CL,4,0),"")</f>
        <v/>
      </c>
      <c r="AT65" s="572"/>
      <c r="AU65" s="575"/>
    </row>
    <row r="66" spans="1:47" s="576" customFormat="1" x14ac:dyDescent="0.25">
      <c r="A66" s="381">
        <f t="shared" si="0"/>
        <v>20.3</v>
      </c>
      <c r="B66" s="571">
        <v>41913</v>
      </c>
      <c r="C66" s="572" t="s">
        <v>454</v>
      </c>
      <c r="D66" s="577" t="s">
        <v>507</v>
      </c>
      <c r="E66" s="577" t="s">
        <v>380</v>
      </c>
      <c r="F66" s="577" t="s">
        <v>529</v>
      </c>
      <c r="G66" s="577" t="s">
        <v>58</v>
      </c>
      <c r="H66" s="376"/>
      <c r="I66" s="376"/>
      <c r="J66" s="376"/>
      <c r="K66" s="376">
        <v>30</v>
      </c>
      <c r="L66" s="376"/>
      <c r="M66" s="376"/>
      <c r="N66" s="376"/>
      <c r="O66" s="376"/>
      <c r="P66" s="378"/>
      <c r="Q66" s="378"/>
      <c r="R66" s="378"/>
      <c r="S66" s="378"/>
      <c r="T66" s="378"/>
      <c r="U66" s="378"/>
      <c r="V66" s="533"/>
      <c r="W66" s="378"/>
      <c r="X66" s="378"/>
      <c r="Y66" s="378">
        <f>IF(NFI_Expiration=1,IF($A66&lt;VLOOKUP(H$5,NFI,5,0),1,0)*Table_NFI[[#This Row],[Hygiene Kit]],Table_NFI[Hygiene Kit])</f>
        <v>0</v>
      </c>
      <c r="Z66" s="378">
        <f>IF(NFI_Expiration=1,IF($A66&lt;VLOOKUP(I$5,NFI,5,0),1,0)*Table_NFI[[#This Row],[NFI Core Kit]],Table_NFI[NFI Core Kit])</f>
        <v>0</v>
      </c>
      <c r="AA66" s="378">
        <f>IF(NFI_Expiration=1,IF($A66&lt;VLOOKUP(J$5,NFI,5,0),1,0)*Table_NFI[[#This Row],[Sanitary Kit]],Table_NFI[Sanitary Kit])</f>
        <v>0</v>
      </c>
      <c r="AB66" s="378">
        <f>IF(NFI_Expiration=1,IF($A66&lt;VLOOKUP(K$5,NFI,5,0),1,0)*Table_NFI[[#This Row],[Mosquito net]],Table_NFI[Mosquito net])</f>
        <v>0</v>
      </c>
      <c r="AC66" s="378">
        <f>IF(NFI_Expiration=1,IF($A66&lt;VLOOKUP(L$5,NFI,5,0),1,0)*Table_NFI[[#This Row],[Tarpaulin]],Table_NFI[[#This Row],[Tarpaulin]])</f>
        <v>0</v>
      </c>
      <c r="AD66" s="378">
        <f>IF(NFI_Expiration=1,IF($A66&lt;VLOOKUP(M$5,NFI,5,0),1,0)*Table_NFI[[#This Row],[Blanket]],Table_NFI[[#This Row],[Blanket]])</f>
        <v>0</v>
      </c>
      <c r="AE66" s="378">
        <f>IF(NFI_Expiration=1,IF($A66&lt;VLOOKUP(N$5,NFI,5,0),1,0)*Table_NFI[[#This Row],[Kitchen Set]],Table_NFI[Kitchen Set])</f>
        <v>0</v>
      </c>
      <c r="AF66" s="378">
        <f>IF(NFI_Expiration=1,IF($A66&lt;VLOOKUP(O$5,NFI,5,0),1,0)*Table_NFI[[#This Row],[Clothes Kit]],Table_NFI[Clothes Kit])</f>
        <v>0</v>
      </c>
      <c r="AG66" s="378">
        <f>IF(NFI_Expiration=1,IF($A66&lt;VLOOKUP(P$5,NFI,5,0),1,0)*Table_NFI[[#This Row],[Plastic Bucket]],Table_NFI[Plastic Bucket])</f>
        <v>0</v>
      </c>
      <c r="AH66" s="378">
        <f>IF(NFI_Expiration=1,IF($A66&lt;VLOOKUP(Q$5,NFI,5,0),1,0)*Table_NFI[[#This Row],[Plastic Mat]],Table_NFI[Plastic Mat])*IF(Table_NFI[[#This Row],[Distribution Date]]&gt;"2014-04-01",1,2.5)</f>
        <v>0</v>
      </c>
      <c r="AI66" s="378">
        <f>IF(NFI_Expiration=1,IF($A66&lt;VLOOKUP(R$5,NFI,5,0),1,0)*Table_NFI[[#This Row],[Winter Clothes Adult]],Table_NFI[Winter Clothes Adult])</f>
        <v>0</v>
      </c>
      <c r="AJ66" s="378">
        <f>IF(NFI_Expiration=1,IF($A66&lt;VLOOKUP(S$5,NFI,5,0),1,0)*Table_NFI[[#This Row],[Winter Clothes Children]],Table_NFI[Winter Clothes Children])</f>
        <v>0</v>
      </c>
      <c r="AK66" s="378">
        <f>IF(NFI_Expiration=1,IF($A66&lt;VLOOKUP(T$5,NFI,5,0),1,0)*Table_NFI[[#This Row],[Winter Items Other]],Table_NFI[Winter Items Other])</f>
        <v>0</v>
      </c>
      <c r="AL66" s="378">
        <f>IF(NFI_Expiration=1,IF($A66&lt;VLOOKUP(M$5,NFI,5,0),1,0)*Table_NFI[[#This Row],[Winter Blanket]],Table_NFI[[#This Row],[Winter Blanket]])</f>
        <v>0</v>
      </c>
      <c r="AM66" s="378">
        <f>IF(Table_NFI[[#This Row],[Winter Clothes Adult]]+Table_NFI[[#This Row],[Winter Clothes Children]]+Table_NFI[[#This Row],[Winter Items Other]]+Table_NFI[[#This Row],[Winter Blanket]]&gt;0,1,0)</f>
        <v>0</v>
      </c>
      <c r="AN66" s="418">
        <f>IF(NFI_Expiration=1,IF($A66&lt;VLOOKUP(V$5,NFI,5,0),1,0)*Table_NFI[[#This Row],[Jerry Can]],Table_NFI[Jerry Can])</f>
        <v>0</v>
      </c>
      <c r="AO66" s="579" t="str">
        <f>IFERROR(VLOOKUP(Table_NFI[[#This Row],[Camp Name]],CL,2,0),"")</f>
        <v>MMR001CMP188</v>
      </c>
      <c r="AP66" s="574">
        <f ca="1">IF(Table_NFI[[#This Row],[Pcode]]="","",IF(OFFSET(CampList[Opening Date],MATCH(Table_NFI[[#This Row],[Pcode]],CampList[CP_Pcode],0)-1,0,1,1)&gt;=NFI_Monitor_Date,1,0))</f>
        <v>0</v>
      </c>
      <c r="AQ66" s="579" t="str">
        <f>IFERROR(VLOOKUP(Table_NFI[[#This Row],[Camp Name]],CL,3,0),"")</f>
        <v>Closed</v>
      </c>
      <c r="AR66" s="378" t="str">
        <f ca="1">IF(Table_NFI[[#This Row],[Pcode]]="","",OFFSET(CampList[Priority],MATCH(Table_NFI[[#This Row],[Pcode]],CampList[CP_Pcode],0)-1,0,1,1))</f>
        <v>P4</v>
      </c>
      <c r="AS66" s="377" t="str">
        <f>IFERROR(Table_NFI[[#This Row],[Kitchen Set]]/VLOOKUP(Table_NFI[[#This Row],[Camp Name]],CL,4,0),"")</f>
        <v/>
      </c>
      <c r="AT66" s="577"/>
      <c r="AU66" s="580"/>
    </row>
    <row r="67" spans="1:47" s="576" customFormat="1" x14ac:dyDescent="0.25">
      <c r="A67" s="381">
        <f t="shared" si="0"/>
        <v>26.233333333333334</v>
      </c>
      <c r="B67" s="571">
        <v>41735</v>
      </c>
      <c r="C67" s="572" t="s">
        <v>1107</v>
      </c>
      <c r="D67" s="572" t="s">
        <v>903</v>
      </c>
      <c r="E67" s="572" t="s">
        <v>380</v>
      </c>
      <c r="F67" s="572" t="s">
        <v>529</v>
      </c>
      <c r="G67" s="572" t="s">
        <v>58</v>
      </c>
      <c r="H67" s="375"/>
      <c r="I67" s="375"/>
      <c r="J67" s="375"/>
      <c r="K67" s="375"/>
      <c r="L67" s="376"/>
      <c r="M67" s="376"/>
      <c r="N67" s="376"/>
      <c r="O67" s="376"/>
      <c r="P67" s="378"/>
      <c r="Q67" s="378"/>
      <c r="R67" s="378"/>
      <c r="S67" s="378"/>
      <c r="T67" s="378"/>
      <c r="U67" s="378">
        <v>30</v>
      </c>
      <c r="V67" s="533"/>
      <c r="W67" s="378"/>
      <c r="X67" s="378"/>
      <c r="Y67" s="378">
        <f>IF(NFI_Expiration=1,IF($A67&lt;VLOOKUP(H$5,NFI,5,0),1,0)*Table_NFI[[#This Row],[Hygiene Kit]],Table_NFI[Hygiene Kit])</f>
        <v>0</v>
      </c>
      <c r="Z67" s="378">
        <f>IF(NFI_Expiration=1,IF($A67&lt;VLOOKUP(I$5,NFI,5,0),1,0)*Table_NFI[[#This Row],[NFI Core Kit]],Table_NFI[NFI Core Kit])</f>
        <v>0</v>
      </c>
      <c r="AA67" s="378">
        <f>IF(NFI_Expiration=1,IF($A67&lt;VLOOKUP(J$5,NFI,5,0),1,0)*Table_NFI[[#This Row],[Sanitary Kit]],Table_NFI[Sanitary Kit])</f>
        <v>0</v>
      </c>
      <c r="AB67" s="378">
        <f>IF(NFI_Expiration=1,IF($A67&lt;VLOOKUP(K$5,NFI,5,0),1,0)*Table_NFI[[#This Row],[Mosquito net]],Table_NFI[Mosquito net])</f>
        <v>0</v>
      </c>
      <c r="AC67" s="378">
        <f>IF(NFI_Expiration=1,IF($A67&lt;VLOOKUP(L$5,NFI,5,0),1,0)*Table_NFI[[#This Row],[Tarpaulin]],Table_NFI[[#This Row],[Tarpaulin]])</f>
        <v>0</v>
      </c>
      <c r="AD67" s="378">
        <f>IF(NFI_Expiration=1,IF($A67&lt;VLOOKUP(M$5,NFI,5,0),1,0)*Table_NFI[[#This Row],[Blanket]],Table_NFI[[#This Row],[Blanket]])</f>
        <v>0</v>
      </c>
      <c r="AE67" s="378">
        <f>IF(NFI_Expiration=1,IF($A67&lt;VLOOKUP(N$5,NFI,5,0),1,0)*Table_NFI[[#This Row],[Kitchen Set]],Table_NFI[Kitchen Set])</f>
        <v>0</v>
      </c>
      <c r="AF67" s="378">
        <f>IF(NFI_Expiration=1,IF($A67&lt;VLOOKUP(O$5,NFI,5,0),1,0)*Table_NFI[[#This Row],[Clothes Kit]],Table_NFI[Clothes Kit])</f>
        <v>0</v>
      </c>
      <c r="AG67" s="378">
        <f>IF(NFI_Expiration=1,IF($A67&lt;VLOOKUP(P$5,NFI,5,0),1,0)*Table_NFI[[#This Row],[Plastic Bucket]],Table_NFI[Plastic Bucket])</f>
        <v>0</v>
      </c>
      <c r="AH67" s="378">
        <f>IF(NFI_Expiration=1,IF($A67&lt;VLOOKUP(Q$5,NFI,5,0),1,0)*Table_NFI[[#This Row],[Plastic Mat]],Table_NFI[Plastic Mat])*IF(Table_NFI[[#This Row],[Distribution Date]]&gt;"2014-04-01",1,2.5)</f>
        <v>0</v>
      </c>
      <c r="AI67" s="378">
        <f>IF(NFI_Expiration=1,IF($A67&lt;VLOOKUP(R$5,NFI,5,0),1,0)*Table_NFI[[#This Row],[Winter Clothes Adult]],Table_NFI[Winter Clothes Adult])</f>
        <v>0</v>
      </c>
      <c r="AJ67" s="378">
        <f>IF(NFI_Expiration=1,IF($A67&lt;VLOOKUP(S$5,NFI,5,0),1,0)*Table_NFI[[#This Row],[Winter Clothes Children]],Table_NFI[Winter Clothes Children])</f>
        <v>0</v>
      </c>
      <c r="AK67" s="378">
        <f>IF(NFI_Expiration=1,IF($A67&lt;VLOOKUP(T$5,NFI,5,0),1,0)*Table_NFI[[#This Row],[Winter Items Other]],Table_NFI[Winter Items Other])</f>
        <v>0</v>
      </c>
      <c r="AL67" s="378">
        <f>IF(NFI_Expiration=1,IF($A67&lt;VLOOKUP(M$5,NFI,5,0),1,0)*Table_NFI[[#This Row],[Winter Blanket]],Table_NFI[[#This Row],[Winter Blanket]])</f>
        <v>0</v>
      </c>
      <c r="AM67" s="378">
        <f>IF(Table_NFI[[#This Row],[Winter Clothes Adult]]+Table_NFI[[#This Row],[Winter Clothes Children]]+Table_NFI[[#This Row],[Winter Items Other]]+Table_NFI[[#This Row],[Winter Blanket]]&gt;0,1,0)</f>
        <v>1</v>
      </c>
      <c r="AN67" s="418">
        <f>IF(NFI_Expiration=1,IF($A67&lt;VLOOKUP(V$5,NFI,5,0),1,0)*Table_NFI[[#This Row],[Jerry Can]],Table_NFI[Jerry Can])</f>
        <v>0</v>
      </c>
      <c r="AO67" s="579" t="str">
        <f>IFERROR(VLOOKUP(Table_NFI[[#This Row],[Camp Name]],CL,2,0),"")</f>
        <v>MMR001CMP188</v>
      </c>
      <c r="AP67" s="574">
        <f ca="1">IF(Table_NFI[[#This Row],[Pcode]]="","",IF(OFFSET(CampList[Opening Date],MATCH(Table_NFI[[#This Row],[Pcode]],CampList[CP_Pcode],0)-1,0,1,1)&gt;=NFI_Monitor_Date,1,0))</f>
        <v>0</v>
      </c>
      <c r="AQ67" s="579" t="str">
        <f>IFERROR(VLOOKUP(Table_NFI[[#This Row],[Camp Name]],CL,3,0),"")</f>
        <v>Closed</v>
      </c>
      <c r="AR67" s="378" t="str">
        <f ca="1">IF(Table_NFI[[#This Row],[Pcode]]="","",OFFSET(CampList[Priority],MATCH(Table_NFI[[#This Row],[Pcode]],CampList[CP_Pcode],0)-1,0,1,1))</f>
        <v>P4</v>
      </c>
      <c r="AS67" s="377" t="str">
        <f>IFERROR(Table_NFI[[#This Row],[Kitchen Set]]/VLOOKUP(Table_NFI[[#This Row],[Camp Name]],CL,4,0),"")</f>
        <v/>
      </c>
      <c r="AT67" s="572"/>
      <c r="AU67" s="575"/>
    </row>
    <row r="68" spans="1:47" s="576" customFormat="1" ht="25.5" customHeight="1" x14ac:dyDescent="0.25">
      <c r="A68" s="381">
        <f t="shared" si="0"/>
        <v>31.233333333333334</v>
      </c>
      <c r="B68" s="571">
        <v>41585</v>
      </c>
      <c r="C68" s="572" t="s">
        <v>454</v>
      </c>
      <c r="D68" s="572" t="s">
        <v>454</v>
      </c>
      <c r="E68" s="572" t="s">
        <v>380</v>
      </c>
      <c r="F68" s="374" t="s">
        <v>529</v>
      </c>
      <c r="G68" s="374" t="s">
        <v>58</v>
      </c>
      <c r="H68" s="375"/>
      <c r="I68" s="375"/>
      <c r="J68" s="375">
        <v>13</v>
      </c>
      <c r="K68" s="375">
        <v>32</v>
      </c>
      <c r="L68" s="376">
        <v>15</v>
      </c>
      <c r="M68" s="376">
        <v>32</v>
      </c>
      <c r="N68" s="376">
        <v>15</v>
      </c>
      <c r="O68" s="376"/>
      <c r="P68" s="378">
        <v>15</v>
      </c>
      <c r="Q68" s="378">
        <v>32</v>
      </c>
      <c r="R68" s="378"/>
      <c r="S68" s="378"/>
      <c r="T68" s="378"/>
      <c r="U68" s="378"/>
      <c r="V68" s="533"/>
      <c r="W68" s="378"/>
      <c r="X68" s="378"/>
      <c r="Y68" s="378">
        <f>IF(NFI_Expiration=1,IF($A68&lt;VLOOKUP(H$5,NFI,5,0),1,0)*Table_NFI[[#This Row],[Hygiene Kit]],Table_NFI[Hygiene Kit])</f>
        <v>0</v>
      </c>
      <c r="Z68" s="378">
        <f>IF(NFI_Expiration=1,IF($A68&lt;VLOOKUP(I$5,NFI,5,0),1,0)*Table_NFI[[#This Row],[NFI Core Kit]],Table_NFI[NFI Core Kit])</f>
        <v>0</v>
      </c>
      <c r="AA68" s="378">
        <f>IF(NFI_Expiration=1,IF($A68&lt;VLOOKUP(J$5,NFI,5,0),1,0)*Table_NFI[[#This Row],[Sanitary Kit]],Table_NFI[Sanitary Kit])</f>
        <v>0</v>
      </c>
      <c r="AB68" s="378">
        <f>IF(NFI_Expiration=1,IF($A68&lt;VLOOKUP(K$5,NFI,5,0),1,0)*Table_NFI[[#This Row],[Mosquito net]],Table_NFI[Mosquito net])</f>
        <v>0</v>
      </c>
      <c r="AC68" s="378">
        <f>IF(NFI_Expiration=1,IF($A68&lt;VLOOKUP(L$5,NFI,5,0),1,0)*Table_NFI[[#This Row],[Tarpaulin]],Table_NFI[[#This Row],[Tarpaulin]])</f>
        <v>0</v>
      </c>
      <c r="AD68" s="378">
        <f>IF(NFI_Expiration=1,IF($A68&lt;VLOOKUP(M$5,NFI,5,0),1,0)*Table_NFI[[#This Row],[Blanket]],Table_NFI[[#This Row],[Blanket]])</f>
        <v>0</v>
      </c>
      <c r="AE68" s="378">
        <f>IF(NFI_Expiration=1,IF($A68&lt;VLOOKUP(N$5,NFI,5,0),1,0)*Table_NFI[[#This Row],[Kitchen Set]],Table_NFI[Kitchen Set])</f>
        <v>0</v>
      </c>
      <c r="AF68" s="378">
        <f>IF(NFI_Expiration=1,IF($A68&lt;VLOOKUP(O$5,NFI,5,0),1,0)*Table_NFI[[#This Row],[Clothes Kit]],Table_NFI[Clothes Kit])</f>
        <v>0</v>
      </c>
      <c r="AG68" s="378">
        <f>IF(NFI_Expiration=1,IF($A68&lt;VLOOKUP(P$5,NFI,5,0),1,0)*Table_NFI[[#This Row],[Plastic Bucket]],Table_NFI[Plastic Bucket])</f>
        <v>0</v>
      </c>
      <c r="AH68" s="378">
        <f>IF(NFI_Expiration=1,IF($A68&lt;VLOOKUP(Q$5,NFI,5,0),1,0)*Table_NFI[[#This Row],[Plastic Mat]],Table_NFI[Plastic Mat])*IF(Table_NFI[[#This Row],[Distribution Date]]&gt;"2014-04-01",1,2.5)</f>
        <v>0</v>
      </c>
      <c r="AI68" s="378">
        <f>IF(NFI_Expiration=1,IF($A68&lt;VLOOKUP(R$5,NFI,5,0),1,0)*Table_NFI[[#This Row],[Winter Clothes Adult]],Table_NFI[Winter Clothes Adult])</f>
        <v>0</v>
      </c>
      <c r="AJ68" s="378">
        <f>IF(NFI_Expiration=1,IF($A68&lt;VLOOKUP(S$5,NFI,5,0),1,0)*Table_NFI[[#This Row],[Winter Clothes Children]],Table_NFI[Winter Clothes Children])</f>
        <v>0</v>
      </c>
      <c r="AK68" s="378">
        <f>IF(NFI_Expiration=1,IF($A68&lt;VLOOKUP(T$5,NFI,5,0),1,0)*Table_NFI[[#This Row],[Winter Items Other]],Table_NFI[Winter Items Other])</f>
        <v>0</v>
      </c>
      <c r="AL68" s="378">
        <f>IF(NFI_Expiration=1,IF($A68&lt;VLOOKUP(M$5,NFI,5,0),1,0)*Table_NFI[[#This Row],[Winter Blanket]],Table_NFI[[#This Row],[Winter Blanket]])</f>
        <v>0</v>
      </c>
      <c r="AM68" s="378">
        <f>IF(Table_NFI[[#This Row],[Winter Clothes Adult]]+Table_NFI[[#This Row],[Winter Clothes Children]]+Table_NFI[[#This Row],[Winter Items Other]]+Table_NFI[[#This Row],[Winter Blanket]]&gt;0,1,0)</f>
        <v>0</v>
      </c>
      <c r="AN68" s="418">
        <f>IF(NFI_Expiration=1,IF($A68&lt;VLOOKUP(V$5,NFI,5,0),1,0)*Table_NFI[[#This Row],[Jerry Can]],Table_NFI[Jerry Can])</f>
        <v>0</v>
      </c>
      <c r="AO68" s="579" t="str">
        <f>IFERROR(VLOOKUP(Table_NFI[[#This Row],[Camp Name]],CL,2,0),"")</f>
        <v>MMR001CMP188</v>
      </c>
      <c r="AP68" s="574">
        <f ca="1">IF(Table_NFI[[#This Row],[Pcode]]="","",IF(OFFSET(CampList[Opening Date],MATCH(Table_NFI[[#This Row],[Pcode]],CampList[CP_Pcode],0)-1,0,1,1)&gt;=NFI_Monitor_Date,1,0))</f>
        <v>0</v>
      </c>
      <c r="AQ68" s="579" t="str">
        <f>IFERROR(VLOOKUP(Table_NFI[[#This Row],[Camp Name]],CL,3,0),"")</f>
        <v>Closed</v>
      </c>
      <c r="AR68" s="378" t="str">
        <f ca="1">IF(Table_NFI[[#This Row],[Pcode]]="","",OFFSET(CampList[Priority],MATCH(Table_NFI[[#This Row],[Pcode]],CampList[CP_Pcode],0)-1,0,1,1))</f>
        <v>P4</v>
      </c>
      <c r="AS68" s="377" t="str">
        <f>IFERROR(Table_NFI[[#This Row],[Kitchen Set]]/VLOOKUP(Table_NFI[[#This Row],[Camp Name]],CL,4,0),"")</f>
        <v/>
      </c>
      <c r="AT68" s="572" t="s">
        <v>1095</v>
      </c>
      <c r="AU68" s="575"/>
    </row>
    <row r="69" spans="1:47" s="576" customFormat="1" ht="15" customHeight="1" x14ac:dyDescent="0.25">
      <c r="A69" s="381">
        <f t="shared" si="0"/>
        <v>40.56666666666667</v>
      </c>
      <c r="B69" s="571">
        <v>41305</v>
      </c>
      <c r="C69" s="572" t="s">
        <v>571</v>
      </c>
      <c r="D69" s="573" t="s">
        <v>571</v>
      </c>
      <c r="E69" s="572" t="s">
        <v>380</v>
      </c>
      <c r="F69" s="572" t="s">
        <v>529</v>
      </c>
      <c r="G69" s="374" t="s">
        <v>58</v>
      </c>
      <c r="H69" s="375"/>
      <c r="I69" s="375"/>
      <c r="J69" s="375"/>
      <c r="K69" s="375"/>
      <c r="L69" s="376"/>
      <c r="M69" s="376">
        <v>26</v>
      </c>
      <c r="N69" s="376"/>
      <c r="O69" s="376"/>
      <c r="P69" s="378">
        <v>0</v>
      </c>
      <c r="Q69" s="378">
        <v>0</v>
      </c>
      <c r="R69" s="378"/>
      <c r="S69" s="378"/>
      <c r="T69" s="378"/>
      <c r="U69" s="378"/>
      <c r="V69" s="533"/>
      <c r="W69" s="378"/>
      <c r="X69" s="378"/>
      <c r="Y69" s="378">
        <f>IF(NFI_Expiration=1,IF($A69&lt;VLOOKUP(H$5,NFI,5,0),1,0)*Table_NFI[[#This Row],[Hygiene Kit]],Table_NFI[Hygiene Kit])</f>
        <v>0</v>
      </c>
      <c r="Z69" s="378">
        <f>IF(NFI_Expiration=1,IF($A69&lt;VLOOKUP(I$5,NFI,5,0),1,0)*Table_NFI[[#This Row],[NFI Core Kit]],Table_NFI[NFI Core Kit])</f>
        <v>0</v>
      </c>
      <c r="AA69" s="378">
        <f>IF(NFI_Expiration=1,IF($A69&lt;VLOOKUP(J$5,NFI,5,0),1,0)*Table_NFI[[#This Row],[Sanitary Kit]],Table_NFI[Sanitary Kit])</f>
        <v>0</v>
      </c>
      <c r="AB69" s="378">
        <f>IF(NFI_Expiration=1,IF($A69&lt;VLOOKUP(K$5,NFI,5,0),1,0)*Table_NFI[[#This Row],[Mosquito net]],Table_NFI[Mosquito net])</f>
        <v>0</v>
      </c>
      <c r="AC69" s="378">
        <f>IF(NFI_Expiration=1,IF($A69&lt;VLOOKUP(L$5,NFI,5,0),1,0)*Table_NFI[[#This Row],[Tarpaulin]],Table_NFI[[#This Row],[Tarpaulin]])</f>
        <v>0</v>
      </c>
      <c r="AD69" s="378">
        <f>IF(NFI_Expiration=1,IF($A69&lt;VLOOKUP(M$5,NFI,5,0),1,0)*Table_NFI[[#This Row],[Blanket]],Table_NFI[[#This Row],[Blanket]])</f>
        <v>0</v>
      </c>
      <c r="AE69" s="378">
        <f>IF(NFI_Expiration=1,IF($A69&lt;VLOOKUP(N$5,NFI,5,0),1,0)*Table_NFI[[#This Row],[Kitchen Set]],Table_NFI[Kitchen Set])</f>
        <v>0</v>
      </c>
      <c r="AF69" s="378">
        <f>IF(NFI_Expiration=1,IF($A69&lt;VLOOKUP(O$5,NFI,5,0),1,0)*Table_NFI[[#This Row],[Clothes Kit]],Table_NFI[Clothes Kit])</f>
        <v>0</v>
      </c>
      <c r="AG69" s="378">
        <f>IF(NFI_Expiration=1,IF($A69&lt;VLOOKUP(P$5,NFI,5,0),1,0)*Table_NFI[[#This Row],[Plastic Bucket]],Table_NFI[Plastic Bucket])</f>
        <v>0</v>
      </c>
      <c r="AH69" s="378">
        <f>IF(NFI_Expiration=1,IF($A69&lt;VLOOKUP(Q$5,NFI,5,0),1,0)*Table_NFI[[#This Row],[Plastic Mat]],Table_NFI[Plastic Mat])*IF(Table_NFI[[#This Row],[Distribution Date]]&gt;"2014-04-01",1,2.5)</f>
        <v>0</v>
      </c>
      <c r="AI69" s="378">
        <f>IF(NFI_Expiration=1,IF($A69&lt;VLOOKUP(R$5,NFI,5,0),1,0)*Table_NFI[[#This Row],[Winter Clothes Adult]],Table_NFI[Winter Clothes Adult])</f>
        <v>0</v>
      </c>
      <c r="AJ69" s="378">
        <f>IF(NFI_Expiration=1,IF($A69&lt;VLOOKUP(S$5,NFI,5,0),1,0)*Table_NFI[[#This Row],[Winter Clothes Children]],Table_NFI[Winter Clothes Children])</f>
        <v>0</v>
      </c>
      <c r="AK69" s="378">
        <f>IF(NFI_Expiration=1,IF($A69&lt;VLOOKUP(T$5,NFI,5,0),1,0)*Table_NFI[[#This Row],[Winter Items Other]],Table_NFI[Winter Items Other])</f>
        <v>0</v>
      </c>
      <c r="AL69" s="378">
        <f>IF(NFI_Expiration=1,IF($A69&lt;VLOOKUP(M$5,NFI,5,0),1,0)*Table_NFI[[#This Row],[Winter Blanket]],Table_NFI[[#This Row],[Winter Blanket]])</f>
        <v>0</v>
      </c>
      <c r="AM69" s="378">
        <f>IF(Table_NFI[[#This Row],[Winter Clothes Adult]]+Table_NFI[[#This Row],[Winter Clothes Children]]+Table_NFI[[#This Row],[Winter Items Other]]+Table_NFI[[#This Row],[Winter Blanket]]&gt;0,1,0)</f>
        <v>0</v>
      </c>
      <c r="AN69" s="418">
        <f>IF(NFI_Expiration=1,IF($A69&lt;VLOOKUP(V$5,NFI,5,0),1,0)*Table_NFI[[#This Row],[Jerry Can]],Table_NFI[Jerry Can])</f>
        <v>0</v>
      </c>
      <c r="AO69" s="579" t="str">
        <f>IFERROR(VLOOKUP(Table_NFI[[#This Row],[Camp Name]],CL,2,0),"")</f>
        <v>MMR001CMP188</v>
      </c>
      <c r="AP69" s="574">
        <f ca="1">IF(Table_NFI[[#This Row],[Pcode]]="","",IF(OFFSET(CampList[Opening Date],MATCH(Table_NFI[[#This Row],[Pcode]],CampList[CP_Pcode],0)-1,0,1,1)&gt;=NFI_Monitor_Date,1,0))</f>
        <v>0</v>
      </c>
      <c r="AQ69" s="579" t="str">
        <f>IFERROR(VLOOKUP(Table_NFI[[#This Row],[Camp Name]],CL,3,0),"")</f>
        <v>Closed</v>
      </c>
      <c r="AR69" s="378" t="str">
        <f ca="1">IF(Table_NFI[[#This Row],[Pcode]]="","",OFFSET(CampList[Priority],MATCH(Table_NFI[[#This Row],[Pcode]],CampList[CP_Pcode],0)-1,0,1,1))</f>
        <v>P4</v>
      </c>
      <c r="AS69" s="377" t="str">
        <f>IFERROR(Table_NFI[[#This Row],[Kitchen Set]]/VLOOKUP(Table_NFI[[#This Row],[Camp Name]],CL,4,0),"")</f>
        <v/>
      </c>
      <c r="AT69" s="572" t="s">
        <v>1095</v>
      </c>
      <c r="AU69" s="575"/>
    </row>
    <row r="70" spans="1:47" s="576" customFormat="1" ht="15" customHeight="1" x14ac:dyDescent="0.25">
      <c r="A70" s="381">
        <f t="shared" ref="A70:A133" si="1">IF(ISBLANK(B70),"",(Report_Date-B70)/30)</f>
        <v>41.6</v>
      </c>
      <c r="B70" s="571">
        <v>41274</v>
      </c>
      <c r="C70" s="572" t="s">
        <v>455</v>
      </c>
      <c r="D70" s="573" t="s">
        <v>455</v>
      </c>
      <c r="E70" s="572" t="s">
        <v>380</v>
      </c>
      <c r="F70" s="374" t="s">
        <v>529</v>
      </c>
      <c r="G70" s="374" t="s">
        <v>60</v>
      </c>
      <c r="H70" s="375">
        <v>3</v>
      </c>
      <c r="I70" s="375"/>
      <c r="J70" s="375"/>
      <c r="K70" s="375"/>
      <c r="L70" s="376"/>
      <c r="M70" s="376"/>
      <c r="N70" s="376"/>
      <c r="O70" s="376"/>
      <c r="P70" s="378">
        <v>0</v>
      </c>
      <c r="Q70" s="378">
        <v>0</v>
      </c>
      <c r="R70" s="378"/>
      <c r="S70" s="378"/>
      <c r="T70" s="378"/>
      <c r="U70" s="378"/>
      <c r="V70" s="533"/>
      <c r="W70" s="378"/>
      <c r="X70" s="378"/>
      <c r="Y70" s="378">
        <f>IF(NFI_Expiration=1,IF($A70&lt;VLOOKUP(H$5,NFI,5,0),1,0)*Table_NFI[[#This Row],[Hygiene Kit]],Table_NFI[Hygiene Kit])</f>
        <v>0</v>
      </c>
      <c r="Z70" s="378">
        <f>IF(NFI_Expiration=1,IF($A70&lt;VLOOKUP(I$5,NFI,5,0),1,0)*Table_NFI[[#This Row],[NFI Core Kit]],Table_NFI[NFI Core Kit])</f>
        <v>0</v>
      </c>
      <c r="AA70" s="378">
        <f>IF(NFI_Expiration=1,IF($A70&lt;VLOOKUP(J$5,NFI,5,0),1,0)*Table_NFI[[#This Row],[Sanitary Kit]],Table_NFI[Sanitary Kit])</f>
        <v>0</v>
      </c>
      <c r="AB70" s="378">
        <f>IF(NFI_Expiration=1,IF($A70&lt;VLOOKUP(K$5,NFI,5,0),1,0)*Table_NFI[[#This Row],[Mosquito net]],Table_NFI[Mosquito net])</f>
        <v>0</v>
      </c>
      <c r="AC70" s="378">
        <f>IF(NFI_Expiration=1,IF($A70&lt;VLOOKUP(L$5,NFI,5,0),1,0)*Table_NFI[[#This Row],[Tarpaulin]],Table_NFI[[#This Row],[Tarpaulin]])</f>
        <v>0</v>
      </c>
      <c r="AD70" s="378">
        <f>IF(NFI_Expiration=1,IF($A70&lt;VLOOKUP(M$5,NFI,5,0),1,0)*Table_NFI[[#This Row],[Blanket]],Table_NFI[[#This Row],[Blanket]])</f>
        <v>0</v>
      </c>
      <c r="AE70" s="378">
        <f>IF(NFI_Expiration=1,IF($A70&lt;VLOOKUP(N$5,NFI,5,0),1,0)*Table_NFI[[#This Row],[Kitchen Set]],Table_NFI[Kitchen Set])</f>
        <v>0</v>
      </c>
      <c r="AF70" s="378">
        <f>IF(NFI_Expiration=1,IF($A70&lt;VLOOKUP(O$5,NFI,5,0),1,0)*Table_NFI[[#This Row],[Clothes Kit]],Table_NFI[Clothes Kit])</f>
        <v>0</v>
      </c>
      <c r="AG70" s="378">
        <f>IF(NFI_Expiration=1,IF($A70&lt;VLOOKUP(P$5,NFI,5,0),1,0)*Table_NFI[[#This Row],[Plastic Bucket]],Table_NFI[Plastic Bucket])</f>
        <v>0</v>
      </c>
      <c r="AH70" s="378">
        <f>IF(NFI_Expiration=1,IF($A70&lt;VLOOKUP(Q$5,NFI,5,0),1,0)*Table_NFI[[#This Row],[Plastic Mat]],Table_NFI[Plastic Mat])*IF(Table_NFI[[#This Row],[Distribution Date]]&gt;"2014-04-01",1,2.5)</f>
        <v>0</v>
      </c>
      <c r="AI70" s="378">
        <f>IF(NFI_Expiration=1,IF($A70&lt;VLOOKUP(R$5,NFI,5,0),1,0)*Table_NFI[[#This Row],[Winter Clothes Adult]],Table_NFI[Winter Clothes Adult])</f>
        <v>0</v>
      </c>
      <c r="AJ70" s="378">
        <f>IF(NFI_Expiration=1,IF($A70&lt;VLOOKUP(S$5,NFI,5,0),1,0)*Table_NFI[[#This Row],[Winter Clothes Children]],Table_NFI[Winter Clothes Children])</f>
        <v>0</v>
      </c>
      <c r="AK70" s="378">
        <f>IF(NFI_Expiration=1,IF($A70&lt;VLOOKUP(T$5,NFI,5,0),1,0)*Table_NFI[[#This Row],[Winter Items Other]],Table_NFI[Winter Items Other])</f>
        <v>0</v>
      </c>
      <c r="AL70" s="378">
        <f>IF(NFI_Expiration=1,IF($A70&lt;VLOOKUP(M$5,NFI,5,0),1,0)*Table_NFI[[#This Row],[Winter Blanket]],Table_NFI[[#This Row],[Winter Blanket]])</f>
        <v>0</v>
      </c>
      <c r="AM70" s="378">
        <f>IF(Table_NFI[[#This Row],[Winter Clothes Adult]]+Table_NFI[[#This Row],[Winter Clothes Children]]+Table_NFI[[#This Row],[Winter Items Other]]+Table_NFI[[#This Row],[Winter Blanket]]&gt;0,1,0)</f>
        <v>0</v>
      </c>
      <c r="AN70" s="418">
        <f>IF(NFI_Expiration=1,IF($A70&lt;VLOOKUP(V$5,NFI,5,0),1,0)*Table_NFI[[#This Row],[Jerry Can]],Table_NFI[Jerry Can])</f>
        <v>0</v>
      </c>
      <c r="AO70" s="579" t="str">
        <f>IFERROR(VLOOKUP(Table_NFI[[#This Row],[Camp Name]],CL,2,0),"")</f>
        <v>MMR001CMP172</v>
      </c>
      <c r="AP70" s="574">
        <f ca="1">IF(Table_NFI[[#This Row],[Pcode]]="","",IF(OFFSET(CampList[Opening Date],MATCH(Table_NFI[[#This Row],[Pcode]],CampList[CP_Pcode],0)-1,0,1,1)&gt;=NFI_Monitor_Date,1,0))</f>
        <v>0</v>
      </c>
      <c r="AQ70" s="579" t="str">
        <f>IFERROR(VLOOKUP(Table_NFI[[#This Row],[Camp Name]],CL,3,0),"")</f>
        <v>Closed</v>
      </c>
      <c r="AR70" s="378" t="str">
        <f ca="1">IF(Table_NFI[[#This Row],[Pcode]]="","",OFFSET(CampList[Priority],MATCH(Table_NFI[[#This Row],[Pcode]],CampList[CP_Pcode],0)-1,0,1,1))</f>
        <v/>
      </c>
      <c r="AS70" s="377" t="str">
        <f>IFERROR(Table_NFI[[#This Row],[Kitchen Set]]/VLOOKUP(Table_NFI[[#This Row],[Camp Name]],CL,4,0),"")</f>
        <v/>
      </c>
      <c r="AT70" s="572" t="s">
        <v>1095</v>
      </c>
      <c r="AU70" s="575"/>
    </row>
    <row r="71" spans="1:47" s="130" customFormat="1" ht="15" customHeight="1" x14ac:dyDescent="0.25">
      <c r="A71" s="381">
        <f t="shared" si="1"/>
        <v>55.233333333333334</v>
      </c>
      <c r="B71" s="571">
        <v>40865</v>
      </c>
      <c r="C71" s="572" t="s">
        <v>454</v>
      </c>
      <c r="D71" s="573" t="s">
        <v>454</v>
      </c>
      <c r="E71" s="572" t="s">
        <v>380</v>
      </c>
      <c r="F71" s="374" t="s">
        <v>237</v>
      </c>
      <c r="G71" s="374" t="s">
        <v>909</v>
      </c>
      <c r="H71" s="375"/>
      <c r="I71" s="375"/>
      <c r="J71" s="375"/>
      <c r="K71" s="375">
        <v>24</v>
      </c>
      <c r="L71" s="376">
        <v>3</v>
      </c>
      <c r="M71" s="376">
        <v>24</v>
      </c>
      <c r="N71" s="376">
        <v>3</v>
      </c>
      <c r="O71" s="376">
        <v>3</v>
      </c>
      <c r="P71" s="378">
        <v>3</v>
      </c>
      <c r="Q71" s="378">
        <v>3</v>
      </c>
      <c r="R71" s="378"/>
      <c r="S71" s="378"/>
      <c r="T71" s="378"/>
      <c r="U71" s="378"/>
      <c r="V71" s="533"/>
      <c r="W71" s="378"/>
      <c r="X71" s="378"/>
      <c r="Y71" s="378">
        <f>IF(NFI_Expiration=1,IF($A71&lt;VLOOKUP(H$5,NFI,5,0),1,0)*Table_NFI[[#This Row],[Hygiene Kit]],Table_NFI[Hygiene Kit])</f>
        <v>0</v>
      </c>
      <c r="Z71" s="378">
        <f>IF(NFI_Expiration=1,IF($A71&lt;VLOOKUP(I$5,NFI,5,0),1,0)*Table_NFI[[#This Row],[NFI Core Kit]],Table_NFI[NFI Core Kit])</f>
        <v>0</v>
      </c>
      <c r="AA71" s="378">
        <f>IF(NFI_Expiration=1,IF($A71&lt;VLOOKUP(J$5,NFI,5,0),1,0)*Table_NFI[[#This Row],[Sanitary Kit]],Table_NFI[Sanitary Kit])</f>
        <v>0</v>
      </c>
      <c r="AB71" s="378">
        <f>IF(NFI_Expiration=1,IF($A71&lt;VLOOKUP(K$5,NFI,5,0),1,0)*Table_NFI[[#This Row],[Mosquito net]],Table_NFI[Mosquito net])</f>
        <v>0</v>
      </c>
      <c r="AC71" s="378">
        <f>IF(NFI_Expiration=1,IF($A71&lt;VLOOKUP(L$5,NFI,5,0),1,0)*Table_NFI[[#This Row],[Tarpaulin]],Table_NFI[[#This Row],[Tarpaulin]])</f>
        <v>0</v>
      </c>
      <c r="AD71" s="378">
        <f>IF(NFI_Expiration=1,IF($A71&lt;VLOOKUP(M$5,NFI,5,0),1,0)*Table_NFI[[#This Row],[Blanket]],Table_NFI[[#This Row],[Blanket]])</f>
        <v>0</v>
      </c>
      <c r="AE71" s="378">
        <f>IF(NFI_Expiration=1,IF($A71&lt;VLOOKUP(N$5,NFI,5,0),1,0)*Table_NFI[[#This Row],[Kitchen Set]],Table_NFI[Kitchen Set])</f>
        <v>0</v>
      </c>
      <c r="AF71" s="378">
        <f>IF(NFI_Expiration=1,IF($A71&lt;VLOOKUP(O$5,NFI,5,0),1,0)*Table_NFI[[#This Row],[Clothes Kit]],Table_NFI[Clothes Kit])</f>
        <v>0</v>
      </c>
      <c r="AG71" s="378">
        <f>IF(NFI_Expiration=1,IF($A71&lt;VLOOKUP(P$5,NFI,5,0),1,0)*Table_NFI[[#This Row],[Plastic Bucket]],Table_NFI[Plastic Bucket])</f>
        <v>0</v>
      </c>
      <c r="AH71" s="378">
        <f>IF(NFI_Expiration=1,IF($A71&lt;VLOOKUP(Q$5,NFI,5,0),1,0)*Table_NFI[[#This Row],[Plastic Mat]],Table_NFI[Plastic Mat])*IF(Table_NFI[[#This Row],[Distribution Date]]&gt;"2014-04-01",1,2.5)</f>
        <v>0</v>
      </c>
      <c r="AI71" s="378">
        <f>IF(NFI_Expiration=1,IF($A71&lt;VLOOKUP(R$5,NFI,5,0),1,0)*Table_NFI[[#This Row],[Winter Clothes Adult]],Table_NFI[Winter Clothes Adult])</f>
        <v>0</v>
      </c>
      <c r="AJ71" s="378">
        <f>IF(NFI_Expiration=1,IF($A71&lt;VLOOKUP(S$5,NFI,5,0),1,0)*Table_NFI[[#This Row],[Winter Clothes Children]],Table_NFI[Winter Clothes Children])</f>
        <v>0</v>
      </c>
      <c r="AK71" s="378">
        <f>IF(NFI_Expiration=1,IF($A71&lt;VLOOKUP(T$5,NFI,5,0),1,0)*Table_NFI[[#This Row],[Winter Items Other]],Table_NFI[Winter Items Other])</f>
        <v>0</v>
      </c>
      <c r="AL71" s="378">
        <f>IF(NFI_Expiration=1,IF($A71&lt;VLOOKUP(M$5,NFI,5,0),1,0)*Table_NFI[[#This Row],[Winter Blanket]],Table_NFI[[#This Row],[Winter Blanket]])</f>
        <v>0</v>
      </c>
      <c r="AM71" s="378">
        <f>IF(Table_NFI[[#This Row],[Winter Clothes Adult]]+Table_NFI[[#This Row],[Winter Clothes Children]]+Table_NFI[[#This Row],[Winter Items Other]]+Table_NFI[[#This Row],[Winter Blanket]]&gt;0,1,0)</f>
        <v>0</v>
      </c>
      <c r="AN71" s="418">
        <f>IF(NFI_Expiration=1,IF($A71&lt;VLOOKUP(V$5,NFI,5,0),1,0)*Table_NFI[[#This Row],[Jerry Can]],Table_NFI[Jerry Can])</f>
        <v>0</v>
      </c>
      <c r="AO71" s="579" t="str">
        <f>IFERROR(VLOOKUP(Table_NFI[[#This Row],[Camp Name]],CL,2,0),"")</f>
        <v/>
      </c>
      <c r="AP71" s="574" t="str">
        <f ca="1">IF(Table_NFI[[#This Row],[Pcode]]="","",IF(OFFSET(CampList[Opening Date],MATCH(Table_NFI[[#This Row],[Pcode]],CampList[CP_Pcode],0)-1,0,1,1)&gt;=NFI_Monitor_Date,1,0))</f>
        <v/>
      </c>
      <c r="AQ71" s="579" t="str">
        <f>IFERROR(VLOOKUP(Table_NFI[[#This Row],[Camp Name]],CL,3,0),"")</f>
        <v/>
      </c>
      <c r="AR71" s="378" t="str">
        <f ca="1">IF(Table_NFI[[#This Row],[Pcode]]="","",OFFSET(CampList[Priority],MATCH(Table_NFI[[#This Row],[Pcode]],CampList[CP_Pcode],0)-1,0,1,1))</f>
        <v/>
      </c>
      <c r="AS71" s="377" t="str">
        <f>IFERROR(Table_NFI[[#This Row],[Kitchen Set]]/VLOOKUP(Table_NFI[[#This Row],[Camp Name]],CL,4,0),"")</f>
        <v/>
      </c>
      <c r="AT71" s="572" t="s">
        <v>1095</v>
      </c>
      <c r="AU71" s="575"/>
    </row>
    <row r="72" spans="1:47" s="576" customFormat="1" ht="15" customHeight="1" x14ac:dyDescent="0.25">
      <c r="A72" s="381">
        <f t="shared" si="1"/>
        <v>18.133333333333333</v>
      </c>
      <c r="B72" s="571">
        <v>41978</v>
      </c>
      <c r="C72" s="572" t="s">
        <v>454</v>
      </c>
      <c r="D72" s="572" t="s">
        <v>508</v>
      </c>
      <c r="E72" s="572" t="s">
        <v>380</v>
      </c>
      <c r="F72" s="572" t="s">
        <v>310</v>
      </c>
      <c r="G72" s="572" t="s">
        <v>334</v>
      </c>
      <c r="H72" s="375"/>
      <c r="I72" s="375"/>
      <c r="J72" s="375"/>
      <c r="K72" s="375">
        <v>164</v>
      </c>
      <c r="L72" s="376"/>
      <c r="M72" s="376"/>
      <c r="N72" s="376"/>
      <c r="O72" s="376"/>
      <c r="P72" s="378"/>
      <c r="Q72" s="378"/>
      <c r="R72" s="378">
        <v>302</v>
      </c>
      <c r="S72" s="378">
        <v>440</v>
      </c>
      <c r="T72" s="378"/>
      <c r="U72" s="378">
        <v>297</v>
      </c>
      <c r="V72" s="533"/>
      <c r="W72" s="378"/>
      <c r="X72" s="378"/>
      <c r="Y72" s="378">
        <f>IF(NFI_Expiration=1,IF($A72&lt;VLOOKUP(H$5,NFI,5,0),1,0)*Table_NFI[[#This Row],[Hygiene Kit]],Table_NFI[Hygiene Kit])</f>
        <v>0</v>
      </c>
      <c r="Z72" s="378">
        <f>IF(NFI_Expiration=1,IF($A72&lt;VLOOKUP(I$5,NFI,5,0),1,0)*Table_NFI[[#This Row],[NFI Core Kit]],Table_NFI[NFI Core Kit])</f>
        <v>0</v>
      </c>
      <c r="AA72" s="378">
        <f>IF(NFI_Expiration=1,IF($A72&lt;VLOOKUP(J$5,NFI,5,0),1,0)*Table_NFI[[#This Row],[Sanitary Kit]],Table_NFI[Sanitary Kit])</f>
        <v>0</v>
      </c>
      <c r="AB72" s="378">
        <f>IF(NFI_Expiration=1,IF($A72&lt;VLOOKUP(K$5,NFI,5,0),1,0)*Table_NFI[[#This Row],[Mosquito net]],Table_NFI[Mosquito net])</f>
        <v>0</v>
      </c>
      <c r="AC72" s="378">
        <f>IF(NFI_Expiration=1,IF($A72&lt;VLOOKUP(L$5,NFI,5,0),1,0)*Table_NFI[[#This Row],[Tarpaulin]],Table_NFI[[#This Row],[Tarpaulin]])</f>
        <v>0</v>
      </c>
      <c r="AD72" s="378">
        <f>IF(NFI_Expiration=1,IF($A72&lt;VLOOKUP(M$5,NFI,5,0),1,0)*Table_NFI[[#This Row],[Blanket]],Table_NFI[[#This Row],[Blanket]])</f>
        <v>0</v>
      </c>
      <c r="AE72" s="378">
        <f>IF(NFI_Expiration=1,IF($A72&lt;VLOOKUP(N$5,NFI,5,0),1,0)*Table_NFI[[#This Row],[Kitchen Set]],Table_NFI[Kitchen Set])</f>
        <v>0</v>
      </c>
      <c r="AF72" s="378">
        <f>IF(NFI_Expiration=1,IF($A72&lt;VLOOKUP(O$5,NFI,5,0),1,0)*Table_NFI[[#This Row],[Clothes Kit]],Table_NFI[Clothes Kit])</f>
        <v>0</v>
      </c>
      <c r="AG72" s="378">
        <f>IF(NFI_Expiration=1,IF($A72&lt;VLOOKUP(P$5,NFI,5,0),1,0)*Table_NFI[[#This Row],[Plastic Bucket]],Table_NFI[Plastic Bucket])</f>
        <v>0</v>
      </c>
      <c r="AH72" s="378">
        <f>IF(NFI_Expiration=1,IF($A72&lt;VLOOKUP(Q$5,NFI,5,0),1,0)*Table_NFI[[#This Row],[Plastic Mat]],Table_NFI[Plastic Mat])*IF(Table_NFI[[#This Row],[Distribution Date]]&gt;"2014-04-01",1,2.5)</f>
        <v>0</v>
      </c>
      <c r="AI72" s="378">
        <f>IF(NFI_Expiration=1,IF($A72&lt;VLOOKUP(R$5,NFI,5,0),1,0)*Table_NFI[[#This Row],[Winter Clothes Adult]],Table_NFI[Winter Clothes Adult])</f>
        <v>0</v>
      </c>
      <c r="AJ72" s="378">
        <f>IF(NFI_Expiration=1,IF($A72&lt;VLOOKUP(S$5,NFI,5,0),1,0)*Table_NFI[[#This Row],[Winter Clothes Children]],Table_NFI[Winter Clothes Children])</f>
        <v>0</v>
      </c>
      <c r="AK72" s="378">
        <f>IF(NFI_Expiration=1,IF($A72&lt;VLOOKUP(T$5,NFI,5,0),1,0)*Table_NFI[[#This Row],[Winter Items Other]],Table_NFI[Winter Items Other])</f>
        <v>0</v>
      </c>
      <c r="AL72" s="378">
        <f>IF(NFI_Expiration=1,IF($A72&lt;VLOOKUP(M$5,NFI,5,0),1,0)*Table_NFI[[#This Row],[Winter Blanket]],Table_NFI[[#This Row],[Winter Blanket]])</f>
        <v>0</v>
      </c>
      <c r="AM72" s="378">
        <f>IF(Table_NFI[[#This Row],[Winter Clothes Adult]]+Table_NFI[[#This Row],[Winter Clothes Children]]+Table_NFI[[#This Row],[Winter Items Other]]+Table_NFI[[#This Row],[Winter Blanket]]&gt;0,1,0)</f>
        <v>1</v>
      </c>
      <c r="AN72" s="418">
        <f>IF(NFI_Expiration=1,IF($A72&lt;VLOOKUP(V$5,NFI,5,0),1,0)*Table_NFI[[#This Row],[Jerry Can]],Table_NFI[Jerry Can])</f>
        <v>0</v>
      </c>
      <c r="AO72" s="579" t="str">
        <f>IFERROR(VLOOKUP(Table_NFI[[#This Row],[Camp Name]],CL,2,0),"")</f>
        <v>MMR001CMP113</v>
      </c>
      <c r="AP72" s="574">
        <f ca="1">IF(Table_NFI[[#This Row],[Pcode]]="","",IF(OFFSET(CampList[Opening Date],MATCH(Table_NFI[[#This Row],[Pcode]],CampList[CP_Pcode],0)-1,0,1,1)&gt;=NFI_Monitor_Date,1,0))</f>
        <v>0</v>
      </c>
      <c r="AQ72" s="579" t="str">
        <f>IFERROR(VLOOKUP(Table_NFI[[#This Row],[Camp Name]],CL,3,0),"")</f>
        <v>Open</v>
      </c>
      <c r="AR72" s="378" t="str">
        <f ca="1">IF(Table_NFI[[#This Row],[Pcode]]="","",OFFSET(CampList[Priority],MATCH(Table_NFI[[#This Row],[Pcode]],CampList[CP_Pcode],0)-1,0,1,1))</f>
        <v>P1</v>
      </c>
      <c r="AS72" s="377">
        <f>IFERROR(Table_NFI[[#This Row],[Kitchen Set]]/VLOOKUP(Table_NFI[[#This Row],[Camp Name]],CL,4,0),"")</f>
        <v>0</v>
      </c>
      <c r="AT72" s="572"/>
      <c r="AU72" s="575"/>
    </row>
    <row r="73" spans="1:47" s="130" customFormat="1" ht="15" customHeight="1" x14ac:dyDescent="0.25">
      <c r="A73" s="381">
        <f t="shared" si="1"/>
        <v>28.966666666666665</v>
      </c>
      <c r="B73" s="571">
        <v>41653</v>
      </c>
      <c r="C73" s="572" t="s">
        <v>455</v>
      </c>
      <c r="D73" s="572" t="s">
        <v>508</v>
      </c>
      <c r="E73" s="572" t="s">
        <v>380</v>
      </c>
      <c r="F73" s="572" t="s">
        <v>310</v>
      </c>
      <c r="G73" s="572" t="s">
        <v>334</v>
      </c>
      <c r="H73" s="375"/>
      <c r="I73" s="375"/>
      <c r="J73" s="375"/>
      <c r="K73" s="375"/>
      <c r="L73" s="376"/>
      <c r="M73" s="376"/>
      <c r="N73" s="376"/>
      <c r="O73" s="376">
        <v>180</v>
      </c>
      <c r="P73" s="378"/>
      <c r="Q73" s="378"/>
      <c r="R73" s="378"/>
      <c r="S73" s="378"/>
      <c r="T73" s="378"/>
      <c r="U73" s="378"/>
      <c r="V73" s="533"/>
      <c r="W73" s="378"/>
      <c r="X73" s="378"/>
      <c r="Y73" s="378">
        <f>IF(NFI_Expiration=1,IF($A73&lt;VLOOKUP(H$5,NFI,5,0),1,0)*Table_NFI[[#This Row],[Hygiene Kit]],Table_NFI[Hygiene Kit])</f>
        <v>0</v>
      </c>
      <c r="Z73" s="378">
        <f>IF(NFI_Expiration=1,IF($A73&lt;VLOOKUP(I$5,NFI,5,0),1,0)*Table_NFI[[#This Row],[NFI Core Kit]],Table_NFI[NFI Core Kit])</f>
        <v>0</v>
      </c>
      <c r="AA73" s="378">
        <f>IF(NFI_Expiration=1,IF($A73&lt;VLOOKUP(J$5,NFI,5,0),1,0)*Table_NFI[[#This Row],[Sanitary Kit]],Table_NFI[Sanitary Kit])</f>
        <v>0</v>
      </c>
      <c r="AB73" s="378">
        <f>IF(NFI_Expiration=1,IF($A73&lt;VLOOKUP(K$5,NFI,5,0),1,0)*Table_NFI[[#This Row],[Mosquito net]],Table_NFI[Mosquito net])</f>
        <v>0</v>
      </c>
      <c r="AC73" s="378">
        <f>IF(NFI_Expiration=1,IF($A73&lt;VLOOKUP(L$5,NFI,5,0),1,0)*Table_NFI[[#This Row],[Tarpaulin]],Table_NFI[[#This Row],[Tarpaulin]])</f>
        <v>0</v>
      </c>
      <c r="AD73" s="378">
        <f>IF(NFI_Expiration=1,IF($A73&lt;VLOOKUP(M$5,NFI,5,0),1,0)*Table_NFI[[#This Row],[Blanket]],Table_NFI[[#This Row],[Blanket]])</f>
        <v>0</v>
      </c>
      <c r="AE73" s="378">
        <f>IF(NFI_Expiration=1,IF($A73&lt;VLOOKUP(N$5,NFI,5,0),1,0)*Table_NFI[[#This Row],[Kitchen Set]],Table_NFI[Kitchen Set])</f>
        <v>0</v>
      </c>
      <c r="AF73" s="378">
        <f>IF(NFI_Expiration=1,IF($A73&lt;VLOOKUP(O$5,NFI,5,0),1,0)*Table_NFI[[#This Row],[Clothes Kit]],Table_NFI[Clothes Kit])</f>
        <v>0</v>
      </c>
      <c r="AG73" s="378">
        <f>IF(NFI_Expiration=1,IF($A73&lt;VLOOKUP(P$5,NFI,5,0),1,0)*Table_NFI[[#This Row],[Plastic Bucket]],Table_NFI[Plastic Bucket])</f>
        <v>0</v>
      </c>
      <c r="AH73" s="378">
        <f>IF(NFI_Expiration=1,IF($A73&lt;VLOOKUP(Q$5,NFI,5,0),1,0)*Table_NFI[[#This Row],[Plastic Mat]],Table_NFI[Plastic Mat])*IF(Table_NFI[[#This Row],[Distribution Date]]&gt;"2014-04-01",1,2.5)</f>
        <v>0</v>
      </c>
      <c r="AI73" s="378">
        <f>IF(NFI_Expiration=1,IF($A73&lt;VLOOKUP(R$5,NFI,5,0),1,0)*Table_NFI[[#This Row],[Winter Clothes Adult]],Table_NFI[Winter Clothes Adult])</f>
        <v>0</v>
      </c>
      <c r="AJ73" s="378">
        <f>IF(NFI_Expiration=1,IF($A73&lt;VLOOKUP(S$5,NFI,5,0),1,0)*Table_NFI[[#This Row],[Winter Clothes Children]],Table_NFI[Winter Clothes Children])</f>
        <v>0</v>
      </c>
      <c r="AK73" s="378">
        <f>IF(NFI_Expiration=1,IF($A73&lt;VLOOKUP(T$5,NFI,5,0),1,0)*Table_NFI[[#This Row],[Winter Items Other]],Table_NFI[Winter Items Other])</f>
        <v>0</v>
      </c>
      <c r="AL73" s="378">
        <f>IF(NFI_Expiration=1,IF($A73&lt;VLOOKUP(M$5,NFI,5,0),1,0)*Table_NFI[[#This Row],[Winter Blanket]],Table_NFI[[#This Row],[Winter Blanket]])</f>
        <v>0</v>
      </c>
      <c r="AM73" s="378">
        <f>IF(Table_NFI[[#This Row],[Winter Clothes Adult]]+Table_NFI[[#This Row],[Winter Clothes Children]]+Table_NFI[[#This Row],[Winter Items Other]]+Table_NFI[[#This Row],[Winter Blanket]]&gt;0,1,0)</f>
        <v>0</v>
      </c>
      <c r="AN73" s="418">
        <f>IF(NFI_Expiration=1,IF($A73&lt;VLOOKUP(V$5,NFI,5,0),1,0)*Table_NFI[[#This Row],[Jerry Can]],Table_NFI[Jerry Can])</f>
        <v>0</v>
      </c>
      <c r="AO73" s="579" t="str">
        <f>IFERROR(VLOOKUP(Table_NFI[[#This Row],[Camp Name]],CL,2,0),"")</f>
        <v>MMR001CMP113</v>
      </c>
      <c r="AP73" s="574">
        <f ca="1">IF(Table_NFI[[#This Row],[Pcode]]="","",IF(OFFSET(CampList[Opening Date],MATCH(Table_NFI[[#This Row],[Pcode]],CampList[CP_Pcode],0)-1,0,1,1)&gt;=NFI_Monitor_Date,1,0))</f>
        <v>0</v>
      </c>
      <c r="AQ73" s="579" t="str">
        <f>IFERROR(VLOOKUP(Table_NFI[[#This Row],[Camp Name]],CL,3,0),"")</f>
        <v>Open</v>
      </c>
      <c r="AR73" s="378" t="str">
        <f ca="1">IF(Table_NFI[[#This Row],[Pcode]]="","",OFFSET(CampList[Priority],MATCH(Table_NFI[[#This Row],[Pcode]],CampList[CP_Pcode],0)-1,0,1,1))</f>
        <v>P1</v>
      </c>
      <c r="AS73" s="377">
        <f>IFERROR(Table_NFI[[#This Row],[Kitchen Set]]/VLOOKUP(Table_NFI[[#This Row],[Camp Name]],CL,4,0),"")</f>
        <v>0</v>
      </c>
      <c r="AT73" s="572" t="s">
        <v>1095</v>
      </c>
      <c r="AU73" s="575"/>
    </row>
    <row r="74" spans="1:47" s="576" customFormat="1" ht="15" customHeight="1" x14ac:dyDescent="0.25">
      <c r="A74" s="381">
        <f t="shared" si="1"/>
        <v>28.966666666666665</v>
      </c>
      <c r="B74" s="571">
        <v>41653</v>
      </c>
      <c r="C74" s="572" t="s">
        <v>455</v>
      </c>
      <c r="D74" s="572" t="s">
        <v>508</v>
      </c>
      <c r="E74" s="572" t="s">
        <v>380</v>
      </c>
      <c r="F74" s="572" t="s">
        <v>310</v>
      </c>
      <c r="G74" s="572" t="s">
        <v>334</v>
      </c>
      <c r="H74" s="375"/>
      <c r="I74" s="375"/>
      <c r="J74" s="375"/>
      <c r="K74" s="375"/>
      <c r="L74" s="376"/>
      <c r="M74" s="376"/>
      <c r="N74" s="376"/>
      <c r="O74" s="376"/>
      <c r="P74" s="378"/>
      <c r="Q74" s="378"/>
      <c r="R74" s="378">
        <v>501</v>
      </c>
      <c r="S74" s="378">
        <v>335</v>
      </c>
      <c r="T74" s="378"/>
      <c r="U74" s="378"/>
      <c r="V74" s="533"/>
      <c r="W74" s="378"/>
      <c r="X74" s="378"/>
      <c r="Y74" s="378">
        <f>IF(NFI_Expiration=1,IF($A74&lt;VLOOKUP(H$5,NFI,5,0),1,0)*Table_NFI[[#This Row],[Hygiene Kit]],Table_NFI[Hygiene Kit])</f>
        <v>0</v>
      </c>
      <c r="Z74" s="378">
        <f>IF(NFI_Expiration=1,IF($A74&lt;VLOOKUP(I$5,NFI,5,0),1,0)*Table_NFI[[#This Row],[NFI Core Kit]],Table_NFI[NFI Core Kit])</f>
        <v>0</v>
      </c>
      <c r="AA74" s="378">
        <f>IF(NFI_Expiration=1,IF($A74&lt;VLOOKUP(J$5,NFI,5,0),1,0)*Table_NFI[[#This Row],[Sanitary Kit]],Table_NFI[Sanitary Kit])</f>
        <v>0</v>
      </c>
      <c r="AB74" s="378">
        <f>IF(NFI_Expiration=1,IF($A74&lt;VLOOKUP(K$5,NFI,5,0),1,0)*Table_NFI[[#This Row],[Mosquito net]],Table_NFI[Mosquito net])</f>
        <v>0</v>
      </c>
      <c r="AC74" s="378">
        <f>IF(NFI_Expiration=1,IF($A74&lt;VLOOKUP(L$5,NFI,5,0),1,0)*Table_NFI[[#This Row],[Tarpaulin]],Table_NFI[[#This Row],[Tarpaulin]])</f>
        <v>0</v>
      </c>
      <c r="AD74" s="378">
        <f>IF(NFI_Expiration=1,IF($A74&lt;VLOOKUP(M$5,NFI,5,0),1,0)*Table_NFI[[#This Row],[Blanket]],Table_NFI[[#This Row],[Blanket]])</f>
        <v>0</v>
      </c>
      <c r="AE74" s="378">
        <f>IF(NFI_Expiration=1,IF($A74&lt;VLOOKUP(N$5,NFI,5,0),1,0)*Table_NFI[[#This Row],[Kitchen Set]],Table_NFI[Kitchen Set])</f>
        <v>0</v>
      </c>
      <c r="AF74" s="378">
        <f>IF(NFI_Expiration=1,IF($A74&lt;VLOOKUP(O$5,NFI,5,0),1,0)*Table_NFI[[#This Row],[Clothes Kit]],Table_NFI[Clothes Kit])</f>
        <v>0</v>
      </c>
      <c r="AG74" s="378">
        <f>IF(NFI_Expiration=1,IF($A74&lt;VLOOKUP(P$5,NFI,5,0),1,0)*Table_NFI[[#This Row],[Plastic Bucket]],Table_NFI[Plastic Bucket])</f>
        <v>0</v>
      </c>
      <c r="AH74" s="378">
        <f>IF(NFI_Expiration=1,IF($A74&lt;VLOOKUP(Q$5,NFI,5,0),1,0)*Table_NFI[[#This Row],[Plastic Mat]],Table_NFI[Plastic Mat])*IF(Table_NFI[[#This Row],[Distribution Date]]&gt;"2014-04-01",1,2.5)</f>
        <v>0</v>
      </c>
      <c r="AI74" s="378">
        <f>IF(NFI_Expiration=1,IF($A74&lt;VLOOKUP(R$5,NFI,5,0),1,0)*Table_NFI[[#This Row],[Winter Clothes Adult]],Table_NFI[Winter Clothes Adult])</f>
        <v>0</v>
      </c>
      <c r="AJ74" s="378">
        <f>IF(NFI_Expiration=1,IF($A74&lt;VLOOKUP(S$5,NFI,5,0),1,0)*Table_NFI[[#This Row],[Winter Clothes Children]],Table_NFI[Winter Clothes Children])</f>
        <v>0</v>
      </c>
      <c r="AK74" s="378">
        <f>IF(NFI_Expiration=1,IF($A74&lt;VLOOKUP(T$5,NFI,5,0),1,0)*Table_NFI[[#This Row],[Winter Items Other]],Table_NFI[Winter Items Other])</f>
        <v>0</v>
      </c>
      <c r="AL74" s="378">
        <f>IF(NFI_Expiration=1,IF($A74&lt;VLOOKUP(M$5,NFI,5,0),1,0)*Table_NFI[[#This Row],[Winter Blanket]],Table_NFI[[#This Row],[Winter Blanket]])</f>
        <v>0</v>
      </c>
      <c r="AM74" s="378">
        <f>IF(Table_NFI[[#This Row],[Winter Clothes Adult]]+Table_NFI[[#This Row],[Winter Clothes Children]]+Table_NFI[[#This Row],[Winter Items Other]]+Table_NFI[[#This Row],[Winter Blanket]]&gt;0,1,0)</f>
        <v>1</v>
      </c>
      <c r="AN74" s="418">
        <f>IF(NFI_Expiration=1,IF($A74&lt;VLOOKUP(V$5,NFI,5,0),1,0)*Table_NFI[[#This Row],[Jerry Can]],Table_NFI[Jerry Can])</f>
        <v>0</v>
      </c>
      <c r="AO74" s="579" t="str">
        <f>IFERROR(VLOOKUP(Table_NFI[[#This Row],[Camp Name]],CL,2,0),"")</f>
        <v>MMR001CMP113</v>
      </c>
      <c r="AP74" s="574">
        <f ca="1">IF(Table_NFI[[#This Row],[Pcode]]="","",IF(OFFSET(CampList[Opening Date],MATCH(Table_NFI[[#This Row],[Pcode]],CampList[CP_Pcode],0)-1,0,1,1)&gt;=NFI_Monitor_Date,1,0))</f>
        <v>0</v>
      </c>
      <c r="AQ74" s="579" t="str">
        <f>IFERROR(VLOOKUP(Table_NFI[[#This Row],[Camp Name]],CL,3,0),"")</f>
        <v>Open</v>
      </c>
      <c r="AR74" s="378" t="str">
        <f ca="1">IF(Table_NFI[[#This Row],[Pcode]]="","",OFFSET(CampList[Priority],MATCH(Table_NFI[[#This Row],[Pcode]],CampList[CP_Pcode],0)-1,0,1,1))</f>
        <v>P1</v>
      </c>
      <c r="AS74" s="377">
        <f>IFERROR(Table_NFI[[#This Row],[Kitchen Set]]/VLOOKUP(Table_NFI[[#This Row],[Camp Name]],CL,4,0),"")</f>
        <v>0</v>
      </c>
      <c r="AT74" s="572" t="s">
        <v>1095</v>
      </c>
      <c r="AU74" s="575"/>
    </row>
    <row r="75" spans="1:47" s="130" customFormat="1" ht="15" customHeight="1" x14ac:dyDescent="0.25">
      <c r="A75" s="381">
        <f t="shared" si="1"/>
        <v>30.366666666666667</v>
      </c>
      <c r="B75" s="571">
        <v>41611</v>
      </c>
      <c r="C75" s="572" t="s">
        <v>908</v>
      </c>
      <c r="D75" s="572" t="s">
        <v>462</v>
      </c>
      <c r="E75" s="572" t="s">
        <v>380</v>
      </c>
      <c r="F75" s="572" t="s">
        <v>310</v>
      </c>
      <c r="G75" s="572" t="s">
        <v>334</v>
      </c>
      <c r="H75" s="375"/>
      <c r="I75" s="375"/>
      <c r="J75" s="375"/>
      <c r="K75" s="375"/>
      <c r="L75" s="376"/>
      <c r="M75" s="376"/>
      <c r="N75" s="376"/>
      <c r="O75" s="376"/>
      <c r="P75" s="378"/>
      <c r="Q75" s="378"/>
      <c r="R75" s="378">
        <v>181</v>
      </c>
      <c r="S75" s="378">
        <v>362</v>
      </c>
      <c r="T75" s="378">
        <v>1086</v>
      </c>
      <c r="U75" s="378">
        <v>543</v>
      </c>
      <c r="V75" s="533"/>
      <c r="W75" s="378"/>
      <c r="X75" s="378"/>
      <c r="Y75" s="378">
        <f>IF(NFI_Expiration=1,IF($A75&lt;VLOOKUP(H$5,NFI,5,0),1,0)*Table_NFI[[#This Row],[Hygiene Kit]],Table_NFI[Hygiene Kit])</f>
        <v>0</v>
      </c>
      <c r="Z75" s="378">
        <f>IF(NFI_Expiration=1,IF($A75&lt;VLOOKUP(I$5,NFI,5,0),1,0)*Table_NFI[[#This Row],[NFI Core Kit]],Table_NFI[NFI Core Kit])</f>
        <v>0</v>
      </c>
      <c r="AA75" s="378">
        <f>IF(NFI_Expiration=1,IF($A75&lt;VLOOKUP(J$5,NFI,5,0),1,0)*Table_NFI[[#This Row],[Sanitary Kit]],Table_NFI[Sanitary Kit])</f>
        <v>0</v>
      </c>
      <c r="AB75" s="378">
        <f>IF(NFI_Expiration=1,IF($A75&lt;VLOOKUP(K$5,NFI,5,0),1,0)*Table_NFI[[#This Row],[Mosquito net]],Table_NFI[Mosquito net])</f>
        <v>0</v>
      </c>
      <c r="AC75" s="378">
        <f>IF(NFI_Expiration=1,IF($A75&lt;VLOOKUP(L$5,NFI,5,0),1,0)*Table_NFI[[#This Row],[Tarpaulin]],Table_NFI[[#This Row],[Tarpaulin]])</f>
        <v>0</v>
      </c>
      <c r="AD75" s="378">
        <f>IF(NFI_Expiration=1,IF($A75&lt;VLOOKUP(M$5,NFI,5,0),1,0)*Table_NFI[[#This Row],[Blanket]],Table_NFI[[#This Row],[Blanket]])</f>
        <v>0</v>
      </c>
      <c r="AE75" s="378">
        <f>IF(NFI_Expiration=1,IF($A75&lt;VLOOKUP(N$5,NFI,5,0),1,0)*Table_NFI[[#This Row],[Kitchen Set]],Table_NFI[Kitchen Set])</f>
        <v>0</v>
      </c>
      <c r="AF75" s="378">
        <f>IF(NFI_Expiration=1,IF($A75&lt;VLOOKUP(O$5,NFI,5,0),1,0)*Table_NFI[[#This Row],[Clothes Kit]],Table_NFI[Clothes Kit])</f>
        <v>0</v>
      </c>
      <c r="AG75" s="378">
        <f>IF(NFI_Expiration=1,IF($A75&lt;VLOOKUP(P$5,NFI,5,0),1,0)*Table_NFI[[#This Row],[Plastic Bucket]],Table_NFI[Plastic Bucket])</f>
        <v>0</v>
      </c>
      <c r="AH75" s="378">
        <f>IF(NFI_Expiration=1,IF($A75&lt;VLOOKUP(Q$5,NFI,5,0),1,0)*Table_NFI[[#This Row],[Plastic Mat]],Table_NFI[Plastic Mat])*IF(Table_NFI[[#This Row],[Distribution Date]]&gt;"2014-04-01",1,2.5)</f>
        <v>0</v>
      </c>
      <c r="AI75" s="378">
        <f>IF(NFI_Expiration=1,IF($A75&lt;VLOOKUP(R$5,NFI,5,0),1,0)*Table_NFI[[#This Row],[Winter Clothes Adult]],Table_NFI[Winter Clothes Adult])</f>
        <v>0</v>
      </c>
      <c r="AJ75" s="378">
        <f>IF(NFI_Expiration=1,IF($A75&lt;VLOOKUP(S$5,NFI,5,0),1,0)*Table_NFI[[#This Row],[Winter Clothes Children]],Table_NFI[Winter Clothes Children])</f>
        <v>0</v>
      </c>
      <c r="AK75" s="378">
        <f>IF(NFI_Expiration=1,IF($A75&lt;VLOOKUP(T$5,NFI,5,0),1,0)*Table_NFI[[#This Row],[Winter Items Other]],Table_NFI[Winter Items Other])</f>
        <v>0</v>
      </c>
      <c r="AL75" s="378">
        <f>IF(NFI_Expiration=1,IF($A75&lt;VLOOKUP(M$5,NFI,5,0),1,0)*Table_NFI[[#This Row],[Winter Blanket]],Table_NFI[[#This Row],[Winter Blanket]])</f>
        <v>0</v>
      </c>
      <c r="AM75" s="378">
        <f>IF(Table_NFI[[#This Row],[Winter Clothes Adult]]+Table_NFI[[#This Row],[Winter Clothes Children]]+Table_NFI[[#This Row],[Winter Items Other]]+Table_NFI[[#This Row],[Winter Blanket]]&gt;0,1,0)</f>
        <v>1</v>
      </c>
      <c r="AN75" s="418">
        <f>IF(NFI_Expiration=1,IF($A75&lt;VLOOKUP(V$5,NFI,5,0),1,0)*Table_NFI[[#This Row],[Jerry Can]],Table_NFI[Jerry Can])</f>
        <v>0</v>
      </c>
      <c r="AO75" s="579" t="str">
        <f>IFERROR(VLOOKUP(Table_NFI[[#This Row],[Camp Name]],CL,2,0),"")</f>
        <v>MMR001CMP113</v>
      </c>
      <c r="AP75" s="574">
        <f ca="1">IF(Table_NFI[[#This Row],[Pcode]]="","",IF(OFFSET(CampList[Opening Date],MATCH(Table_NFI[[#This Row],[Pcode]],CampList[CP_Pcode],0)-1,0,1,1)&gt;=NFI_Monitor_Date,1,0))</f>
        <v>0</v>
      </c>
      <c r="AQ75" s="579" t="str">
        <f>IFERROR(VLOOKUP(Table_NFI[[#This Row],[Camp Name]],CL,3,0),"")</f>
        <v>Open</v>
      </c>
      <c r="AR75" s="378" t="str">
        <f ca="1">IF(Table_NFI[[#This Row],[Pcode]]="","",OFFSET(CampList[Priority],MATCH(Table_NFI[[#This Row],[Pcode]],CampList[CP_Pcode],0)-1,0,1,1))</f>
        <v>P1</v>
      </c>
      <c r="AS75" s="377">
        <f>IFERROR(Table_NFI[[#This Row],[Kitchen Set]]/VLOOKUP(Table_NFI[[#This Row],[Camp Name]],CL,4,0),"")</f>
        <v>0</v>
      </c>
      <c r="AT75" s="572"/>
      <c r="AU75" s="575"/>
    </row>
    <row r="76" spans="1:47" s="130" customFormat="1" ht="15" customHeight="1" x14ac:dyDescent="0.25">
      <c r="A76" s="381">
        <f t="shared" si="1"/>
        <v>30.466666666666665</v>
      </c>
      <c r="B76" s="571">
        <v>41608</v>
      </c>
      <c r="C76" s="572" t="s">
        <v>908</v>
      </c>
      <c r="D76" s="572" t="s">
        <v>462</v>
      </c>
      <c r="E76" s="572" t="s">
        <v>380</v>
      </c>
      <c r="F76" s="374" t="s">
        <v>310</v>
      </c>
      <c r="G76" s="374" t="s">
        <v>334</v>
      </c>
      <c r="H76" s="375"/>
      <c r="I76" s="375"/>
      <c r="J76" s="375"/>
      <c r="K76" s="375"/>
      <c r="L76" s="376"/>
      <c r="M76" s="376"/>
      <c r="N76" s="376"/>
      <c r="O76" s="376"/>
      <c r="P76" s="378"/>
      <c r="Q76" s="378"/>
      <c r="R76" s="378"/>
      <c r="S76" s="378"/>
      <c r="T76" s="378"/>
      <c r="U76" s="378"/>
      <c r="V76" s="533"/>
      <c r="W76" s="378"/>
      <c r="X76" s="378"/>
      <c r="Y76" s="378">
        <f>IF(NFI_Expiration=1,IF($A76&lt;VLOOKUP(H$5,NFI,5,0),1,0)*Table_NFI[[#This Row],[Hygiene Kit]],Table_NFI[Hygiene Kit])</f>
        <v>0</v>
      </c>
      <c r="Z76" s="378">
        <f>IF(NFI_Expiration=1,IF($A76&lt;VLOOKUP(I$5,NFI,5,0),1,0)*Table_NFI[[#This Row],[NFI Core Kit]],Table_NFI[NFI Core Kit])</f>
        <v>0</v>
      </c>
      <c r="AA76" s="378">
        <f>IF(NFI_Expiration=1,IF($A76&lt;VLOOKUP(J$5,NFI,5,0),1,0)*Table_NFI[[#This Row],[Sanitary Kit]],Table_NFI[Sanitary Kit])</f>
        <v>0</v>
      </c>
      <c r="AB76" s="378">
        <f>IF(NFI_Expiration=1,IF($A76&lt;VLOOKUP(K$5,NFI,5,0),1,0)*Table_NFI[[#This Row],[Mosquito net]],Table_NFI[Mosquito net])</f>
        <v>0</v>
      </c>
      <c r="AC76" s="378">
        <f>IF(NFI_Expiration=1,IF($A76&lt;VLOOKUP(L$5,NFI,5,0),1,0)*Table_NFI[[#This Row],[Tarpaulin]],Table_NFI[[#This Row],[Tarpaulin]])</f>
        <v>0</v>
      </c>
      <c r="AD76" s="378">
        <f>IF(NFI_Expiration=1,IF($A76&lt;VLOOKUP(M$5,NFI,5,0),1,0)*Table_NFI[[#This Row],[Blanket]],Table_NFI[[#This Row],[Blanket]])</f>
        <v>0</v>
      </c>
      <c r="AE76" s="378">
        <f>IF(NFI_Expiration=1,IF($A76&lt;VLOOKUP(N$5,NFI,5,0),1,0)*Table_NFI[[#This Row],[Kitchen Set]],Table_NFI[Kitchen Set])</f>
        <v>0</v>
      </c>
      <c r="AF76" s="378">
        <f>IF(NFI_Expiration=1,IF($A76&lt;VLOOKUP(O$5,NFI,5,0),1,0)*Table_NFI[[#This Row],[Clothes Kit]],Table_NFI[Clothes Kit])</f>
        <v>0</v>
      </c>
      <c r="AG76" s="378">
        <f>IF(NFI_Expiration=1,IF($A76&lt;VLOOKUP(P$5,NFI,5,0),1,0)*Table_NFI[[#This Row],[Plastic Bucket]],Table_NFI[Plastic Bucket])</f>
        <v>0</v>
      </c>
      <c r="AH76" s="378">
        <f>IF(NFI_Expiration=1,IF($A76&lt;VLOOKUP(Q$5,NFI,5,0),1,0)*Table_NFI[[#This Row],[Plastic Mat]],Table_NFI[Plastic Mat])*IF(Table_NFI[[#This Row],[Distribution Date]]&gt;"2014-04-01",1,2.5)</f>
        <v>0</v>
      </c>
      <c r="AI76" s="378">
        <f>IF(NFI_Expiration=1,IF($A76&lt;VLOOKUP(R$5,NFI,5,0),1,0)*Table_NFI[[#This Row],[Winter Clothes Adult]],Table_NFI[Winter Clothes Adult])</f>
        <v>0</v>
      </c>
      <c r="AJ76" s="378">
        <f>IF(NFI_Expiration=1,IF($A76&lt;VLOOKUP(S$5,NFI,5,0),1,0)*Table_NFI[[#This Row],[Winter Clothes Children]],Table_NFI[Winter Clothes Children])</f>
        <v>0</v>
      </c>
      <c r="AK76" s="378">
        <f>IF(NFI_Expiration=1,IF($A76&lt;VLOOKUP(T$5,NFI,5,0),1,0)*Table_NFI[[#This Row],[Winter Items Other]],Table_NFI[Winter Items Other])</f>
        <v>0</v>
      </c>
      <c r="AL76" s="378">
        <f>IF(NFI_Expiration=1,IF($A76&lt;VLOOKUP(M$5,NFI,5,0),1,0)*Table_NFI[[#This Row],[Winter Blanket]],Table_NFI[[#This Row],[Winter Blanket]])</f>
        <v>0</v>
      </c>
      <c r="AM76" s="378">
        <f>IF(Table_NFI[[#This Row],[Winter Clothes Adult]]+Table_NFI[[#This Row],[Winter Clothes Children]]+Table_NFI[[#This Row],[Winter Items Other]]+Table_NFI[[#This Row],[Winter Blanket]]&gt;0,1,0)</f>
        <v>0</v>
      </c>
      <c r="AN76" s="418">
        <f>IF(NFI_Expiration=1,IF($A76&lt;VLOOKUP(V$5,NFI,5,0),1,0)*Table_NFI[[#This Row],[Jerry Can]],Table_NFI[Jerry Can])</f>
        <v>0</v>
      </c>
      <c r="AO76" s="579" t="str">
        <f>IFERROR(VLOOKUP(Table_NFI[[#This Row],[Camp Name]],CL,2,0),"")</f>
        <v>MMR001CMP113</v>
      </c>
      <c r="AP76" s="574">
        <f ca="1">IF(Table_NFI[[#This Row],[Pcode]]="","",IF(OFFSET(CampList[Opening Date],MATCH(Table_NFI[[#This Row],[Pcode]],CampList[CP_Pcode],0)-1,0,1,1)&gt;=NFI_Monitor_Date,1,0))</f>
        <v>0</v>
      </c>
      <c r="AQ76" s="579" t="str">
        <f>IFERROR(VLOOKUP(Table_NFI[[#This Row],[Camp Name]],CL,3,0),"")</f>
        <v>Open</v>
      </c>
      <c r="AR76" s="378" t="str">
        <f ca="1">IF(Table_NFI[[#This Row],[Pcode]]="","",OFFSET(CampList[Priority],MATCH(Table_NFI[[#This Row],[Pcode]],CampList[CP_Pcode],0)-1,0,1,1))</f>
        <v>P1</v>
      </c>
      <c r="AS76" s="377">
        <f>IFERROR(Table_NFI[[#This Row],[Kitchen Set]]/VLOOKUP(Table_NFI[[#This Row],[Camp Name]],CL,4,0),"")</f>
        <v>0</v>
      </c>
      <c r="AT76" s="572" t="s">
        <v>1095</v>
      </c>
      <c r="AU76" s="575"/>
    </row>
    <row r="77" spans="1:47" s="130" customFormat="1" ht="15" customHeight="1" x14ac:dyDescent="0.25">
      <c r="A77" s="381">
        <f t="shared" si="1"/>
        <v>30.7</v>
      </c>
      <c r="B77" s="571">
        <v>41601</v>
      </c>
      <c r="C77" s="572" t="s">
        <v>455</v>
      </c>
      <c r="D77" s="572"/>
      <c r="E77" s="572" t="s">
        <v>380</v>
      </c>
      <c r="F77" s="572" t="s">
        <v>310</v>
      </c>
      <c r="G77" s="572" t="s">
        <v>334</v>
      </c>
      <c r="H77" s="375"/>
      <c r="I77" s="375"/>
      <c r="J77" s="375"/>
      <c r="K77" s="375"/>
      <c r="L77" s="376"/>
      <c r="M77" s="376">
        <v>358</v>
      </c>
      <c r="N77" s="376"/>
      <c r="O77" s="376"/>
      <c r="P77" s="378"/>
      <c r="Q77" s="378"/>
      <c r="R77" s="378"/>
      <c r="S77" s="378"/>
      <c r="T77" s="378"/>
      <c r="U77" s="378"/>
      <c r="V77" s="533"/>
      <c r="W77" s="378"/>
      <c r="X77" s="378"/>
      <c r="Y77" s="378">
        <f>IF(NFI_Expiration=1,IF($A77&lt;VLOOKUP(H$5,NFI,5,0),1,0)*Table_NFI[[#This Row],[Hygiene Kit]],Table_NFI[Hygiene Kit])</f>
        <v>0</v>
      </c>
      <c r="Z77" s="378">
        <f>IF(NFI_Expiration=1,IF($A77&lt;VLOOKUP(I$5,NFI,5,0),1,0)*Table_NFI[[#This Row],[NFI Core Kit]],Table_NFI[NFI Core Kit])</f>
        <v>0</v>
      </c>
      <c r="AA77" s="378">
        <f>IF(NFI_Expiration=1,IF($A77&lt;VLOOKUP(J$5,NFI,5,0),1,0)*Table_NFI[[#This Row],[Sanitary Kit]],Table_NFI[Sanitary Kit])</f>
        <v>0</v>
      </c>
      <c r="AB77" s="378">
        <f>IF(NFI_Expiration=1,IF($A77&lt;VLOOKUP(K$5,NFI,5,0),1,0)*Table_NFI[[#This Row],[Mosquito net]],Table_NFI[Mosquito net])</f>
        <v>0</v>
      </c>
      <c r="AC77" s="378">
        <f>IF(NFI_Expiration=1,IF($A77&lt;VLOOKUP(L$5,NFI,5,0),1,0)*Table_NFI[[#This Row],[Tarpaulin]],Table_NFI[[#This Row],[Tarpaulin]])</f>
        <v>0</v>
      </c>
      <c r="AD77" s="378">
        <f>IF(NFI_Expiration=1,IF($A77&lt;VLOOKUP(M$5,NFI,5,0),1,0)*Table_NFI[[#This Row],[Blanket]],Table_NFI[[#This Row],[Blanket]])</f>
        <v>0</v>
      </c>
      <c r="AE77" s="378">
        <f>IF(NFI_Expiration=1,IF($A77&lt;VLOOKUP(N$5,NFI,5,0),1,0)*Table_NFI[[#This Row],[Kitchen Set]],Table_NFI[Kitchen Set])</f>
        <v>0</v>
      </c>
      <c r="AF77" s="378">
        <f>IF(NFI_Expiration=1,IF($A77&lt;VLOOKUP(O$5,NFI,5,0),1,0)*Table_NFI[[#This Row],[Clothes Kit]],Table_NFI[Clothes Kit])</f>
        <v>0</v>
      </c>
      <c r="AG77" s="378">
        <f>IF(NFI_Expiration=1,IF($A77&lt;VLOOKUP(P$5,NFI,5,0),1,0)*Table_NFI[[#This Row],[Plastic Bucket]],Table_NFI[Plastic Bucket])</f>
        <v>0</v>
      </c>
      <c r="AH77" s="378">
        <f>IF(NFI_Expiration=1,IF($A77&lt;VLOOKUP(Q$5,NFI,5,0),1,0)*Table_NFI[[#This Row],[Plastic Mat]],Table_NFI[Plastic Mat])*IF(Table_NFI[[#This Row],[Distribution Date]]&gt;"2014-04-01",1,2.5)</f>
        <v>0</v>
      </c>
      <c r="AI77" s="378">
        <f>IF(NFI_Expiration=1,IF($A77&lt;VLOOKUP(R$5,NFI,5,0),1,0)*Table_NFI[[#This Row],[Winter Clothes Adult]],Table_NFI[Winter Clothes Adult])</f>
        <v>0</v>
      </c>
      <c r="AJ77" s="378">
        <f>IF(NFI_Expiration=1,IF($A77&lt;VLOOKUP(S$5,NFI,5,0),1,0)*Table_NFI[[#This Row],[Winter Clothes Children]],Table_NFI[Winter Clothes Children])</f>
        <v>0</v>
      </c>
      <c r="AK77" s="378">
        <f>IF(NFI_Expiration=1,IF($A77&lt;VLOOKUP(T$5,NFI,5,0),1,0)*Table_NFI[[#This Row],[Winter Items Other]],Table_NFI[Winter Items Other])</f>
        <v>0</v>
      </c>
      <c r="AL77" s="378">
        <f>IF(NFI_Expiration=1,IF($A77&lt;VLOOKUP(M$5,NFI,5,0),1,0)*Table_NFI[[#This Row],[Winter Blanket]],Table_NFI[[#This Row],[Winter Blanket]])</f>
        <v>0</v>
      </c>
      <c r="AM77" s="378">
        <f>IF(Table_NFI[[#This Row],[Winter Clothes Adult]]+Table_NFI[[#This Row],[Winter Clothes Children]]+Table_NFI[[#This Row],[Winter Items Other]]+Table_NFI[[#This Row],[Winter Blanket]]&gt;0,1,0)</f>
        <v>0</v>
      </c>
      <c r="AN77" s="418">
        <f>IF(NFI_Expiration=1,IF($A77&lt;VLOOKUP(V$5,NFI,5,0),1,0)*Table_NFI[[#This Row],[Jerry Can]],Table_NFI[Jerry Can])</f>
        <v>0</v>
      </c>
      <c r="AO77" s="579" t="str">
        <f>IFERROR(VLOOKUP(Table_NFI[[#This Row],[Camp Name]],CL,2,0),"")</f>
        <v>MMR001CMP113</v>
      </c>
      <c r="AP77" s="574">
        <f ca="1">IF(Table_NFI[[#This Row],[Pcode]]="","",IF(OFFSET(CampList[Opening Date],MATCH(Table_NFI[[#This Row],[Pcode]],CampList[CP_Pcode],0)-1,0,1,1)&gt;=NFI_Monitor_Date,1,0))</f>
        <v>0</v>
      </c>
      <c r="AQ77" s="579" t="str">
        <f>IFERROR(VLOOKUP(Table_NFI[[#This Row],[Camp Name]],CL,3,0),"")</f>
        <v>Open</v>
      </c>
      <c r="AR77" s="378" t="str">
        <f ca="1">IF(Table_NFI[[#This Row],[Pcode]]="","",OFFSET(CampList[Priority],MATCH(Table_NFI[[#This Row],[Pcode]],CampList[CP_Pcode],0)-1,0,1,1))</f>
        <v>P1</v>
      </c>
      <c r="AS77" s="377">
        <f>IFERROR(Table_NFI[[#This Row],[Kitchen Set]]/VLOOKUP(Table_NFI[[#This Row],[Camp Name]],CL,4,0),"")</f>
        <v>0</v>
      </c>
      <c r="AT77" s="572" t="s">
        <v>1095</v>
      </c>
      <c r="AU77" s="575"/>
    </row>
    <row r="78" spans="1:47" s="130" customFormat="1" ht="15" customHeight="1" x14ac:dyDescent="0.25">
      <c r="A78" s="381">
        <f t="shared" si="1"/>
        <v>37.133333333333333</v>
      </c>
      <c r="B78" s="571">
        <v>41408</v>
      </c>
      <c r="C78" s="572" t="s">
        <v>904</v>
      </c>
      <c r="D78" s="572" t="s">
        <v>508</v>
      </c>
      <c r="E78" s="572" t="s">
        <v>380</v>
      </c>
      <c r="F78" s="572" t="s">
        <v>310</v>
      </c>
      <c r="G78" s="374" t="s">
        <v>334</v>
      </c>
      <c r="H78" s="375">
        <v>604</v>
      </c>
      <c r="I78" s="375"/>
      <c r="J78" s="375"/>
      <c r="K78" s="375"/>
      <c r="L78" s="376"/>
      <c r="M78" s="376"/>
      <c r="N78" s="376"/>
      <c r="O78" s="376"/>
      <c r="P78" s="378"/>
      <c r="Q78" s="378"/>
      <c r="R78" s="378"/>
      <c r="S78" s="378"/>
      <c r="T78" s="378"/>
      <c r="U78" s="378"/>
      <c r="V78" s="533"/>
      <c r="W78" s="378"/>
      <c r="X78" s="378"/>
      <c r="Y78" s="378">
        <f>IF(NFI_Expiration=1,IF($A78&lt;VLOOKUP(H$5,NFI,5,0),1,0)*Table_NFI[[#This Row],[Hygiene Kit]],Table_NFI[Hygiene Kit])</f>
        <v>0</v>
      </c>
      <c r="Z78" s="378">
        <f>IF(NFI_Expiration=1,IF($A78&lt;VLOOKUP(I$5,NFI,5,0),1,0)*Table_NFI[[#This Row],[NFI Core Kit]],Table_NFI[NFI Core Kit])</f>
        <v>0</v>
      </c>
      <c r="AA78" s="378">
        <f>IF(NFI_Expiration=1,IF($A78&lt;VLOOKUP(J$5,NFI,5,0),1,0)*Table_NFI[[#This Row],[Sanitary Kit]],Table_NFI[Sanitary Kit])</f>
        <v>0</v>
      </c>
      <c r="AB78" s="378">
        <f>IF(NFI_Expiration=1,IF($A78&lt;VLOOKUP(K$5,NFI,5,0),1,0)*Table_NFI[[#This Row],[Mosquito net]],Table_NFI[Mosquito net])</f>
        <v>0</v>
      </c>
      <c r="AC78" s="378">
        <f>IF(NFI_Expiration=1,IF($A78&lt;VLOOKUP(L$5,NFI,5,0),1,0)*Table_NFI[[#This Row],[Tarpaulin]],Table_NFI[[#This Row],[Tarpaulin]])</f>
        <v>0</v>
      </c>
      <c r="AD78" s="378">
        <f>IF(NFI_Expiration=1,IF($A78&lt;VLOOKUP(M$5,NFI,5,0),1,0)*Table_NFI[[#This Row],[Blanket]],Table_NFI[[#This Row],[Blanket]])</f>
        <v>0</v>
      </c>
      <c r="AE78" s="378">
        <f>IF(NFI_Expiration=1,IF($A78&lt;VLOOKUP(N$5,NFI,5,0),1,0)*Table_NFI[[#This Row],[Kitchen Set]],Table_NFI[Kitchen Set])</f>
        <v>0</v>
      </c>
      <c r="AF78" s="378">
        <f>IF(NFI_Expiration=1,IF($A78&lt;VLOOKUP(O$5,NFI,5,0),1,0)*Table_NFI[[#This Row],[Clothes Kit]],Table_NFI[Clothes Kit])</f>
        <v>0</v>
      </c>
      <c r="AG78" s="378">
        <f>IF(NFI_Expiration=1,IF($A78&lt;VLOOKUP(P$5,NFI,5,0),1,0)*Table_NFI[[#This Row],[Plastic Bucket]],Table_NFI[Plastic Bucket])</f>
        <v>0</v>
      </c>
      <c r="AH78" s="378">
        <f>IF(NFI_Expiration=1,IF($A78&lt;VLOOKUP(Q$5,NFI,5,0),1,0)*Table_NFI[[#This Row],[Plastic Mat]],Table_NFI[Plastic Mat])*IF(Table_NFI[[#This Row],[Distribution Date]]&gt;"2014-04-01",1,2.5)</f>
        <v>0</v>
      </c>
      <c r="AI78" s="378">
        <f>IF(NFI_Expiration=1,IF($A78&lt;VLOOKUP(R$5,NFI,5,0),1,0)*Table_NFI[[#This Row],[Winter Clothes Adult]],Table_NFI[Winter Clothes Adult])</f>
        <v>0</v>
      </c>
      <c r="AJ78" s="378">
        <f>IF(NFI_Expiration=1,IF($A78&lt;VLOOKUP(S$5,NFI,5,0),1,0)*Table_NFI[[#This Row],[Winter Clothes Children]],Table_NFI[Winter Clothes Children])</f>
        <v>0</v>
      </c>
      <c r="AK78" s="378">
        <f>IF(NFI_Expiration=1,IF($A78&lt;VLOOKUP(T$5,NFI,5,0),1,0)*Table_NFI[[#This Row],[Winter Items Other]],Table_NFI[Winter Items Other])</f>
        <v>0</v>
      </c>
      <c r="AL78" s="378">
        <f>IF(NFI_Expiration=1,IF($A78&lt;VLOOKUP(M$5,NFI,5,0),1,0)*Table_NFI[[#This Row],[Winter Blanket]],Table_NFI[[#This Row],[Winter Blanket]])</f>
        <v>0</v>
      </c>
      <c r="AM78" s="378">
        <f>IF(Table_NFI[[#This Row],[Winter Clothes Adult]]+Table_NFI[[#This Row],[Winter Clothes Children]]+Table_NFI[[#This Row],[Winter Items Other]]+Table_NFI[[#This Row],[Winter Blanket]]&gt;0,1,0)</f>
        <v>0</v>
      </c>
      <c r="AN78" s="418">
        <f>IF(NFI_Expiration=1,IF($A78&lt;VLOOKUP(V$5,NFI,5,0),1,0)*Table_NFI[[#This Row],[Jerry Can]],Table_NFI[Jerry Can])</f>
        <v>0</v>
      </c>
      <c r="AO78" s="579" t="str">
        <f>IFERROR(VLOOKUP(Table_NFI[[#This Row],[Camp Name]],CL,2,0),"")</f>
        <v>MMR001CMP113</v>
      </c>
      <c r="AP78" s="574">
        <f ca="1">IF(Table_NFI[[#This Row],[Pcode]]="","",IF(OFFSET(CampList[Opening Date],MATCH(Table_NFI[[#This Row],[Pcode]],CampList[CP_Pcode],0)-1,0,1,1)&gt;=NFI_Monitor_Date,1,0))</f>
        <v>0</v>
      </c>
      <c r="AQ78" s="579" t="str">
        <f>IFERROR(VLOOKUP(Table_NFI[[#This Row],[Camp Name]],CL,3,0),"")</f>
        <v>Open</v>
      </c>
      <c r="AR78" s="378" t="str">
        <f ca="1">IF(Table_NFI[[#This Row],[Pcode]]="","",OFFSET(CampList[Priority],MATCH(Table_NFI[[#This Row],[Pcode]],CampList[CP_Pcode],0)-1,0,1,1))</f>
        <v>P1</v>
      </c>
      <c r="AS78" s="377">
        <f>IFERROR(Table_NFI[[#This Row],[Kitchen Set]]/VLOOKUP(Table_NFI[[#This Row],[Camp Name]],CL,4,0),"")</f>
        <v>0</v>
      </c>
      <c r="AT78" s="572" t="s">
        <v>1095</v>
      </c>
      <c r="AU78" s="575"/>
    </row>
    <row r="79" spans="1:47" s="130" customFormat="1" ht="15" customHeight="1" x14ac:dyDescent="0.25">
      <c r="A79" s="381">
        <f t="shared" si="1"/>
        <v>47.166666666666664</v>
      </c>
      <c r="B79" s="571">
        <v>41107</v>
      </c>
      <c r="C79" s="572" t="s">
        <v>454</v>
      </c>
      <c r="D79" s="572" t="s">
        <v>454</v>
      </c>
      <c r="E79" s="572" t="s">
        <v>380</v>
      </c>
      <c r="F79" s="572" t="s">
        <v>310</v>
      </c>
      <c r="G79" s="374" t="s">
        <v>334</v>
      </c>
      <c r="H79" s="375"/>
      <c r="I79" s="375"/>
      <c r="J79" s="375"/>
      <c r="K79" s="375">
        <v>19</v>
      </c>
      <c r="L79" s="376">
        <v>19</v>
      </c>
      <c r="M79" s="376">
        <v>19</v>
      </c>
      <c r="N79" s="376">
        <v>19</v>
      </c>
      <c r="O79" s="376">
        <v>19</v>
      </c>
      <c r="P79" s="378">
        <v>19</v>
      </c>
      <c r="Q79" s="378">
        <v>19</v>
      </c>
      <c r="R79" s="378"/>
      <c r="S79" s="378"/>
      <c r="T79" s="378"/>
      <c r="U79" s="378"/>
      <c r="V79" s="533"/>
      <c r="W79" s="378"/>
      <c r="X79" s="378"/>
      <c r="Y79" s="378">
        <f>IF(NFI_Expiration=1,IF($A79&lt;VLOOKUP(H$5,NFI,5,0),1,0)*Table_NFI[[#This Row],[Hygiene Kit]],Table_NFI[Hygiene Kit])</f>
        <v>0</v>
      </c>
      <c r="Z79" s="378">
        <f>IF(NFI_Expiration=1,IF($A79&lt;VLOOKUP(I$5,NFI,5,0),1,0)*Table_NFI[[#This Row],[NFI Core Kit]],Table_NFI[NFI Core Kit])</f>
        <v>0</v>
      </c>
      <c r="AA79" s="378">
        <f>IF(NFI_Expiration=1,IF($A79&lt;VLOOKUP(J$5,NFI,5,0),1,0)*Table_NFI[[#This Row],[Sanitary Kit]],Table_NFI[Sanitary Kit])</f>
        <v>0</v>
      </c>
      <c r="AB79" s="378">
        <f>IF(NFI_Expiration=1,IF($A79&lt;VLOOKUP(K$5,NFI,5,0),1,0)*Table_NFI[[#This Row],[Mosquito net]],Table_NFI[Mosquito net])</f>
        <v>0</v>
      </c>
      <c r="AC79" s="378">
        <f>IF(NFI_Expiration=1,IF($A79&lt;VLOOKUP(L$5,NFI,5,0),1,0)*Table_NFI[[#This Row],[Tarpaulin]],Table_NFI[[#This Row],[Tarpaulin]])</f>
        <v>0</v>
      </c>
      <c r="AD79" s="378">
        <f>IF(NFI_Expiration=1,IF($A79&lt;VLOOKUP(M$5,NFI,5,0),1,0)*Table_NFI[[#This Row],[Blanket]],Table_NFI[[#This Row],[Blanket]])</f>
        <v>0</v>
      </c>
      <c r="AE79" s="378">
        <f>IF(NFI_Expiration=1,IF($A79&lt;VLOOKUP(N$5,NFI,5,0),1,0)*Table_NFI[[#This Row],[Kitchen Set]],Table_NFI[Kitchen Set])</f>
        <v>0</v>
      </c>
      <c r="AF79" s="378">
        <f>IF(NFI_Expiration=1,IF($A79&lt;VLOOKUP(O$5,NFI,5,0),1,0)*Table_NFI[[#This Row],[Clothes Kit]],Table_NFI[Clothes Kit])</f>
        <v>0</v>
      </c>
      <c r="AG79" s="378">
        <f>IF(NFI_Expiration=1,IF($A79&lt;VLOOKUP(P$5,NFI,5,0),1,0)*Table_NFI[[#This Row],[Plastic Bucket]],Table_NFI[Plastic Bucket])</f>
        <v>0</v>
      </c>
      <c r="AH79" s="378">
        <f>IF(NFI_Expiration=1,IF($A79&lt;VLOOKUP(Q$5,NFI,5,0),1,0)*Table_NFI[[#This Row],[Plastic Mat]],Table_NFI[Plastic Mat])*IF(Table_NFI[[#This Row],[Distribution Date]]&gt;"2014-04-01",1,2.5)</f>
        <v>0</v>
      </c>
      <c r="AI79" s="378">
        <f>IF(NFI_Expiration=1,IF($A79&lt;VLOOKUP(R$5,NFI,5,0),1,0)*Table_NFI[[#This Row],[Winter Clothes Adult]],Table_NFI[Winter Clothes Adult])</f>
        <v>0</v>
      </c>
      <c r="AJ79" s="378">
        <f>IF(NFI_Expiration=1,IF($A79&lt;VLOOKUP(S$5,NFI,5,0),1,0)*Table_NFI[[#This Row],[Winter Clothes Children]],Table_NFI[Winter Clothes Children])</f>
        <v>0</v>
      </c>
      <c r="AK79" s="378">
        <f>IF(NFI_Expiration=1,IF($A79&lt;VLOOKUP(T$5,NFI,5,0),1,0)*Table_NFI[[#This Row],[Winter Items Other]],Table_NFI[Winter Items Other])</f>
        <v>0</v>
      </c>
      <c r="AL79" s="378">
        <f>IF(NFI_Expiration=1,IF($A79&lt;VLOOKUP(M$5,NFI,5,0),1,0)*Table_NFI[[#This Row],[Winter Blanket]],Table_NFI[[#This Row],[Winter Blanket]])</f>
        <v>0</v>
      </c>
      <c r="AM79" s="378">
        <f>IF(Table_NFI[[#This Row],[Winter Clothes Adult]]+Table_NFI[[#This Row],[Winter Clothes Children]]+Table_NFI[[#This Row],[Winter Items Other]]+Table_NFI[[#This Row],[Winter Blanket]]&gt;0,1,0)</f>
        <v>0</v>
      </c>
      <c r="AN79" s="418">
        <f>IF(NFI_Expiration=1,IF($A79&lt;VLOOKUP(V$5,NFI,5,0),1,0)*Table_NFI[[#This Row],[Jerry Can]],Table_NFI[Jerry Can])</f>
        <v>0</v>
      </c>
      <c r="AO79" s="579" t="str">
        <f>IFERROR(VLOOKUP(Table_NFI[[#This Row],[Camp Name]],CL,2,0),"")</f>
        <v>MMR001CMP113</v>
      </c>
      <c r="AP79" s="574">
        <f ca="1">IF(Table_NFI[[#This Row],[Pcode]]="","",IF(OFFSET(CampList[Opening Date],MATCH(Table_NFI[[#This Row],[Pcode]],CampList[CP_Pcode],0)-1,0,1,1)&gt;=NFI_Monitor_Date,1,0))</f>
        <v>0</v>
      </c>
      <c r="AQ79" s="579" t="str">
        <f>IFERROR(VLOOKUP(Table_NFI[[#This Row],[Camp Name]],CL,3,0),"")</f>
        <v>Open</v>
      </c>
      <c r="AR79" s="378" t="str">
        <f ca="1">IF(Table_NFI[[#This Row],[Pcode]]="","",OFFSET(CampList[Priority],MATCH(Table_NFI[[#This Row],[Pcode]],CampList[CP_Pcode],0)-1,0,1,1))</f>
        <v>P1</v>
      </c>
      <c r="AS79" s="377">
        <f>IFERROR(Table_NFI[[#This Row],[Kitchen Set]]/VLOOKUP(Table_NFI[[#This Row],[Camp Name]],CL,4,0),"")</f>
        <v>0.12258064516129032</v>
      </c>
      <c r="AT79" s="572" t="s">
        <v>1095</v>
      </c>
      <c r="AU79" s="575"/>
    </row>
    <row r="80" spans="1:47" s="130" customFormat="1" x14ac:dyDescent="0.25">
      <c r="A80" s="381">
        <f t="shared" si="1"/>
        <v>50.9</v>
      </c>
      <c r="B80" s="571">
        <v>40995</v>
      </c>
      <c r="C80" s="572" t="s">
        <v>454</v>
      </c>
      <c r="D80" s="573" t="s">
        <v>454</v>
      </c>
      <c r="E80" s="572" t="s">
        <v>380</v>
      </c>
      <c r="F80" s="374" t="s">
        <v>310</v>
      </c>
      <c r="G80" s="374" t="s">
        <v>334</v>
      </c>
      <c r="H80" s="375"/>
      <c r="I80" s="375"/>
      <c r="J80" s="375"/>
      <c r="K80" s="375">
        <v>460</v>
      </c>
      <c r="L80" s="376">
        <v>228</v>
      </c>
      <c r="M80" s="376">
        <v>460</v>
      </c>
      <c r="N80" s="376">
        <v>228</v>
      </c>
      <c r="O80" s="376">
        <v>228</v>
      </c>
      <c r="P80" s="378">
        <v>228</v>
      </c>
      <c r="Q80" s="378">
        <v>228</v>
      </c>
      <c r="R80" s="378"/>
      <c r="S80" s="378"/>
      <c r="T80" s="378"/>
      <c r="U80" s="378"/>
      <c r="V80" s="533"/>
      <c r="W80" s="378"/>
      <c r="X80" s="378"/>
      <c r="Y80" s="378">
        <f>IF(NFI_Expiration=1,IF($A80&lt;VLOOKUP(H$5,NFI,5,0),1,0)*Table_NFI[[#This Row],[Hygiene Kit]],Table_NFI[Hygiene Kit])</f>
        <v>0</v>
      </c>
      <c r="Z80" s="378">
        <f>IF(NFI_Expiration=1,IF($A80&lt;VLOOKUP(I$5,NFI,5,0),1,0)*Table_NFI[[#This Row],[NFI Core Kit]],Table_NFI[NFI Core Kit])</f>
        <v>0</v>
      </c>
      <c r="AA80" s="378">
        <f>IF(NFI_Expiration=1,IF($A80&lt;VLOOKUP(J$5,NFI,5,0),1,0)*Table_NFI[[#This Row],[Sanitary Kit]],Table_NFI[Sanitary Kit])</f>
        <v>0</v>
      </c>
      <c r="AB80" s="378">
        <f>IF(NFI_Expiration=1,IF($A80&lt;VLOOKUP(K$5,NFI,5,0),1,0)*Table_NFI[[#This Row],[Mosquito net]],Table_NFI[Mosquito net])</f>
        <v>0</v>
      </c>
      <c r="AC80" s="378">
        <f>IF(NFI_Expiration=1,IF($A80&lt;VLOOKUP(L$5,NFI,5,0),1,0)*Table_NFI[[#This Row],[Tarpaulin]],Table_NFI[[#This Row],[Tarpaulin]])</f>
        <v>0</v>
      </c>
      <c r="AD80" s="378">
        <f>IF(NFI_Expiration=1,IF($A80&lt;VLOOKUP(M$5,NFI,5,0),1,0)*Table_NFI[[#This Row],[Blanket]],Table_NFI[[#This Row],[Blanket]])</f>
        <v>0</v>
      </c>
      <c r="AE80" s="378">
        <f>IF(NFI_Expiration=1,IF($A80&lt;VLOOKUP(N$5,NFI,5,0),1,0)*Table_NFI[[#This Row],[Kitchen Set]],Table_NFI[Kitchen Set])</f>
        <v>0</v>
      </c>
      <c r="AF80" s="378">
        <f>IF(NFI_Expiration=1,IF($A80&lt;VLOOKUP(O$5,NFI,5,0),1,0)*Table_NFI[[#This Row],[Clothes Kit]],Table_NFI[Clothes Kit])</f>
        <v>0</v>
      </c>
      <c r="AG80" s="378">
        <f>IF(NFI_Expiration=1,IF($A80&lt;VLOOKUP(P$5,NFI,5,0),1,0)*Table_NFI[[#This Row],[Plastic Bucket]],Table_NFI[Plastic Bucket])</f>
        <v>0</v>
      </c>
      <c r="AH80" s="378">
        <f>IF(NFI_Expiration=1,IF($A80&lt;VLOOKUP(Q$5,NFI,5,0),1,0)*Table_NFI[[#This Row],[Plastic Mat]],Table_NFI[Plastic Mat])*IF(Table_NFI[[#This Row],[Distribution Date]]&gt;"2014-04-01",1,2.5)</f>
        <v>0</v>
      </c>
      <c r="AI80" s="378">
        <f>IF(NFI_Expiration=1,IF($A80&lt;VLOOKUP(R$5,NFI,5,0),1,0)*Table_NFI[[#This Row],[Winter Clothes Adult]],Table_NFI[Winter Clothes Adult])</f>
        <v>0</v>
      </c>
      <c r="AJ80" s="378">
        <f>IF(NFI_Expiration=1,IF($A80&lt;VLOOKUP(S$5,NFI,5,0),1,0)*Table_NFI[[#This Row],[Winter Clothes Children]],Table_NFI[Winter Clothes Children])</f>
        <v>0</v>
      </c>
      <c r="AK80" s="378">
        <f>IF(NFI_Expiration=1,IF($A80&lt;VLOOKUP(T$5,NFI,5,0),1,0)*Table_NFI[[#This Row],[Winter Items Other]],Table_NFI[Winter Items Other])</f>
        <v>0</v>
      </c>
      <c r="AL80" s="378">
        <f>IF(NFI_Expiration=1,IF($A80&lt;VLOOKUP(M$5,NFI,5,0),1,0)*Table_NFI[[#This Row],[Winter Blanket]],Table_NFI[[#This Row],[Winter Blanket]])</f>
        <v>0</v>
      </c>
      <c r="AM80" s="378">
        <f>IF(Table_NFI[[#This Row],[Winter Clothes Adult]]+Table_NFI[[#This Row],[Winter Clothes Children]]+Table_NFI[[#This Row],[Winter Items Other]]+Table_NFI[[#This Row],[Winter Blanket]]&gt;0,1,0)</f>
        <v>0</v>
      </c>
      <c r="AN80" s="418">
        <f>IF(NFI_Expiration=1,IF($A80&lt;VLOOKUP(V$5,NFI,5,0),1,0)*Table_NFI[[#This Row],[Jerry Can]],Table_NFI[Jerry Can])</f>
        <v>0</v>
      </c>
      <c r="AO80" s="579" t="str">
        <f>IFERROR(VLOOKUP(Table_NFI[[#This Row],[Camp Name]],CL,2,0),"")</f>
        <v>MMR001CMP113</v>
      </c>
      <c r="AP80" s="574">
        <f ca="1">IF(Table_NFI[[#This Row],[Pcode]]="","",IF(OFFSET(CampList[Opening Date],MATCH(Table_NFI[[#This Row],[Pcode]],CampList[CP_Pcode],0)-1,0,1,1)&gt;=NFI_Monitor_Date,1,0))</f>
        <v>0</v>
      </c>
      <c r="AQ80" s="579" t="str">
        <f>IFERROR(VLOOKUP(Table_NFI[[#This Row],[Camp Name]],CL,3,0),"")</f>
        <v>Open</v>
      </c>
      <c r="AR80" s="378" t="str">
        <f ca="1">IF(Table_NFI[[#This Row],[Pcode]]="","",OFFSET(CampList[Priority],MATCH(Table_NFI[[#This Row],[Pcode]],CampList[CP_Pcode],0)-1,0,1,1))</f>
        <v>P1</v>
      </c>
      <c r="AS80" s="377">
        <f>IFERROR(Table_NFI[[#This Row],[Kitchen Set]]/VLOOKUP(Table_NFI[[#This Row],[Camp Name]],CL,4,0),"")</f>
        <v>1.4709677419354839</v>
      </c>
      <c r="AT80" s="572" t="s">
        <v>1095</v>
      </c>
      <c r="AU80" s="575"/>
    </row>
    <row r="81" spans="1:47" s="130" customFormat="1" x14ac:dyDescent="0.25">
      <c r="A81" s="381">
        <f t="shared" si="1"/>
        <v>50.93333333333333</v>
      </c>
      <c r="B81" s="571">
        <v>40994</v>
      </c>
      <c r="C81" s="572" t="s">
        <v>454</v>
      </c>
      <c r="D81" s="572" t="s">
        <v>454</v>
      </c>
      <c r="E81" s="572" t="s">
        <v>380</v>
      </c>
      <c r="F81" s="374" t="s">
        <v>310</v>
      </c>
      <c r="G81" s="374" t="s">
        <v>334</v>
      </c>
      <c r="H81" s="375"/>
      <c r="I81" s="375"/>
      <c r="J81" s="375"/>
      <c r="K81" s="375">
        <v>460</v>
      </c>
      <c r="L81" s="376">
        <v>250</v>
      </c>
      <c r="M81" s="376">
        <v>460</v>
      </c>
      <c r="N81" s="376">
        <v>230</v>
      </c>
      <c r="O81" s="376">
        <v>0</v>
      </c>
      <c r="P81" s="378"/>
      <c r="Q81" s="378"/>
      <c r="R81" s="378"/>
      <c r="S81" s="378"/>
      <c r="T81" s="378"/>
      <c r="U81" s="378"/>
      <c r="V81" s="533"/>
      <c r="W81" s="378"/>
      <c r="X81" s="378"/>
      <c r="Y81" s="378">
        <f>IF(NFI_Expiration=1,IF($A81&lt;VLOOKUP(H$5,NFI,5,0),1,0)*Table_NFI[[#This Row],[Hygiene Kit]],Table_NFI[Hygiene Kit])</f>
        <v>0</v>
      </c>
      <c r="Z81" s="378">
        <f>IF(NFI_Expiration=1,IF($A81&lt;VLOOKUP(I$5,NFI,5,0),1,0)*Table_NFI[[#This Row],[NFI Core Kit]],Table_NFI[NFI Core Kit])</f>
        <v>0</v>
      </c>
      <c r="AA81" s="378">
        <f>IF(NFI_Expiration=1,IF($A81&lt;VLOOKUP(J$5,NFI,5,0),1,0)*Table_NFI[[#This Row],[Sanitary Kit]],Table_NFI[Sanitary Kit])</f>
        <v>0</v>
      </c>
      <c r="AB81" s="378">
        <f>IF(NFI_Expiration=1,IF($A81&lt;VLOOKUP(K$5,NFI,5,0),1,0)*Table_NFI[[#This Row],[Mosquito net]],Table_NFI[Mosquito net])</f>
        <v>0</v>
      </c>
      <c r="AC81" s="378">
        <f>IF(NFI_Expiration=1,IF($A81&lt;VLOOKUP(L$5,NFI,5,0),1,0)*Table_NFI[[#This Row],[Tarpaulin]],Table_NFI[[#This Row],[Tarpaulin]])</f>
        <v>0</v>
      </c>
      <c r="AD81" s="378">
        <f>IF(NFI_Expiration=1,IF($A81&lt;VLOOKUP(M$5,NFI,5,0),1,0)*Table_NFI[[#This Row],[Blanket]],Table_NFI[[#This Row],[Blanket]])</f>
        <v>0</v>
      </c>
      <c r="AE81" s="378">
        <f>IF(NFI_Expiration=1,IF($A81&lt;VLOOKUP(N$5,NFI,5,0),1,0)*Table_NFI[[#This Row],[Kitchen Set]],Table_NFI[Kitchen Set])</f>
        <v>0</v>
      </c>
      <c r="AF81" s="378">
        <f>IF(NFI_Expiration=1,IF($A81&lt;VLOOKUP(O$5,NFI,5,0),1,0)*Table_NFI[[#This Row],[Clothes Kit]],Table_NFI[Clothes Kit])</f>
        <v>0</v>
      </c>
      <c r="AG81" s="378">
        <f>IF(NFI_Expiration=1,IF($A81&lt;VLOOKUP(P$5,NFI,5,0),1,0)*Table_NFI[[#This Row],[Plastic Bucket]],Table_NFI[Plastic Bucket])</f>
        <v>0</v>
      </c>
      <c r="AH81" s="378">
        <f>IF(NFI_Expiration=1,IF($A81&lt;VLOOKUP(Q$5,NFI,5,0),1,0)*Table_NFI[[#This Row],[Plastic Mat]],Table_NFI[Plastic Mat])*IF(Table_NFI[[#This Row],[Distribution Date]]&gt;"2014-04-01",1,2.5)</f>
        <v>0</v>
      </c>
      <c r="AI81" s="378">
        <f>IF(NFI_Expiration=1,IF($A81&lt;VLOOKUP(R$5,NFI,5,0),1,0)*Table_NFI[[#This Row],[Winter Clothes Adult]],Table_NFI[Winter Clothes Adult])</f>
        <v>0</v>
      </c>
      <c r="AJ81" s="378">
        <f>IF(NFI_Expiration=1,IF($A81&lt;VLOOKUP(S$5,NFI,5,0),1,0)*Table_NFI[[#This Row],[Winter Clothes Children]],Table_NFI[Winter Clothes Children])</f>
        <v>0</v>
      </c>
      <c r="AK81" s="378">
        <f>IF(NFI_Expiration=1,IF($A81&lt;VLOOKUP(T$5,NFI,5,0),1,0)*Table_NFI[[#This Row],[Winter Items Other]],Table_NFI[Winter Items Other])</f>
        <v>0</v>
      </c>
      <c r="AL81" s="378">
        <f>IF(NFI_Expiration=1,IF($A81&lt;VLOOKUP(M$5,NFI,5,0),1,0)*Table_NFI[[#This Row],[Winter Blanket]],Table_NFI[[#This Row],[Winter Blanket]])</f>
        <v>0</v>
      </c>
      <c r="AM81" s="378">
        <f>IF(Table_NFI[[#This Row],[Winter Clothes Adult]]+Table_NFI[[#This Row],[Winter Clothes Children]]+Table_NFI[[#This Row],[Winter Items Other]]+Table_NFI[[#This Row],[Winter Blanket]]&gt;0,1,0)</f>
        <v>0</v>
      </c>
      <c r="AN81" s="418">
        <f>IF(NFI_Expiration=1,IF($A81&lt;VLOOKUP(V$5,NFI,5,0),1,0)*Table_NFI[[#This Row],[Jerry Can]],Table_NFI[Jerry Can])</f>
        <v>0</v>
      </c>
      <c r="AO81" s="579" t="str">
        <f>IFERROR(VLOOKUP(Table_NFI[[#This Row],[Camp Name]],CL,2,0),"")</f>
        <v>MMR001CMP113</v>
      </c>
      <c r="AP81" s="574">
        <f ca="1">IF(Table_NFI[[#This Row],[Pcode]]="","",IF(OFFSET(CampList[Opening Date],MATCH(Table_NFI[[#This Row],[Pcode]],CampList[CP_Pcode],0)-1,0,1,1)&gt;=NFI_Monitor_Date,1,0))</f>
        <v>0</v>
      </c>
      <c r="AQ81" s="579" t="str">
        <f>IFERROR(VLOOKUP(Table_NFI[[#This Row],[Camp Name]],CL,3,0),"")</f>
        <v>Open</v>
      </c>
      <c r="AR81" s="378" t="str">
        <f ca="1">IF(Table_NFI[[#This Row],[Pcode]]="","",OFFSET(CampList[Priority],MATCH(Table_NFI[[#This Row],[Pcode]],CampList[CP_Pcode],0)-1,0,1,1))</f>
        <v>P1</v>
      </c>
      <c r="AS81" s="377">
        <f>IFERROR(Table_NFI[[#This Row],[Kitchen Set]]/VLOOKUP(Table_NFI[[#This Row],[Camp Name]],CL,4,0),"")</f>
        <v>1.4838709677419355</v>
      </c>
      <c r="AT81" s="572" t="s">
        <v>1095</v>
      </c>
      <c r="AU81" s="575"/>
    </row>
    <row r="82" spans="1:47" s="576" customFormat="1" x14ac:dyDescent="0.25">
      <c r="A82" s="381">
        <f t="shared" si="1"/>
        <v>28.633333333333333</v>
      </c>
      <c r="B82" s="571">
        <v>41663</v>
      </c>
      <c r="C82" s="572" t="s">
        <v>455</v>
      </c>
      <c r="D82" s="572"/>
      <c r="E82" s="572" t="s">
        <v>380</v>
      </c>
      <c r="F82" s="374" t="s">
        <v>151</v>
      </c>
      <c r="G82" s="572" t="s">
        <v>188</v>
      </c>
      <c r="H82" s="375"/>
      <c r="I82" s="375"/>
      <c r="J82" s="375"/>
      <c r="K82" s="375"/>
      <c r="L82" s="376"/>
      <c r="M82" s="376"/>
      <c r="N82" s="376"/>
      <c r="O82" s="376"/>
      <c r="P82" s="378"/>
      <c r="Q82" s="378"/>
      <c r="R82" s="378"/>
      <c r="S82" s="378">
        <v>838</v>
      </c>
      <c r="T82" s="378"/>
      <c r="U82" s="378"/>
      <c r="V82" s="533"/>
      <c r="W82" s="378"/>
      <c r="X82" s="378"/>
      <c r="Y82" s="378">
        <f>IF(NFI_Expiration=1,IF($A82&lt;VLOOKUP(H$5,NFI,5,0),1,0)*Table_NFI[[#This Row],[Hygiene Kit]],Table_NFI[Hygiene Kit])</f>
        <v>0</v>
      </c>
      <c r="Z82" s="378">
        <f>IF(NFI_Expiration=1,IF($A82&lt;VLOOKUP(I$5,NFI,5,0),1,0)*Table_NFI[[#This Row],[NFI Core Kit]],Table_NFI[NFI Core Kit])</f>
        <v>0</v>
      </c>
      <c r="AA82" s="378">
        <f>IF(NFI_Expiration=1,IF($A82&lt;VLOOKUP(J$5,NFI,5,0),1,0)*Table_NFI[[#This Row],[Sanitary Kit]],Table_NFI[Sanitary Kit])</f>
        <v>0</v>
      </c>
      <c r="AB82" s="378">
        <f>IF(NFI_Expiration=1,IF($A82&lt;VLOOKUP(K$5,NFI,5,0),1,0)*Table_NFI[[#This Row],[Mosquito net]],Table_NFI[Mosquito net])</f>
        <v>0</v>
      </c>
      <c r="AC82" s="378">
        <f>IF(NFI_Expiration=1,IF($A82&lt;VLOOKUP(L$5,NFI,5,0),1,0)*Table_NFI[[#This Row],[Tarpaulin]],Table_NFI[[#This Row],[Tarpaulin]])</f>
        <v>0</v>
      </c>
      <c r="AD82" s="378">
        <f>IF(NFI_Expiration=1,IF($A82&lt;VLOOKUP(M$5,NFI,5,0),1,0)*Table_NFI[[#This Row],[Blanket]],Table_NFI[[#This Row],[Blanket]])</f>
        <v>0</v>
      </c>
      <c r="AE82" s="378">
        <f>IF(NFI_Expiration=1,IF($A82&lt;VLOOKUP(N$5,NFI,5,0),1,0)*Table_NFI[[#This Row],[Kitchen Set]],Table_NFI[Kitchen Set])</f>
        <v>0</v>
      </c>
      <c r="AF82" s="378">
        <f>IF(NFI_Expiration=1,IF($A82&lt;VLOOKUP(O$5,NFI,5,0),1,0)*Table_NFI[[#This Row],[Clothes Kit]],Table_NFI[Clothes Kit])</f>
        <v>0</v>
      </c>
      <c r="AG82" s="378">
        <f>IF(NFI_Expiration=1,IF($A82&lt;VLOOKUP(P$5,NFI,5,0),1,0)*Table_NFI[[#This Row],[Plastic Bucket]],Table_NFI[Plastic Bucket])</f>
        <v>0</v>
      </c>
      <c r="AH82" s="378">
        <f>IF(NFI_Expiration=1,IF($A82&lt;VLOOKUP(Q$5,NFI,5,0),1,0)*Table_NFI[[#This Row],[Plastic Mat]],Table_NFI[Plastic Mat])*IF(Table_NFI[[#This Row],[Distribution Date]]&gt;"2014-04-01",1,2.5)</f>
        <v>0</v>
      </c>
      <c r="AI82" s="378">
        <f>IF(NFI_Expiration=1,IF($A82&lt;VLOOKUP(R$5,NFI,5,0),1,0)*Table_NFI[[#This Row],[Winter Clothes Adult]],Table_NFI[Winter Clothes Adult])</f>
        <v>0</v>
      </c>
      <c r="AJ82" s="378">
        <f>IF(NFI_Expiration=1,IF($A82&lt;VLOOKUP(S$5,NFI,5,0),1,0)*Table_NFI[[#This Row],[Winter Clothes Children]],Table_NFI[Winter Clothes Children])</f>
        <v>0</v>
      </c>
      <c r="AK82" s="378">
        <f>IF(NFI_Expiration=1,IF($A82&lt;VLOOKUP(T$5,NFI,5,0),1,0)*Table_NFI[[#This Row],[Winter Items Other]],Table_NFI[Winter Items Other])</f>
        <v>0</v>
      </c>
      <c r="AL82" s="378">
        <f>IF(NFI_Expiration=1,IF($A82&lt;VLOOKUP(M$5,NFI,5,0),1,0)*Table_NFI[[#This Row],[Winter Blanket]],Table_NFI[[#This Row],[Winter Blanket]])</f>
        <v>0</v>
      </c>
      <c r="AM82" s="378">
        <f>IF(Table_NFI[[#This Row],[Winter Clothes Adult]]+Table_NFI[[#This Row],[Winter Clothes Children]]+Table_NFI[[#This Row],[Winter Items Other]]+Table_NFI[[#This Row],[Winter Blanket]]&gt;0,1,0)</f>
        <v>1</v>
      </c>
      <c r="AN82" s="418">
        <f>IF(NFI_Expiration=1,IF($A82&lt;VLOOKUP(V$5,NFI,5,0),1,0)*Table_NFI[[#This Row],[Jerry Can]],Table_NFI[Jerry Can])</f>
        <v>0</v>
      </c>
      <c r="AO82" s="579" t="str">
        <f>IFERROR(VLOOKUP(Table_NFI[[#This Row],[Camp Name]],CL,2,0),"")</f>
        <v>MMR001CMP129</v>
      </c>
      <c r="AP82" s="574">
        <f ca="1">IF(Table_NFI[[#This Row],[Pcode]]="","",IF(OFFSET(CampList[Opening Date],MATCH(Table_NFI[[#This Row],[Pcode]],CampList[CP_Pcode],0)-1,0,1,1)&gt;=NFI_Monitor_Date,1,0))</f>
        <v>0</v>
      </c>
      <c r="AQ82" s="579" t="str">
        <f>IFERROR(VLOOKUP(Table_NFI[[#This Row],[Camp Name]],CL,3,0),"")</f>
        <v>Open</v>
      </c>
      <c r="AR82" s="378" t="str">
        <f ca="1">IF(Table_NFI[[#This Row],[Pcode]]="","",OFFSET(CampList[Priority],MATCH(Table_NFI[[#This Row],[Pcode]],CampList[CP_Pcode],0)-1,0,1,1))</f>
        <v>P2</v>
      </c>
      <c r="AS82" s="377">
        <f>IFERROR(Table_NFI[[#This Row],[Kitchen Set]]/VLOOKUP(Table_NFI[[#This Row],[Camp Name]],CL,4,0),"")</f>
        <v>0</v>
      </c>
      <c r="AT82" s="572" t="s">
        <v>1095</v>
      </c>
      <c r="AU82" s="575"/>
    </row>
    <row r="83" spans="1:47" s="130" customFormat="1" x14ac:dyDescent="0.25">
      <c r="A83" s="381">
        <f t="shared" si="1"/>
        <v>28.9</v>
      </c>
      <c r="B83" s="571">
        <v>41655</v>
      </c>
      <c r="C83" s="572" t="s">
        <v>454</v>
      </c>
      <c r="D83" s="573" t="s">
        <v>454</v>
      </c>
      <c r="E83" s="572" t="s">
        <v>380</v>
      </c>
      <c r="F83" s="374" t="s">
        <v>151</v>
      </c>
      <c r="G83" s="374" t="s">
        <v>188</v>
      </c>
      <c r="H83" s="375"/>
      <c r="I83" s="375"/>
      <c r="J83" s="375"/>
      <c r="K83" s="375">
        <v>45</v>
      </c>
      <c r="L83" s="376">
        <v>30</v>
      </c>
      <c r="M83" s="376">
        <v>45</v>
      </c>
      <c r="N83" s="376">
        <v>30</v>
      </c>
      <c r="O83" s="376"/>
      <c r="P83" s="378">
        <v>30</v>
      </c>
      <c r="Q83" s="378">
        <v>150</v>
      </c>
      <c r="R83" s="378"/>
      <c r="S83" s="378"/>
      <c r="T83" s="378"/>
      <c r="U83" s="378"/>
      <c r="V83" s="533"/>
      <c r="W83" s="378"/>
      <c r="X83" s="378"/>
      <c r="Y83" s="378">
        <f>IF(NFI_Expiration=1,IF($A83&lt;VLOOKUP(H$5,NFI,5,0),1,0)*Table_NFI[[#This Row],[Hygiene Kit]],Table_NFI[Hygiene Kit])</f>
        <v>0</v>
      </c>
      <c r="Z83" s="378">
        <f>IF(NFI_Expiration=1,IF($A83&lt;VLOOKUP(I$5,NFI,5,0),1,0)*Table_NFI[[#This Row],[NFI Core Kit]],Table_NFI[NFI Core Kit])</f>
        <v>0</v>
      </c>
      <c r="AA83" s="378">
        <f>IF(NFI_Expiration=1,IF($A83&lt;VLOOKUP(J$5,NFI,5,0),1,0)*Table_NFI[[#This Row],[Sanitary Kit]],Table_NFI[Sanitary Kit])</f>
        <v>0</v>
      </c>
      <c r="AB83" s="378">
        <f>IF(NFI_Expiration=1,IF($A83&lt;VLOOKUP(K$5,NFI,5,0),1,0)*Table_NFI[[#This Row],[Mosquito net]],Table_NFI[Mosquito net])</f>
        <v>0</v>
      </c>
      <c r="AC83" s="378">
        <f>IF(NFI_Expiration=1,IF($A83&lt;VLOOKUP(L$5,NFI,5,0),1,0)*Table_NFI[[#This Row],[Tarpaulin]],Table_NFI[[#This Row],[Tarpaulin]])</f>
        <v>0</v>
      </c>
      <c r="AD83" s="378">
        <f>IF(NFI_Expiration=1,IF($A83&lt;VLOOKUP(M$5,NFI,5,0),1,0)*Table_NFI[[#This Row],[Blanket]],Table_NFI[[#This Row],[Blanket]])</f>
        <v>0</v>
      </c>
      <c r="AE83" s="378">
        <f>IF(NFI_Expiration=1,IF($A83&lt;VLOOKUP(N$5,NFI,5,0),1,0)*Table_NFI[[#This Row],[Kitchen Set]],Table_NFI[Kitchen Set])</f>
        <v>0</v>
      </c>
      <c r="AF83" s="378">
        <f>IF(NFI_Expiration=1,IF($A83&lt;VLOOKUP(O$5,NFI,5,0),1,0)*Table_NFI[[#This Row],[Clothes Kit]],Table_NFI[Clothes Kit])</f>
        <v>0</v>
      </c>
      <c r="AG83" s="378">
        <f>IF(NFI_Expiration=1,IF($A83&lt;VLOOKUP(P$5,NFI,5,0),1,0)*Table_NFI[[#This Row],[Plastic Bucket]],Table_NFI[Plastic Bucket])</f>
        <v>0</v>
      </c>
      <c r="AH83" s="378">
        <f>IF(NFI_Expiration=1,IF($A83&lt;VLOOKUP(Q$5,NFI,5,0),1,0)*Table_NFI[[#This Row],[Plastic Mat]],Table_NFI[Plastic Mat])*IF(Table_NFI[[#This Row],[Distribution Date]]&gt;"2014-04-01",1,2.5)</f>
        <v>0</v>
      </c>
      <c r="AI83" s="378">
        <f>IF(NFI_Expiration=1,IF($A83&lt;VLOOKUP(R$5,NFI,5,0),1,0)*Table_NFI[[#This Row],[Winter Clothes Adult]],Table_NFI[Winter Clothes Adult])</f>
        <v>0</v>
      </c>
      <c r="AJ83" s="378">
        <f>IF(NFI_Expiration=1,IF($A83&lt;VLOOKUP(S$5,NFI,5,0),1,0)*Table_NFI[[#This Row],[Winter Clothes Children]],Table_NFI[Winter Clothes Children])</f>
        <v>0</v>
      </c>
      <c r="AK83" s="378">
        <f>IF(NFI_Expiration=1,IF($A83&lt;VLOOKUP(T$5,NFI,5,0),1,0)*Table_NFI[[#This Row],[Winter Items Other]],Table_NFI[Winter Items Other])</f>
        <v>0</v>
      </c>
      <c r="AL83" s="378">
        <f>IF(NFI_Expiration=1,IF($A83&lt;VLOOKUP(M$5,NFI,5,0),1,0)*Table_NFI[[#This Row],[Winter Blanket]],Table_NFI[[#This Row],[Winter Blanket]])</f>
        <v>0</v>
      </c>
      <c r="AM83" s="378">
        <f>IF(Table_NFI[[#This Row],[Winter Clothes Adult]]+Table_NFI[[#This Row],[Winter Clothes Children]]+Table_NFI[[#This Row],[Winter Items Other]]+Table_NFI[[#This Row],[Winter Blanket]]&gt;0,1,0)</f>
        <v>0</v>
      </c>
      <c r="AN83" s="418">
        <f>IF(NFI_Expiration=1,IF($A83&lt;VLOOKUP(V$5,NFI,5,0),1,0)*Table_NFI[[#This Row],[Jerry Can]],Table_NFI[Jerry Can])</f>
        <v>0</v>
      </c>
      <c r="AO83" s="579" t="str">
        <f>IFERROR(VLOOKUP(Table_NFI[[#This Row],[Camp Name]],CL,2,0),"")</f>
        <v>MMR001CMP129</v>
      </c>
      <c r="AP83" s="574">
        <f ca="1">IF(Table_NFI[[#This Row],[Pcode]]="","",IF(OFFSET(CampList[Opening Date],MATCH(Table_NFI[[#This Row],[Pcode]],CampList[CP_Pcode],0)-1,0,1,1)&gt;=NFI_Monitor_Date,1,0))</f>
        <v>0</v>
      </c>
      <c r="AQ83" s="579" t="str">
        <f>IFERROR(VLOOKUP(Table_NFI[[#This Row],[Camp Name]],CL,3,0),"")</f>
        <v>Open</v>
      </c>
      <c r="AR83" s="378" t="str">
        <f ca="1">IF(Table_NFI[[#This Row],[Pcode]]="","",OFFSET(CampList[Priority],MATCH(Table_NFI[[#This Row],[Pcode]],CampList[CP_Pcode],0)-1,0,1,1))</f>
        <v>P2</v>
      </c>
      <c r="AS83" s="377">
        <f>IFERROR(Table_NFI[[#This Row],[Kitchen Set]]/VLOOKUP(Table_NFI[[#This Row],[Camp Name]],CL,4,0),"")</f>
        <v>0.12244897959183673</v>
      </c>
      <c r="AT83" s="572" t="s">
        <v>1095</v>
      </c>
      <c r="AU83" s="575"/>
    </row>
    <row r="84" spans="1:47" s="130" customFormat="1" x14ac:dyDescent="0.25">
      <c r="A84" s="381">
        <f t="shared" si="1"/>
        <v>30.1</v>
      </c>
      <c r="B84" s="571">
        <v>41619</v>
      </c>
      <c r="C84" s="572" t="s">
        <v>1030</v>
      </c>
      <c r="D84" s="572" t="s">
        <v>1031</v>
      </c>
      <c r="E84" s="572" t="s">
        <v>380</v>
      </c>
      <c r="F84" s="374" t="s">
        <v>151</v>
      </c>
      <c r="G84" s="374" t="s">
        <v>188</v>
      </c>
      <c r="H84" s="375"/>
      <c r="I84" s="375"/>
      <c r="J84" s="375"/>
      <c r="K84" s="375"/>
      <c r="L84" s="376"/>
      <c r="M84" s="376">
        <v>278</v>
      </c>
      <c r="N84" s="376"/>
      <c r="O84" s="376"/>
      <c r="P84" s="378"/>
      <c r="Q84" s="378"/>
      <c r="R84" s="378"/>
      <c r="S84" s="378"/>
      <c r="T84" s="378"/>
      <c r="U84" s="378"/>
      <c r="V84" s="533"/>
      <c r="W84" s="378"/>
      <c r="X84" s="378"/>
      <c r="Y84" s="378">
        <f>IF(NFI_Expiration=1,IF($A84&lt;VLOOKUP(H$5,NFI,5,0),1,0)*Table_NFI[[#This Row],[Hygiene Kit]],Table_NFI[Hygiene Kit])</f>
        <v>0</v>
      </c>
      <c r="Z84" s="378">
        <f>IF(NFI_Expiration=1,IF($A84&lt;VLOOKUP(I$5,NFI,5,0),1,0)*Table_NFI[[#This Row],[NFI Core Kit]],Table_NFI[NFI Core Kit])</f>
        <v>0</v>
      </c>
      <c r="AA84" s="378">
        <f>IF(NFI_Expiration=1,IF($A84&lt;VLOOKUP(J$5,NFI,5,0),1,0)*Table_NFI[[#This Row],[Sanitary Kit]],Table_NFI[Sanitary Kit])</f>
        <v>0</v>
      </c>
      <c r="AB84" s="378">
        <f>IF(NFI_Expiration=1,IF($A84&lt;VLOOKUP(K$5,NFI,5,0),1,0)*Table_NFI[[#This Row],[Mosquito net]],Table_NFI[Mosquito net])</f>
        <v>0</v>
      </c>
      <c r="AC84" s="378">
        <f>IF(NFI_Expiration=1,IF($A84&lt;VLOOKUP(L$5,NFI,5,0),1,0)*Table_NFI[[#This Row],[Tarpaulin]],Table_NFI[[#This Row],[Tarpaulin]])</f>
        <v>0</v>
      </c>
      <c r="AD84" s="378">
        <f>IF(NFI_Expiration=1,IF($A84&lt;VLOOKUP(M$5,NFI,5,0),1,0)*Table_NFI[[#This Row],[Blanket]],Table_NFI[[#This Row],[Blanket]])</f>
        <v>0</v>
      </c>
      <c r="AE84" s="378">
        <f>IF(NFI_Expiration=1,IF($A84&lt;VLOOKUP(N$5,NFI,5,0),1,0)*Table_NFI[[#This Row],[Kitchen Set]],Table_NFI[Kitchen Set])</f>
        <v>0</v>
      </c>
      <c r="AF84" s="378">
        <f>IF(NFI_Expiration=1,IF($A84&lt;VLOOKUP(O$5,NFI,5,0),1,0)*Table_NFI[[#This Row],[Clothes Kit]],Table_NFI[Clothes Kit])</f>
        <v>0</v>
      </c>
      <c r="AG84" s="378">
        <f>IF(NFI_Expiration=1,IF($A84&lt;VLOOKUP(P$5,NFI,5,0),1,0)*Table_NFI[[#This Row],[Plastic Bucket]],Table_NFI[Plastic Bucket])</f>
        <v>0</v>
      </c>
      <c r="AH84" s="378">
        <f>IF(NFI_Expiration=1,IF($A84&lt;VLOOKUP(Q$5,NFI,5,0),1,0)*Table_NFI[[#This Row],[Plastic Mat]],Table_NFI[Plastic Mat])*IF(Table_NFI[[#This Row],[Distribution Date]]&gt;"2014-04-01",1,2.5)</f>
        <v>0</v>
      </c>
      <c r="AI84" s="378">
        <f>IF(NFI_Expiration=1,IF($A84&lt;VLOOKUP(R$5,NFI,5,0),1,0)*Table_NFI[[#This Row],[Winter Clothes Adult]],Table_NFI[Winter Clothes Adult])</f>
        <v>0</v>
      </c>
      <c r="AJ84" s="378">
        <f>IF(NFI_Expiration=1,IF($A84&lt;VLOOKUP(S$5,NFI,5,0),1,0)*Table_NFI[[#This Row],[Winter Clothes Children]],Table_NFI[Winter Clothes Children])</f>
        <v>0</v>
      </c>
      <c r="AK84" s="378">
        <f>IF(NFI_Expiration=1,IF($A84&lt;VLOOKUP(T$5,NFI,5,0),1,0)*Table_NFI[[#This Row],[Winter Items Other]],Table_NFI[Winter Items Other])</f>
        <v>0</v>
      </c>
      <c r="AL84" s="378">
        <f>IF(NFI_Expiration=1,IF($A84&lt;VLOOKUP(M$5,NFI,5,0),1,0)*Table_NFI[[#This Row],[Winter Blanket]],Table_NFI[[#This Row],[Winter Blanket]])</f>
        <v>0</v>
      </c>
      <c r="AM84" s="378">
        <f>IF(Table_NFI[[#This Row],[Winter Clothes Adult]]+Table_NFI[[#This Row],[Winter Clothes Children]]+Table_NFI[[#This Row],[Winter Items Other]]+Table_NFI[[#This Row],[Winter Blanket]]&gt;0,1,0)</f>
        <v>0</v>
      </c>
      <c r="AN84" s="418">
        <f>IF(NFI_Expiration=1,IF($A84&lt;VLOOKUP(V$5,NFI,5,0),1,0)*Table_NFI[[#This Row],[Jerry Can]],Table_NFI[Jerry Can])</f>
        <v>0</v>
      </c>
      <c r="AO84" s="579" t="str">
        <f>IFERROR(VLOOKUP(Table_NFI[[#This Row],[Camp Name]],CL,2,0),"")</f>
        <v>MMR001CMP129</v>
      </c>
      <c r="AP84" s="574">
        <f ca="1">IF(Table_NFI[[#This Row],[Pcode]]="","",IF(OFFSET(CampList[Opening Date],MATCH(Table_NFI[[#This Row],[Pcode]],CampList[CP_Pcode],0)-1,0,1,1)&gt;=NFI_Monitor_Date,1,0))</f>
        <v>0</v>
      </c>
      <c r="AQ84" s="579" t="str">
        <f>IFERROR(VLOOKUP(Table_NFI[[#This Row],[Camp Name]],CL,3,0),"")</f>
        <v>Open</v>
      </c>
      <c r="AR84" s="378" t="str">
        <f ca="1">IF(Table_NFI[[#This Row],[Pcode]]="","",OFFSET(CampList[Priority],MATCH(Table_NFI[[#This Row],[Pcode]],CampList[CP_Pcode],0)-1,0,1,1))</f>
        <v>P2</v>
      </c>
      <c r="AS84" s="377">
        <f>IFERROR(Table_NFI[[#This Row],[Kitchen Set]]/VLOOKUP(Table_NFI[[#This Row],[Camp Name]],CL,4,0),"")</f>
        <v>0</v>
      </c>
      <c r="AT84" s="572" t="s">
        <v>1095</v>
      </c>
      <c r="AU84" s="575"/>
    </row>
    <row r="85" spans="1:47" s="130" customFormat="1" x14ac:dyDescent="0.25">
      <c r="A85" s="381">
        <f t="shared" si="1"/>
        <v>30.1</v>
      </c>
      <c r="B85" s="571">
        <v>41619</v>
      </c>
      <c r="C85" s="572" t="s">
        <v>1030</v>
      </c>
      <c r="D85" s="572" t="s">
        <v>1031</v>
      </c>
      <c r="E85" s="572" t="s">
        <v>380</v>
      </c>
      <c r="F85" s="374" t="s">
        <v>151</v>
      </c>
      <c r="G85" s="572" t="s">
        <v>188</v>
      </c>
      <c r="H85" s="375"/>
      <c r="I85" s="375"/>
      <c r="J85" s="375"/>
      <c r="K85" s="375"/>
      <c r="L85" s="376"/>
      <c r="M85" s="376">
        <v>174</v>
      </c>
      <c r="N85" s="376"/>
      <c r="O85" s="376"/>
      <c r="P85" s="378"/>
      <c r="Q85" s="378"/>
      <c r="R85" s="378"/>
      <c r="S85" s="378"/>
      <c r="T85" s="378"/>
      <c r="U85" s="378"/>
      <c r="V85" s="533"/>
      <c r="W85" s="378"/>
      <c r="X85" s="378"/>
      <c r="Y85" s="378">
        <f>IF(NFI_Expiration=1,IF($A85&lt;VLOOKUP(H$5,NFI,5,0),1,0)*Table_NFI[[#This Row],[Hygiene Kit]],Table_NFI[Hygiene Kit])</f>
        <v>0</v>
      </c>
      <c r="Z85" s="378">
        <f>IF(NFI_Expiration=1,IF($A85&lt;VLOOKUP(I$5,NFI,5,0),1,0)*Table_NFI[[#This Row],[NFI Core Kit]],Table_NFI[NFI Core Kit])</f>
        <v>0</v>
      </c>
      <c r="AA85" s="378">
        <f>IF(NFI_Expiration=1,IF($A85&lt;VLOOKUP(J$5,NFI,5,0),1,0)*Table_NFI[[#This Row],[Sanitary Kit]],Table_NFI[Sanitary Kit])</f>
        <v>0</v>
      </c>
      <c r="AB85" s="378">
        <f>IF(NFI_Expiration=1,IF($A85&lt;VLOOKUP(K$5,NFI,5,0),1,0)*Table_NFI[[#This Row],[Mosquito net]],Table_NFI[Mosquito net])</f>
        <v>0</v>
      </c>
      <c r="AC85" s="378">
        <f>IF(NFI_Expiration=1,IF($A85&lt;VLOOKUP(L$5,NFI,5,0),1,0)*Table_NFI[[#This Row],[Tarpaulin]],Table_NFI[[#This Row],[Tarpaulin]])</f>
        <v>0</v>
      </c>
      <c r="AD85" s="378">
        <f>IF(NFI_Expiration=1,IF($A85&lt;VLOOKUP(M$5,NFI,5,0),1,0)*Table_NFI[[#This Row],[Blanket]],Table_NFI[[#This Row],[Blanket]])</f>
        <v>0</v>
      </c>
      <c r="AE85" s="378">
        <f>IF(NFI_Expiration=1,IF($A85&lt;VLOOKUP(N$5,NFI,5,0),1,0)*Table_NFI[[#This Row],[Kitchen Set]],Table_NFI[Kitchen Set])</f>
        <v>0</v>
      </c>
      <c r="AF85" s="378">
        <f>IF(NFI_Expiration=1,IF($A85&lt;VLOOKUP(O$5,NFI,5,0),1,0)*Table_NFI[[#This Row],[Clothes Kit]],Table_NFI[Clothes Kit])</f>
        <v>0</v>
      </c>
      <c r="AG85" s="378">
        <f>IF(NFI_Expiration=1,IF($A85&lt;VLOOKUP(P$5,NFI,5,0),1,0)*Table_NFI[[#This Row],[Plastic Bucket]],Table_NFI[Plastic Bucket])</f>
        <v>0</v>
      </c>
      <c r="AH85" s="378">
        <f>IF(NFI_Expiration=1,IF($A85&lt;VLOOKUP(Q$5,NFI,5,0),1,0)*Table_NFI[[#This Row],[Plastic Mat]],Table_NFI[Plastic Mat])*IF(Table_NFI[[#This Row],[Distribution Date]]&gt;"2014-04-01",1,2.5)</f>
        <v>0</v>
      </c>
      <c r="AI85" s="378">
        <f>IF(NFI_Expiration=1,IF($A85&lt;VLOOKUP(R$5,NFI,5,0),1,0)*Table_NFI[[#This Row],[Winter Clothes Adult]],Table_NFI[Winter Clothes Adult])</f>
        <v>0</v>
      </c>
      <c r="AJ85" s="378">
        <f>IF(NFI_Expiration=1,IF($A85&lt;VLOOKUP(S$5,NFI,5,0),1,0)*Table_NFI[[#This Row],[Winter Clothes Children]],Table_NFI[Winter Clothes Children])</f>
        <v>0</v>
      </c>
      <c r="AK85" s="378">
        <f>IF(NFI_Expiration=1,IF($A85&lt;VLOOKUP(T$5,NFI,5,0),1,0)*Table_NFI[[#This Row],[Winter Items Other]],Table_NFI[Winter Items Other])</f>
        <v>0</v>
      </c>
      <c r="AL85" s="378">
        <f>IF(NFI_Expiration=1,IF($A85&lt;VLOOKUP(M$5,NFI,5,0),1,0)*Table_NFI[[#This Row],[Winter Blanket]],Table_NFI[[#This Row],[Winter Blanket]])</f>
        <v>0</v>
      </c>
      <c r="AM85" s="378">
        <f>IF(Table_NFI[[#This Row],[Winter Clothes Adult]]+Table_NFI[[#This Row],[Winter Clothes Children]]+Table_NFI[[#This Row],[Winter Items Other]]+Table_NFI[[#This Row],[Winter Blanket]]&gt;0,1,0)</f>
        <v>0</v>
      </c>
      <c r="AN85" s="418">
        <f>IF(NFI_Expiration=1,IF($A85&lt;VLOOKUP(V$5,NFI,5,0),1,0)*Table_NFI[[#This Row],[Jerry Can]],Table_NFI[Jerry Can])</f>
        <v>0</v>
      </c>
      <c r="AO85" s="579" t="str">
        <f>IFERROR(VLOOKUP(Table_NFI[[#This Row],[Camp Name]],CL,2,0),"")</f>
        <v>MMR001CMP129</v>
      </c>
      <c r="AP85" s="574">
        <f ca="1">IF(Table_NFI[[#This Row],[Pcode]]="","",IF(OFFSET(CampList[Opening Date],MATCH(Table_NFI[[#This Row],[Pcode]],CampList[CP_Pcode],0)-1,0,1,1)&gt;=NFI_Monitor_Date,1,0))</f>
        <v>0</v>
      </c>
      <c r="AQ85" s="579" t="str">
        <f>IFERROR(VLOOKUP(Table_NFI[[#This Row],[Camp Name]],CL,3,0),"")</f>
        <v>Open</v>
      </c>
      <c r="AR85" s="378" t="str">
        <f ca="1">IF(Table_NFI[[#This Row],[Pcode]]="","",OFFSET(CampList[Priority],MATCH(Table_NFI[[#This Row],[Pcode]],CampList[CP_Pcode],0)-1,0,1,1))</f>
        <v>P2</v>
      </c>
      <c r="AS85" s="377">
        <f>IFERROR(Table_NFI[[#This Row],[Kitchen Set]]/VLOOKUP(Table_NFI[[#This Row],[Camp Name]],CL,4,0),"")</f>
        <v>0</v>
      </c>
      <c r="AT85" s="572" t="s">
        <v>1095</v>
      </c>
      <c r="AU85" s="575"/>
    </row>
    <row r="86" spans="1:47" s="130" customFormat="1" x14ac:dyDescent="0.25">
      <c r="A86" s="381">
        <f t="shared" si="1"/>
        <v>30.466666666666665</v>
      </c>
      <c r="B86" s="571">
        <v>41608</v>
      </c>
      <c r="C86" s="572" t="s">
        <v>1100</v>
      </c>
      <c r="D86" s="573" t="s">
        <v>947</v>
      </c>
      <c r="E86" s="572" t="s">
        <v>380</v>
      </c>
      <c r="F86" s="374" t="s">
        <v>151</v>
      </c>
      <c r="G86" s="374" t="s">
        <v>188</v>
      </c>
      <c r="H86" s="375"/>
      <c r="I86" s="375"/>
      <c r="J86" s="375"/>
      <c r="K86" s="375"/>
      <c r="L86" s="376"/>
      <c r="M86" s="376">
        <v>819</v>
      </c>
      <c r="N86" s="376"/>
      <c r="O86" s="376"/>
      <c r="P86" s="378"/>
      <c r="Q86" s="378"/>
      <c r="R86" s="378">
        <v>966</v>
      </c>
      <c r="S86" s="378">
        <v>484</v>
      </c>
      <c r="T86" s="378">
        <v>0</v>
      </c>
      <c r="U86" s="378"/>
      <c r="V86" s="533"/>
      <c r="W86" s="378"/>
      <c r="X86" s="378"/>
      <c r="Y86" s="378">
        <f>IF(NFI_Expiration=1,IF($A86&lt;VLOOKUP(H$5,NFI,5,0),1,0)*Table_NFI[[#This Row],[Hygiene Kit]],Table_NFI[Hygiene Kit])</f>
        <v>0</v>
      </c>
      <c r="Z86" s="378">
        <f>IF(NFI_Expiration=1,IF($A86&lt;VLOOKUP(I$5,NFI,5,0),1,0)*Table_NFI[[#This Row],[NFI Core Kit]],Table_NFI[NFI Core Kit])</f>
        <v>0</v>
      </c>
      <c r="AA86" s="378">
        <f>IF(NFI_Expiration=1,IF($A86&lt;VLOOKUP(J$5,NFI,5,0),1,0)*Table_NFI[[#This Row],[Sanitary Kit]],Table_NFI[Sanitary Kit])</f>
        <v>0</v>
      </c>
      <c r="AB86" s="378">
        <f>IF(NFI_Expiration=1,IF($A86&lt;VLOOKUP(K$5,NFI,5,0),1,0)*Table_NFI[[#This Row],[Mosquito net]],Table_NFI[Mosquito net])</f>
        <v>0</v>
      </c>
      <c r="AC86" s="378">
        <f>IF(NFI_Expiration=1,IF($A86&lt;VLOOKUP(L$5,NFI,5,0),1,0)*Table_NFI[[#This Row],[Tarpaulin]],Table_NFI[[#This Row],[Tarpaulin]])</f>
        <v>0</v>
      </c>
      <c r="AD86" s="378">
        <f>IF(NFI_Expiration=1,IF($A86&lt;VLOOKUP(M$5,NFI,5,0),1,0)*Table_NFI[[#This Row],[Blanket]],Table_NFI[[#This Row],[Blanket]])</f>
        <v>0</v>
      </c>
      <c r="AE86" s="378">
        <f>IF(NFI_Expiration=1,IF($A86&lt;VLOOKUP(N$5,NFI,5,0),1,0)*Table_NFI[[#This Row],[Kitchen Set]],Table_NFI[Kitchen Set])</f>
        <v>0</v>
      </c>
      <c r="AF86" s="378">
        <f>IF(NFI_Expiration=1,IF($A86&lt;VLOOKUP(O$5,NFI,5,0),1,0)*Table_NFI[[#This Row],[Clothes Kit]],Table_NFI[Clothes Kit])</f>
        <v>0</v>
      </c>
      <c r="AG86" s="378">
        <f>IF(NFI_Expiration=1,IF($A86&lt;VLOOKUP(P$5,NFI,5,0),1,0)*Table_NFI[[#This Row],[Plastic Bucket]],Table_NFI[Plastic Bucket])</f>
        <v>0</v>
      </c>
      <c r="AH86" s="378">
        <f>IF(NFI_Expiration=1,IF($A86&lt;VLOOKUP(Q$5,NFI,5,0),1,0)*Table_NFI[[#This Row],[Plastic Mat]],Table_NFI[Plastic Mat])*IF(Table_NFI[[#This Row],[Distribution Date]]&gt;"2014-04-01",1,2.5)</f>
        <v>0</v>
      </c>
      <c r="AI86" s="378">
        <f>IF(NFI_Expiration=1,IF($A86&lt;VLOOKUP(R$5,NFI,5,0),1,0)*Table_NFI[[#This Row],[Winter Clothes Adult]],Table_NFI[Winter Clothes Adult])</f>
        <v>0</v>
      </c>
      <c r="AJ86" s="378">
        <f>IF(NFI_Expiration=1,IF($A86&lt;VLOOKUP(S$5,NFI,5,0),1,0)*Table_NFI[[#This Row],[Winter Clothes Children]],Table_NFI[Winter Clothes Children])</f>
        <v>0</v>
      </c>
      <c r="AK86" s="378">
        <f>IF(NFI_Expiration=1,IF($A86&lt;VLOOKUP(T$5,NFI,5,0),1,0)*Table_NFI[[#This Row],[Winter Items Other]],Table_NFI[Winter Items Other])</f>
        <v>0</v>
      </c>
      <c r="AL86" s="378">
        <f>IF(NFI_Expiration=1,IF($A86&lt;VLOOKUP(M$5,NFI,5,0),1,0)*Table_NFI[[#This Row],[Winter Blanket]],Table_NFI[[#This Row],[Winter Blanket]])</f>
        <v>0</v>
      </c>
      <c r="AM86" s="378">
        <f>IF(Table_NFI[[#This Row],[Winter Clothes Adult]]+Table_NFI[[#This Row],[Winter Clothes Children]]+Table_NFI[[#This Row],[Winter Items Other]]+Table_NFI[[#This Row],[Winter Blanket]]&gt;0,1,0)</f>
        <v>1</v>
      </c>
      <c r="AN86" s="418">
        <f>IF(NFI_Expiration=1,IF($A86&lt;VLOOKUP(V$5,NFI,5,0),1,0)*Table_NFI[[#This Row],[Jerry Can]],Table_NFI[Jerry Can])</f>
        <v>0</v>
      </c>
      <c r="AO86" s="579" t="str">
        <f>IFERROR(VLOOKUP(Table_NFI[[#This Row],[Camp Name]],CL,2,0),"")</f>
        <v>MMR001CMP129</v>
      </c>
      <c r="AP86" s="574">
        <f ca="1">IF(Table_NFI[[#This Row],[Pcode]]="","",IF(OFFSET(CampList[Opening Date],MATCH(Table_NFI[[#This Row],[Pcode]],CampList[CP_Pcode],0)-1,0,1,1)&gt;=NFI_Monitor_Date,1,0))</f>
        <v>0</v>
      </c>
      <c r="AQ86" s="579" t="str">
        <f>IFERROR(VLOOKUP(Table_NFI[[#This Row],[Camp Name]],CL,3,0),"")</f>
        <v>Open</v>
      </c>
      <c r="AR86" s="378" t="str">
        <f ca="1">IF(Table_NFI[[#This Row],[Pcode]]="","",OFFSET(CampList[Priority],MATCH(Table_NFI[[#This Row],[Pcode]],CampList[CP_Pcode],0)-1,0,1,1))</f>
        <v>P2</v>
      </c>
      <c r="AS86" s="377">
        <f>IFERROR(Table_NFI[[#This Row],[Kitchen Set]]/VLOOKUP(Table_NFI[[#This Row],[Camp Name]],CL,4,0),"")</f>
        <v>0</v>
      </c>
      <c r="AT86" s="572" t="s">
        <v>1095</v>
      </c>
      <c r="AU86" s="575"/>
    </row>
    <row r="87" spans="1:47" s="130" customFormat="1" x14ac:dyDescent="0.25">
      <c r="A87" s="381">
        <f t="shared" si="1"/>
        <v>30.466666666666665</v>
      </c>
      <c r="B87" s="571">
        <v>41608</v>
      </c>
      <c r="C87" s="572" t="s">
        <v>908</v>
      </c>
      <c r="D87" s="572" t="s">
        <v>462</v>
      </c>
      <c r="E87" s="572" t="s">
        <v>380</v>
      </c>
      <c r="F87" s="374" t="s">
        <v>151</v>
      </c>
      <c r="G87" s="374" t="s">
        <v>188</v>
      </c>
      <c r="H87" s="375"/>
      <c r="I87" s="375"/>
      <c r="J87" s="375"/>
      <c r="K87" s="375"/>
      <c r="L87" s="376"/>
      <c r="M87" s="376"/>
      <c r="N87" s="376"/>
      <c r="O87" s="376"/>
      <c r="P87" s="378"/>
      <c r="Q87" s="378">
        <v>321</v>
      </c>
      <c r="R87" s="378"/>
      <c r="S87" s="378"/>
      <c r="T87" s="378"/>
      <c r="U87" s="378"/>
      <c r="V87" s="533"/>
      <c r="W87" s="378"/>
      <c r="X87" s="378"/>
      <c r="Y87" s="378">
        <f>IF(NFI_Expiration=1,IF($A87&lt;VLOOKUP(H$5,NFI,5,0),1,0)*Table_NFI[[#This Row],[Hygiene Kit]],Table_NFI[Hygiene Kit])</f>
        <v>0</v>
      </c>
      <c r="Z87" s="378">
        <f>IF(NFI_Expiration=1,IF($A87&lt;VLOOKUP(I$5,NFI,5,0),1,0)*Table_NFI[[#This Row],[NFI Core Kit]],Table_NFI[NFI Core Kit])</f>
        <v>0</v>
      </c>
      <c r="AA87" s="378">
        <f>IF(NFI_Expiration=1,IF($A87&lt;VLOOKUP(J$5,NFI,5,0),1,0)*Table_NFI[[#This Row],[Sanitary Kit]],Table_NFI[Sanitary Kit])</f>
        <v>0</v>
      </c>
      <c r="AB87" s="378">
        <f>IF(NFI_Expiration=1,IF($A87&lt;VLOOKUP(K$5,NFI,5,0),1,0)*Table_NFI[[#This Row],[Mosquito net]],Table_NFI[Mosquito net])</f>
        <v>0</v>
      </c>
      <c r="AC87" s="378">
        <f>IF(NFI_Expiration=1,IF($A87&lt;VLOOKUP(L$5,NFI,5,0),1,0)*Table_NFI[[#This Row],[Tarpaulin]],Table_NFI[[#This Row],[Tarpaulin]])</f>
        <v>0</v>
      </c>
      <c r="AD87" s="378">
        <f>IF(NFI_Expiration=1,IF($A87&lt;VLOOKUP(M$5,NFI,5,0),1,0)*Table_NFI[[#This Row],[Blanket]],Table_NFI[[#This Row],[Blanket]])</f>
        <v>0</v>
      </c>
      <c r="AE87" s="378">
        <f>IF(NFI_Expiration=1,IF($A87&lt;VLOOKUP(N$5,NFI,5,0),1,0)*Table_NFI[[#This Row],[Kitchen Set]],Table_NFI[Kitchen Set])</f>
        <v>0</v>
      </c>
      <c r="AF87" s="378">
        <f>IF(NFI_Expiration=1,IF($A87&lt;VLOOKUP(O$5,NFI,5,0),1,0)*Table_NFI[[#This Row],[Clothes Kit]],Table_NFI[Clothes Kit])</f>
        <v>0</v>
      </c>
      <c r="AG87" s="378">
        <f>IF(NFI_Expiration=1,IF($A87&lt;VLOOKUP(P$5,NFI,5,0),1,0)*Table_NFI[[#This Row],[Plastic Bucket]],Table_NFI[Plastic Bucket])</f>
        <v>0</v>
      </c>
      <c r="AH87" s="378">
        <f>IF(NFI_Expiration=1,IF($A87&lt;VLOOKUP(Q$5,NFI,5,0),1,0)*Table_NFI[[#This Row],[Plastic Mat]],Table_NFI[Plastic Mat])*IF(Table_NFI[[#This Row],[Distribution Date]]&gt;"2014-04-01",1,2.5)</f>
        <v>0</v>
      </c>
      <c r="AI87" s="378">
        <f>IF(NFI_Expiration=1,IF($A87&lt;VLOOKUP(R$5,NFI,5,0),1,0)*Table_NFI[[#This Row],[Winter Clothes Adult]],Table_NFI[Winter Clothes Adult])</f>
        <v>0</v>
      </c>
      <c r="AJ87" s="378">
        <f>IF(NFI_Expiration=1,IF($A87&lt;VLOOKUP(S$5,NFI,5,0),1,0)*Table_NFI[[#This Row],[Winter Clothes Children]],Table_NFI[Winter Clothes Children])</f>
        <v>0</v>
      </c>
      <c r="AK87" s="378">
        <f>IF(NFI_Expiration=1,IF($A87&lt;VLOOKUP(T$5,NFI,5,0),1,0)*Table_NFI[[#This Row],[Winter Items Other]],Table_NFI[Winter Items Other])</f>
        <v>0</v>
      </c>
      <c r="AL87" s="378">
        <f>IF(NFI_Expiration=1,IF($A87&lt;VLOOKUP(M$5,NFI,5,0),1,0)*Table_NFI[[#This Row],[Winter Blanket]],Table_NFI[[#This Row],[Winter Blanket]])</f>
        <v>0</v>
      </c>
      <c r="AM87" s="378">
        <f>IF(Table_NFI[[#This Row],[Winter Clothes Adult]]+Table_NFI[[#This Row],[Winter Clothes Children]]+Table_NFI[[#This Row],[Winter Items Other]]+Table_NFI[[#This Row],[Winter Blanket]]&gt;0,1,0)</f>
        <v>0</v>
      </c>
      <c r="AN87" s="418">
        <f>IF(NFI_Expiration=1,IF($A87&lt;VLOOKUP(V$5,NFI,5,0),1,0)*Table_NFI[[#This Row],[Jerry Can]],Table_NFI[Jerry Can])</f>
        <v>0</v>
      </c>
      <c r="AO87" s="579" t="str">
        <f>IFERROR(VLOOKUP(Table_NFI[[#This Row],[Camp Name]],CL,2,0),"")</f>
        <v>MMR001CMP129</v>
      </c>
      <c r="AP87" s="574">
        <f ca="1">IF(Table_NFI[[#This Row],[Pcode]]="","",IF(OFFSET(CampList[Opening Date],MATCH(Table_NFI[[#This Row],[Pcode]],CampList[CP_Pcode],0)-1,0,1,1)&gt;=NFI_Monitor_Date,1,0))</f>
        <v>0</v>
      </c>
      <c r="AQ87" s="579" t="str">
        <f>IFERROR(VLOOKUP(Table_NFI[[#This Row],[Camp Name]],CL,3,0),"")</f>
        <v>Open</v>
      </c>
      <c r="AR87" s="378" t="str">
        <f ca="1">IF(Table_NFI[[#This Row],[Pcode]]="","",OFFSET(CampList[Priority],MATCH(Table_NFI[[#This Row],[Pcode]],CampList[CP_Pcode],0)-1,0,1,1))</f>
        <v>P2</v>
      </c>
      <c r="AS87" s="377">
        <f>IFERROR(Table_NFI[[#This Row],[Kitchen Set]]/VLOOKUP(Table_NFI[[#This Row],[Camp Name]],CL,4,0),"")</f>
        <v>0</v>
      </c>
      <c r="AT87" s="572" t="s">
        <v>1095</v>
      </c>
      <c r="AU87" s="575"/>
    </row>
    <row r="88" spans="1:47" s="576" customFormat="1" x14ac:dyDescent="0.25">
      <c r="A88" s="381">
        <f t="shared" si="1"/>
        <v>30.466666666666665</v>
      </c>
      <c r="B88" s="571">
        <v>41608</v>
      </c>
      <c r="C88" s="573" t="s">
        <v>454</v>
      </c>
      <c r="D88" s="573" t="s">
        <v>454</v>
      </c>
      <c r="E88" s="572" t="s">
        <v>380</v>
      </c>
      <c r="F88" s="374" t="s">
        <v>151</v>
      </c>
      <c r="G88" s="374" t="s">
        <v>188</v>
      </c>
      <c r="H88" s="375"/>
      <c r="I88" s="375"/>
      <c r="J88" s="375"/>
      <c r="K88" s="375"/>
      <c r="L88" s="376"/>
      <c r="M88" s="376"/>
      <c r="N88" s="376"/>
      <c r="O88" s="376"/>
      <c r="P88" s="378"/>
      <c r="Q88" s="378"/>
      <c r="R88" s="378"/>
      <c r="S88" s="378"/>
      <c r="T88" s="378"/>
      <c r="U88" s="378"/>
      <c r="V88" s="533"/>
      <c r="W88" s="378"/>
      <c r="X88" s="378"/>
      <c r="Y88" s="378">
        <f>IF(NFI_Expiration=1,IF($A88&lt;VLOOKUP(H$5,NFI,5,0),1,0)*Table_NFI[[#This Row],[Hygiene Kit]],Table_NFI[Hygiene Kit])</f>
        <v>0</v>
      </c>
      <c r="Z88" s="378">
        <f>IF(NFI_Expiration=1,IF($A88&lt;VLOOKUP(I$5,NFI,5,0),1,0)*Table_NFI[[#This Row],[NFI Core Kit]],Table_NFI[NFI Core Kit])</f>
        <v>0</v>
      </c>
      <c r="AA88" s="378">
        <f>IF(NFI_Expiration=1,IF($A88&lt;VLOOKUP(J$5,NFI,5,0),1,0)*Table_NFI[[#This Row],[Sanitary Kit]],Table_NFI[Sanitary Kit])</f>
        <v>0</v>
      </c>
      <c r="AB88" s="378">
        <f>IF(NFI_Expiration=1,IF($A88&lt;VLOOKUP(K$5,NFI,5,0),1,0)*Table_NFI[[#This Row],[Mosquito net]],Table_NFI[Mosquito net])</f>
        <v>0</v>
      </c>
      <c r="AC88" s="378">
        <f>IF(NFI_Expiration=1,IF($A88&lt;VLOOKUP(L$5,NFI,5,0),1,0)*Table_NFI[[#This Row],[Tarpaulin]],Table_NFI[[#This Row],[Tarpaulin]])</f>
        <v>0</v>
      </c>
      <c r="AD88" s="378">
        <f>IF(NFI_Expiration=1,IF($A88&lt;VLOOKUP(M$5,NFI,5,0),1,0)*Table_NFI[[#This Row],[Blanket]],Table_NFI[[#This Row],[Blanket]])</f>
        <v>0</v>
      </c>
      <c r="AE88" s="378">
        <f>IF(NFI_Expiration=1,IF($A88&lt;VLOOKUP(N$5,NFI,5,0),1,0)*Table_NFI[[#This Row],[Kitchen Set]],Table_NFI[Kitchen Set])</f>
        <v>0</v>
      </c>
      <c r="AF88" s="378">
        <f>IF(NFI_Expiration=1,IF($A88&lt;VLOOKUP(O$5,NFI,5,0),1,0)*Table_NFI[[#This Row],[Clothes Kit]],Table_NFI[Clothes Kit])</f>
        <v>0</v>
      </c>
      <c r="AG88" s="378">
        <f>IF(NFI_Expiration=1,IF($A88&lt;VLOOKUP(P$5,NFI,5,0),1,0)*Table_NFI[[#This Row],[Plastic Bucket]],Table_NFI[Plastic Bucket])</f>
        <v>0</v>
      </c>
      <c r="AH88" s="378">
        <f>IF(NFI_Expiration=1,IF($A88&lt;VLOOKUP(Q$5,NFI,5,0),1,0)*Table_NFI[[#This Row],[Plastic Mat]],Table_NFI[Plastic Mat])*IF(Table_NFI[[#This Row],[Distribution Date]]&gt;"2014-04-01",1,2.5)</f>
        <v>0</v>
      </c>
      <c r="AI88" s="378">
        <f>IF(NFI_Expiration=1,IF($A88&lt;VLOOKUP(R$5,NFI,5,0),1,0)*Table_NFI[[#This Row],[Winter Clothes Adult]],Table_NFI[Winter Clothes Adult])</f>
        <v>0</v>
      </c>
      <c r="AJ88" s="378">
        <f>IF(NFI_Expiration=1,IF($A88&lt;VLOOKUP(S$5,NFI,5,0),1,0)*Table_NFI[[#This Row],[Winter Clothes Children]],Table_NFI[Winter Clothes Children])</f>
        <v>0</v>
      </c>
      <c r="AK88" s="378">
        <f>IF(NFI_Expiration=1,IF($A88&lt;VLOOKUP(T$5,NFI,5,0),1,0)*Table_NFI[[#This Row],[Winter Items Other]],Table_NFI[Winter Items Other])</f>
        <v>0</v>
      </c>
      <c r="AL88" s="378">
        <f>IF(NFI_Expiration=1,IF($A88&lt;VLOOKUP(M$5,NFI,5,0),1,0)*Table_NFI[[#This Row],[Winter Blanket]],Table_NFI[[#This Row],[Winter Blanket]])</f>
        <v>0</v>
      </c>
      <c r="AM88" s="378">
        <f>IF(Table_NFI[[#This Row],[Winter Clothes Adult]]+Table_NFI[[#This Row],[Winter Clothes Children]]+Table_NFI[[#This Row],[Winter Items Other]]+Table_NFI[[#This Row],[Winter Blanket]]&gt;0,1,0)</f>
        <v>0</v>
      </c>
      <c r="AN88" s="418">
        <f>IF(NFI_Expiration=1,IF($A88&lt;VLOOKUP(V$5,NFI,5,0),1,0)*Table_NFI[[#This Row],[Jerry Can]],Table_NFI[Jerry Can])</f>
        <v>0</v>
      </c>
      <c r="AO88" s="579" t="str">
        <f>IFERROR(VLOOKUP(Table_NFI[[#This Row],[Camp Name]],CL,2,0),"")</f>
        <v>MMR001CMP129</v>
      </c>
      <c r="AP88" s="574">
        <f ca="1">IF(Table_NFI[[#This Row],[Pcode]]="","",IF(OFFSET(CampList[Opening Date],MATCH(Table_NFI[[#This Row],[Pcode]],CampList[CP_Pcode],0)-1,0,1,1)&gt;=NFI_Monitor_Date,1,0))</f>
        <v>0</v>
      </c>
      <c r="AQ88" s="579" t="str">
        <f>IFERROR(VLOOKUP(Table_NFI[[#This Row],[Camp Name]],CL,3,0),"")</f>
        <v>Open</v>
      </c>
      <c r="AR88" s="378" t="str">
        <f ca="1">IF(Table_NFI[[#This Row],[Pcode]]="","",OFFSET(CampList[Priority],MATCH(Table_NFI[[#This Row],[Pcode]],CampList[CP_Pcode],0)-1,0,1,1))</f>
        <v>P2</v>
      </c>
      <c r="AS88" s="377">
        <f>IFERROR(Table_NFI[[#This Row],[Kitchen Set]]/VLOOKUP(Table_NFI[[#This Row],[Camp Name]],CL,4,0),"")</f>
        <v>0</v>
      </c>
      <c r="AT88" s="572" t="s">
        <v>1095</v>
      </c>
      <c r="AU88" s="575"/>
    </row>
    <row r="89" spans="1:47" s="130" customFormat="1" x14ac:dyDescent="0.25">
      <c r="A89" s="381">
        <f t="shared" si="1"/>
        <v>31.366666666666667</v>
      </c>
      <c r="B89" s="571">
        <v>41581</v>
      </c>
      <c r="C89" s="572" t="s">
        <v>454</v>
      </c>
      <c r="D89" s="572" t="s">
        <v>575</v>
      </c>
      <c r="E89" s="572" t="s">
        <v>380</v>
      </c>
      <c r="F89" s="374" t="s">
        <v>151</v>
      </c>
      <c r="G89" s="374" t="s">
        <v>188</v>
      </c>
      <c r="H89" s="375"/>
      <c r="I89" s="375"/>
      <c r="J89" s="375">
        <v>130</v>
      </c>
      <c r="K89" s="375">
        <v>130</v>
      </c>
      <c r="L89" s="376">
        <v>65</v>
      </c>
      <c r="M89" s="376">
        <v>65</v>
      </c>
      <c r="N89" s="376">
        <v>65</v>
      </c>
      <c r="O89" s="376">
        <v>65</v>
      </c>
      <c r="P89" s="378"/>
      <c r="Q89" s="378"/>
      <c r="R89" s="378"/>
      <c r="S89" s="378"/>
      <c r="T89" s="378"/>
      <c r="U89" s="378"/>
      <c r="V89" s="533"/>
      <c r="W89" s="378"/>
      <c r="X89" s="378"/>
      <c r="Y89" s="378">
        <f>IF(NFI_Expiration=1,IF($A89&lt;VLOOKUP(H$5,NFI,5,0),1,0)*Table_NFI[[#This Row],[Hygiene Kit]],Table_NFI[Hygiene Kit])</f>
        <v>0</v>
      </c>
      <c r="Z89" s="378">
        <f>IF(NFI_Expiration=1,IF($A89&lt;VLOOKUP(I$5,NFI,5,0),1,0)*Table_NFI[[#This Row],[NFI Core Kit]],Table_NFI[NFI Core Kit])</f>
        <v>0</v>
      </c>
      <c r="AA89" s="378">
        <f>IF(NFI_Expiration=1,IF($A89&lt;VLOOKUP(J$5,NFI,5,0),1,0)*Table_NFI[[#This Row],[Sanitary Kit]],Table_NFI[Sanitary Kit])</f>
        <v>0</v>
      </c>
      <c r="AB89" s="378">
        <f>IF(NFI_Expiration=1,IF($A89&lt;VLOOKUP(K$5,NFI,5,0),1,0)*Table_NFI[[#This Row],[Mosquito net]],Table_NFI[Mosquito net])</f>
        <v>0</v>
      </c>
      <c r="AC89" s="378">
        <f>IF(NFI_Expiration=1,IF($A89&lt;VLOOKUP(L$5,NFI,5,0),1,0)*Table_NFI[[#This Row],[Tarpaulin]],Table_NFI[[#This Row],[Tarpaulin]])</f>
        <v>0</v>
      </c>
      <c r="AD89" s="378">
        <f>IF(NFI_Expiration=1,IF($A89&lt;VLOOKUP(M$5,NFI,5,0),1,0)*Table_NFI[[#This Row],[Blanket]],Table_NFI[[#This Row],[Blanket]])</f>
        <v>0</v>
      </c>
      <c r="AE89" s="378">
        <f>IF(NFI_Expiration=1,IF($A89&lt;VLOOKUP(N$5,NFI,5,0),1,0)*Table_NFI[[#This Row],[Kitchen Set]],Table_NFI[Kitchen Set])</f>
        <v>0</v>
      </c>
      <c r="AF89" s="378">
        <f>IF(NFI_Expiration=1,IF($A89&lt;VLOOKUP(O$5,NFI,5,0),1,0)*Table_NFI[[#This Row],[Clothes Kit]],Table_NFI[Clothes Kit])</f>
        <v>0</v>
      </c>
      <c r="AG89" s="378">
        <f>IF(NFI_Expiration=1,IF($A89&lt;VLOOKUP(P$5,NFI,5,0),1,0)*Table_NFI[[#This Row],[Plastic Bucket]],Table_NFI[Plastic Bucket])</f>
        <v>0</v>
      </c>
      <c r="AH89" s="378">
        <f>IF(NFI_Expiration=1,IF($A89&lt;VLOOKUP(Q$5,NFI,5,0),1,0)*Table_NFI[[#This Row],[Plastic Mat]],Table_NFI[Plastic Mat])*IF(Table_NFI[[#This Row],[Distribution Date]]&gt;"2014-04-01",1,2.5)</f>
        <v>0</v>
      </c>
      <c r="AI89" s="378">
        <f>IF(NFI_Expiration=1,IF($A89&lt;VLOOKUP(R$5,NFI,5,0),1,0)*Table_NFI[[#This Row],[Winter Clothes Adult]],Table_NFI[Winter Clothes Adult])</f>
        <v>0</v>
      </c>
      <c r="AJ89" s="378">
        <f>IF(NFI_Expiration=1,IF($A89&lt;VLOOKUP(S$5,NFI,5,0),1,0)*Table_NFI[[#This Row],[Winter Clothes Children]],Table_NFI[Winter Clothes Children])</f>
        <v>0</v>
      </c>
      <c r="AK89" s="378">
        <f>IF(NFI_Expiration=1,IF($A89&lt;VLOOKUP(T$5,NFI,5,0),1,0)*Table_NFI[[#This Row],[Winter Items Other]],Table_NFI[Winter Items Other])</f>
        <v>0</v>
      </c>
      <c r="AL89" s="378">
        <f>IF(NFI_Expiration=1,IF($A89&lt;VLOOKUP(M$5,NFI,5,0),1,0)*Table_NFI[[#This Row],[Winter Blanket]],Table_NFI[[#This Row],[Winter Blanket]])</f>
        <v>0</v>
      </c>
      <c r="AM89" s="378">
        <f>IF(Table_NFI[[#This Row],[Winter Clothes Adult]]+Table_NFI[[#This Row],[Winter Clothes Children]]+Table_NFI[[#This Row],[Winter Items Other]]+Table_NFI[[#This Row],[Winter Blanket]]&gt;0,1,0)</f>
        <v>0</v>
      </c>
      <c r="AN89" s="418">
        <f>IF(NFI_Expiration=1,IF($A89&lt;VLOOKUP(V$5,NFI,5,0),1,0)*Table_NFI[[#This Row],[Jerry Can]],Table_NFI[Jerry Can])</f>
        <v>0</v>
      </c>
      <c r="AO89" s="579" t="str">
        <f>IFERROR(VLOOKUP(Table_NFI[[#This Row],[Camp Name]],CL,2,0),"")</f>
        <v>MMR001CMP129</v>
      </c>
      <c r="AP89" s="574">
        <f ca="1">IF(Table_NFI[[#This Row],[Pcode]]="","",IF(OFFSET(CampList[Opening Date],MATCH(Table_NFI[[#This Row],[Pcode]],CampList[CP_Pcode],0)-1,0,1,1)&gt;=NFI_Monitor_Date,1,0))</f>
        <v>0</v>
      </c>
      <c r="AQ89" s="579" t="str">
        <f>IFERROR(VLOOKUP(Table_NFI[[#This Row],[Camp Name]],CL,3,0),"")</f>
        <v>Open</v>
      </c>
      <c r="AR89" s="378" t="str">
        <f ca="1">IF(Table_NFI[[#This Row],[Pcode]]="","",OFFSET(CampList[Priority],MATCH(Table_NFI[[#This Row],[Pcode]],CampList[CP_Pcode],0)-1,0,1,1))</f>
        <v>P2</v>
      </c>
      <c r="AS89" s="377">
        <f>IFERROR(Table_NFI[[#This Row],[Kitchen Set]]/VLOOKUP(Table_NFI[[#This Row],[Camp Name]],CL,4,0),"")</f>
        <v>0.26530612244897961</v>
      </c>
      <c r="AT89" s="572" t="s">
        <v>1095</v>
      </c>
      <c r="AU89" s="575"/>
    </row>
    <row r="90" spans="1:47" s="130" customFormat="1" x14ac:dyDescent="0.25">
      <c r="A90" s="381">
        <f t="shared" si="1"/>
        <v>42.133333333333333</v>
      </c>
      <c r="B90" s="571">
        <v>41258</v>
      </c>
      <c r="C90" s="572" t="s">
        <v>908</v>
      </c>
      <c r="D90" s="573" t="s">
        <v>908</v>
      </c>
      <c r="E90" s="572" t="s">
        <v>380</v>
      </c>
      <c r="F90" s="374" t="s">
        <v>151</v>
      </c>
      <c r="G90" s="374" t="s">
        <v>188</v>
      </c>
      <c r="H90" s="375">
        <v>587</v>
      </c>
      <c r="I90" s="375"/>
      <c r="J90" s="375">
        <v>855</v>
      </c>
      <c r="K90" s="375"/>
      <c r="L90" s="376"/>
      <c r="M90" s="376"/>
      <c r="N90" s="376"/>
      <c r="O90" s="376"/>
      <c r="P90" s="378">
        <v>0</v>
      </c>
      <c r="Q90" s="378">
        <v>0</v>
      </c>
      <c r="R90" s="378"/>
      <c r="S90" s="378"/>
      <c r="T90" s="378"/>
      <c r="U90" s="378"/>
      <c r="V90" s="533"/>
      <c r="W90" s="378"/>
      <c r="X90" s="378"/>
      <c r="Y90" s="378">
        <f>IF(NFI_Expiration=1,IF($A90&lt;VLOOKUP(H$5,NFI,5,0),1,0)*Table_NFI[[#This Row],[Hygiene Kit]],Table_NFI[Hygiene Kit])</f>
        <v>0</v>
      </c>
      <c r="Z90" s="378">
        <f>IF(NFI_Expiration=1,IF($A90&lt;VLOOKUP(I$5,NFI,5,0),1,0)*Table_NFI[[#This Row],[NFI Core Kit]],Table_NFI[NFI Core Kit])</f>
        <v>0</v>
      </c>
      <c r="AA90" s="378">
        <f>IF(NFI_Expiration=1,IF($A90&lt;VLOOKUP(J$5,NFI,5,0),1,0)*Table_NFI[[#This Row],[Sanitary Kit]],Table_NFI[Sanitary Kit])</f>
        <v>0</v>
      </c>
      <c r="AB90" s="378">
        <f>IF(NFI_Expiration=1,IF($A90&lt;VLOOKUP(K$5,NFI,5,0),1,0)*Table_NFI[[#This Row],[Mosquito net]],Table_NFI[Mosquito net])</f>
        <v>0</v>
      </c>
      <c r="AC90" s="378">
        <f>IF(NFI_Expiration=1,IF($A90&lt;VLOOKUP(L$5,NFI,5,0),1,0)*Table_NFI[[#This Row],[Tarpaulin]],Table_NFI[[#This Row],[Tarpaulin]])</f>
        <v>0</v>
      </c>
      <c r="AD90" s="378">
        <f>IF(NFI_Expiration=1,IF($A90&lt;VLOOKUP(M$5,NFI,5,0),1,0)*Table_NFI[[#This Row],[Blanket]],Table_NFI[[#This Row],[Blanket]])</f>
        <v>0</v>
      </c>
      <c r="AE90" s="378">
        <f>IF(NFI_Expiration=1,IF($A90&lt;VLOOKUP(N$5,NFI,5,0),1,0)*Table_NFI[[#This Row],[Kitchen Set]],Table_NFI[Kitchen Set])</f>
        <v>0</v>
      </c>
      <c r="AF90" s="378">
        <f>IF(NFI_Expiration=1,IF($A90&lt;VLOOKUP(O$5,NFI,5,0),1,0)*Table_NFI[[#This Row],[Clothes Kit]],Table_NFI[Clothes Kit])</f>
        <v>0</v>
      </c>
      <c r="AG90" s="378">
        <f>IF(NFI_Expiration=1,IF($A90&lt;VLOOKUP(P$5,NFI,5,0),1,0)*Table_NFI[[#This Row],[Plastic Bucket]],Table_NFI[Plastic Bucket])</f>
        <v>0</v>
      </c>
      <c r="AH90" s="378">
        <f>IF(NFI_Expiration=1,IF($A90&lt;VLOOKUP(Q$5,NFI,5,0),1,0)*Table_NFI[[#This Row],[Plastic Mat]],Table_NFI[Plastic Mat])*IF(Table_NFI[[#This Row],[Distribution Date]]&gt;"2014-04-01",1,2.5)</f>
        <v>0</v>
      </c>
      <c r="AI90" s="378">
        <f>IF(NFI_Expiration=1,IF($A90&lt;VLOOKUP(R$5,NFI,5,0),1,0)*Table_NFI[[#This Row],[Winter Clothes Adult]],Table_NFI[Winter Clothes Adult])</f>
        <v>0</v>
      </c>
      <c r="AJ90" s="378">
        <f>IF(NFI_Expiration=1,IF($A90&lt;VLOOKUP(S$5,NFI,5,0),1,0)*Table_NFI[[#This Row],[Winter Clothes Children]],Table_NFI[Winter Clothes Children])</f>
        <v>0</v>
      </c>
      <c r="AK90" s="378">
        <f>IF(NFI_Expiration=1,IF($A90&lt;VLOOKUP(T$5,NFI,5,0),1,0)*Table_NFI[[#This Row],[Winter Items Other]],Table_NFI[Winter Items Other])</f>
        <v>0</v>
      </c>
      <c r="AL90" s="378">
        <f>IF(NFI_Expiration=1,IF($A90&lt;VLOOKUP(M$5,NFI,5,0),1,0)*Table_NFI[[#This Row],[Winter Blanket]],Table_NFI[[#This Row],[Winter Blanket]])</f>
        <v>0</v>
      </c>
      <c r="AM90" s="378">
        <f>IF(Table_NFI[[#This Row],[Winter Clothes Adult]]+Table_NFI[[#This Row],[Winter Clothes Children]]+Table_NFI[[#This Row],[Winter Items Other]]+Table_NFI[[#This Row],[Winter Blanket]]&gt;0,1,0)</f>
        <v>0</v>
      </c>
      <c r="AN90" s="418">
        <f>IF(NFI_Expiration=1,IF($A90&lt;VLOOKUP(V$5,NFI,5,0),1,0)*Table_NFI[[#This Row],[Jerry Can]],Table_NFI[Jerry Can])</f>
        <v>0</v>
      </c>
      <c r="AO90" s="579" t="str">
        <f>IFERROR(VLOOKUP(Table_NFI[[#This Row],[Camp Name]],CL,2,0),"")</f>
        <v>MMR001CMP129</v>
      </c>
      <c r="AP90" s="574">
        <f ca="1">IF(Table_NFI[[#This Row],[Pcode]]="","",IF(OFFSET(CampList[Opening Date],MATCH(Table_NFI[[#This Row],[Pcode]],CampList[CP_Pcode],0)-1,0,1,1)&gt;=NFI_Monitor_Date,1,0))</f>
        <v>0</v>
      </c>
      <c r="AQ90" s="579" t="str">
        <f>IFERROR(VLOOKUP(Table_NFI[[#This Row],[Camp Name]],CL,3,0),"")</f>
        <v>Open</v>
      </c>
      <c r="AR90" s="378" t="str">
        <f ca="1">IF(Table_NFI[[#This Row],[Pcode]]="","",OFFSET(CampList[Priority],MATCH(Table_NFI[[#This Row],[Pcode]],CampList[CP_Pcode],0)-1,0,1,1))</f>
        <v>P2</v>
      </c>
      <c r="AS90" s="377">
        <f>IFERROR(Table_NFI[[#This Row],[Kitchen Set]]/VLOOKUP(Table_NFI[[#This Row],[Camp Name]],CL,4,0),"")</f>
        <v>0</v>
      </c>
      <c r="AT90" s="572" t="s">
        <v>1095</v>
      </c>
      <c r="AU90" s="575"/>
    </row>
    <row r="91" spans="1:47" s="130" customFormat="1" x14ac:dyDescent="0.25">
      <c r="A91" s="381">
        <f t="shared" si="1"/>
        <v>50.633333333333333</v>
      </c>
      <c r="B91" s="571">
        <v>41003</v>
      </c>
      <c r="C91" s="572" t="s">
        <v>454</v>
      </c>
      <c r="D91" s="572" t="s">
        <v>454</v>
      </c>
      <c r="E91" s="572" t="s">
        <v>380</v>
      </c>
      <c r="F91" s="374" t="s">
        <v>151</v>
      </c>
      <c r="G91" s="374" t="s">
        <v>188</v>
      </c>
      <c r="H91" s="375"/>
      <c r="I91" s="375"/>
      <c r="J91" s="375"/>
      <c r="K91" s="375">
        <v>216</v>
      </c>
      <c r="L91" s="376">
        <v>108</v>
      </c>
      <c r="M91" s="376">
        <v>216</v>
      </c>
      <c r="N91" s="376">
        <v>108</v>
      </c>
      <c r="O91" s="376">
        <v>108</v>
      </c>
      <c r="P91" s="378">
        <v>108</v>
      </c>
      <c r="Q91" s="378">
        <v>108</v>
      </c>
      <c r="R91" s="378"/>
      <c r="S91" s="378"/>
      <c r="T91" s="378"/>
      <c r="U91" s="378"/>
      <c r="V91" s="533"/>
      <c r="W91" s="378"/>
      <c r="X91" s="378"/>
      <c r="Y91" s="378">
        <f>IF(NFI_Expiration=1,IF($A91&lt;VLOOKUP(H$5,NFI,5,0),1,0)*Table_NFI[[#This Row],[Hygiene Kit]],Table_NFI[Hygiene Kit])</f>
        <v>0</v>
      </c>
      <c r="Z91" s="378">
        <f>IF(NFI_Expiration=1,IF($A91&lt;VLOOKUP(I$5,NFI,5,0),1,0)*Table_NFI[[#This Row],[NFI Core Kit]],Table_NFI[NFI Core Kit])</f>
        <v>0</v>
      </c>
      <c r="AA91" s="378">
        <f>IF(NFI_Expiration=1,IF($A91&lt;VLOOKUP(J$5,NFI,5,0),1,0)*Table_NFI[[#This Row],[Sanitary Kit]],Table_NFI[Sanitary Kit])</f>
        <v>0</v>
      </c>
      <c r="AB91" s="378">
        <f>IF(NFI_Expiration=1,IF($A91&lt;VLOOKUP(K$5,NFI,5,0),1,0)*Table_NFI[[#This Row],[Mosquito net]],Table_NFI[Mosquito net])</f>
        <v>0</v>
      </c>
      <c r="AC91" s="378">
        <f>IF(NFI_Expiration=1,IF($A91&lt;VLOOKUP(L$5,NFI,5,0),1,0)*Table_NFI[[#This Row],[Tarpaulin]],Table_NFI[[#This Row],[Tarpaulin]])</f>
        <v>0</v>
      </c>
      <c r="AD91" s="378">
        <f>IF(NFI_Expiration=1,IF($A91&lt;VLOOKUP(M$5,NFI,5,0),1,0)*Table_NFI[[#This Row],[Blanket]],Table_NFI[[#This Row],[Blanket]])</f>
        <v>0</v>
      </c>
      <c r="AE91" s="378">
        <f>IF(NFI_Expiration=1,IF($A91&lt;VLOOKUP(N$5,NFI,5,0),1,0)*Table_NFI[[#This Row],[Kitchen Set]],Table_NFI[Kitchen Set])</f>
        <v>0</v>
      </c>
      <c r="AF91" s="378">
        <f>IF(NFI_Expiration=1,IF($A91&lt;VLOOKUP(O$5,NFI,5,0),1,0)*Table_NFI[[#This Row],[Clothes Kit]],Table_NFI[Clothes Kit])</f>
        <v>0</v>
      </c>
      <c r="AG91" s="378">
        <f>IF(NFI_Expiration=1,IF($A91&lt;VLOOKUP(P$5,NFI,5,0),1,0)*Table_NFI[[#This Row],[Plastic Bucket]],Table_NFI[Plastic Bucket])</f>
        <v>0</v>
      </c>
      <c r="AH91" s="378">
        <f>IF(NFI_Expiration=1,IF($A91&lt;VLOOKUP(Q$5,NFI,5,0),1,0)*Table_NFI[[#This Row],[Plastic Mat]],Table_NFI[Plastic Mat])*IF(Table_NFI[[#This Row],[Distribution Date]]&gt;"2014-04-01",1,2.5)</f>
        <v>0</v>
      </c>
      <c r="AI91" s="378">
        <f>IF(NFI_Expiration=1,IF($A91&lt;VLOOKUP(R$5,NFI,5,0),1,0)*Table_NFI[[#This Row],[Winter Clothes Adult]],Table_NFI[Winter Clothes Adult])</f>
        <v>0</v>
      </c>
      <c r="AJ91" s="378">
        <f>IF(NFI_Expiration=1,IF($A91&lt;VLOOKUP(S$5,NFI,5,0),1,0)*Table_NFI[[#This Row],[Winter Clothes Children]],Table_NFI[Winter Clothes Children])</f>
        <v>0</v>
      </c>
      <c r="AK91" s="378">
        <f>IF(NFI_Expiration=1,IF($A91&lt;VLOOKUP(T$5,NFI,5,0),1,0)*Table_NFI[[#This Row],[Winter Items Other]],Table_NFI[Winter Items Other])</f>
        <v>0</v>
      </c>
      <c r="AL91" s="378">
        <f>IF(NFI_Expiration=1,IF($A91&lt;VLOOKUP(M$5,NFI,5,0),1,0)*Table_NFI[[#This Row],[Winter Blanket]],Table_NFI[[#This Row],[Winter Blanket]])</f>
        <v>0</v>
      </c>
      <c r="AM91" s="378">
        <f>IF(Table_NFI[[#This Row],[Winter Clothes Adult]]+Table_NFI[[#This Row],[Winter Clothes Children]]+Table_NFI[[#This Row],[Winter Items Other]]+Table_NFI[[#This Row],[Winter Blanket]]&gt;0,1,0)</f>
        <v>0</v>
      </c>
      <c r="AN91" s="418">
        <f>IF(NFI_Expiration=1,IF($A91&lt;VLOOKUP(V$5,NFI,5,0),1,0)*Table_NFI[[#This Row],[Jerry Can]],Table_NFI[Jerry Can])</f>
        <v>0</v>
      </c>
      <c r="AO91" s="579" t="str">
        <f>IFERROR(VLOOKUP(Table_NFI[[#This Row],[Camp Name]],CL,2,0),"")</f>
        <v>MMR001CMP129</v>
      </c>
      <c r="AP91" s="574">
        <f ca="1">IF(Table_NFI[[#This Row],[Pcode]]="","",IF(OFFSET(CampList[Opening Date],MATCH(Table_NFI[[#This Row],[Pcode]],CampList[CP_Pcode],0)-1,0,1,1)&gt;=NFI_Monitor_Date,1,0))</f>
        <v>0</v>
      </c>
      <c r="AQ91" s="579" t="str">
        <f>IFERROR(VLOOKUP(Table_NFI[[#This Row],[Camp Name]],CL,3,0),"")</f>
        <v>Open</v>
      </c>
      <c r="AR91" s="378" t="str">
        <f ca="1">IF(Table_NFI[[#This Row],[Pcode]]="","",OFFSET(CampList[Priority],MATCH(Table_NFI[[#This Row],[Pcode]],CampList[CP_Pcode],0)-1,0,1,1))</f>
        <v>P2</v>
      </c>
      <c r="AS91" s="377">
        <f>IFERROR(Table_NFI[[#This Row],[Kitchen Set]]/VLOOKUP(Table_NFI[[#This Row],[Camp Name]],CL,4,0),"")</f>
        <v>0.44081632653061226</v>
      </c>
      <c r="AT91" s="572" t="s">
        <v>1095</v>
      </c>
      <c r="AU91" s="575"/>
    </row>
    <row r="92" spans="1:47" s="130" customFormat="1" x14ac:dyDescent="0.25">
      <c r="A92" s="381">
        <f t="shared" si="1"/>
        <v>50.833333333333336</v>
      </c>
      <c r="B92" s="571">
        <v>40997</v>
      </c>
      <c r="C92" s="572" t="s">
        <v>454</v>
      </c>
      <c r="D92" s="573" t="s">
        <v>454</v>
      </c>
      <c r="E92" s="572" t="s">
        <v>380</v>
      </c>
      <c r="F92" s="374" t="s">
        <v>151</v>
      </c>
      <c r="G92" s="374" t="s">
        <v>188</v>
      </c>
      <c r="H92" s="375"/>
      <c r="I92" s="375"/>
      <c r="J92" s="375"/>
      <c r="K92" s="375">
        <v>66</v>
      </c>
      <c r="L92" s="376">
        <v>66</v>
      </c>
      <c r="M92" s="376">
        <v>0</v>
      </c>
      <c r="N92" s="376">
        <v>0</v>
      </c>
      <c r="O92" s="376">
        <v>0</v>
      </c>
      <c r="P92" s="378"/>
      <c r="Q92" s="378"/>
      <c r="R92" s="378"/>
      <c r="S92" s="378"/>
      <c r="T92" s="378"/>
      <c r="U92" s="378"/>
      <c r="V92" s="533"/>
      <c r="W92" s="378"/>
      <c r="X92" s="378"/>
      <c r="Y92" s="378">
        <f>IF(NFI_Expiration=1,IF($A92&lt;VLOOKUP(H$5,NFI,5,0),1,0)*Table_NFI[[#This Row],[Hygiene Kit]],Table_NFI[Hygiene Kit])</f>
        <v>0</v>
      </c>
      <c r="Z92" s="378">
        <f>IF(NFI_Expiration=1,IF($A92&lt;VLOOKUP(I$5,NFI,5,0),1,0)*Table_NFI[[#This Row],[NFI Core Kit]],Table_NFI[NFI Core Kit])</f>
        <v>0</v>
      </c>
      <c r="AA92" s="378">
        <f>IF(NFI_Expiration=1,IF($A92&lt;VLOOKUP(J$5,NFI,5,0),1,0)*Table_NFI[[#This Row],[Sanitary Kit]],Table_NFI[Sanitary Kit])</f>
        <v>0</v>
      </c>
      <c r="AB92" s="378">
        <f>IF(NFI_Expiration=1,IF($A92&lt;VLOOKUP(K$5,NFI,5,0),1,0)*Table_NFI[[#This Row],[Mosquito net]],Table_NFI[Mosquito net])</f>
        <v>0</v>
      </c>
      <c r="AC92" s="378">
        <f>IF(NFI_Expiration=1,IF($A92&lt;VLOOKUP(L$5,NFI,5,0),1,0)*Table_NFI[[#This Row],[Tarpaulin]],Table_NFI[[#This Row],[Tarpaulin]])</f>
        <v>0</v>
      </c>
      <c r="AD92" s="378">
        <f>IF(NFI_Expiration=1,IF($A92&lt;VLOOKUP(M$5,NFI,5,0),1,0)*Table_NFI[[#This Row],[Blanket]],Table_NFI[[#This Row],[Blanket]])</f>
        <v>0</v>
      </c>
      <c r="AE92" s="378">
        <f>IF(NFI_Expiration=1,IF($A92&lt;VLOOKUP(N$5,NFI,5,0),1,0)*Table_NFI[[#This Row],[Kitchen Set]],Table_NFI[Kitchen Set])</f>
        <v>0</v>
      </c>
      <c r="AF92" s="378">
        <f>IF(NFI_Expiration=1,IF($A92&lt;VLOOKUP(O$5,NFI,5,0),1,0)*Table_NFI[[#This Row],[Clothes Kit]],Table_NFI[Clothes Kit])</f>
        <v>0</v>
      </c>
      <c r="AG92" s="378">
        <f>IF(NFI_Expiration=1,IF($A92&lt;VLOOKUP(P$5,NFI,5,0),1,0)*Table_NFI[[#This Row],[Plastic Bucket]],Table_NFI[Plastic Bucket])</f>
        <v>0</v>
      </c>
      <c r="AH92" s="378">
        <f>IF(NFI_Expiration=1,IF($A92&lt;VLOOKUP(Q$5,NFI,5,0),1,0)*Table_NFI[[#This Row],[Plastic Mat]],Table_NFI[Plastic Mat])*IF(Table_NFI[[#This Row],[Distribution Date]]&gt;"2014-04-01",1,2.5)</f>
        <v>0</v>
      </c>
      <c r="AI92" s="378">
        <f>IF(NFI_Expiration=1,IF($A92&lt;VLOOKUP(R$5,NFI,5,0),1,0)*Table_NFI[[#This Row],[Winter Clothes Adult]],Table_NFI[Winter Clothes Adult])</f>
        <v>0</v>
      </c>
      <c r="AJ92" s="378">
        <f>IF(NFI_Expiration=1,IF($A92&lt;VLOOKUP(S$5,NFI,5,0),1,0)*Table_NFI[[#This Row],[Winter Clothes Children]],Table_NFI[Winter Clothes Children])</f>
        <v>0</v>
      </c>
      <c r="AK92" s="378">
        <f>IF(NFI_Expiration=1,IF($A92&lt;VLOOKUP(T$5,NFI,5,0),1,0)*Table_NFI[[#This Row],[Winter Items Other]],Table_NFI[Winter Items Other])</f>
        <v>0</v>
      </c>
      <c r="AL92" s="378">
        <f>IF(NFI_Expiration=1,IF($A92&lt;VLOOKUP(M$5,NFI,5,0),1,0)*Table_NFI[[#This Row],[Winter Blanket]],Table_NFI[[#This Row],[Winter Blanket]])</f>
        <v>0</v>
      </c>
      <c r="AM92" s="378">
        <f>IF(Table_NFI[[#This Row],[Winter Clothes Adult]]+Table_NFI[[#This Row],[Winter Clothes Children]]+Table_NFI[[#This Row],[Winter Items Other]]+Table_NFI[[#This Row],[Winter Blanket]]&gt;0,1,0)</f>
        <v>0</v>
      </c>
      <c r="AN92" s="418">
        <f>IF(NFI_Expiration=1,IF($A92&lt;VLOOKUP(V$5,NFI,5,0),1,0)*Table_NFI[[#This Row],[Jerry Can]],Table_NFI[Jerry Can])</f>
        <v>0</v>
      </c>
      <c r="AO92" s="579" t="str">
        <f>IFERROR(VLOOKUP(Table_NFI[[#This Row],[Camp Name]],CL,2,0),"")</f>
        <v>MMR001CMP129</v>
      </c>
      <c r="AP92" s="574">
        <f ca="1">IF(Table_NFI[[#This Row],[Pcode]]="","",IF(OFFSET(CampList[Opening Date],MATCH(Table_NFI[[#This Row],[Pcode]],CampList[CP_Pcode],0)-1,0,1,1)&gt;=NFI_Monitor_Date,1,0))</f>
        <v>0</v>
      </c>
      <c r="AQ92" s="579" t="str">
        <f>IFERROR(VLOOKUP(Table_NFI[[#This Row],[Camp Name]],CL,3,0),"")</f>
        <v>Open</v>
      </c>
      <c r="AR92" s="378" t="str">
        <f ca="1">IF(Table_NFI[[#This Row],[Pcode]]="","",OFFSET(CampList[Priority],MATCH(Table_NFI[[#This Row],[Pcode]],CampList[CP_Pcode],0)-1,0,1,1))</f>
        <v>P2</v>
      </c>
      <c r="AS92" s="377">
        <f>IFERROR(Table_NFI[[#This Row],[Kitchen Set]]/VLOOKUP(Table_NFI[[#This Row],[Camp Name]],CL,4,0),"")</f>
        <v>0</v>
      </c>
      <c r="AT92" s="572" t="s">
        <v>1095</v>
      </c>
      <c r="AU92" s="575"/>
    </row>
    <row r="93" spans="1:47" s="576" customFormat="1" x14ac:dyDescent="0.25">
      <c r="A93" s="381">
        <f t="shared" si="1"/>
        <v>14.466666666666667</v>
      </c>
      <c r="B93" s="571">
        <v>42088</v>
      </c>
      <c r="C93" s="572" t="s">
        <v>454</v>
      </c>
      <c r="D93" s="572" t="s">
        <v>1092</v>
      </c>
      <c r="E93" s="572" t="s">
        <v>380</v>
      </c>
      <c r="F93" s="572" t="s">
        <v>151</v>
      </c>
      <c r="G93" s="572" t="s">
        <v>1358</v>
      </c>
      <c r="H93" s="375"/>
      <c r="I93" s="378"/>
      <c r="J93" s="378"/>
      <c r="K93" s="378"/>
      <c r="L93" s="376"/>
      <c r="M93" s="376">
        <v>829</v>
      </c>
      <c r="N93" s="376"/>
      <c r="O93" s="376"/>
      <c r="P93" s="378"/>
      <c r="Q93" s="378"/>
      <c r="R93" s="378"/>
      <c r="S93" s="378"/>
      <c r="T93" s="378"/>
      <c r="U93" s="378"/>
      <c r="V93" s="533"/>
      <c r="W93" s="378"/>
      <c r="X93" s="378"/>
      <c r="Y93" s="378">
        <f>IF(NFI_Expiration=1,IF($A93&lt;VLOOKUP(H$5,NFI,5,0),1,0)*Table_NFI[[#This Row],[Hygiene Kit]],Table_NFI[Hygiene Kit])</f>
        <v>0</v>
      </c>
      <c r="Z93" s="378">
        <f>IF(NFI_Expiration=1,IF($A93&lt;VLOOKUP(I$5,NFI,5,0),1,0)*Table_NFI[[#This Row],[NFI Core Kit]],Table_NFI[NFI Core Kit])</f>
        <v>0</v>
      </c>
      <c r="AA93" s="378">
        <f>IF(NFI_Expiration=1,IF($A93&lt;VLOOKUP(J$5,NFI,5,0),1,0)*Table_NFI[[#This Row],[Sanitary Kit]],Table_NFI[Sanitary Kit])</f>
        <v>0</v>
      </c>
      <c r="AB93" s="378">
        <f>IF(NFI_Expiration=1,IF($A93&lt;VLOOKUP(K$5,NFI,5,0),1,0)*Table_NFI[[#This Row],[Mosquito net]],Table_NFI[Mosquito net])</f>
        <v>0</v>
      </c>
      <c r="AC93" s="378">
        <f>IF(NFI_Expiration=1,IF($A93&lt;VLOOKUP(L$5,NFI,5,0),1,0)*Table_NFI[[#This Row],[Tarpaulin]],Table_NFI[[#This Row],[Tarpaulin]])</f>
        <v>0</v>
      </c>
      <c r="AD93" s="378">
        <f>IF(NFI_Expiration=1,IF($A93&lt;VLOOKUP(M$5,NFI,5,0),1,0)*Table_NFI[[#This Row],[Blanket]],Table_NFI[[#This Row],[Blanket]])</f>
        <v>0</v>
      </c>
      <c r="AE93" s="378">
        <f>IF(NFI_Expiration=1,IF($A93&lt;VLOOKUP(N$5,NFI,5,0),1,0)*Table_NFI[[#This Row],[Kitchen Set]],Table_NFI[Kitchen Set])</f>
        <v>0</v>
      </c>
      <c r="AF93" s="378">
        <f>IF(NFI_Expiration=1,IF($A93&lt;VLOOKUP(O$5,NFI,5,0),1,0)*Table_NFI[[#This Row],[Clothes Kit]],Table_NFI[Clothes Kit])</f>
        <v>0</v>
      </c>
      <c r="AG93" s="378">
        <f>IF(NFI_Expiration=1,IF($A93&lt;VLOOKUP(P$5,NFI,5,0),1,0)*Table_NFI[[#This Row],[Plastic Bucket]],Table_NFI[Plastic Bucket])</f>
        <v>0</v>
      </c>
      <c r="AH93" s="378">
        <f>IF(NFI_Expiration=1,IF($A93&lt;VLOOKUP(Q$5,NFI,5,0),1,0)*Table_NFI[[#This Row],[Plastic Mat]],Table_NFI[Plastic Mat])*IF(Table_NFI[[#This Row],[Distribution Date]]&gt;"2014-04-01",1,2.5)</f>
        <v>0</v>
      </c>
      <c r="AI93" s="378">
        <f>IF(NFI_Expiration=1,IF($A93&lt;VLOOKUP(R$5,NFI,5,0),1,0)*Table_NFI[[#This Row],[Winter Clothes Adult]],Table_NFI[Winter Clothes Adult])</f>
        <v>0</v>
      </c>
      <c r="AJ93" s="378">
        <f>IF(NFI_Expiration=1,IF($A93&lt;VLOOKUP(S$5,NFI,5,0),1,0)*Table_NFI[[#This Row],[Winter Clothes Children]],Table_NFI[Winter Clothes Children])</f>
        <v>0</v>
      </c>
      <c r="AK93" s="378">
        <f>IF(NFI_Expiration=1,IF($A93&lt;VLOOKUP(T$5,NFI,5,0),1,0)*Table_NFI[[#This Row],[Winter Items Other]],Table_NFI[Winter Items Other])</f>
        <v>0</v>
      </c>
      <c r="AL93" s="378">
        <f>IF(NFI_Expiration=1,IF($A93&lt;VLOOKUP(M$5,NFI,5,0),1,0)*Table_NFI[[#This Row],[Winter Blanket]],Table_NFI[[#This Row],[Winter Blanket]])</f>
        <v>0</v>
      </c>
      <c r="AM93" s="378">
        <f>IF(Table_NFI[[#This Row],[Winter Clothes Adult]]+Table_NFI[[#This Row],[Winter Clothes Children]]+Table_NFI[[#This Row],[Winter Items Other]]+Table_NFI[[#This Row],[Winter Blanket]]&gt;0,1,0)</f>
        <v>0</v>
      </c>
      <c r="AN93" s="418">
        <f>IF(NFI_Expiration=1,IF($A93&lt;VLOOKUP(V$5,NFI,5,0),1,0)*Table_NFI[[#This Row],[Jerry Can]],Table_NFI[Jerry Can])</f>
        <v>0</v>
      </c>
      <c r="AO93" s="579" t="str">
        <f>IFERROR(VLOOKUP(Table_NFI[[#This Row],[Camp Name]],CL,2,0),"")</f>
        <v/>
      </c>
      <c r="AP93" s="574" t="str">
        <f ca="1">IF(Table_NFI[[#This Row],[Pcode]]="","",IF(OFFSET(CampList[Opening Date],MATCH(Table_NFI[[#This Row],[Pcode]],CampList[CP_Pcode],0)-1,0,1,1)&gt;=NFI_Monitor_Date,1,0))</f>
        <v/>
      </c>
      <c r="AQ93" s="579" t="str">
        <f>IFERROR(VLOOKUP(Table_NFI[[#This Row],[Camp Name]],CL,3,0),"")</f>
        <v/>
      </c>
      <c r="AR93" s="378" t="str">
        <f ca="1">IF(Table_NFI[[#This Row],[Pcode]]="","",OFFSET(CampList[Priority],MATCH(Table_NFI[[#This Row],[Pcode]],CampList[CP_Pcode],0)-1,0,1,1))</f>
        <v/>
      </c>
      <c r="AS93" s="377" t="str">
        <f>IFERROR(Table_NFI[[#This Row],[Kitchen Set]]/VLOOKUP(Table_NFI[[#This Row],[Camp Name]],CL,4,0),"")</f>
        <v/>
      </c>
      <c r="AT93" s="572" t="s">
        <v>1095</v>
      </c>
      <c r="AU93" s="575"/>
    </row>
    <row r="94" spans="1:47" s="130" customFormat="1" x14ac:dyDescent="0.25">
      <c r="A94" s="381">
        <f t="shared" si="1"/>
        <v>21.766666666666666</v>
      </c>
      <c r="B94" s="571">
        <v>41869</v>
      </c>
      <c r="C94" s="572" t="s">
        <v>454</v>
      </c>
      <c r="D94" s="572"/>
      <c r="E94" s="572" t="s">
        <v>380</v>
      </c>
      <c r="F94" s="374" t="s">
        <v>151</v>
      </c>
      <c r="G94" s="572" t="s">
        <v>1037</v>
      </c>
      <c r="H94" s="375"/>
      <c r="I94" s="375"/>
      <c r="J94" s="375"/>
      <c r="K94" s="375"/>
      <c r="L94" s="376">
        <v>70</v>
      </c>
      <c r="M94" s="376"/>
      <c r="N94" s="376"/>
      <c r="O94" s="376"/>
      <c r="P94" s="378"/>
      <c r="Q94" s="378"/>
      <c r="R94" s="378"/>
      <c r="S94" s="378"/>
      <c r="T94" s="378"/>
      <c r="U94" s="378"/>
      <c r="V94" s="533"/>
      <c r="W94" s="378"/>
      <c r="X94" s="378"/>
      <c r="Y94" s="378">
        <f>IF(NFI_Expiration=1,IF($A94&lt;VLOOKUP(H$5,NFI,5,0),1,0)*Table_NFI[[#This Row],[Hygiene Kit]],Table_NFI[Hygiene Kit])</f>
        <v>0</v>
      </c>
      <c r="Z94" s="378">
        <f>IF(NFI_Expiration=1,IF($A94&lt;VLOOKUP(I$5,NFI,5,0),1,0)*Table_NFI[[#This Row],[NFI Core Kit]],Table_NFI[NFI Core Kit])</f>
        <v>0</v>
      </c>
      <c r="AA94" s="378">
        <f>IF(NFI_Expiration=1,IF($A94&lt;VLOOKUP(J$5,NFI,5,0),1,0)*Table_NFI[[#This Row],[Sanitary Kit]],Table_NFI[Sanitary Kit])</f>
        <v>0</v>
      </c>
      <c r="AB94" s="378">
        <f>IF(NFI_Expiration=1,IF($A94&lt;VLOOKUP(K$5,NFI,5,0),1,0)*Table_NFI[[#This Row],[Mosquito net]],Table_NFI[Mosquito net])</f>
        <v>0</v>
      </c>
      <c r="AC94" s="378">
        <f>IF(NFI_Expiration=1,IF($A94&lt;VLOOKUP(L$5,NFI,5,0),1,0)*Table_NFI[[#This Row],[Tarpaulin]],Table_NFI[[#This Row],[Tarpaulin]])</f>
        <v>0</v>
      </c>
      <c r="AD94" s="378">
        <f>IF(NFI_Expiration=1,IF($A94&lt;VLOOKUP(M$5,NFI,5,0),1,0)*Table_NFI[[#This Row],[Blanket]],Table_NFI[[#This Row],[Blanket]])</f>
        <v>0</v>
      </c>
      <c r="AE94" s="378">
        <f>IF(NFI_Expiration=1,IF($A94&lt;VLOOKUP(N$5,NFI,5,0),1,0)*Table_NFI[[#This Row],[Kitchen Set]],Table_NFI[Kitchen Set])</f>
        <v>0</v>
      </c>
      <c r="AF94" s="378">
        <f>IF(NFI_Expiration=1,IF($A94&lt;VLOOKUP(O$5,NFI,5,0),1,0)*Table_NFI[[#This Row],[Clothes Kit]],Table_NFI[Clothes Kit])</f>
        <v>0</v>
      </c>
      <c r="AG94" s="378">
        <f>IF(NFI_Expiration=1,IF($A94&lt;VLOOKUP(P$5,NFI,5,0),1,0)*Table_NFI[[#This Row],[Plastic Bucket]],Table_NFI[Plastic Bucket])</f>
        <v>0</v>
      </c>
      <c r="AH94" s="378">
        <f>IF(NFI_Expiration=1,IF($A94&lt;VLOOKUP(Q$5,NFI,5,0),1,0)*Table_NFI[[#This Row],[Plastic Mat]],Table_NFI[Plastic Mat])*IF(Table_NFI[[#This Row],[Distribution Date]]&gt;"2014-04-01",1,2.5)</f>
        <v>0</v>
      </c>
      <c r="AI94" s="378">
        <f>IF(NFI_Expiration=1,IF($A94&lt;VLOOKUP(R$5,NFI,5,0),1,0)*Table_NFI[[#This Row],[Winter Clothes Adult]],Table_NFI[Winter Clothes Adult])</f>
        <v>0</v>
      </c>
      <c r="AJ94" s="378">
        <f>IF(NFI_Expiration=1,IF($A94&lt;VLOOKUP(S$5,NFI,5,0),1,0)*Table_NFI[[#This Row],[Winter Clothes Children]],Table_NFI[Winter Clothes Children])</f>
        <v>0</v>
      </c>
      <c r="AK94" s="378">
        <f>IF(NFI_Expiration=1,IF($A94&lt;VLOOKUP(T$5,NFI,5,0),1,0)*Table_NFI[[#This Row],[Winter Items Other]],Table_NFI[Winter Items Other])</f>
        <v>0</v>
      </c>
      <c r="AL94" s="378">
        <f>IF(NFI_Expiration=1,IF($A94&lt;VLOOKUP(M$5,NFI,5,0),1,0)*Table_NFI[[#This Row],[Winter Blanket]],Table_NFI[[#This Row],[Winter Blanket]])</f>
        <v>0</v>
      </c>
      <c r="AM94" s="378">
        <f>IF(Table_NFI[[#This Row],[Winter Clothes Adult]]+Table_NFI[[#This Row],[Winter Clothes Children]]+Table_NFI[[#This Row],[Winter Items Other]]+Table_NFI[[#This Row],[Winter Blanket]]&gt;0,1,0)</f>
        <v>0</v>
      </c>
      <c r="AN94" s="418">
        <f>IF(NFI_Expiration=1,IF($A94&lt;VLOOKUP(V$5,NFI,5,0),1,0)*Table_NFI[[#This Row],[Jerry Can]],Table_NFI[Jerry Can])</f>
        <v>0</v>
      </c>
      <c r="AO94" s="579" t="str">
        <f>IFERROR(VLOOKUP(Table_NFI[[#This Row],[Camp Name]],CL,2,0),"")</f>
        <v>MMR001CMP226</v>
      </c>
      <c r="AP94" s="574">
        <f ca="1">IF(Table_NFI[[#This Row],[Pcode]]="","",IF(OFFSET(CampList[Opening Date],MATCH(Table_NFI[[#This Row],[Pcode]],CampList[CP_Pcode],0)-1,0,1,1)&gt;=NFI_Monitor_Date,1,0))</f>
        <v>0</v>
      </c>
      <c r="AQ94" s="579" t="str">
        <f>IFERROR(VLOOKUP(Table_NFI[[#This Row],[Camp Name]],CL,3,0),"")</f>
        <v>Open</v>
      </c>
      <c r="AR94" s="378" t="str">
        <f ca="1">IF(Table_NFI[[#This Row],[Pcode]]="","",OFFSET(CampList[Priority],MATCH(Table_NFI[[#This Row],[Pcode]],CampList[CP_Pcode],0)-1,0,1,1))</f>
        <v>P2</v>
      </c>
      <c r="AS94" s="377">
        <f>IFERROR(Table_NFI[[#This Row],[Kitchen Set]]/VLOOKUP(Table_NFI[[#This Row],[Camp Name]],CL,4,0),"")</f>
        <v>0</v>
      </c>
      <c r="AT94" s="572"/>
      <c r="AU94" s="575"/>
    </row>
    <row r="95" spans="1:47" s="179" customFormat="1" x14ac:dyDescent="0.25">
      <c r="A95" s="381">
        <f t="shared" si="1"/>
        <v>25.733333333333334</v>
      </c>
      <c r="B95" s="571">
        <v>41750</v>
      </c>
      <c r="C95" s="572" t="s">
        <v>454</v>
      </c>
      <c r="D95" s="572"/>
      <c r="E95" s="572" t="s">
        <v>380</v>
      </c>
      <c r="F95" s="374" t="s">
        <v>151</v>
      </c>
      <c r="G95" s="572" t="s">
        <v>1037</v>
      </c>
      <c r="H95" s="375"/>
      <c r="I95" s="375"/>
      <c r="J95" s="375"/>
      <c r="K95" s="375">
        <v>800</v>
      </c>
      <c r="L95" s="376">
        <v>400</v>
      </c>
      <c r="M95" s="376"/>
      <c r="N95" s="376">
        <v>100</v>
      </c>
      <c r="O95" s="376"/>
      <c r="P95" s="378">
        <v>400</v>
      </c>
      <c r="Q95" s="378">
        <v>2000</v>
      </c>
      <c r="R95" s="378"/>
      <c r="S95" s="378"/>
      <c r="T95" s="378"/>
      <c r="U95" s="378"/>
      <c r="V95" s="533"/>
      <c r="W95" s="418"/>
      <c r="X95" s="418"/>
      <c r="Y95" s="378">
        <f>IF(NFI_Expiration=1,IF($A95&lt;VLOOKUP(H$5,NFI,5,0),1,0)*Table_NFI[[#This Row],[Hygiene Kit]],Table_NFI[Hygiene Kit])</f>
        <v>0</v>
      </c>
      <c r="Z95" s="378">
        <f>IF(NFI_Expiration=1,IF($A95&lt;VLOOKUP(I$5,NFI,5,0),1,0)*Table_NFI[[#This Row],[NFI Core Kit]],Table_NFI[NFI Core Kit])</f>
        <v>0</v>
      </c>
      <c r="AA95" s="378">
        <f>IF(NFI_Expiration=1,IF($A95&lt;VLOOKUP(J$5,NFI,5,0),1,0)*Table_NFI[[#This Row],[Sanitary Kit]],Table_NFI[Sanitary Kit])</f>
        <v>0</v>
      </c>
      <c r="AB95" s="378">
        <f>IF(NFI_Expiration=1,IF($A95&lt;VLOOKUP(K$5,NFI,5,0),1,0)*Table_NFI[[#This Row],[Mosquito net]],Table_NFI[Mosquito net])</f>
        <v>0</v>
      </c>
      <c r="AC95" s="378">
        <f>IF(NFI_Expiration=1,IF($A95&lt;VLOOKUP(L$5,NFI,5,0),1,0)*Table_NFI[[#This Row],[Tarpaulin]],Table_NFI[[#This Row],[Tarpaulin]])</f>
        <v>0</v>
      </c>
      <c r="AD95" s="378">
        <f>IF(NFI_Expiration=1,IF($A95&lt;VLOOKUP(M$5,NFI,5,0),1,0)*Table_NFI[[#This Row],[Blanket]],Table_NFI[[#This Row],[Blanket]])</f>
        <v>0</v>
      </c>
      <c r="AE95" s="378">
        <f>IF(NFI_Expiration=1,IF($A95&lt;VLOOKUP(N$5,NFI,5,0),1,0)*Table_NFI[[#This Row],[Kitchen Set]],Table_NFI[Kitchen Set])</f>
        <v>0</v>
      </c>
      <c r="AF95" s="378">
        <f>IF(NFI_Expiration=1,IF($A95&lt;VLOOKUP(O$5,NFI,5,0),1,0)*Table_NFI[[#This Row],[Clothes Kit]],Table_NFI[Clothes Kit])</f>
        <v>0</v>
      </c>
      <c r="AG95" s="378">
        <f>IF(NFI_Expiration=1,IF($A95&lt;VLOOKUP(P$5,NFI,5,0),1,0)*Table_NFI[[#This Row],[Plastic Bucket]],Table_NFI[Plastic Bucket])</f>
        <v>0</v>
      </c>
      <c r="AH95" s="378">
        <f>IF(NFI_Expiration=1,IF($A95&lt;VLOOKUP(Q$5,NFI,5,0),1,0)*Table_NFI[[#This Row],[Plastic Mat]],Table_NFI[Plastic Mat])*IF(Table_NFI[[#This Row],[Distribution Date]]&gt;"2014-04-01",1,2.5)</f>
        <v>0</v>
      </c>
      <c r="AI95" s="378">
        <f>IF(NFI_Expiration=1,IF($A95&lt;VLOOKUP(R$5,NFI,5,0),1,0)*Table_NFI[[#This Row],[Winter Clothes Adult]],Table_NFI[Winter Clothes Adult])</f>
        <v>0</v>
      </c>
      <c r="AJ95" s="378">
        <f>IF(NFI_Expiration=1,IF($A95&lt;VLOOKUP(S$5,NFI,5,0),1,0)*Table_NFI[[#This Row],[Winter Clothes Children]],Table_NFI[Winter Clothes Children])</f>
        <v>0</v>
      </c>
      <c r="AK95" s="378">
        <f>IF(NFI_Expiration=1,IF($A95&lt;VLOOKUP(T$5,NFI,5,0),1,0)*Table_NFI[[#This Row],[Winter Items Other]],Table_NFI[Winter Items Other])</f>
        <v>0</v>
      </c>
      <c r="AL95" s="378">
        <f>IF(NFI_Expiration=1,IF($A95&lt;VLOOKUP(M$5,NFI,5,0),1,0)*Table_NFI[[#This Row],[Winter Blanket]],Table_NFI[[#This Row],[Winter Blanket]])</f>
        <v>0</v>
      </c>
      <c r="AM95" s="378">
        <f>IF(Table_NFI[[#This Row],[Winter Clothes Adult]]+Table_NFI[[#This Row],[Winter Clothes Children]]+Table_NFI[[#This Row],[Winter Items Other]]+Table_NFI[[#This Row],[Winter Blanket]]&gt;0,1,0)</f>
        <v>0</v>
      </c>
      <c r="AN95" s="418">
        <f>IF(NFI_Expiration=1,IF($A95&lt;VLOOKUP(V$5,NFI,5,0),1,0)*Table_NFI[[#This Row],[Jerry Can]],Table_NFI[Jerry Can])</f>
        <v>0</v>
      </c>
      <c r="AO95" s="579" t="str">
        <f>IFERROR(VLOOKUP(Table_NFI[[#This Row],[Camp Name]],CL,2,0),"")</f>
        <v>MMR001CMP226</v>
      </c>
      <c r="AP95" s="574">
        <f ca="1">IF(Table_NFI[[#This Row],[Pcode]]="","",IF(OFFSET(CampList[Opening Date],MATCH(Table_NFI[[#This Row],[Pcode]],CampList[CP_Pcode],0)-1,0,1,1)&gt;=NFI_Monitor_Date,1,0))</f>
        <v>0</v>
      </c>
      <c r="AQ95" s="579" t="str">
        <f>IFERROR(VLOOKUP(Table_NFI[[#This Row],[Camp Name]],CL,3,0),"")</f>
        <v>Open</v>
      </c>
      <c r="AR95" s="378" t="str">
        <f ca="1">IF(Table_NFI[[#This Row],[Pcode]]="","",OFFSET(CampList[Priority],MATCH(Table_NFI[[#This Row],[Pcode]],CampList[CP_Pcode],0)-1,0,1,1))</f>
        <v>P2</v>
      </c>
      <c r="AS95" s="377">
        <f>IFERROR(Table_NFI[[#This Row],[Kitchen Set]]/VLOOKUP(Table_NFI[[#This Row],[Camp Name]],CL,4,0),"")</f>
        <v>0.45662100456621002</v>
      </c>
      <c r="AT95" s="572"/>
      <c r="AU95" s="575"/>
    </row>
    <row r="96" spans="1:47" s="130" customFormat="1" x14ac:dyDescent="0.25">
      <c r="A96" s="381">
        <f t="shared" si="1"/>
        <v>14.366666666666667</v>
      </c>
      <c r="B96" s="571">
        <v>42091</v>
      </c>
      <c r="C96" s="572" t="s">
        <v>454</v>
      </c>
      <c r="D96" s="572" t="s">
        <v>1092</v>
      </c>
      <c r="E96" s="572" t="s">
        <v>380</v>
      </c>
      <c r="F96" s="572" t="s">
        <v>151</v>
      </c>
      <c r="G96" s="572" t="s">
        <v>1359</v>
      </c>
      <c r="H96" s="375"/>
      <c r="I96" s="378"/>
      <c r="J96" s="378"/>
      <c r="K96" s="378"/>
      <c r="L96" s="376"/>
      <c r="M96" s="376">
        <v>704</v>
      </c>
      <c r="N96" s="376"/>
      <c r="O96" s="376"/>
      <c r="P96" s="378">
        <v>9</v>
      </c>
      <c r="Q96" s="378"/>
      <c r="R96" s="378"/>
      <c r="S96" s="378"/>
      <c r="T96" s="378"/>
      <c r="U96" s="378"/>
      <c r="V96" s="533"/>
      <c r="W96" s="378"/>
      <c r="X96" s="378"/>
      <c r="Y96" s="378">
        <f>IF(NFI_Expiration=1,IF($A96&lt;VLOOKUP(H$5,NFI,5,0),1,0)*Table_NFI[[#This Row],[Hygiene Kit]],Table_NFI[Hygiene Kit])</f>
        <v>0</v>
      </c>
      <c r="Z96" s="378">
        <f>IF(NFI_Expiration=1,IF($A96&lt;VLOOKUP(I$5,NFI,5,0),1,0)*Table_NFI[[#This Row],[NFI Core Kit]],Table_NFI[NFI Core Kit])</f>
        <v>0</v>
      </c>
      <c r="AA96" s="378">
        <f>IF(NFI_Expiration=1,IF($A96&lt;VLOOKUP(J$5,NFI,5,0),1,0)*Table_NFI[[#This Row],[Sanitary Kit]],Table_NFI[Sanitary Kit])</f>
        <v>0</v>
      </c>
      <c r="AB96" s="378">
        <f>IF(NFI_Expiration=1,IF($A96&lt;VLOOKUP(K$5,NFI,5,0),1,0)*Table_NFI[[#This Row],[Mosquito net]],Table_NFI[Mosquito net])</f>
        <v>0</v>
      </c>
      <c r="AC96" s="378">
        <f>IF(NFI_Expiration=1,IF($A96&lt;VLOOKUP(L$5,NFI,5,0),1,0)*Table_NFI[[#This Row],[Tarpaulin]],Table_NFI[[#This Row],[Tarpaulin]])</f>
        <v>0</v>
      </c>
      <c r="AD96" s="378">
        <f>IF(NFI_Expiration=1,IF($A96&lt;VLOOKUP(M$5,NFI,5,0),1,0)*Table_NFI[[#This Row],[Blanket]],Table_NFI[[#This Row],[Blanket]])</f>
        <v>0</v>
      </c>
      <c r="AE96" s="378">
        <f>IF(NFI_Expiration=1,IF($A96&lt;VLOOKUP(N$5,NFI,5,0),1,0)*Table_NFI[[#This Row],[Kitchen Set]],Table_NFI[Kitchen Set])</f>
        <v>0</v>
      </c>
      <c r="AF96" s="378">
        <f>IF(NFI_Expiration=1,IF($A96&lt;VLOOKUP(O$5,NFI,5,0),1,0)*Table_NFI[[#This Row],[Clothes Kit]],Table_NFI[Clothes Kit])</f>
        <v>0</v>
      </c>
      <c r="AG96" s="378">
        <f>IF(NFI_Expiration=1,IF($A96&lt;VLOOKUP(P$5,NFI,5,0),1,0)*Table_NFI[[#This Row],[Plastic Bucket]],Table_NFI[Plastic Bucket])</f>
        <v>0</v>
      </c>
      <c r="AH96" s="378">
        <f>IF(NFI_Expiration=1,IF($A96&lt;VLOOKUP(Q$5,NFI,5,0),1,0)*Table_NFI[[#This Row],[Plastic Mat]],Table_NFI[Plastic Mat])*IF(Table_NFI[[#This Row],[Distribution Date]]&gt;"2014-04-01",1,2.5)</f>
        <v>0</v>
      </c>
      <c r="AI96" s="378">
        <f>IF(NFI_Expiration=1,IF($A96&lt;VLOOKUP(R$5,NFI,5,0),1,0)*Table_NFI[[#This Row],[Winter Clothes Adult]],Table_NFI[Winter Clothes Adult])</f>
        <v>0</v>
      </c>
      <c r="AJ96" s="378">
        <f>IF(NFI_Expiration=1,IF($A96&lt;VLOOKUP(S$5,NFI,5,0),1,0)*Table_NFI[[#This Row],[Winter Clothes Children]],Table_NFI[Winter Clothes Children])</f>
        <v>0</v>
      </c>
      <c r="AK96" s="378">
        <f>IF(NFI_Expiration=1,IF($A96&lt;VLOOKUP(T$5,NFI,5,0),1,0)*Table_NFI[[#This Row],[Winter Items Other]],Table_NFI[Winter Items Other])</f>
        <v>0</v>
      </c>
      <c r="AL96" s="378">
        <f>IF(NFI_Expiration=1,IF($A96&lt;VLOOKUP(M$5,NFI,5,0),1,0)*Table_NFI[[#This Row],[Winter Blanket]],Table_NFI[[#This Row],[Winter Blanket]])</f>
        <v>0</v>
      </c>
      <c r="AM96" s="378">
        <f>IF(Table_NFI[[#This Row],[Winter Clothes Adult]]+Table_NFI[[#This Row],[Winter Clothes Children]]+Table_NFI[[#This Row],[Winter Items Other]]+Table_NFI[[#This Row],[Winter Blanket]]&gt;0,1,0)</f>
        <v>0</v>
      </c>
      <c r="AN96" s="418">
        <f>IF(NFI_Expiration=1,IF($A96&lt;VLOOKUP(V$5,NFI,5,0),1,0)*Table_NFI[[#This Row],[Jerry Can]],Table_NFI[Jerry Can])</f>
        <v>0</v>
      </c>
      <c r="AO96" s="579" t="str">
        <f>IFERROR(VLOOKUP(Table_NFI[[#This Row],[Camp Name]],CL,2,0),"")</f>
        <v/>
      </c>
      <c r="AP96" s="574" t="str">
        <f ca="1">IF(Table_NFI[[#This Row],[Pcode]]="","",IF(OFFSET(CampList[Opening Date],MATCH(Table_NFI[[#This Row],[Pcode]],CampList[CP_Pcode],0)-1,0,1,1)&gt;=NFI_Monitor_Date,1,0))</f>
        <v/>
      </c>
      <c r="AQ96" s="579" t="str">
        <f>IFERROR(VLOOKUP(Table_NFI[[#This Row],[Camp Name]],CL,3,0),"")</f>
        <v/>
      </c>
      <c r="AR96" s="378" t="str">
        <f ca="1">IF(Table_NFI[[#This Row],[Pcode]]="","",OFFSET(CampList[Priority],MATCH(Table_NFI[[#This Row],[Pcode]],CampList[CP_Pcode],0)-1,0,1,1))</f>
        <v/>
      </c>
      <c r="AS96" s="377" t="str">
        <f>IFERROR(Table_NFI[[#This Row],[Kitchen Set]]/VLOOKUP(Table_NFI[[#This Row],[Camp Name]],CL,4,0),"")</f>
        <v/>
      </c>
      <c r="AT96" s="572" t="s">
        <v>1095</v>
      </c>
      <c r="AU96" s="575"/>
    </row>
    <row r="97" spans="1:47" s="576" customFormat="1" x14ac:dyDescent="0.25">
      <c r="A97" s="381">
        <f t="shared" si="1"/>
        <v>19.3</v>
      </c>
      <c r="B97" s="571">
        <v>41943</v>
      </c>
      <c r="C97" s="572" t="s">
        <v>454</v>
      </c>
      <c r="D97" s="572"/>
      <c r="E97" s="572" t="s">
        <v>380</v>
      </c>
      <c r="F97" s="572" t="s">
        <v>529</v>
      </c>
      <c r="G97" s="572" t="s">
        <v>72</v>
      </c>
      <c r="H97" s="375"/>
      <c r="I97" s="375"/>
      <c r="J97" s="375">
        <v>5</v>
      </c>
      <c r="K97" s="375">
        <v>10</v>
      </c>
      <c r="L97" s="376">
        <v>5</v>
      </c>
      <c r="M97" s="376">
        <v>10</v>
      </c>
      <c r="N97" s="376">
        <v>5</v>
      </c>
      <c r="O97" s="376"/>
      <c r="P97" s="378">
        <v>5</v>
      </c>
      <c r="Q97" s="378">
        <v>25</v>
      </c>
      <c r="R97" s="378"/>
      <c r="S97" s="378"/>
      <c r="T97" s="378"/>
      <c r="U97" s="378"/>
      <c r="V97" s="533"/>
      <c r="W97" s="378"/>
      <c r="X97" s="378"/>
      <c r="Y97" s="378">
        <f>IF(NFI_Expiration=1,IF($A97&lt;VLOOKUP(H$5,NFI,5,0),1,0)*Table_NFI[[#This Row],[Hygiene Kit]],Table_NFI[Hygiene Kit])</f>
        <v>0</v>
      </c>
      <c r="Z97" s="378">
        <f>IF(NFI_Expiration=1,IF($A97&lt;VLOOKUP(I$5,NFI,5,0),1,0)*Table_NFI[[#This Row],[NFI Core Kit]],Table_NFI[NFI Core Kit])</f>
        <v>0</v>
      </c>
      <c r="AA97" s="378">
        <f>IF(NFI_Expiration=1,IF($A97&lt;VLOOKUP(J$5,NFI,5,0),1,0)*Table_NFI[[#This Row],[Sanitary Kit]],Table_NFI[Sanitary Kit])</f>
        <v>0</v>
      </c>
      <c r="AB97" s="378">
        <f>IF(NFI_Expiration=1,IF($A97&lt;VLOOKUP(K$5,NFI,5,0),1,0)*Table_NFI[[#This Row],[Mosquito net]],Table_NFI[Mosquito net])</f>
        <v>0</v>
      </c>
      <c r="AC97" s="378">
        <f>IF(NFI_Expiration=1,IF($A97&lt;VLOOKUP(L$5,NFI,5,0),1,0)*Table_NFI[[#This Row],[Tarpaulin]],Table_NFI[[#This Row],[Tarpaulin]])</f>
        <v>0</v>
      </c>
      <c r="AD97" s="378">
        <f>IF(NFI_Expiration=1,IF($A97&lt;VLOOKUP(M$5,NFI,5,0),1,0)*Table_NFI[[#This Row],[Blanket]],Table_NFI[[#This Row],[Blanket]])</f>
        <v>0</v>
      </c>
      <c r="AE97" s="378">
        <f>IF(NFI_Expiration=1,IF($A97&lt;VLOOKUP(N$5,NFI,5,0),1,0)*Table_NFI[[#This Row],[Kitchen Set]],Table_NFI[Kitchen Set])</f>
        <v>0</v>
      </c>
      <c r="AF97" s="378">
        <f>IF(NFI_Expiration=1,IF($A97&lt;VLOOKUP(O$5,NFI,5,0),1,0)*Table_NFI[[#This Row],[Clothes Kit]],Table_NFI[Clothes Kit])</f>
        <v>0</v>
      </c>
      <c r="AG97" s="378">
        <f>IF(NFI_Expiration=1,IF($A97&lt;VLOOKUP(P$5,NFI,5,0),1,0)*Table_NFI[[#This Row],[Plastic Bucket]],Table_NFI[Plastic Bucket])</f>
        <v>0</v>
      </c>
      <c r="AH97" s="378">
        <f>IF(NFI_Expiration=1,IF($A97&lt;VLOOKUP(Q$5,NFI,5,0),1,0)*Table_NFI[[#This Row],[Plastic Mat]],Table_NFI[Plastic Mat])*IF(Table_NFI[[#This Row],[Distribution Date]]&gt;"2014-04-01",1,2.5)</f>
        <v>0</v>
      </c>
      <c r="AI97" s="378">
        <f>IF(NFI_Expiration=1,IF($A97&lt;VLOOKUP(R$5,NFI,5,0),1,0)*Table_NFI[[#This Row],[Winter Clothes Adult]],Table_NFI[Winter Clothes Adult])</f>
        <v>0</v>
      </c>
      <c r="AJ97" s="378">
        <f>IF(NFI_Expiration=1,IF($A97&lt;VLOOKUP(S$5,NFI,5,0),1,0)*Table_NFI[[#This Row],[Winter Clothes Children]],Table_NFI[Winter Clothes Children])</f>
        <v>0</v>
      </c>
      <c r="AK97" s="378">
        <f>IF(NFI_Expiration=1,IF($A97&lt;VLOOKUP(T$5,NFI,5,0),1,0)*Table_NFI[[#This Row],[Winter Items Other]],Table_NFI[Winter Items Other])</f>
        <v>0</v>
      </c>
      <c r="AL97" s="378">
        <f>IF(NFI_Expiration=1,IF($A97&lt;VLOOKUP(M$5,NFI,5,0),1,0)*Table_NFI[[#This Row],[Winter Blanket]],Table_NFI[[#This Row],[Winter Blanket]])</f>
        <v>0</v>
      </c>
      <c r="AM97" s="378">
        <f>IF(Table_NFI[[#This Row],[Winter Clothes Adult]]+Table_NFI[[#This Row],[Winter Clothes Children]]+Table_NFI[[#This Row],[Winter Items Other]]+Table_NFI[[#This Row],[Winter Blanket]]&gt;0,1,0)</f>
        <v>0</v>
      </c>
      <c r="AN97" s="418">
        <f>IF(NFI_Expiration=1,IF($A97&lt;VLOOKUP(V$5,NFI,5,0),1,0)*Table_NFI[[#This Row],[Jerry Can]],Table_NFI[Jerry Can])</f>
        <v>0</v>
      </c>
      <c r="AO97" s="579" t="str">
        <f>IFERROR(VLOOKUP(Table_NFI[[#This Row],[Camp Name]],CL,2,0),"")</f>
        <v>MMR001CMP109</v>
      </c>
      <c r="AP97" s="574">
        <f ca="1">IF(Table_NFI[[#This Row],[Pcode]]="","",IF(OFFSET(CampList[Opening Date],MATCH(Table_NFI[[#This Row],[Pcode]],CampList[CP_Pcode],0)-1,0,1,1)&gt;=NFI_Monitor_Date,1,0))</f>
        <v>0</v>
      </c>
      <c r="AQ97" s="579" t="str">
        <f>IFERROR(VLOOKUP(Table_NFI[[#This Row],[Camp Name]],CL,3,0),"")</f>
        <v>Open</v>
      </c>
      <c r="AR97" s="378" t="str">
        <f ca="1">IF(Table_NFI[[#This Row],[Pcode]]="","",OFFSET(CampList[Priority],MATCH(Table_NFI[[#This Row],[Pcode]],CampList[CP_Pcode],0)-1,0,1,1))</f>
        <v>P4</v>
      </c>
      <c r="AS97" s="377">
        <f>IFERROR(Table_NFI[[#This Row],[Kitchen Set]]/VLOOKUP(Table_NFI[[#This Row],[Camp Name]],CL,4,0),"")</f>
        <v>0.83333333333333337</v>
      </c>
      <c r="AT97" s="572"/>
      <c r="AU97" s="575"/>
    </row>
    <row r="98" spans="1:47" s="576" customFormat="1" x14ac:dyDescent="0.25">
      <c r="A98" s="381">
        <f t="shared" si="1"/>
        <v>19.5</v>
      </c>
      <c r="B98" s="571">
        <v>41937</v>
      </c>
      <c r="C98" s="572" t="s">
        <v>1097</v>
      </c>
      <c r="D98" s="572" t="s">
        <v>903</v>
      </c>
      <c r="E98" s="572" t="s">
        <v>380</v>
      </c>
      <c r="F98" s="572" t="s">
        <v>529</v>
      </c>
      <c r="G98" s="572" t="s">
        <v>72</v>
      </c>
      <c r="H98" s="375"/>
      <c r="I98" s="375"/>
      <c r="J98" s="375"/>
      <c r="K98" s="375"/>
      <c r="L98" s="376"/>
      <c r="M98" s="376"/>
      <c r="N98" s="376"/>
      <c r="O98" s="376"/>
      <c r="P98" s="378"/>
      <c r="Q98" s="378"/>
      <c r="R98" s="378">
        <v>15</v>
      </c>
      <c r="S98" s="378">
        <v>10</v>
      </c>
      <c r="T98" s="378"/>
      <c r="U98" s="378"/>
      <c r="V98" s="533"/>
      <c r="W98" s="378"/>
      <c r="X98" s="378"/>
      <c r="Y98" s="378">
        <f>IF(NFI_Expiration=1,IF($A98&lt;VLOOKUP(H$5,NFI,5,0),1,0)*Table_NFI[[#This Row],[Hygiene Kit]],Table_NFI[Hygiene Kit])</f>
        <v>0</v>
      </c>
      <c r="Z98" s="378">
        <f>IF(NFI_Expiration=1,IF($A98&lt;VLOOKUP(I$5,NFI,5,0),1,0)*Table_NFI[[#This Row],[NFI Core Kit]],Table_NFI[NFI Core Kit])</f>
        <v>0</v>
      </c>
      <c r="AA98" s="378">
        <f>IF(NFI_Expiration=1,IF($A98&lt;VLOOKUP(J$5,NFI,5,0),1,0)*Table_NFI[[#This Row],[Sanitary Kit]],Table_NFI[Sanitary Kit])</f>
        <v>0</v>
      </c>
      <c r="AB98" s="378">
        <f>IF(NFI_Expiration=1,IF($A98&lt;VLOOKUP(K$5,NFI,5,0),1,0)*Table_NFI[[#This Row],[Mosquito net]],Table_NFI[Mosquito net])</f>
        <v>0</v>
      </c>
      <c r="AC98" s="378">
        <f>IF(NFI_Expiration=1,IF($A98&lt;VLOOKUP(L$5,NFI,5,0),1,0)*Table_NFI[[#This Row],[Tarpaulin]],Table_NFI[[#This Row],[Tarpaulin]])</f>
        <v>0</v>
      </c>
      <c r="AD98" s="378">
        <f>IF(NFI_Expiration=1,IF($A98&lt;VLOOKUP(M$5,NFI,5,0),1,0)*Table_NFI[[#This Row],[Blanket]],Table_NFI[[#This Row],[Blanket]])</f>
        <v>0</v>
      </c>
      <c r="AE98" s="378">
        <f>IF(NFI_Expiration=1,IF($A98&lt;VLOOKUP(N$5,NFI,5,0),1,0)*Table_NFI[[#This Row],[Kitchen Set]],Table_NFI[Kitchen Set])</f>
        <v>0</v>
      </c>
      <c r="AF98" s="378">
        <f>IF(NFI_Expiration=1,IF($A98&lt;VLOOKUP(O$5,NFI,5,0),1,0)*Table_NFI[[#This Row],[Clothes Kit]],Table_NFI[Clothes Kit])</f>
        <v>0</v>
      </c>
      <c r="AG98" s="378">
        <f>IF(NFI_Expiration=1,IF($A98&lt;VLOOKUP(P$5,NFI,5,0),1,0)*Table_NFI[[#This Row],[Plastic Bucket]],Table_NFI[Plastic Bucket])</f>
        <v>0</v>
      </c>
      <c r="AH98" s="378">
        <f>IF(NFI_Expiration=1,IF($A98&lt;VLOOKUP(Q$5,NFI,5,0),1,0)*Table_NFI[[#This Row],[Plastic Mat]],Table_NFI[Plastic Mat])*IF(Table_NFI[[#This Row],[Distribution Date]]&gt;"2014-04-01",1,2.5)</f>
        <v>0</v>
      </c>
      <c r="AI98" s="378">
        <f>IF(NFI_Expiration=1,IF($A98&lt;VLOOKUP(R$5,NFI,5,0),1,0)*Table_NFI[[#This Row],[Winter Clothes Adult]],Table_NFI[Winter Clothes Adult])</f>
        <v>0</v>
      </c>
      <c r="AJ98" s="378">
        <f>IF(NFI_Expiration=1,IF($A98&lt;VLOOKUP(S$5,NFI,5,0),1,0)*Table_NFI[[#This Row],[Winter Clothes Children]],Table_NFI[Winter Clothes Children])</f>
        <v>0</v>
      </c>
      <c r="AK98" s="378">
        <f>IF(NFI_Expiration=1,IF($A98&lt;VLOOKUP(T$5,NFI,5,0),1,0)*Table_NFI[[#This Row],[Winter Items Other]],Table_NFI[Winter Items Other])</f>
        <v>0</v>
      </c>
      <c r="AL98" s="378">
        <f>IF(NFI_Expiration=1,IF($A98&lt;VLOOKUP(M$5,NFI,5,0),1,0)*Table_NFI[[#This Row],[Winter Blanket]],Table_NFI[[#This Row],[Winter Blanket]])</f>
        <v>0</v>
      </c>
      <c r="AM98" s="378">
        <f>IF(Table_NFI[[#This Row],[Winter Clothes Adult]]+Table_NFI[[#This Row],[Winter Clothes Children]]+Table_NFI[[#This Row],[Winter Items Other]]+Table_NFI[[#This Row],[Winter Blanket]]&gt;0,1,0)</f>
        <v>1</v>
      </c>
      <c r="AN98" s="418">
        <f>IF(NFI_Expiration=1,IF($A98&lt;VLOOKUP(V$5,NFI,5,0),1,0)*Table_NFI[[#This Row],[Jerry Can]],Table_NFI[Jerry Can])</f>
        <v>0</v>
      </c>
      <c r="AO98" s="579" t="str">
        <f>IFERROR(VLOOKUP(Table_NFI[[#This Row],[Camp Name]],CL,2,0),"")</f>
        <v>MMR001CMP109</v>
      </c>
      <c r="AP98" s="574">
        <f ca="1">IF(Table_NFI[[#This Row],[Pcode]]="","",IF(OFFSET(CampList[Opening Date],MATCH(Table_NFI[[#This Row],[Pcode]],CampList[CP_Pcode],0)-1,0,1,1)&gt;=NFI_Monitor_Date,1,0))</f>
        <v>0</v>
      </c>
      <c r="AQ98" s="579" t="str">
        <f>IFERROR(VLOOKUP(Table_NFI[[#This Row],[Camp Name]],CL,3,0),"")</f>
        <v>Open</v>
      </c>
      <c r="AR98" s="378" t="str">
        <f ca="1">IF(Table_NFI[[#This Row],[Pcode]]="","",OFFSET(CampList[Priority],MATCH(Table_NFI[[#This Row],[Pcode]],CampList[CP_Pcode],0)-1,0,1,1))</f>
        <v>P4</v>
      </c>
      <c r="AS98" s="377">
        <f>IFERROR(Table_NFI[[#This Row],[Kitchen Set]]/VLOOKUP(Table_NFI[[#This Row],[Camp Name]],CL,4,0),"")</f>
        <v>0</v>
      </c>
      <c r="AT98" s="572"/>
      <c r="AU98" s="575"/>
    </row>
    <row r="99" spans="1:47" s="576" customFormat="1" ht="14.45" customHeight="1" x14ac:dyDescent="0.25">
      <c r="A99" s="381">
        <f t="shared" si="1"/>
        <v>20.3</v>
      </c>
      <c r="B99" s="571">
        <v>41913</v>
      </c>
      <c r="C99" s="572" t="s">
        <v>454</v>
      </c>
      <c r="D99" s="577" t="s">
        <v>507</v>
      </c>
      <c r="E99" s="577" t="s">
        <v>380</v>
      </c>
      <c r="F99" s="577" t="s">
        <v>529</v>
      </c>
      <c r="G99" s="577" t="s">
        <v>72</v>
      </c>
      <c r="H99" s="376"/>
      <c r="I99" s="376"/>
      <c r="J99" s="376"/>
      <c r="K99" s="376">
        <v>8</v>
      </c>
      <c r="L99" s="376"/>
      <c r="M99" s="376"/>
      <c r="N99" s="376"/>
      <c r="O99" s="376"/>
      <c r="P99" s="378"/>
      <c r="Q99" s="378"/>
      <c r="R99" s="378"/>
      <c r="S99" s="378"/>
      <c r="T99" s="378"/>
      <c r="U99" s="378"/>
      <c r="V99" s="533"/>
      <c r="W99" s="378"/>
      <c r="X99" s="378"/>
      <c r="Y99" s="378">
        <f>IF(NFI_Expiration=1,IF($A99&lt;VLOOKUP(H$5,NFI,5,0),1,0)*Table_NFI[[#This Row],[Hygiene Kit]],Table_NFI[Hygiene Kit])</f>
        <v>0</v>
      </c>
      <c r="Z99" s="378">
        <f>IF(NFI_Expiration=1,IF($A99&lt;VLOOKUP(I$5,NFI,5,0),1,0)*Table_NFI[[#This Row],[NFI Core Kit]],Table_NFI[NFI Core Kit])</f>
        <v>0</v>
      </c>
      <c r="AA99" s="378">
        <f>IF(NFI_Expiration=1,IF($A99&lt;VLOOKUP(J$5,NFI,5,0),1,0)*Table_NFI[[#This Row],[Sanitary Kit]],Table_NFI[Sanitary Kit])</f>
        <v>0</v>
      </c>
      <c r="AB99" s="378">
        <f>IF(NFI_Expiration=1,IF($A99&lt;VLOOKUP(K$5,NFI,5,0),1,0)*Table_NFI[[#This Row],[Mosquito net]],Table_NFI[Mosquito net])</f>
        <v>0</v>
      </c>
      <c r="AC99" s="378">
        <f>IF(NFI_Expiration=1,IF($A99&lt;VLOOKUP(L$5,NFI,5,0),1,0)*Table_NFI[[#This Row],[Tarpaulin]],Table_NFI[[#This Row],[Tarpaulin]])</f>
        <v>0</v>
      </c>
      <c r="AD99" s="378">
        <f>IF(NFI_Expiration=1,IF($A99&lt;VLOOKUP(M$5,NFI,5,0),1,0)*Table_NFI[[#This Row],[Blanket]],Table_NFI[[#This Row],[Blanket]])</f>
        <v>0</v>
      </c>
      <c r="AE99" s="378">
        <f>IF(NFI_Expiration=1,IF($A99&lt;VLOOKUP(N$5,NFI,5,0),1,0)*Table_NFI[[#This Row],[Kitchen Set]],Table_NFI[Kitchen Set])</f>
        <v>0</v>
      </c>
      <c r="AF99" s="378">
        <f>IF(NFI_Expiration=1,IF($A99&lt;VLOOKUP(O$5,NFI,5,0),1,0)*Table_NFI[[#This Row],[Clothes Kit]],Table_NFI[Clothes Kit])</f>
        <v>0</v>
      </c>
      <c r="AG99" s="378">
        <f>IF(NFI_Expiration=1,IF($A99&lt;VLOOKUP(P$5,NFI,5,0),1,0)*Table_NFI[[#This Row],[Plastic Bucket]],Table_NFI[Plastic Bucket])</f>
        <v>0</v>
      </c>
      <c r="AH99" s="378">
        <f>IF(NFI_Expiration=1,IF($A99&lt;VLOOKUP(Q$5,NFI,5,0),1,0)*Table_NFI[[#This Row],[Plastic Mat]],Table_NFI[Plastic Mat])*IF(Table_NFI[[#This Row],[Distribution Date]]&gt;"2014-04-01",1,2.5)</f>
        <v>0</v>
      </c>
      <c r="AI99" s="378">
        <f>IF(NFI_Expiration=1,IF($A99&lt;VLOOKUP(R$5,NFI,5,0),1,0)*Table_NFI[[#This Row],[Winter Clothes Adult]],Table_NFI[Winter Clothes Adult])</f>
        <v>0</v>
      </c>
      <c r="AJ99" s="378">
        <f>IF(NFI_Expiration=1,IF($A99&lt;VLOOKUP(S$5,NFI,5,0),1,0)*Table_NFI[[#This Row],[Winter Clothes Children]],Table_NFI[Winter Clothes Children])</f>
        <v>0</v>
      </c>
      <c r="AK99" s="378">
        <f>IF(NFI_Expiration=1,IF($A99&lt;VLOOKUP(T$5,NFI,5,0),1,0)*Table_NFI[[#This Row],[Winter Items Other]],Table_NFI[Winter Items Other])</f>
        <v>0</v>
      </c>
      <c r="AL99" s="378">
        <f>IF(NFI_Expiration=1,IF($A99&lt;VLOOKUP(M$5,NFI,5,0),1,0)*Table_NFI[[#This Row],[Winter Blanket]],Table_NFI[[#This Row],[Winter Blanket]])</f>
        <v>0</v>
      </c>
      <c r="AM99" s="378">
        <f>IF(Table_NFI[[#This Row],[Winter Clothes Adult]]+Table_NFI[[#This Row],[Winter Clothes Children]]+Table_NFI[[#This Row],[Winter Items Other]]+Table_NFI[[#This Row],[Winter Blanket]]&gt;0,1,0)</f>
        <v>0</v>
      </c>
      <c r="AN99" s="418">
        <f>IF(NFI_Expiration=1,IF($A99&lt;VLOOKUP(V$5,NFI,5,0),1,0)*Table_NFI[[#This Row],[Jerry Can]],Table_NFI[Jerry Can])</f>
        <v>0</v>
      </c>
      <c r="AO99" s="579" t="str">
        <f>IFERROR(VLOOKUP(Table_NFI[[#This Row],[Camp Name]],CL,2,0),"")</f>
        <v>MMR001CMP109</v>
      </c>
      <c r="AP99" s="574">
        <f ca="1">IF(Table_NFI[[#This Row],[Pcode]]="","",IF(OFFSET(CampList[Opening Date],MATCH(Table_NFI[[#This Row],[Pcode]],CampList[CP_Pcode],0)-1,0,1,1)&gt;=NFI_Monitor_Date,1,0))</f>
        <v>0</v>
      </c>
      <c r="AQ99" s="579" t="str">
        <f>IFERROR(VLOOKUP(Table_NFI[[#This Row],[Camp Name]],CL,3,0),"")</f>
        <v>Open</v>
      </c>
      <c r="AR99" s="378" t="str">
        <f ca="1">IF(Table_NFI[[#This Row],[Pcode]]="","",OFFSET(CampList[Priority],MATCH(Table_NFI[[#This Row],[Pcode]],CampList[CP_Pcode],0)-1,0,1,1))</f>
        <v>P4</v>
      </c>
      <c r="AS99" s="377">
        <f>IFERROR(Table_NFI[[#This Row],[Kitchen Set]]/VLOOKUP(Table_NFI[[#This Row],[Camp Name]],CL,4,0),"")</f>
        <v>0</v>
      </c>
      <c r="AT99" s="577"/>
      <c r="AU99" s="580"/>
    </row>
    <row r="100" spans="1:47" s="576" customFormat="1" x14ac:dyDescent="0.25">
      <c r="A100" s="381">
        <f t="shared" si="1"/>
        <v>38.966666666666669</v>
      </c>
      <c r="B100" s="571">
        <v>41353</v>
      </c>
      <c r="C100" s="572" t="s">
        <v>454</v>
      </c>
      <c r="D100" s="573" t="s">
        <v>454</v>
      </c>
      <c r="E100" s="572" t="s">
        <v>380</v>
      </c>
      <c r="F100" s="374" t="s">
        <v>529</v>
      </c>
      <c r="G100" s="374" t="s">
        <v>72</v>
      </c>
      <c r="H100" s="375"/>
      <c r="I100" s="375"/>
      <c r="J100" s="375">
        <v>3</v>
      </c>
      <c r="K100" s="375">
        <v>8</v>
      </c>
      <c r="L100" s="376">
        <v>8</v>
      </c>
      <c r="M100" s="376">
        <v>15</v>
      </c>
      <c r="N100" s="376">
        <v>8</v>
      </c>
      <c r="O100" s="376">
        <v>15</v>
      </c>
      <c r="P100" s="378">
        <v>15</v>
      </c>
      <c r="Q100" s="378">
        <v>15</v>
      </c>
      <c r="R100" s="378"/>
      <c r="S100" s="378"/>
      <c r="T100" s="378"/>
      <c r="U100" s="378"/>
      <c r="V100" s="533"/>
      <c r="W100" s="378"/>
      <c r="X100" s="378"/>
      <c r="Y100" s="378">
        <f>IF(NFI_Expiration=1,IF($A100&lt;VLOOKUP(H$5,NFI,5,0),1,0)*Table_NFI[[#This Row],[Hygiene Kit]],Table_NFI[Hygiene Kit])</f>
        <v>0</v>
      </c>
      <c r="Z100" s="378">
        <f>IF(NFI_Expiration=1,IF($A100&lt;VLOOKUP(I$5,NFI,5,0),1,0)*Table_NFI[[#This Row],[NFI Core Kit]],Table_NFI[NFI Core Kit])</f>
        <v>0</v>
      </c>
      <c r="AA100" s="378">
        <f>IF(NFI_Expiration=1,IF($A100&lt;VLOOKUP(J$5,NFI,5,0),1,0)*Table_NFI[[#This Row],[Sanitary Kit]],Table_NFI[Sanitary Kit])</f>
        <v>0</v>
      </c>
      <c r="AB100" s="378">
        <f>IF(NFI_Expiration=1,IF($A100&lt;VLOOKUP(K$5,NFI,5,0),1,0)*Table_NFI[[#This Row],[Mosquito net]],Table_NFI[Mosquito net])</f>
        <v>0</v>
      </c>
      <c r="AC100" s="378">
        <f>IF(NFI_Expiration=1,IF($A100&lt;VLOOKUP(L$5,NFI,5,0),1,0)*Table_NFI[[#This Row],[Tarpaulin]],Table_NFI[[#This Row],[Tarpaulin]])</f>
        <v>0</v>
      </c>
      <c r="AD100" s="378">
        <f>IF(NFI_Expiration=1,IF($A100&lt;VLOOKUP(M$5,NFI,5,0),1,0)*Table_NFI[[#This Row],[Blanket]],Table_NFI[[#This Row],[Blanket]])</f>
        <v>0</v>
      </c>
      <c r="AE100" s="378">
        <f>IF(NFI_Expiration=1,IF($A100&lt;VLOOKUP(N$5,NFI,5,0),1,0)*Table_NFI[[#This Row],[Kitchen Set]],Table_NFI[Kitchen Set])</f>
        <v>0</v>
      </c>
      <c r="AF100" s="378">
        <f>IF(NFI_Expiration=1,IF($A100&lt;VLOOKUP(O$5,NFI,5,0),1,0)*Table_NFI[[#This Row],[Clothes Kit]],Table_NFI[Clothes Kit])</f>
        <v>0</v>
      </c>
      <c r="AG100" s="378">
        <f>IF(NFI_Expiration=1,IF($A100&lt;VLOOKUP(P$5,NFI,5,0),1,0)*Table_NFI[[#This Row],[Plastic Bucket]],Table_NFI[Plastic Bucket])</f>
        <v>0</v>
      </c>
      <c r="AH100" s="378">
        <f>IF(NFI_Expiration=1,IF($A100&lt;VLOOKUP(Q$5,NFI,5,0),1,0)*Table_NFI[[#This Row],[Plastic Mat]],Table_NFI[Plastic Mat])*IF(Table_NFI[[#This Row],[Distribution Date]]&gt;"2014-04-01",1,2.5)</f>
        <v>0</v>
      </c>
      <c r="AI100" s="378">
        <f>IF(NFI_Expiration=1,IF($A100&lt;VLOOKUP(R$5,NFI,5,0),1,0)*Table_NFI[[#This Row],[Winter Clothes Adult]],Table_NFI[Winter Clothes Adult])</f>
        <v>0</v>
      </c>
      <c r="AJ100" s="378">
        <f>IF(NFI_Expiration=1,IF($A100&lt;VLOOKUP(S$5,NFI,5,0),1,0)*Table_NFI[[#This Row],[Winter Clothes Children]],Table_NFI[Winter Clothes Children])</f>
        <v>0</v>
      </c>
      <c r="AK100" s="378">
        <f>IF(NFI_Expiration=1,IF($A100&lt;VLOOKUP(T$5,NFI,5,0),1,0)*Table_NFI[[#This Row],[Winter Items Other]],Table_NFI[Winter Items Other])</f>
        <v>0</v>
      </c>
      <c r="AL100" s="378">
        <f>IF(NFI_Expiration=1,IF($A100&lt;VLOOKUP(M$5,NFI,5,0),1,0)*Table_NFI[[#This Row],[Winter Blanket]],Table_NFI[[#This Row],[Winter Blanket]])</f>
        <v>0</v>
      </c>
      <c r="AM100" s="378">
        <f>IF(Table_NFI[[#This Row],[Winter Clothes Adult]]+Table_NFI[[#This Row],[Winter Clothes Children]]+Table_NFI[[#This Row],[Winter Items Other]]+Table_NFI[[#This Row],[Winter Blanket]]&gt;0,1,0)</f>
        <v>0</v>
      </c>
      <c r="AN100" s="418">
        <f>IF(NFI_Expiration=1,IF($A100&lt;VLOOKUP(V$5,NFI,5,0),1,0)*Table_NFI[[#This Row],[Jerry Can]],Table_NFI[Jerry Can])</f>
        <v>0</v>
      </c>
      <c r="AO100" s="579" t="str">
        <f>IFERROR(VLOOKUP(Table_NFI[[#This Row],[Camp Name]],CL,2,0),"")</f>
        <v>MMR001CMP109</v>
      </c>
      <c r="AP100" s="574">
        <f ca="1">IF(Table_NFI[[#This Row],[Pcode]]="","",IF(OFFSET(CampList[Opening Date],MATCH(Table_NFI[[#This Row],[Pcode]],CampList[CP_Pcode],0)-1,0,1,1)&gt;=NFI_Monitor_Date,1,0))</f>
        <v>0</v>
      </c>
      <c r="AQ100" s="579" t="str">
        <f>IFERROR(VLOOKUP(Table_NFI[[#This Row],[Camp Name]],CL,3,0),"")</f>
        <v>Open</v>
      </c>
      <c r="AR100" s="378" t="str">
        <f ca="1">IF(Table_NFI[[#This Row],[Pcode]]="","",OFFSET(CampList[Priority],MATCH(Table_NFI[[#This Row],[Pcode]],CampList[CP_Pcode],0)-1,0,1,1))</f>
        <v>P4</v>
      </c>
      <c r="AS100" s="377">
        <f>IFERROR(Table_NFI[[#This Row],[Kitchen Set]]/VLOOKUP(Table_NFI[[#This Row],[Camp Name]],CL,4,0),"")</f>
        <v>1.3333333333333333</v>
      </c>
      <c r="AT100" s="572" t="s">
        <v>1095</v>
      </c>
      <c r="AU100" s="575"/>
    </row>
    <row r="101" spans="1:47" s="576" customFormat="1" x14ac:dyDescent="0.25">
      <c r="A101" s="381">
        <f t="shared" si="1"/>
        <v>38.966666666666669</v>
      </c>
      <c r="B101" s="571">
        <v>41353</v>
      </c>
      <c r="C101" s="572" t="s">
        <v>454</v>
      </c>
      <c r="D101" s="573" t="s">
        <v>454</v>
      </c>
      <c r="E101" s="572" t="s">
        <v>380</v>
      </c>
      <c r="F101" s="374" t="s">
        <v>529</v>
      </c>
      <c r="G101" s="374" t="s">
        <v>70</v>
      </c>
      <c r="H101" s="375"/>
      <c r="I101" s="375"/>
      <c r="J101" s="375">
        <v>9</v>
      </c>
      <c r="K101" s="375">
        <v>6</v>
      </c>
      <c r="L101" s="376">
        <v>6</v>
      </c>
      <c r="M101" s="376">
        <v>15</v>
      </c>
      <c r="N101" s="376">
        <v>6</v>
      </c>
      <c r="O101" s="376">
        <v>15</v>
      </c>
      <c r="P101" s="378">
        <v>15</v>
      </c>
      <c r="Q101" s="378">
        <v>15</v>
      </c>
      <c r="R101" s="378"/>
      <c r="S101" s="378"/>
      <c r="T101" s="378"/>
      <c r="U101" s="378"/>
      <c r="V101" s="533"/>
      <c r="W101" s="378"/>
      <c r="X101" s="378"/>
      <c r="Y101" s="378">
        <f>IF(NFI_Expiration=1,IF($A101&lt;VLOOKUP(H$5,NFI,5,0),1,0)*Table_NFI[[#This Row],[Hygiene Kit]],Table_NFI[Hygiene Kit])</f>
        <v>0</v>
      </c>
      <c r="Z101" s="378">
        <f>IF(NFI_Expiration=1,IF($A101&lt;VLOOKUP(I$5,NFI,5,0),1,0)*Table_NFI[[#This Row],[NFI Core Kit]],Table_NFI[NFI Core Kit])</f>
        <v>0</v>
      </c>
      <c r="AA101" s="378">
        <f>IF(NFI_Expiration=1,IF($A101&lt;VLOOKUP(J$5,NFI,5,0),1,0)*Table_NFI[[#This Row],[Sanitary Kit]],Table_NFI[Sanitary Kit])</f>
        <v>0</v>
      </c>
      <c r="AB101" s="378">
        <f>IF(NFI_Expiration=1,IF($A101&lt;VLOOKUP(K$5,NFI,5,0),1,0)*Table_NFI[[#This Row],[Mosquito net]],Table_NFI[Mosquito net])</f>
        <v>0</v>
      </c>
      <c r="AC101" s="378">
        <f>IF(NFI_Expiration=1,IF($A101&lt;VLOOKUP(L$5,NFI,5,0),1,0)*Table_NFI[[#This Row],[Tarpaulin]],Table_NFI[[#This Row],[Tarpaulin]])</f>
        <v>0</v>
      </c>
      <c r="AD101" s="378">
        <f>IF(NFI_Expiration=1,IF($A101&lt;VLOOKUP(M$5,NFI,5,0),1,0)*Table_NFI[[#This Row],[Blanket]],Table_NFI[[#This Row],[Blanket]])</f>
        <v>0</v>
      </c>
      <c r="AE101" s="378">
        <f>IF(NFI_Expiration=1,IF($A101&lt;VLOOKUP(N$5,NFI,5,0),1,0)*Table_NFI[[#This Row],[Kitchen Set]],Table_NFI[Kitchen Set])</f>
        <v>0</v>
      </c>
      <c r="AF101" s="378">
        <f>IF(NFI_Expiration=1,IF($A101&lt;VLOOKUP(O$5,NFI,5,0),1,0)*Table_NFI[[#This Row],[Clothes Kit]],Table_NFI[Clothes Kit])</f>
        <v>0</v>
      </c>
      <c r="AG101" s="378">
        <f>IF(NFI_Expiration=1,IF($A101&lt;VLOOKUP(P$5,NFI,5,0),1,0)*Table_NFI[[#This Row],[Plastic Bucket]],Table_NFI[Plastic Bucket])</f>
        <v>0</v>
      </c>
      <c r="AH101" s="378">
        <f>IF(NFI_Expiration=1,IF($A101&lt;VLOOKUP(Q$5,NFI,5,0),1,0)*Table_NFI[[#This Row],[Plastic Mat]],Table_NFI[Plastic Mat])*IF(Table_NFI[[#This Row],[Distribution Date]]&gt;"2014-04-01",1,2.5)</f>
        <v>0</v>
      </c>
      <c r="AI101" s="378">
        <f>IF(NFI_Expiration=1,IF($A101&lt;VLOOKUP(R$5,NFI,5,0),1,0)*Table_NFI[[#This Row],[Winter Clothes Adult]],Table_NFI[Winter Clothes Adult])</f>
        <v>0</v>
      </c>
      <c r="AJ101" s="378">
        <f>IF(NFI_Expiration=1,IF($A101&lt;VLOOKUP(S$5,NFI,5,0),1,0)*Table_NFI[[#This Row],[Winter Clothes Children]],Table_NFI[Winter Clothes Children])</f>
        <v>0</v>
      </c>
      <c r="AK101" s="378">
        <f>IF(NFI_Expiration=1,IF($A101&lt;VLOOKUP(T$5,NFI,5,0),1,0)*Table_NFI[[#This Row],[Winter Items Other]],Table_NFI[Winter Items Other])</f>
        <v>0</v>
      </c>
      <c r="AL101" s="378">
        <f>IF(NFI_Expiration=1,IF($A101&lt;VLOOKUP(M$5,NFI,5,0),1,0)*Table_NFI[[#This Row],[Winter Blanket]],Table_NFI[[#This Row],[Winter Blanket]])</f>
        <v>0</v>
      </c>
      <c r="AM101" s="378">
        <f>IF(Table_NFI[[#This Row],[Winter Clothes Adult]]+Table_NFI[[#This Row],[Winter Clothes Children]]+Table_NFI[[#This Row],[Winter Items Other]]+Table_NFI[[#This Row],[Winter Blanket]]&gt;0,1,0)</f>
        <v>0</v>
      </c>
      <c r="AN101" s="418">
        <f>IF(NFI_Expiration=1,IF($A101&lt;VLOOKUP(V$5,NFI,5,0),1,0)*Table_NFI[[#This Row],[Jerry Can]],Table_NFI[Jerry Can])</f>
        <v>0</v>
      </c>
      <c r="AO101" s="579" t="str">
        <f>IFERROR(VLOOKUP(Table_NFI[[#This Row],[Camp Name]],CL,2,0),"")</f>
        <v>MMR001CMP086</v>
      </c>
      <c r="AP101" s="574">
        <f ca="1">IF(Table_NFI[[#This Row],[Pcode]]="","",IF(OFFSET(CampList[Opening Date],MATCH(Table_NFI[[#This Row],[Pcode]],CampList[CP_Pcode],0)-1,0,1,1)&gt;=NFI_Monitor_Date,1,0))</f>
        <v>0</v>
      </c>
      <c r="AQ101" s="579" t="str">
        <f>IFERROR(VLOOKUP(Table_NFI[[#This Row],[Camp Name]],CL,3,0),"")</f>
        <v>Closed</v>
      </c>
      <c r="AR101" s="378" t="str">
        <f ca="1">IF(Table_NFI[[#This Row],[Pcode]]="","",OFFSET(CampList[Priority],MATCH(Table_NFI[[#This Row],[Pcode]],CampList[CP_Pcode],0)-1,0,1,1))</f>
        <v/>
      </c>
      <c r="AS101" s="377" t="str">
        <f>IFERROR(Table_NFI[[#This Row],[Kitchen Set]]/VLOOKUP(Table_NFI[[#This Row],[Camp Name]],CL,4,0),"")</f>
        <v/>
      </c>
      <c r="AT101" s="572" t="s">
        <v>1095</v>
      </c>
      <c r="AU101" s="575"/>
    </row>
    <row r="102" spans="1:47" s="576" customFormat="1" x14ac:dyDescent="0.25">
      <c r="A102" s="381">
        <f t="shared" si="1"/>
        <v>39.9</v>
      </c>
      <c r="B102" s="571">
        <v>41325</v>
      </c>
      <c r="C102" s="572" t="s">
        <v>454</v>
      </c>
      <c r="D102" s="572" t="s">
        <v>454</v>
      </c>
      <c r="E102" s="572" t="s">
        <v>380</v>
      </c>
      <c r="F102" s="374" t="s">
        <v>529</v>
      </c>
      <c r="G102" s="374" t="s">
        <v>70</v>
      </c>
      <c r="H102" s="375"/>
      <c r="I102" s="375"/>
      <c r="J102" s="375">
        <v>13</v>
      </c>
      <c r="K102" s="375">
        <v>28</v>
      </c>
      <c r="L102" s="376">
        <v>15</v>
      </c>
      <c r="M102" s="376">
        <v>28</v>
      </c>
      <c r="N102" s="376">
        <v>15</v>
      </c>
      <c r="O102" s="376">
        <v>15</v>
      </c>
      <c r="P102" s="378">
        <v>15</v>
      </c>
      <c r="Q102" s="378">
        <v>15</v>
      </c>
      <c r="R102" s="378"/>
      <c r="S102" s="378"/>
      <c r="T102" s="378"/>
      <c r="U102" s="378"/>
      <c r="V102" s="533"/>
      <c r="W102" s="378"/>
      <c r="X102" s="378"/>
      <c r="Y102" s="378">
        <f>IF(NFI_Expiration=1,IF($A102&lt;VLOOKUP(H$5,NFI,5,0),1,0)*Table_NFI[[#This Row],[Hygiene Kit]],Table_NFI[Hygiene Kit])</f>
        <v>0</v>
      </c>
      <c r="Z102" s="378">
        <f>IF(NFI_Expiration=1,IF($A102&lt;VLOOKUP(I$5,NFI,5,0),1,0)*Table_NFI[[#This Row],[NFI Core Kit]],Table_NFI[NFI Core Kit])</f>
        <v>0</v>
      </c>
      <c r="AA102" s="378">
        <f>IF(NFI_Expiration=1,IF($A102&lt;VLOOKUP(J$5,NFI,5,0),1,0)*Table_NFI[[#This Row],[Sanitary Kit]],Table_NFI[Sanitary Kit])</f>
        <v>0</v>
      </c>
      <c r="AB102" s="378">
        <f>IF(NFI_Expiration=1,IF($A102&lt;VLOOKUP(K$5,NFI,5,0),1,0)*Table_NFI[[#This Row],[Mosquito net]],Table_NFI[Mosquito net])</f>
        <v>0</v>
      </c>
      <c r="AC102" s="378">
        <f>IF(NFI_Expiration=1,IF($A102&lt;VLOOKUP(L$5,NFI,5,0),1,0)*Table_NFI[[#This Row],[Tarpaulin]],Table_NFI[[#This Row],[Tarpaulin]])</f>
        <v>0</v>
      </c>
      <c r="AD102" s="378">
        <f>IF(NFI_Expiration=1,IF($A102&lt;VLOOKUP(M$5,NFI,5,0),1,0)*Table_NFI[[#This Row],[Blanket]],Table_NFI[[#This Row],[Blanket]])</f>
        <v>0</v>
      </c>
      <c r="AE102" s="378">
        <f>IF(NFI_Expiration=1,IF($A102&lt;VLOOKUP(N$5,NFI,5,0),1,0)*Table_NFI[[#This Row],[Kitchen Set]],Table_NFI[Kitchen Set])</f>
        <v>0</v>
      </c>
      <c r="AF102" s="378">
        <f>IF(NFI_Expiration=1,IF($A102&lt;VLOOKUP(O$5,NFI,5,0),1,0)*Table_NFI[[#This Row],[Clothes Kit]],Table_NFI[Clothes Kit])</f>
        <v>0</v>
      </c>
      <c r="AG102" s="378">
        <f>IF(NFI_Expiration=1,IF($A102&lt;VLOOKUP(P$5,NFI,5,0),1,0)*Table_NFI[[#This Row],[Plastic Bucket]],Table_NFI[Plastic Bucket])</f>
        <v>0</v>
      </c>
      <c r="AH102" s="378">
        <f>IF(NFI_Expiration=1,IF($A102&lt;VLOOKUP(Q$5,NFI,5,0),1,0)*Table_NFI[[#This Row],[Plastic Mat]],Table_NFI[Plastic Mat])*IF(Table_NFI[[#This Row],[Distribution Date]]&gt;"2014-04-01",1,2.5)</f>
        <v>0</v>
      </c>
      <c r="AI102" s="378">
        <f>IF(NFI_Expiration=1,IF($A102&lt;VLOOKUP(R$5,NFI,5,0),1,0)*Table_NFI[[#This Row],[Winter Clothes Adult]],Table_NFI[Winter Clothes Adult])</f>
        <v>0</v>
      </c>
      <c r="AJ102" s="378">
        <f>IF(NFI_Expiration=1,IF($A102&lt;VLOOKUP(S$5,NFI,5,0),1,0)*Table_NFI[[#This Row],[Winter Clothes Children]],Table_NFI[Winter Clothes Children])</f>
        <v>0</v>
      </c>
      <c r="AK102" s="378">
        <f>IF(NFI_Expiration=1,IF($A102&lt;VLOOKUP(T$5,NFI,5,0),1,0)*Table_NFI[[#This Row],[Winter Items Other]],Table_NFI[Winter Items Other])</f>
        <v>0</v>
      </c>
      <c r="AL102" s="378">
        <f>IF(NFI_Expiration=1,IF($A102&lt;VLOOKUP(M$5,NFI,5,0),1,0)*Table_NFI[[#This Row],[Winter Blanket]],Table_NFI[[#This Row],[Winter Blanket]])</f>
        <v>0</v>
      </c>
      <c r="AM102" s="378">
        <f>IF(Table_NFI[[#This Row],[Winter Clothes Adult]]+Table_NFI[[#This Row],[Winter Clothes Children]]+Table_NFI[[#This Row],[Winter Items Other]]+Table_NFI[[#This Row],[Winter Blanket]]&gt;0,1,0)</f>
        <v>0</v>
      </c>
      <c r="AN102" s="418">
        <f>IF(NFI_Expiration=1,IF($A102&lt;VLOOKUP(V$5,NFI,5,0),1,0)*Table_NFI[[#This Row],[Jerry Can]],Table_NFI[Jerry Can])</f>
        <v>0</v>
      </c>
      <c r="AO102" s="579" t="str">
        <f>IFERROR(VLOOKUP(Table_NFI[[#This Row],[Camp Name]],CL,2,0),"")</f>
        <v>MMR001CMP086</v>
      </c>
      <c r="AP102" s="574">
        <f ca="1">IF(Table_NFI[[#This Row],[Pcode]]="","",IF(OFFSET(CampList[Opening Date],MATCH(Table_NFI[[#This Row],[Pcode]],CampList[CP_Pcode],0)-1,0,1,1)&gt;=NFI_Monitor_Date,1,0))</f>
        <v>0</v>
      </c>
      <c r="AQ102" s="579" t="str">
        <f>IFERROR(VLOOKUP(Table_NFI[[#This Row],[Camp Name]],CL,3,0),"")</f>
        <v>Closed</v>
      </c>
      <c r="AR102" s="378" t="str">
        <f ca="1">IF(Table_NFI[[#This Row],[Pcode]]="","",OFFSET(CampList[Priority],MATCH(Table_NFI[[#This Row],[Pcode]],CampList[CP_Pcode],0)-1,0,1,1))</f>
        <v/>
      </c>
      <c r="AS102" s="377" t="str">
        <f>IFERROR(Table_NFI[[#This Row],[Kitchen Set]]/VLOOKUP(Table_NFI[[#This Row],[Camp Name]],CL,4,0),"")</f>
        <v/>
      </c>
      <c r="AT102" s="572" t="s">
        <v>1095</v>
      </c>
      <c r="AU102" s="575"/>
    </row>
    <row r="103" spans="1:47" s="576" customFormat="1" x14ac:dyDescent="0.25">
      <c r="A103" s="381">
        <f t="shared" si="1"/>
        <v>16.833333333333332</v>
      </c>
      <c r="B103" s="571">
        <v>42017</v>
      </c>
      <c r="C103" s="572" t="s">
        <v>1097</v>
      </c>
      <c r="D103" s="572" t="s">
        <v>903</v>
      </c>
      <c r="E103" s="572" t="s">
        <v>380</v>
      </c>
      <c r="F103" s="572" t="s">
        <v>27</v>
      </c>
      <c r="G103" s="572" t="s">
        <v>28</v>
      </c>
      <c r="H103" s="375"/>
      <c r="I103" s="378"/>
      <c r="J103" s="378"/>
      <c r="K103" s="378"/>
      <c r="L103" s="376"/>
      <c r="M103" s="376"/>
      <c r="N103" s="376"/>
      <c r="O103" s="376"/>
      <c r="P103" s="378"/>
      <c r="Q103" s="378"/>
      <c r="R103" s="378">
        <v>293</v>
      </c>
      <c r="S103" s="378">
        <v>190</v>
      </c>
      <c r="T103" s="378"/>
      <c r="U103" s="378">
        <v>170</v>
      </c>
      <c r="V103" s="533"/>
      <c r="W103" s="378"/>
      <c r="X103" s="378"/>
      <c r="Y103" s="378">
        <f>IF(NFI_Expiration=1,IF($A103&lt;VLOOKUP(H$5,NFI,5,0),1,0)*Table_NFI[[#This Row],[Hygiene Kit]],Table_NFI[Hygiene Kit])</f>
        <v>0</v>
      </c>
      <c r="Z103" s="378">
        <f>IF(NFI_Expiration=1,IF($A103&lt;VLOOKUP(I$5,NFI,5,0),1,0)*Table_NFI[[#This Row],[NFI Core Kit]],Table_NFI[NFI Core Kit])</f>
        <v>0</v>
      </c>
      <c r="AA103" s="378">
        <f>IF(NFI_Expiration=1,IF($A103&lt;VLOOKUP(J$5,NFI,5,0),1,0)*Table_NFI[[#This Row],[Sanitary Kit]],Table_NFI[Sanitary Kit])</f>
        <v>0</v>
      </c>
      <c r="AB103" s="378">
        <f>IF(NFI_Expiration=1,IF($A103&lt;VLOOKUP(K$5,NFI,5,0),1,0)*Table_NFI[[#This Row],[Mosquito net]],Table_NFI[Mosquito net])</f>
        <v>0</v>
      </c>
      <c r="AC103" s="378">
        <f>IF(NFI_Expiration=1,IF($A103&lt;VLOOKUP(L$5,NFI,5,0),1,0)*Table_NFI[[#This Row],[Tarpaulin]],Table_NFI[[#This Row],[Tarpaulin]])</f>
        <v>0</v>
      </c>
      <c r="AD103" s="378">
        <f>IF(NFI_Expiration=1,IF($A103&lt;VLOOKUP(M$5,NFI,5,0),1,0)*Table_NFI[[#This Row],[Blanket]],Table_NFI[[#This Row],[Blanket]])</f>
        <v>0</v>
      </c>
      <c r="AE103" s="378">
        <f>IF(NFI_Expiration=1,IF($A103&lt;VLOOKUP(N$5,NFI,5,0),1,0)*Table_NFI[[#This Row],[Kitchen Set]],Table_NFI[Kitchen Set])</f>
        <v>0</v>
      </c>
      <c r="AF103" s="378">
        <f>IF(NFI_Expiration=1,IF($A103&lt;VLOOKUP(O$5,NFI,5,0),1,0)*Table_NFI[[#This Row],[Clothes Kit]],Table_NFI[Clothes Kit])</f>
        <v>0</v>
      </c>
      <c r="AG103" s="378">
        <f>IF(NFI_Expiration=1,IF($A103&lt;VLOOKUP(P$5,NFI,5,0),1,0)*Table_NFI[[#This Row],[Plastic Bucket]],Table_NFI[Plastic Bucket])</f>
        <v>0</v>
      </c>
      <c r="AH103" s="378">
        <f>IF(NFI_Expiration=1,IF($A103&lt;VLOOKUP(Q$5,NFI,5,0),1,0)*Table_NFI[[#This Row],[Plastic Mat]],Table_NFI[Plastic Mat])*IF(Table_NFI[[#This Row],[Distribution Date]]&gt;"2014-04-01",1,2.5)</f>
        <v>0</v>
      </c>
      <c r="AI103" s="378">
        <f>IF(NFI_Expiration=1,IF($A103&lt;VLOOKUP(R$5,NFI,5,0),1,0)*Table_NFI[[#This Row],[Winter Clothes Adult]],Table_NFI[Winter Clothes Adult])</f>
        <v>0</v>
      </c>
      <c r="AJ103" s="378">
        <f>IF(NFI_Expiration=1,IF($A103&lt;VLOOKUP(S$5,NFI,5,0),1,0)*Table_NFI[[#This Row],[Winter Clothes Children]],Table_NFI[Winter Clothes Children])</f>
        <v>0</v>
      </c>
      <c r="AK103" s="378">
        <f>IF(NFI_Expiration=1,IF($A103&lt;VLOOKUP(T$5,NFI,5,0),1,0)*Table_NFI[[#This Row],[Winter Items Other]],Table_NFI[Winter Items Other])</f>
        <v>0</v>
      </c>
      <c r="AL103" s="378">
        <f>IF(NFI_Expiration=1,IF($A103&lt;VLOOKUP(M$5,NFI,5,0),1,0)*Table_NFI[[#This Row],[Winter Blanket]],Table_NFI[[#This Row],[Winter Blanket]])</f>
        <v>0</v>
      </c>
      <c r="AM103" s="378">
        <f>IF(Table_NFI[[#This Row],[Winter Clothes Adult]]+Table_NFI[[#This Row],[Winter Clothes Children]]+Table_NFI[[#This Row],[Winter Items Other]]+Table_NFI[[#This Row],[Winter Blanket]]&gt;0,1,0)</f>
        <v>1</v>
      </c>
      <c r="AN103" s="418">
        <f>IF(NFI_Expiration=1,IF($A103&lt;VLOOKUP(V$5,NFI,5,0),1,0)*Table_NFI[[#This Row],[Jerry Can]],Table_NFI[Jerry Can])</f>
        <v>0</v>
      </c>
      <c r="AO103" s="579" t="str">
        <f>IFERROR(VLOOKUP(Table_NFI[[#This Row],[Camp Name]],CL,2,0),"")</f>
        <v>MMR001CMP042</v>
      </c>
      <c r="AP103" s="574">
        <f ca="1">IF(Table_NFI[[#This Row],[Pcode]]="","",IF(OFFSET(CampList[Opening Date],MATCH(Table_NFI[[#This Row],[Pcode]],CampList[CP_Pcode],0)-1,0,1,1)&gt;=NFI_Monitor_Date,1,0))</f>
        <v>0</v>
      </c>
      <c r="AQ103" s="579" t="str">
        <f>IFERROR(VLOOKUP(Table_NFI[[#This Row],[Camp Name]],CL,3,0),"")</f>
        <v>Open</v>
      </c>
      <c r="AR103" s="378" t="str">
        <f ca="1">IF(Table_NFI[[#This Row],[Pcode]]="","",OFFSET(CampList[Priority],MATCH(Table_NFI[[#This Row],[Pcode]],CampList[CP_Pcode],0)-1,0,1,1))</f>
        <v>P1</v>
      </c>
      <c r="AS103" s="377">
        <f>IFERROR(Table_NFI[[#This Row],[Kitchen Set]]/VLOOKUP(Table_NFI[[#This Row],[Camp Name]],CL,4,0),"")</f>
        <v>0</v>
      </c>
      <c r="AT103" s="572"/>
      <c r="AU103" s="601"/>
    </row>
    <row r="104" spans="1:47" s="576" customFormat="1" x14ac:dyDescent="0.25">
      <c r="A104" s="381">
        <f t="shared" si="1"/>
        <v>20.3</v>
      </c>
      <c r="B104" s="571">
        <v>41913</v>
      </c>
      <c r="C104" s="572" t="s">
        <v>454</v>
      </c>
      <c r="D104" s="577" t="s">
        <v>507</v>
      </c>
      <c r="E104" s="577" t="s">
        <v>380</v>
      </c>
      <c r="F104" s="577" t="s">
        <v>27</v>
      </c>
      <c r="G104" s="577" t="s">
        <v>28</v>
      </c>
      <c r="H104" s="376"/>
      <c r="I104" s="376"/>
      <c r="J104" s="376"/>
      <c r="K104" s="376">
        <v>214</v>
      </c>
      <c r="L104" s="376"/>
      <c r="M104" s="376"/>
      <c r="N104" s="376"/>
      <c r="O104" s="376"/>
      <c r="P104" s="378"/>
      <c r="Q104" s="378"/>
      <c r="R104" s="378"/>
      <c r="S104" s="378"/>
      <c r="T104" s="378"/>
      <c r="U104" s="378">
        <v>214</v>
      </c>
      <c r="V104" s="533"/>
      <c r="W104" s="378"/>
      <c r="X104" s="378"/>
      <c r="Y104" s="378">
        <f>IF(NFI_Expiration=1,IF($A104&lt;VLOOKUP(H$5,NFI,5,0),1,0)*Table_NFI[[#This Row],[Hygiene Kit]],Table_NFI[Hygiene Kit])</f>
        <v>0</v>
      </c>
      <c r="Z104" s="378">
        <f>IF(NFI_Expiration=1,IF($A104&lt;VLOOKUP(I$5,NFI,5,0),1,0)*Table_NFI[[#This Row],[NFI Core Kit]],Table_NFI[NFI Core Kit])</f>
        <v>0</v>
      </c>
      <c r="AA104" s="378">
        <f>IF(NFI_Expiration=1,IF($A104&lt;VLOOKUP(J$5,NFI,5,0),1,0)*Table_NFI[[#This Row],[Sanitary Kit]],Table_NFI[Sanitary Kit])</f>
        <v>0</v>
      </c>
      <c r="AB104" s="378">
        <f>IF(NFI_Expiration=1,IF($A104&lt;VLOOKUP(K$5,NFI,5,0),1,0)*Table_NFI[[#This Row],[Mosquito net]],Table_NFI[Mosquito net])</f>
        <v>0</v>
      </c>
      <c r="AC104" s="378">
        <f>IF(NFI_Expiration=1,IF($A104&lt;VLOOKUP(L$5,NFI,5,0),1,0)*Table_NFI[[#This Row],[Tarpaulin]],Table_NFI[[#This Row],[Tarpaulin]])</f>
        <v>0</v>
      </c>
      <c r="AD104" s="378">
        <f>IF(NFI_Expiration=1,IF($A104&lt;VLOOKUP(M$5,NFI,5,0),1,0)*Table_NFI[[#This Row],[Blanket]],Table_NFI[[#This Row],[Blanket]])</f>
        <v>0</v>
      </c>
      <c r="AE104" s="378">
        <f>IF(NFI_Expiration=1,IF($A104&lt;VLOOKUP(N$5,NFI,5,0),1,0)*Table_NFI[[#This Row],[Kitchen Set]],Table_NFI[Kitchen Set])</f>
        <v>0</v>
      </c>
      <c r="AF104" s="378">
        <f>IF(NFI_Expiration=1,IF($A104&lt;VLOOKUP(O$5,NFI,5,0),1,0)*Table_NFI[[#This Row],[Clothes Kit]],Table_NFI[Clothes Kit])</f>
        <v>0</v>
      </c>
      <c r="AG104" s="378">
        <f>IF(NFI_Expiration=1,IF($A104&lt;VLOOKUP(P$5,NFI,5,0),1,0)*Table_NFI[[#This Row],[Plastic Bucket]],Table_NFI[Plastic Bucket])</f>
        <v>0</v>
      </c>
      <c r="AH104" s="378">
        <f>IF(NFI_Expiration=1,IF($A104&lt;VLOOKUP(Q$5,NFI,5,0),1,0)*Table_NFI[[#This Row],[Plastic Mat]],Table_NFI[Plastic Mat])*IF(Table_NFI[[#This Row],[Distribution Date]]&gt;"2014-04-01",1,2.5)</f>
        <v>0</v>
      </c>
      <c r="AI104" s="378">
        <f>IF(NFI_Expiration=1,IF($A104&lt;VLOOKUP(R$5,NFI,5,0),1,0)*Table_NFI[[#This Row],[Winter Clothes Adult]],Table_NFI[Winter Clothes Adult])</f>
        <v>0</v>
      </c>
      <c r="AJ104" s="378">
        <f>IF(NFI_Expiration=1,IF($A104&lt;VLOOKUP(S$5,NFI,5,0),1,0)*Table_NFI[[#This Row],[Winter Clothes Children]],Table_NFI[Winter Clothes Children])</f>
        <v>0</v>
      </c>
      <c r="AK104" s="378">
        <f>IF(NFI_Expiration=1,IF($A104&lt;VLOOKUP(T$5,NFI,5,0),1,0)*Table_NFI[[#This Row],[Winter Items Other]],Table_NFI[Winter Items Other])</f>
        <v>0</v>
      </c>
      <c r="AL104" s="378">
        <f>IF(NFI_Expiration=1,IF($A104&lt;VLOOKUP(M$5,NFI,5,0),1,0)*Table_NFI[[#This Row],[Winter Blanket]],Table_NFI[[#This Row],[Winter Blanket]])</f>
        <v>0</v>
      </c>
      <c r="AM104" s="378">
        <f>IF(Table_NFI[[#This Row],[Winter Clothes Adult]]+Table_NFI[[#This Row],[Winter Clothes Children]]+Table_NFI[[#This Row],[Winter Items Other]]+Table_NFI[[#This Row],[Winter Blanket]]&gt;0,1,0)</f>
        <v>1</v>
      </c>
      <c r="AN104" s="418">
        <f>IF(NFI_Expiration=1,IF($A104&lt;VLOOKUP(V$5,NFI,5,0),1,0)*Table_NFI[[#This Row],[Jerry Can]],Table_NFI[Jerry Can])</f>
        <v>0</v>
      </c>
      <c r="AO104" s="579" t="str">
        <f>IFERROR(VLOOKUP(Table_NFI[[#This Row],[Camp Name]],CL,2,0),"")</f>
        <v>MMR001CMP042</v>
      </c>
      <c r="AP104" s="574">
        <f ca="1">IF(Table_NFI[[#This Row],[Pcode]]="","",IF(OFFSET(CampList[Opening Date],MATCH(Table_NFI[[#This Row],[Pcode]],CampList[CP_Pcode],0)-1,0,1,1)&gt;=NFI_Monitor_Date,1,0))</f>
        <v>0</v>
      </c>
      <c r="AQ104" s="579" t="str">
        <f>IFERROR(VLOOKUP(Table_NFI[[#This Row],[Camp Name]],CL,3,0),"")</f>
        <v>Open</v>
      </c>
      <c r="AR104" s="378" t="str">
        <f ca="1">IF(Table_NFI[[#This Row],[Pcode]]="","",OFFSET(CampList[Priority],MATCH(Table_NFI[[#This Row],[Pcode]],CampList[CP_Pcode],0)-1,0,1,1))</f>
        <v>P1</v>
      </c>
      <c r="AS104" s="377">
        <f>IFERROR(Table_NFI[[#This Row],[Kitchen Set]]/VLOOKUP(Table_NFI[[#This Row],[Camp Name]],CL,4,0),"")</f>
        <v>0</v>
      </c>
      <c r="AT104" s="577"/>
      <c r="AU104" s="580"/>
    </row>
    <row r="105" spans="1:47" s="576" customFormat="1" x14ac:dyDescent="0.25">
      <c r="A105" s="381">
        <f t="shared" si="1"/>
        <v>24.533333333333335</v>
      </c>
      <c r="B105" s="571">
        <v>41786</v>
      </c>
      <c r="C105" s="572" t="s">
        <v>454</v>
      </c>
      <c r="D105" s="572" t="s">
        <v>507</v>
      </c>
      <c r="E105" s="572" t="s">
        <v>380</v>
      </c>
      <c r="F105" s="572" t="s">
        <v>27</v>
      </c>
      <c r="G105" s="572" t="s">
        <v>28</v>
      </c>
      <c r="H105" s="375"/>
      <c r="I105" s="375"/>
      <c r="J105" s="375">
        <v>36</v>
      </c>
      <c r="K105" s="375">
        <v>18</v>
      </c>
      <c r="L105" s="376">
        <v>36</v>
      </c>
      <c r="M105" s="376">
        <v>18</v>
      </c>
      <c r="N105" s="376"/>
      <c r="O105" s="376">
        <v>18</v>
      </c>
      <c r="P105" s="378">
        <v>90</v>
      </c>
      <c r="Q105" s="378"/>
      <c r="R105" s="378"/>
      <c r="S105" s="378"/>
      <c r="T105" s="378"/>
      <c r="U105" s="378"/>
      <c r="V105" s="533"/>
      <c r="W105" s="378"/>
      <c r="X105" s="378"/>
      <c r="Y105" s="378">
        <f>IF(NFI_Expiration=1,IF($A105&lt;VLOOKUP(H$5,NFI,5,0),1,0)*Table_NFI[[#This Row],[Hygiene Kit]],Table_NFI[Hygiene Kit])</f>
        <v>0</v>
      </c>
      <c r="Z105" s="378">
        <f>IF(NFI_Expiration=1,IF($A105&lt;VLOOKUP(I$5,NFI,5,0),1,0)*Table_NFI[[#This Row],[NFI Core Kit]],Table_NFI[NFI Core Kit])</f>
        <v>0</v>
      </c>
      <c r="AA105" s="378">
        <f>IF(NFI_Expiration=1,IF($A105&lt;VLOOKUP(J$5,NFI,5,0),1,0)*Table_NFI[[#This Row],[Sanitary Kit]],Table_NFI[Sanitary Kit])</f>
        <v>0</v>
      </c>
      <c r="AB105" s="378">
        <f>IF(NFI_Expiration=1,IF($A105&lt;VLOOKUP(K$5,NFI,5,0),1,0)*Table_NFI[[#This Row],[Mosquito net]],Table_NFI[Mosquito net])</f>
        <v>0</v>
      </c>
      <c r="AC105" s="378">
        <f>IF(NFI_Expiration=1,IF($A105&lt;VLOOKUP(L$5,NFI,5,0),1,0)*Table_NFI[[#This Row],[Tarpaulin]],Table_NFI[[#This Row],[Tarpaulin]])</f>
        <v>0</v>
      </c>
      <c r="AD105" s="378">
        <f>IF(NFI_Expiration=1,IF($A105&lt;VLOOKUP(M$5,NFI,5,0),1,0)*Table_NFI[[#This Row],[Blanket]],Table_NFI[[#This Row],[Blanket]])</f>
        <v>0</v>
      </c>
      <c r="AE105" s="378">
        <f>IF(NFI_Expiration=1,IF($A105&lt;VLOOKUP(N$5,NFI,5,0),1,0)*Table_NFI[[#This Row],[Kitchen Set]],Table_NFI[Kitchen Set])</f>
        <v>0</v>
      </c>
      <c r="AF105" s="378">
        <f>IF(NFI_Expiration=1,IF($A105&lt;VLOOKUP(O$5,NFI,5,0),1,0)*Table_NFI[[#This Row],[Clothes Kit]],Table_NFI[Clothes Kit])</f>
        <v>0</v>
      </c>
      <c r="AG105" s="378">
        <f>IF(NFI_Expiration=1,IF($A105&lt;VLOOKUP(P$5,NFI,5,0),1,0)*Table_NFI[[#This Row],[Plastic Bucket]],Table_NFI[Plastic Bucket])</f>
        <v>0</v>
      </c>
      <c r="AH105" s="378">
        <f>IF(NFI_Expiration=1,IF($A105&lt;VLOOKUP(Q$5,NFI,5,0),1,0)*Table_NFI[[#This Row],[Plastic Mat]],Table_NFI[Plastic Mat])*IF(Table_NFI[[#This Row],[Distribution Date]]&gt;"2014-04-01",1,2.5)</f>
        <v>0</v>
      </c>
      <c r="AI105" s="378">
        <f>IF(NFI_Expiration=1,IF($A105&lt;VLOOKUP(R$5,NFI,5,0),1,0)*Table_NFI[[#This Row],[Winter Clothes Adult]],Table_NFI[Winter Clothes Adult])</f>
        <v>0</v>
      </c>
      <c r="AJ105" s="378">
        <f>IF(NFI_Expiration=1,IF($A105&lt;VLOOKUP(S$5,NFI,5,0),1,0)*Table_NFI[[#This Row],[Winter Clothes Children]],Table_NFI[Winter Clothes Children])</f>
        <v>0</v>
      </c>
      <c r="AK105" s="378">
        <f>IF(NFI_Expiration=1,IF($A105&lt;VLOOKUP(T$5,NFI,5,0),1,0)*Table_NFI[[#This Row],[Winter Items Other]],Table_NFI[Winter Items Other])</f>
        <v>0</v>
      </c>
      <c r="AL105" s="378">
        <f>IF(NFI_Expiration=1,IF($A105&lt;VLOOKUP(M$5,NFI,5,0),1,0)*Table_NFI[[#This Row],[Winter Blanket]],Table_NFI[[#This Row],[Winter Blanket]])</f>
        <v>0</v>
      </c>
      <c r="AM105" s="378">
        <f>IF(Table_NFI[[#This Row],[Winter Clothes Adult]]+Table_NFI[[#This Row],[Winter Clothes Children]]+Table_NFI[[#This Row],[Winter Items Other]]+Table_NFI[[#This Row],[Winter Blanket]]&gt;0,1,0)</f>
        <v>0</v>
      </c>
      <c r="AN105" s="418">
        <f>IF(NFI_Expiration=1,IF($A105&lt;VLOOKUP(V$5,NFI,5,0),1,0)*Table_NFI[[#This Row],[Jerry Can]],Table_NFI[Jerry Can])</f>
        <v>0</v>
      </c>
      <c r="AO105" s="579" t="str">
        <f>IFERROR(VLOOKUP(Table_NFI[[#This Row],[Camp Name]],CL,2,0),"")</f>
        <v>MMR001CMP042</v>
      </c>
      <c r="AP105" s="574">
        <f ca="1">IF(Table_NFI[[#This Row],[Pcode]]="","",IF(OFFSET(CampList[Opening Date],MATCH(Table_NFI[[#This Row],[Pcode]],CampList[CP_Pcode],0)-1,0,1,1)&gt;=NFI_Monitor_Date,1,0))</f>
        <v>0</v>
      </c>
      <c r="AQ105" s="579" t="str">
        <f>IFERROR(VLOOKUP(Table_NFI[[#This Row],[Camp Name]],CL,3,0),"")</f>
        <v>Open</v>
      </c>
      <c r="AR105" s="378" t="str">
        <f ca="1">IF(Table_NFI[[#This Row],[Pcode]]="","",OFFSET(CampList[Priority],MATCH(Table_NFI[[#This Row],[Pcode]],CampList[CP_Pcode],0)-1,0,1,1))</f>
        <v>P1</v>
      </c>
      <c r="AS105" s="377">
        <f>IFERROR(Table_NFI[[#This Row],[Kitchen Set]]/VLOOKUP(Table_NFI[[#This Row],[Camp Name]],CL,4,0),"")</f>
        <v>0</v>
      </c>
      <c r="AT105" s="572"/>
      <c r="AU105" s="575"/>
    </row>
    <row r="106" spans="1:47" s="576" customFormat="1" x14ac:dyDescent="0.25">
      <c r="A106" s="381">
        <f t="shared" si="1"/>
        <v>27.633333333333333</v>
      </c>
      <c r="B106" s="571">
        <v>41693</v>
      </c>
      <c r="C106" s="572" t="s">
        <v>1107</v>
      </c>
      <c r="D106" s="572" t="s">
        <v>903</v>
      </c>
      <c r="E106" s="572" t="s">
        <v>380</v>
      </c>
      <c r="F106" s="572" t="s">
        <v>27</v>
      </c>
      <c r="G106" s="572" t="s">
        <v>28</v>
      </c>
      <c r="H106" s="375"/>
      <c r="I106" s="375"/>
      <c r="J106" s="375"/>
      <c r="K106" s="375"/>
      <c r="L106" s="376"/>
      <c r="M106" s="376"/>
      <c r="N106" s="376"/>
      <c r="O106" s="376"/>
      <c r="P106" s="378"/>
      <c r="Q106" s="378"/>
      <c r="R106" s="378"/>
      <c r="S106" s="378"/>
      <c r="T106" s="378"/>
      <c r="U106" s="378">
        <v>222</v>
      </c>
      <c r="V106" s="533"/>
      <c r="W106" s="378"/>
      <c r="X106" s="378"/>
      <c r="Y106" s="378">
        <f>IF(NFI_Expiration=1,IF($A106&lt;VLOOKUP(H$5,NFI,5,0),1,0)*Table_NFI[[#This Row],[Hygiene Kit]],Table_NFI[Hygiene Kit])</f>
        <v>0</v>
      </c>
      <c r="Z106" s="378">
        <f>IF(NFI_Expiration=1,IF($A106&lt;VLOOKUP(I$5,NFI,5,0),1,0)*Table_NFI[[#This Row],[NFI Core Kit]],Table_NFI[NFI Core Kit])</f>
        <v>0</v>
      </c>
      <c r="AA106" s="378">
        <f>IF(NFI_Expiration=1,IF($A106&lt;VLOOKUP(J$5,NFI,5,0),1,0)*Table_NFI[[#This Row],[Sanitary Kit]],Table_NFI[Sanitary Kit])</f>
        <v>0</v>
      </c>
      <c r="AB106" s="378">
        <f>IF(NFI_Expiration=1,IF($A106&lt;VLOOKUP(K$5,NFI,5,0),1,0)*Table_NFI[[#This Row],[Mosquito net]],Table_NFI[Mosquito net])</f>
        <v>0</v>
      </c>
      <c r="AC106" s="378">
        <f>IF(NFI_Expiration=1,IF($A106&lt;VLOOKUP(L$5,NFI,5,0),1,0)*Table_NFI[[#This Row],[Tarpaulin]],Table_NFI[[#This Row],[Tarpaulin]])</f>
        <v>0</v>
      </c>
      <c r="AD106" s="378">
        <f>IF(NFI_Expiration=1,IF($A106&lt;VLOOKUP(M$5,NFI,5,0),1,0)*Table_NFI[[#This Row],[Blanket]],Table_NFI[[#This Row],[Blanket]])</f>
        <v>0</v>
      </c>
      <c r="AE106" s="378">
        <f>IF(NFI_Expiration=1,IF($A106&lt;VLOOKUP(N$5,NFI,5,0),1,0)*Table_NFI[[#This Row],[Kitchen Set]],Table_NFI[Kitchen Set])</f>
        <v>0</v>
      </c>
      <c r="AF106" s="378">
        <f>IF(NFI_Expiration=1,IF($A106&lt;VLOOKUP(O$5,NFI,5,0),1,0)*Table_NFI[[#This Row],[Clothes Kit]],Table_NFI[Clothes Kit])</f>
        <v>0</v>
      </c>
      <c r="AG106" s="378">
        <f>IF(NFI_Expiration=1,IF($A106&lt;VLOOKUP(P$5,NFI,5,0),1,0)*Table_NFI[[#This Row],[Plastic Bucket]],Table_NFI[Plastic Bucket])</f>
        <v>0</v>
      </c>
      <c r="AH106" s="378">
        <f>IF(NFI_Expiration=1,IF($A106&lt;VLOOKUP(Q$5,NFI,5,0),1,0)*Table_NFI[[#This Row],[Plastic Mat]],Table_NFI[Plastic Mat])*IF(Table_NFI[[#This Row],[Distribution Date]]&gt;"2014-04-01",1,2.5)</f>
        <v>0</v>
      </c>
      <c r="AI106" s="378">
        <f>IF(NFI_Expiration=1,IF($A106&lt;VLOOKUP(R$5,NFI,5,0),1,0)*Table_NFI[[#This Row],[Winter Clothes Adult]],Table_NFI[Winter Clothes Adult])</f>
        <v>0</v>
      </c>
      <c r="AJ106" s="378">
        <f>IF(NFI_Expiration=1,IF($A106&lt;VLOOKUP(S$5,NFI,5,0),1,0)*Table_NFI[[#This Row],[Winter Clothes Children]],Table_NFI[Winter Clothes Children])</f>
        <v>0</v>
      </c>
      <c r="AK106" s="378">
        <f>IF(NFI_Expiration=1,IF($A106&lt;VLOOKUP(T$5,NFI,5,0),1,0)*Table_NFI[[#This Row],[Winter Items Other]],Table_NFI[Winter Items Other])</f>
        <v>0</v>
      </c>
      <c r="AL106" s="378">
        <f>IF(NFI_Expiration=1,IF($A106&lt;VLOOKUP(M$5,NFI,5,0),1,0)*Table_NFI[[#This Row],[Winter Blanket]],Table_NFI[[#This Row],[Winter Blanket]])</f>
        <v>0</v>
      </c>
      <c r="AM106" s="378">
        <f>IF(Table_NFI[[#This Row],[Winter Clothes Adult]]+Table_NFI[[#This Row],[Winter Clothes Children]]+Table_NFI[[#This Row],[Winter Items Other]]+Table_NFI[[#This Row],[Winter Blanket]]&gt;0,1,0)</f>
        <v>1</v>
      </c>
      <c r="AN106" s="418">
        <f>IF(NFI_Expiration=1,IF($A106&lt;VLOOKUP(V$5,NFI,5,0),1,0)*Table_NFI[[#This Row],[Jerry Can]],Table_NFI[Jerry Can])</f>
        <v>0</v>
      </c>
      <c r="AO106" s="579" t="str">
        <f>IFERROR(VLOOKUP(Table_NFI[[#This Row],[Camp Name]],CL,2,0),"")</f>
        <v>MMR001CMP042</v>
      </c>
      <c r="AP106" s="574">
        <f ca="1">IF(Table_NFI[[#This Row],[Pcode]]="","",IF(OFFSET(CampList[Opening Date],MATCH(Table_NFI[[#This Row],[Pcode]],CampList[CP_Pcode],0)-1,0,1,1)&gt;=NFI_Monitor_Date,1,0))</f>
        <v>0</v>
      </c>
      <c r="AQ106" s="579" t="str">
        <f>IFERROR(VLOOKUP(Table_NFI[[#This Row],[Camp Name]],CL,3,0),"")</f>
        <v>Open</v>
      </c>
      <c r="AR106" s="378" t="str">
        <f ca="1">IF(Table_NFI[[#This Row],[Pcode]]="","",OFFSET(CampList[Priority],MATCH(Table_NFI[[#This Row],[Pcode]],CampList[CP_Pcode],0)-1,0,1,1))</f>
        <v>P1</v>
      </c>
      <c r="AS106" s="377">
        <f>IFERROR(Table_NFI[[#This Row],[Kitchen Set]]/VLOOKUP(Table_NFI[[#This Row],[Camp Name]],CL,4,0),"")</f>
        <v>0</v>
      </c>
      <c r="AT106" s="572"/>
      <c r="AU106" s="575"/>
    </row>
    <row r="107" spans="1:47" s="576" customFormat="1" x14ac:dyDescent="0.25">
      <c r="A107" s="381">
        <f t="shared" si="1"/>
        <v>36.866666666666667</v>
      </c>
      <c r="B107" s="571">
        <v>41416</v>
      </c>
      <c r="C107" s="572" t="s">
        <v>904</v>
      </c>
      <c r="D107" s="573" t="s">
        <v>508</v>
      </c>
      <c r="E107" s="572" t="s">
        <v>380</v>
      </c>
      <c r="F107" s="374" t="s">
        <v>27</v>
      </c>
      <c r="G107" s="374" t="s">
        <v>28</v>
      </c>
      <c r="H107" s="375">
        <v>510</v>
      </c>
      <c r="I107" s="375"/>
      <c r="J107" s="375"/>
      <c r="K107" s="375"/>
      <c r="L107" s="376"/>
      <c r="M107" s="376"/>
      <c r="N107" s="376"/>
      <c r="O107" s="376"/>
      <c r="P107" s="378"/>
      <c r="Q107" s="378"/>
      <c r="R107" s="378"/>
      <c r="S107" s="378"/>
      <c r="T107" s="378"/>
      <c r="U107" s="378"/>
      <c r="V107" s="533"/>
      <c r="W107" s="378"/>
      <c r="X107" s="378"/>
      <c r="Y107" s="378">
        <f>IF(NFI_Expiration=1,IF($A107&lt;VLOOKUP(H$5,NFI,5,0),1,0)*Table_NFI[[#This Row],[Hygiene Kit]],Table_NFI[Hygiene Kit])</f>
        <v>0</v>
      </c>
      <c r="Z107" s="378">
        <f>IF(NFI_Expiration=1,IF($A107&lt;VLOOKUP(I$5,NFI,5,0),1,0)*Table_NFI[[#This Row],[NFI Core Kit]],Table_NFI[NFI Core Kit])</f>
        <v>0</v>
      </c>
      <c r="AA107" s="378">
        <f>IF(NFI_Expiration=1,IF($A107&lt;VLOOKUP(J$5,NFI,5,0),1,0)*Table_NFI[[#This Row],[Sanitary Kit]],Table_NFI[Sanitary Kit])</f>
        <v>0</v>
      </c>
      <c r="AB107" s="378">
        <f>IF(NFI_Expiration=1,IF($A107&lt;VLOOKUP(K$5,NFI,5,0),1,0)*Table_NFI[[#This Row],[Mosquito net]],Table_NFI[Mosquito net])</f>
        <v>0</v>
      </c>
      <c r="AC107" s="378">
        <f>IF(NFI_Expiration=1,IF($A107&lt;VLOOKUP(L$5,NFI,5,0),1,0)*Table_NFI[[#This Row],[Tarpaulin]],Table_NFI[[#This Row],[Tarpaulin]])</f>
        <v>0</v>
      </c>
      <c r="AD107" s="378">
        <f>IF(NFI_Expiration=1,IF($A107&lt;VLOOKUP(M$5,NFI,5,0),1,0)*Table_NFI[[#This Row],[Blanket]],Table_NFI[[#This Row],[Blanket]])</f>
        <v>0</v>
      </c>
      <c r="AE107" s="378">
        <f>IF(NFI_Expiration=1,IF($A107&lt;VLOOKUP(N$5,NFI,5,0),1,0)*Table_NFI[[#This Row],[Kitchen Set]],Table_NFI[Kitchen Set])</f>
        <v>0</v>
      </c>
      <c r="AF107" s="378">
        <f>IF(NFI_Expiration=1,IF($A107&lt;VLOOKUP(O$5,NFI,5,0),1,0)*Table_NFI[[#This Row],[Clothes Kit]],Table_NFI[Clothes Kit])</f>
        <v>0</v>
      </c>
      <c r="AG107" s="378">
        <f>IF(NFI_Expiration=1,IF($A107&lt;VLOOKUP(P$5,NFI,5,0),1,0)*Table_NFI[[#This Row],[Plastic Bucket]],Table_NFI[Plastic Bucket])</f>
        <v>0</v>
      </c>
      <c r="AH107" s="378">
        <f>IF(NFI_Expiration=1,IF($A107&lt;VLOOKUP(Q$5,NFI,5,0),1,0)*Table_NFI[[#This Row],[Plastic Mat]],Table_NFI[Plastic Mat])*IF(Table_NFI[[#This Row],[Distribution Date]]&gt;"2014-04-01",1,2.5)</f>
        <v>0</v>
      </c>
      <c r="AI107" s="378">
        <f>IF(NFI_Expiration=1,IF($A107&lt;VLOOKUP(R$5,NFI,5,0),1,0)*Table_NFI[[#This Row],[Winter Clothes Adult]],Table_NFI[Winter Clothes Adult])</f>
        <v>0</v>
      </c>
      <c r="AJ107" s="378">
        <f>IF(NFI_Expiration=1,IF($A107&lt;VLOOKUP(S$5,NFI,5,0),1,0)*Table_NFI[[#This Row],[Winter Clothes Children]],Table_NFI[Winter Clothes Children])</f>
        <v>0</v>
      </c>
      <c r="AK107" s="378">
        <f>IF(NFI_Expiration=1,IF($A107&lt;VLOOKUP(T$5,NFI,5,0),1,0)*Table_NFI[[#This Row],[Winter Items Other]],Table_NFI[Winter Items Other])</f>
        <v>0</v>
      </c>
      <c r="AL107" s="378">
        <f>IF(NFI_Expiration=1,IF($A107&lt;VLOOKUP(M$5,NFI,5,0),1,0)*Table_NFI[[#This Row],[Winter Blanket]],Table_NFI[[#This Row],[Winter Blanket]])</f>
        <v>0</v>
      </c>
      <c r="AM107" s="378">
        <f>IF(Table_NFI[[#This Row],[Winter Clothes Adult]]+Table_NFI[[#This Row],[Winter Clothes Children]]+Table_NFI[[#This Row],[Winter Items Other]]+Table_NFI[[#This Row],[Winter Blanket]]&gt;0,1,0)</f>
        <v>0</v>
      </c>
      <c r="AN107" s="418">
        <f>IF(NFI_Expiration=1,IF($A107&lt;VLOOKUP(V$5,NFI,5,0),1,0)*Table_NFI[[#This Row],[Jerry Can]],Table_NFI[Jerry Can])</f>
        <v>0</v>
      </c>
      <c r="AO107" s="579" t="str">
        <f>IFERROR(VLOOKUP(Table_NFI[[#This Row],[Camp Name]],CL,2,0),"")</f>
        <v>MMR001CMP042</v>
      </c>
      <c r="AP107" s="574">
        <f ca="1">IF(Table_NFI[[#This Row],[Pcode]]="","",IF(OFFSET(CampList[Opening Date],MATCH(Table_NFI[[#This Row],[Pcode]],CampList[CP_Pcode],0)-1,0,1,1)&gt;=NFI_Monitor_Date,1,0))</f>
        <v>0</v>
      </c>
      <c r="AQ107" s="579" t="str">
        <f>IFERROR(VLOOKUP(Table_NFI[[#This Row],[Camp Name]],CL,3,0),"")</f>
        <v>Open</v>
      </c>
      <c r="AR107" s="378" t="str">
        <f ca="1">IF(Table_NFI[[#This Row],[Pcode]]="","",OFFSET(CampList[Priority],MATCH(Table_NFI[[#This Row],[Pcode]],CampList[CP_Pcode],0)-1,0,1,1))</f>
        <v>P1</v>
      </c>
      <c r="AS107" s="377">
        <f>IFERROR(Table_NFI[[#This Row],[Kitchen Set]]/VLOOKUP(Table_NFI[[#This Row],[Camp Name]],CL,4,0),"")</f>
        <v>0</v>
      </c>
      <c r="AT107" s="572" t="s">
        <v>1095</v>
      </c>
      <c r="AU107" s="575"/>
    </row>
    <row r="108" spans="1:47" s="576" customFormat="1" x14ac:dyDescent="0.25">
      <c r="A108" s="381">
        <f t="shared" si="1"/>
        <v>36.866666666666667</v>
      </c>
      <c r="B108" s="571">
        <v>41416</v>
      </c>
      <c r="C108" s="572" t="s">
        <v>454</v>
      </c>
      <c r="D108" s="573" t="s">
        <v>454</v>
      </c>
      <c r="E108" s="572" t="s">
        <v>380</v>
      </c>
      <c r="F108" s="374" t="s">
        <v>27</v>
      </c>
      <c r="G108" s="374" t="s">
        <v>28</v>
      </c>
      <c r="H108" s="375"/>
      <c r="I108" s="375"/>
      <c r="J108" s="375">
        <v>80</v>
      </c>
      <c r="K108" s="375">
        <v>84</v>
      </c>
      <c r="L108" s="376">
        <v>41</v>
      </c>
      <c r="M108" s="376">
        <v>84</v>
      </c>
      <c r="N108" s="376">
        <v>41</v>
      </c>
      <c r="O108" s="376">
        <v>41</v>
      </c>
      <c r="P108" s="378">
        <v>41</v>
      </c>
      <c r="Q108" s="378">
        <v>41</v>
      </c>
      <c r="R108" s="378"/>
      <c r="S108" s="378"/>
      <c r="T108" s="378"/>
      <c r="U108" s="378"/>
      <c r="V108" s="533"/>
      <c r="W108" s="378"/>
      <c r="X108" s="378"/>
      <c r="Y108" s="378">
        <f>IF(NFI_Expiration=1,IF($A108&lt;VLOOKUP(H$5,NFI,5,0),1,0)*Table_NFI[[#This Row],[Hygiene Kit]],Table_NFI[Hygiene Kit])</f>
        <v>0</v>
      </c>
      <c r="Z108" s="378">
        <f>IF(NFI_Expiration=1,IF($A108&lt;VLOOKUP(I$5,NFI,5,0),1,0)*Table_NFI[[#This Row],[NFI Core Kit]],Table_NFI[NFI Core Kit])</f>
        <v>0</v>
      </c>
      <c r="AA108" s="378">
        <f>IF(NFI_Expiration=1,IF($A108&lt;VLOOKUP(J$5,NFI,5,0),1,0)*Table_NFI[[#This Row],[Sanitary Kit]],Table_NFI[Sanitary Kit])</f>
        <v>0</v>
      </c>
      <c r="AB108" s="378">
        <f>IF(NFI_Expiration=1,IF($A108&lt;VLOOKUP(K$5,NFI,5,0),1,0)*Table_NFI[[#This Row],[Mosquito net]],Table_NFI[Mosquito net])</f>
        <v>0</v>
      </c>
      <c r="AC108" s="378">
        <f>IF(NFI_Expiration=1,IF($A108&lt;VLOOKUP(L$5,NFI,5,0),1,0)*Table_NFI[[#This Row],[Tarpaulin]],Table_NFI[[#This Row],[Tarpaulin]])</f>
        <v>0</v>
      </c>
      <c r="AD108" s="378">
        <f>IF(NFI_Expiration=1,IF($A108&lt;VLOOKUP(M$5,NFI,5,0),1,0)*Table_NFI[[#This Row],[Blanket]],Table_NFI[[#This Row],[Blanket]])</f>
        <v>0</v>
      </c>
      <c r="AE108" s="378">
        <f>IF(NFI_Expiration=1,IF($A108&lt;VLOOKUP(N$5,NFI,5,0),1,0)*Table_NFI[[#This Row],[Kitchen Set]],Table_NFI[Kitchen Set])</f>
        <v>0</v>
      </c>
      <c r="AF108" s="378">
        <f>IF(NFI_Expiration=1,IF($A108&lt;VLOOKUP(O$5,NFI,5,0),1,0)*Table_NFI[[#This Row],[Clothes Kit]],Table_NFI[Clothes Kit])</f>
        <v>0</v>
      </c>
      <c r="AG108" s="378">
        <f>IF(NFI_Expiration=1,IF($A108&lt;VLOOKUP(P$5,NFI,5,0),1,0)*Table_NFI[[#This Row],[Plastic Bucket]],Table_NFI[Plastic Bucket])</f>
        <v>0</v>
      </c>
      <c r="AH108" s="378">
        <f>IF(NFI_Expiration=1,IF($A108&lt;VLOOKUP(Q$5,NFI,5,0),1,0)*Table_NFI[[#This Row],[Plastic Mat]],Table_NFI[Plastic Mat])*IF(Table_NFI[[#This Row],[Distribution Date]]&gt;"2014-04-01",1,2.5)</f>
        <v>0</v>
      </c>
      <c r="AI108" s="378">
        <f>IF(NFI_Expiration=1,IF($A108&lt;VLOOKUP(R$5,NFI,5,0),1,0)*Table_NFI[[#This Row],[Winter Clothes Adult]],Table_NFI[Winter Clothes Adult])</f>
        <v>0</v>
      </c>
      <c r="AJ108" s="378">
        <f>IF(NFI_Expiration=1,IF($A108&lt;VLOOKUP(S$5,NFI,5,0),1,0)*Table_NFI[[#This Row],[Winter Clothes Children]],Table_NFI[Winter Clothes Children])</f>
        <v>0</v>
      </c>
      <c r="AK108" s="378">
        <f>IF(NFI_Expiration=1,IF($A108&lt;VLOOKUP(T$5,NFI,5,0),1,0)*Table_NFI[[#This Row],[Winter Items Other]],Table_NFI[Winter Items Other])</f>
        <v>0</v>
      </c>
      <c r="AL108" s="378">
        <f>IF(NFI_Expiration=1,IF($A108&lt;VLOOKUP(M$5,NFI,5,0),1,0)*Table_NFI[[#This Row],[Winter Blanket]],Table_NFI[[#This Row],[Winter Blanket]])</f>
        <v>0</v>
      </c>
      <c r="AM108" s="378">
        <f>IF(Table_NFI[[#This Row],[Winter Clothes Adult]]+Table_NFI[[#This Row],[Winter Clothes Children]]+Table_NFI[[#This Row],[Winter Items Other]]+Table_NFI[[#This Row],[Winter Blanket]]&gt;0,1,0)</f>
        <v>0</v>
      </c>
      <c r="AN108" s="418">
        <f>IF(NFI_Expiration=1,IF($A108&lt;VLOOKUP(V$5,NFI,5,0),1,0)*Table_NFI[[#This Row],[Jerry Can]],Table_NFI[Jerry Can])</f>
        <v>0</v>
      </c>
      <c r="AO108" s="579" t="str">
        <f>IFERROR(VLOOKUP(Table_NFI[[#This Row],[Camp Name]],CL,2,0),"")</f>
        <v>MMR001CMP042</v>
      </c>
      <c r="AP108" s="574">
        <f ca="1">IF(Table_NFI[[#This Row],[Pcode]]="","",IF(OFFSET(CampList[Opening Date],MATCH(Table_NFI[[#This Row],[Pcode]],CampList[CP_Pcode],0)-1,0,1,1)&gt;=NFI_Monitor_Date,1,0))</f>
        <v>0</v>
      </c>
      <c r="AQ108" s="579" t="str">
        <f>IFERROR(VLOOKUP(Table_NFI[[#This Row],[Camp Name]],CL,3,0),"")</f>
        <v>Open</v>
      </c>
      <c r="AR108" s="378" t="str">
        <f ca="1">IF(Table_NFI[[#This Row],[Pcode]]="","",OFFSET(CampList[Priority],MATCH(Table_NFI[[#This Row],[Pcode]],CampList[CP_Pcode],0)-1,0,1,1))</f>
        <v>P1</v>
      </c>
      <c r="AS108" s="377">
        <f>IFERROR(Table_NFI[[#This Row],[Kitchen Set]]/VLOOKUP(Table_NFI[[#This Row],[Camp Name]],CL,4,0),"")</f>
        <v>0.37614678899082571</v>
      </c>
      <c r="AT108" s="572" t="s">
        <v>1095</v>
      </c>
      <c r="AU108" s="575"/>
    </row>
    <row r="109" spans="1:47" s="576" customFormat="1" x14ac:dyDescent="0.25">
      <c r="A109" s="381">
        <f t="shared" si="1"/>
        <v>39.733333333333334</v>
      </c>
      <c r="B109" s="571">
        <v>41330</v>
      </c>
      <c r="C109" s="572" t="s">
        <v>454</v>
      </c>
      <c r="D109" s="573" t="s">
        <v>907</v>
      </c>
      <c r="E109" s="572" t="s">
        <v>380</v>
      </c>
      <c r="F109" s="374" t="s">
        <v>27</v>
      </c>
      <c r="G109" s="374" t="s">
        <v>28</v>
      </c>
      <c r="H109" s="375"/>
      <c r="I109" s="375"/>
      <c r="J109" s="375">
        <v>11</v>
      </c>
      <c r="K109" s="375">
        <v>17</v>
      </c>
      <c r="L109" s="376">
        <v>7</v>
      </c>
      <c r="M109" s="376">
        <v>17</v>
      </c>
      <c r="N109" s="376">
        <v>7</v>
      </c>
      <c r="O109" s="376">
        <v>7</v>
      </c>
      <c r="P109" s="378">
        <v>7</v>
      </c>
      <c r="Q109" s="378">
        <v>7</v>
      </c>
      <c r="R109" s="378"/>
      <c r="S109" s="378"/>
      <c r="T109" s="378"/>
      <c r="U109" s="378"/>
      <c r="V109" s="533"/>
      <c r="W109" s="378"/>
      <c r="X109" s="378"/>
      <c r="Y109" s="378">
        <f>IF(NFI_Expiration=1,IF($A109&lt;VLOOKUP(H$5,NFI,5,0),1,0)*Table_NFI[[#This Row],[Hygiene Kit]],Table_NFI[Hygiene Kit])</f>
        <v>0</v>
      </c>
      <c r="Z109" s="378">
        <f>IF(NFI_Expiration=1,IF($A109&lt;VLOOKUP(I$5,NFI,5,0),1,0)*Table_NFI[[#This Row],[NFI Core Kit]],Table_NFI[NFI Core Kit])</f>
        <v>0</v>
      </c>
      <c r="AA109" s="378">
        <f>IF(NFI_Expiration=1,IF($A109&lt;VLOOKUP(J$5,NFI,5,0),1,0)*Table_NFI[[#This Row],[Sanitary Kit]],Table_NFI[Sanitary Kit])</f>
        <v>0</v>
      </c>
      <c r="AB109" s="378">
        <f>IF(NFI_Expiration=1,IF($A109&lt;VLOOKUP(K$5,NFI,5,0),1,0)*Table_NFI[[#This Row],[Mosquito net]],Table_NFI[Mosquito net])</f>
        <v>0</v>
      </c>
      <c r="AC109" s="378">
        <f>IF(NFI_Expiration=1,IF($A109&lt;VLOOKUP(L$5,NFI,5,0),1,0)*Table_NFI[[#This Row],[Tarpaulin]],Table_NFI[[#This Row],[Tarpaulin]])</f>
        <v>0</v>
      </c>
      <c r="AD109" s="378">
        <f>IF(NFI_Expiration=1,IF($A109&lt;VLOOKUP(M$5,NFI,5,0),1,0)*Table_NFI[[#This Row],[Blanket]],Table_NFI[[#This Row],[Blanket]])</f>
        <v>0</v>
      </c>
      <c r="AE109" s="378">
        <f>IF(NFI_Expiration=1,IF($A109&lt;VLOOKUP(N$5,NFI,5,0),1,0)*Table_NFI[[#This Row],[Kitchen Set]],Table_NFI[Kitchen Set])</f>
        <v>0</v>
      </c>
      <c r="AF109" s="378">
        <f>IF(NFI_Expiration=1,IF($A109&lt;VLOOKUP(O$5,NFI,5,0),1,0)*Table_NFI[[#This Row],[Clothes Kit]],Table_NFI[Clothes Kit])</f>
        <v>0</v>
      </c>
      <c r="AG109" s="378">
        <f>IF(NFI_Expiration=1,IF($A109&lt;VLOOKUP(P$5,NFI,5,0),1,0)*Table_NFI[[#This Row],[Plastic Bucket]],Table_NFI[Plastic Bucket])</f>
        <v>0</v>
      </c>
      <c r="AH109" s="378">
        <f>IF(NFI_Expiration=1,IF($A109&lt;VLOOKUP(Q$5,NFI,5,0),1,0)*Table_NFI[[#This Row],[Plastic Mat]],Table_NFI[Plastic Mat])*IF(Table_NFI[[#This Row],[Distribution Date]]&gt;"2014-04-01",1,2.5)</f>
        <v>0</v>
      </c>
      <c r="AI109" s="378">
        <f>IF(NFI_Expiration=1,IF($A109&lt;VLOOKUP(R$5,NFI,5,0),1,0)*Table_NFI[[#This Row],[Winter Clothes Adult]],Table_NFI[Winter Clothes Adult])</f>
        <v>0</v>
      </c>
      <c r="AJ109" s="378">
        <f>IF(NFI_Expiration=1,IF($A109&lt;VLOOKUP(S$5,NFI,5,0),1,0)*Table_NFI[[#This Row],[Winter Clothes Children]],Table_NFI[Winter Clothes Children])</f>
        <v>0</v>
      </c>
      <c r="AK109" s="378">
        <f>IF(NFI_Expiration=1,IF($A109&lt;VLOOKUP(T$5,NFI,5,0),1,0)*Table_NFI[[#This Row],[Winter Items Other]],Table_NFI[Winter Items Other])</f>
        <v>0</v>
      </c>
      <c r="AL109" s="378">
        <f>IF(NFI_Expiration=1,IF($A109&lt;VLOOKUP(M$5,NFI,5,0),1,0)*Table_NFI[[#This Row],[Winter Blanket]],Table_NFI[[#This Row],[Winter Blanket]])</f>
        <v>0</v>
      </c>
      <c r="AM109" s="378">
        <f>IF(Table_NFI[[#This Row],[Winter Clothes Adult]]+Table_NFI[[#This Row],[Winter Clothes Children]]+Table_NFI[[#This Row],[Winter Items Other]]+Table_NFI[[#This Row],[Winter Blanket]]&gt;0,1,0)</f>
        <v>0</v>
      </c>
      <c r="AN109" s="418">
        <f>IF(NFI_Expiration=1,IF($A109&lt;VLOOKUP(V$5,NFI,5,0),1,0)*Table_NFI[[#This Row],[Jerry Can]],Table_NFI[Jerry Can])</f>
        <v>0</v>
      </c>
      <c r="AO109" s="579" t="str">
        <f>IFERROR(VLOOKUP(Table_NFI[[#This Row],[Camp Name]],CL,2,0),"")</f>
        <v>MMR001CMP042</v>
      </c>
      <c r="AP109" s="574">
        <f ca="1">IF(Table_NFI[[#This Row],[Pcode]]="","",IF(OFFSET(CampList[Opening Date],MATCH(Table_NFI[[#This Row],[Pcode]],CampList[CP_Pcode],0)-1,0,1,1)&gt;=NFI_Monitor_Date,1,0))</f>
        <v>0</v>
      </c>
      <c r="AQ109" s="579" t="str">
        <f>IFERROR(VLOOKUP(Table_NFI[[#This Row],[Camp Name]],CL,3,0),"")</f>
        <v>Open</v>
      </c>
      <c r="AR109" s="378" t="str">
        <f ca="1">IF(Table_NFI[[#This Row],[Pcode]]="","",OFFSET(CampList[Priority],MATCH(Table_NFI[[#This Row],[Pcode]],CampList[CP_Pcode],0)-1,0,1,1))</f>
        <v>P1</v>
      </c>
      <c r="AS109" s="377">
        <f>IFERROR(Table_NFI[[#This Row],[Kitchen Set]]/VLOOKUP(Table_NFI[[#This Row],[Camp Name]],CL,4,0),"")</f>
        <v>6.4220183486238536E-2</v>
      </c>
      <c r="AT109" s="572" t="s">
        <v>1095</v>
      </c>
      <c r="AU109" s="575"/>
    </row>
    <row r="110" spans="1:47" s="576" customFormat="1" x14ac:dyDescent="0.25">
      <c r="A110" s="381">
        <f t="shared" si="1"/>
        <v>44.833333333333336</v>
      </c>
      <c r="B110" s="571">
        <v>41177</v>
      </c>
      <c r="C110" s="572" t="s">
        <v>454</v>
      </c>
      <c r="D110" s="572" t="s">
        <v>907</v>
      </c>
      <c r="E110" s="572" t="s">
        <v>380</v>
      </c>
      <c r="F110" s="374" t="s">
        <v>27</v>
      </c>
      <c r="G110" s="374" t="s">
        <v>28</v>
      </c>
      <c r="H110" s="375"/>
      <c r="I110" s="375"/>
      <c r="J110" s="375"/>
      <c r="K110" s="375">
        <v>33</v>
      </c>
      <c r="L110" s="378">
        <v>11</v>
      </c>
      <c r="M110" s="378">
        <v>33</v>
      </c>
      <c r="N110" s="378">
        <v>11</v>
      </c>
      <c r="O110" s="378">
        <v>11</v>
      </c>
      <c r="P110" s="378">
        <v>11</v>
      </c>
      <c r="Q110" s="378">
        <v>11</v>
      </c>
      <c r="R110" s="378"/>
      <c r="S110" s="378"/>
      <c r="T110" s="378"/>
      <c r="U110" s="378"/>
      <c r="V110" s="533"/>
      <c r="W110" s="378"/>
      <c r="X110" s="378"/>
      <c r="Y110" s="378">
        <f>IF(NFI_Expiration=1,IF($A110&lt;VLOOKUP(H$5,NFI,5,0),1,0)*Table_NFI[[#This Row],[Hygiene Kit]],Table_NFI[Hygiene Kit])</f>
        <v>0</v>
      </c>
      <c r="Z110" s="378">
        <f>IF(NFI_Expiration=1,IF($A110&lt;VLOOKUP(I$5,NFI,5,0),1,0)*Table_NFI[[#This Row],[NFI Core Kit]],Table_NFI[NFI Core Kit])</f>
        <v>0</v>
      </c>
      <c r="AA110" s="378">
        <f>IF(NFI_Expiration=1,IF($A110&lt;VLOOKUP(J$5,NFI,5,0),1,0)*Table_NFI[[#This Row],[Sanitary Kit]],Table_NFI[Sanitary Kit])</f>
        <v>0</v>
      </c>
      <c r="AB110" s="378">
        <f>IF(NFI_Expiration=1,IF($A110&lt;VLOOKUP(K$5,NFI,5,0),1,0)*Table_NFI[[#This Row],[Mosquito net]],Table_NFI[Mosquito net])</f>
        <v>0</v>
      </c>
      <c r="AC110" s="378">
        <f>IF(NFI_Expiration=1,IF($A110&lt;VLOOKUP(L$5,NFI,5,0),1,0)*Table_NFI[[#This Row],[Tarpaulin]],Table_NFI[[#This Row],[Tarpaulin]])</f>
        <v>0</v>
      </c>
      <c r="AD110" s="378">
        <f>IF(NFI_Expiration=1,IF($A110&lt;VLOOKUP(M$5,NFI,5,0),1,0)*Table_NFI[[#This Row],[Blanket]],Table_NFI[[#This Row],[Blanket]])</f>
        <v>0</v>
      </c>
      <c r="AE110" s="378">
        <f>IF(NFI_Expiration=1,IF($A110&lt;VLOOKUP(N$5,NFI,5,0),1,0)*Table_NFI[[#This Row],[Kitchen Set]],Table_NFI[Kitchen Set])</f>
        <v>0</v>
      </c>
      <c r="AF110" s="378">
        <f>IF(NFI_Expiration=1,IF($A110&lt;VLOOKUP(O$5,NFI,5,0),1,0)*Table_NFI[[#This Row],[Clothes Kit]],Table_NFI[Clothes Kit])</f>
        <v>0</v>
      </c>
      <c r="AG110" s="378">
        <f>IF(NFI_Expiration=1,IF($A110&lt;VLOOKUP(P$5,NFI,5,0),1,0)*Table_NFI[[#This Row],[Plastic Bucket]],Table_NFI[Plastic Bucket])</f>
        <v>0</v>
      </c>
      <c r="AH110" s="378">
        <f>IF(NFI_Expiration=1,IF($A110&lt;VLOOKUP(Q$5,NFI,5,0),1,0)*Table_NFI[[#This Row],[Plastic Mat]],Table_NFI[Plastic Mat])*IF(Table_NFI[[#This Row],[Distribution Date]]&gt;"2014-04-01",1,2.5)</f>
        <v>0</v>
      </c>
      <c r="AI110" s="378">
        <f>IF(NFI_Expiration=1,IF($A110&lt;VLOOKUP(R$5,NFI,5,0),1,0)*Table_NFI[[#This Row],[Winter Clothes Adult]],Table_NFI[Winter Clothes Adult])</f>
        <v>0</v>
      </c>
      <c r="AJ110" s="378">
        <f>IF(NFI_Expiration=1,IF($A110&lt;VLOOKUP(S$5,NFI,5,0),1,0)*Table_NFI[[#This Row],[Winter Clothes Children]],Table_NFI[Winter Clothes Children])</f>
        <v>0</v>
      </c>
      <c r="AK110" s="378">
        <f>IF(NFI_Expiration=1,IF($A110&lt;VLOOKUP(T$5,NFI,5,0),1,0)*Table_NFI[[#This Row],[Winter Items Other]],Table_NFI[Winter Items Other])</f>
        <v>0</v>
      </c>
      <c r="AL110" s="378">
        <f>IF(NFI_Expiration=1,IF($A110&lt;VLOOKUP(M$5,NFI,5,0),1,0)*Table_NFI[[#This Row],[Winter Blanket]],Table_NFI[[#This Row],[Winter Blanket]])</f>
        <v>0</v>
      </c>
      <c r="AM110" s="378">
        <f>IF(Table_NFI[[#This Row],[Winter Clothes Adult]]+Table_NFI[[#This Row],[Winter Clothes Children]]+Table_NFI[[#This Row],[Winter Items Other]]+Table_NFI[[#This Row],[Winter Blanket]]&gt;0,1,0)</f>
        <v>0</v>
      </c>
      <c r="AN110" s="418">
        <f>IF(NFI_Expiration=1,IF($A110&lt;VLOOKUP(V$5,NFI,5,0),1,0)*Table_NFI[[#This Row],[Jerry Can]],Table_NFI[Jerry Can])</f>
        <v>0</v>
      </c>
      <c r="AO110" s="579" t="str">
        <f>IFERROR(VLOOKUP(Table_NFI[[#This Row],[Camp Name]],CL,2,0),"")</f>
        <v>MMR001CMP042</v>
      </c>
      <c r="AP110" s="574">
        <f ca="1">IF(Table_NFI[[#This Row],[Pcode]]="","",IF(OFFSET(CampList[Opening Date],MATCH(Table_NFI[[#This Row],[Pcode]],CampList[CP_Pcode],0)-1,0,1,1)&gt;=NFI_Monitor_Date,1,0))</f>
        <v>0</v>
      </c>
      <c r="AQ110" s="579" t="str">
        <f>IFERROR(VLOOKUP(Table_NFI[[#This Row],[Camp Name]],CL,3,0),"")</f>
        <v>Open</v>
      </c>
      <c r="AR110" s="378" t="str">
        <f ca="1">IF(Table_NFI[[#This Row],[Pcode]]="","",OFFSET(CampList[Priority],MATCH(Table_NFI[[#This Row],[Pcode]],CampList[CP_Pcode],0)-1,0,1,1))</f>
        <v>P1</v>
      </c>
      <c r="AS110" s="377">
        <f>IFERROR(Table_NFI[[#This Row],[Kitchen Set]]/VLOOKUP(Table_NFI[[#This Row],[Camp Name]],CL,4,0),"")</f>
        <v>0.10091743119266056</v>
      </c>
      <c r="AT110" s="572" t="s">
        <v>1095</v>
      </c>
      <c r="AU110" s="575"/>
    </row>
    <row r="111" spans="1:47" s="576" customFormat="1" x14ac:dyDescent="0.25">
      <c r="A111" s="381">
        <f t="shared" si="1"/>
        <v>19.3</v>
      </c>
      <c r="B111" s="571">
        <v>41943</v>
      </c>
      <c r="C111" s="572" t="s">
        <v>454</v>
      </c>
      <c r="D111" s="572"/>
      <c r="E111" s="572" t="s">
        <v>380</v>
      </c>
      <c r="F111" s="572" t="s">
        <v>529</v>
      </c>
      <c r="G111" s="572" t="s">
        <v>76</v>
      </c>
      <c r="H111" s="375"/>
      <c r="I111" s="375"/>
      <c r="J111" s="375">
        <v>67</v>
      </c>
      <c r="K111" s="375">
        <v>134</v>
      </c>
      <c r="L111" s="376">
        <v>67</v>
      </c>
      <c r="M111" s="376">
        <v>134</v>
      </c>
      <c r="N111" s="376">
        <v>67</v>
      </c>
      <c r="O111" s="376"/>
      <c r="P111" s="378">
        <v>67</v>
      </c>
      <c r="Q111" s="378">
        <v>335</v>
      </c>
      <c r="R111" s="378"/>
      <c r="S111" s="378"/>
      <c r="T111" s="378"/>
      <c r="U111" s="378"/>
      <c r="V111" s="533"/>
      <c r="W111" s="378"/>
      <c r="X111" s="378"/>
      <c r="Y111" s="378">
        <f>IF(NFI_Expiration=1,IF($A111&lt;VLOOKUP(H$5,NFI,5,0),1,0)*Table_NFI[[#This Row],[Hygiene Kit]],Table_NFI[Hygiene Kit])</f>
        <v>0</v>
      </c>
      <c r="Z111" s="378">
        <f>IF(NFI_Expiration=1,IF($A111&lt;VLOOKUP(I$5,NFI,5,0),1,0)*Table_NFI[[#This Row],[NFI Core Kit]],Table_NFI[NFI Core Kit])</f>
        <v>0</v>
      </c>
      <c r="AA111" s="378">
        <f>IF(NFI_Expiration=1,IF($A111&lt;VLOOKUP(J$5,NFI,5,0),1,0)*Table_NFI[[#This Row],[Sanitary Kit]],Table_NFI[Sanitary Kit])</f>
        <v>0</v>
      </c>
      <c r="AB111" s="378">
        <f>IF(NFI_Expiration=1,IF($A111&lt;VLOOKUP(K$5,NFI,5,0),1,0)*Table_NFI[[#This Row],[Mosquito net]],Table_NFI[Mosquito net])</f>
        <v>0</v>
      </c>
      <c r="AC111" s="378">
        <f>IF(NFI_Expiration=1,IF($A111&lt;VLOOKUP(L$5,NFI,5,0),1,0)*Table_NFI[[#This Row],[Tarpaulin]],Table_NFI[[#This Row],[Tarpaulin]])</f>
        <v>0</v>
      </c>
      <c r="AD111" s="378">
        <f>IF(NFI_Expiration=1,IF($A111&lt;VLOOKUP(M$5,NFI,5,0),1,0)*Table_NFI[[#This Row],[Blanket]],Table_NFI[[#This Row],[Blanket]])</f>
        <v>0</v>
      </c>
      <c r="AE111" s="378">
        <f>IF(NFI_Expiration=1,IF($A111&lt;VLOOKUP(N$5,NFI,5,0),1,0)*Table_NFI[[#This Row],[Kitchen Set]],Table_NFI[Kitchen Set])</f>
        <v>0</v>
      </c>
      <c r="AF111" s="378">
        <f>IF(NFI_Expiration=1,IF($A111&lt;VLOOKUP(O$5,NFI,5,0),1,0)*Table_NFI[[#This Row],[Clothes Kit]],Table_NFI[Clothes Kit])</f>
        <v>0</v>
      </c>
      <c r="AG111" s="378">
        <f>IF(NFI_Expiration=1,IF($A111&lt;VLOOKUP(P$5,NFI,5,0),1,0)*Table_NFI[[#This Row],[Plastic Bucket]],Table_NFI[Plastic Bucket])</f>
        <v>0</v>
      </c>
      <c r="AH111" s="378">
        <f>IF(NFI_Expiration=1,IF($A111&lt;VLOOKUP(Q$5,NFI,5,0),1,0)*Table_NFI[[#This Row],[Plastic Mat]],Table_NFI[Plastic Mat])*IF(Table_NFI[[#This Row],[Distribution Date]]&gt;"2014-04-01",1,2.5)</f>
        <v>0</v>
      </c>
      <c r="AI111" s="378">
        <f>IF(NFI_Expiration=1,IF($A111&lt;VLOOKUP(R$5,NFI,5,0),1,0)*Table_NFI[[#This Row],[Winter Clothes Adult]],Table_NFI[Winter Clothes Adult])</f>
        <v>0</v>
      </c>
      <c r="AJ111" s="378">
        <f>IF(NFI_Expiration=1,IF($A111&lt;VLOOKUP(S$5,NFI,5,0),1,0)*Table_NFI[[#This Row],[Winter Clothes Children]],Table_NFI[Winter Clothes Children])</f>
        <v>0</v>
      </c>
      <c r="AK111" s="378">
        <f>IF(NFI_Expiration=1,IF($A111&lt;VLOOKUP(T$5,NFI,5,0),1,0)*Table_NFI[[#This Row],[Winter Items Other]],Table_NFI[Winter Items Other])</f>
        <v>0</v>
      </c>
      <c r="AL111" s="378">
        <f>IF(NFI_Expiration=1,IF($A111&lt;VLOOKUP(M$5,NFI,5,0),1,0)*Table_NFI[[#This Row],[Winter Blanket]],Table_NFI[[#This Row],[Winter Blanket]])</f>
        <v>0</v>
      </c>
      <c r="AM111" s="378">
        <f>IF(Table_NFI[[#This Row],[Winter Clothes Adult]]+Table_NFI[[#This Row],[Winter Clothes Children]]+Table_NFI[[#This Row],[Winter Items Other]]+Table_NFI[[#This Row],[Winter Blanket]]&gt;0,1,0)</f>
        <v>0</v>
      </c>
      <c r="AN111" s="418">
        <f>IF(NFI_Expiration=1,IF($A111&lt;VLOOKUP(V$5,NFI,5,0),1,0)*Table_NFI[[#This Row],[Jerry Can]],Table_NFI[Jerry Can])</f>
        <v>0</v>
      </c>
      <c r="AO111" s="579" t="str">
        <f>IFERROR(VLOOKUP(Table_NFI[[#This Row],[Camp Name]],CL,2,0),"")</f>
        <v>MMR001CMP174</v>
      </c>
      <c r="AP111" s="574">
        <f ca="1">IF(Table_NFI[[#This Row],[Pcode]]="","",IF(OFFSET(CampList[Opening Date],MATCH(Table_NFI[[#This Row],[Pcode]],CampList[CP_Pcode],0)-1,0,1,1)&gt;=NFI_Monitor_Date,1,0))</f>
        <v>0</v>
      </c>
      <c r="AQ111" s="579" t="str">
        <f>IFERROR(VLOOKUP(Table_NFI[[#This Row],[Camp Name]],CL,3,0),"")</f>
        <v>Open</v>
      </c>
      <c r="AR111" s="378" t="str">
        <f ca="1">IF(Table_NFI[[#This Row],[Pcode]]="","",OFFSET(CampList[Priority],MATCH(Table_NFI[[#This Row],[Pcode]],CampList[CP_Pcode],0)-1,0,1,1))</f>
        <v>P4</v>
      </c>
      <c r="AS111" s="377">
        <f>IFERROR(Table_NFI[[#This Row],[Kitchen Set]]/VLOOKUP(Table_NFI[[#This Row],[Camp Name]],CL,4,0),"")</f>
        <v>1.0151515151515151</v>
      </c>
      <c r="AT111" s="572"/>
      <c r="AU111" s="575"/>
    </row>
    <row r="112" spans="1:47" s="576" customFormat="1" x14ac:dyDescent="0.25">
      <c r="A112" s="381">
        <f t="shared" si="1"/>
        <v>19.5</v>
      </c>
      <c r="B112" s="571">
        <v>41937</v>
      </c>
      <c r="C112" s="572" t="s">
        <v>1097</v>
      </c>
      <c r="D112" s="572" t="s">
        <v>903</v>
      </c>
      <c r="E112" s="572" t="s">
        <v>380</v>
      </c>
      <c r="F112" s="572" t="s">
        <v>529</v>
      </c>
      <c r="G112" s="572" t="s">
        <v>76</v>
      </c>
      <c r="H112" s="375"/>
      <c r="I112" s="375"/>
      <c r="J112" s="375"/>
      <c r="K112" s="375"/>
      <c r="L112" s="376"/>
      <c r="M112" s="376"/>
      <c r="N112" s="376"/>
      <c r="O112" s="376"/>
      <c r="P112" s="378"/>
      <c r="Q112" s="378"/>
      <c r="R112" s="378">
        <v>214</v>
      </c>
      <c r="S112" s="378">
        <v>112</v>
      </c>
      <c r="T112" s="378"/>
      <c r="U112" s="378"/>
      <c r="V112" s="533"/>
      <c r="W112" s="378"/>
      <c r="X112" s="378"/>
      <c r="Y112" s="378">
        <f>IF(NFI_Expiration=1,IF($A112&lt;VLOOKUP(H$5,NFI,5,0),1,0)*Table_NFI[[#This Row],[Hygiene Kit]],Table_NFI[Hygiene Kit])</f>
        <v>0</v>
      </c>
      <c r="Z112" s="378">
        <f>IF(NFI_Expiration=1,IF($A112&lt;VLOOKUP(I$5,NFI,5,0),1,0)*Table_NFI[[#This Row],[NFI Core Kit]],Table_NFI[NFI Core Kit])</f>
        <v>0</v>
      </c>
      <c r="AA112" s="378">
        <f>IF(NFI_Expiration=1,IF($A112&lt;VLOOKUP(J$5,NFI,5,0),1,0)*Table_NFI[[#This Row],[Sanitary Kit]],Table_NFI[Sanitary Kit])</f>
        <v>0</v>
      </c>
      <c r="AB112" s="378">
        <f>IF(NFI_Expiration=1,IF($A112&lt;VLOOKUP(K$5,NFI,5,0),1,0)*Table_NFI[[#This Row],[Mosquito net]],Table_NFI[Mosquito net])</f>
        <v>0</v>
      </c>
      <c r="AC112" s="378">
        <f>IF(NFI_Expiration=1,IF($A112&lt;VLOOKUP(L$5,NFI,5,0),1,0)*Table_NFI[[#This Row],[Tarpaulin]],Table_NFI[[#This Row],[Tarpaulin]])</f>
        <v>0</v>
      </c>
      <c r="AD112" s="378">
        <f>IF(NFI_Expiration=1,IF($A112&lt;VLOOKUP(M$5,NFI,5,0),1,0)*Table_NFI[[#This Row],[Blanket]],Table_NFI[[#This Row],[Blanket]])</f>
        <v>0</v>
      </c>
      <c r="AE112" s="378">
        <f>IF(NFI_Expiration=1,IF($A112&lt;VLOOKUP(N$5,NFI,5,0),1,0)*Table_NFI[[#This Row],[Kitchen Set]],Table_NFI[Kitchen Set])</f>
        <v>0</v>
      </c>
      <c r="AF112" s="378">
        <f>IF(NFI_Expiration=1,IF($A112&lt;VLOOKUP(O$5,NFI,5,0),1,0)*Table_NFI[[#This Row],[Clothes Kit]],Table_NFI[Clothes Kit])</f>
        <v>0</v>
      </c>
      <c r="AG112" s="378">
        <f>IF(NFI_Expiration=1,IF($A112&lt;VLOOKUP(P$5,NFI,5,0),1,0)*Table_NFI[[#This Row],[Plastic Bucket]],Table_NFI[Plastic Bucket])</f>
        <v>0</v>
      </c>
      <c r="AH112" s="378">
        <f>IF(NFI_Expiration=1,IF($A112&lt;VLOOKUP(Q$5,NFI,5,0),1,0)*Table_NFI[[#This Row],[Plastic Mat]],Table_NFI[Plastic Mat])*IF(Table_NFI[[#This Row],[Distribution Date]]&gt;"2014-04-01",1,2.5)</f>
        <v>0</v>
      </c>
      <c r="AI112" s="378">
        <f>IF(NFI_Expiration=1,IF($A112&lt;VLOOKUP(R$5,NFI,5,0),1,0)*Table_NFI[[#This Row],[Winter Clothes Adult]],Table_NFI[Winter Clothes Adult])</f>
        <v>0</v>
      </c>
      <c r="AJ112" s="378">
        <f>IF(NFI_Expiration=1,IF($A112&lt;VLOOKUP(S$5,NFI,5,0),1,0)*Table_NFI[[#This Row],[Winter Clothes Children]],Table_NFI[Winter Clothes Children])</f>
        <v>0</v>
      </c>
      <c r="AK112" s="378">
        <f>IF(NFI_Expiration=1,IF($A112&lt;VLOOKUP(T$5,NFI,5,0),1,0)*Table_NFI[[#This Row],[Winter Items Other]],Table_NFI[Winter Items Other])</f>
        <v>0</v>
      </c>
      <c r="AL112" s="378">
        <f>IF(NFI_Expiration=1,IF($A112&lt;VLOOKUP(M$5,NFI,5,0),1,0)*Table_NFI[[#This Row],[Winter Blanket]],Table_NFI[[#This Row],[Winter Blanket]])</f>
        <v>0</v>
      </c>
      <c r="AM112" s="378">
        <f>IF(Table_NFI[[#This Row],[Winter Clothes Adult]]+Table_NFI[[#This Row],[Winter Clothes Children]]+Table_NFI[[#This Row],[Winter Items Other]]+Table_NFI[[#This Row],[Winter Blanket]]&gt;0,1,0)</f>
        <v>1</v>
      </c>
      <c r="AN112" s="418">
        <f>IF(NFI_Expiration=1,IF($A112&lt;VLOOKUP(V$5,NFI,5,0),1,0)*Table_NFI[[#This Row],[Jerry Can]],Table_NFI[Jerry Can])</f>
        <v>0</v>
      </c>
      <c r="AO112" s="579" t="str">
        <f>IFERROR(VLOOKUP(Table_NFI[[#This Row],[Camp Name]],CL,2,0),"")</f>
        <v>MMR001CMP174</v>
      </c>
      <c r="AP112" s="574">
        <f ca="1">IF(Table_NFI[[#This Row],[Pcode]]="","",IF(OFFSET(CampList[Opening Date],MATCH(Table_NFI[[#This Row],[Pcode]],CampList[CP_Pcode],0)-1,0,1,1)&gt;=NFI_Monitor_Date,1,0))</f>
        <v>0</v>
      </c>
      <c r="AQ112" s="579" t="str">
        <f>IFERROR(VLOOKUP(Table_NFI[[#This Row],[Camp Name]],CL,3,0),"")</f>
        <v>Open</v>
      </c>
      <c r="AR112" s="378" t="str">
        <f ca="1">IF(Table_NFI[[#This Row],[Pcode]]="","",OFFSET(CampList[Priority],MATCH(Table_NFI[[#This Row],[Pcode]],CampList[CP_Pcode],0)-1,0,1,1))</f>
        <v>P4</v>
      </c>
      <c r="AS112" s="377">
        <f>IFERROR(Table_NFI[[#This Row],[Kitchen Set]]/VLOOKUP(Table_NFI[[#This Row],[Camp Name]],CL,4,0),"")</f>
        <v>0</v>
      </c>
      <c r="AT112" s="572"/>
      <c r="AU112" s="575"/>
    </row>
    <row r="113" spans="1:47" s="576" customFormat="1" x14ac:dyDescent="0.25">
      <c r="A113" s="381">
        <f t="shared" si="1"/>
        <v>20.3</v>
      </c>
      <c r="B113" s="571">
        <v>41913</v>
      </c>
      <c r="C113" s="572" t="s">
        <v>454</v>
      </c>
      <c r="D113" s="577" t="s">
        <v>507</v>
      </c>
      <c r="E113" s="577" t="s">
        <v>380</v>
      </c>
      <c r="F113" s="577" t="s">
        <v>529</v>
      </c>
      <c r="G113" s="577" t="s">
        <v>76</v>
      </c>
      <c r="H113" s="376"/>
      <c r="I113" s="376"/>
      <c r="J113" s="376"/>
      <c r="K113" s="376">
        <v>130</v>
      </c>
      <c r="L113" s="376"/>
      <c r="M113" s="376"/>
      <c r="N113" s="376"/>
      <c r="O113" s="376"/>
      <c r="P113" s="378"/>
      <c r="Q113" s="378"/>
      <c r="R113" s="378"/>
      <c r="S113" s="378"/>
      <c r="T113" s="378"/>
      <c r="U113" s="378"/>
      <c r="V113" s="533"/>
      <c r="W113" s="378"/>
      <c r="X113" s="378"/>
      <c r="Y113" s="378">
        <f>IF(NFI_Expiration=1,IF($A113&lt;VLOOKUP(H$5,NFI,5,0),1,0)*Table_NFI[[#This Row],[Hygiene Kit]],Table_NFI[Hygiene Kit])</f>
        <v>0</v>
      </c>
      <c r="Z113" s="378">
        <f>IF(NFI_Expiration=1,IF($A113&lt;VLOOKUP(I$5,NFI,5,0),1,0)*Table_NFI[[#This Row],[NFI Core Kit]],Table_NFI[NFI Core Kit])</f>
        <v>0</v>
      </c>
      <c r="AA113" s="378">
        <f>IF(NFI_Expiration=1,IF($A113&lt;VLOOKUP(J$5,NFI,5,0),1,0)*Table_NFI[[#This Row],[Sanitary Kit]],Table_NFI[Sanitary Kit])</f>
        <v>0</v>
      </c>
      <c r="AB113" s="378">
        <f>IF(NFI_Expiration=1,IF($A113&lt;VLOOKUP(K$5,NFI,5,0),1,0)*Table_NFI[[#This Row],[Mosquito net]],Table_NFI[Mosquito net])</f>
        <v>0</v>
      </c>
      <c r="AC113" s="378">
        <f>IF(NFI_Expiration=1,IF($A113&lt;VLOOKUP(L$5,NFI,5,0),1,0)*Table_NFI[[#This Row],[Tarpaulin]],Table_NFI[[#This Row],[Tarpaulin]])</f>
        <v>0</v>
      </c>
      <c r="AD113" s="378">
        <f>IF(NFI_Expiration=1,IF($A113&lt;VLOOKUP(M$5,NFI,5,0),1,0)*Table_NFI[[#This Row],[Blanket]],Table_NFI[[#This Row],[Blanket]])</f>
        <v>0</v>
      </c>
      <c r="AE113" s="378">
        <f>IF(NFI_Expiration=1,IF($A113&lt;VLOOKUP(N$5,NFI,5,0),1,0)*Table_NFI[[#This Row],[Kitchen Set]],Table_NFI[Kitchen Set])</f>
        <v>0</v>
      </c>
      <c r="AF113" s="378">
        <f>IF(NFI_Expiration=1,IF($A113&lt;VLOOKUP(O$5,NFI,5,0),1,0)*Table_NFI[[#This Row],[Clothes Kit]],Table_NFI[Clothes Kit])</f>
        <v>0</v>
      </c>
      <c r="AG113" s="378">
        <f>IF(NFI_Expiration=1,IF($A113&lt;VLOOKUP(P$5,NFI,5,0),1,0)*Table_NFI[[#This Row],[Plastic Bucket]],Table_NFI[Plastic Bucket])</f>
        <v>0</v>
      </c>
      <c r="AH113" s="378">
        <f>IF(NFI_Expiration=1,IF($A113&lt;VLOOKUP(Q$5,NFI,5,0),1,0)*Table_NFI[[#This Row],[Plastic Mat]],Table_NFI[Plastic Mat])*IF(Table_NFI[[#This Row],[Distribution Date]]&gt;"2014-04-01",1,2.5)</f>
        <v>0</v>
      </c>
      <c r="AI113" s="378">
        <f>IF(NFI_Expiration=1,IF($A113&lt;VLOOKUP(R$5,NFI,5,0),1,0)*Table_NFI[[#This Row],[Winter Clothes Adult]],Table_NFI[Winter Clothes Adult])</f>
        <v>0</v>
      </c>
      <c r="AJ113" s="378">
        <f>IF(NFI_Expiration=1,IF($A113&lt;VLOOKUP(S$5,NFI,5,0),1,0)*Table_NFI[[#This Row],[Winter Clothes Children]],Table_NFI[Winter Clothes Children])</f>
        <v>0</v>
      </c>
      <c r="AK113" s="378">
        <f>IF(NFI_Expiration=1,IF($A113&lt;VLOOKUP(T$5,NFI,5,0),1,0)*Table_NFI[[#This Row],[Winter Items Other]],Table_NFI[Winter Items Other])</f>
        <v>0</v>
      </c>
      <c r="AL113" s="378">
        <f>IF(NFI_Expiration=1,IF($A113&lt;VLOOKUP(M$5,NFI,5,0),1,0)*Table_NFI[[#This Row],[Winter Blanket]],Table_NFI[[#This Row],[Winter Blanket]])</f>
        <v>0</v>
      </c>
      <c r="AM113" s="378">
        <f>IF(Table_NFI[[#This Row],[Winter Clothes Adult]]+Table_NFI[[#This Row],[Winter Clothes Children]]+Table_NFI[[#This Row],[Winter Items Other]]+Table_NFI[[#This Row],[Winter Blanket]]&gt;0,1,0)</f>
        <v>0</v>
      </c>
      <c r="AN113" s="418">
        <f>IF(NFI_Expiration=1,IF($A113&lt;VLOOKUP(V$5,NFI,5,0),1,0)*Table_NFI[[#This Row],[Jerry Can]],Table_NFI[Jerry Can])</f>
        <v>0</v>
      </c>
      <c r="AO113" s="579" t="str">
        <f>IFERROR(VLOOKUP(Table_NFI[[#This Row],[Camp Name]],CL,2,0),"")</f>
        <v>MMR001CMP174</v>
      </c>
      <c r="AP113" s="574">
        <f ca="1">IF(Table_NFI[[#This Row],[Pcode]]="","",IF(OFFSET(CampList[Opening Date],MATCH(Table_NFI[[#This Row],[Pcode]],CampList[CP_Pcode],0)-1,0,1,1)&gt;=NFI_Monitor_Date,1,0))</f>
        <v>0</v>
      </c>
      <c r="AQ113" s="579" t="str">
        <f>IFERROR(VLOOKUP(Table_NFI[[#This Row],[Camp Name]],CL,3,0),"")</f>
        <v>Open</v>
      </c>
      <c r="AR113" s="378" t="str">
        <f ca="1">IF(Table_NFI[[#This Row],[Pcode]]="","",OFFSET(CampList[Priority],MATCH(Table_NFI[[#This Row],[Pcode]],CampList[CP_Pcode],0)-1,0,1,1))</f>
        <v>P4</v>
      </c>
      <c r="AS113" s="377">
        <f>IFERROR(Table_NFI[[#This Row],[Kitchen Set]]/VLOOKUP(Table_NFI[[#This Row],[Camp Name]],CL,4,0),"")</f>
        <v>0</v>
      </c>
      <c r="AT113" s="577"/>
      <c r="AU113" s="580"/>
    </row>
    <row r="114" spans="1:47" s="130" customFormat="1" x14ac:dyDescent="0.25">
      <c r="A114" s="381">
        <f t="shared" si="1"/>
        <v>39.93333333333333</v>
      </c>
      <c r="B114" s="571">
        <v>41324</v>
      </c>
      <c r="C114" s="572" t="s">
        <v>454</v>
      </c>
      <c r="D114" s="573" t="s">
        <v>454</v>
      </c>
      <c r="E114" s="572" t="s">
        <v>380</v>
      </c>
      <c r="F114" s="374" t="s">
        <v>529</v>
      </c>
      <c r="G114" s="374" t="s">
        <v>76</v>
      </c>
      <c r="H114" s="375"/>
      <c r="I114" s="375"/>
      <c r="J114" s="375">
        <v>74</v>
      </c>
      <c r="K114" s="375">
        <v>105</v>
      </c>
      <c r="L114" s="376">
        <v>59</v>
      </c>
      <c r="M114" s="376">
        <v>105</v>
      </c>
      <c r="N114" s="376">
        <v>59</v>
      </c>
      <c r="O114" s="376">
        <v>59</v>
      </c>
      <c r="P114" s="378">
        <v>59</v>
      </c>
      <c r="Q114" s="378">
        <v>59</v>
      </c>
      <c r="R114" s="378"/>
      <c r="S114" s="378"/>
      <c r="T114" s="378"/>
      <c r="U114" s="378"/>
      <c r="V114" s="533"/>
      <c r="W114" s="378"/>
      <c r="X114" s="378"/>
      <c r="Y114" s="378">
        <f>IF(NFI_Expiration=1,IF($A114&lt;VLOOKUP(H$5,NFI,5,0),1,0)*Table_NFI[[#This Row],[Hygiene Kit]],Table_NFI[Hygiene Kit])</f>
        <v>0</v>
      </c>
      <c r="Z114" s="378">
        <f>IF(NFI_Expiration=1,IF($A114&lt;VLOOKUP(I$5,NFI,5,0),1,0)*Table_NFI[[#This Row],[NFI Core Kit]],Table_NFI[NFI Core Kit])</f>
        <v>0</v>
      </c>
      <c r="AA114" s="378">
        <f>IF(NFI_Expiration=1,IF($A114&lt;VLOOKUP(J$5,NFI,5,0),1,0)*Table_NFI[[#This Row],[Sanitary Kit]],Table_NFI[Sanitary Kit])</f>
        <v>0</v>
      </c>
      <c r="AB114" s="378">
        <f>IF(NFI_Expiration=1,IF($A114&lt;VLOOKUP(K$5,NFI,5,0),1,0)*Table_NFI[[#This Row],[Mosquito net]],Table_NFI[Mosquito net])</f>
        <v>0</v>
      </c>
      <c r="AC114" s="378">
        <f>IF(NFI_Expiration=1,IF($A114&lt;VLOOKUP(L$5,NFI,5,0),1,0)*Table_NFI[[#This Row],[Tarpaulin]],Table_NFI[[#This Row],[Tarpaulin]])</f>
        <v>0</v>
      </c>
      <c r="AD114" s="378">
        <f>IF(NFI_Expiration=1,IF($A114&lt;VLOOKUP(M$5,NFI,5,0),1,0)*Table_NFI[[#This Row],[Blanket]],Table_NFI[[#This Row],[Blanket]])</f>
        <v>0</v>
      </c>
      <c r="AE114" s="378">
        <f>IF(NFI_Expiration=1,IF($A114&lt;VLOOKUP(N$5,NFI,5,0),1,0)*Table_NFI[[#This Row],[Kitchen Set]],Table_NFI[Kitchen Set])</f>
        <v>0</v>
      </c>
      <c r="AF114" s="378">
        <f>IF(NFI_Expiration=1,IF($A114&lt;VLOOKUP(O$5,NFI,5,0),1,0)*Table_NFI[[#This Row],[Clothes Kit]],Table_NFI[Clothes Kit])</f>
        <v>0</v>
      </c>
      <c r="AG114" s="378">
        <f>IF(NFI_Expiration=1,IF($A114&lt;VLOOKUP(P$5,NFI,5,0),1,0)*Table_NFI[[#This Row],[Plastic Bucket]],Table_NFI[Plastic Bucket])</f>
        <v>0</v>
      </c>
      <c r="AH114" s="378">
        <f>IF(NFI_Expiration=1,IF($A114&lt;VLOOKUP(Q$5,NFI,5,0),1,0)*Table_NFI[[#This Row],[Plastic Mat]],Table_NFI[Plastic Mat])*IF(Table_NFI[[#This Row],[Distribution Date]]&gt;"2014-04-01",1,2.5)</f>
        <v>0</v>
      </c>
      <c r="AI114" s="378">
        <f>IF(NFI_Expiration=1,IF($A114&lt;VLOOKUP(R$5,NFI,5,0),1,0)*Table_NFI[[#This Row],[Winter Clothes Adult]],Table_NFI[Winter Clothes Adult])</f>
        <v>0</v>
      </c>
      <c r="AJ114" s="378">
        <f>IF(NFI_Expiration=1,IF($A114&lt;VLOOKUP(S$5,NFI,5,0),1,0)*Table_NFI[[#This Row],[Winter Clothes Children]],Table_NFI[Winter Clothes Children])</f>
        <v>0</v>
      </c>
      <c r="AK114" s="378">
        <f>IF(NFI_Expiration=1,IF($A114&lt;VLOOKUP(T$5,NFI,5,0),1,0)*Table_NFI[[#This Row],[Winter Items Other]],Table_NFI[Winter Items Other])</f>
        <v>0</v>
      </c>
      <c r="AL114" s="378">
        <f>IF(NFI_Expiration=1,IF($A114&lt;VLOOKUP(M$5,NFI,5,0),1,0)*Table_NFI[[#This Row],[Winter Blanket]],Table_NFI[[#This Row],[Winter Blanket]])</f>
        <v>0</v>
      </c>
      <c r="AM114" s="378">
        <f>IF(Table_NFI[[#This Row],[Winter Clothes Adult]]+Table_NFI[[#This Row],[Winter Clothes Children]]+Table_NFI[[#This Row],[Winter Items Other]]+Table_NFI[[#This Row],[Winter Blanket]]&gt;0,1,0)</f>
        <v>0</v>
      </c>
      <c r="AN114" s="418">
        <f>IF(NFI_Expiration=1,IF($A114&lt;VLOOKUP(V$5,NFI,5,0),1,0)*Table_NFI[[#This Row],[Jerry Can]],Table_NFI[Jerry Can])</f>
        <v>0</v>
      </c>
      <c r="AO114" s="579" t="str">
        <f>IFERROR(VLOOKUP(Table_NFI[[#This Row],[Camp Name]],CL,2,0),"")</f>
        <v>MMR001CMP174</v>
      </c>
      <c r="AP114" s="574">
        <f ca="1">IF(Table_NFI[[#This Row],[Pcode]]="","",IF(OFFSET(CampList[Opening Date],MATCH(Table_NFI[[#This Row],[Pcode]],CampList[CP_Pcode],0)-1,0,1,1)&gt;=NFI_Monitor_Date,1,0))</f>
        <v>0</v>
      </c>
      <c r="AQ114" s="579" t="str">
        <f>IFERROR(VLOOKUP(Table_NFI[[#This Row],[Camp Name]],CL,3,0),"")</f>
        <v>Open</v>
      </c>
      <c r="AR114" s="378" t="str">
        <f ca="1">IF(Table_NFI[[#This Row],[Pcode]]="","",OFFSET(CampList[Priority],MATCH(Table_NFI[[#This Row],[Pcode]],CampList[CP_Pcode],0)-1,0,1,1))</f>
        <v>P4</v>
      </c>
      <c r="AS114" s="377">
        <f>IFERROR(Table_NFI[[#This Row],[Kitchen Set]]/VLOOKUP(Table_NFI[[#This Row],[Camp Name]],CL,4,0),"")</f>
        <v>0.89393939393939392</v>
      </c>
      <c r="AT114" s="572" t="s">
        <v>1095</v>
      </c>
      <c r="AU114" s="575"/>
    </row>
    <row r="115" spans="1:47" s="576" customFormat="1" x14ac:dyDescent="0.25">
      <c r="A115" s="381">
        <f t="shared" si="1"/>
        <v>40.43333333333333</v>
      </c>
      <c r="B115" s="571">
        <v>41309</v>
      </c>
      <c r="C115" s="572" t="s">
        <v>903</v>
      </c>
      <c r="D115" s="572" t="s">
        <v>903</v>
      </c>
      <c r="E115" s="572" t="s">
        <v>380</v>
      </c>
      <c r="F115" s="572" t="s">
        <v>529</v>
      </c>
      <c r="G115" s="374" t="s">
        <v>76</v>
      </c>
      <c r="H115" s="375"/>
      <c r="I115" s="375"/>
      <c r="J115" s="375"/>
      <c r="K115" s="375"/>
      <c r="L115" s="376"/>
      <c r="M115" s="376"/>
      <c r="N115" s="376">
        <v>58</v>
      </c>
      <c r="O115" s="376"/>
      <c r="P115" s="378">
        <v>0</v>
      </c>
      <c r="Q115" s="378">
        <v>0</v>
      </c>
      <c r="R115" s="378"/>
      <c r="S115" s="378"/>
      <c r="T115" s="378"/>
      <c r="U115" s="378"/>
      <c r="V115" s="533"/>
      <c r="W115" s="378"/>
      <c r="X115" s="378"/>
      <c r="Y115" s="378">
        <f>IF(NFI_Expiration=1,IF($A115&lt;VLOOKUP(H$5,NFI,5,0),1,0)*Table_NFI[[#This Row],[Hygiene Kit]],Table_NFI[Hygiene Kit])</f>
        <v>0</v>
      </c>
      <c r="Z115" s="378">
        <f>IF(NFI_Expiration=1,IF($A115&lt;VLOOKUP(I$5,NFI,5,0),1,0)*Table_NFI[[#This Row],[NFI Core Kit]],Table_NFI[NFI Core Kit])</f>
        <v>0</v>
      </c>
      <c r="AA115" s="378">
        <f>IF(NFI_Expiration=1,IF($A115&lt;VLOOKUP(J$5,NFI,5,0),1,0)*Table_NFI[[#This Row],[Sanitary Kit]],Table_NFI[Sanitary Kit])</f>
        <v>0</v>
      </c>
      <c r="AB115" s="378">
        <f>IF(NFI_Expiration=1,IF($A115&lt;VLOOKUP(K$5,NFI,5,0),1,0)*Table_NFI[[#This Row],[Mosquito net]],Table_NFI[Mosquito net])</f>
        <v>0</v>
      </c>
      <c r="AC115" s="378">
        <f>IF(NFI_Expiration=1,IF($A115&lt;VLOOKUP(L$5,NFI,5,0),1,0)*Table_NFI[[#This Row],[Tarpaulin]],Table_NFI[[#This Row],[Tarpaulin]])</f>
        <v>0</v>
      </c>
      <c r="AD115" s="378">
        <f>IF(NFI_Expiration=1,IF($A115&lt;VLOOKUP(M$5,NFI,5,0),1,0)*Table_NFI[[#This Row],[Blanket]],Table_NFI[[#This Row],[Blanket]])</f>
        <v>0</v>
      </c>
      <c r="AE115" s="378">
        <f>IF(NFI_Expiration=1,IF($A115&lt;VLOOKUP(N$5,NFI,5,0),1,0)*Table_NFI[[#This Row],[Kitchen Set]],Table_NFI[Kitchen Set])</f>
        <v>0</v>
      </c>
      <c r="AF115" s="378">
        <f>IF(NFI_Expiration=1,IF($A115&lt;VLOOKUP(O$5,NFI,5,0),1,0)*Table_NFI[[#This Row],[Clothes Kit]],Table_NFI[Clothes Kit])</f>
        <v>0</v>
      </c>
      <c r="AG115" s="378">
        <f>IF(NFI_Expiration=1,IF($A115&lt;VLOOKUP(P$5,NFI,5,0),1,0)*Table_NFI[[#This Row],[Plastic Bucket]],Table_NFI[Plastic Bucket])</f>
        <v>0</v>
      </c>
      <c r="AH115" s="378">
        <f>IF(NFI_Expiration=1,IF($A115&lt;VLOOKUP(Q$5,NFI,5,0),1,0)*Table_NFI[[#This Row],[Plastic Mat]],Table_NFI[Plastic Mat])*IF(Table_NFI[[#This Row],[Distribution Date]]&gt;"2014-04-01",1,2.5)</f>
        <v>0</v>
      </c>
      <c r="AI115" s="378">
        <f>IF(NFI_Expiration=1,IF($A115&lt;VLOOKUP(R$5,NFI,5,0),1,0)*Table_NFI[[#This Row],[Winter Clothes Adult]],Table_NFI[Winter Clothes Adult])</f>
        <v>0</v>
      </c>
      <c r="AJ115" s="378">
        <f>IF(NFI_Expiration=1,IF($A115&lt;VLOOKUP(S$5,NFI,5,0),1,0)*Table_NFI[[#This Row],[Winter Clothes Children]],Table_NFI[Winter Clothes Children])</f>
        <v>0</v>
      </c>
      <c r="AK115" s="378">
        <f>IF(NFI_Expiration=1,IF($A115&lt;VLOOKUP(T$5,NFI,5,0),1,0)*Table_NFI[[#This Row],[Winter Items Other]],Table_NFI[Winter Items Other])</f>
        <v>0</v>
      </c>
      <c r="AL115" s="378">
        <f>IF(NFI_Expiration=1,IF($A115&lt;VLOOKUP(M$5,NFI,5,0),1,0)*Table_NFI[[#This Row],[Winter Blanket]],Table_NFI[[#This Row],[Winter Blanket]])</f>
        <v>0</v>
      </c>
      <c r="AM115" s="378">
        <f>IF(Table_NFI[[#This Row],[Winter Clothes Adult]]+Table_NFI[[#This Row],[Winter Clothes Children]]+Table_NFI[[#This Row],[Winter Items Other]]+Table_NFI[[#This Row],[Winter Blanket]]&gt;0,1,0)</f>
        <v>0</v>
      </c>
      <c r="AN115" s="418">
        <f>IF(NFI_Expiration=1,IF($A115&lt;VLOOKUP(V$5,NFI,5,0),1,0)*Table_NFI[[#This Row],[Jerry Can]],Table_NFI[Jerry Can])</f>
        <v>0</v>
      </c>
      <c r="AO115" s="579" t="str">
        <f>IFERROR(VLOOKUP(Table_NFI[[#This Row],[Camp Name]],CL,2,0),"")</f>
        <v>MMR001CMP174</v>
      </c>
      <c r="AP115" s="574">
        <f ca="1">IF(Table_NFI[[#This Row],[Pcode]]="","",IF(OFFSET(CampList[Opening Date],MATCH(Table_NFI[[#This Row],[Pcode]],CampList[CP_Pcode],0)-1,0,1,1)&gt;=NFI_Monitor_Date,1,0))</f>
        <v>0</v>
      </c>
      <c r="AQ115" s="579" t="str">
        <f>IFERROR(VLOOKUP(Table_NFI[[#This Row],[Camp Name]],CL,3,0),"")</f>
        <v>Open</v>
      </c>
      <c r="AR115" s="378" t="str">
        <f ca="1">IF(Table_NFI[[#This Row],[Pcode]]="","",OFFSET(CampList[Priority],MATCH(Table_NFI[[#This Row],[Pcode]],CampList[CP_Pcode],0)-1,0,1,1))</f>
        <v>P4</v>
      </c>
      <c r="AS115" s="377">
        <f>IFERROR(Table_NFI[[#This Row],[Kitchen Set]]/VLOOKUP(Table_NFI[[#This Row],[Camp Name]],CL,4,0),"")</f>
        <v>0.87878787878787878</v>
      </c>
      <c r="AT115" s="572" t="s">
        <v>1095</v>
      </c>
      <c r="AU115" s="575"/>
    </row>
    <row r="116" spans="1:47" s="576" customFormat="1" x14ac:dyDescent="0.25">
      <c r="A116" s="381">
        <f t="shared" si="1"/>
        <v>41.6</v>
      </c>
      <c r="B116" s="571">
        <v>41274</v>
      </c>
      <c r="C116" s="572" t="s">
        <v>455</v>
      </c>
      <c r="D116" s="573" t="s">
        <v>455</v>
      </c>
      <c r="E116" s="572" t="s">
        <v>380</v>
      </c>
      <c r="F116" s="374" t="s">
        <v>529</v>
      </c>
      <c r="G116" s="374" t="s">
        <v>76</v>
      </c>
      <c r="H116" s="375">
        <v>6</v>
      </c>
      <c r="I116" s="375"/>
      <c r="J116" s="375"/>
      <c r="K116" s="375"/>
      <c r="L116" s="376"/>
      <c r="M116" s="376"/>
      <c r="N116" s="376"/>
      <c r="O116" s="376"/>
      <c r="P116" s="378">
        <v>0</v>
      </c>
      <c r="Q116" s="378">
        <v>0</v>
      </c>
      <c r="R116" s="378"/>
      <c r="S116" s="378"/>
      <c r="T116" s="378"/>
      <c r="U116" s="378"/>
      <c r="V116" s="533"/>
      <c r="W116" s="378"/>
      <c r="X116" s="378"/>
      <c r="Y116" s="378">
        <f>IF(NFI_Expiration=1,IF($A116&lt;VLOOKUP(H$5,NFI,5,0),1,0)*Table_NFI[[#This Row],[Hygiene Kit]],Table_NFI[Hygiene Kit])</f>
        <v>0</v>
      </c>
      <c r="Z116" s="378">
        <f>IF(NFI_Expiration=1,IF($A116&lt;VLOOKUP(I$5,NFI,5,0),1,0)*Table_NFI[[#This Row],[NFI Core Kit]],Table_NFI[NFI Core Kit])</f>
        <v>0</v>
      </c>
      <c r="AA116" s="378">
        <f>IF(NFI_Expiration=1,IF($A116&lt;VLOOKUP(J$5,NFI,5,0),1,0)*Table_NFI[[#This Row],[Sanitary Kit]],Table_NFI[Sanitary Kit])</f>
        <v>0</v>
      </c>
      <c r="AB116" s="378">
        <f>IF(NFI_Expiration=1,IF($A116&lt;VLOOKUP(K$5,NFI,5,0),1,0)*Table_NFI[[#This Row],[Mosquito net]],Table_NFI[Mosquito net])</f>
        <v>0</v>
      </c>
      <c r="AC116" s="378">
        <f>IF(NFI_Expiration=1,IF($A116&lt;VLOOKUP(L$5,NFI,5,0),1,0)*Table_NFI[[#This Row],[Tarpaulin]],Table_NFI[[#This Row],[Tarpaulin]])</f>
        <v>0</v>
      </c>
      <c r="AD116" s="378">
        <f>IF(NFI_Expiration=1,IF($A116&lt;VLOOKUP(M$5,NFI,5,0),1,0)*Table_NFI[[#This Row],[Blanket]],Table_NFI[[#This Row],[Blanket]])</f>
        <v>0</v>
      </c>
      <c r="AE116" s="378">
        <f>IF(NFI_Expiration=1,IF($A116&lt;VLOOKUP(N$5,NFI,5,0),1,0)*Table_NFI[[#This Row],[Kitchen Set]],Table_NFI[Kitchen Set])</f>
        <v>0</v>
      </c>
      <c r="AF116" s="378">
        <f>IF(NFI_Expiration=1,IF($A116&lt;VLOOKUP(O$5,NFI,5,0),1,0)*Table_NFI[[#This Row],[Clothes Kit]],Table_NFI[Clothes Kit])</f>
        <v>0</v>
      </c>
      <c r="AG116" s="378">
        <f>IF(NFI_Expiration=1,IF($A116&lt;VLOOKUP(P$5,NFI,5,0),1,0)*Table_NFI[[#This Row],[Plastic Bucket]],Table_NFI[Plastic Bucket])</f>
        <v>0</v>
      </c>
      <c r="AH116" s="378">
        <f>IF(NFI_Expiration=1,IF($A116&lt;VLOOKUP(Q$5,NFI,5,0),1,0)*Table_NFI[[#This Row],[Plastic Mat]],Table_NFI[Plastic Mat])*IF(Table_NFI[[#This Row],[Distribution Date]]&gt;"2014-04-01",1,2.5)</f>
        <v>0</v>
      </c>
      <c r="AI116" s="378">
        <f>IF(NFI_Expiration=1,IF($A116&lt;VLOOKUP(R$5,NFI,5,0),1,0)*Table_NFI[[#This Row],[Winter Clothes Adult]],Table_NFI[Winter Clothes Adult])</f>
        <v>0</v>
      </c>
      <c r="AJ116" s="378">
        <f>IF(NFI_Expiration=1,IF($A116&lt;VLOOKUP(S$5,NFI,5,0),1,0)*Table_NFI[[#This Row],[Winter Clothes Children]],Table_NFI[Winter Clothes Children])</f>
        <v>0</v>
      </c>
      <c r="AK116" s="378">
        <f>IF(NFI_Expiration=1,IF($A116&lt;VLOOKUP(T$5,NFI,5,0),1,0)*Table_NFI[[#This Row],[Winter Items Other]],Table_NFI[Winter Items Other])</f>
        <v>0</v>
      </c>
      <c r="AL116" s="378">
        <f>IF(NFI_Expiration=1,IF($A116&lt;VLOOKUP(M$5,NFI,5,0),1,0)*Table_NFI[[#This Row],[Winter Blanket]],Table_NFI[[#This Row],[Winter Blanket]])</f>
        <v>0</v>
      </c>
      <c r="AM116" s="378">
        <f>IF(Table_NFI[[#This Row],[Winter Clothes Adult]]+Table_NFI[[#This Row],[Winter Clothes Children]]+Table_NFI[[#This Row],[Winter Items Other]]+Table_NFI[[#This Row],[Winter Blanket]]&gt;0,1,0)</f>
        <v>0</v>
      </c>
      <c r="AN116" s="418">
        <f>IF(NFI_Expiration=1,IF($A116&lt;VLOOKUP(V$5,NFI,5,0),1,0)*Table_NFI[[#This Row],[Jerry Can]],Table_NFI[Jerry Can])</f>
        <v>0</v>
      </c>
      <c r="AO116" s="579" t="str">
        <f>IFERROR(VLOOKUP(Table_NFI[[#This Row],[Camp Name]],CL,2,0),"")</f>
        <v>MMR001CMP174</v>
      </c>
      <c r="AP116" s="574">
        <f ca="1">IF(Table_NFI[[#This Row],[Pcode]]="","",IF(OFFSET(CampList[Opening Date],MATCH(Table_NFI[[#This Row],[Pcode]],CampList[CP_Pcode],0)-1,0,1,1)&gt;=NFI_Monitor_Date,1,0))</f>
        <v>0</v>
      </c>
      <c r="AQ116" s="579" t="str">
        <f>IFERROR(VLOOKUP(Table_NFI[[#This Row],[Camp Name]],CL,3,0),"")</f>
        <v>Open</v>
      </c>
      <c r="AR116" s="378" t="str">
        <f ca="1">IF(Table_NFI[[#This Row],[Pcode]]="","",OFFSET(CampList[Priority],MATCH(Table_NFI[[#This Row],[Pcode]],CampList[CP_Pcode],0)-1,0,1,1))</f>
        <v>P4</v>
      </c>
      <c r="AS116" s="377">
        <f>IFERROR(Table_NFI[[#This Row],[Kitchen Set]]/VLOOKUP(Table_NFI[[#This Row],[Camp Name]],CL,4,0),"")</f>
        <v>0</v>
      </c>
      <c r="AT116" s="572" t="s">
        <v>1095</v>
      </c>
      <c r="AU116" s="575"/>
    </row>
    <row r="117" spans="1:47" s="576" customFormat="1" x14ac:dyDescent="0.25">
      <c r="A117" s="381">
        <f t="shared" si="1"/>
        <v>23.7</v>
      </c>
      <c r="B117" s="571">
        <v>41811</v>
      </c>
      <c r="C117" s="572" t="s">
        <v>1107</v>
      </c>
      <c r="D117" s="572" t="s">
        <v>903</v>
      </c>
      <c r="E117" s="572" t="s">
        <v>380</v>
      </c>
      <c r="F117" s="572" t="s">
        <v>237</v>
      </c>
      <c r="G117" s="572" t="s">
        <v>243</v>
      </c>
      <c r="H117" s="375"/>
      <c r="I117" s="375"/>
      <c r="J117" s="375"/>
      <c r="K117" s="375"/>
      <c r="L117" s="376"/>
      <c r="M117" s="376"/>
      <c r="N117" s="376"/>
      <c r="O117" s="376"/>
      <c r="P117" s="378"/>
      <c r="Q117" s="378"/>
      <c r="R117" s="378"/>
      <c r="S117" s="378"/>
      <c r="T117" s="378"/>
      <c r="U117" s="378">
        <v>12</v>
      </c>
      <c r="V117" s="533"/>
      <c r="W117" s="378"/>
      <c r="X117" s="378"/>
      <c r="Y117" s="378">
        <f>IF(NFI_Expiration=1,IF($A117&lt;VLOOKUP(H$5,NFI,5,0),1,0)*Table_NFI[[#This Row],[Hygiene Kit]],Table_NFI[Hygiene Kit])</f>
        <v>0</v>
      </c>
      <c r="Z117" s="378">
        <f>IF(NFI_Expiration=1,IF($A117&lt;VLOOKUP(I$5,NFI,5,0),1,0)*Table_NFI[[#This Row],[NFI Core Kit]],Table_NFI[NFI Core Kit])</f>
        <v>0</v>
      </c>
      <c r="AA117" s="378">
        <f>IF(NFI_Expiration=1,IF($A117&lt;VLOOKUP(J$5,NFI,5,0),1,0)*Table_NFI[[#This Row],[Sanitary Kit]],Table_NFI[Sanitary Kit])</f>
        <v>0</v>
      </c>
      <c r="AB117" s="378">
        <f>IF(NFI_Expiration=1,IF($A117&lt;VLOOKUP(K$5,NFI,5,0),1,0)*Table_NFI[[#This Row],[Mosquito net]],Table_NFI[Mosquito net])</f>
        <v>0</v>
      </c>
      <c r="AC117" s="378">
        <f>IF(NFI_Expiration=1,IF($A117&lt;VLOOKUP(L$5,NFI,5,0),1,0)*Table_NFI[[#This Row],[Tarpaulin]],Table_NFI[[#This Row],[Tarpaulin]])</f>
        <v>0</v>
      </c>
      <c r="AD117" s="378">
        <f>IF(NFI_Expiration=1,IF($A117&lt;VLOOKUP(M$5,NFI,5,0),1,0)*Table_NFI[[#This Row],[Blanket]],Table_NFI[[#This Row],[Blanket]])</f>
        <v>0</v>
      </c>
      <c r="AE117" s="378">
        <f>IF(NFI_Expiration=1,IF($A117&lt;VLOOKUP(N$5,NFI,5,0),1,0)*Table_NFI[[#This Row],[Kitchen Set]],Table_NFI[Kitchen Set])</f>
        <v>0</v>
      </c>
      <c r="AF117" s="378">
        <f>IF(NFI_Expiration=1,IF($A117&lt;VLOOKUP(O$5,NFI,5,0),1,0)*Table_NFI[[#This Row],[Clothes Kit]],Table_NFI[Clothes Kit])</f>
        <v>0</v>
      </c>
      <c r="AG117" s="378">
        <f>IF(NFI_Expiration=1,IF($A117&lt;VLOOKUP(P$5,NFI,5,0),1,0)*Table_NFI[[#This Row],[Plastic Bucket]],Table_NFI[Plastic Bucket])</f>
        <v>0</v>
      </c>
      <c r="AH117" s="378">
        <f>IF(NFI_Expiration=1,IF($A117&lt;VLOOKUP(Q$5,NFI,5,0),1,0)*Table_NFI[[#This Row],[Plastic Mat]],Table_NFI[Plastic Mat])*IF(Table_NFI[[#This Row],[Distribution Date]]&gt;"2014-04-01",1,2.5)</f>
        <v>0</v>
      </c>
      <c r="AI117" s="378">
        <f>IF(NFI_Expiration=1,IF($A117&lt;VLOOKUP(R$5,NFI,5,0),1,0)*Table_NFI[[#This Row],[Winter Clothes Adult]],Table_NFI[Winter Clothes Adult])</f>
        <v>0</v>
      </c>
      <c r="AJ117" s="378">
        <f>IF(NFI_Expiration=1,IF($A117&lt;VLOOKUP(S$5,NFI,5,0),1,0)*Table_NFI[[#This Row],[Winter Clothes Children]],Table_NFI[Winter Clothes Children])</f>
        <v>0</v>
      </c>
      <c r="AK117" s="378">
        <f>IF(NFI_Expiration=1,IF($A117&lt;VLOOKUP(T$5,NFI,5,0),1,0)*Table_NFI[[#This Row],[Winter Items Other]],Table_NFI[Winter Items Other])</f>
        <v>0</v>
      </c>
      <c r="AL117" s="378">
        <f>IF(NFI_Expiration=1,IF($A117&lt;VLOOKUP(M$5,NFI,5,0),1,0)*Table_NFI[[#This Row],[Winter Blanket]],Table_NFI[[#This Row],[Winter Blanket]])</f>
        <v>0</v>
      </c>
      <c r="AM117" s="378">
        <f>IF(Table_NFI[[#This Row],[Winter Clothes Adult]]+Table_NFI[[#This Row],[Winter Clothes Children]]+Table_NFI[[#This Row],[Winter Items Other]]+Table_NFI[[#This Row],[Winter Blanket]]&gt;0,1,0)</f>
        <v>1</v>
      </c>
      <c r="AN117" s="418">
        <f>IF(NFI_Expiration=1,IF($A117&lt;VLOOKUP(V$5,NFI,5,0),1,0)*Table_NFI[[#This Row],[Jerry Can]],Table_NFI[Jerry Can])</f>
        <v>0</v>
      </c>
      <c r="AO117" s="579" t="str">
        <f>IFERROR(VLOOKUP(Table_NFI[[#This Row],[Camp Name]],CL,2,0),"")</f>
        <v>MMR001CMP012</v>
      </c>
      <c r="AP117" s="574">
        <f ca="1">IF(Table_NFI[[#This Row],[Pcode]]="","",IF(OFFSET(CampList[Opening Date],MATCH(Table_NFI[[#This Row],[Pcode]],CampList[CP_Pcode],0)-1,0,1,1)&gt;=NFI_Monitor_Date,1,0))</f>
        <v>0</v>
      </c>
      <c r="AQ117" s="579" t="str">
        <f>IFERROR(VLOOKUP(Table_NFI[[#This Row],[Camp Name]],CL,3,0),"")</f>
        <v>Open</v>
      </c>
      <c r="AR117" s="378" t="str">
        <f ca="1">IF(Table_NFI[[#This Row],[Pcode]]="","",OFFSET(CampList[Priority],MATCH(Table_NFI[[#This Row],[Pcode]],CampList[CP_Pcode],0)-1,0,1,1))</f>
        <v>P4</v>
      </c>
      <c r="AS117" s="377">
        <f>IFERROR(Table_NFI[[#This Row],[Kitchen Set]]/VLOOKUP(Table_NFI[[#This Row],[Camp Name]],CL,4,0),"")</f>
        <v>0</v>
      </c>
      <c r="AT117" s="572"/>
      <c r="AU117" s="575"/>
    </row>
    <row r="118" spans="1:47" s="576" customFormat="1" x14ac:dyDescent="0.25">
      <c r="A118" s="381">
        <f t="shared" si="1"/>
        <v>47.166666666666664</v>
      </c>
      <c r="B118" s="571">
        <v>41107</v>
      </c>
      <c r="C118" s="572" t="s">
        <v>454</v>
      </c>
      <c r="D118" s="573" t="s">
        <v>454</v>
      </c>
      <c r="E118" s="572" t="s">
        <v>380</v>
      </c>
      <c r="F118" s="374" t="s">
        <v>237</v>
      </c>
      <c r="G118" s="374" t="s">
        <v>243</v>
      </c>
      <c r="H118" s="375"/>
      <c r="I118" s="375"/>
      <c r="J118" s="375"/>
      <c r="K118" s="375">
        <v>5</v>
      </c>
      <c r="L118" s="376">
        <v>5</v>
      </c>
      <c r="M118" s="376">
        <v>5</v>
      </c>
      <c r="N118" s="376">
        <v>5</v>
      </c>
      <c r="O118" s="376">
        <v>5</v>
      </c>
      <c r="P118" s="378">
        <v>5</v>
      </c>
      <c r="Q118" s="378">
        <v>5</v>
      </c>
      <c r="R118" s="378"/>
      <c r="S118" s="378"/>
      <c r="T118" s="378"/>
      <c r="U118" s="378"/>
      <c r="V118" s="533"/>
      <c r="W118" s="378"/>
      <c r="X118" s="378"/>
      <c r="Y118" s="378">
        <f>IF(NFI_Expiration=1,IF($A118&lt;VLOOKUP(H$5,NFI,5,0),1,0)*Table_NFI[[#This Row],[Hygiene Kit]],Table_NFI[Hygiene Kit])</f>
        <v>0</v>
      </c>
      <c r="Z118" s="378">
        <f>IF(NFI_Expiration=1,IF($A118&lt;VLOOKUP(I$5,NFI,5,0),1,0)*Table_NFI[[#This Row],[NFI Core Kit]],Table_NFI[NFI Core Kit])</f>
        <v>0</v>
      </c>
      <c r="AA118" s="378">
        <f>IF(NFI_Expiration=1,IF($A118&lt;VLOOKUP(J$5,NFI,5,0),1,0)*Table_NFI[[#This Row],[Sanitary Kit]],Table_NFI[Sanitary Kit])</f>
        <v>0</v>
      </c>
      <c r="AB118" s="378">
        <f>IF(NFI_Expiration=1,IF($A118&lt;VLOOKUP(K$5,NFI,5,0),1,0)*Table_NFI[[#This Row],[Mosquito net]],Table_NFI[Mosquito net])</f>
        <v>0</v>
      </c>
      <c r="AC118" s="378">
        <f>IF(NFI_Expiration=1,IF($A118&lt;VLOOKUP(L$5,NFI,5,0),1,0)*Table_NFI[[#This Row],[Tarpaulin]],Table_NFI[[#This Row],[Tarpaulin]])</f>
        <v>0</v>
      </c>
      <c r="AD118" s="378">
        <f>IF(NFI_Expiration=1,IF($A118&lt;VLOOKUP(M$5,NFI,5,0),1,0)*Table_NFI[[#This Row],[Blanket]],Table_NFI[[#This Row],[Blanket]])</f>
        <v>0</v>
      </c>
      <c r="AE118" s="378">
        <f>IF(NFI_Expiration=1,IF($A118&lt;VLOOKUP(N$5,NFI,5,0),1,0)*Table_NFI[[#This Row],[Kitchen Set]],Table_NFI[Kitchen Set])</f>
        <v>0</v>
      </c>
      <c r="AF118" s="378">
        <f>IF(NFI_Expiration=1,IF($A118&lt;VLOOKUP(O$5,NFI,5,0),1,0)*Table_NFI[[#This Row],[Clothes Kit]],Table_NFI[Clothes Kit])</f>
        <v>0</v>
      </c>
      <c r="AG118" s="378">
        <f>IF(NFI_Expiration=1,IF($A118&lt;VLOOKUP(P$5,NFI,5,0),1,0)*Table_NFI[[#This Row],[Plastic Bucket]],Table_NFI[Plastic Bucket])</f>
        <v>0</v>
      </c>
      <c r="AH118" s="378">
        <f>IF(NFI_Expiration=1,IF($A118&lt;VLOOKUP(Q$5,NFI,5,0),1,0)*Table_NFI[[#This Row],[Plastic Mat]],Table_NFI[Plastic Mat])*IF(Table_NFI[[#This Row],[Distribution Date]]&gt;"2014-04-01",1,2.5)</f>
        <v>0</v>
      </c>
      <c r="AI118" s="378">
        <f>IF(NFI_Expiration=1,IF($A118&lt;VLOOKUP(R$5,NFI,5,0),1,0)*Table_NFI[[#This Row],[Winter Clothes Adult]],Table_NFI[Winter Clothes Adult])</f>
        <v>0</v>
      </c>
      <c r="AJ118" s="378">
        <f>IF(NFI_Expiration=1,IF($A118&lt;VLOOKUP(S$5,NFI,5,0),1,0)*Table_NFI[[#This Row],[Winter Clothes Children]],Table_NFI[Winter Clothes Children])</f>
        <v>0</v>
      </c>
      <c r="AK118" s="378">
        <f>IF(NFI_Expiration=1,IF($A118&lt;VLOOKUP(T$5,NFI,5,0),1,0)*Table_NFI[[#This Row],[Winter Items Other]],Table_NFI[Winter Items Other])</f>
        <v>0</v>
      </c>
      <c r="AL118" s="378">
        <f>IF(NFI_Expiration=1,IF($A118&lt;VLOOKUP(M$5,NFI,5,0),1,0)*Table_NFI[[#This Row],[Winter Blanket]],Table_NFI[[#This Row],[Winter Blanket]])</f>
        <v>0</v>
      </c>
      <c r="AM118" s="378">
        <f>IF(Table_NFI[[#This Row],[Winter Clothes Adult]]+Table_NFI[[#This Row],[Winter Clothes Children]]+Table_NFI[[#This Row],[Winter Items Other]]+Table_NFI[[#This Row],[Winter Blanket]]&gt;0,1,0)</f>
        <v>0</v>
      </c>
      <c r="AN118" s="418">
        <f>IF(NFI_Expiration=1,IF($A118&lt;VLOOKUP(V$5,NFI,5,0),1,0)*Table_NFI[[#This Row],[Jerry Can]],Table_NFI[Jerry Can])</f>
        <v>0</v>
      </c>
      <c r="AO118" s="579" t="str">
        <f>IFERROR(VLOOKUP(Table_NFI[[#This Row],[Camp Name]],CL,2,0),"")</f>
        <v>MMR001CMP012</v>
      </c>
      <c r="AP118" s="574">
        <f ca="1">IF(Table_NFI[[#This Row],[Pcode]]="","",IF(OFFSET(CampList[Opening Date],MATCH(Table_NFI[[#This Row],[Pcode]],CampList[CP_Pcode],0)-1,0,1,1)&gt;=NFI_Monitor_Date,1,0))</f>
        <v>0</v>
      </c>
      <c r="AQ118" s="579" t="str">
        <f>IFERROR(VLOOKUP(Table_NFI[[#This Row],[Camp Name]],CL,3,0),"")</f>
        <v>Open</v>
      </c>
      <c r="AR118" s="378" t="str">
        <f ca="1">IF(Table_NFI[[#This Row],[Pcode]]="","",OFFSET(CampList[Priority],MATCH(Table_NFI[[#This Row],[Pcode]],CampList[CP_Pcode],0)-1,0,1,1))</f>
        <v>P4</v>
      </c>
      <c r="AS118" s="377">
        <f>IFERROR(Table_NFI[[#This Row],[Kitchen Set]]/VLOOKUP(Table_NFI[[#This Row],[Camp Name]],CL,4,0),"")</f>
        <v>0.83333333333333337</v>
      </c>
      <c r="AT118" s="572" t="s">
        <v>1095</v>
      </c>
      <c r="AU118" s="575"/>
    </row>
    <row r="119" spans="1:47" s="130" customFormat="1" x14ac:dyDescent="0.25">
      <c r="A119" s="381">
        <f t="shared" si="1"/>
        <v>55.766666666666666</v>
      </c>
      <c r="B119" s="571">
        <v>40849</v>
      </c>
      <c r="C119" s="572" t="s">
        <v>454</v>
      </c>
      <c r="D119" s="573" t="s">
        <v>462</v>
      </c>
      <c r="E119" s="572" t="s">
        <v>380</v>
      </c>
      <c r="F119" s="374" t="s">
        <v>237</v>
      </c>
      <c r="G119" s="374" t="s">
        <v>243</v>
      </c>
      <c r="H119" s="375"/>
      <c r="I119" s="375"/>
      <c r="J119" s="375"/>
      <c r="K119" s="375">
        <v>0</v>
      </c>
      <c r="L119" s="376">
        <v>5</v>
      </c>
      <c r="M119" s="376">
        <v>0</v>
      </c>
      <c r="N119" s="376">
        <v>5</v>
      </c>
      <c r="O119" s="376">
        <v>5</v>
      </c>
      <c r="P119" s="378">
        <v>5</v>
      </c>
      <c r="Q119" s="378">
        <v>5</v>
      </c>
      <c r="R119" s="378"/>
      <c r="S119" s="378"/>
      <c r="T119" s="378"/>
      <c r="U119" s="378"/>
      <c r="V119" s="533"/>
      <c r="W119" s="378"/>
      <c r="X119" s="378"/>
      <c r="Y119" s="378">
        <f>IF(NFI_Expiration=1,IF($A119&lt;VLOOKUP(H$5,NFI,5,0),1,0)*Table_NFI[[#This Row],[Hygiene Kit]],Table_NFI[Hygiene Kit])</f>
        <v>0</v>
      </c>
      <c r="Z119" s="378">
        <f>IF(NFI_Expiration=1,IF($A119&lt;VLOOKUP(I$5,NFI,5,0),1,0)*Table_NFI[[#This Row],[NFI Core Kit]],Table_NFI[NFI Core Kit])</f>
        <v>0</v>
      </c>
      <c r="AA119" s="378">
        <f>IF(NFI_Expiration=1,IF($A119&lt;VLOOKUP(J$5,NFI,5,0),1,0)*Table_NFI[[#This Row],[Sanitary Kit]],Table_NFI[Sanitary Kit])</f>
        <v>0</v>
      </c>
      <c r="AB119" s="378">
        <f>IF(NFI_Expiration=1,IF($A119&lt;VLOOKUP(K$5,NFI,5,0),1,0)*Table_NFI[[#This Row],[Mosquito net]],Table_NFI[Mosquito net])</f>
        <v>0</v>
      </c>
      <c r="AC119" s="378">
        <f>IF(NFI_Expiration=1,IF($A119&lt;VLOOKUP(L$5,NFI,5,0),1,0)*Table_NFI[[#This Row],[Tarpaulin]],Table_NFI[[#This Row],[Tarpaulin]])</f>
        <v>0</v>
      </c>
      <c r="AD119" s="378">
        <f>IF(NFI_Expiration=1,IF($A119&lt;VLOOKUP(M$5,NFI,5,0),1,0)*Table_NFI[[#This Row],[Blanket]],Table_NFI[[#This Row],[Blanket]])</f>
        <v>0</v>
      </c>
      <c r="AE119" s="378">
        <f>IF(NFI_Expiration=1,IF($A119&lt;VLOOKUP(N$5,NFI,5,0),1,0)*Table_NFI[[#This Row],[Kitchen Set]],Table_NFI[Kitchen Set])</f>
        <v>0</v>
      </c>
      <c r="AF119" s="378">
        <f>IF(NFI_Expiration=1,IF($A119&lt;VLOOKUP(O$5,NFI,5,0),1,0)*Table_NFI[[#This Row],[Clothes Kit]],Table_NFI[Clothes Kit])</f>
        <v>0</v>
      </c>
      <c r="AG119" s="378">
        <f>IF(NFI_Expiration=1,IF($A119&lt;VLOOKUP(P$5,NFI,5,0),1,0)*Table_NFI[[#This Row],[Plastic Bucket]],Table_NFI[Plastic Bucket])</f>
        <v>0</v>
      </c>
      <c r="AH119" s="378">
        <f>IF(NFI_Expiration=1,IF($A119&lt;VLOOKUP(Q$5,NFI,5,0),1,0)*Table_NFI[[#This Row],[Plastic Mat]],Table_NFI[Plastic Mat])*IF(Table_NFI[[#This Row],[Distribution Date]]&gt;"2014-04-01",1,2.5)</f>
        <v>0</v>
      </c>
      <c r="AI119" s="378">
        <f>IF(NFI_Expiration=1,IF($A119&lt;VLOOKUP(R$5,NFI,5,0),1,0)*Table_NFI[[#This Row],[Winter Clothes Adult]],Table_NFI[Winter Clothes Adult])</f>
        <v>0</v>
      </c>
      <c r="AJ119" s="378">
        <f>IF(NFI_Expiration=1,IF($A119&lt;VLOOKUP(S$5,NFI,5,0),1,0)*Table_NFI[[#This Row],[Winter Clothes Children]],Table_NFI[Winter Clothes Children])</f>
        <v>0</v>
      </c>
      <c r="AK119" s="378">
        <f>IF(NFI_Expiration=1,IF($A119&lt;VLOOKUP(T$5,NFI,5,0),1,0)*Table_NFI[[#This Row],[Winter Items Other]],Table_NFI[Winter Items Other])</f>
        <v>0</v>
      </c>
      <c r="AL119" s="378">
        <f>IF(NFI_Expiration=1,IF($A119&lt;VLOOKUP(M$5,NFI,5,0),1,0)*Table_NFI[[#This Row],[Winter Blanket]],Table_NFI[[#This Row],[Winter Blanket]])</f>
        <v>0</v>
      </c>
      <c r="AM119" s="378">
        <f>IF(Table_NFI[[#This Row],[Winter Clothes Adult]]+Table_NFI[[#This Row],[Winter Clothes Children]]+Table_NFI[[#This Row],[Winter Items Other]]+Table_NFI[[#This Row],[Winter Blanket]]&gt;0,1,0)</f>
        <v>0</v>
      </c>
      <c r="AN119" s="418">
        <f>IF(NFI_Expiration=1,IF($A119&lt;VLOOKUP(V$5,NFI,5,0),1,0)*Table_NFI[[#This Row],[Jerry Can]],Table_NFI[Jerry Can])</f>
        <v>0</v>
      </c>
      <c r="AO119" s="579" t="str">
        <f>IFERROR(VLOOKUP(Table_NFI[[#This Row],[Camp Name]],CL,2,0),"")</f>
        <v>MMR001CMP012</v>
      </c>
      <c r="AP119" s="574">
        <f ca="1">IF(Table_NFI[[#This Row],[Pcode]]="","",IF(OFFSET(CampList[Opening Date],MATCH(Table_NFI[[#This Row],[Pcode]],CampList[CP_Pcode],0)-1,0,1,1)&gt;=NFI_Monitor_Date,1,0))</f>
        <v>0</v>
      </c>
      <c r="AQ119" s="579" t="str">
        <f>IFERROR(VLOOKUP(Table_NFI[[#This Row],[Camp Name]],CL,3,0),"")</f>
        <v>Open</v>
      </c>
      <c r="AR119" s="378" t="str">
        <f ca="1">IF(Table_NFI[[#This Row],[Pcode]]="","",OFFSET(CampList[Priority],MATCH(Table_NFI[[#This Row],[Pcode]],CampList[CP_Pcode],0)-1,0,1,1))</f>
        <v>P4</v>
      </c>
      <c r="AS119" s="377">
        <f>IFERROR(Table_NFI[[#This Row],[Kitchen Set]]/VLOOKUP(Table_NFI[[#This Row],[Camp Name]],CL,4,0),"")</f>
        <v>0.83333333333333337</v>
      </c>
      <c r="AT119" s="572" t="s">
        <v>1095</v>
      </c>
      <c r="AU119" s="575"/>
    </row>
    <row r="120" spans="1:47" s="576" customFormat="1" x14ac:dyDescent="0.25">
      <c r="A120" s="381">
        <f t="shared" si="1"/>
        <v>23.7</v>
      </c>
      <c r="B120" s="571">
        <v>41811</v>
      </c>
      <c r="C120" s="572" t="s">
        <v>1107</v>
      </c>
      <c r="D120" s="572" t="s">
        <v>903</v>
      </c>
      <c r="E120" s="572" t="s">
        <v>380</v>
      </c>
      <c r="F120" s="572" t="s">
        <v>237</v>
      </c>
      <c r="G120" s="572" t="s">
        <v>245</v>
      </c>
      <c r="H120" s="375"/>
      <c r="I120" s="375"/>
      <c r="J120" s="375"/>
      <c r="K120" s="375"/>
      <c r="L120" s="376"/>
      <c r="M120" s="376"/>
      <c r="N120" s="376"/>
      <c r="O120" s="376"/>
      <c r="P120" s="378"/>
      <c r="Q120" s="378"/>
      <c r="R120" s="378"/>
      <c r="S120" s="378"/>
      <c r="T120" s="378"/>
      <c r="U120" s="378">
        <v>12</v>
      </c>
      <c r="V120" s="533"/>
      <c r="W120" s="378"/>
      <c r="X120" s="378"/>
      <c r="Y120" s="378">
        <f>IF(NFI_Expiration=1,IF($A120&lt;VLOOKUP(H$5,NFI,5,0),1,0)*Table_NFI[[#This Row],[Hygiene Kit]],Table_NFI[Hygiene Kit])</f>
        <v>0</v>
      </c>
      <c r="Z120" s="378">
        <f>IF(NFI_Expiration=1,IF($A120&lt;VLOOKUP(I$5,NFI,5,0),1,0)*Table_NFI[[#This Row],[NFI Core Kit]],Table_NFI[NFI Core Kit])</f>
        <v>0</v>
      </c>
      <c r="AA120" s="378">
        <f>IF(NFI_Expiration=1,IF($A120&lt;VLOOKUP(J$5,NFI,5,0),1,0)*Table_NFI[[#This Row],[Sanitary Kit]],Table_NFI[Sanitary Kit])</f>
        <v>0</v>
      </c>
      <c r="AB120" s="378">
        <f>IF(NFI_Expiration=1,IF($A120&lt;VLOOKUP(K$5,NFI,5,0),1,0)*Table_NFI[[#This Row],[Mosquito net]],Table_NFI[Mosquito net])</f>
        <v>0</v>
      </c>
      <c r="AC120" s="378">
        <f>IF(NFI_Expiration=1,IF($A120&lt;VLOOKUP(L$5,NFI,5,0),1,0)*Table_NFI[[#This Row],[Tarpaulin]],Table_NFI[[#This Row],[Tarpaulin]])</f>
        <v>0</v>
      </c>
      <c r="AD120" s="378">
        <f>IF(NFI_Expiration=1,IF($A120&lt;VLOOKUP(M$5,NFI,5,0),1,0)*Table_NFI[[#This Row],[Blanket]],Table_NFI[[#This Row],[Blanket]])</f>
        <v>0</v>
      </c>
      <c r="AE120" s="378">
        <f>IF(NFI_Expiration=1,IF($A120&lt;VLOOKUP(N$5,NFI,5,0),1,0)*Table_NFI[[#This Row],[Kitchen Set]],Table_NFI[Kitchen Set])</f>
        <v>0</v>
      </c>
      <c r="AF120" s="378">
        <f>IF(NFI_Expiration=1,IF($A120&lt;VLOOKUP(O$5,NFI,5,0),1,0)*Table_NFI[[#This Row],[Clothes Kit]],Table_NFI[Clothes Kit])</f>
        <v>0</v>
      </c>
      <c r="AG120" s="378">
        <f>IF(NFI_Expiration=1,IF($A120&lt;VLOOKUP(P$5,NFI,5,0),1,0)*Table_NFI[[#This Row],[Plastic Bucket]],Table_NFI[Plastic Bucket])</f>
        <v>0</v>
      </c>
      <c r="AH120" s="378">
        <f>IF(NFI_Expiration=1,IF($A120&lt;VLOOKUP(Q$5,NFI,5,0),1,0)*Table_NFI[[#This Row],[Plastic Mat]],Table_NFI[Plastic Mat])*IF(Table_NFI[[#This Row],[Distribution Date]]&gt;"2014-04-01",1,2.5)</f>
        <v>0</v>
      </c>
      <c r="AI120" s="378">
        <f>IF(NFI_Expiration=1,IF($A120&lt;VLOOKUP(R$5,NFI,5,0),1,0)*Table_NFI[[#This Row],[Winter Clothes Adult]],Table_NFI[Winter Clothes Adult])</f>
        <v>0</v>
      </c>
      <c r="AJ120" s="378">
        <f>IF(NFI_Expiration=1,IF($A120&lt;VLOOKUP(S$5,NFI,5,0),1,0)*Table_NFI[[#This Row],[Winter Clothes Children]],Table_NFI[Winter Clothes Children])</f>
        <v>0</v>
      </c>
      <c r="AK120" s="378">
        <f>IF(NFI_Expiration=1,IF($A120&lt;VLOOKUP(T$5,NFI,5,0),1,0)*Table_NFI[[#This Row],[Winter Items Other]],Table_NFI[Winter Items Other])</f>
        <v>0</v>
      </c>
      <c r="AL120" s="378">
        <f>IF(NFI_Expiration=1,IF($A120&lt;VLOOKUP(M$5,NFI,5,0),1,0)*Table_NFI[[#This Row],[Winter Blanket]],Table_NFI[[#This Row],[Winter Blanket]])</f>
        <v>0</v>
      </c>
      <c r="AM120" s="378">
        <f>IF(Table_NFI[[#This Row],[Winter Clothes Adult]]+Table_NFI[[#This Row],[Winter Clothes Children]]+Table_NFI[[#This Row],[Winter Items Other]]+Table_NFI[[#This Row],[Winter Blanket]]&gt;0,1,0)</f>
        <v>1</v>
      </c>
      <c r="AN120" s="418">
        <f>IF(NFI_Expiration=1,IF($A120&lt;VLOOKUP(V$5,NFI,5,0),1,0)*Table_NFI[[#This Row],[Jerry Can]],Table_NFI[Jerry Can])</f>
        <v>0</v>
      </c>
      <c r="AO120" s="579" t="str">
        <f>IFERROR(VLOOKUP(Table_NFI[[#This Row],[Camp Name]],CL,2,0),"")</f>
        <v>MMR001CMP010</v>
      </c>
      <c r="AP120" s="574">
        <f ca="1">IF(Table_NFI[[#This Row],[Pcode]]="","",IF(OFFSET(CampList[Opening Date],MATCH(Table_NFI[[#This Row],[Pcode]],CampList[CP_Pcode],0)-1,0,1,1)&gt;=NFI_Monitor_Date,1,0))</f>
        <v>0</v>
      </c>
      <c r="AQ120" s="579" t="str">
        <f>IFERROR(VLOOKUP(Table_NFI[[#This Row],[Camp Name]],CL,3,0),"")</f>
        <v>Open</v>
      </c>
      <c r="AR120" s="378" t="str">
        <f ca="1">IF(Table_NFI[[#This Row],[Pcode]]="","",OFFSET(CampList[Priority],MATCH(Table_NFI[[#This Row],[Pcode]],CampList[CP_Pcode],0)-1,0,1,1))</f>
        <v>P4</v>
      </c>
      <c r="AS120" s="377">
        <f>IFERROR(Table_NFI[[#This Row],[Kitchen Set]]/VLOOKUP(Table_NFI[[#This Row],[Camp Name]],CL,4,0),"")</f>
        <v>0</v>
      </c>
      <c r="AT120" s="572"/>
      <c r="AU120" s="575"/>
    </row>
    <row r="121" spans="1:47" s="576" customFormat="1" x14ac:dyDescent="0.25">
      <c r="A121" s="381">
        <f t="shared" si="1"/>
        <v>47.166666666666664</v>
      </c>
      <c r="B121" s="571">
        <v>41107</v>
      </c>
      <c r="C121" s="572" t="s">
        <v>454</v>
      </c>
      <c r="D121" s="572" t="s">
        <v>454</v>
      </c>
      <c r="E121" s="572" t="s">
        <v>380</v>
      </c>
      <c r="F121" s="374" t="s">
        <v>237</v>
      </c>
      <c r="G121" s="374" t="s">
        <v>245</v>
      </c>
      <c r="H121" s="375"/>
      <c r="I121" s="375"/>
      <c r="J121" s="375"/>
      <c r="K121" s="375">
        <v>6</v>
      </c>
      <c r="L121" s="376">
        <v>6</v>
      </c>
      <c r="M121" s="376">
        <v>6</v>
      </c>
      <c r="N121" s="376">
        <v>6</v>
      </c>
      <c r="O121" s="376">
        <v>6</v>
      </c>
      <c r="P121" s="378">
        <v>6</v>
      </c>
      <c r="Q121" s="378">
        <v>6</v>
      </c>
      <c r="R121" s="378"/>
      <c r="S121" s="378"/>
      <c r="T121" s="378"/>
      <c r="U121" s="378"/>
      <c r="V121" s="533"/>
      <c r="W121" s="378"/>
      <c r="X121" s="378"/>
      <c r="Y121" s="378">
        <f>IF(NFI_Expiration=1,IF($A121&lt;VLOOKUP(H$5,NFI,5,0),1,0)*Table_NFI[[#This Row],[Hygiene Kit]],Table_NFI[Hygiene Kit])</f>
        <v>0</v>
      </c>
      <c r="Z121" s="378">
        <f>IF(NFI_Expiration=1,IF($A121&lt;VLOOKUP(I$5,NFI,5,0),1,0)*Table_NFI[[#This Row],[NFI Core Kit]],Table_NFI[NFI Core Kit])</f>
        <v>0</v>
      </c>
      <c r="AA121" s="378">
        <f>IF(NFI_Expiration=1,IF($A121&lt;VLOOKUP(J$5,NFI,5,0),1,0)*Table_NFI[[#This Row],[Sanitary Kit]],Table_NFI[Sanitary Kit])</f>
        <v>0</v>
      </c>
      <c r="AB121" s="378">
        <f>IF(NFI_Expiration=1,IF($A121&lt;VLOOKUP(K$5,NFI,5,0),1,0)*Table_NFI[[#This Row],[Mosquito net]],Table_NFI[Mosquito net])</f>
        <v>0</v>
      </c>
      <c r="AC121" s="378">
        <f>IF(NFI_Expiration=1,IF($A121&lt;VLOOKUP(L$5,NFI,5,0),1,0)*Table_NFI[[#This Row],[Tarpaulin]],Table_NFI[[#This Row],[Tarpaulin]])</f>
        <v>0</v>
      </c>
      <c r="AD121" s="378">
        <f>IF(NFI_Expiration=1,IF($A121&lt;VLOOKUP(M$5,NFI,5,0),1,0)*Table_NFI[[#This Row],[Blanket]],Table_NFI[[#This Row],[Blanket]])</f>
        <v>0</v>
      </c>
      <c r="AE121" s="378">
        <f>IF(NFI_Expiration=1,IF($A121&lt;VLOOKUP(N$5,NFI,5,0),1,0)*Table_NFI[[#This Row],[Kitchen Set]],Table_NFI[Kitchen Set])</f>
        <v>0</v>
      </c>
      <c r="AF121" s="378">
        <f>IF(NFI_Expiration=1,IF($A121&lt;VLOOKUP(O$5,NFI,5,0),1,0)*Table_NFI[[#This Row],[Clothes Kit]],Table_NFI[Clothes Kit])</f>
        <v>0</v>
      </c>
      <c r="AG121" s="378">
        <f>IF(NFI_Expiration=1,IF($A121&lt;VLOOKUP(P$5,NFI,5,0),1,0)*Table_NFI[[#This Row],[Plastic Bucket]],Table_NFI[Plastic Bucket])</f>
        <v>0</v>
      </c>
      <c r="AH121" s="378">
        <f>IF(NFI_Expiration=1,IF($A121&lt;VLOOKUP(Q$5,NFI,5,0),1,0)*Table_NFI[[#This Row],[Plastic Mat]],Table_NFI[Plastic Mat])*IF(Table_NFI[[#This Row],[Distribution Date]]&gt;"2014-04-01",1,2.5)</f>
        <v>0</v>
      </c>
      <c r="AI121" s="378">
        <f>IF(NFI_Expiration=1,IF($A121&lt;VLOOKUP(R$5,NFI,5,0),1,0)*Table_NFI[[#This Row],[Winter Clothes Adult]],Table_NFI[Winter Clothes Adult])</f>
        <v>0</v>
      </c>
      <c r="AJ121" s="378">
        <f>IF(NFI_Expiration=1,IF($A121&lt;VLOOKUP(S$5,NFI,5,0),1,0)*Table_NFI[[#This Row],[Winter Clothes Children]],Table_NFI[Winter Clothes Children])</f>
        <v>0</v>
      </c>
      <c r="AK121" s="378">
        <f>IF(NFI_Expiration=1,IF($A121&lt;VLOOKUP(T$5,NFI,5,0),1,0)*Table_NFI[[#This Row],[Winter Items Other]],Table_NFI[Winter Items Other])</f>
        <v>0</v>
      </c>
      <c r="AL121" s="378">
        <f>IF(NFI_Expiration=1,IF($A121&lt;VLOOKUP(M$5,NFI,5,0),1,0)*Table_NFI[[#This Row],[Winter Blanket]],Table_NFI[[#This Row],[Winter Blanket]])</f>
        <v>0</v>
      </c>
      <c r="AM121" s="378">
        <f>IF(Table_NFI[[#This Row],[Winter Clothes Adult]]+Table_NFI[[#This Row],[Winter Clothes Children]]+Table_NFI[[#This Row],[Winter Items Other]]+Table_NFI[[#This Row],[Winter Blanket]]&gt;0,1,0)</f>
        <v>0</v>
      </c>
      <c r="AN121" s="418">
        <f>IF(NFI_Expiration=1,IF($A121&lt;VLOOKUP(V$5,NFI,5,0),1,0)*Table_NFI[[#This Row],[Jerry Can]],Table_NFI[Jerry Can])</f>
        <v>0</v>
      </c>
      <c r="AO121" s="579" t="str">
        <f>IFERROR(VLOOKUP(Table_NFI[[#This Row],[Camp Name]],CL,2,0),"")</f>
        <v>MMR001CMP010</v>
      </c>
      <c r="AP121" s="574">
        <f ca="1">IF(Table_NFI[[#This Row],[Pcode]]="","",IF(OFFSET(CampList[Opening Date],MATCH(Table_NFI[[#This Row],[Pcode]],CampList[CP_Pcode],0)-1,0,1,1)&gt;=NFI_Monitor_Date,1,0))</f>
        <v>0</v>
      </c>
      <c r="AQ121" s="579" t="str">
        <f>IFERROR(VLOOKUP(Table_NFI[[#This Row],[Camp Name]],CL,3,0),"")</f>
        <v>Open</v>
      </c>
      <c r="AR121" s="378" t="str">
        <f ca="1">IF(Table_NFI[[#This Row],[Pcode]]="","",OFFSET(CampList[Priority],MATCH(Table_NFI[[#This Row],[Pcode]],CampList[CP_Pcode],0)-1,0,1,1))</f>
        <v>P4</v>
      </c>
      <c r="AS121" s="377">
        <f>IFERROR(Table_NFI[[#This Row],[Kitchen Set]]/VLOOKUP(Table_NFI[[#This Row],[Camp Name]],CL,4,0),"")</f>
        <v>1</v>
      </c>
      <c r="AT121" s="572" t="s">
        <v>1095</v>
      </c>
      <c r="AU121" s="575"/>
    </row>
    <row r="122" spans="1:47" s="576" customFormat="1" x14ac:dyDescent="0.25">
      <c r="A122" s="381">
        <f t="shared" si="1"/>
        <v>55.766666666666666</v>
      </c>
      <c r="B122" s="571">
        <v>40849</v>
      </c>
      <c r="C122" s="572" t="s">
        <v>454</v>
      </c>
      <c r="D122" s="573" t="s">
        <v>462</v>
      </c>
      <c r="E122" s="572" t="s">
        <v>380</v>
      </c>
      <c r="F122" s="374" t="s">
        <v>237</v>
      </c>
      <c r="G122" s="374" t="s">
        <v>245</v>
      </c>
      <c r="H122" s="375"/>
      <c r="I122" s="375"/>
      <c r="J122" s="375"/>
      <c r="K122" s="375">
        <v>0</v>
      </c>
      <c r="L122" s="376">
        <v>6</v>
      </c>
      <c r="M122" s="376">
        <v>0</v>
      </c>
      <c r="N122" s="376">
        <v>6</v>
      </c>
      <c r="O122" s="376">
        <v>6</v>
      </c>
      <c r="P122" s="378">
        <v>6</v>
      </c>
      <c r="Q122" s="378">
        <v>6</v>
      </c>
      <c r="R122" s="378"/>
      <c r="S122" s="378"/>
      <c r="T122" s="378"/>
      <c r="U122" s="378"/>
      <c r="V122" s="533"/>
      <c r="W122" s="378"/>
      <c r="X122" s="378"/>
      <c r="Y122" s="378">
        <f>IF(NFI_Expiration=1,IF($A122&lt;VLOOKUP(H$5,NFI,5,0),1,0)*Table_NFI[[#This Row],[Hygiene Kit]],Table_NFI[Hygiene Kit])</f>
        <v>0</v>
      </c>
      <c r="Z122" s="378">
        <f>IF(NFI_Expiration=1,IF($A122&lt;VLOOKUP(I$5,NFI,5,0),1,0)*Table_NFI[[#This Row],[NFI Core Kit]],Table_NFI[NFI Core Kit])</f>
        <v>0</v>
      </c>
      <c r="AA122" s="378">
        <f>IF(NFI_Expiration=1,IF($A122&lt;VLOOKUP(J$5,NFI,5,0),1,0)*Table_NFI[[#This Row],[Sanitary Kit]],Table_NFI[Sanitary Kit])</f>
        <v>0</v>
      </c>
      <c r="AB122" s="378">
        <f>IF(NFI_Expiration=1,IF($A122&lt;VLOOKUP(K$5,NFI,5,0),1,0)*Table_NFI[[#This Row],[Mosquito net]],Table_NFI[Mosquito net])</f>
        <v>0</v>
      </c>
      <c r="AC122" s="378">
        <f>IF(NFI_Expiration=1,IF($A122&lt;VLOOKUP(L$5,NFI,5,0),1,0)*Table_NFI[[#This Row],[Tarpaulin]],Table_NFI[[#This Row],[Tarpaulin]])</f>
        <v>0</v>
      </c>
      <c r="AD122" s="378">
        <f>IF(NFI_Expiration=1,IF($A122&lt;VLOOKUP(M$5,NFI,5,0),1,0)*Table_NFI[[#This Row],[Blanket]],Table_NFI[[#This Row],[Blanket]])</f>
        <v>0</v>
      </c>
      <c r="AE122" s="378">
        <f>IF(NFI_Expiration=1,IF($A122&lt;VLOOKUP(N$5,NFI,5,0),1,0)*Table_NFI[[#This Row],[Kitchen Set]],Table_NFI[Kitchen Set])</f>
        <v>0</v>
      </c>
      <c r="AF122" s="378">
        <f>IF(NFI_Expiration=1,IF($A122&lt;VLOOKUP(O$5,NFI,5,0),1,0)*Table_NFI[[#This Row],[Clothes Kit]],Table_NFI[Clothes Kit])</f>
        <v>0</v>
      </c>
      <c r="AG122" s="378">
        <f>IF(NFI_Expiration=1,IF($A122&lt;VLOOKUP(P$5,NFI,5,0),1,0)*Table_NFI[[#This Row],[Plastic Bucket]],Table_NFI[Plastic Bucket])</f>
        <v>0</v>
      </c>
      <c r="AH122" s="378">
        <f>IF(NFI_Expiration=1,IF($A122&lt;VLOOKUP(Q$5,NFI,5,0),1,0)*Table_NFI[[#This Row],[Plastic Mat]],Table_NFI[Plastic Mat])*IF(Table_NFI[[#This Row],[Distribution Date]]&gt;"2014-04-01",1,2.5)</f>
        <v>0</v>
      </c>
      <c r="AI122" s="378">
        <f>IF(NFI_Expiration=1,IF($A122&lt;VLOOKUP(R$5,NFI,5,0),1,0)*Table_NFI[[#This Row],[Winter Clothes Adult]],Table_NFI[Winter Clothes Adult])</f>
        <v>0</v>
      </c>
      <c r="AJ122" s="378">
        <f>IF(NFI_Expiration=1,IF($A122&lt;VLOOKUP(S$5,NFI,5,0),1,0)*Table_NFI[[#This Row],[Winter Clothes Children]],Table_NFI[Winter Clothes Children])</f>
        <v>0</v>
      </c>
      <c r="AK122" s="378">
        <f>IF(NFI_Expiration=1,IF($A122&lt;VLOOKUP(T$5,NFI,5,0),1,0)*Table_NFI[[#This Row],[Winter Items Other]],Table_NFI[Winter Items Other])</f>
        <v>0</v>
      </c>
      <c r="AL122" s="378">
        <f>IF(NFI_Expiration=1,IF($A122&lt;VLOOKUP(M$5,NFI,5,0),1,0)*Table_NFI[[#This Row],[Winter Blanket]],Table_NFI[[#This Row],[Winter Blanket]])</f>
        <v>0</v>
      </c>
      <c r="AM122" s="378">
        <f>IF(Table_NFI[[#This Row],[Winter Clothes Adult]]+Table_NFI[[#This Row],[Winter Clothes Children]]+Table_NFI[[#This Row],[Winter Items Other]]+Table_NFI[[#This Row],[Winter Blanket]]&gt;0,1,0)</f>
        <v>0</v>
      </c>
      <c r="AN122" s="418">
        <f>IF(NFI_Expiration=1,IF($A122&lt;VLOOKUP(V$5,NFI,5,0),1,0)*Table_NFI[[#This Row],[Jerry Can]],Table_NFI[Jerry Can])</f>
        <v>0</v>
      </c>
      <c r="AO122" s="579" t="str">
        <f>IFERROR(VLOOKUP(Table_NFI[[#This Row],[Camp Name]],CL,2,0),"")</f>
        <v>MMR001CMP010</v>
      </c>
      <c r="AP122" s="574">
        <f ca="1">IF(Table_NFI[[#This Row],[Pcode]]="","",IF(OFFSET(CampList[Opening Date],MATCH(Table_NFI[[#This Row],[Pcode]],CampList[CP_Pcode],0)-1,0,1,1)&gt;=NFI_Monitor_Date,1,0))</f>
        <v>0</v>
      </c>
      <c r="AQ122" s="579" t="str">
        <f>IFERROR(VLOOKUP(Table_NFI[[#This Row],[Camp Name]],CL,3,0),"")</f>
        <v>Open</v>
      </c>
      <c r="AR122" s="378" t="str">
        <f ca="1">IF(Table_NFI[[#This Row],[Pcode]]="","",OFFSET(CampList[Priority],MATCH(Table_NFI[[#This Row],[Pcode]],CampList[CP_Pcode],0)-1,0,1,1))</f>
        <v>P4</v>
      </c>
      <c r="AS122" s="377">
        <f>IFERROR(Table_NFI[[#This Row],[Kitchen Set]]/VLOOKUP(Table_NFI[[#This Row],[Camp Name]],CL,4,0),"")</f>
        <v>1</v>
      </c>
      <c r="AT122" s="572" t="s">
        <v>1095</v>
      </c>
      <c r="AU122" s="575"/>
    </row>
    <row r="123" spans="1:47" s="576" customFormat="1" x14ac:dyDescent="0.25">
      <c r="A123" s="381">
        <f t="shared" si="1"/>
        <v>23.7</v>
      </c>
      <c r="B123" s="571">
        <v>41811</v>
      </c>
      <c r="C123" s="572" t="s">
        <v>1107</v>
      </c>
      <c r="D123" s="572" t="s">
        <v>903</v>
      </c>
      <c r="E123" s="572" t="s">
        <v>380</v>
      </c>
      <c r="F123" s="572" t="s">
        <v>237</v>
      </c>
      <c r="G123" s="572" t="s">
        <v>247</v>
      </c>
      <c r="H123" s="375"/>
      <c r="I123" s="375"/>
      <c r="J123" s="375"/>
      <c r="K123" s="375"/>
      <c r="L123" s="376"/>
      <c r="M123" s="376"/>
      <c r="N123" s="376"/>
      <c r="O123" s="376"/>
      <c r="P123" s="378"/>
      <c r="Q123" s="378"/>
      <c r="R123" s="378"/>
      <c r="S123" s="378"/>
      <c r="T123" s="378"/>
      <c r="U123" s="378">
        <v>16</v>
      </c>
      <c r="V123" s="533"/>
      <c r="W123" s="378"/>
      <c r="X123" s="378"/>
      <c r="Y123" s="378">
        <f>IF(NFI_Expiration=1,IF($A123&lt;VLOOKUP(H$5,NFI,5,0),1,0)*Table_NFI[[#This Row],[Hygiene Kit]],Table_NFI[Hygiene Kit])</f>
        <v>0</v>
      </c>
      <c r="Z123" s="378">
        <f>IF(NFI_Expiration=1,IF($A123&lt;VLOOKUP(I$5,NFI,5,0),1,0)*Table_NFI[[#This Row],[NFI Core Kit]],Table_NFI[NFI Core Kit])</f>
        <v>0</v>
      </c>
      <c r="AA123" s="378">
        <f>IF(NFI_Expiration=1,IF($A123&lt;VLOOKUP(J$5,NFI,5,0),1,0)*Table_NFI[[#This Row],[Sanitary Kit]],Table_NFI[Sanitary Kit])</f>
        <v>0</v>
      </c>
      <c r="AB123" s="378">
        <f>IF(NFI_Expiration=1,IF($A123&lt;VLOOKUP(K$5,NFI,5,0),1,0)*Table_NFI[[#This Row],[Mosquito net]],Table_NFI[Mosquito net])</f>
        <v>0</v>
      </c>
      <c r="AC123" s="378">
        <f>IF(NFI_Expiration=1,IF($A123&lt;VLOOKUP(L$5,NFI,5,0),1,0)*Table_NFI[[#This Row],[Tarpaulin]],Table_NFI[[#This Row],[Tarpaulin]])</f>
        <v>0</v>
      </c>
      <c r="AD123" s="378">
        <f>IF(NFI_Expiration=1,IF($A123&lt;VLOOKUP(M$5,NFI,5,0),1,0)*Table_NFI[[#This Row],[Blanket]],Table_NFI[[#This Row],[Blanket]])</f>
        <v>0</v>
      </c>
      <c r="AE123" s="378">
        <f>IF(NFI_Expiration=1,IF($A123&lt;VLOOKUP(N$5,NFI,5,0),1,0)*Table_NFI[[#This Row],[Kitchen Set]],Table_NFI[Kitchen Set])</f>
        <v>0</v>
      </c>
      <c r="AF123" s="378">
        <f>IF(NFI_Expiration=1,IF($A123&lt;VLOOKUP(O$5,NFI,5,0),1,0)*Table_NFI[[#This Row],[Clothes Kit]],Table_NFI[Clothes Kit])</f>
        <v>0</v>
      </c>
      <c r="AG123" s="378">
        <f>IF(NFI_Expiration=1,IF($A123&lt;VLOOKUP(P$5,NFI,5,0),1,0)*Table_NFI[[#This Row],[Plastic Bucket]],Table_NFI[Plastic Bucket])</f>
        <v>0</v>
      </c>
      <c r="AH123" s="378">
        <f>IF(NFI_Expiration=1,IF($A123&lt;VLOOKUP(Q$5,NFI,5,0),1,0)*Table_NFI[[#This Row],[Plastic Mat]],Table_NFI[Plastic Mat])*IF(Table_NFI[[#This Row],[Distribution Date]]&gt;"2014-04-01",1,2.5)</f>
        <v>0</v>
      </c>
      <c r="AI123" s="378">
        <f>IF(NFI_Expiration=1,IF($A123&lt;VLOOKUP(R$5,NFI,5,0),1,0)*Table_NFI[[#This Row],[Winter Clothes Adult]],Table_NFI[Winter Clothes Adult])</f>
        <v>0</v>
      </c>
      <c r="AJ123" s="378">
        <f>IF(NFI_Expiration=1,IF($A123&lt;VLOOKUP(S$5,NFI,5,0),1,0)*Table_NFI[[#This Row],[Winter Clothes Children]],Table_NFI[Winter Clothes Children])</f>
        <v>0</v>
      </c>
      <c r="AK123" s="378">
        <f>IF(NFI_Expiration=1,IF($A123&lt;VLOOKUP(T$5,NFI,5,0),1,0)*Table_NFI[[#This Row],[Winter Items Other]],Table_NFI[Winter Items Other])</f>
        <v>0</v>
      </c>
      <c r="AL123" s="378">
        <f>IF(NFI_Expiration=1,IF($A123&lt;VLOOKUP(M$5,NFI,5,0),1,0)*Table_NFI[[#This Row],[Winter Blanket]],Table_NFI[[#This Row],[Winter Blanket]])</f>
        <v>0</v>
      </c>
      <c r="AM123" s="378">
        <f>IF(Table_NFI[[#This Row],[Winter Clothes Adult]]+Table_NFI[[#This Row],[Winter Clothes Children]]+Table_NFI[[#This Row],[Winter Items Other]]+Table_NFI[[#This Row],[Winter Blanket]]&gt;0,1,0)</f>
        <v>1</v>
      </c>
      <c r="AN123" s="418">
        <f>IF(NFI_Expiration=1,IF($A123&lt;VLOOKUP(V$5,NFI,5,0),1,0)*Table_NFI[[#This Row],[Jerry Can]],Table_NFI[Jerry Can])</f>
        <v>0</v>
      </c>
      <c r="AO123" s="579" t="str">
        <f>IFERROR(VLOOKUP(Table_NFI[[#This Row],[Camp Name]],CL,2,0),"")</f>
        <v>MMR001CMP011</v>
      </c>
      <c r="AP123" s="574">
        <f ca="1">IF(Table_NFI[[#This Row],[Pcode]]="","",IF(OFFSET(CampList[Opening Date],MATCH(Table_NFI[[#This Row],[Pcode]],CampList[CP_Pcode],0)-1,0,1,1)&gt;=NFI_Monitor_Date,1,0))</f>
        <v>0</v>
      </c>
      <c r="AQ123" s="579" t="str">
        <f>IFERROR(VLOOKUP(Table_NFI[[#This Row],[Camp Name]],CL,3,0),"")</f>
        <v>Open</v>
      </c>
      <c r="AR123" s="378" t="str">
        <f ca="1">IF(Table_NFI[[#This Row],[Pcode]]="","",OFFSET(CampList[Priority],MATCH(Table_NFI[[#This Row],[Pcode]],CampList[CP_Pcode],0)-1,0,1,1))</f>
        <v>P4</v>
      </c>
      <c r="AS123" s="377">
        <f>IFERROR(Table_NFI[[#This Row],[Kitchen Set]]/VLOOKUP(Table_NFI[[#This Row],[Camp Name]],CL,4,0),"")</f>
        <v>0</v>
      </c>
      <c r="AT123" s="572"/>
      <c r="AU123" s="575"/>
    </row>
    <row r="124" spans="1:47" s="576" customFormat="1" x14ac:dyDescent="0.25">
      <c r="A124" s="381">
        <f t="shared" si="1"/>
        <v>47.166666666666664</v>
      </c>
      <c r="B124" s="571">
        <v>41107</v>
      </c>
      <c r="C124" s="572" t="s">
        <v>454</v>
      </c>
      <c r="D124" s="572" t="s">
        <v>454</v>
      </c>
      <c r="E124" s="572" t="s">
        <v>380</v>
      </c>
      <c r="F124" s="374" t="s">
        <v>237</v>
      </c>
      <c r="G124" s="374" t="s">
        <v>247</v>
      </c>
      <c r="H124" s="375"/>
      <c r="I124" s="375"/>
      <c r="J124" s="375"/>
      <c r="K124" s="375">
        <v>6</v>
      </c>
      <c r="L124" s="376">
        <v>6</v>
      </c>
      <c r="M124" s="376">
        <v>6</v>
      </c>
      <c r="N124" s="376">
        <v>6</v>
      </c>
      <c r="O124" s="376">
        <v>6</v>
      </c>
      <c r="P124" s="378">
        <v>6</v>
      </c>
      <c r="Q124" s="378">
        <v>6</v>
      </c>
      <c r="R124" s="378"/>
      <c r="S124" s="378"/>
      <c r="T124" s="378"/>
      <c r="U124" s="378"/>
      <c r="V124" s="533"/>
      <c r="W124" s="378"/>
      <c r="X124" s="378"/>
      <c r="Y124" s="378">
        <f>IF(NFI_Expiration=1,IF($A124&lt;VLOOKUP(H$5,NFI,5,0),1,0)*Table_NFI[[#This Row],[Hygiene Kit]],Table_NFI[Hygiene Kit])</f>
        <v>0</v>
      </c>
      <c r="Z124" s="378">
        <f>IF(NFI_Expiration=1,IF($A124&lt;VLOOKUP(I$5,NFI,5,0),1,0)*Table_NFI[[#This Row],[NFI Core Kit]],Table_NFI[NFI Core Kit])</f>
        <v>0</v>
      </c>
      <c r="AA124" s="378">
        <f>IF(NFI_Expiration=1,IF($A124&lt;VLOOKUP(J$5,NFI,5,0),1,0)*Table_NFI[[#This Row],[Sanitary Kit]],Table_NFI[Sanitary Kit])</f>
        <v>0</v>
      </c>
      <c r="AB124" s="378">
        <f>IF(NFI_Expiration=1,IF($A124&lt;VLOOKUP(K$5,NFI,5,0),1,0)*Table_NFI[[#This Row],[Mosquito net]],Table_NFI[Mosquito net])</f>
        <v>0</v>
      </c>
      <c r="AC124" s="378">
        <f>IF(NFI_Expiration=1,IF($A124&lt;VLOOKUP(L$5,NFI,5,0),1,0)*Table_NFI[[#This Row],[Tarpaulin]],Table_NFI[[#This Row],[Tarpaulin]])</f>
        <v>0</v>
      </c>
      <c r="AD124" s="378">
        <f>IF(NFI_Expiration=1,IF($A124&lt;VLOOKUP(M$5,NFI,5,0),1,0)*Table_NFI[[#This Row],[Blanket]],Table_NFI[[#This Row],[Blanket]])</f>
        <v>0</v>
      </c>
      <c r="AE124" s="378">
        <f>IF(NFI_Expiration=1,IF($A124&lt;VLOOKUP(N$5,NFI,5,0),1,0)*Table_NFI[[#This Row],[Kitchen Set]],Table_NFI[Kitchen Set])</f>
        <v>0</v>
      </c>
      <c r="AF124" s="378">
        <f>IF(NFI_Expiration=1,IF($A124&lt;VLOOKUP(O$5,NFI,5,0),1,0)*Table_NFI[[#This Row],[Clothes Kit]],Table_NFI[Clothes Kit])</f>
        <v>0</v>
      </c>
      <c r="AG124" s="378">
        <f>IF(NFI_Expiration=1,IF($A124&lt;VLOOKUP(P$5,NFI,5,0),1,0)*Table_NFI[[#This Row],[Plastic Bucket]],Table_NFI[Plastic Bucket])</f>
        <v>0</v>
      </c>
      <c r="AH124" s="378">
        <f>IF(NFI_Expiration=1,IF($A124&lt;VLOOKUP(Q$5,NFI,5,0),1,0)*Table_NFI[[#This Row],[Plastic Mat]],Table_NFI[Plastic Mat])*IF(Table_NFI[[#This Row],[Distribution Date]]&gt;"2014-04-01",1,2.5)</f>
        <v>0</v>
      </c>
      <c r="AI124" s="378">
        <f>IF(NFI_Expiration=1,IF($A124&lt;VLOOKUP(R$5,NFI,5,0),1,0)*Table_NFI[[#This Row],[Winter Clothes Adult]],Table_NFI[Winter Clothes Adult])</f>
        <v>0</v>
      </c>
      <c r="AJ124" s="378">
        <f>IF(NFI_Expiration=1,IF($A124&lt;VLOOKUP(S$5,NFI,5,0),1,0)*Table_NFI[[#This Row],[Winter Clothes Children]],Table_NFI[Winter Clothes Children])</f>
        <v>0</v>
      </c>
      <c r="AK124" s="378">
        <f>IF(NFI_Expiration=1,IF($A124&lt;VLOOKUP(T$5,NFI,5,0),1,0)*Table_NFI[[#This Row],[Winter Items Other]],Table_NFI[Winter Items Other])</f>
        <v>0</v>
      </c>
      <c r="AL124" s="378">
        <f>IF(NFI_Expiration=1,IF($A124&lt;VLOOKUP(M$5,NFI,5,0),1,0)*Table_NFI[[#This Row],[Winter Blanket]],Table_NFI[[#This Row],[Winter Blanket]])</f>
        <v>0</v>
      </c>
      <c r="AM124" s="378">
        <f>IF(Table_NFI[[#This Row],[Winter Clothes Adult]]+Table_NFI[[#This Row],[Winter Clothes Children]]+Table_NFI[[#This Row],[Winter Items Other]]+Table_NFI[[#This Row],[Winter Blanket]]&gt;0,1,0)</f>
        <v>0</v>
      </c>
      <c r="AN124" s="418">
        <f>IF(NFI_Expiration=1,IF($A124&lt;VLOOKUP(V$5,NFI,5,0),1,0)*Table_NFI[[#This Row],[Jerry Can]],Table_NFI[Jerry Can])</f>
        <v>0</v>
      </c>
      <c r="AO124" s="579" t="str">
        <f>IFERROR(VLOOKUP(Table_NFI[[#This Row],[Camp Name]],CL,2,0),"")</f>
        <v>MMR001CMP011</v>
      </c>
      <c r="AP124" s="574">
        <f ca="1">IF(Table_NFI[[#This Row],[Pcode]]="","",IF(OFFSET(CampList[Opening Date],MATCH(Table_NFI[[#This Row],[Pcode]],CampList[CP_Pcode],0)-1,0,1,1)&gt;=NFI_Monitor_Date,1,0))</f>
        <v>0</v>
      </c>
      <c r="AQ124" s="579" t="str">
        <f>IFERROR(VLOOKUP(Table_NFI[[#This Row],[Camp Name]],CL,3,0),"")</f>
        <v>Open</v>
      </c>
      <c r="AR124" s="378" t="str">
        <f ca="1">IF(Table_NFI[[#This Row],[Pcode]]="","",OFFSET(CampList[Priority],MATCH(Table_NFI[[#This Row],[Pcode]],CampList[CP_Pcode],0)-1,0,1,1))</f>
        <v>P4</v>
      </c>
      <c r="AS124" s="377">
        <f>IFERROR(Table_NFI[[#This Row],[Kitchen Set]]/VLOOKUP(Table_NFI[[#This Row],[Camp Name]],CL,4,0),"")</f>
        <v>0.14285714285714285</v>
      </c>
      <c r="AT124" s="572" t="s">
        <v>1095</v>
      </c>
      <c r="AU124" s="575"/>
    </row>
    <row r="125" spans="1:47" s="576" customFormat="1" x14ac:dyDescent="0.25">
      <c r="A125" s="381">
        <f t="shared" si="1"/>
        <v>55.766666666666666</v>
      </c>
      <c r="B125" s="571">
        <v>40849</v>
      </c>
      <c r="C125" s="572" t="s">
        <v>454</v>
      </c>
      <c r="D125" s="573" t="s">
        <v>462</v>
      </c>
      <c r="E125" s="572" t="s">
        <v>380</v>
      </c>
      <c r="F125" s="374" t="s">
        <v>237</v>
      </c>
      <c r="G125" s="374" t="s">
        <v>247</v>
      </c>
      <c r="H125" s="375"/>
      <c r="I125" s="375"/>
      <c r="J125" s="375"/>
      <c r="K125" s="375">
        <v>39</v>
      </c>
      <c r="L125" s="376">
        <v>8</v>
      </c>
      <c r="M125" s="376">
        <v>39</v>
      </c>
      <c r="N125" s="376">
        <v>8</v>
      </c>
      <c r="O125" s="376">
        <v>8</v>
      </c>
      <c r="P125" s="378">
        <v>8</v>
      </c>
      <c r="Q125" s="378">
        <v>8</v>
      </c>
      <c r="R125" s="378"/>
      <c r="S125" s="378"/>
      <c r="T125" s="378"/>
      <c r="U125" s="378"/>
      <c r="V125" s="533"/>
      <c r="W125" s="378"/>
      <c r="X125" s="378"/>
      <c r="Y125" s="378">
        <f>IF(NFI_Expiration=1,IF($A125&lt;VLOOKUP(H$5,NFI,5,0),1,0)*Table_NFI[[#This Row],[Hygiene Kit]],Table_NFI[Hygiene Kit])</f>
        <v>0</v>
      </c>
      <c r="Z125" s="378">
        <f>IF(NFI_Expiration=1,IF($A125&lt;VLOOKUP(I$5,NFI,5,0),1,0)*Table_NFI[[#This Row],[NFI Core Kit]],Table_NFI[NFI Core Kit])</f>
        <v>0</v>
      </c>
      <c r="AA125" s="378">
        <f>IF(NFI_Expiration=1,IF($A125&lt;VLOOKUP(J$5,NFI,5,0),1,0)*Table_NFI[[#This Row],[Sanitary Kit]],Table_NFI[Sanitary Kit])</f>
        <v>0</v>
      </c>
      <c r="AB125" s="378">
        <f>IF(NFI_Expiration=1,IF($A125&lt;VLOOKUP(K$5,NFI,5,0),1,0)*Table_NFI[[#This Row],[Mosquito net]],Table_NFI[Mosquito net])</f>
        <v>0</v>
      </c>
      <c r="AC125" s="378">
        <f>IF(NFI_Expiration=1,IF($A125&lt;VLOOKUP(L$5,NFI,5,0),1,0)*Table_NFI[[#This Row],[Tarpaulin]],Table_NFI[[#This Row],[Tarpaulin]])</f>
        <v>0</v>
      </c>
      <c r="AD125" s="378">
        <f>IF(NFI_Expiration=1,IF($A125&lt;VLOOKUP(M$5,NFI,5,0),1,0)*Table_NFI[[#This Row],[Blanket]],Table_NFI[[#This Row],[Blanket]])</f>
        <v>0</v>
      </c>
      <c r="AE125" s="378">
        <f>IF(NFI_Expiration=1,IF($A125&lt;VLOOKUP(N$5,NFI,5,0),1,0)*Table_NFI[[#This Row],[Kitchen Set]],Table_NFI[Kitchen Set])</f>
        <v>0</v>
      </c>
      <c r="AF125" s="378">
        <f>IF(NFI_Expiration=1,IF($A125&lt;VLOOKUP(O$5,NFI,5,0),1,0)*Table_NFI[[#This Row],[Clothes Kit]],Table_NFI[Clothes Kit])</f>
        <v>0</v>
      </c>
      <c r="AG125" s="378">
        <f>IF(NFI_Expiration=1,IF($A125&lt;VLOOKUP(P$5,NFI,5,0),1,0)*Table_NFI[[#This Row],[Plastic Bucket]],Table_NFI[Plastic Bucket])</f>
        <v>0</v>
      </c>
      <c r="AH125" s="378">
        <f>IF(NFI_Expiration=1,IF($A125&lt;VLOOKUP(Q$5,NFI,5,0),1,0)*Table_NFI[[#This Row],[Plastic Mat]],Table_NFI[Plastic Mat])*IF(Table_NFI[[#This Row],[Distribution Date]]&gt;"2014-04-01",1,2.5)</f>
        <v>0</v>
      </c>
      <c r="AI125" s="378">
        <f>IF(NFI_Expiration=1,IF($A125&lt;VLOOKUP(R$5,NFI,5,0),1,0)*Table_NFI[[#This Row],[Winter Clothes Adult]],Table_NFI[Winter Clothes Adult])</f>
        <v>0</v>
      </c>
      <c r="AJ125" s="378">
        <f>IF(NFI_Expiration=1,IF($A125&lt;VLOOKUP(S$5,NFI,5,0),1,0)*Table_NFI[[#This Row],[Winter Clothes Children]],Table_NFI[Winter Clothes Children])</f>
        <v>0</v>
      </c>
      <c r="AK125" s="378">
        <f>IF(NFI_Expiration=1,IF($A125&lt;VLOOKUP(T$5,NFI,5,0),1,0)*Table_NFI[[#This Row],[Winter Items Other]],Table_NFI[Winter Items Other])</f>
        <v>0</v>
      </c>
      <c r="AL125" s="378">
        <f>IF(NFI_Expiration=1,IF($A125&lt;VLOOKUP(M$5,NFI,5,0),1,0)*Table_NFI[[#This Row],[Winter Blanket]],Table_NFI[[#This Row],[Winter Blanket]])</f>
        <v>0</v>
      </c>
      <c r="AM125" s="378">
        <f>IF(Table_NFI[[#This Row],[Winter Clothes Adult]]+Table_NFI[[#This Row],[Winter Clothes Children]]+Table_NFI[[#This Row],[Winter Items Other]]+Table_NFI[[#This Row],[Winter Blanket]]&gt;0,1,0)</f>
        <v>0</v>
      </c>
      <c r="AN125" s="418">
        <f>IF(NFI_Expiration=1,IF($A125&lt;VLOOKUP(V$5,NFI,5,0),1,0)*Table_NFI[[#This Row],[Jerry Can]],Table_NFI[Jerry Can])</f>
        <v>0</v>
      </c>
      <c r="AO125" s="579" t="str">
        <f>IFERROR(VLOOKUP(Table_NFI[[#This Row],[Camp Name]],CL,2,0),"")</f>
        <v>MMR001CMP011</v>
      </c>
      <c r="AP125" s="574">
        <f ca="1">IF(Table_NFI[[#This Row],[Pcode]]="","",IF(OFFSET(CampList[Opening Date],MATCH(Table_NFI[[#This Row],[Pcode]],CampList[CP_Pcode],0)-1,0,1,1)&gt;=NFI_Monitor_Date,1,0))</f>
        <v>0</v>
      </c>
      <c r="AQ125" s="579" t="str">
        <f>IFERROR(VLOOKUP(Table_NFI[[#This Row],[Camp Name]],CL,3,0),"")</f>
        <v>Open</v>
      </c>
      <c r="AR125" s="378" t="str">
        <f ca="1">IF(Table_NFI[[#This Row],[Pcode]]="","",OFFSET(CampList[Priority],MATCH(Table_NFI[[#This Row],[Pcode]],CampList[CP_Pcode],0)-1,0,1,1))</f>
        <v>P4</v>
      </c>
      <c r="AS125" s="377">
        <f>IFERROR(Table_NFI[[#This Row],[Kitchen Set]]/VLOOKUP(Table_NFI[[#This Row],[Camp Name]],CL,4,0),"")</f>
        <v>0.19047619047619047</v>
      </c>
      <c r="AT125" s="572" t="s">
        <v>1095</v>
      </c>
      <c r="AU125" s="575"/>
    </row>
    <row r="126" spans="1:47" s="130" customFormat="1" x14ac:dyDescent="0.25">
      <c r="A126" s="381">
        <f t="shared" si="1"/>
        <v>20.3</v>
      </c>
      <c r="B126" s="571">
        <v>41913</v>
      </c>
      <c r="C126" s="572" t="s">
        <v>454</v>
      </c>
      <c r="D126" s="577" t="s">
        <v>508</v>
      </c>
      <c r="E126" s="577" t="s">
        <v>380</v>
      </c>
      <c r="F126" s="577" t="s">
        <v>185</v>
      </c>
      <c r="G126" s="577" t="s">
        <v>192</v>
      </c>
      <c r="H126" s="376"/>
      <c r="I126" s="376"/>
      <c r="J126" s="376"/>
      <c r="K126" s="376">
        <v>238</v>
      </c>
      <c r="L126" s="376"/>
      <c r="M126" s="376"/>
      <c r="N126" s="376"/>
      <c r="O126" s="376"/>
      <c r="P126" s="378"/>
      <c r="Q126" s="378"/>
      <c r="R126" s="378"/>
      <c r="S126" s="378"/>
      <c r="T126" s="378"/>
      <c r="U126" s="378">
        <v>238</v>
      </c>
      <c r="V126" s="533"/>
      <c r="W126" s="378"/>
      <c r="X126" s="378"/>
      <c r="Y126" s="378">
        <f>IF(NFI_Expiration=1,IF($A126&lt;VLOOKUP(H$5,NFI,5,0),1,0)*Table_NFI[[#This Row],[Hygiene Kit]],Table_NFI[Hygiene Kit])</f>
        <v>0</v>
      </c>
      <c r="Z126" s="378">
        <f>IF(NFI_Expiration=1,IF($A126&lt;VLOOKUP(I$5,NFI,5,0),1,0)*Table_NFI[[#This Row],[NFI Core Kit]],Table_NFI[NFI Core Kit])</f>
        <v>0</v>
      </c>
      <c r="AA126" s="378">
        <f>IF(NFI_Expiration=1,IF($A126&lt;VLOOKUP(J$5,NFI,5,0),1,0)*Table_NFI[[#This Row],[Sanitary Kit]],Table_NFI[Sanitary Kit])</f>
        <v>0</v>
      </c>
      <c r="AB126" s="378">
        <f>IF(NFI_Expiration=1,IF($A126&lt;VLOOKUP(K$5,NFI,5,0),1,0)*Table_NFI[[#This Row],[Mosquito net]],Table_NFI[Mosquito net])</f>
        <v>0</v>
      </c>
      <c r="AC126" s="378">
        <f>IF(NFI_Expiration=1,IF($A126&lt;VLOOKUP(L$5,NFI,5,0),1,0)*Table_NFI[[#This Row],[Tarpaulin]],Table_NFI[[#This Row],[Tarpaulin]])</f>
        <v>0</v>
      </c>
      <c r="AD126" s="378">
        <f>IF(NFI_Expiration=1,IF($A126&lt;VLOOKUP(M$5,NFI,5,0),1,0)*Table_NFI[[#This Row],[Blanket]],Table_NFI[[#This Row],[Blanket]])</f>
        <v>0</v>
      </c>
      <c r="AE126" s="378">
        <f>IF(NFI_Expiration=1,IF($A126&lt;VLOOKUP(N$5,NFI,5,0),1,0)*Table_NFI[[#This Row],[Kitchen Set]],Table_NFI[Kitchen Set])</f>
        <v>0</v>
      </c>
      <c r="AF126" s="378">
        <f>IF(NFI_Expiration=1,IF($A126&lt;VLOOKUP(O$5,NFI,5,0),1,0)*Table_NFI[[#This Row],[Clothes Kit]],Table_NFI[Clothes Kit])</f>
        <v>0</v>
      </c>
      <c r="AG126" s="378">
        <f>IF(NFI_Expiration=1,IF($A126&lt;VLOOKUP(P$5,NFI,5,0),1,0)*Table_NFI[[#This Row],[Plastic Bucket]],Table_NFI[Plastic Bucket])</f>
        <v>0</v>
      </c>
      <c r="AH126" s="378">
        <f>IF(NFI_Expiration=1,IF($A126&lt;VLOOKUP(Q$5,NFI,5,0),1,0)*Table_NFI[[#This Row],[Plastic Mat]],Table_NFI[Plastic Mat])*IF(Table_NFI[[#This Row],[Distribution Date]]&gt;"2014-04-01",1,2.5)</f>
        <v>0</v>
      </c>
      <c r="AI126" s="378">
        <f>IF(NFI_Expiration=1,IF($A126&lt;VLOOKUP(R$5,NFI,5,0),1,0)*Table_NFI[[#This Row],[Winter Clothes Adult]],Table_NFI[Winter Clothes Adult])</f>
        <v>0</v>
      </c>
      <c r="AJ126" s="378">
        <f>IF(NFI_Expiration=1,IF($A126&lt;VLOOKUP(S$5,NFI,5,0),1,0)*Table_NFI[[#This Row],[Winter Clothes Children]],Table_NFI[Winter Clothes Children])</f>
        <v>0</v>
      </c>
      <c r="AK126" s="378">
        <f>IF(NFI_Expiration=1,IF($A126&lt;VLOOKUP(T$5,NFI,5,0),1,0)*Table_NFI[[#This Row],[Winter Items Other]],Table_NFI[Winter Items Other])</f>
        <v>0</v>
      </c>
      <c r="AL126" s="378">
        <f>IF(NFI_Expiration=1,IF($A126&lt;VLOOKUP(M$5,NFI,5,0),1,0)*Table_NFI[[#This Row],[Winter Blanket]],Table_NFI[[#This Row],[Winter Blanket]])</f>
        <v>0</v>
      </c>
      <c r="AM126" s="378">
        <f>IF(Table_NFI[[#This Row],[Winter Clothes Adult]]+Table_NFI[[#This Row],[Winter Clothes Children]]+Table_NFI[[#This Row],[Winter Items Other]]+Table_NFI[[#This Row],[Winter Blanket]]&gt;0,1,0)</f>
        <v>1</v>
      </c>
      <c r="AN126" s="418">
        <f>IF(NFI_Expiration=1,IF($A126&lt;VLOOKUP(V$5,NFI,5,0),1,0)*Table_NFI[[#This Row],[Jerry Can]],Table_NFI[Jerry Can])</f>
        <v>0</v>
      </c>
      <c r="AO126" s="579" t="str">
        <f>IFERROR(VLOOKUP(Table_NFI[[#This Row],[Camp Name]],CL,2,0),"")</f>
        <v>MMR001CMP123</v>
      </c>
      <c r="AP126" s="574">
        <f ca="1">IF(Table_NFI[[#This Row],[Pcode]]="","",IF(OFFSET(CampList[Opening Date],MATCH(Table_NFI[[#This Row],[Pcode]],CampList[CP_Pcode],0)-1,0,1,1)&gt;=NFI_Monitor_Date,1,0))</f>
        <v>0</v>
      </c>
      <c r="AQ126" s="579" t="str">
        <f>IFERROR(VLOOKUP(Table_NFI[[#This Row],[Camp Name]],CL,3,0),"")</f>
        <v>Open</v>
      </c>
      <c r="AR126" s="378" t="str">
        <f ca="1">IF(Table_NFI[[#This Row],[Pcode]]="","",OFFSET(CampList[Priority],MATCH(Table_NFI[[#This Row],[Pcode]],CampList[CP_Pcode],0)-1,0,1,1))</f>
        <v>P2</v>
      </c>
      <c r="AS126" s="377">
        <f>IFERROR(Table_NFI[[#This Row],[Kitchen Set]]/VLOOKUP(Table_NFI[[#This Row],[Camp Name]],CL,4,0),"")</f>
        <v>0</v>
      </c>
      <c r="AT126" s="577"/>
      <c r="AU126" s="580"/>
    </row>
    <row r="127" spans="1:47" s="130" customFormat="1" x14ac:dyDescent="0.25">
      <c r="A127" s="381">
        <f t="shared" si="1"/>
        <v>28.6</v>
      </c>
      <c r="B127" s="571">
        <v>41664</v>
      </c>
      <c r="C127" s="572" t="s">
        <v>454</v>
      </c>
      <c r="D127" s="573" t="s">
        <v>454</v>
      </c>
      <c r="E127" s="572" t="s">
        <v>380</v>
      </c>
      <c r="F127" s="374" t="s">
        <v>185</v>
      </c>
      <c r="G127" s="374" t="s">
        <v>192</v>
      </c>
      <c r="H127" s="375"/>
      <c r="I127" s="375"/>
      <c r="J127" s="375"/>
      <c r="K127" s="378">
        <v>62</v>
      </c>
      <c r="L127" s="376">
        <v>31</v>
      </c>
      <c r="M127" s="376">
        <v>62</v>
      </c>
      <c r="N127" s="376">
        <v>31</v>
      </c>
      <c r="O127" s="376"/>
      <c r="P127" s="378">
        <v>31</v>
      </c>
      <c r="Q127" s="378">
        <v>155</v>
      </c>
      <c r="R127" s="378"/>
      <c r="S127" s="378"/>
      <c r="T127" s="378"/>
      <c r="U127" s="378"/>
      <c r="V127" s="533"/>
      <c r="W127" s="378"/>
      <c r="X127" s="378"/>
      <c r="Y127" s="378">
        <f>IF(NFI_Expiration=1,IF($A127&lt;VLOOKUP(H$5,NFI,5,0),1,0)*Table_NFI[[#This Row],[Hygiene Kit]],Table_NFI[Hygiene Kit])</f>
        <v>0</v>
      </c>
      <c r="Z127" s="378">
        <f>IF(NFI_Expiration=1,IF($A127&lt;VLOOKUP(I$5,NFI,5,0),1,0)*Table_NFI[[#This Row],[NFI Core Kit]],Table_NFI[NFI Core Kit])</f>
        <v>0</v>
      </c>
      <c r="AA127" s="378">
        <f>IF(NFI_Expiration=1,IF($A127&lt;VLOOKUP(J$5,NFI,5,0),1,0)*Table_NFI[[#This Row],[Sanitary Kit]],Table_NFI[Sanitary Kit])</f>
        <v>0</v>
      </c>
      <c r="AB127" s="378">
        <f>IF(NFI_Expiration=1,IF($A127&lt;VLOOKUP(K$5,NFI,5,0),1,0)*Table_NFI[[#This Row],[Mosquito net]],Table_NFI[Mosquito net])</f>
        <v>0</v>
      </c>
      <c r="AC127" s="378">
        <f>IF(NFI_Expiration=1,IF($A127&lt;VLOOKUP(L$5,NFI,5,0),1,0)*Table_NFI[[#This Row],[Tarpaulin]],Table_NFI[[#This Row],[Tarpaulin]])</f>
        <v>0</v>
      </c>
      <c r="AD127" s="378">
        <f>IF(NFI_Expiration=1,IF($A127&lt;VLOOKUP(M$5,NFI,5,0),1,0)*Table_NFI[[#This Row],[Blanket]],Table_NFI[[#This Row],[Blanket]])</f>
        <v>0</v>
      </c>
      <c r="AE127" s="378">
        <f>IF(NFI_Expiration=1,IF($A127&lt;VLOOKUP(N$5,NFI,5,0),1,0)*Table_NFI[[#This Row],[Kitchen Set]],Table_NFI[Kitchen Set])</f>
        <v>0</v>
      </c>
      <c r="AF127" s="378">
        <f>IF(NFI_Expiration=1,IF($A127&lt;VLOOKUP(O$5,NFI,5,0),1,0)*Table_NFI[[#This Row],[Clothes Kit]],Table_NFI[Clothes Kit])</f>
        <v>0</v>
      </c>
      <c r="AG127" s="378">
        <f>IF(NFI_Expiration=1,IF($A127&lt;VLOOKUP(P$5,NFI,5,0),1,0)*Table_NFI[[#This Row],[Plastic Bucket]],Table_NFI[Plastic Bucket])</f>
        <v>0</v>
      </c>
      <c r="AH127" s="378">
        <f>IF(NFI_Expiration=1,IF($A127&lt;VLOOKUP(Q$5,NFI,5,0),1,0)*Table_NFI[[#This Row],[Plastic Mat]],Table_NFI[Plastic Mat])*IF(Table_NFI[[#This Row],[Distribution Date]]&gt;"2014-04-01",1,2.5)</f>
        <v>0</v>
      </c>
      <c r="AI127" s="378">
        <f>IF(NFI_Expiration=1,IF($A127&lt;VLOOKUP(R$5,NFI,5,0),1,0)*Table_NFI[[#This Row],[Winter Clothes Adult]],Table_NFI[Winter Clothes Adult])</f>
        <v>0</v>
      </c>
      <c r="AJ127" s="378">
        <f>IF(NFI_Expiration=1,IF($A127&lt;VLOOKUP(S$5,NFI,5,0),1,0)*Table_NFI[[#This Row],[Winter Clothes Children]],Table_NFI[Winter Clothes Children])</f>
        <v>0</v>
      </c>
      <c r="AK127" s="378">
        <f>IF(NFI_Expiration=1,IF($A127&lt;VLOOKUP(T$5,NFI,5,0),1,0)*Table_NFI[[#This Row],[Winter Items Other]],Table_NFI[Winter Items Other])</f>
        <v>0</v>
      </c>
      <c r="AL127" s="378">
        <f>IF(NFI_Expiration=1,IF($A127&lt;VLOOKUP(M$5,NFI,5,0),1,0)*Table_NFI[[#This Row],[Winter Blanket]],Table_NFI[[#This Row],[Winter Blanket]])</f>
        <v>0</v>
      </c>
      <c r="AM127" s="378">
        <f>IF(Table_NFI[[#This Row],[Winter Clothes Adult]]+Table_NFI[[#This Row],[Winter Clothes Children]]+Table_NFI[[#This Row],[Winter Items Other]]+Table_NFI[[#This Row],[Winter Blanket]]&gt;0,1,0)</f>
        <v>0</v>
      </c>
      <c r="AN127" s="418">
        <f>IF(NFI_Expiration=1,IF($A127&lt;VLOOKUP(V$5,NFI,5,0),1,0)*Table_NFI[[#This Row],[Jerry Can]],Table_NFI[Jerry Can])</f>
        <v>0</v>
      </c>
      <c r="AO127" s="579" t="str">
        <f>IFERROR(VLOOKUP(Table_NFI[[#This Row],[Camp Name]],CL,2,0),"")</f>
        <v>MMR001CMP123</v>
      </c>
      <c r="AP127" s="574">
        <f ca="1">IF(Table_NFI[[#This Row],[Pcode]]="","",IF(OFFSET(CampList[Opening Date],MATCH(Table_NFI[[#This Row],[Pcode]],CampList[CP_Pcode],0)-1,0,1,1)&gt;=NFI_Monitor_Date,1,0))</f>
        <v>0</v>
      </c>
      <c r="AQ127" s="579" t="str">
        <f>IFERROR(VLOOKUP(Table_NFI[[#This Row],[Camp Name]],CL,3,0),"")</f>
        <v>Open</v>
      </c>
      <c r="AR127" s="378" t="str">
        <f ca="1">IF(Table_NFI[[#This Row],[Pcode]]="","",OFFSET(CampList[Priority],MATCH(Table_NFI[[#This Row],[Pcode]],CampList[CP_Pcode],0)-1,0,1,1))</f>
        <v>P2</v>
      </c>
      <c r="AS127" s="377">
        <f>IFERROR(Table_NFI[[#This Row],[Kitchen Set]]/VLOOKUP(Table_NFI[[#This Row],[Camp Name]],CL,4,0),"")</f>
        <v>0.27927927927927926</v>
      </c>
      <c r="AT127" s="572" t="s">
        <v>1095</v>
      </c>
      <c r="AU127" s="575"/>
    </row>
    <row r="128" spans="1:47" s="130" customFormat="1" x14ac:dyDescent="0.25">
      <c r="A128" s="381">
        <f t="shared" si="1"/>
        <v>29.033333333333335</v>
      </c>
      <c r="B128" s="571">
        <v>41651</v>
      </c>
      <c r="C128" s="572" t="s">
        <v>455</v>
      </c>
      <c r="D128" s="572" t="s">
        <v>508</v>
      </c>
      <c r="E128" s="572" t="s">
        <v>380</v>
      </c>
      <c r="F128" s="572" t="s">
        <v>185</v>
      </c>
      <c r="G128" s="572" t="s">
        <v>192</v>
      </c>
      <c r="H128" s="375"/>
      <c r="I128" s="375"/>
      <c r="J128" s="375"/>
      <c r="K128" s="375"/>
      <c r="L128" s="376"/>
      <c r="M128" s="376"/>
      <c r="N128" s="376"/>
      <c r="O128" s="376">
        <v>125</v>
      </c>
      <c r="P128" s="378"/>
      <c r="Q128" s="378"/>
      <c r="R128" s="378"/>
      <c r="S128" s="378"/>
      <c r="T128" s="378"/>
      <c r="U128" s="378"/>
      <c r="V128" s="533"/>
      <c r="W128" s="378"/>
      <c r="X128" s="378"/>
      <c r="Y128" s="378">
        <f>IF(NFI_Expiration=1,IF($A128&lt;VLOOKUP(H$5,NFI,5,0),1,0)*Table_NFI[[#This Row],[Hygiene Kit]],Table_NFI[Hygiene Kit])</f>
        <v>0</v>
      </c>
      <c r="Z128" s="378">
        <f>IF(NFI_Expiration=1,IF($A128&lt;VLOOKUP(I$5,NFI,5,0),1,0)*Table_NFI[[#This Row],[NFI Core Kit]],Table_NFI[NFI Core Kit])</f>
        <v>0</v>
      </c>
      <c r="AA128" s="378">
        <f>IF(NFI_Expiration=1,IF($A128&lt;VLOOKUP(J$5,NFI,5,0),1,0)*Table_NFI[[#This Row],[Sanitary Kit]],Table_NFI[Sanitary Kit])</f>
        <v>0</v>
      </c>
      <c r="AB128" s="378">
        <f>IF(NFI_Expiration=1,IF($A128&lt;VLOOKUP(K$5,NFI,5,0),1,0)*Table_NFI[[#This Row],[Mosquito net]],Table_NFI[Mosquito net])</f>
        <v>0</v>
      </c>
      <c r="AC128" s="378">
        <f>IF(NFI_Expiration=1,IF($A128&lt;VLOOKUP(L$5,NFI,5,0),1,0)*Table_NFI[[#This Row],[Tarpaulin]],Table_NFI[[#This Row],[Tarpaulin]])</f>
        <v>0</v>
      </c>
      <c r="AD128" s="378">
        <f>IF(NFI_Expiration=1,IF($A128&lt;VLOOKUP(M$5,NFI,5,0),1,0)*Table_NFI[[#This Row],[Blanket]],Table_NFI[[#This Row],[Blanket]])</f>
        <v>0</v>
      </c>
      <c r="AE128" s="378">
        <f>IF(NFI_Expiration=1,IF($A128&lt;VLOOKUP(N$5,NFI,5,0),1,0)*Table_NFI[[#This Row],[Kitchen Set]],Table_NFI[Kitchen Set])</f>
        <v>0</v>
      </c>
      <c r="AF128" s="378">
        <f>IF(NFI_Expiration=1,IF($A128&lt;VLOOKUP(O$5,NFI,5,0),1,0)*Table_NFI[[#This Row],[Clothes Kit]],Table_NFI[Clothes Kit])</f>
        <v>0</v>
      </c>
      <c r="AG128" s="378">
        <f>IF(NFI_Expiration=1,IF($A128&lt;VLOOKUP(P$5,NFI,5,0),1,0)*Table_NFI[[#This Row],[Plastic Bucket]],Table_NFI[Plastic Bucket])</f>
        <v>0</v>
      </c>
      <c r="AH128" s="378">
        <f>IF(NFI_Expiration=1,IF($A128&lt;VLOOKUP(Q$5,NFI,5,0),1,0)*Table_NFI[[#This Row],[Plastic Mat]],Table_NFI[Plastic Mat])*IF(Table_NFI[[#This Row],[Distribution Date]]&gt;"2014-04-01",1,2.5)</f>
        <v>0</v>
      </c>
      <c r="AI128" s="378">
        <f>IF(NFI_Expiration=1,IF($A128&lt;VLOOKUP(R$5,NFI,5,0),1,0)*Table_NFI[[#This Row],[Winter Clothes Adult]],Table_NFI[Winter Clothes Adult])</f>
        <v>0</v>
      </c>
      <c r="AJ128" s="378">
        <f>IF(NFI_Expiration=1,IF($A128&lt;VLOOKUP(S$5,NFI,5,0),1,0)*Table_NFI[[#This Row],[Winter Clothes Children]],Table_NFI[Winter Clothes Children])</f>
        <v>0</v>
      </c>
      <c r="AK128" s="378">
        <f>IF(NFI_Expiration=1,IF($A128&lt;VLOOKUP(T$5,NFI,5,0),1,0)*Table_NFI[[#This Row],[Winter Items Other]],Table_NFI[Winter Items Other])</f>
        <v>0</v>
      </c>
      <c r="AL128" s="378">
        <f>IF(NFI_Expiration=1,IF($A128&lt;VLOOKUP(M$5,NFI,5,0),1,0)*Table_NFI[[#This Row],[Winter Blanket]],Table_NFI[[#This Row],[Winter Blanket]])</f>
        <v>0</v>
      </c>
      <c r="AM128" s="378">
        <f>IF(Table_NFI[[#This Row],[Winter Clothes Adult]]+Table_NFI[[#This Row],[Winter Clothes Children]]+Table_NFI[[#This Row],[Winter Items Other]]+Table_NFI[[#This Row],[Winter Blanket]]&gt;0,1,0)</f>
        <v>0</v>
      </c>
      <c r="AN128" s="418">
        <f>IF(NFI_Expiration=1,IF($A128&lt;VLOOKUP(V$5,NFI,5,0),1,0)*Table_NFI[[#This Row],[Jerry Can]],Table_NFI[Jerry Can])</f>
        <v>0</v>
      </c>
      <c r="AO128" s="579" t="str">
        <f>IFERROR(VLOOKUP(Table_NFI[[#This Row],[Camp Name]],CL,2,0),"")</f>
        <v>MMR001CMP123</v>
      </c>
      <c r="AP128" s="574">
        <f ca="1">IF(Table_NFI[[#This Row],[Pcode]]="","",IF(OFFSET(CampList[Opening Date],MATCH(Table_NFI[[#This Row],[Pcode]],CampList[CP_Pcode],0)-1,0,1,1)&gt;=NFI_Monitor_Date,1,0))</f>
        <v>0</v>
      </c>
      <c r="AQ128" s="579" t="str">
        <f>IFERROR(VLOOKUP(Table_NFI[[#This Row],[Camp Name]],CL,3,0),"")</f>
        <v>Open</v>
      </c>
      <c r="AR128" s="378" t="str">
        <f ca="1">IF(Table_NFI[[#This Row],[Pcode]]="","",OFFSET(CampList[Priority],MATCH(Table_NFI[[#This Row],[Pcode]],CampList[CP_Pcode],0)-1,0,1,1))</f>
        <v>P2</v>
      </c>
      <c r="AS128" s="377">
        <f>IFERROR(Table_NFI[[#This Row],[Kitchen Set]]/VLOOKUP(Table_NFI[[#This Row],[Camp Name]],CL,4,0),"")</f>
        <v>0</v>
      </c>
      <c r="AT128" s="572" t="s">
        <v>1095</v>
      </c>
      <c r="AU128" s="575"/>
    </row>
    <row r="129" spans="1:47" s="130" customFormat="1" x14ac:dyDescent="0.25">
      <c r="A129" s="381">
        <f t="shared" si="1"/>
        <v>29.033333333333335</v>
      </c>
      <c r="B129" s="571">
        <v>41651</v>
      </c>
      <c r="C129" s="572" t="s">
        <v>455</v>
      </c>
      <c r="D129" s="572" t="s">
        <v>508</v>
      </c>
      <c r="E129" s="572" t="s">
        <v>380</v>
      </c>
      <c r="F129" s="572" t="s">
        <v>185</v>
      </c>
      <c r="G129" s="572" t="s">
        <v>192</v>
      </c>
      <c r="H129" s="375"/>
      <c r="I129" s="375"/>
      <c r="J129" s="375"/>
      <c r="K129" s="375"/>
      <c r="L129" s="376"/>
      <c r="M129" s="376"/>
      <c r="N129" s="376"/>
      <c r="O129" s="376"/>
      <c r="P129" s="378"/>
      <c r="Q129" s="378"/>
      <c r="R129" s="378">
        <v>393</v>
      </c>
      <c r="S129" s="378">
        <v>232</v>
      </c>
      <c r="T129" s="378"/>
      <c r="U129" s="378"/>
      <c r="V129" s="533"/>
      <c r="W129" s="378"/>
      <c r="X129" s="378"/>
      <c r="Y129" s="378">
        <f>IF(NFI_Expiration=1,IF($A129&lt;VLOOKUP(H$5,NFI,5,0),1,0)*Table_NFI[[#This Row],[Hygiene Kit]],Table_NFI[Hygiene Kit])</f>
        <v>0</v>
      </c>
      <c r="Z129" s="378">
        <f>IF(NFI_Expiration=1,IF($A129&lt;VLOOKUP(I$5,NFI,5,0),1,0)*Table_NFI[[#This Row],[NFI Core Kit]],Table_NFI[NFI Core Kit])</f>
        <v>0</v>
      </c>
      <c r="AA129" s="378">
        <f>IF(NFI_Expiration=1,IF($A129&lt;VLOOKUP(J$5,NFI,5,0),1,0)*Table_NFI[[#This Row],[Sanitary Kit]],Table_NFI[Sanitary Kit])</f>
        <v>0</v>
      </c>
      <c r="AB129" s="378">
        <f>IF(NFI_Expiration=1,IF($A129&lt;VLOOKUP(K$5,NFI,5,0),1,0)*Table_NFI[[#This Row],[Mosquito net]],Table_NFI[Mosquito net])</f>
        <v>0</v>
      </c>
      <c r="AC129" s="378">
        <f>IF(NFI_Expiration=1,IF($A129&lt;VLOOKUP(L$5,NFI,5,0),1,0)*Table_NFI[[#This Row],[Tarpaulin]],Table_NFI[[#This Row],[Tarpaulin]])</f>
        <v>0</v>
      </c>
      <c r="AD129" s="378">
        <f>IF(NFI_Expiration=1,IF($A129&lt;VLOOKUP(M$5,NFI,5,0),1,0)*Table_NFI[[#This Row],[Blanket]],Table_NFI[[#This Row],[Blanket]])</f>
        <v>0</v>
      </c>
      <c r="AE129" s="378">
        <f>IF(NFI_Expiration=1,IF($A129&lt;VLOOKUP(N$5,NFI,5,0),1,0)*Table_NFI[[#This Row],[Kitchen Set]],Table_NFI[Kitchen Set])</f>
        <v>0</v>
      </c>
      <c r="AF129" s="378">
        <f>IF(NFI_Expiration=1,IF($A129&lt;VLOOKUP(O$5,NFI,5,0),1,0)*Table_NFI[[#This Row],[Clothes Kit]],Table_NFI[Clothes Kit])</f>
        <v>0</v>
      </c>
      <c r="AG129" s="378">
        <f>IF(NFI_Expiration=1,IF($A129&lt;VLOOKUP(P$5,NFI,5,0),1,0)*Table_NFI[[#This Row],[Plastic Bucket]],Table_NFI[Plastic Bucket])</f>
        <v>0</v>
      </c>
      <c r="AH129" s="378">
        <f>IF(NFI_Expiration=1,IF($A129&lt;VLOOKUP(Q$5,NFI,5,0),1,0)*Table_NFI[[#This Row],[Plastic Mat]],Table_NFI[Plastic Mat])*IF(Table_NFI[[#This Row],[Distribution Date]]&gt;"2014-04-01",1,2.5)</f>
        <v>0</v>
      </c>
      <c r="AI129" s="378">
        <f>IF(NFI_Expiration=1,IF($A129&lt;VLOOKUP(R$5,NFI,5,0),1,0)*Table_NFI[[#This Row],[Winter Clothes Adult]],Table_NFI[Winter Clothes Adult])</f>
        <v>0</v>
      </c>
      <c r="AJ129" s="378">
        <f>IF(NFI_Expiration=1,IF($A129&lt;VLOOKUP(S$5,NFI,5,0),1,0)*Table_NFI[[#This Row],[Winter Clothes Children]],Table_NFI[Winter Clothes Children])</f>
        <v>0</v>
      </c>
      <c r="AK129" s="378">
        <f>IF(NFI_Expiration=1,IF($A129&lt;VLOOKUP(T$5,NFI,5,0),1,0)*Table_NFI[[#This Row],[Winter Items Other]],Table_NFI[Winter Items Other])</f>
        <v>0</v>
      </c>
      <c r="AL129" s="378">
        <f>IF(NFI_Expiration=1,IF($A129&lt;VLOOKUP(M$5,NFI,5,0),1,0)*Table_NFI[[#This Row],[Winter Blanket]],Table_NFI[[#This Row],[Winter Blanket]])</f>
        <v>0</v>
      </c>
      <c r="AM129" s="378">
        <f>IF(Table_NFI[[#This Row],[Winter Clothes Adult]]+Table_NFI[[#This Row],[Winter Clothes Children]]+Table_NFI[[#This Row],[Winter Items Other]]+Table_NFI[[#This Row],[Winter Blanket]]&gt;0,1,0)</f>
        <v>1</v>
      </c>
      <c r="AN129" s="418">
        <f>IF(NFI_Expiration=1,IF($A129&lt;VLOOKUP(V$5,NFI,5,0),1,0)*Table_NFI[[#This Row],[Jerry Can]],Table_NFI[Jerry Can])</f>
        <v>0</v>
      </c>
      <c r="AO129" s="579" t="str">
        <f>IFERROR(VLOOKUP(Table_NFI[[#This Row],[Camp Name]],CL,2,0),"")</f>
        <v>MMR001CMP123</v>
      </c>
      <c r="AP129" s="574">
        <f ca="1">IF(Table_NFI[[#This Row],[Pcode]]="","",IF(OFFSET(CampList[Opening Date],MATCH(Table_NFI[[#This Row],[Pcode]],CampList[CP_Pcode],0)-1,0,1,1)&gt;=NFI_Monitor_Date,1,0))</f>
        <v>0</v>
      </c>
      <c r="AQ129" s="579" t="str">
        <f>IFERROR(VLOOKUP(Table_NFI[[#This Row],[Camp Name]],CL,3,0),"")</f>
        <v>Open</v>
      </c>
      <c r="AR129" s="378" t="str">
        <f ca="1">IF(Table_NFI[[#This Row],[Pcode]]="","",OFFSET(CampList[Priority],MATCH(Table_NFI[[#This Row],[Pcode]],CampList[CP_Pcode],0)-1,0,1,1))</f>
        <v>P2</v>
      </c>
      <c r="AS129" s="377">
        <f>IFERROR(Table_NFI[[#This Row],[Kitchen Set]]/VLOOKUP(Table_NFI[[#This Row],[Camp Name]],CL,4,0),"")</f>
        <v>0</v>
      </c>
      <c r="AT129" s="572" t="s">
        <v>1095</v>
      </c>
      <c r="AU129" s="575"/>
    </row>
    <row r="130" spans="1:47" s="130" customFormat="1" x14ac:dyDescent="0.25">
      <c r="A130" s="381">
        <f t="shared" si="1"/>
        <v>30.3</v>
      </c>
      <c r="B130" s="571">
        <v>41613</v>
      </c>
      <c r="C130" s="572" t="s">
        <v>908</v>
      </c>
      <c r="D130" s="572" t="s">
        <v>462</v>
      </c>
      <c r="E130" s="572" t="s">
        <v>380</v>
      </c>
      <c r="F130" s="572" t="s">
        <v>185</v>
      </c>
      <c r="G130" s="572" t="s">
        <v>192</v>
      </c>
      <c r="H130" s="375"/>
      <c r="I130" s="375"/>
      <c r="J130" s="375"/>
      <c r="K130" s="375"/>
      <c r="L130" s="376"/>
      <c r="M130" s="376"/>
      <c r="N130" s="376"/>
      <c r="O130" s="376"/>
      <c r="P130" s="378"/>
      <c r="Q130" s="378"/>
      <c r="R130" s="378">
        <v>120</v>
      </c>
      <c r="S130" s="378">
        <v>240</v>
      </c>
      <c r="T130" s="378">
        <v>720</v>
      </c>
      <c r="U130" s="378">
        <v>360</v>
      </c>
      <c r="V130" s="533"/>
      <c r="W130" s="378"/>
      <c r="X130" s="378"/>
      <c r="Y130" s="378">
        <f>IF(NFI_Expiration=1,IF($A130&lt;VLOOKUP(H$5,NFI,5,0),1,0)*Table_NFI[[#This Row],[Hygiene Kit]],Table_NFI[Hygiene Kit])</f>
        <v>0</v>
      </c>
      <c r="Z130" s="378">
        <f>IF(NFI_Expiration=1,IF($A130&lt;VLOOKUP(I$5,NFI,5,0),1,0)*Table_NFI[[#This Row],[NFI Core Kit]],Table_NFI[NFI Core Kit])</f>
        <v>0</v>
      </c>
      <c r="AA130" s="378">
        <f>IF(NFI_Expiration=1,IF($A130&lt;VLOOKUP(J$5,NFI,5,0),1,0)*Table_NFI[[#This Row],[Sanitary Kit]],Table_NFI[Sanitary Kit])</f>
        <v>0</v>
      </c>
      <c r="AB130" s="378">
        <f>IF(NFI_Expiration=1,IF($A130&lt;VLOOKUP(K$5,NFI,5,0),1,0)*Table_NFI[[#This Row],[Mosquito net]],Table_NFI[Mosquito net])</f>
        <v>0</v>
      </c>
      <c r="AC130" s="378">
        <f>IF(NFI_Expiration=1,IF($A130&lt;VLOOKUP(L$5,NFI,5,0),1,0)*Table_NFI[[#This Row],[Tarpaulin]],Table_NFI[[#This Row],[Tarpaulin]])</f>
        <v>0</v>
      </c>
      <c r="AD130" s="378">
        <f>IF(NFI_Expiration=1,IF($A130&lt;VLOOKUP(M$5,NFI,5,0),1,0)*Table_NFI[[#This Row],[Blanket]],Table_NFI[[#This Row],[Blanket]])</f>
        <v>0</v>
      </c>
      <c r="AE130" s="378">
        <f>IF(NFI_Expiration=1,IF($A130&lt;VLOOKUP(N$5,NFI,5,0),1,0)*Table_NFI[[#This Row],[Kitchen Set]],Table_NFI[Kitchen Set])</f>
        <v>0</v>
      </c>
      <c r="AF130" s="378">
        <f>IF(NFI_Expiration=1,IF($A130&lt;VLOOKUP(O$5,NFI,5,0),1,0)*Table_NFI[[#This Row],[Clothes Kit]],Table_NFI[Clothes Kit])</f>
        <v>0</v>
      </c>
      <c r="AG130" s="378">
        <f>IF(NFI_Expiration=1,IF($A130&lt;VLOOKUP(P$5,NFI,5,0),1,0)*Table_NFI[[#This Row],[Plastic Bucket]],Table_NFI[Plastic Bucket])</f>
        <v>0</v>
      </c>
      <c r="AH130" s="378">
        <f>IF(NFI_Expiration=1,IF($A130&lt;VLOOKUP(Q$5,NFI,5,0),1,0)*Table_NFI[[#This Row],[Plastic Mat]],Table_NFI[Plastic Mat])*IF(Table_NFI[[#This Row],[Distribution Date]]&gt;"2014-04-01",1,2.5)</f>
        <v>0</v>
      </c>
      <c r="AI130" s="378">
        <f>IF(NFI_Expiration=1,IF($A130&lt;VLOOKUP(R$5,NFI,5,0),1,0)*Table_NFI[[#This Row],[Winter Clothes Adult]],Table_NFI[Winter Clothes Adult])</f>
        <v>0</v>
      </c>
      <c r="AJ130" s="378">
        <f>IF(NFI_Expiration=1,IF($A130&lt;VLOOKUP(S$5,NFI,5,0),1,0)*Table_NFI[[#This Row],[Winter Clothes Children]],Table_NFI[Winter Clothes Children])</f>
        <v>0</v>
      </c>
      <c r="AK130" s="378">
        <f>IF(NFI_Expiration=1,IF($A130&lt;VLOOKUP(T$5,NFI,5,0),1,0)*Table_NFI[[#This Row],[Winter Items Other]],Table_NFI[Winter Items Other])</f>
        <v>0</v>
      </c>
      <c r="AL130" s="378">
        <f>IF(NFI_Expiration=1,IF($A130&lt;VLOOKUP(M$5,NFI,5,0),1,0)*Table_NFI[[#This Row],[Winter Blanket]],Table_NFI[[#This Row],[Winter Blanket]])</f>
        <v>0</v>
      </c>
      <c r="AM130" s="378">
        <f>IF(Table_NFI[[#This Row],[Winter Clothes Adult]]+Table_NFI[[#This Row],[Winter Clothes Children]]+Table_NFI[[#This Row],[Winter Items Other]]+Table_NFI[[#This Row],[Winter Blanket]]&gt;0,1,0)</f>
        <v>1</v>
      </c>
      <c r="AN130" s="418">
        <f>IF(NFI_Expiration=1,IF($A130&lt;VLOOKUP(V$5,NFI,5,0),1,0)*Table_NFI[[#This Row],[Jerry Can]],Table_NFI[Jerry Can])</f>
        <v>0</v>
      </c>
      <c r="AO130" s="579" t="str">
        <f>IFERROR(VLOOKUP(Table_NFI[[#This Row],[Camp Name]],CL,2,0),"")</f>
        <v>MMR001CMP123</v>
      </c>
      <c r="AP130" s="574">
        <f ca="1">IF(Table_NFI[[#This Row],[Pcode]]="","",IF(OFFSET(CampList[Opening Date],MATCH(Table_NFI[[#This Row],[Pcode]],CampList[CP_Pcode],0)-1,0,1,1)&gt;=NFI_Monitor_Date,1,0))</f>
        <v>0</v>
      </c>
      <c r="AQ130" s="579" t="str">
        <f>IFERROR(VLOOKUP(Table_NFI[[#This Row],[Camp Name]],CL,3,0),"")</f>
        <v>Open</v>
      </c>
      <c r="AR130" s="378" t="str">
        <f ca="1">IF(Table_NFI[[#This Row],[Pcode]]="","",OFFSET(CampList[Priority],MATCH(Table_NFI[[#This Row],[Pcode]],CampList[CP_Pcode],0)-1,0,1,1))</f>
        <v>P2</v>
      </c>
      <c r="AS130" s="377">
        <f>IFERROR(Table_NFI[[#This Row],[Kitchen Set]]/VLOOKUP(Table_NFI[[#This Row],[Camp Name]],CL,4,0),"")</f>
        <v>0</v>
      </c>
      <c r="AT130" s="572"/>
      <c r="AU130" s="575"/>
    </row>
    <row r="131" spans="1:47" s="130" customFormat="1" x14ac:dyDescent="0.25">
      <c r="A131" s="381">
        <f t="shared" si="1"/>
        <v>30.466666666666665</v>
      </c>
      <c r="B131" s="571">
        <v>41608</v>
      </c>
      <c r="C131" s="572" t="s">
        <v>908</v>
      </c>
      <c r="D131" s="572" t="s">
        <v>462</v>
      </c>
      <c r="E131" s="572" t="s">
        <v>380</v>
      </c>
      <c r="F131" s="374" t="s">
        <v>185</v>
      </c>
      <c r="G131" s="374" t="s">
        <v>192</v>
      </c>
      <c r="H131" s="375"/>
      <c r="I131" s="375"/>
      <c r="J131" s="375"/>
      <c r="K131" s="375"/>
      <c r="L131" s="376"/>
      <c r="M131" s="376"/>
      <c r="N131" s="376"/>
      <c r="O131" s="376"/>
      <c r="P131" s="378"/>
      <c r="Q131" s="378"/>
      <c r="R131" s="378"/>
      <c r="S131" s="378"/>
      <c r="T131" s="378"/>
      <c r="U131" s="378"/>
      <c r="V131" s="533"/>
      <c r="W131" s="378"/>
      <c r="X131" s="378"/>
      <c r="Y131" s="378">
        <f>IF(NFI_Expiration=1,IF($A131&lt;VLOOKUP(H$5,NFI,5,0),1,0)*Table_NFI[[#This Row],[Hygiene Kit]],Table_NFI[Hygiene Kit])</f>
        <v>0</v>
      </c>
      <c r="Z131" s="378">
        <f>IF(NFI_Expiration=1,IF($A131&lt;VLOOKUP(I$5,NFI,5,0),1,0)*Table_NFI[[#This Row],[NFI Core Kit]],Table_NFI[NFI Core Kit])</f>
        <v>0</v>
      </c>
      <c r="AA131" s="378">
        <f>IF(NFI_Expiration=1,IF($A131&lt;VLOOKUP(J$5,NFI,5,0),1,0)*Table_NFI[[#This Row],[Sanitary Kit]],Table_NFI[Sanitary Kit])</f>
        <v>0</v>
      </c>
      <c r="AB131" s="378">
        <f>IF(NFI_Expiration=1,IF($A131&lt;VLOOKUP(K$5,NFI,5,0),1,0)*Table_NFI[[#This Row],[Mosquito net]],Table_NFI[Mosquito net])</f>
        <v>0</v>
      </c>
      <c r="AC131" s="378">
        <f>IF(NFI_Expiration=1,IF($A131&lt;VLOOKUP(L$5,NFI,5,0),1,0)*Table_NFI[[#This Row],[Tarpaulin]],Table_NFI[[#This Row],[Tarpaulin]])</f>
        <v>0</v>
      </c>
      <c r="AD131" s="378">
        <f>IF(NFI_Expiration=1,IF($A131&lt;VLOOKUP(M$5,NFI,5,0),1,0)*Table_NFI[[#This Row],[Blanket]],Table_NFI[[#This Row],[Blanket]])</f>
        <v>0</v>
      </c>
      <c r="AE131" s="378">
        <f>IF(NFI_Expiration=1,IF($A131&lt;VLOOKUP(N$5,NFI,5,0),1,0)*Table_NFI[[#This Row],[Kitchen Set]],Table_NFI[Kitchen Set])</f>
        <v>0</v>
      </c>
      <c r="AF131" s="378">
        <f>IF(NFI_Expiration=1,IF($A131&lt;VLOOKUP(O$5,NFI,5,0),1,0)*Table_NFI[[#This Row],[Clothes Kit]],Table_NFI[Clothes Kit])</f>
        <v>0</v>
      </c>
      <c r="AG131" s="378">
        <f>IF(NFI_Expiration=1,IF($A131&lt;VLOOKUP(P$5,NFI,5,0),1,0)*Table_NFI[[#This Row],[Plastic Bucket]],Table_NFI[Plastic Bucket])</f>
        <v>0</v>
      </c>
      <c r="AH131" s="378">
        <f>IF(NFI_Expiration=1,IF($A131&lt;VLOOKUP(Q$5,NFI,5,0),1,0)*Table_NFI[[#This Row],[Plastic Mat]],Table_NFI[Plastic Mat])*IF(Table_NFI[[#This Row],[Distribution Date]]&gt;"2014-04-01",1,2.5)</f>
        <v>0</v>
      </c>
      <c r="AI131" s="378">
        <f>IF(NFI_Expiration=1,IF($A131&lt;VLOOKUP(R$5,NFI,5,0),1,0)*Table_NFI[[#This Row],[Winter Clothes Adult]],Table_NFI[Winter Clothes Adult])</f>
        <v>0</v>
      </c>
      <c r="AJ131" s="378">
        <f>IF(NFI_Expiration=1,IF($A131&lt;VLOOKUP(S$5,NFI,5,0),1,0)*Table_NFI[[#This Row],[Winter Clothes Children]],Table_NFI[Winter Clothes Children])</f>
        <v>0</v>
      </c>
      <c r="AK131" s="378">
        <f>IF(NFI_Expiration=1,IF($A131&lt;VLOOKUP(T$5,NFI,5,0),1,0)*Table_NFI[[#This Row],[Winter Items Other]],Table_NFI[Winter Items Other])</f>
        <v>0</v>
      </c>
      <c r="AL131" s="378">
        <f>IF(NFI_Expiration=1,IF($A131&lt;VLOOKUP(M$5,NFI,5,0),1,0)*Table_NFI[[#This Row],[Winter Blanket]],Table_NFI[[#This Row],[Winter Blanket]])</f>
        <v>0</v>
      </c>
      <c r="AM131" s="378">
        <f>IF(Table_NFI[[#This Row],[Winter Clothes Adult]]+Table_NFI[[#This Row],[Winter Clothes Children]]+Table_NFI[[#This Row],[Winter Items Other]]+Table_NFI[[#This Row],[Winter Blanket]]&gt;0,1,0)</f>
        <v>0</v>
      </c>
      <c r="AN131" s="418">
        <f>IF(NFI_Expiration=1,IF($A131&lt;VLOOKUP(V$5,NFI,5,0),1,0)*Table_NFI[[#This Row],[Jerry Can]],Table_NFI[Jerry Can])</f>
        <v>0</v>
      </c>
      <c r="AO131" s="579" t="str">
        <f>IFERROR(VLOOKUP(Table_NFI[[#This Row],[Camp Name]],CL,2,0),"")</f>
        <v>MMR001CMP123</v>
      </c>
      <c r="AP131" s="574">
        <f ca="1">IF(Table_NFI[[#This Row],[Pcode]]="","",IF(OFFSET(CampList[Opening Date],MATCH(Table_NFI[[#This Row],[Pcode]],CampList[CP_Pcode],0)-1,0,1,1)&gt;=NFI_Monitor_Date,1,0))</f>
        <v>0</v>
      </c>
      <c r="AQ131" s="579" t="str">
        <f>IFERROR(VLOOKUP(Table_NFI[[#This Row],[Camp Name]],CL,3,0),"")</f>
        <v>Open</v>
      </c>
      <c r="AR131" s="378" t="str">
        <f ca="1">IF(Table_NFI[[#This Row],[Pcode]]="","",OFFSET(CampList[Priority],MATCH(Table_NFI[[#This Row],[Pcode]],CampList[CP_Pcode],0)-1,0,1,1))</f>
        <v>P2</v>
      </c>
      <c r="AS131" s="377">
        <f>IFERROR(Table_NFI[[#This Row],[Kitchen Set]]/VLOOKUP(Table_NFI[[#This Row],[Camp Name]],CL,4,0),"")</f>
        <v>0</v>
      </c>
      <c r="AT131" s="572" t="s">
        <v>1095</v>
      </c>
      <c r="AU131" s="575"/>
    </row>
    <row r="132" spans="1:47" s="130" customFormat="1" x14ac:dyDescent="0.25">
      <c r="A132" s="381">
        <f t="shared" si="1"/>
        <v>30.466666666666665</v>
      </c>
      <c r="B132" s="571">
        <v>41608</v>
      </c>
      <c r="C132" s="572" t="s">
        <v>454</v>
      </c>
      <c r="D132" s="573" t="s">
        <v>454</v>
      </c>
      <c r="E132" s="572" t="s">
        <v>380</v>
      </c>
      <c r="F132" s="374" t="s">
        <v>185</v>
      </c>
      <c r="G132" s="374" t="s">
        <v>192</v>
      </c>
      <c r="H132" s="375"/>
      <c r="I132" s="375"/>
      <c r="J132" s="375"/>
      <c r="K132" s="375"/>
      <c r="L132" s="376"/>
      <c r="M132" s="376"/>
      <c r="N132" s="376"/>
      <c r="O132" s="376"/>
      <c r="P132" s="378"/>
      <c r="Q132" s="378"/>
      <c r="R132" s="378"/>
      <c r="S132" s="378"/>
      <c r="T132" s="378"/>
      <c r="U132" s="378"/>
      <c r="V132" s="533"/>
      <c r="W132" s="378"/>
      <c r="X132" s="378"/>
      <c r="Y132" s="378">
        <f>IF(NFI_Expiration=1,IF($A132&lt;VLOOKUP(H$5,NFI,5,0),1,0)*Table_NFI[[#This Row],[Hygiene Kit]],Table_NFI[Hygiene Kit])</f>
        <v>0</v>
      </c>
      <c r="Z132" s="378">
        <f>IF(NFI_Expiration=1,IF($A132&lt;VLOOKUP(I$5,NFI,5,0),1,0)*Table_NFI[[#This Row],[NFI Core Kit]],Table_NFI[NFI Core Kit])</f>
        <v>0</v>
      </c>
      <c r="AA132" s="378">
        <f>IF(NFI_Expiration=1,IF($A132&lt;VLOOKUP(J$5,NFI,5,0),1,0)*Table_NFI[[#This Row],[Sanitary Kit]],Table_NFI[Sanitary Kit])</f>
        <v>0</v>
      </c>
      <c r="AB132" s="378">
        <f>IF(NFI_Expiration=1,IF($A132&lt;VLOOKUP(K$5,NFI,5,0),1,0)*Table_NFI[[#This Row],[Mosquito net]],Table_NFI[Mosquito net])</f>
        <v>0</v>
      </c>
      <c r="AC132" s="378">
        <f>IF(NFI_Expiration=1,IF($A132&lt;VLOOKUP(L$5,NFI,5,0),1,0)*Table_NFI[[#This Row],[Tarpaulin]],Table_NFI[[#This Row],[Tarpaulin]])</f>
        <v>0</v>
      </c>
      <c r="AD132" s="378">
        <f>IF(NFI_Expiration=1,IF($A132&lt;VLOOKUP(M$5,NFI,5,0),1,0)*Table_NFI[[#This Row],[Blanket]],Table_NFI[[#This Row],[Blanket]])</f>
        <v>0</v>
      </c>
      <c r="AE132" s="378">
        <f>IF(NFI_Expiration=1,IF($A132&lt;VLOOKUP(N$5,NFI,5,0),1,0)*Table_NFI[[#This Row],[Kitchen Set]],Table_NFI[Kitchen Set])</f>
        <v>0</v>
      </c>
      <c r="AF132" s="378">
        <f>IF(NFI_Expiration=1,IF($A132&lt;VLOOKUP(O$5,NFI,5,0),1,0)*Table_NFI[[#This Row],[Clothes Kit]],Table_NFI[Clothes Kit])</f>
        <v>0</v>
      </c>
      <c r="AG132" s="378">
        <f>IF(NFI_Expiration=1,IF($A132&lt;VLOOKUP(P$5,NFI,5,0),1,0)*Table_NFI[[#This Row],[Plastic Bucket]],Table_NFI[Plastic Bucket])</f>
        <v>0</v>
      </c>
      <c r="AH132" s="378">
        <f>IF(NFI_Expiration=1,IF($A132&lt;VLOOKUP(Q$5,NFI,5,0),1,0)*Table_NFI[[#This Row],[Plastic Mat]],Table_NFI[Plastic Mat])*IF(Table_NFI[[#This Row],[Distribution Date]]&gt;"2014-04-01",1,2.5)</f>
        <v>0</v>
      </c>
      <c r="AI132" s="378">
        <f>IF(NFI_Expiration=1,IF($A132&lt;VLOOKUP(R$5,NFI,5,0),1,0)*Table_NFI[[#This Row],[Winter Clothes Adult]],Table_NFI[Winter Clothes Adult])</f>
        <v>0</v>
      </c>
      <c r="AJ132" s="378">
        <f>IF(NFI_Expiration=1,IF($A132&lt;VLOOKUP(S$5,NFI,5,0),1,0)*Table_NFI[[#This Row],[Winter Clothes Children]],Table_NFI[Winter Clothes Children])</f>
        <v>0</v>
      </c>
      <c r="AK132" s="378">
        <f>IF(NFI_Expiration=1,IF($A132&lt;VLOOKUP(T$5,NFI,5,0),1,0)*Table_NFI[[#This Row],[Winter Items Other]],Table_NFI[Winter Items Other])</f>
        <v>0</v>
      </c>
      <c r="AL132" s="378">
        <f>IF(NFI_Expiration=1,IF($A132&lt;VLOOKUP(M$5,NFI,5,0),1,0)*Table_NFI[[#This Row],[Winter Blanket]],Table_NFI[[#This Row],[Winter Blanket]])</f>
        <v>0</v>
      </c>
      <c r="AM132" s="378">
        <f>IF(Table_NFI[[#This Row],[Winter Clothes Adult]]+Table_NFI[[#This Row],[Winter Clothes Children]]+Table_NFI[[#This Row],[Winter Items Other]]+Table_NFI[[#This Row],[Winter Blanket]]&gt;0,1,0)</f>
        <v>0</v>
      </c>
      <c r="AN132" s="418">
        <f>IF(NFI_Expiration=1,IF($A132&lt;VLOOKUP(V$5,NFI,5,0),1,0)*Table_NFI[[#This Row],[Jerry Can]],Table_NFI[Jerry Can])</f>
        <v>0</v>
      </c>
      <c r="AO132" s="579" t="str">
        <f>IFERROR(VLOOKUP(Table_NFI[[#This Row],[Camp Name]],CL,2,0),"")</f>
        <v>MMR001CMP123</v>
      </c>
      <c r="AP132" s="574">
        <f ca="1">IF(Table_NFI[[#This Row],[Pcode]]="","",IF(OFFSET(CampList[Opening Date],MATCH(Table_NFI[[#This Row],[Pcode]],CampList[CP_Pcode],0)-1,0,1,1)&gt;=NFI_Monitor_Date,1,0))</f>
        <v>0</v>
      </c>
      <c r="AQ132" s="579" t="str">
        <f>IFERROR(VLOOKUP(Table_NFI[[#This Row],[Camp Name]],CL,3,0),"")</f>
        <v>Open</v>
      </c>
      <c r="AR132" s="378" t="str">
        <f ca="1">IF(Table_NFI[[#This Row],[Pcode]]="","",OFFSET(CampList[Priority],MATCH(Table_NFI[[#This Row],[Pcode]],CampList[CP_Pcode],0)-1,0,1,1))</f>
        <v>P2</v>
      </c>
      <c r="AS132" s="377">
        <f>IFERROR(Table_NFI[[#This Row],[Kitchen Set]]/VLOOKUP(Table_NFI[[#This Row],[Camp Name]],CL,4,0),"")</f>
        <v>0</v>
      </c>
      <c r="AT132" s="572" t="s">
        <v>1095</v>
      </c>
      <c r="AU132" s="575"/>
    </row>
    <row r="133" spans="1:47" s="576" customFormat="1" x14ac:dyDescent="0.25">
      <c r="A133" s="381">
        <f t="shared" si="1"/>
        <v>47.166666666666664</v>
      </c>
      <c r="B133" s="571">
        <v>41107</v>
      </c>
      <c r="C133" s="572" t="s">
        <v>454</v>
      </c>
      <c r="D133" s="573" t="s">
        <v>454</v>
      </c>
      <c r="E133" s="572" t="s">
        <v>380</v>
      </c>
      <c r="F133" s="374" t="s">
        <v>185</v>
      </c>
      <c r="G133" s="374" t="s">
        <v>192</v>
      </c>
      <c r="H133" s="375"/>
      <c r="I133" s="380"/>
      <c r="J133" s="373"/>
      <c r="K133" s="373">
        <v>380</v>
      </c>
      <c r="L133" s="373">
        <v>156</v>
      </c>
      <c r="M133" s="373">
        <v>380</v>
      </c>
      <c r="N133" s="373">
        <v>156</v>
      </c>
      <c r="O133" s="373">
        <v>156</v>
      </c>
      <c r="P133" s="378">
        <v>156</v>
      </c>
      <c r="Q133" s="378">
        <v>156</v>
      </c>
      <c r="R133" s="378"/>
      <c r="S133" s="378"/>
      <c r="T133" s="378"/>
      <c r="U133" s="378"/>
      <c r="V133" s="533"/>
      <c r="W133" s="378"/>
      <c r="X133" s="378"/>
      <c r="Y133" s="378">
        <f>IF(NFI_Expiration=1,IF($A133&lt;VLOOKUP(H$5,NFI,5,0),1,0)*Table_NFI[[#This Row],[Hygiene Kit]],Table_NFI[Hygiene Kit])</f>
        <v>0</v>
      </c>
      <c r="Z133" s="378">
        <f>IF(NFI_Expiration=1,IF($A133&lt;VLOOKUP(I$5,NFI,5,0),1,0)*Table_NFI[[#This Row],[NFI Core Kit]],Table_NFI[NFI Core Kit])</f>
        <v>0</v>
      </c>
      <c r="AA133" s="378">
        <f>IF(NFI_Expiration=1,IF($A133&lt;VLOOKUP(J$5,NFI,5,0),1,0)*Table_NFI[[#This Row],[Sanitary Kit]],Table_NFI[Sanitary Kit])</f>
        <v>0</v>
      </c>
      <c r="AB133" s="378">
        <f>IF(NFI_Expiration=1,IF($A133&lt;VLOOKUP(K$5,NFI,5,0),1,0)*Table_NFI[[#This Row],[Mosquito net]],Table_NFI[Mosquito net])</f>
        <v>0</v>
      </c>
      <c r="AC133" s="378">
        <f>IF(NFI_Expiration=1,IF($A133&lt;VLOOKUP(L$5,NFI,5,0),1,0)*Table_NFI[[#This Row],[Tarpaulin]],Table_NFI[[#This Row],[Tarpaulin]])</f>
        <v>0</v>
      </c>
      <c r="AD133" s="378">
        <f>IF(NFI_Expiration=1,IF($A133&lt;VLOOKUP(M$5,NFI,5,0),1,0)*Table_NFI[[#This Row],[Blanket]],Table_NFI[[#This Row],[Blanket]])</f>
        <v>0</v>
      </c>
      <c r="AE133" s="378">
        <f>IF(NFI_Expiration=1,IF($A133&lt;VLOOKUP(N$5,NFI,5,0),1,0)*Table_NFI[[#This Row],[Kitchen Set]],Table_NFI[Kitchen Set])</f>
        <v>0</v>
      </c>
      <c r="AF133" s="378">
        <f>IF(NFI_Expiration=1,IF($A133&lt;VLOOKUP(O$5,NFI,5,0),1,0)*Table_NFI[[#This Row],[Clothes Kit]],Table_NFI[Clothes Kit])</f>
        <v>0</v>
      </c>
      <c r="AG133" s="378">
        <f>IF(NFI_Expiration=1,IF($A133&lt;VLOOKUP(P$5,NFI,5,0),1,0)*Table_NFI[[#This Row],[Plastic Bucket]],Table_NFI[Plastic Bucket])</f>
        <v>0</v>
      </c>
      <c r="AH133" s="378">
        <f>IF(NFI_Expiration=1,IF($A133&lt;VLOOKUP(Q$5,NFI,5,0),1,0)*Table_NFI[[#This Row],[Plastic Mat]],Table_NFI[Plastic Mat])*IF(Table_NFI[[#This Row],[Distribution Date]]&gt;"2014-04-01",1,2.5)</f>
        <v>0</v>
      </c>
      <c r="AI133" s="378">
        <f>IF(NFI_Expiration=1,IF($A133&lt;VLOOKUP(R$5,NFI,5,0),1,0)*Table_NFI[[#This Row],[Winter Clothes Adult]],Table_NFI[Winter Clothes Adult])</f>
        <v>0</v>
      </c>
      <c r="AJ133" s="378">
        <f>IF(NFI_Expiration=1,IF($A133&lt;VLOOKUP(S$5,NFI,5,0),1,0)*Table_NFI[[#This Row],[Winter Clothes Children]],Table_NFI[Winter Clothes Children])</f>
        <v>0</v>
      </c>
      <c r="AK133" s="378">
        <f>IF(NFI_Expiration=1,IF($A133&lt;VLOOKUP(T$5,NFI,5,0),1,0)*Table_NFI[[#This Row],[Winter Items Other]],Table_NFI[Winter Items Other])</f>
        <v>0</v>
      </c>
      <c r="AL133" s="378">
        <f>IF(NFI_Expiration=1,IF($A133&lt;VLOOKUP(M$5,NFI,5,0),1,0)*Table_NFI[[#This Row],[Winter Blanket]],Table_NFI[[#This Row],[Winter Blanket]])</f>
        <v>0</v>
      </c>
      <c r="AM133" s="378">
        <f>IF(Table_NFI[[#This Row],[Winter Clothes Adult]]+Table_NFI[[#This Row],[Winter Clothes Children]]+Table_NFI[[#This Row],[Winter Items Other]]+Table_NFI[[#This Row],[Winter Blanket]]&gt;0,1,0)</f>
        <v>0</v>
      </c>
      <c r="AN133" s="418">
        <f>IF(NFI_Expiration=1,IF($A133&lt;VLOOKUP(V$5,NFI,5,0),1,0)*Table_NFI[[#This Row],[Jerry Can]],Table_NFI[Jerry Can])</f>
        <v>0</v>
      </c>
      <c r="AO133" s="579" t="str">
        <f>IFERROR(VLOOKUP(Table_NFI[[#This Row],[Camp Name]],CL,2,0),"")</f>
        <v>MMR001CMP123</v>
      </c>
      <c r="AP133" s="574">
        <f ca="1">IF(Table_NFI[[#This Row],[Pcode]]="","",IF(OFFSET(CampList[Opening Date],MATCH(Table_NFI[[#This Row],[Pcode]],CampList[CP_Pcode],0)-1,0,1,1)&gt;=NFI_Monitor_Date,1,0))</f>
        <v>0</v>
      </c>
      <c r="AQ133" s="579" t="str">
        <f>IFERROR(VLOOKUP(Table_NFI[[#This Row],[Camp Name]],CL,3,0),"")</f>
        <v>Open</v>
      </c>
      <c r="AR133" s="378" t="str">
        <f ca="1">IF(Table_NFI[[#This Row],[Pcode]]="","",OFFSET(CampList[Priority],MATCH(Table_NFI[[#This Row],[Pcode]],CampList[CP_Pcode],0)-1,0,1,1))</f>
        <v>P2</v>
      </c>
      <c r="AS133" s="377">
        <f>IFERROR(Table_NFI[[#This Row],[Kitchen Set]]/VLOOKUP(Table_NFI[[#This Row],[Camp Name]],CL,4,0),"")</f>
        <v>1.4054054054054055</v>
      </c>
      <c r="AT133" s="572" t="s">
        <v>1095</v>
      </c>
      <c r="AU133" s="575"/>
    </row>
    <row r="134" spans="1:47" s="130" customFormat="1" x14ac:dyDescent="0.25">
      <c r="A134" s="381">
        <f t="shared" ref="A134:A197" si="2">IF(ISBLANK(B134),"",(Report_Date-B134)/30)</f>
        <v>47.966666666666669</v>
      </c>
      <c r="B134" s="571">
        <v>41083</v>
      </c>
      <c r="C134" s="572" t="s">
        <v>454</v>
      </c>
      <c r="D134" s="573" t="s">
        <v>454</v>
      </c>
      <c r="E134" s="572" t="s">
        <v>380</v>
      </c>
      <c r="F134" s="374" t="s">
        <v>185</v>
      </c>
      <c r="G134" s="374" t="s">
        <v>192</v>
      </c>
      <c r="H134" s="375"/>
      <c r="I134" s="380"/>
      <c r="J134" s="373"/>
      <c r="K134" s="373">
        <v>24</v>
      </c>
      <c r="L134" s="373">
        <v>13</v>
      </c>
      <c r="M134" s="373">
        <v>24</v>
      </c>
      <c r="N134" s="373">
        <v>13</v>
      </c>
      <c r="O134" s="373">
        <v>13</v>
      </c>
      <c r="P134" s="378">
        <v>13</v>
      </c>
      <c r="Q134" s="378">
        <v>13</v>
      </c>
      <c r="R134" s="378"/>
      <c r="S134" s="378"/>
      <c r="T134" s="378"/>
      <c r="U134" s="378"/>
      <c r="V134" s="533"/>
      <c r="W134" s="378"/>
      <c r="X134" s="378"/>
      <c r="Y134" s="378">
        <f>IF(NFI_Expiration=1,IF($A134&lt;VLOOKUP(H$5,NFI,5,0),1,0)*Table_NFI[[#This Row],[Hygiene Kit]],Table_NFI[Hygiene Kit])</f>
        <v>0</v>
      </c>
      <c r="Z134" s="378">
        <f>IF(NFI_Expiration=1,IF($A134&lt;VLOOKUP(I$5,NFI,5,0),1,0)*Table_NFI[[#This Row],[NFI Core Kit]],Table_NFI[NFI Core Kit])</f>
        <v>0</v>
      </c>
      <c r="AA134" s="378">
        <f>IF(NFI_Expiration=1,IF($A134&lt;VLOOKUP(J$5,NFI,5,0),1,0)*Table_NFI[[#This Row],[Sanitary Kit]],Table_NFI[Sanitary Kit])</f>
        <v>0</v>
      </c>
      <c r="AB134" s="378">
        <f>IF(NFI_Expiration=1,IF($A134&lt;VLOOKUP(K$5,NFI,5,0),1,0)*Table_NFI[[#This Row],[Mosquito net]],Table_NFI[Mosquito net])</f>
        <v>0</v>
      </c>
      <c r="AC134" s="378">
        <f>IF(NFI_Expiration=1,IF($A134&lt;VLOOKUP(L$5,NFI,5,0),1,0)*Table_NFI[[#This Row],[Tarpaulin]],Table_NFI[[#This Row],[Tarpaulin]])</f>
        <v>0</v>
      </c>
      <c r="AD134" s="378">
        <f>IF(NFI_Expiration=1,IF($A134&lt;VLOOKUP(M$5,NFI,5,0),1,0)*Table_NFI[[#This Row],[Blanket]],Table_NFI[[#This Row],[Blanket]])</f>
        <v>0</v>
      </c>
      <c r="AE134" s="378">
        <f>IF(NFI_Expiration=1,IF($A134&lt;VLOOKUP(N$5,NFI,5,0),1,0)*Table_NFI[[#This Row],[Kitchen Set]],Table_NFI[Kitchen Set])</f>
        <v>0</v>
      </c>
      <c r="AF134" s="378">
        <f>IF(NFI_Expiration=1,IF($A134&lt;VLOOKUP(O$5,NFI,5,0),1,0)*Table_NFI[[#This Row],[Clothes Kit]],Table_NFI[Clothes Kit])</f>
        <v>0</v>
      </c>
      <c r="AG134" s="378">
        <f>IF(NFI_Expiration=1,IF($A134&lt;VLOOKUP(P$5,NFI,5,0),1,0)*Table_NFI[[#This Row],[Plastic Bucket]],Table_NFI[Plastic Bucket])</f>
        <v>0</v>
      </c>
      <c r="AH134" s="378">
        <f>IF(NFI_Expiration=1,IF($A134&lt;VLOOKUP(Q$5,NFI,5,0),1,0)*Table_NFI[[#This Row],[Plastic Mat]],Table_NFI[Plastic Mat])*IF(Table_NFI[[#This Row],[Distribution Date]]&gt;"2014-04-01",1,2.5)</f>
        <v>0</v>
      </c>
      <c r="AI134" s="378">
        <f>IF(NFI_Expiration=1,IF($A134&lt;VLOOKUP(R$5,NFI,5,0),1,0)*Table_NFI[[#This Row],[Winter Clothes Adult]],Table_NFI[Winter Clothes Adult])</f>
        <v>0</v>
      </c>
      <c r="AJ134" s="378">
        <f>IF(NFI_Expiration=1,IF($A134&lt;VLOOKUP(S$5,NFI,5,0),1,0)*Table_NFI[[#This Row],[Winter Clothes Children]],Table_NFI[Winter Clothes Children])</f>
        <v>0</v>
      </c>
      <c r="AK134" s="378">
        <f>IF(NFI_Expiration=1,IF($A134&lt;VLOOKUP(T$5,NFI,5,0),1,0)*Table_NFI[[#This Row],[Winter Items Other]],Table_NFI[Winter Items Other])</f>
        <v>0</v>
      </c>
      <c r="AL134" s="378">
        <f>IF(NFI_Expiration=1,IF($A134&lt;VLOOKUP(M$5,NFI,5,0),1,0)*Table_NFI[[#This Row],[Winter Blanket]],Table_NFI[[#This Row],[Winter Blanket]])</f>
        <v>0</v>
      </c>
      <c r="AM134" s="378">
        <f>IF(Table_NFI[[#This Row],[Winter Clothes Adult]]+Table_NFI[[#This Row],[Winter Clothes Children]]+Table_NFI[[#This Row],[Winter Items Other]]+Table_NFI[[#This Row],[Winter Blanket]]&gt;0,1,0)</f>
        <v>0</v>
      </c>
      <c r="AN134" s="418">
        <f>IF(NFI_Expiration=1,IF($A134&lt;VLOOKUP(V$5,NFI,5,0),1,0)*Table_NFI[[#This Row],[Jerry Can]],Table_NFI[Jerry Can])</f>
        <v>0</v>
      </c>
      <c r="AO134" s="579" t="str">
        <f>IFERROR(VLOOKUP(Table_NFI[[#This Row],[Camp Name]],CL,2,0),"")</f>
        <v>MMR001CMP123</v>
      </c>
      <c r="AP134" s="574">
        <f ca="1">IF(Table_NFI[[#This Row],[Pcode]]="","",IF(OFFSET(CampList[Opening Date],MATCH(Table_NFI[[#This Row],[Pcode]],CampList[CP_Pcode],0)-1,0,1,1)&gt;=NFI_Monitor_Date,1,0))</f>
        <v>0</v>
      </c>
      <c r="AQ134" s="579" t="str">
        <f>IFERROR(VLOOKUP(Table_NFI[[#This Row],[Camp Name]],CL,3,0),"")</f>
        <v>Open</v>
      </c>
      <c r="AR134" s="378" t="str">
        <f ca="1">IF(Table_NFI[[#This Row],[Pcode]]="","",OFFSET(CampList[Priority],MATCH(Table_NFI[[#This Row],[Pcode]],CampList[CP_Pcode],0)-1,0,1,1))</f>
        <v>P2</v>
      </c>
      <c r="AS134" s="377">
        <f>IFERROR(Table_NFI[[#This Row],[Kitchen Set]]/VLOOKUP(Table_NFI[[#This Row],[Camp Name]],CL,4,0),"")</f>
        <v>0.11711711711711711</v>
      </c>
      <c r="AT134" s="572" t="s">
        <v>1095</v>
      </c>
      <c r="AU134" s="575"/>
    </row>
    <row r="135" spans="1:47" s="130" customFormat="1" x14ac:dyDescent="0.25">
      <c r="A135" s="381">
        <f t="shared" si="2"/>
        <v>49.93333333333333</v>
      </c>
      <c r="B135" s="571">
        <v>41024</v>
      </c>
      <c r="C135" s="572" t="s">
        <v>454</v>
      </c>
      <c r="D135" s="572" t="s">
        <v>454</v>
      </c>
      <c r="E135" s="572" t="s">
        <v>380</v>
      </c>
      <c r="F135" s="374" t="s">
        <v>185</v>
      </c>
      <c r="G135" s="374" t="s">
        <v>192</v>
      </c>
      <c r="H135" s="375"/>
      <c r="I135" s="375"/>
      <c r="J135" s="375"/>
      <c r="K135" s="375">
        <v>198</v>
      </c>
      <c r="L135" s="376">
        <v>99</v>
      </c>
      <c r="M135" s="376">
        <v>198</v>
      </c>
      <c r="N135" s="376">
        <v>99</v>
      </c>
      <c r="O135" s="376">
        <v>99</v>
      </c>
      <c r="P135" s="378">
        <v>99</v>
      </c>
      <c r="Q135" s="378">
        <v>99</v>
      </c>
      <c r="R135" s="378"/>
      <c r="S135" s="378"/>
      <c r="T135" s="378"/>
      <c r="U135" s="378"/>
      <c r="V135" s="533"/>
      <c r="W135" s="378"/>
      <c r="X135" s="378"/>
      <c r="Y135" s="378">
        <f>IF(NFI_Expiration=1,IF($A135&lt;VLOOKUP(H$5,NFI,5,0),1,0)*Table_NFI[[#This Row],[Hygiene Kit]],Table_NFI[Hygiene Kit])</f>
        <v>0</v>
      </c>
      <c r="Z135" s="378">
        <f>IF(NFI_Expiration=1,IF($A135&lt;VLOOKUP(I$5,NFI,5,0),1,0)*Table_NFI[[#This Row],[NFI Core Kit]],Table_NFI[NFI Core Kit])</f>
        <v>0</v>
      </c>
      <c r="AA135" s="378">
        <f>IF(NFI_Expiration=1,IF($A135&lt;VLOOKUP(J$5,NFI,5,0),1,0)*Table_NFI[[#This Row],[Sanitary Kit]],Table_NFI[Sanitary Kit])</f>
        <v>0</v>
      </c>
      <c r="AB135" s="378">
        <f>IF(NFI_Expiration=1,IF($A135&lt;VLOOKUP(K$5,NFI,5,0),1,0)*Table_NFI[[#This Row],[Mosquito net]],Table_NFI[Mosquito net])</f>
        <v>0</v>
      </c>
      <c r="AC135" s="378">
        <f>IF(NFI_Expiration=1,IF($A135&lt;VLOOKUP(L$5,NFI,5,0),1,0)*Table_NFI[[#This Row],[Tarpaulin]],Table_NFI[[#This Row],[Tarpaulin]])</f>
        <v>0</v>
      </c>
      <c r="AD135" s="378">
        <f>IF(NFI_Expiration=1,IF($A135&lt;VLOOKUP(M$5,NFI,5,0),1,0)*Table_NFI[[#This Row],[Blanket]],Table_NFI[[#This Row],[Blanket]])</f>
        <v>0</v>
      </c>
      <c r="AE135" s="378">
        <f>IF(NFI_Expiration=1,IF($A135&lt;VLOOKUP(N$5,NFI,5,0),1,0)*Table_NFI[[#This Row],[Kitchen Set]],Table_NFI[Kitchen Set])</f>
        <v>0</v>
      </c>
      <c r="AF135" s="378">
        <f>IF(NFI_Expiration=1,IF($A135&lt;VLOOKUP(O$5,NFI,5,0),1,0)*Table_NFI[[#This Row],[Clothes Kit]],Table_NFI[Clothes Kit])</f>
        <v>0</v>
      </c>
      <c r="AG135" s="378">
        <f>IF(NFI_Expiration=1,IF($A135&lt;VLOOKUP(P$5,NFI,5,0),1,0)*Table_NFI[[#This Row],[Plastic Bucket]],Table_NFI[Plastic Bucket])</f>
        <v>0</v>
      </c>
      <c r="AH135" s="378">
        <f>IF(NFI_Expiration=1,IF($A135&lt;VLOOKUP(Q$5,NFI,5,0),1,0)*Table_NFI[[#This Row],[Plastic Mat]],Table_NFI[Plastic Mat])*IF(Table_NFI[[#This Row],[Distribution Date]]&gt;"2014-04-01",1,2.5)</f>
        <v>0</v>
      </c>
      <c r="AI135" s="378">
        <f>IF(NFI_Expiration=1,IF($A135&lt;VLOOKUP(R$5,NFI,5,0),1,0)*Table_NFI[[#This Row],[Winter Clothes Adult]],Table_NFI[Winter Clothes Adult])</f>
        <v>0</v>
      </c>
      <c r="AJ135" s="378">
        <f>IF(NFI_Expiration=1,IF($A135&lt;VLOOKUP(S$5,NFI,5,0),1,0)*Table_NFI[[#This Row],[Winter Clothes Children]],Table_NFI[Winter Clothes Children])</f>
        <v>0</v>
      </c>
      <c r="AK135" s="378">
        <f>IF(NFI_Expiration=1,IF($A135&lt;VLOOKUP(T$5,NFI,5,0),1,0)*Table_NFI[[#This Row],[Winter Items Other]],Table_NFI[Winter Items Other])</f>
        <v>0</v>
      </c>
      <c r="AL135" s="378">
        <f>IF(NFI_Expiration=1,IF($A135&lt;VLOOKUP(M$5,NFI,5,0),1,0)*Table_NFI[[#This Row],[Winter Blanket]],Table_NFI[[#This Row],[Winter Blanket]])</f>
        <v>0</v>
      </c>
      <c r="AM135" s="378">
        <f>IF(Table_NFI[[#This Row],[Winter Clothes Adult]]+Table_NFI[[#This Row],[Winter Clothes Children]]+Table_NFI[[#This Row],[Winter Items Other]]+Table_NFI[[#This Row],[Winter Blanket]]&gt;0,1,0)</f>
        <v>0</v>
      </c>
      <c r="AN135" s="418">
        <f>IF(NFI_Expiration=1,IF($A135&lt;VLOOKUP(V$5,NFI,5,0),1,0)*Table_NFI[[#This Row],[Jerry Can]],Table_NFI[Jerry Can])</f>
        <v>0</v>
      </c>
      <c r="AO135" s="579" t="str">
        <f>IFERROR(VLOOKUP(Table_NFI[[#This Row],[Camp Name]],CL,2,0),"")</f>
        <v>MMR001CMP123</v>
      </c>
      <c r="AP135" s="574">
        <f ca="1">IF(Table_NFI[[#This Row],[Pcode]]="","",IF(OFFSET(CampList[Opening Date],MATCH(Table_NFI[[#This Row],[Pcode]],CampList[CP_Pcode],0)-1,0,1,1)&gt;=NFI_Monitor_Date,1,0))</f>
        <v>0</v>
      </c>
      <c r="AQ135" s="579" t="str">
        <f>IFERROR(VLOOKUP(Table_NFI[[#This Row],[Camp Name]],CL,3,0),"")</f>
        <v>Open</v>
      </c>
      <c r="AR135" s="378" t="str">
        <f ca="1">IF(Table_NFI[[#This Row],[Pcode]]="","",OFFSET(CampList[Priority],MATCH(Table_NFI[[#This Row],[Pcode]],CampList[CP_Pcode],0)-1,0,1,1))</f>
        <v>P2</v>
      </c>
      <c r="AS135" s="377">
        <f>IFERROR(Table_NFI[[#This Row],[Kitchen Set]]/VLOOKUP(Table_NFI[[#This Row],[Camp Name]],CL,4,0),"")</f>
        <v>0.89189189189189189</v>
      </c>
      <c r="AT135" s="572" t="s">
        <v>1095</v>
      </c>
      <c r="AU135" s="575"/>
    </row>
    <row r="136" spans="1:47" s="130" customFormat="1" x14ac:dyDescent="0.25">
      <c r="A136" s="381">
        <f t="shared" si="2"/>
        <v>16.399999999999999</v>
      </c>
      <c r="B136" s="571">
        <v>42030</v>
      </c>
      <c r="C136" s="572" t="s">
        <v>454</v>
      </c>
      <c r="D136" s="577" t="s">
        <v>508</v>
      </c>
      <c r="E136" s="577" t="s">
        <v>380</v>
      </c>
      <c r="F136" s="577" t="s">
        <v>529</v>
      </c>
      <c r="G136" s="577" t="s">
        <v>1373</v>
      </c>
      <c r="H136" s="376"/>
      <c r="I136" s="376">
        <v>200</v>
      </c>
      <c r="J136" s="376"/>
      <c r="K136" s="376">
        <v>400</v>
      </c>
      <c r="L136" s="376">
        <v>250</v>
      </c>
      <c r="M136" s="376">
        <v>400</v>
      </c>
      <c r="N136" s="376">
        <v>200</v>
      </c>
      <c r="O136" s="376"/>
      <c r="P136" s="378">
        <v>200</v>
      </c>
      <c r="Q136" s="378">
        <v>1200</v>
      </c>
      <c r="R136" s="378"/>
      <c r="S136" s="378"/>
      <c r="T136" s="378"/>
      <c r="U136" s="378"/>
      <c r="V136" s="533">
        <v>200</v>
      </c>
      <c r="W136" s="378"/>
      <c r="X136" s="378">
        <v>30</v>
      </c>
      <c r="Y136" s="378">
        <f>IF(NFI_Expiration=1,IF($A136&lt;VLOOKUP(H$5,NFI,5,0),1,0)*Table_NFI[[#This Row],[Hygiene Kit]],Table_NFI[Hygiene Kit])</f>
        <v>0</v>
      </c>
      <c r="Z136" s="378">
        <f>IF(NFI_Expiration=1,IF($A136&lt;VLOOKUP(I$5,NFI,5,0),1,0)*Table_NFI[[#This Row],[NFI Core Kit]],Table_NFI[NFI Core Kit])</f>
        <v>0</v>
      </c>
      <c r="AA136" s="378">
        <f>IF(NFI_Expiration=1,IF($A136&lt;VLOOKUP(J$5,NFI,5,0),1,0)*Table_NFI[[#This Row],[Sanitary Kit]],Table_NFI[Sanitary Kit])</f>
        <v>0</v>
      </c>
      <c r="AB136" s="378">
        <f>IF(NFI_Expiration=1,IF($A136&lt;VLOOKUP(K$5,NFI,5,0),1,0)*Table_NFI[[#This Row],[Mosquito net]],Table_NFI[Mosquito net])</f>
        <v>0</v>
      </c>
      <c r="AC136" s="378">
        <f>IF(NFI_Expiration=1,IF($A136&lt;VLOOKUP(L$5,NFI,5,0),1,0)*Table_NFI[[#This Row],[Tarpaulin]],Table_NFI[[#This Row],[Tarpaulin]])</f>
        <v>0</v>
      </c>
      <c r="AD136" s="378">
        <f>IF(NFI_Expiration=1,IF($A136&lt;VLOOKUP(M$5,NFI,5,0),1,0)*Table_NFI[[#This Row],[Blanket]],Table_NFI[[#This Row],[Blanket]])</f>
        <v>0</v>
      </c>
      <c r="AE136" s="378">
        <f>IF(NFI_Expiration=1,IF($A136&lt;VLOOKUP(N$5,NFI,5,0),1,0)*Table_NFI[[#This Row],[Kitchen Set]],Table_NFI[Kitchen Set])</f>
        <v>0</v>
      </c>
      <c r="AF136" s="378">
        <f>IF(NFI_Expiration=1,IF($A136&lt;VLOOKUP(O$5,NFI,5,0),1,0)*Table_NFI[[#This Row],[Clothes Kit]],Table_NFI[Clothes Kit])</f>
        <v>0</v>
      </c>
      <c r="AG136" s="378">
        <f>IF(NFI_Expiration=1,IF($A136&lt;VLOOKUP(P$5,NFI,5,0),1,0)*Table_NFI[[#This Row],[Plastic Bucket]],Table_NFI[Plastic Bucket])</f>
        <v>0</v>
      </c>
      <c r="AH136" s="378">
        <f>IF(NFI_Expiration=1,IF($A136&lt;VLOOKUP(Q$5,NFI,5,0),1,0)*Table_NFI[[#This Row],[Plastic Mat]],Table_NFI[Plastic Mat])*IF(Table_NFI[[#This Row],[Distribution Date]]&gt;"2014-04-01",1,2.5)</f>
        <v>0</v>
      </c>
      <c r="AI136" s="378">
        <f>IF(NFI_Expiration=1,IF($A136&lt;VLOOKUP(R$5,NFI,5,0),1,0)*Table_NFI[[#This Row],[Winter Clothes Adult]],Table_NFI[Winter Clothes Adult])</f>
        <v>0</v>
      </c>
      <c r="AJ136" s="378">
        <f>IF(NFI_Expiration=1,IF($A136&lt;VLOOKUP(S$5,NFI,5,0),1,0)*Table_NFI[[#This Row],[Winter Clothes Children]],Table_NFI[Winter Clothes Children])</f>
        <v>0</v>
      </c>
      <c r="AK136" s="378">
        <f>IF(NFI_Expiration=1,IF($A136&lt;VLOOKUP(T$5,NFI,5,0),1,0)*Table_NFI[[#This Row],[Winter Items Other]],Table_NFI[Winter Items Other])</f>
        <v>0</v>
      </c>
      <c r="AL136" s="378">
        <f>IF(NFI_Expiration=1,IF($A136&lt;VLOOKUP(M$5,NFI,5,0),1,0)*Table_NFI[[#This Row],[Winter Blanket]],Table_NFI[[#This Row],[Winter Blanket]])</f>
        <v>0</v>
      </c>
      <c r="AM136" s="378">
        <f>IF(Table_NFI[[#This Row],[Winter Clothes Adult]]+Table_NFI[[#This Row],[Winter Clothes Children]]+Table_NFI[[#This Row],[Winter Items Other]]+Table_NFI[[#This Row],[Winter Blanket]]&gt;0,1,0)</f>
        <v>0</v>
      </c>
      <c r="AN136" s="418">
        <f>IF(NFI_Expiration=1,IF($A136&lt;VLOOKUP(V$5,NFI,5,0),1,0)*Table_NFI[[#This Row],[Jerry Can]],Table_NFI[Jerry Can])</f>
        <v>0</v>
      </c>
      <c r="AO136" s="579" t="str">
        <f>IFERROR(VLOOKUP(Table_NFI[[#This Row],[Camp Name]],CL,2,0),"")</f>
        <v/>
      </c>
      <c r="AP136" s="574" t="str">
        <f ca="1">IF(Table_NFI[[#This Row],[Pcode]]="","",IF(OFFSET(CampList[Opening Date],MATCH(Table_NFI[[#This Row],[Pcode]],CampList[CP_Pcode],0)-1,0,1,1)&gt;=NFI_Monitor_Date,1,0))</f>
        <v/>
      </c>
      <c r="AQ136" s="579" t="str">
        <f>IFERROR(VLOOKUP(Table_NFI[[#This Row],[Camp Name]],CL,3,0),"")</f>
        <v/>
      </c>
      <c r="AR136" s="378" t="str">
        <f ca="1">IF(Table_NFI[[#This Row],[Pcode]]="","",OFFSET(CampList[Priority],MATCH(Table_NFI[[#This Row],[Pcode]],CampList[CP_Pcode],0)-1,0,1,1))</f>
        <v/>
      </c>
      <c r="AS136" s="377" t="str">
        <f>IFERROR(Table_NFI[[#This Row],[Kitchen Set]]/VLOOKUP(Table_NFI[[#This Row],[Camp Name]],CL,4,0),"")</f>
        <v/>
      </c>
      <c r="AT136" s="572" t="s">
        <v>1095</v>
      </c>
      <c r="AU136" s="575"/>
    </row>
    <row r="137" spans="1:47" s="130" customFormat="1" x14ac:dyDescent="0.25">
      <c r="A137" s="381">
        <f t="shared" si="2"/>
        <v>39.733333333333334</v>
      </c>
      <c r="B137" s="571">
        <v>41330</v>
      </c>
      <c r="C137" s="572" t="s">
        <v>454</v>
      </c>
      <c r="D137" s="573" t="s">
        <v>907</v>
      </c>
      <c r="E137" s="572" t="s">
        <v>380</v>
      </c>
      <c r="F137" s="374" t="s">
        <v>27</v>
      </c>
      <c r="G137" s="374" t="s">
        <v>32</v>
      </c>
      <c r="H137" s="375"/>
      <c r="I137" s="375"/>
      <c r="J137" s="375">
        <v>11</v>
      </c>
      <c r="K137" s="375">
        <v>17</v>
      </c>
      <c r="L137" s="376">
        <v>7</v>
      </c>
      <c r="M137" s="376">
        <v>17</v>
      </c>
      <c r="N137" s="376">
        <v>7</v>
      </c>
      <c r="O137" s="376">
        <v>7</v>
      </c>
      <c r="P137" s="378">
        <v>7</v>
      </c>
      <c r="Q137" s="378">
        <v>7</v>
      </c>
      <c r="R137" s="378"/>
      <c r="S137" s="378"/>
      <c r="T137" s="378"/>
      <c r="U137" s="378"/>
      <c r="V137" s="533"/>
      <c r="W137" s="378"/>
      <c r="X137" s="378"/>
      <c r="Y137" s="378">
        <f>IF(NFI_Expiration=1,IF($A137&lt;VLOOKUP(H$5,NFI,5,0),1,0)*Table_NFI[[#This Row],[Hygiene Kit]],Table_NFI[Hygiene Kit])</f>
        <v>0</v>
      </c>
      <c r="Z137" s="378">
        <f>IF(NFI_Expiration=1,IF($A137&lt;VLOOKUP(I$5,NFI,5,0),1,0)*Table_NFI[[#This Row],[NFI Core Kit]],Table_NFI[NFI Core Kit])</f>
        <v>0</v>
      </c>
      <c r="AA137" s="378">
        <f>IF(NFI_Expiration=1,IF($A137&lt;VLOOKUP(J$5,NFI,5,0),1,0)*Table_NFI[[#This Row],[Sanitary Kit]],Table_NFI[Sanitary Kit])</f>
        <v>0</v>
      </c>
      <c r="AB137" s="378">
        <f>IF(NFI_Expiration=1,IF($A137&lt;VLOOKUP(K$5,NFI,5,0),1,0)*Table_NFI[[#This Row],[Mosquito net]],Table_NFI[Mosquito net])</f>
        <v>0</v>
      </c>
      <c r="AC137" s="378">
        <f>IF(NFI_Expiration=1,IF($A137&lt;VLOOKUP(L$5,NFI,5,0),1,0)*Table_NFI[[#This Row],[Tarpaulin]],Table_NFI[[#This Row],[Tarpaulin]])</f>
        <v>0</v>
      </c>
      <c r="AD137" s="378">
        <f>IF(NFI_Expiration=1,IF($A137&lt;VLOOKUP(M$5,NFI,5,0),1,0)*Table_NFI[[#This Row],[Blanket]],Table_NFI[[#This Row],[Blanket]])</f>
        <v>0</v>
      </c>
      <c r="AE137" s="378">
        <f>IF(NFI_Expiration=1,IF($A137&lt;VLOOKUP(N$5,NFI,5,0),1,0)*Table_NFI[[#This Row],[Kitchen Set]],Table_NFI[Kitchen Set])</f>
        <v>0</v>
      </c>
      <c r="AF137" s="378">
        <f>IF(NFI_Expiration=1,IF($A137&lt;VLOOKUP(O$5,NFI,5,0),1,0)*Table_NFI[[#This Row],[Clothes Kit]],Table_NFI[Clothes Kit])</f>
        <v>0</v>
      </c>
      <c r="AG137" s="378">
        <f>IF(NFI_Expiration=1,IF($A137&lt;VLOOKUP(P$5,NFI,5,0),1,0)*Table_NFI[[#This Row],[Plastic Bucket]],Table_NFI[Plastic Bucket])</f>
        <v>0</v>
      </c>
      <c r="AH137" s="378">
        <f>IF(NFI_Expiration=1,IF($A137&lt;VLOOKUP(Q$5,NFI,5,0),1,0)*Table_NFI[[#This Row],[Plastic Mat]],Table_NFI[Plastic Mat])*IF(Table_NFI[[#This Row],[Distribution Date]]&gt;"2014-04-01",1,2.5)</f>
        <v>0</v>
      </c>
      <c r="AI137" s="378">
        <f>IF(NFI_Expiration=1,IF($A137&lt;VLOOKUP(R$5,NFI,5,0),1,0)*Table_NFI[[#This Row],[Winter Clothes Adult]],Table_NFI[Winter Clothes Adult])</f>
        <v>0</v>
      </c>
      <c r="AJ137" s="378">
        <f>IF(NFI_Expiration=1,IF($A137&lt;VLOOKUP(S$5,NFI,5,0),1,0)*Table_NFI[[#This Row],[Winter Clothes Children]],Table_NFI[Winter Clothes Children])</f>
        <v>0</v>
      </c>
      <c r="AK137" s="378">
        <f>IF(NFI_Expiration=1,IF($A137&lt;VLOOKUP(T$5,NFI,5,0),1,0)*Table_NFI[[#This Row],[Winter Items Other]],Table_NFI[Winter Items Other])</f>
        <v>0</v>
      </c>
      <c r="AL137" s="378">
        <f>IF(NFI_Expiration=1,IF($A137&lt;VLOOKUP(M$5,NFI,5,0),1,0)*Table_NFI[[#This Row],[Winter Blanket]],Table_NFI[[#This Row],[Winter Blanket]])</f>
        <v>0</v>
      </c>
      <c r="AM137" s="378">
        <f>IF(Table_NFI[[#This Row],[Winter Clothes Adult]]+Table_NFI[[#This Row],[Winter Clothes Children]]+Table_NFI[[#This Row],[Winter Items Other]]+Table_NFI[[#This Row],[Winter Blanket]]&gt;0,1,0)</f>
        <v>0</v>
      </c>
      <c r="AN137" s="418">
        <f>IF(NFI_Expiration=1,IF($A137&lt;VLOOKUP(V$5,NFI,5,0),1,0)*Table_NFI[[#This Row],[Jerry Can]],Table_NFI[Jerry Can])</f>
        <v>0</v>
      </c>
      <c r="AO137" s="579" t="str">
        <f>IFERROR(VLOOKUP(Table_NFI[[#This Row],[Camp Name]],CL,2,0),"")</f>
        <v>MMR001CMP046</v>
      </c>
      <c r="AP137" s="574">
        <f ca="1">IF(Table_NFI[[#This Row],[Pcode]]="","",IF(OFFSET(CampList[Opening Date],MATCH(Table_NFI[[#This Row],[Pcode]],CampList[CP_Pcode],0)-1,0,1,1)&gt;=NFI_Monitor_Date,1,0))</f>
        <v>0</v>
      </c>
      <c r="AQ137" s="579" t="str">
        <f>IFERROR(VLOOKUP(Table_NFI[[#This Row],[Camp Name]],CL,3,0),"")</f>
        <v>Closed</v>
      </c>
      <c r="AR137" s="378" t="str">
        <f ca="1">IF(Table_NFI[[#This Row],[Pcode]]="","",OFFSET(CampList[Priority],MATCH(Table_NFI[[#This Row],[Pcode]],CampList[CP_Pcode],0)-1,0,1,1))</f>
        <v>P1</v>
      </c>
      <c r="AS137" s="377" t="str">
        <f>IFERROR(Table_NFI[[#This Row],[Kitchen Set]]/VLOOKUP(Table_NFI[[#This Row],[Camp Name]],CL,4,0),"")</f>
        <v/>
      </c>
      <c r="AT137" s="572" t="s">
        <v>1095</v>
      </c>
      <c r="AU137" s="575"/>
    </row>
    <row r="138" spans="1:47" s="130" customFormat="1" x14ac:dyDescent="0.25">
      <c r="A138" s="381">
        <f t="shared" si="2"/>
        <v>44.8</v>
      </c>
      <c r="B138" s="571">
        <v>41178</v>
      </c>
      <c r="C138" s="572" t="s">
        <v>454</v>
      </c>
      <c r="D138" s="572" t="s">
        <v>907</v>
      </c>
      <c r="E138" s="572" t="s">
        <v>380</v>
      </c>
      <c r="F138" s="374" t="s">
        <v>27</v>
      </c>
      <c r="G138" s="374" t="s">
        <v>32</v>
      </c>
      <c r="H138" s="375"/>
      <c r="I138" s="375"/>
      <c r="J138" s="375"/>
      <c r="K138" s="375">
        <v>33</v>
      </c>
      <c r="L138" s="378">
        <v>11</v>
      </c>
      <c r="M138" s="378">
        <v>33</v>
      </c>
      <c r="N138" s="378">
        <v>11</v>
      </c>
      <c r="O138" s="378">
        <v>11</v>
      </c>
      <c r="P138" s="378">
        <v>11</v>
      </c>
      <c r="Q138" s="378">
        <v>11</v>
      </c>
      <c r="R138" s="378"/>
      <c r="S138" s="378"/>
      <c r="T138" s="378"/>
      <c r="U138" s="378"/>
      <c r="V138" s="533"/>
      <c r="W138" s="378"/>
      <c r="X138" s="378"/>
      <c r="Y138" s="378">
        <f>IF(NFI_Expiration=1,IF($A138&lt;VLOOKUP(H$5,NFI,5,0),1,0)*Table_NFI[[#This Row],[Hygiene Kit]],Table_NFI[Hygiene Kit])</f>
        <v>0</v>
      </c>
      <c r="Z138" s="378">
        <f>IF(NFI_Expiration=1,IF($A138&lt;VLOOKUP(I$5,NFI,5,0),1,0)*Table_NFI[[#This Row],[NFI Core Kit]],Table_NFI[NFI Core Kit])</f>
        <v>0</v>
      </c>
      <c r="AA138" s="378">
        <f>IF(NFI_Expiration=1,IF($A138&lt;VLOOKUP(J$5,NFI,5,0),1,0)*Table_NFI[[#This Row],[Sanitary Kit]],Table_NFI[Sanitary Kit])</f>
        <v>0</v>
      </c>
      <c r="AB138" s="378">
        <f>IF(NFI_Expiration=1,IF($A138&lt;VLOOKUP(K$5,NFI,5,0),1,0)*Table_NFI[[#This Row],[Mosquito net]],Table_NFI[Mosquito net])</f>
        <v>0</v>
      </c>
      <c r="AC138" s="378">
        <f>IF(NFI_Expiration=1,IF($A138&lt;VLOOKUP(L$5,NFI,5,0),1,0)*Table_NFI[[#This Row],[Tarpaulin]],Table_NFI[[#This Row],[Tarpaulin]])</f>
        <v>0</v>
      </c>
      <c r="AD138" s="378">
        <f>IF(NFI_Expiration=1,IF($A138&lt;VLOOKUP(M$5,NFI,5,0),1,0)*Table_NFI[[#This Row],[Blanket]],Table_NFI[[#This Row],[Blanket]])</f>
        <v>0</v>
      </c>
      <c r="AE138" s="378">
        <f>IF(NFI_Expiration=1,IF($A138&lt;VLOOKUP(N$5,NFI,5,0),1,0)*Table_NFI[[#This Row],[Kitchen Set]],Table_NFI[Kitchen Set])</f>
        <v>0</v>
      </c>
      <c r="AF138" s="378">
        <f>IF(NFI_Expiration=1,IF($A138&lt;VLOOKUP(O$5,NFI,5,0),1,0)*Table_NFI[[#This Row],[Clothes Kit]],Table_NFI[Clothes Kit])</f>
        <v>0</v>
      </c>
      <c r="AG138" s="378">
        <f>IF(NFI_Expiration=1,IF($A138&lt;VLOOKUP(P$5,NFI,5,0),1,0)*Table_NFI[[#This Row],[Plastic Bucket]],Table_NFI[Plastic Bucket])</f>
        <v>0</v>
      </c>
      <c r="AH138" s="378">
        <f>IF(NFI_Expiration=1,IF($A138&lt;VLOOKUP(Q$5,NFI,5,0),1,0)*Table_NFI[[#This Row],[Plastic Mat]],Table_NFI[Plastic Mat])*IF(Table_NFI[[#This Row],[Distribution Date]]&gt;"2014-04-01",1,2.5)</f>
        <v>0</v>
      </c>
      <c r="AI138" s="378">
        <f>IF(NFI_Expiration=1,IF($A138&lt;VLOOKUP(R$5,NFI,5,0),1,0)*Table_NFI[[#This Row],[Winter Clothes Adult]],Table_NFI[Winter Clothes Adult])</f>
        <v>0</v>
      </c>
      <c r="AJ138" s="378">
        <f>IF(NFI_Expiration=1,IF($A138&lt;VLOOKUP(S$5,NFI,5,0),1,0)*Table_NFI[[#This Row],[Winter Clothes Children]],Table_NFI[Winter Clothes Children])</f>
        <v>0</v>
      </c>
      <c r="AK138" s="378">
        <f>IF(NFI_Expiration=1,IF($A138&lt;VLOOKUP(T$5,NFI,5,0),1,0)*Table_NFI[[#This Row],[Winter Items Other]],Table_NFI[Winter Items Other])</f>
        <v>0</v>
      </c>
      <c r="AL138" s="378">
        <f>IF(NFI_Expiration=1,IF($A138&lt;VLOOKUP(M$5,NFI,5,0),1,0)*Table_NFI[[#This Row],[Winter Blanket]],Table_NFI[[#This Row],[Winter Blanket]])</f>
        <v>0</v>
      </c>
      <c r="AM138" s="378">
        <f>IF(Table_NFI[[#This Row],[Winter Clothes Adult]]+Table_NFI[[#This Row],[Winter Clothes Children]]+Table_NFI[[#This Row],[Winter Items Other]]+Table_NFI[[#This Row],[Winter Blanket]]&gt;0,1,0)</f>
        <v>0</v>
      </c>
      <c r="AN138" s="418">
        <f>IF(NFI_Expiration=1,IF($A138&lt;VLOOKUP(V$5,NFI,5,0),1,0)*Table_NFI[[#This Row],[Jerry Can]],Table_NFI[Jerry Can])</f>
        <v>0</v>
      </c>
      <c r="AO138" s="579" t="str">
        <f>IFERROR(VLOOKUP(Table_NFI[[#This Row],[Camp Name]],CL,2,0),"")</f>
        <v>MMR001CMP046</v>
      </c>
      <c r="AP138" s="574">
        <f ca="1">IF(Table_NFI[[#This Row],[Pcode]]="","",IF(OFFSET(CampList[Opening Date],MATCH(Table_NFI[[#This Row],[Pcode]],CampList[CP_Pcode],0)-1,0,1,1)&gt;=NFI_Monitor_Date,1,0))</f>
        <v>0</v>
      </c>
      <c r="AQ138" s="579" t="str">
        <f>IFERROR(VLOOKUP(Table_NFI[[#This Row],[Camp Name]],CL,3,0),"")</f>
        <v>Closed</v>
      </c>
      <c r="AR138" s="378" t="str">
        <f ca="1">IF(Table_NFI[[#This Row],[Pcode]]="","",OFFSET(CampList[Priority],MATCH(Table_NFI[[#This Row],[Pcode]],CampList[CP_Pcode],0)-1,0,1,1))</f>
        <v>P1</v>
      </c>
      <c r="AS138" s="377" t="str">
        <f>IFERROR(Table_NFI[[#This Row],[Kitchen Set]]/VLOOKUP(Table_NFI[[#This Row],[Camp Name]],CL,4,0),"")</f>
        <v/>
      </c>
      <c r="AT138" s="572" t="s">
        <v>1095</v>
      </c>
      <c r="AU138" s="575"/>
    </row>
    <row r="139" spans="1:47" s="130" customFormat="1" x14ac:dyDescent="0.25">
      <c r="A139" s="381">
        <f t="shared" si="2"/>
        <v>19.2</v>
      </c>
      <c r="B139" s="571">
        <v>41946</v>
      </c>
      <c r="C139" s="572" t="s">
        <v>454</v>
      </c>
      <c r="D139" s="572" t="s">
        <v>507</v>
      </c>
      <c r="E139" s="572" t="s">
        <v>380</v>
      </c>
      <c r="F139" s="572" t="s">
        <v>310</v>
      </c>
      <c r="G139" s="572" t="s">
        <v>313</v>
      </c>
      <c r="H139" s="375"/>
      <c r="I139" s="375"/>
      <c r="J139" s="375">
        <v>15</v>
      </c>
      <c r="K139" s="375">
        <v>30</v>
      </c>
      <c r="L139" s="376">
        <v>15</v>
      </c>
      <c r="M139" s="376">
        <v>30</v>
      </c>
      <c r="N139" s="376">
        <v>15</v>
      </c>
      <c r="O139" s="376"/>
      <c r="P139" s="378">
        <v>15</v>
      </c>
      <c r="Q139" s="378">
        <v>75</v>
      </c>
      <c r="R139" s="378"/>
      <c r="S139" s="378"/>
      <c r="T139" s="378"/>
      <c r="U139" s="378"/>
      <c r="V139" s="533"/>
      <c r="W139" s="378"/>
      <c r="X139" s="378"/>
      <c r="Y139" s="378">
        <f>IF(NFI_Expiration=1,IF($A139&lt;VLOOKUP(H$5,NFI,5,0),1,0)*Table_NFI[[#This Row],[Hygiene Kit]],Table_NFI[Hygiene Kit])</f>
        <v>0</v>
      </c>
      <c r="Z139" s="378">
        <f>IF(NFI_Expiration=1,IF($A139&lt;VLOOKUP(I$5,NFI,5,0),1,0)*Table_NFI[[#This Row],[NFI Core Kit]],Table_NFI[NFI Core Kit])</f>
        <v>0</v>
      </c>
      <c r="AA139" s="378">
        <f>IF(NFI_Expiration=1,IF($A139&lt;VLOOKUP(J$5,NFI,5,0),1,0)*Table_NFI[[#This Row],[Sanitary Kit]],Table_NFI[Sanitary Kit])</f>
        <v>0</v>
      </c>
      <c r="AB139" s="378">
        <f>IF(NFI_Expiration=1,IF($A139&lt;VLOOKUP(K$5,NFI,5,0),1,0)*Table_NFI[[#This Row],[Mosquito net]],Table_NFI[Mosquito net])</f>
        <v>0</v>
      </c>
      <c r="AC139" s="378">
        <f>IF(NFI_Expiration=1,IF($A139&lt;VLOOKUP(L$5,NFI,5,0),1,0)*Table_NFI[[#This Row],[Tarpaulin]],Table_NFI[[#This Row],[Tarpaulin]])</f>
        <v>0</v>
      </c>
      <c r="AD139" s="378">
        <f>IF(NFI_Expiration=1,IF($A139&lt;VLOOKUP(M$5,NFI,5,0),1,0)*Table_NFI[[#This Row],[Blanket]],Table_NFI[[#This Row],[Blanket]])</f>
        <v>0</v>
      </c>
      <c r="AE139" s="378">
        <f>IF(NFI_Expiration=1,IF($A139&lt;VLOOKUP(N$5,NFI,5,0),1,0)*Table_NFI[[#This Row],[Kitchen Set]],Table_NFI[Kitchen Set])</f>
        <v>0</v>
      </c>
      <c r="AF139" s="378">
        <f>IF(NFI_Expiration=1,IF($A139&lt;VLOOKUP(O$5,NFI,5,0),1,0)*Table_NFI[[#This Row],[Clothes Kit]],Table_NFI[Clothes Kit])</f>
        <v>0</v>
      </c>
      <c r="AG139" s="378">
        <f>IF(NFI_Expiration=1,IF($A139&lt;VLOOKUP(P$5,NFI,5,0),1,0)*Table_NFI[[#This Row],[Plastic Bucket]],Table_NFI[Plastic Bucket])</f>
        <v>0</v>
      </c>
      <c r="AH139" s="378">
        <f>IF(NFI_Expiration=1,IF($A139&lt;VLOOKUP(Q$5,NFI,5,0),1,0)*Table_NFI[[#This Row],[Plastic Mat]],Table_NFI[Plastic Mat])*IF(Table_NFI[[#This Row],[Distribution Date]]&gt;"2014-04-01",1,2.5)</f>
        <v>0</v>
      </c>
      <c r="AI139" s="378">
        <f>IF(NFI_Expiration=1,IF($A139&lt;VLOOKUP(R$5,NFI,5,0),1,0)*Table_NFI[[#This Row],[Winter Clothes Adult]],Table_NFI[Winter Clothes Adult])</f>
        <v>0</v>
      </c>
      <c r="AJ139" s="378">
        <f>IF(NFI_Expiration=1,IF($A139&lt;VLOOKUP(S$5,NFI,5,0),1,0)*Table_NFI[[#This Row],[Winter Clothes Children]],Table_NFI[Winter Clothes Children])</f>
        <v>0</v>
      </c>
      <c r="AK139" s="378">
        <f>IF(NFI_Expiration=1,IF($A139&lt;VLOOKUP(T$5,NFI,5,0),1,0)*Table_NFI[[#This Row],[Winter Items Other]],Table_NFI[Winter Items Other])</f>
        <v>0</v>
      </c>
      <c r="AL139" s="378">
        <f>IF(NFI_Expiration=1,IF($A139&lt;VLOOKUP(M$5,NFI,5,0),1,0)*Table_NFI[[#This Row],[Winter Blanket]],Table_NFI[[#This Row],[Winter Blanket]])</f>
        <v>0</v>
      </c>
      <c r="AM139" s="378">
        <f>IF(Table_NFI[[#This Row],[Winter Clothes Adult]]+Table_NFI[[#This Row],[Winter Clothes Children]]+Table_NFI[[#This Row],[Winter Items Other]]+Table_NFI[[#This Row],[Winter Blanket]]&gt;0,1,0)</f>
        <v>0</v>
      </c>
      <c r="AN139" s="418">
        <f>IF(NFI_Expiration=1,IF($A139&lt;VLOOKUP(V$5,NFI,5,0),1,0)*Table_NFI[[#This Row],[Jerry Can]],Table_NFI[Jerry Can])</f>
        <v>0</v>
      </c>
      <c r="AO139" s="579" t="str">
        <f>IFERROR(VLOOKUP(Table_NFI[[#This Row],[Camp Name]],CL,2,0),"")</f>
        <v>MMR001CMP028</v>
      </c>
      <c r="AP139" s="574">
        <f ca="1">IF(Table_NFI[[#This Row],[Pcode]]="","",IF(OFFSET(CampList[Opening Date],MATCH(Table_NFI[[#This Row],[Pcode]],CampList[CP_Pcode],0)-1,0,1,1)&gt;=NFI_Monitor_Date,1,0))</f>
        <v>0</v>
      </c>
      <c r="AQ139" s="579" t="str">
        <f>IFERROR(VLOOKUP(Table_NFI[[#This Row],[Camp Name]],CL,3,0),"")</f>
        <v>Open</v>
      </c>
      <c r="AR139" s="378" t="str">
        <f ca="1">IF(Table_NFI[[#This Row],[Pcode]]="","",OFFSET(CampList[Priority],MATCH(Table_NFI[[#This Row],[Pcode]],CampList[CP_Pcode],0)-1,0,1,1))</f>
        <v>P4</v>
      </c>
      <c r="AS139" s="377">
        <f>IFERROR(Table_NFI[[#This Row],[Kitchen Set]]/VLOOKUP(Table_NFI[[#This Row],[Camp Name]],CL,4,0),"")</f>
        <v>0.15151515151515152</v>
      </c>
      <c r="AT139" s="572"/>
      <c r="AU139" s="575"/>
    </row>
    <row r="140" spans="1:47" s="130" customFormat="1" x14ac:dyDescent="0.25">
      <c r="A140" s="381">
        <f t="shared" si="2"/>
        <v>20.3</v>
      </c>
      <c r="B140" s="571">
        <v>41913</v>
      </c>
      <c r="C140" s="572" t="s">
        <v>454</v>
      </c>
      <c r="D140" s="577" t="s">
        <v>507</v>
      </c>
      <c r="E140" s="577" t="s">
        <v>380</v>
      </c>
      <c r="F140" s="577" t="s">
        <v>310</v>
      </c>
      <c r="G140" s="577" t="s">
        <v>313</v>
      </c>
      <c r="H140" s="376"/>
      <c r="I140" s="376"/>
      <c r="J140" s="376"/>
      <c r="K140" s="376">
        <v>268</v>
      </c>
      <c r="L140" s="376"/>
      <c r="M140" s="376"/>
      <c r="N140" s="376"/>
      <c r="O140" s="376"/>
      <c r="P140" s="378"/>
      <c r="Q140" s="378"/>
      <c r="R140" s="378"/>
      <c r="S140" s="378"/>
      <c r="T140" s="378"/>
      <c r="U140" s="378"/>
      <c r="V140" s="533"/>
      <c r="W140" s="378"/>
      <c r="X140" s="378"/>
      <c r="Y140" s="378">
        <f>IF(NFI_Expiration=1,IF($A140&lt;VLOOKUP(H$5,NFI,5,0),1,0)*Table_NFI[[#This Row],[Hygiene Kit]],Table_NFI[Hygiene Kit])</f>
        <v>0</v>
      </c>
      <c r="Z140" s="378">
        <f>IF(NFI_Expiration=1,IF($A140&lt;VLOOKUP(I$5,NFI,5,0),1,0)*Table_NFI[[#This Row],[NFI Core Kit]],Table_NFI[NFI Core Kit])</f>
        <v>0</v>
      </c>
      <c r="AA140" s="378">
        <f>IF(NFI_Expiration=1,IF($A140&lt;VLOOKUP(J$5,NFI,5,0),1,0)*Table_NFI[[#This Row],[Sanitary Kit]],Table_NFI[Sanitary Kit])</f>
        <v>0</v>
      </c>
      <c r="AB140" s="378">
        <f>IF(NFI_Expiration=1,IF($A140&lt;VLOOKUP(K$5,NFI,5,0),1,0)*Table_NFI[[#This Row],[Mosquito net]],Table_NFI[Mosquito net])</f>
        <v>0</v>
      </c>
      <c r="AC140" s="378">
        <f>IF(NFI_Expiration=1,IF($A140&lt;VLOOKUP(L$5,NFI,5,0),1,0)*Table_NFI[[#This Row],[Tarpaulin]],Table_NFI[[#This Row],[Tarpaulin]])</f>
        <v>0</v>
      </c>
      <c r="AD140" s="378">
        <f>IF(NFI_Expiration=1,IF($A140&lt;VLOOKUP(M$5,NFI,5,0),1,0)*Table_NFI[[#This Row],[Blanket]],Table_NFI[[#This Row],[Blanket]])</f>
        <v>0</v>
      </c>
      <c r="AE140" s="378">
        <f>IF(NFI_Expiration=1,IF($A140&lt;VLOOKUP(N$5,NFI,5,0),1,0)*Table_NFI[[#This Row],[Kitchen Set]],Table_NFI[Kitchen Set])</f>
        <v>0</v>
      </c>
      <c r="AF140" s="378">
        <f>IF(NFI_Expiration=1,IF($A140&lt;VLOOKUP(O$5,NFI,5,0),1,0)*Table_NFI[[#This Row],[Clothes Kit]],Table_NFI[Clothes Kit])</f>
        <v>0</v>
      </c>
      <c r="AG140" s="378">
        <f>IF(NFI_Expiration=1,IF($A140&lt;VLOOKUP(P$5,NFI,5,0),1,0)*Table_NFI[[#This Row],[Plastic Bucket]],Table_NFI[Plastic Bucket])</f>
        <v>0</v>
      </c>
      <c r="AH140" s="378">
        <f>IF(NFI_Expiration=1,IF($A140&lt;VLOOKUP(Q$5,NFI,5,0),1,0)*Table_NFI[[#This Row],[Plastic Mat]],Table_NFI[Plastic Mat])*IF(Table_NFI[[#This Row],[Distribution Date]]&gt;"2014-04-01",1,2.5)</f>
        <v>0</v>
      </c>
      <c r="AI140" s="378">
        <f>IF(NFI_Expiration=1,IF($A140&lt;VLOOKUP(R$5,NFI,5,0),1,0)*Table_NFI[[#This Row],[Winter Clothes Adult]],Table_NFI[Winter Clothes Adult])</f>
        <v>0</v>
      </c>
      <c r="AJ140" s="378">
        <f>IF(NFI_Expiration=1,IF($A140&lt;VLOOKUP(S$5,NFI,5,0),1,0)*Table_NFI[[#This Row],[Winter Clothes Children]],Table_NFI[Winter Clothes Children])</f>
        <v>0</v>
      </c>
      <c r="AK140" s="378">
        <f>IF(NFI_Expiration=1,IF($A140&lt;VLOOKUP(T$5,NFI,5,0),1,0)*Table_NFI[[#This Row],[Winter Items Other]],Table_NFI[Winter Items Other])</f>
        <v>0</v>
      </c>
      <c r="AL140" s="378">
        <f>IF(NFI_Expiration=1,IF($A140&lt;VLOOKUP(M$5,NFI,5,0),1,0)*Table_NFI[[#This Row],[Winter Blanket]],Table_NFI[[#This Row],[Winter Blanket]])</f>
        <v>0</v>
      </c>
      <c r="AM140" s="378">
        <f>IF(Table_NFI[[#This Row],[Winter Clothes Adult]]+Table_NFI[[#This Row],[Winter Clothes Children]]+Table_NFI[[#This Row],[Winter Items Other]]+Table_NFI[[#This Row],[Winter Blanket]]&gt;0,1,0)</f>
        <v>0</v>
      </c>
      <c r="AN140" s="418">
        <f>IF(NFI_Expiration=1,IF($A140&lt;VLOOKUP(V$5,NFI,5,0),1,0)*Table_NFI[[#This Row],[Jerry Can]],Table_NFI[Jerry Can])</f>
        <v>0</v>
      </c>
      <c r="AO140" s="579" t="str">
        <f>IFERROR(VLOOKUP(Table_NFI[[#This Row],[Camp Name]],CL,2,0),"")</f>
        <v>MMR001CMP028</v>
      </c>
      <c r="AP140" s="574">
        <f ca="1">IF(Table_NFI[[#This Row],[Pcode]]="","",IF(OFFSET(CampList[Opening Date],MATCH(Table_NFI[[#This Row],[Pcode]],CampList[CP_Pcode],0)-1,0,1,1)&gt;=NFI_Monitor_Date,1,0))</f>
        <v>0</v>
      </c>
      <c r="AQ140" s="579" t="str">
        <f>IFERROR(VLOOKUP(Table_NFI[[#This Row],[Camp Name]],CL,3,0),"")</f>
        <v>Open</v>
      </c>
      <c r="AR140" s="378" t="str">
        <f ca="1">IF(Table_NFI[[#This Row],[Pcode]]="","",OFFSET(CampList[Priority],MATCH(Table_NFI[[#This Row],[Pcode]],CampList[CP_Pcode],0)-1,0,1,1))</f>
        <v>P4</v>
      </c>
      <c r="AS140" s="377">
        <f>IFERROR(Table_NFI[[#This Row],[Kitchen Set]]/VLOOKUP(Table_NFI[[#This Row],[Camp Name]],CL,4,0),"")</f>
        <v>0</v>
      </c>
      <c r="AT140" s="577"/>
      <c r="AU140" s="580"/>
    </row>
    <row r="141" spans="1:47" s="130" customFormat="1" x14ac:dyDescent="0.25">
      <c r="A141" s="381">
        <f t="shared" si="2"/>
        <v>24.533333333333335</v>
      </c>
      <c r="B141" s="571">
        <v>41786</v>
      </c>
      <c r="C141" s="572" t="s">
        <v>454</v>
      </c>
      <c r="D141" s="572" t="s">
        <v>507</v>
      </c>
      <c r="E141" s="572" t="s">
        <v>380</v>
      </c>
      <c r="F141" s="572" t="s">
        <v>310</v>
      </c>
      <c r="G141" s="572" t="s">
        <v>313</v>
      </c>
      <c r="H141" s="375"/>
      <c r="I141" s="375"/>
      <c r="J141" s="375">
        <v>2</v>
      </c>
      <c r="K141" s="375">
        <v>1</v>
      </c>
      <c r="L141" s="376">
        <v>2</v>
      </c>
      <c r="M141" s="376">
        <v>1</v>
      </c>
      <c r="N141" s="376"/>
      <c r="O141" s="376">
        <v>1</v>
      </c>
      <c r="P141" s="378">
        <v>5</v>
      </c>
      <c r="Q141" s="378"/>
      <c r="R141" s="378"/>
      <c r="S141" s="378"/>
      <c r="T141" s="378"/>
      <c r="U141" s="378"/>
      <c r="V141" s="533"/>
      <c r="W141" s="378"/>
      <c r="X141" s="378"/>
      <c r="Y141" s="378">
        <f>IF(NFI_Expiration=1,IF($A141&lt;VLOOKUP(H$5,NFI,5,0),1,0)*Table_NFI[[#This Row],[Hygiene Kit]],Table_NFI[Hygiene Kit])</f>
        <v>0</v>
      </c>
      <c r="Z141" s="378">
        <f>IF(NFI_Expiration=1,IF($A141&lt;VLOOKUP(I$5,NFI,5,0),1,0)*Table_NFI[[#This Row],[NFI Core Kit]],Table_NFI[NFI Core Kit])</f>
        <v>0</v>
      </c>
      <c r="AA141" s="378">
        <f>IF(NFI_Expiration=1,IF($A141&lt;VLOOKUP(J$5,NFI,5,0),1,0)*Table_NFI[[#This Row],[Sanitary Kit]],Table_NFI[Sanitary Kit])</f>
        <v>0</v>
      </c>
      <c r="AB141" s="378">
        <f>IF(NFI_Expiration=1,IF($A141&lt;VLOOKUP(K$5,NFI,5,0),1,0)*Table_NFI[[#This Row],[Mosquito net]],Table_NFI[Mosquito net])</f>
        <v>0</v>
      </c>
      <c r="AC141" s="378">
        <f>IF(NFI_Expiration=1,IF($A141&lt;VLOOKUP(L$5,NFI,5,0),1,0)*Table_NFI[[#This Row],[Tarpaulin]],Table_NFI[[#This Row],[Tarpaulin]])</f>
        <v>0</v>
      </c>
      <c r="AD141" s="378">
        <f>IF(NFI_Expiration=1,IF($A141&lt;VLOOKUP(M$5,NFI,5,0),1,0)*Table_NFI[[#This Row],[Blanket]],Table_NFI[[#This Row],[Blanket]])</f>
        <v>0</v>
      </c>
      <c r="AE141" s="378">
        <f>IF(NFI_Expiration=1,IF($A141&lt;VLOOKUP(N$5,NFI,5,0),1,0)*Table_NFI[[#This Row],[Kitchen Set]],Table_NFI[Kitchen Set])</f>
        <v>0</v>
      </c>
      <c r="AF141" s="378">
        <f>IF(NFI_Expiration=1,IF($A141&lt;VLOOKUP(O$5,NFI,5,0),1,0)*Table_NFI[[#This Row],[Clothes Kit]],Table_NFI[Clothes Kit])</f>
        <v>0</v>
      </c>
      <c r="AG141" s="378">
        <f>IF(NFI_Expiration=1,IF($A141&lt;VLOOKUP(P$5,NFI,5,0),1,0)*Table_NFI[[#This Row],[Plastic Bucket]],Table_NFI[Plastic Bucket])</f>
        <v>0</v>
      </c>
      <c r="AH141" s="378">
        <f>IF(NFI_Expiration=1,IF($A141&lt;VLOOKUP(Q$5,NFI,5,0),1,0)*Table_NFI[[#This Row],[Plastic Mat]],Table_NFI[Plastic Mat])*IF(Table_NFI[[#This Row],[Distribution Date]]&gt;"2014-04-01",1,2.5)</f>
        <v>0</v>
      </c>
      <c r="AI141" s="378">
        <f>IF(NFI_Expiration=1,IF($A141&lt;VLOOKUP(R$5,NFI,5,0),1,0)*Table_NFI[[#This Row],[Winter Clothes Adult]],Table_NFI[Winter Clothes Adult])</f>
        <v>0</v>
      </c>
      <c r="AJ141" s="378">
        <f>IF(NFI_Expiration=1,IF($A141&lt;VLOOKUP(S$5,NFI,5,0),1,0)*Table_NFI[[#This Row],[Winter Clothes Children]],Table_NFI[Winter Clothes Children])</f>
        <v>0</v>
      </c>
      <c r="AK141" s="378">
        <f>IF(NFI_Expiration=1,IF($A141&lt;VLOOKUP(T$5,NFI,5,0),1,0)*Table_NFI[[#This Row],[Winter Items Other]],Table_NFI[Winter Items Other])</f>
        <v>0</v>
      </c>
      <c r="AL141" s="378">
        <f>IF(NFI_Expiration=1,IF($A141&lt;VLOOKUP(M$5,NFI,5,0),1,0)*Table_NFI[[#This Row],[Winter Blanket]],Table_NFI[[#This Row],[Winter Blanket]])</f>
        <v>0</v>
      </c>
      <c r="AM141" s="378">
        <f>IF(Table_NFI[[#This Row],[Winter Clothes Adult]]+Table_NFI[[#This Row],[Winter Clothes Children]]+Table_NFI[[#This Row],[Winter Items Other]]+Table_NFI[[#This Row],[Winter Blanket]]&gt;0,1,0)</f>
        <v>0</v>
      </c>
      <c r="AN141" s="418">
        <f>IF(NFI_Expiration=1,IF($A141&lt;VLOOKUP(V$5,NFI,5,0),1,0)*Table_NFI[[#This Row],[Jerry Can]],Table_NFI[Jerry Can])</f>
        <v>0</v>
      </c>
      <c r="AO141" s="579" t="str">
        <f>IFERROR(VLOOKUP(Table_NFI[[#This Row],[Camp Name]],CL,2,0),"")</f>
        <v>MMR001CMP028</v>
      </c>
      <c r="AP141" s="574">
        <f ca="1">IF(Table_NFI[[#This Row],[Pcode]]="","",IF(OFFSET(CampList[Opening Date],MATCH(Table_NFI[[#This Row],[Pcode]],CampList[CP_Pcode],0)-1,0,1,1)&gt;=NFI_Monitor_Date,1,0))</f>
        <v>0</v>
      </c>
      <c r="AQ141" s="579" t="str">
        <f>IFERROR(VLOOKUP(Table_NFI[[#This Row],[Camp Name]],CL,3,0),"")</f>
        <v>Open</v>
      </c>
      <c r="AR141" s="378" t="str">
        <f ca="1">IF(Table_NFI[[#This Row],[Pcode]]="","",OFFSET(CampList[Priority],MATCH(Table_NFI[[#This Row],[Pcode]],CampList[CP_Pcode],0)-1,0,1,1))</f>
        <v>P4</v>
      </c>
      <c r="AS141" s="377">
        <f>IFERROR(Table_NFI[[#This Row],[Kitchen Set]]/VLOOKUP(Table_NFI[[#This Row],[Camp Name]],CL,4,0),"")</f>
        <v>0</v>
      </c>
      <c r="AT141" s="572"/>
      <c r="AU141" s="575"/>
    </row>
    <row r="142" spans="1:47" s="130" customFormat="1" x14ac:dyDescent="0.25">
      <c r="A142" s="381">
        <f t="shared" si="2"/>
        <v>24.6</v>
      </c>
      <c r="B142" s="571">
        <v>41784</v>
      </c>
      <c r="C142" s="572" t="s">
        <v>1107</v>
      </c>
      <c r="D142" s="572" t="s">
        <v>903</v>
      </c>
      <c r="E142" s="572" t="s">
        <v>380</v>
      </c>
      <c r="F142" s="572" t="s">
        <v>310</v>
      </c>
      <c r="G142" s="572" t="s">
        <v>313</v>
      </c>
      <c r="H142" s="375"/>
      <c r="I142" s="375"/>
      <c r="J142" s="375"/>
      <c r="K142" s="375"/>
      <c r="L142" s="376"/>
      <c r="M142" s="376"/>
      <c r="N142" s="376"/>
      <c r="O142" s="376"/>
      <c r="P142" s="378"/>
      <c r="Q142" s="378"/>
      <c r="R142" s="378"/>
      <c r="S142" s="378"/>
      <c r="T142" s="378"/>
      <c r="U142" s="378">
        <v>224</v>
      </c>
      <c r="V142" s="533"/>
      <c r="W142" s="378"/>
      <c r="X142" s="378"/>
      <c r="Y142" s="378">
        <f>IF(NFI_Expiration=1,IF($A142&lt;VLOOKUP(H$5,NFI,5,0),1,0)*Table_NFI[[#This Row],[Hygiene Kit]],Table_NFI[Hygiene Kit])</f>
        <v>0</v>
      </c>
      <c r="Z142" s="378">
        <f>IF(NFI_Expiration=1,IF($A142&lt;VLOOKUP(I$5,NFI,5,0),1,0)*Table_NFI[[#This Row],[NFI Core Kit]],Table_NFI[NFI Core Kit])</f>
        <v>0</v>
      </c>
      <c r="AA142" s="378">
        <f>IF(NFI_Expiration=1,IF($A142&lt;VLOOKUP(J$5,NFI,5,0),1,0)*Table_NFI[[#This Row],[Sanitary Kit]],Table_NFI[Sanitary Kit])</f>
        <v>0</v>
      </c>
      <c r="AB142" s="378">
        <f>IF(NFI_Expiration=1,IF($A142&lt;VLOOKUP(K$5,NFI,5,0),1,0)*Table_NFI[[#This Row],[Mosquito net]],Table_NFI[Mosquito net])</f>
        <v>0</v>
      </c>
      <c r="AC142" s="378">
        <f>IF(NFI_Expiration=1,IF($A142&lt;VLOOKUP(L$5,NFI,5,0),1,0)*Table_NFI[[#This Row],[Tarpaulin]],Table_NFI[[#This Row],[Tarpaulin]])</f>
        <v>0</v>
      </c>
      <c r="AD142" s="378">
        <f>IF(NFI_Expiration=1,IF($A142&lt;VLOOKUP(M$5,NFI,5,0),1,0)*Table_NFI[[#This Row],[Blanket]],Table_NFI[[#This Row],[Blanket]])</f>
        <v>0</v>
      </c>
      <c r="AE142" s="378">
        <f>IF(NFI_Expiration=1,IF($A142&lt;VLOOKUP(N$5,NFI,5,0),1,0)*Table_NFI[[#This Row],[Kitchen Set]],Table_NFI[Kitchen Set])</f>
        <v>0</v>
      </c>
      <c r="AF142" s="378">
        <f>IF(NFI_Expiration=1,IF($A142&lt;VLOOKUP(O$5,NFI,5,0),1,0)*Table_NFI[[#This Row],[Clothes Kit]],Table_NFI[Clothes Kit])</f>
        <v>0</v>
      </c>
      <c r="AG142" s="378">
        <f>IF(NFI_Expiration=1,IF($A142&lt;VLOOKUP(P$5,NFI,5,0),1,0)*Table_NFI[[#This Row],[Plastic Bucket]],Table_NFI[Plastic Bucket])</f>
        <v>0</v>
      </c>
      <c r="AH142" s="378">
        <f>IF(NFI_Expiration=1,IF($A142&lt;VLOOKUP(Q$5,NFI,5,0),1,0)*Table_NFI[[#This Row],[Plastic Mat]],Table_NFI[Plastic Mat])*IF(Table_NFI[[#This Row],[Distribution Date]]&gt;"2014-04-01",1,2.5)</f>
        <v>0</v>
      </c>
      <c r="AI142" s="378">
        <f>IF(NFI_Expiration=1,IF($A142&lt;VLOOKUP(R$5,NFI,5,0),1,0)*Table_NFI[[#This Row],[Winter Clothes Adult]],Table_NFI[Winter Clothes Adult])</f>
        <v>0</v>
      </c>
      <c r="AJ142" s="378">
        <f>IF(NFI_Expiration=1,IF($A142&lt;VLOOKUP(S$5,NFI,5,0),1,0)*Table_NFI[[#This Row],[Winter Clothes Children]],Table_NFI[Winter Clothes Children])</f>
        <v>0</v>
      </c>
      <c r="AK142" s="378">
        <f>IF(NFI_Expiration=1,IF($A142&lt;VLOOKUP(T$5,NFI,5,0),1,0)*Table_NFI[[#This Row],[Winter Items Other]],Table_NFI[Winter Items Other])</f>
        <v>0</v>
      </c>
      <c r="AL142" s="378">
        <f>IF(NFI_Expiration=1,IF($A142&lt;VLOOKUP(M$5,NFI,5,0),1,0)*Table_NFI[[#This Row],[Winter Blanket]],Table_NFI[[#This Row],[Winter Blanket]])</f>
        <v>0</v>
      </c>
      <c r="AM142" s="378">
        <f>IF(Table_NFI[[#This Row],[Winter Clothes Adult]]+Table_NFI[[#This Row],[Winter Clothes Children]]+Table_NFI[[#This Row],[Winter Items Other]]+Table_NFI[[#This Row],[Winter Blanket]]&gt;0,1,0)</f>
        <v>1</v>
      </c>
      <c r="AN142" s="418">
        <f>IF(NFI_Expiration=1,IF($A142&lt;VLOOKUP(V$5,NFI,5,0),1,0)*Table_NFI[[#This Row],[Jerry Can]],Table_NFI[Jerry Can])</f>
        <v>0</v>
      </c>
      <c r="AO142" s="579" t="str">
        <f>IFERROR(VLOOKUP(Table_NFI[[#This Row],[Camp Name]],CL,2,0),"")</f>
        <v>MMR001CMP028</v>
      </c>
      <c r="AP142" s="574">
        <f ca="1">IF(Table_NFI[[#This Row],[Pcode]]="","",IF(OFFSET(CampList[Opening Date],MATCH(Table_NFI[[#This Row],[Pcode]],CampList[CP_Pcode],0)-1,0,1,1)&gt;=NFI_Monitor_Date,1,0))</f>
        <v>0</v>
      </c>
      <c r="AQ142" s="579" t="str">
        <f>IFERROR(VLOOKUP(Table_NFI[[#This Row],[Camp Name]],CL,3,0),"")</f>
        <v>Open</v>
      </c>
      <c r="AR142" s="378" t="str">
        <f ca="1">IF(Table_NFI[[#This Row],[Pcode]]="","",OFFSET(CampList[Priority],MATCH(Table_NFI[[#This Row],[Pcode]],CampList[CP_Pcode],0)-1,0,1,1))</f>
        <v>P4</v>
      </c>
      <c r="AS142" s="377">
        <f>IFERROR(Table_NFI[[#This Row],[Kitchen Set]]/VLOOKUP(Table_NFI[[#This Row],[Camp Name]],CL,4,0),"")</f>
        <v>0</v>
      </c>
      <c r="AT142" s="572"/>
      <c r="AU142" s="575"/>
    </row>
    <row r="143" spans="1:47" s="130" customFormat="1" x14ac:dyDescent="0.25">
      <c r="A143" s="381">
        <f t="shared" si="2"/>
        <v>29.866666666666667</v>
      </c>
      <c r="B143" s="571">
        <v>41626</v>
      </c>
      <c r="C143" s="572" t="s">
        <v>908</v>
      </c>
      <c r="D143" s="572" t="s">
        <v>462</v>
      </c>
      <c r="E143" s="572" t="s">
        <v>380</v>
      </c>
      <c r="F143" s="572" t="s">
        <v>310</v>
      </c>
      <c r="G143" s="572" t="s">
        <v>313</v>
      </c>
      <c r="H143" s="375"/>
      <c r="I143" s="375"/>
      <c r="J143" s="375"/>
      <c r="K143" s="375"/>
      <c r="L143" s="376"/>
      <c r="M143" s="376"/>
      <c r="N143" s="376"/>
      <c r="O143" s="376"/>
      <c r="P143" s="378"/>
      <c r="Q143" s="378"/>
      <c r="R143" s="378">
        <v>134</v>
      </c>
      <c r="S143" s="378">
        <v>238</v>
      </c>
      <c r="T143" s="378">
        <v>744</v>
      </c>
      <c r="U143" s="378">
        <v>372</v>
      </c>
      <c r="V143" s="533"/>
      <c r="W143" s="378"/>
      <c r="X143" s="378"/>
      <c r="Y143" s="378">
        <f>IF(NFI_Expiration=1,IF($A143&lt;VLOOKUP(H$5,NFI,5,0),1,0)*Table_NFI[[#This Row],[Hygiene Kit]],Table_NFI[Hygiene Kit])</f>
        <v>0</v>
      </c>
      <c r="Z143" s="378">
        <f>IF(NFI_Expiration=1,IF($A143&lt;VLOOKUP(I$5,NFI,5,0),1,0)*Table_NFI[[#This Row],[NFI Core Kit]],Table_NFI[NFI Core Kit])</f>
        <v>0</v>
      </c>
      <c r="AA143" s="378">
        <f>IF(NFI_Expiration=1,IF($A143&lt;VLOOKUP(J$5,NFI,5,0),1,0)*Table_NFI[[#This Row],[Sanitary Kit]],Table_NFI[Sanitary Kit])</f>
        <v>0</v>
      </c>
      <c r="AB143" s="378">
        <f>IF(NFI_Expiration=1,IF($A143&lt;VLOOKUP(K$5,NFI,5,0),1,0)*Table_NFI[[#This Row],[Mosquito net]],Table_NFI[Mosquito net])</f>
        <v>0</v>
      </c>
      <c r="AC143" s="378">
        <f>IF(NFI_Expiration=1,IF($A143&lt;VLOOKUP(L$5,NFI,5,0),1,0)*Table_NFI[[#This Row],[Tarpaulin]],Table_NFI[[#This Row],[Tarpaulin]])</f>
        <v>0</v>
      </c>
      <c r="AD143" s="378">
        <f>IF(NFI_Expiration=1,IF($A143&lt;VLOOKUP(M$5,NFI,5,0),1,0)*Table_NFI[[#This Row],[Blanket]],Table_NFI[[#This Row],[Blanket]])</f>
        <v>0</v>
      </c>
      <c r="AE143" s="378">
        <f>IF(NFI_Expiration=1,IF($A143&lt;VLOOKUP(N$5,NFI,5,0),1,0)*Table_NFI[[#This Row],[Kitchen Set]],Table_NFI[Kitchen Set])</f>
        <v>0</v>
      </c>
      <c r="AF143" s="378">
        <f>IF(NFI_Expiration=1,IF($A143&lt;VLOOKUP(O$5,NFI,5,0),1,0)*Table_NFI[[#This Row],[Clothes Kit]],Table_NFI[Clothes Kit])</f>
        <v>0</v>
      </c>
      <c r="AG143" s="378">
        <f>IF(NFI_Expiration=1,IF($A143&lt;VLOOKUP(P$5,NFI,5,0),1,0)*Table_NFI[[#This Row],[Plastic Bucket]],Table_NFI[Plastic Bucket])</f>
        <v>0</v>
      </c>
      <c r="AH143" s="378">
        <f>IF(NFI_Expiration=1,IF($A143&lt;VLOOKUP(Q$5,NFI,5,0),1,0)*Table_NFI[[#This Row],[Plastic Mat]],Table_NFI[Plastic Mat])*IF(Table_NFI[[#This Row],[Distribution Date]]&gt;"2014-04-01",1,2.5)</f>
        <v>0</v>
      </c>
      <c r="AI143" s="378">
        <f>IF(NFI_Expiration=1,IF($A143&lt;VLOOKUP(R$5,NFI,5,0),1,0)*Table_NFI[[#This Row],[Winter Clothes Adult]],Table_NFI[Winter Clothes Adult])</f>
        <v>0</v>
      </c>
      <c r="AJ143" s="378">
        <f>IF(NFI_Expiration=1,IF($A143&lt;VLOOKUP(S$5,NFI,5,0),1,0)*Table_NFI[[#This Row],[Winter Clothes Children]],Table_NFI[Winter Clothes Children])</f>
        <v>0</v>
      </c>
      <c r="AK143" s="378">
        <f>IF(NFI_Expiration=1,IF($A143&lt;VLOOKUP(T$5,NFI,5,0),1,0)*Table_NFI[[#This Row],[Winter Items Other]],Table_NFI[Winter Items Other])</f>
        <v>0</v>
      </c>
      <c r="AL143" s="378">
        <f>IF(NFI_Expiration=1,IF($A143&lt;VLOOKUP(M$5,NFI,5,0),1,0)*Table_NFI[[#This Row],[Winter Blanket]],Table_NFI[[#This Row],[Winter Blanket]])</f>
        <v>0</v>
      </c>
      <c r="AM143" s="378">
        <f>IF(Table_NFI[[#This Row],[Winter Clothes Adult]]+Table_NFI[[#This Row],[Winter Clothes Children]]+Table_NFI[[#This Row],[Winter Items Other]]+Table_NFI[[#This Row],[Winter Blanket]]&gt;0,1,0)</f>
        <v>1</v>
      </c>
      <c r="AN143" s="418">
        <f>IF(NFI_Expiration=1,IF($A143&lt;VLOOKUP(V$5,NFI,5,0),1,0)*Table_NFI[[#This Row],[Jerry Can]],Table_NFI[Jerry Can])</f>
        <v>0</v>
      </c>
      <c r="AO143" s="579" t="str">
        <f>IFERROR(VLOOKUP(Table_NFI[[#This Row],[Camp Name]],CL,2,0),"")</f>
        <v>MMR001CMP028</v>
      </c>
      <c r="AP143" s="574">
        <f ca="1">IF(Table_NFI[[#This Row],[Pcode]]="","",IF(OFFSET(CampList[Opening Date],MATCH(Table_NFI[[#This Row],[Pcode]],CampList[CP_Pcode],0)-1,0,1,1)&gt;=NFI_Monitor_Date,1,0))</f>
        <v>0</v>
      </c>
      <c r="AQ143" s="579" t="str">
        <f>IFERROR(VLOOKUP(Table_NFI[[#This Row],[Camp Name]],CL,3,0),"")</f>
        <v>Open</v>
      </c>
      <c r="AR143" s="378" t="str">
        <f ca="1">IF(Table_NFI[[#This Row],[Pcode]]="","",OFFSET(CampList[Priority],MATCH(Table_NFI[[#This Row],[Pcode]],CampList[CP_Pcode],0)-1,0,1,1))</f>
        <v>P4</v>
      </c>
      <c r="AS143" s="377">
        <f>IFERROR(Table_NFI[[#This Row],[Kitchen Set]]/VLOOKUP(Table_NFI[[#This Row],[Camp Name]],CL,4,0),"")</f>
        <v>0</v>
      </c>
      <c r="AT143" s="572"/>
      <c r="AU143" s="575"/>
    </row>
    <row r="144" spans="1:47" s="130" customFormat="1" x14ac:dyDescent="0.25">
      <c r="A144" s="381">
        <f t="shared" si="2"/>
        <v>30.466666666666665</v>
      </c>
      <c r="B144" s="571">
        <v>41608</v>
      </c>
      <c r="C144" s="572" t="s">
        <v>908</v>
      </c>
      <c r="D144" s="572" t="s">
        <v>462</v>
      </c>
      <c r="E144" s="572" t="s">
        <v>380</v>
      </c>
      <c r="F144" s="572" t="s">
        <v>310</v>
      </c>
      <c r="G144" s="374" t="s">
        <v>313</v>
      </c>
      <c r="H144" s="375"/>
      <c r="I144" s="375"/>
      <c r="J144" s="375"/>
      <c r="K144" s="375"/>
      <c r="L144" s="376"/>
      <c r="M144" s="376"/>
      <c r="N144" s="376"/>
      <c r="O144" s="376"/>
      <c r="P144" s="378"/>
      <c r="Q144" s="378"/>
      <c r="R144" s="378"/>
      <c r="S144" s="378"/>
      <c r="T144" s="378"/>
      <c r="U144" s="378"/>
      <c r="V144" s="533"/>
      <c r="W144" s="378"/>
      <c r="X144" s="378"/>
      <c r="Y144" s="378">
        <f>IF(NFI_Expiration=1,IF($A144&lt;VLOOKUP(H$5,NFI,5,0),1,0)*Table_NFI[[#This Row],[Hygiene Kit]],Table_NFI[Hygiene Kit])</f>
        <v>0</v>
      </c>
      <c r="Z144" s="378">
        <f>IF(NFI_Expiration=1,IF($A144&lt;VLOOKUP(I$5,NFI,5,0),1,0)*Table_NFI[[#This Row],[NFI Core Kit]],Table_NFI[NFI Core Kit])</f>
        <v>0</v>
      </c>
      <c r="AA144" s="378">
        <f>IF(NFI_Expiration=1,IF($A144&lt;VLOOKUP(J$5,NFI,5,0),1,0)*Table_NFI[[#This Row],[Sanitary Kit]],Table_NFI[Sanitary Kit])</f>
        <v>0</v>
      </c>
      <c r="AB144" s="378">
        <f>IF(NFI_Expiration=1,IF($A144&lt;VLOOKUP(K$5,NFI,5,0),1,0)*Table_NFI[[#This Row],[Mosquito net]],Table_NFI[Mosquito net])</f>
        <v>0</v>
      </c>
      <c r="AC144" s="378">
        <f>IF(NFI_Expiration=1,IF($A144&lt;VLOOKUP(L$5,NFI,5,0),1,0)*Table_NFI[[#This Row],[Tarpaulin]],Table_NFI[[#This Row],[Tarpaulin]])</f>
        <v>0</v>
      </c>
      <c r="AD144" s="378">
        <f>IF(NFI_Expiration=1,IF($A144&lt;VLOOKUP(M$5,NFI,5,0),1,0)*Table_NFI[[#This Row],[Blanket]],Table_NFI[[#This Row],[Blanket]])</f>
        <v>0</v>
      </c>
      <c r="AE144" s="378">
        <f>IF(NFI_Expiration=1,IF($A144&lt;VLOOKUP(N$5,NFI,5,0),1,0)*Table_NFI[[#This Row],[Kitchen Set]],Table_NFI[Kitchen Set])</f>
        <v>0</v>
      </c>
      <c r="AF144" s="378">
        <f>IF(NFI_Expiration=1,IF($A144&lt;VLOOKUP(O$5,NFI,5,0),1,0)*Table_NFI[[#This Row],[Clothes Kit]],Table_NFI[Clothes Kit])</f>
        <v>0</v>
      </c>
      <c r="AG144" s="378">
        <f>IF(NFI_Expiration=1,IF($A144&lt;VLOOKUP(P$5,NFI,5,0),1,0)*Table_NFI[[#This Row],[Plastic Bucket]],Table_NFI[Plastic Bucket])</f>
        <v>0</v>
      </c>
      <c r="AH144" s="378">
        <f>IF(NFI_Expiration=1,IF($A144&lt;VLOOKUP(Q$5,NFI,5,0),1,0)*Table_NFI[[#This Row],[Plastic Mat]],Table_NFI[Plastic Mat])*IF(Table_NFI[[#This Row],[Distribution Date]]&gt;"2014-04-01",1,2.5)</f>
        <v>0</v>
      </c>
      <c r="AI144" s="378">
        <f>IF(NFI_Expiration=1,IF($A144&lt;VLOOKUP(R$5,NFI,5,0),1,0)*Table_NFI[[#This Row],[Winter Clothes Adult]],Table_NFI[Winter Clothes Adult])</f>
        <v>0</v>
      </c>
      <c r="AJ144" s="378">
        <f>IF(NFI_Expiration=1,IF($A144&lt;VLOOKUP(S$5,NFI,5,0),1,0)*Table_NFI[[#This Row],[Winter Clothes Children]],Table_NFI[Winter Clothes Children])</f>
        <v>0</v>
      </c>
      <c r="AK144" s="378">
        <f>IF(NFI_Expiration=1,IF($A144&lt;VLOOKUP(T$5,NFI,5,0),1,0)*Table_NFI[[#This Row],[Winter Items Other]],Table_NFI[Winter Items Other])</f>
        <v>0</v>
      </c>
      <c r="AL144" s="378">
        <f>IF(NFI_Expiration=1,IF($A144&lt;VLOOKUP(M$5,NFI,5,0),1,0)*Table_NFI[[#This Row],[Winter Blanket]],Table_NFI[[#This Row],[Winter Blanket]])</f>
        <v>0</v>
      </c>
      <c r="AM144" s="378">
        <f>IF(Table_NFI[[#This Row],[Winter Clothes Adult]]+Table_NFI[[#This Row],[Winter Clothes Children]]+Table_NFI[[#This Row],[Winter Items Other]]+Table_NFI[[#This Row],[Winter Blanket]]&gt;0,1,0)</f>
        <v>0</v>
      </c>
      <c r="AN144" s="418">
        <f>IF(NFI_Expiration=1,IF($A144&lt;VLOOKUP(V$5,NFI,5,0),1,0)*Table_NFI[[#This Row],[Jerry Can]],Table_NFI[Jerry Can])</f>
        <v>0</v>
      </c>
      <c r="AO144" s="579" t="str">
        <f>IFERROR(VLOOKUP(Table_NFI[[#This Row],[Camp Name]],CL,2,0),"")</f>
        <v>MMR001CMP028</v>
      </c>
      <c r="AP144" s="574">
        <f ca="1">IF(Table_NFI[[#This Row],[Pcode]]="","",IF(OFFSET(CampList[Opening Date],MATCH(Table_NFI[[#This Row],[Pcode]],CampList[CP_Pcode],0)-1,0,1,1)&gt;=NFI_Monitor_Date,1,0))</f>
        <v>0</v>
      </c>
      <c r="AQ144" s="579" t="str">
        <f>IFERROR(VLOOKUP(Table_NFI[[#This Row],[Camp Name]],CL,3,0),"")</f>
        <v>Open</v>
      </c>
      <c r="AR144" s="378" t="str">
        <f ca="1">IF(Table_NFI[[#This Row],[Pcode]]="","",OFFSET(CampList[Priority],MATCH(Table_NFI[[#This Row],[Pcode]],CampList[CP_Pcode],0)-1,0,1,1))</f>
        <v>P4</v>
      </c>
      <c r="AS144" s="377">
        <f>IFERROR(Table_NFI[[#This Row],[Kitchen Set]]/VLOOKUP(Table_NFI[[#This Row],[Camp Name]],CL,4,0),"")</f>
        <v>0</v>
      </c>
      <c r="AT144" s="572" t="s">
        <v>1095</v>
      </c>
      <c r="AU144" s="575"/>
    </row>
    <row r="145" spans="1:47" s="130" customFormat="1" x14ac:dyDescent="0.25">
      <c r="A145" s="381">
        <f t="shared" si="2"/>
        <v>39.700000000000003</v>
      </c>
      <c r="B145" s="571">
        <v>41331</v>
      </c>
      <c r="C145" s="572" t="s">
        <v>903</v>
      </c>
      <c r="D145" s="573" t="s">
        <v>903</v>
      </c>
      <c r="E145" s="572" t="s">
        <v>380</v>
      </c>
      <c r="F145" s="572" t="s">
        <v>310</v>
      </c>
      <c r="G145" s="374" t="s">
        <v>313</v>
      </c>
      <c r="H145" s="375"/>
      <c r="I145" s="375"/>
      <c r="J145" s="375">
        <v>136</v>
      </c>
      <c r="K145" s="375"/>
      <c r="L145" s="376">
        <v>66</v>
      </c>
      <c r="M145" s="376"/>
      <c r="N145" s="376">
        <v>70</v>
      </c>
      <c r="O145" s="376"/>
      <c r="P145" s="378">
        <v>0</v>
      </c>
      <c r="Q145" s="378">
        <v>0</v>
      </c>
      <c r="R145" s="378"/>
      <c r="S145" s="378"/>
      <c r="T145" s="378"/>
      <c r="U145" s="378"/>
      <c r="V145" s="533"/>
      <c r="W145" s="378"/>
      <c r="X145" s="378"/>
      <c r="Y145" s="378">
        <f>IF(NFI_Expiration=1,IF($A145&lt;VLOOKUP(H$5,NFI,5,0),1,0)*Table_NFI[[#This Row],[Hygiene Kit]],Table_NFI[Hygiene Kit])</f>
        <v>0</v>
      </c>
      <c r="Z145" s="378">
        <f>IF(NFI_Expiration=1,IF($A145&lt;VLOOKUP(I$5,NFI,5,0),1,0)*Table_NFI[[#This Row],[NFI Core Kit]],Table_NFI[NFI Core Kit])</f>
        <v>0</v>
      </c>
      <c r="AA145" s="378">
        <f>IF(NFI_Expiration=1,IF($A145&lt;VLOOKUP(J$5,NFI,5,0),1,0)*Table_NFI[[#This Row],[Sanitary Kit]],Table_NFI[Sanitary Kit])</f>
        <v>0</v>
      </c>
      <c r="AB145" s="378">
        <f>IF(NFI_Expiration=1,IF($A145&lt;VLOOKUP(K$5,NFI,5,0),1,0)*Table_NFI[[#This Row],[Mosquito net]],Table_NFI[Mosquito net])</f>
        <v>0</v>
      </c>
      <c r="AC145" s="378">
        <f>IF(NFI_Expiration=1,IF($A145&lt;VLOOKUP(L$5,NFI,5,0),1,0)*Table_NFI[[#This Row],[Tarpaulin]],Table_NFI[[#This Row],[Tarpaulin]])</f>
        <v>0</v>
      </c>
      <c r="AD145" s="378">
        <f>IF(NFI_Expiration=1,IF($A145&lt;VLOOKUP(M$5,NFI,5,0),1,0)*Table_NFI[[#This Row],[Blanket]],Table_NFI[[#This Row],[Blanket]])</f>
        <v>0</v>
      </c>
      <c r="AE145" s="378">
        <f>IF(NFI_Expiration=1,IF($A145&lt;VLOOKUP(N$5,NFI,5,0),1,0)*Table_NFI[[#This Row],[Kitchen Set]],Table_NFI[Kitchen Set])</f>
        <v>0</v>
      </c>
      <c r="AF145" s="378">
        <f>IF(NFI_Expiration=1,IF($A145&lt;VLOOKUP(O$5,NFI,5,0),1,0)*Table_NFI[[#This Row],[Clothes Kit]],Table_NFI[Clothes Kit])</f>
        <v>0</v>
      </c>
      <c r="AG145" s="378">
        <f>IF(NFI_Expiration=1,IF($A145&lt;VLOOKUP(P$5,NFI,5,0),1,0)*Table_NFI[[#This Row],[Plastic Bucket]],Table_NFI[Plastic Bucket])</f>
        <v>0</v>
      </c>
      <c r="AH145" s="378">
        <f>IF(NFI_Expiration=1,IF($A145&lt;VLOOKUP(Q$5,NFI,5,0),1,0)*Table_NFI[[#This Row],[Plastic Mat]],Table_NFI[Plastic Mat])*IF(Table_NFI[[#This Row],[Distribution Date]]&gt;"2014-04-01",1,2.5)</f>
        <v>0</v>
      </c>
      <c r="AI145" s="378">
        <f>IF(NFI_Expiration=1,IF($A145&lt;VLOOKUP(R$5,NFI,5,0),1,0)*Table_NFI[[#This Row],[Winter Clothes Adult]],Table_NFI[Winter Clothes Adult])</f>
        <v>0</v>
      </c>
      <c r="AJ145" s="378">
        <f>IF(NFI_Expiration=1,IF($A145&lt;VLOOKUP(S$5,NFI,5,0),1,0)*Table_NFI[[#This Row],[Winter Clothes Children]],Table_NFI[Winter Clothes Children])</f>
        <v>0</v>
      </c>
      <c r="AK145" s="378">
        <f>IF(NFI_Expiration=1,IF($A145&lt;VLOOKUP(T$5,NFI,5,0),1,0)*Table_NFI[[#This Row],[Winter Items Other]],Table_NFI[Winter Items Other])</f>
        <v>0</v>
      </c>
      <c r="AL145" s="378">
        <f>IF(NFI_Expiration=1,IF($A145&lt;VLOOKUP(M$5,NFI,5,0),1,0)*Table_NFI[[#This Row],[Winter Blanket]],Table_NFI[[#This Row],[Winter Blanket]])</f>
        <v>0</v>
      </c>
      <c r="AM145" s="378">
        <f>IF(Table_NFI[[#This Row],[Winter Clothes Adult]]+Table_NFI[[#This Row],[Winter Clothes Children]]+Table_NFI[[#This Row],[Winter Items Other]]+Table_NFI[[#This Row],[Winter Blanket]]&gt;0,1,0)</f>
        <v>0</v>
      </c>
      <c r="AN145" s="418">
        <f>IF(NFI_Expiration=1,IF($A145&lt;VLOOKUP(V$5,NFI,5,0),1,0)*Table_NFI[[#This Row],[Jerry Can]],Table_NFI[Jerry Can])</f>
        <v>0</v>
      </c>
      <c r="AO145" s="579" t="str">
        <f>IFERROR(VLOOKUP(Table_NFI[[#This Row],[Camp Name]],CL,2,0),"")</f>
        <v>MMR001CMP028</v>
      </c>
      <c r="AP145" s="574">
        <f ca="1">IF(Table_NFI[[#This Row],[Pcode]]="","",IF(OFFSET(CampList[Opening Date],MATCH(Table_NFI[[#This Row],[Pcode]],CampList[CP_Pcode],0)-1,0,1,1)&gt;=NFI_Monitor_Date,1,0))</f>
        <v>0</v>
      </c>
      <c r="AQ145" s="579" t="str">
        <f>IFERROR(VLOOKUP(Table_NFI[[#This Row],[Camp Name]],CL,3,0),"")</f>
        <v>Open</v>
      </c>
      <c r="AR145" s="378" t="str">
        <f ca="1">IF(Table_NFI[[#This Row],[Pcode]]="","",OFFSET(CampList[Priority],MATCH(Table_NFI[[#This Row],[Pcode]],CampList[CP_Pcode],0)-1,0,1,1))</f>
        <v>P4</v>
      </c>
      <c r="AS145" s="377">
        <f>IFERROR(Table_NFI[[#This Row],[Kitchen Set]]/VLOOKUP(Table_NFI[[#This Row],[Camp Name]],CL,4,0),"")</f>
        <v>0.70707070707070707</v>
      </c>
      <c r="AT145" s="572" t="s">
        <v>1095</v>
      </c>
      <c r="AU145" s="575"/>
    </row>
    <row r="146" spans="1:47" s="130" customFormat="1" x14ac:dyDescent="0.25">
      <c r="A146" s="381">
        <f t="shared" si="2"/>
        <v>39.733333333333334</v>
      </c>
      <c r="B146" s="571">
        <v>41330</v>
      </c>
      <c r="C146" s="572" t="s">
        <v>903</v>
      </c>
      <c r="D146" s="573" t="s">
        <v>903</v>
      </c>
      <c r="E146" s="572" t="s">
        <v>380</v>
      </c>
      <c r="F146" s="572" t="s">
        <v>310</v>
      </c>
      <c r="G146" s="374" t="s">
        <v>313</v>
      </c>
      <c r="H146" s="375"/>
      <c r="I146" s="375"/>
      <c r="J146" s="375"/>
      <c r="K146" s="375"/>
      <c r="L146" s="376">
        <v>1</v>
      </c>
      <c r="M146" s="376"/>
      <c r="N146" s="376"/>
      <c r="O146" s="376"/>
      <c r="P146" s="378">
        <v>0</v>
      </c>
      <c r="Q146" s="378">
        <v>0</v>
      </c>
      <c r="R146" s="378"/>
      <c r="S146" s="378"/>
      <c r="T146" s="378"/>
      <c r="U146" s="378"/>
      <c r="V146" s="533"/>
      <c r="W146" s="378"/>
      <c r="X146" s="378"/>
      <c r="Y146" s="378">
        <f>IF(NFI_Expiration=1,IF($A146&lt;VLOOKUP(H$5,NFI,5,0),1,0)*Table_NFI[[#This Row],[Hygiene Kit]],Table_NFI[Hygiene Kit])</f>
        <v>0</v>
      </c>
      <c r="Z146" s="378">
        <f>IF(NFI_Expiration=1,IF($A146&lt;VLOOKUP(I$5,NFI,5,0),1,0)*Table_NFI[[#This Row],[NFI Core Kit]],Table_NFI[NFI Core Kit])</f>
        <v>0</v>
      </c>
      <c r="AA146" s="378">
        <f>IF(NFI_Expiration=1,IF($A146&lt;VLOOKUP(J$5,NFI,5,0),1,0)*Table_NFI[[#This Row],[Sanitary Kit]],Table_NFI[Sanitary Kit])</f>
        <v>0</v>
      </c>
      <c r="AB146" s="378">
        <f>IF(NFI_Expiration=1,IF($A146&lt;VLOOKUP(K$5,NFI,5,0),1,0)*Table_NFI[[#This Row],[Mosquito net]],Table_NFI[Mosquito net])</f>
        <v>0</v>
      </c>
      <c r="AC146" s="378">
        <f>IF(NFI_Expiration=1,IF($A146&lt;VLOOKUP(L$5,NFI,5,0),1,0)*Table_NFI[[#This Row],[Tarpaulin]],Table_NFI[[#This Row],[Tarpaulin]])</f>
        <v>0</v>
      </c>
      <c r="AD146" s="378">
        <f>IF(NFI_Expiration=1,IF($A146&lt;VLOOKUP(M$5,NFI,5,0),1,0)*Table_NFI[[#This Row],[Blanket]],Table_NFI[[#This Row],[Blanket]])</f>
        <v>0</v>
      </c>
      <c r="AE146" s="378">
        <f>IF(NFI_Expiration=1,IF($A146&lt;VLOOKUP(N$5,NFI,5,0),1,0)*Table_NFI[[#This Row],[Kitchen Set]],Table_NFI[Kitchen Set])</f>
        <v>0</v>
      </c>
      <c r="AF146" s="378">
        <f>IF(NFI_Expiration=1,IF($A146&lt;VLOOKUP(O$5,NFI,5,0),1,0)*Table_NFI[[#This Row],[Clothes Kit]],Table_NFI[Clothes Kit])</f>
        <v>0</v>
      </c>
      <c r="AG146" s="378">
        <f>IF(NFI_Expiration=1,IF($A146&lt;VLOOKUP(P$5,NFI,5,0),1,0)*Table_NFI[[#This Row],[Plastic Bucket]],Table_NFI[Plastic Bucket])</f>
        <v>0</v>
      </c>
      <c r="AH146" s="378">
        <f>IF(NFI_Expiration=1,IF($A146&lt;VLOOKUP(Q$5,NFI,5,0),1,0)*Table_NFI[[#This Row],[Plastic Mat]],Table_NFI[Plastic Mat])*IF(Table_NFI[[#This Row],[Distribution Date]]&gt;"2014-04-01",1,2.5)</f>
        <v>0</v>
      </c>
      <c r="AI146" s="378">
        <f>IF(NFI_Expiration=1,IF($A146&lt;VLOOKUP(R$5,NFI,5,0),1,0)*Table_NFI[[#This Row],[Winter Clothes Adult]],Table_NFI[Winter Clothes Adult])</f>
        <v>0</v>
      </c>
      <c r="AJ146" s="378">
        <f>IF(NFI_Expiration=1,IF($A146&lt;VLOOKUP(S$5,NFI,5,0),1,0)*Table_NFI[[#This Row],[Winter Clothes Children]],Table_NFI[Winter Clothes Children])</f>
        <v>0</v>
      </c>
      <c r="AK146" s="378">
        <f>IF(NFI_Expiration=1,IF($A146&lt;VLOOKUP(T$5,NFI,5,0),1,0)*Table_NFI[[#This Row],[Winter Items Other]],Table_NFI[Winter Items Other])</f>
        <v>0</v>
      </c>
      <c r="AL146" s="378">
        <f>IF(NFI_Expiration=1,IF($A146&lt;VLOOKUP(M$5,NFI,5,0),1,0)*Table_NFI[[#This Row],[Winter Blanket]],Table_NFI[[#This Row],[Winter Blanket]])</f>
        <v>0</v>
      </c>
      <c r="AM146" s="378">
        <f>IF(Table_NFI[[#This Row],[Winter Clothes Adult]]+Table_NFI[[#This Row],[Winter Clothes Children]]+Table_NFI[[#This Row],[Winter Items Other]]+Table_NFI[[#This Row],[Winter Blanket]]&gt;0,1,0)</f>
        <v>0</v>
      </c>
      <c r="AN146" s="418">
        <f>IF(NFI_Expiration=1,IF($A146&lt;VLOOKUP(V$5,NFI,5,0),1,0)*Table_NFI[[#This Row],[Jerry Can]],Table_NFI[Jerry Can])</f>
        <v>0</v>
      </c>
      <c r="AO146" s="579" t="str">
        <f>IFERROR(VLOOKUP(Table_NFI[[#This Row],[Camp Name]],CL,2,0),"")</f>
        <v>MMR001CMP028</v>
      </c>
      <c r="AP146" s="574">
        <f ca="1">IF(Table_NFI[[#This Row],[Pcode]]="","",IF(OFFSET(CampList[Opening Date],MATCH(Table_NFI[[#This Row],[Pcode]],CampList[CP_Pcode],0)-1,0,1,1)&gt;=NFI_Monitor_Date,1,0))</f>
        <v>0</v>
      </c>
      <c r="AQ146" s="579" t="str">
        <f>IFERROR(VLOOKUP(Table_NFI[[#This Row],[Camp Name]],CL,3,0),"")</f>
        <v>Open</v>
      </c>
      <c r="AR146" s="378" t="str">
        <f ca="1">IF(Table_NFI[[#This Row],[Pcode]]="","",OFFSET(CampList[Priority],MATCH(Table_NFI[[#This Row],[Pcode]],CampList[CP_Pcode],0)-1,0,1,1))</f>
        <v>P4</v>
      </c>
      <c r="AS146" s="377">
        <f>IFERROR(Table_NFI[[#This Row],[Kitchen Set]]/VLOOKUP(Table_NFI[[#This Row],[Camp Name]],CL,4,0),"")</f>
        <v>0</v>
      </c>
      <c r="AT146" s="572" t="s">
        <v>1095</v>
      </c>
      <c r="AU146" s="575"/>
    </row>
    <row r="147" spans="1:47" s="130" customFormat="1" x14ac:dyDescent="0.25">
      <c r="A147" s="381">
        <f t="shared" si="2"/>
        <v>40.56666666666667</v>
      </c>
      <c r="B147" s="571">
        <v>41305</v>
      </c>
      <c r="C147" s="572" t="s">
        <v>571</v>
      </c>
      <c r="D147" s="573" t="s">
        <v>571</v>
      </c>
      <c r="E147" s="572" t="s">
        <v>380</v>
      </c>
      <c r="F147" s="572" t="s">
        <v>310</v>
      </c>
      <c r="G147" s="374" t="s">
        <v>313</v>
      </c>
      <c r="H147" s="375"/>
      <c r="I147" s="375"/>
      <c r="J147" s="375"/>
      <c r="K147" s="375"/>
      <c r="L147" s="376"/>
      <c r="M147" s="376">
        <v>256</v>
      </c>
      <c r="N147" s="376"/>
      <c r="O147" s="376"/>
      <c r="P147" s="378">
        <v>0</v>
      </c>
      <c r="Q147" s="378">
        <v>0</v>
      </c>
      <c r="R147" s="378"/>
      <c r="S147" s="378"/>
      <c r="T147" s="378"/>
      <c r="U147" s="378"/>
      <c r="V147" s="533"/>
      <c r="W147" s="378"/>
      <c r="X147" s="378"/>
      <c r="Y147" s="378">
        <f>IF(NFI_Expiration=1,IF($A147&lt;VLOOKUP(H$5,NFI,5,0),1,0)*Table_NFI[[#This Row],[Hygiene Kit]],Table_NFI[Hygiene Kit])</f>
        <v>0</v>
      </c>
      <c r="Z147" s="378">
        <f>IF(NFI_Expiration=1,IF($A147&lt;VLOOKUP(I$5,NFI,5,0),1,0)*Table_NFI[[#This Row],[NFI Core Kit]],Table_NFI[NFI Core Kit])</f>
        <v>0</v>
      </c>
      <c r="AA147" s="378">
        <f>IF(NFI_Expiration=1,IF($A147&lt;VLOOKUP(J$5,NFI,5,0),1,0)*Table_NFI[[#This Row],[Sanitary Kit]],Table_NFI[Sanitary Kit])</f>
        <v>0</v>
      </c>
      <c r="AB147" s="378">
        <f>IF(NFI_Expiration=1,IF($A147&lt;VLOOKUP(K$5,NFI,5,0),1,0)*Table_NFI[[#This Row],[Mosquito net]],Table_NFI[Mosquito net])</f>
        <v>0</v>
      </c>
      <c r="AC147" s="378">
        <f>IF(NFI_Expiration=1,IF($A147&lt;VLOOKUP(L$5,NFI,5,0),1,0)*Table_NFI[[#This Row],[Tarpaulin]],Table_NFI[[#This Row],[Tarpaulin]])</f>
        <v>0</v>
      </c>
      <c r="AD147" s="378">
        <f>IF(NFI_Expiration=1,IF($A147&lt;VLOOKUP(M$5,NFI,5,0),1,0)*Table_NFI[[#This Row],[Blanket]],Table_NFI[[#This Row],[Blanket]])</f>
        <v>0</v>
      </c>
      <c r="AE147" s="378">
        <f>IF(NFI_Expiration=1,IF($A147&lt;VLOOKUP(N$5,NFI,5,0),1,0)*Table_NFI[[#This Row],[Kitchen Set]],Table_NFI[Kitchen Set])</f>
        <v>0</v>
      </c>
      <c r="AF147" s="378">
        <f>IF(NFI_Expiration=1,IF($A147&lt;VLOOKUP(O$5,NFI,5,0),1,0)*Table_NFI[[#This Row],[Clothes Kit]],Table_NFI[Clothes Kit])</f>
        <v>0</v>
      </c>
      <c r="AG147" s="378">
        <f>IF(NFI_Expiration=1,IF($A147&lt;VLOOKUP(P$5,NFI,5,0),1,0)*Table_NFI[[#This Row],[Plastic Bucket]],Table_NFI[Plastic Bucket])</f>
        <v>0</v>
      </c>
      <c r="AH147" s="378">
        <f>IF(NFI_Expiration=1,IF($A147&lt;VLOOKUP(Q$5,NFI,5,0),1,0)*Table_NFI[[#This Row],[Plastic Mat]],Table_NFI[Plastic Mat])*IF(Table_NFI[[#This Row],[Distribution Date]]&gt;"2014-04-01",1,2.5)</f>
        <v>0</v>
      </c>
      <c r="AI147" s="378">
        <f>IF(NFI_Expiration=1,IF($A147&lt;VLOOKUP(R$5,NFI,5,0),1,0)*Table_NFI[[#This Row],[Winter Clothes Adult]],Table_NFI[Winter Clothes Adult])</f>
        <v>0</v>
      </c>
      <c r="AJ147" s="378">
        <f>IF(NFI_Expiration=1,IF($A147&lt;VLOOKUP(S$5,NFI,5,0),1,0)*Table_NFI[[#This Row],[Winter Clothes Children]],Table_NFI[Winter Clothes Children])</f>
        <v>0</v>
      </c>
      <c r="AK147" s="378">
        <f>IF(NFI_Expiration=1,IF($A147&lt;VLOOKUP(T$5,NFI,5,0),1,0)*Table_NFI[[#This Row],[Winter Items Other]],Table_NFI[Winter Items Other])</f>
        <v>0</v>
      </c>
      <c r="AL147" s="378">
        <f>IF(NFI_Expiration=1,IF($A147&lt;VLOOKUP(M$5,NFI,5,0),1,0)*Table_NFI[[#This Row],[Winter Blanket]],Table_NFI[[#This Row],[Winter Blanket]])</f>
        <v>0</v>
      </c>
      <c r="AM147" s="378">
        <f>IF(Table_NFI[[#This Row],[Winter Clothes Adult]]+Table_NFI[[#This Row],[Winter Clothes Children]]+Table_NFI[[#This Row],[Winter Items Other]]+Table_NFI[[#This Row],[Winter Blanket]]&gt;0,1,0)</f>
        <v>0</v>
      </c>
      <c r="AN147" s="418">
        <f>IF(NFI_Expiration=1,IF($A147&lt;VLOOKUP(V$5,NFI,5,0),1,0)*Table_NFI[[#This Row],[Jerry Can]],Table_NFI[Jerry Can])</f>
        <v>0</v>
      </c>
      <c r="AO147" s="579" t="str">
        <f>IFERROR(VLOOKUP(Table_NFI[[#This Row],[Camp Name]],CL,2,0),"")</f>
        <v>MMR001CMP028</v>
      </c>
      <c r="AP147" s="574">
        <f ca="1">IF(Table_NFI[[#This Row],[Pcode]]="","",IF(OFFSET(CampList[Opening Date],MATCH(Table_NFI[[#This Row],[Pcode]],CampList[CP_Pcode],0)-1,0,1,1)&gt;=NFI_Monitor_Date,1,0))</f>
        <v>0</v>
      </c>
      <c r="AQ147" s="579" t="str">
        <f>IFERROR(VLOOKUP(Table_NFI[[#This Row],[Camp Name]],CL,3,0),"")</f>
        <v>Open</v>
      </c>
      <c r="AR147" s="378" t="str">
        <f ca="1">IF(Table_NFI[[#This Row],[Pcode]]="","",OFFSET(CampList[Priority],MATCH(Table_NFI[[#This Row],[Pcode]],CampList[CP_Pcode],0)-1,0,1,1))</f>
        <v>P4</v>
      </c>
      <c r="AS147" s="377">
        <f>IFERROR(Table_NFI[[#This Row],[Kitchen Set]]/VLOOKUP(Table_NFI[[#This Row],[Camp Name]],CL,4,0),"")</f>
        <v>0</v>
      </c>
      <c r="AT147" s="572" t="s">
        <v>1095</v>
      </c>
      <c r="AU147" s="575"/>
    </row>
    <row r="148" spans="1:47" s="130" customFormat="1" x14ac:dyDescent="0.25">
      <c r="A148" s="381">
        <f t="shared" si="2"/>
        <v>41.6</v>
      </c>
      <c r="B148" s="571">
        <v>41274</v>
      </c>
      <c r="C148" s="572" t="s">
        <v>455</v>
      </c>
      <c r="D148" s="573" t="s">
        <v>455</v>
      </c>
      <c r="E148" s="572" t="s">
        <v>380</v>
      </c>
      <c r="F148" s="572" t="s">
        <v>310</v>
      </c>
      <c r="G148" s="374" t="s">
        <v>313</v>
      </c>
      <c r="H148" s="375">
        <v>136</v>
      </c>
      <c r="I148" s="375"/>
      <c r="J148" s="375"/>
      <c r="K148" s="375"/>
      <c r="L148" s="376"/>
      <c r="M148" s="376"/>
      <c r="N148" s="376"/>
      <c r="O148" s="376"/>
      <c r="P148" s="378">
        <v>0</v>
      </c>
      <c r="Q148" s="378">
        <v>0</v>
      </c>
      <c r="R148" s="378"/>
      <c r="S148" s="378"/>
      <c r="T148" s="378"/>
      <c r="U148" s="378"/>
      <c r="V148" s="533"/>
      <c r="W148" s="378"/>
      <c r="X148" s="378"/>
      <c r="Y148" s="378">
        <f>IF(NFI_Expiration=1,IF($A148&lt;VLOOKUP(H$5,NFI,5,0),1,0)*Table_NFI[[#This Row],[Hygiene Kit]],Table_NFI[Hygiene Kit])</f>
        <v>0</v>
      </c>
      <c r="Z148" s="378">
        <f>IF(NFI_Expiration=1,IF($A148&lt;VLOOKUP(I$5,NFI,5,0),1,0)*Table_NFI[[#This Row],[NFI Core Kit]],Table_NFI[NFI Core Kit])</f>
        <v>0</v>
      </c>
      <c r="AA148" s="378">
        <f>IF(NFI_Expiration=1,IF($A148&lt;VLOOKUP(J$5,NFI,5,0),1,0)*Table_NFI[[#This Row],[Sanitary Kit]],Table_NFI[Sanitary Kit])</f>
        <v>0</v>
      </c>
      <c r="AB148" s="378">
        <f>IF(NFI_Expiration=1,IF($A148&lt;VLOOKUP(K$5,NFI,5,0),1,0)*Table_NFI[[#This Row],[Mosquito net]],Table_NFI[Mosquito net])</f>
        <v>0</v>
      </c>
      <c r="AC148" s="378">
        <f>IF(NFI_Expiration=1,IF($A148&lt;VLOOKUP(L$5,NFI,5,0),1,0)*Table_NFI[[#This Row],[Tarpaulin]],Table_NFI[[#This Row],[Tarpaulin]])</f>
        <v>0</v>
      </c>
      <c r="AD148" s="378">
        <f>IF(NFI_Expiration=1,IF($A148&lt;VLOOKUP(M$5,NFI,5,0),1,0)*Table_NFI[[#This Row],[Blanket]],Table_NFI[[#This Row],[Blanket]])</f>
        <v>0</v>
      </c>
      <c r="AE148" s="378">
        <f>IF(NFI_Expiration=1,IF($A148&lt;VLOOKUP(N$5,NFI,5,0),1,0)*Table_NFI[[#This Row],[Kitchen Set]],Table_NFI[Kitchen Set])</f>
        <v>0</v>
      </c>
      <c r="AF148" s="378">
        <f>IF(NFI_Expiration=1,IF($A148&lt;VLOOKUP(O$5,NFI,5,0),1,0)*Table_NFI[[#This Row],[Clothes Kit]],Table_NFI[Clothes Kit])</f>
        <v>0</v>
      </c>
      <c r="AG148" s="378">
        <f>IF(NFI_Expiration=1,IF($A148&lt;VLOOKUP(P$5,NFI,5,0),1,0)*Table_NFI[[#This Row],[Plastic Bucket]],Table_NFI[Plastic Bucket])</f>
        <v>0</v>
      </c>
      <c r="AH148" s="378">
        <f>IF(NFI_Expiration=1,IF($A148&lt;VLOOKUP(Q$5,NFI,5,0),1,0)*Table_NFI[[#This Row],[Plastic Mat]],Table_NFI[Plastic Mat])*IF(Table_NFI[[#This Row],[Distribution Date]]&gt;"2014-04-01",1,2.5)</f>
        <v>0</v>
      </c>
      <c r="AI148" s="378">
        <f>IF(NFI_Expiration=1,IF($A148&lt;VLOOKUP(R$5,NFI,5,0),1,0)*Table_NFI[[#This Row],[Winter Clothes Adult]],Table_NFI[Winter Clothes Adult])</f>
        <v>0</v>
      </c>
      <c r="AJ148" s="378">
        <f>IF(NFI_Expiration=1,IF($A148&lt;VLOOKUP(S$5,NFI,5,0),1,0)*Table_NFI[[#This Row],[Winter Clothes Children]],Table_NFI[Winter Clothes Children])</f>
        <v>0</v>
      </c>
      <c r="AK148" s="378">
        <f>IF(NFI_Expiration=1,IF($A148&lt;VLOOKUP(T$5,NFI,5,0),1,0)*Table_NFI[[#This Row],[Winter Items Other]],Table_NFI[Winter Items Other])</f>
        <v>0</v>
      </c>
      <c r="AL148" s="378">
        <f>IF(NFI_Expiration=1,IF($A148&lt;VLOOKUP(M$5,NFI,5,0),1,0)*Table_NFI[[#This Row],[Winter Blanket]],Table_NFI[[#This Row],[Winter Blanket]])</f>
        <v>0</v>
      </c>
      <c r="AM148" s="378">
        <f>IF(Table_NFI[[#This Row],[Winter Clothes Adult]]+Table_NFI[[#This Row],[Winter Clothes Children]]+Table_NFI[[#This Row],[Winter Items Other]]+Table_NFI[[#This Row],[Winter Blanket]]&gt;0,1,0)</f>
        <v>0</v>
      </c>
      <c r="AN148" s="418">
        <f>IF(NFI_Expiration=1,IF($A148&lt;VLOOKUP(V$5,NFI,5,0),1,0)*Table_NFI[[#This Row],[Jerry Can]],Table_NFI[Jerry Can])</f>
        <v>0</v>
      </c>
      <c r="AO148" s="579" t="str">
        <f>IFERROR(VLOOKUP(Table_NFI[[#This Row],[Camp Name]],CL,2,0),"")</f>
        <v>MMR001CMP028</v>
      </c>
      <c r="AP148" s="574">
        <f ca="1">IF(Table_NFI[[#This Row],[Pcode]]="","",IF(OFFSET(CampList[Opening Date],MATCH(Table_NFI[[#This Row],[Pcode]],CampList[CP_Pcode],0)-1,0,1,1)&gt;=NFI_Monitor_Date,1,0))</f>
        <v>0</v>
      </c>
      <c r="AQ148" s="579" t="str">
        <f>IFERROR(VLOOKUP(Table_NFI[[#This Row],[Camp Name]],CL,3,0),"")</f>
        <v>Open</v>
      </c>
      <c r="AR148" s="378" t="str">
        <f ca="1">IF(Table_NFI[[#This Row],[Pcode]]="","",OFFSET(CampList[Priority],MATCH(Table_NFI[[#This Row],[Pcode]],CampList[CP_Pcode],0)-1,0,1,1))</f>
        <v>P4</v>
      </c>
      <c r="AS148" s="377">
        <f>IFERROR(Table_NFI[[#This Row],[Kitchen Set]]/VLOOKUP(Table_NFI[[#This Row],[Camp Name]],CL,4,0),"")</f>
        <v>0</v>
      </c>
      <c r="AT148" s="572" t="s">
        <v>1095</v>
      </c>
      <c r="AU148" s="575"/>
    </row>
    <row r="149" spans="1:47" s="130" customFormat="1" x14ac:dyDescent="0.25">
      <c r="A149" s="381">
        <f t="shared" si="2"/>
        <v>47.3</v>
      </c>
      <c r="B149" s="571">
        <v>41103</v>
      </c>
      <c r="C149" s="572" t="s">
        <v>454</v>
      </c>
      <c r="D149" s="572" t="s">
        <v>454</v>
      </c>
      <c r="E149" s="572" t="s">
        <v>380</v>
      </c>
      <c r="F149" s="572" t="s">
        <v>310</v>
      </c>
      <c r="G149" s="374" t="s">
        <v>313</v>
      </c>
      <c r="H149" s="375"/>
      <c r="I149" s="375"/>
      <c r="J149" s="375"/>
      <c r="K149" s="375">
        <v>9</v>
      </c>
      <c r="L149" s="376">
        <v>9</v>
      </c>
      <c r="M149" s="376">
        <v>9</v>
      </c>
      <c r="N149" s="376">
        <v>9</v>
      </c>
      <c r="O149" s="376">
        <v>9</v>
      </c>
      <c r="P149" s="378">
        <v>9</v>
      </c>
      <c r="Q149" s="378">
        <v>9</v>
      </c>
      <c r="R149" s="378"/>
      <c r="S149" s="378"/>
      <c r="T149" s="378"/>
      <c r="U149" s="378"/>
      <c r="V149" s="533"/>
      <c r="W149" s="378"/>
      <c r="X149" s="378"/>
      <c r="Y149" s="378">
        <f>IF(NFI_Expiration=1,IF($A149&lt;VLOOKUP(H$5,NFI,5,0),1,0)*Table_NFI[[#This Row],[Hygiene Kit]],Table_NFI[Hygiene Kit])</f>
        <v>0</v>
      </c>
      <c r="Z149" s="378">
        <f>IF(NFI_Expiration=1,IF($A149&lt;VLOOKUP(I$5,NFI,5,0),1,0)*Table_NFI[[#This Row],[NFI Core Kit]],Table_NFI[NFI Core Kit])</f>
        <v>0</v>
      </c>
      <c r="AA149" s="378">
        <f>IF(NFI_Expiration=1,IF($A149&lt;VLOOKUP(J$5,NFI,5,0),1,0)*Table_NFI[[#This Row],[Sanitary Kit]],Table_NFI[Sanitary Kit])</f>
        <v>0</v>
      </c>
      <c r="AB149" s="378">
        <f>IF(NFI_Expiration=1,IF($A149&lt;VLOOKUP(K$5,NFI,5,0),1,0)*Table_NFI[[#This Row],[Mosquito net]],Table_NFI[Mosquito net])</f>
        <v>0</v>
      </c>
      <c r="AC149" s="378">
        <f>IF(NFI_Expiration=1,IF($A149&lt;VLOOKUP(L$5,NFI,5,0),1,0)*Table_NFI[[#This Row],[Tarpaulin]],Table_NFI[[#This Row],[Tarpaulin]])</f>
        <v>0</v>
      </c>
      <c r="AD149" s="378">
        <f>IF(NFI_Expiration=1,IF($A149&lt;VLOOKUP(M$5,NFI,5,0),1,0)*Table_NFI[[#This Row],[Blanket]],Table_NFI[[#This Row],[Blanket]])</f>
        <v>0</v>
      </c>
      <c r="AE149" s="378">
        <f>IF(NFI_Expiration=1,IF($A149&lt;VLOOKUP(N$5,NFI,5,0),1,0)*Table_NFI[[#This Row],[Kitchen Set]],Table_NFI[Kitchen Set])</f>
        <v>0</v>
      </c>
      <c r="AF149" s="378">
        <f>IF(NFI_Expiration=1,IF($A149&lt;VLOOKUP(O$5,NFI,5,0),1,0)*Table_NFI[[#This Row],[Clothes Kit]],Table_NFI[Clothes Kit])</f>
        <v>0</v>
      </c>
      <c r="AG149" s="378">
        <f>IF(NFI_Expiration=1,IF($A149&lt;VLOOKUP(P$5,NFI,5,0),1,0)*Table_NFI[[#This Row],[Plastic Bucket]],Table_NFI[Plastic Bucket])</f>
        <v>0</v>
      </c>
      <c r="AH149" s="378">
        <f>IF(NFI_Expiration=1,IF($A149&lt;VLOOKUP(Q$5,NFI,5,0),1,0)*Table_NFI[[#This Row],[Plastic Mat]],Table_NFI[Plastic Mat])*IF(Table_NFI[[#This Row],[Distribution Date]]&gt;"2014-04-01",1,2.5)</f>
        <v>0</v>
      </c>
      <c r="AI149" s="378">
        <f>IF(NFI_Expiration=1,IF($A149&lt;VLOOKUP(R$5,NFI,5,0),1,0)*Table_NFI[[#This Row],[Winter Clothes Adult]],Table_NFI[Winter Clothes Adult])</f>
        <v>0</v>
      </c>
      <c r="AJ149" s="378">
        <f>IF(NFI_Expiration=1,IF($A149&lt;VLOOKUP(S$5,NFI,5,0),1,0)*Table_NFI[[#This Row],[Winter Clothes Children]],Table_NFI[Winter Clothes Children])</f>
        <v>0</v>
      </c>
      <c r="AK149" s="378">
        <f>IF(NFI_Expiration=1,IF($A149&lt;VLOOKUP(T$5,NFI,5,0),1,0)*Table_NFI[[#This Row],[Winter Items Other]],Table_NFI[Winter Items Other])</f>
        <v>0</v>
      </c>
      <c r="AL149" s="378">
        <f>IF(NFI_Expiration=1,IF($A149&lt;VLOOKUP(M$5,NFI,5,0),1,0)*Table_NFI[[#This Row],[Winter Blanket]],Table_NFI[[#This Row],[Winter Blanket]])</f>
        <v>0</v>
      </c>
      <c r="AM149" s="378">
        <f>IF(Table_NFI[[#This Row],[Winter Clothes Adult]]+Table_NFI[[#This Row],[Winter Clothes Children]]+Table_NFI[[#This Row],[Winter Items Other]]+Table_NFI[[#This Row],[Winter Blanket]]&gt;0,1,0)</f>
        <v>0</v>
      </c>
      <c r="AN149" s="418">
        <f>IF(NFI_Expiration=1,IF($A149&lt;VLOOKUP(V$5,NFI,5,0),1,0)*Table_NFI[[#This Row],[Jerry Can]],Table_NFI[Jerry Can])</f>
        <v>0</v>
      </c>
      <c r="AO149" s="579" t="str">
        <f>IFERROR(VLOOKUP(Table_NFI[[#This Row],[Camp Name]],CL,2,0),"")</f>
        <v>MMR001CMP028</v>
      </c>
      <c r="AP149" s="574">
        <f ca="1">IF(Table_NFI[[#This Row],[Pcode]]="","",IF(OFFSET(CampList[Opening Date],MATCH(Table_NFI[[#This Row],[Pcode]],CampList[CP_Pcode],0)-1,0,1,1)&gt;=NFI_Monitor_Date,1,0))</f>
        <v>0</v>
      </c>
      <c r="AQ149" s="579" t="str">
        <f>IFERROR(VLOOKUP(Table_NFI[[#This Row],[Camp Name]],CL,3,0),"")</f>
        <v>Open</v>
      </c>
      <c r="AR149" s="378" t="str">
        <f ca="1">IF(Table_NFI[[#This Row],[Pcode]]="","",OFFSET(CampList[Priority],MATCH(Table_NFI[[#This Row],[Pcode]],CampList[CP_Pcode],0)-1,0,1,1))</f>
        <v>P4</v>
      </c>
      <c r="AS149" s="377">
        <f>IFERROR(Table_NFI[[#This Row],[Kitchen Set]]/VLOOKUP(Table_NFI[[#This Row],[Camp Name]],CL,4,0),"")</f>
        <v>9.0909090909090912E-2</v>
      </c>
      <c r="AT149" s="572" t="s">
        <v>1095</v>
      </c>
      <c r="AU149" s="575"/>
    </row>
    <row r="150" spans="1:47" s="130" customFormat="1" x14ac:dyDescent="0.25">
      <c r="A150" s="381">
        <f t="shared" si="2"/>
        <v>53.9</v>
      </c>
      <c r="B150" s="571">
        <v>40905</v>
      </c>
      <c r="C150" s="572" t="s">
        <v>454</v>
      </c>
      <c r="D150" s="572" t="s">
        <v>906</v>
      </c>
      <c r="E150" s="572" t="s">
        <v>380</v>
      </c>
      <c r="F150" s="572" t="s">
        <v>310</v>
      </c>
      <c r="G150" s="374" t="s">
        <v>313</v>
      </c>
      <c r="H150" s="375"/>
      <c r="I150" s="375"/>
      <c r="J150" s="375"/>
      <c r="K150" s="375">
        <v>31</v>
      </c>
      <c r="L150" s="376">
        <v>19</v>
      </c>
      <c r="M150" s="376">
        <v>31</v>
      </c>
      <c r="N150" s="376">
        <v>19</v>
      </c>
      <c r="O150" s="376">
        <v>19</v>
      </c>
      <c r="P150" s="378">
        <v>19</v>
      </c>
      <c r="Q150" s="378">
        <v>19</v>
      </c>
      <c r="R150" s="378"/>
      <c r="S150" s="378"/>
      <c r="T150" s="378"/>
      <c r="U150" s="378"/>
      <c r="V150" s="533"/>
      <c r="W150" s="378"/>
      <c r="X150" s="378"/>
      <c r="Y150" s="378">
        <f>IF(NFI_Expiration=1,IF($A150&lt;VLOOKUP(H$5,NFI,5,0),1,0)*Table_NFI[[#This Row],[Hygiene Kit]],Table_NFI[Hygiene Kit])</f>
        <v>0</v>
      </c>
      <c r="Z150" s="378">
        <f>IF(NFI_Expiration=1,IF($A150&lt;VLOOKUP(I$5,NFI,5,0),1,0)*Table_NFI[[#This Row],[NFI Core Kit]],Table_NFI[NFI Core Kit])</f>
        <v>0</v>
      </c>
      <c r="AA150" s="378">
        <f>IF(NFI_Expiration=1,IF($A150&lt;VLOOKUP(J$5,NFI,5,0),1,0)*Table_NFI[[#This Row],[Sanitary Kit]],Table_NFI[Sanitary Kit])</f>
        <v>0</v>
      </c>
      <c r="AB150" s="378">
        <f>IF(NFI_Expiration=1,IF($A150&lt;VLOOKUP(K$5,NFI,5,0),1,0)*Table_NFI[[#This Row],[Mosquito net]],Table_NFI[Mosquito net])</f>
        <v>0</v>
      </c>
      <c r="AC150" s="378">
        <f>IF(NFI_Expiration=1,IF($A150&lt;VLOOKUP(L$5,NFI,5,0),1,0)*Table_NFI[[#This Row],[Tarpaulin]],Table_NFI[[#This Row],[Tarpaulin]])</f>
        <v>0</v>
      </c>
      <c r="AD150" s="378">
        <f>IF(NFI_Expiration=1,IF($A150&lt;VLOOKUP(M$5,NFI,5,0),1,0)*Table_NFI[[#This Row],[Blanket]],Table_NFI[[#This Row],[Blanket]])</f>
        <v>0</v>
      </c>
      <c r="AE150" s="378">
        <f>IF(NFI_Expiration=1,IF($A150&lt;VLOOKUP(N$5,NFI,5,0),1,0)*Table_NFI[[#This Row],[Kitchen Set]],Table_NFI[Kitchen Set])</f>
        <v>0</v>
      </c>
      <c r="AF150" s="378">
        <f>IF(NFI_Expiration=1,IF($A150&lt;VLOOKUP(O$5,NFI,5,0),1,0)*Table_NFI[[#This Row],[Clothes Kit]],Table_NFI[Clothes Kit])</f>
        <v>0</v>
      </c>
      <c r="AG150" s="378">
        <f>IF(NFI_Expiration=1,IF($A150&lt;VLOOKUP(P$5,NFI,5,0),1,0)*Table_NFI[[#This Row],[Plastic Bucket]],Table_NFI[Plastic Bucket])</f>
        <v>0</v>
      </c>
      <c r="AH150" s="378">
        <f>IF(NFI_Expiration=1,IF($A150&lt;VLOOKUP(Q$5,NFI,5,0),1,0)*Table_NFI[[#This Row],[Plastic Mat]],Table_NFI[Plastic Mat])*IF(Table_NFI[[#This Row],[Distribution Date]]&gt;"2014-04-01",1,2.5)</f>
        <v>0</v>
      </c>
      <c r="AI150" s="378">
        <f>IF(NFI_Expiration=1,IF($A150&lt;VLOOKUP(R$5,NFI,5,0),1,0)*Table_NFI[[#This Row],[Winter Clothes Adult]],Table_NFI[Winter Clothes Adult])</f>
        <v>0</v>
      </c>
      <c r="AJ150" s="378">
        <f>IF(NFI_Expiration=1,IF($A150&lt;VLOOKUP(S$5,NFI,5,0),1,0)*Table_NFI[[#This Row],[Winter Clothes Children]],Table_NFI[Winter Clothes Children])</f>
        <v>0</v>
      </c>
      <c r="AK150" s="378">
        <f>IF(NFI_Expiration=1,IF($A150&lt;VLOOKUP(T$5,NFI,5,0),1,0)*Table_NFI[[#This Row],[Winter Items Other]],Table_NFI[Winter Items Other])</f>
        <v>0</v>
      </c>
      <c r="AL150" s="378">
        <f>IF(NFI_Expiration=1,IF($A150&lt;VLOOKUP(M$5,NFI,5,0),1,0)*Table_NFI[[#This Row],[Winter Blanket]],Table_NFI[[#This Row],[Winter Blanket]])</f>
        <v>0</v>
      </c>
      <c r="AM150" s="378">
        <f>IF(Table_NFI[[#This Row],[Winter Clothes Adult]]+Table_NFI[[#This Row],[Winter Clothes Children]]+Table_NFI[[#This Row],[Winter Items Other]]+Table_NFI[[#This Row],[Winter Blanket]]&gt;0,1,0)</f>
        <v>0</v>
      </c>
      <c r="AN150" s="418">
        <f>IF(NFI_Expiration=1,IF($A150&lt;VLOOKUP(V$5,NFI,5,0),1,0)*Table_NFI[[#This Row],[Jerry Can]],Table_NFI[Jerry Can])</f>
        <v>0</v>
      </c>
      <c r="AO150" s="579" t="str">
        <f>IFERROR(VLOOKUP(Table_NFI[[#This Row],[Camp Name]],CL,2,0),"")</f>
        <v>MMR001CMP028</v>
      </c>
      <c r="AP150" s="574">
        <f ca="1">IF(Table_NFI[[#This Row],[Pcode]]="","",IF(OFFSET(CampList[Opening Date],MATCH(Table_NFI[[#This Row],[Pcode]],CampList[CP_Pcode],0)-1,0,1,1)&gt;=NFI_Monitor_Date,1,0))</f>
        <v>0</v>
      </c>
      <c r="AQ150" s="579" t="str">
        <f>IFERROR(VLOOKUP(Table_NFI[[#This Row],[Camp Name]],CL,3,0),"")</f>
        <v>Open</v>
      </c>
      <c r="AR150" s="378" t="str">
        <f ca="1">IF(Table_NFI[[#This Row],[Pcode]]="","",OFFSET(CampList[Priority],MATCH(Table_NFI[[#This Row],[Pcode]],CampList[CP_Pcode],0)-1,0,1,1))</f>
        <v>P4</v>
      </c>
      <c r="AS150" s="377">
        <f>IFERROR(Table_NFI[[#This Row],[Kitchen Set]]/VLOOKUP(Table_NFI[[#This Row],[Camp Name]],CL,4,0),"")</f>
        <v>0.19191919191919191</v>
      </c>
      <c r="AT150" s="572" t="s">
        <v>1095</v>
      </c>
      <c r="AU150" s="575"/>
    </row>
    <row r="151" spans="1:47" s="130" customFormat="1" x14ac:dyDescent="0.25">
      <c r="A151" s="381">
        <f t="shared" si="2"/>
        <v>17.666666666666668</v>
      </c>
      <c r="B151" s="571">
        <v>41992</v>
      </c>
      <c r="C151" s="572" t="s">
        <v>454</v>
      </c>
      <c r="D151" s="572" t="s">
        <v>462</v>
      </c>
      <c r="E151" s="572" t="s">
        <v>380</v>
      </c>
      <c r="F151" s="572" t="s">
        <v>310</v>
      </c>
      <c r="G151" s="572" t="s">
        <v>336</v>
      </c>
      <c r="H151" s="375"/>
      <c r="I151" s="375"/>
      <c r="J151" s="375"/>
      <c r="K151" s="375"/>
      <c r="L151" s="376"/>
      <c r="M151" s="376"/>
      <c r="N151" s="376"/>
      <c r="O151" s="376"/>
      <c r="P151" s="378"/>
      <c r="Q151" s="378"/>
      <c r="R151" s="378">
        <v>364</v>
      </c>
      <c r="S151" s="378">
        <v>543</v>
      </c>
      <c r="T151" s="378"/>
      <c r="U151" s="378">
        <v>362</v>
      </c>
      <c r="V151" s="533"/>
      <c r="W151" s="378"/>
      <c r="X151" s="378"/>
      <c r="Y151" s="378">
        <f>IF(NFI_Expiration=1,IF($A151&lt;VLOOKUP(H$5,NFI,5,0),1,0)*Table_NFI[[#This Row],[Hygiene Kit]],Table_NFI[Hygiene Kit])</f>
        <v>0</v>
      </c>
      <c r="Z151" s="378">
        <f>IF(NFI_Expiration=1,IF($A151&lt;VLOOKUP(I$5,NFI,5,0),1,0)*Table_NFI[[#This Row],[NFI Core Kit]],Table_NFI[NFI Core Kit])</f>
        <v>0</v>
      </c>
      <c r="AA151" s="378">
        <f>IF(NFI_Expiration=1,IF($A151&lt;VLOOKUP(J$5,NFI,5,0),1,0)*Table_NFI[[#This Row],[Sanitary Kit]],Table_NFI[Sanitary Kit])</f>
        <v>0</v>
      </c>
      <c r="AB151" s="378">
        <f>IF(NFI_Expiration=1,IF($A151&lt;VLOOKUP(K$5,NFI,5,0),1,0)*Table_NFI[[#This Row],[Mosquito net]],Table_NFI[Mosquito net])</f>
        <v>0</v>
      </c>
      <c r="AC151" s="378">
        <f>IF(NFI_Expiration=1,IF($A151&lt;VLOOKUP(L$5,NFI,5,0),1,0)*Table_NFI[[#This Row],[Tarpaulin]],Table_NFI[[#This Row],[Tarpaulin]])</f>
        <v>0</v>
      </c>
      <c r="AD151" s="378">
        <f>IF(NFI_Expiration=1,IF($A151&lt;VLOOKUP(M$5,NFI,5,0),1,0)*Table_NFI[[#This Row],[Blanket]],Table_NFI[[#This Row],[Blanket]])</f>
        <v>0</v>
      </c>
      <c r="AE151" s="378">
        <f>IF(NFI_Expiration=1,IF($A151&lt;VLOOKUP(N$5,NFI,5,0),1,0)*Table_NFI[[#This Row],[Kitchen Set]],Table_NFI[Kitchen Set])</f>
        <v>0</v>
      </c>
      <c r="AF151" s="378">
        <f>IF(NFI_Expiration=1,IF($A151&lt;VLOOKUP(O$5,NFI,5,0),1,0)*Table_NFI[[#This Row],[Clothes Kit]],Table_NFI[Clothes Kit])</f>
        <v>0</v>
      </c>
      <c r="AG151" s="378">
        <f>IF(NFI_Expiration=1,IF($A151&lt;VLOOKUP(P$5,NFI,5,0),1,0)*Table_NFI[[#This Row],[Plastic Bucket]],Table_NFI[Plastic Bucket])</f>
        <v>0</v>
      </c>
      <c r="AH151" s="378">
        <f>IF(NFI_Expiration=1,IF($A151&lt;VLOOKUP(Q$5,NFI,5,0),1,0)*Table_NFI[[#This Row],[Plastic Mat]],Table_NFI[Plastic Mat])*IF(Table_NFI[[#This Row],[Distribution Date]]&gt;"2014-04-01",1,2.5)</f>
        <v>0</v>
      </c>
      <c r="AI151" s="378">
        <f>IF(NFI_Expiration=1,IF($A151&lt;VLOOKUP(R$5,NFI,5,0),1,0)*Table_NFI[[#This Row],[Winter Clothes Adult]],Table_NFI[Winter Clothes Adult])</f>
        <v>0</v>
      </c>
      <c r="AJ151" s="378">
        <f>IF(NFI_Expiration=1,IF($A151&lt;VLOOKUP(S$5,NFI,5,0),1,0)*Table_NFI[[#This Row],[Winter Clothes Children]],Table_NFI[Winter Clothes Children])</f>
        <v>0</v>
      </c>
      <c r="AK151" s="378">
        <f>IF(NFI_Expiration=1,IF($A151&lt;VLOOKUP(T$5,NFI,5,0),1,0)*Table_NFI[[#This Row],[Winter Items Other]],Table_NFI[Winter Items Other])</f>
        <v>0</v>
      </c>
      <c r="AL151" s="378">
        <f>IF(NFI_Expiration=1,IF($A151&lt;VLOOKUP(M$5,NFI,5,0),1,0)*Table_NFI[[#This Row],[Winter Blanket]],Table_NFI[[#This Row],[Winter Blanket]])</f>
        <v>0</v>
      </c>
      <c r="AM151" s="378">
        <f>IF(Table_NFI[[#This Row],[Winter Clothes Adult]]+Table_NFI[[#This Row],[Winter Clothes Children]]+Table_NFI[[#This Row],[Winter Items Other]]+Table_NFI[[#This Row],[Winter Blanket]]&gt;0,1,0)</f>
        <v>1</v>
      </c>
      <c r="AN151" s="418">
        <f>IF(NFI_Expiration=1,IF($A151&lt;VLOOKUP(V$5,NFI,5,0),1,0)*Table_NFI[[#This Row],[Jerry Can]],Table_NFI[Jerry Can])</f>
        <v>0</v>
      </c>
      <c r="AO151" s="579" t="str">
        <f>IFERROR(VLOOKUP(Table_NFI[[#This Row],[Camp Name]],CL,2,0),"")</f>
        <v>MMR001CMP115</v>
      </c>
      <c r="AP151" s="574">
        <f ca="1">IF(Table_NFI[[#This Row],[Pcode]]="","",IF(OFFSET(CampList[Opening Date],MATCH(Table_NFI[[#This Row],[Pcode]],CampList[CP_Pcode],0)-1,0,1,1)&gt;=NFI_Monitor_Date,1,0))</f>
        <v>0</v>
      </c>
      <c r="AQ151" s="579" t="str">
        <f>IFERROR(VLOOKUP(Table_NFI[[#This Row],[Camp Name]],CL,3,0),"")</f>
        <v>Open</v>
      </c>
      <c r="AR151" s="378" t="str">
        <f ca="1">IF(Table_NFI[[#This Row],[Pcode]]="","",OFFSET(CampList[Priority],MATCH(Table_NFI[[#This Row],[Pcode]],CampList[CP_Pcode],0)-1,0,1,1))</f>
        <v>P1</v>
      </c>
      <c r="AS151" s="377">
        <f>IFERROR(Table_NFI[[#This Row],[Kitchen Set]]/VLOOKUP(Table_NFI[[#This Row],[Camp Name]],CL,4,0),"")</f>
        <v>0</v>
      </c>
      <c r="AT151" s="572"/>
      <c r="AU151" s="575"/>
    </row>
    <row r="152" spans="1:47" s="130" customFormat="1" x14ac:dyDescent="0.25">
      <c r="A152" s="381">
        <f t="shared" si="2"/>
        <v>21.3</v>
      </c>
      <c r="B152" s="571">
        <v>41883</v>
      </c>
      <c r="C152" s="577" t="s">
        <v>1039</v>
      </c>
      <c r="D152" s="577"/>
      <c r="E152" s="577" t="s">
        <v>380</v>
      </c>
      <c r="F152" s="577" t="s">
        <v>310</v>
      </c>
      <c r="G152" s="577" t="s">
        <v>336</v>
      </c>
      <c r="H152" s="376"/>
      <c r="I152" s="376"/>
      <c r="J152" s="376"/>
      <c r="K152" s="376"/>
      <c r="L152" s="376"/>
      <c r="M152" s="376"/>
      <c r="N152" s="376"/>
      <c r="O152" s="376"/>
      <c r="P152" s="378"/>
      <c r="Q152" s="378"/>
      <c r="R152" s="378"/>
      <c r="S152" s="378">
        <v>407</v>
      </c>
      <c r="T152" s="378"/>
      <c r="U152" s="378"/>
      <c r="V152" s="533"/>
      <c r="W152" s="378"/>
      <c r="X152" s="378"/>
      <c r="Y152" s="378">
        <f>IF(NFI_Expiration=1,IF($A152&lt;VLOOKUP(H$5,NFI,5,0),1,0)*Table_NFI[[#This Row],[Hygiene Kit]],Table_NFI[Hygiene Kit])</f>
        <v>0</v>
      </c>
      <c r="Z152" s="378">
        <f>IF(NFI_Expiration=1,IF($A152&lt;VLOOKUP(I$5,NFI,5,0),1,0)*Table_NFI[[#This Row],[NFI Core Kit]],Table_NFI[NFI Core Kit])</f>
        <v>0</v>
      </c>
      <c r="AA152" s="378">
        <f>IF(NFI_Expiration=1,IF($A152&lt;VLOOKUP(J$5,NFI,5,0),1,0)*Table_NFI[[#This Row],[Sanitary Kit]],Table_NFI[Sanitary Kit])</f>
        <v>0</v>
      </c>
      <c r="AB152" s="378">
        <f>IF(NFI_Expiration=1,IF($A152&lt;VLOOKUP(K$5,NFI,5,0),1,0)*Table_NFI[[#This Row],[Mosquito net]],Table_NFI[Mosquito net])</f>
        <v>0</v>
      </c>
      <c r="AC152" s="378">
        <f>IF(NFI_Expiration=1,IF($A152&lt;VLOOKUP(L$5,NFI,5,0),1,0)*Table_NFI[[#This Row],[Tarpaulin]],Table_NFI[[#This Row],[Tarpaulin]])</f>
        <v>0</v>
      </c>
      <c r="AD152" s="378">
        <f>IF(NFI_Expiration=1,IF($A152&lt;VLOOKUP(M$5,NFI,5,0),1,0)*Table_NFI[[#This Row],[Blanket]],Table_NFI[[#This Row],[Blanket]])</f>
        <v>0</v>
      </c>
      <c r="AE152" s="378">
        <f>IF(NFI_Expiration=1,IF($A152&lt;VLOOKUP(N$5,NFI,5,0),1,0)*Table_NFI[[#This Row],[Kitchen Set]],Table_NFI[Kitchen Set])</f>
        <v>0</v>
      </c>
      <c r="AF152" s="378">
        <f>IF(NFI_Expiration=1,IF($A152&lt;VLOOKUP(O$5,NFI,5,0),1,0)*Table_NFI[[#This Row],[Clothes Kit]],Table_NFI[Clothes Kit])</f>
        <v>0</v>
      </c>
      <c r="AG152" s="378">
        <f>IF(NFI_Expiration=1,IF($A152&lt;VLOOKUP(P$5,NFI,5,0),1,0)*Table_NFI[[#This Row],[Plastic Bucket]],Table_NFI[Plastic Bucket])</f>
        <v>0</v>
      </c>
      <c r="AH152" s="378">
        <f>IF(NFI_Expiration=1,IF($A152&lt;VLOOKUP(Q$5,NFI,5,0),1,0)*Table_NFI[[#This Row],[Plastic Mat]],Table_NFI[Plastic Mat])*IF(Table_NFI[[#This Row],[Distribution Date]]&gt;"2014-04-01",1,2.5)</f>
        <v>0</v>
      </c>
      <c r="AI152" s="378">
        <f>IF(NFI_Expiration=1,IF($A152&lt;VLOOKUP(R$5,NFI,5,0),1,0)*Table_NFI[[#This Row],[Winter Clothes Adult]],Table_NFI[Winter Clothes Adult])</f>
        <v>0</v>
      </c>
      <c r="AJ152" s="378">
        <f>IF(NFI_Expiration=1,IF($A152&lt;VLOOKUP(S$5,NFI,5,0),1,0)*Table_NFI[[#This Row],[Winter Clothes Children]],Table_NFI[Winter Clothes Children])</f>
        <v>0</v>
      </c>
      <c r="AK152" s="378">
        <f>IF(NFI_Expiration=1,IF($A152&lt;VLOOKUP(T$5,NFI,5,0),1,0)*Table_NFI[[#This Row],[Winter Items Other]],Table_NFI[Winter Items Other])</f>
        <v>0</v>
      </c>
      <c r="AL152" s="378">
        <f>IF(NFI_Expiration=1,IF($A152&lt;VLOOKUP(M$5,NFI,5,0),1,0)*Table_NFI[[#This Row],[Winter Blanket]],Table_NFI[[#This Row],[Winter Blanket]])</f>
        <v>0</v>
      </c>
      <c r="AM152" s="378">
        <f>IF(Table_NFI[[#This Row],[Winter Clothes Adult]]+Table_NFI[[#This Row],[Winter Clothes Children]]+Table_NFI[[#This Row],[Winter Items Other]]+Table_NFI[[#This Row],[Winter Blanket]]&gt;0,1,0)</f>
        <v>1</v>
      </c>
      <c r="AN152" s="418">
        <f>IF(NFI_Expiration=1,IF($A152&lt;VLOOKUP(V$5,NFI,5,0),1,0)*Table_NFI[[#This Row],[Jerry Can]],Table_NFI[Jerry Can])</f>
        <v>0</v>
      </c>
      <c r="AO152" s="579" t="str">
        <f>IFERROR(VLOOKUP(Table_NFI[[#This Row],[Camp Name]],CL,2,0),"")</f>
        <v>MMR001CMP115</v>
      </c>
      <c r="AP152" s="574">
        <f ca="1">IF(Table_NFI[[#This Row],[Pcode]]="","",IF(OFFSET(CampList[Opening Date],MATCH(Table_NFI[[#This Row],[Pcode]],CampList[CP_Pcode],0)-1,0,1,1)&gt;=NFI_Monitor_Date,1,0))</f>
        <v>0</v>
      </c>
      <c r="AQ152" s="579" t="str">
        <f>IFERROR(VLOOKUP(Table_NFI[[#This Row],[Camp Name]],CL,3,0),"")</f>
        <v>Open</v>
      </c>
      <c r="AR152" s="378" t="str">
        <f ca="1">IF(Table_NFI[[#This Row],[Pcode]]="","",OFFSET(CampList[Priority],MATCH(Table_NFI[[#This Row],[Pcode]],CampList[CP_Pcode],0)-1,0,1,1))</f>
        <v>P1</v>
      </c>
      <c r="AS152" s="377">
        <f>IFERROR(Table_NFI[[#This Row],[Kitchen Set]]/VLOOKUP(Table_NFI[[#This Row],[Camp Name]],CL,4,0),"")</f>
        <v>0</v>
      </c>
      <c r="AT152" s="577"/>
      <c r="AU152" s="580"/>
    </row>
    <row r="153" spans="1:47" s="130" customFormat="1" x14ac:dyDescent="0.25">
      <c r="A153" s="381">
        <f t="shared" si="2"/>
        <v>28.533333333333335</v>
      </c>
      <c r="B153" s="571">
        <v>41666</v>
      </c>
      <c r="C153" s="572" t="s">
        <v>1039</v>
      </c>
      <c r="D153" s="572" t="s">
        <v>462</v>
      </c>
      <c r="E153" s="572" t="s">
        <v>380</v>
      </c>
      <c r="F153" s="572" t="s">
        <v>310</v>
      </c>
      <c r="G153" s="572" t="s">
        <v>336</v>
      </c>
      <c r="H153" s="375"/>
      <c r="I153" s="375"/>
      <c r="J153" s="375"/>
      <c r="K153" s="375"/>
      <c r="L153" s="376"/>
      <c r="M153" s="376">
        <v>181</v>
      </c>
      <c r="N153" s="376">
        <v>181</v>
      </c>
      <c r="O153" s="376">
        <v>181</v>
      </c>
      <c r="P153" s="378"/>
      <c r="Q153" s="378">
        <v>181</v>
      </c>
      <c r="R153" s="378"/>
      <c r="S153" s="378"/>
      <c r="T153" s="378"/>
      <c r="U153" s="378"/>
      <c r="V153" s="533"/>
      <c r="W153" s="378"/>
      <c r="X153" s="378"/>
      <c r="Y153" s="378">
        <f>IF(NFI_Expiration=1,IF($A153&lt;VLOOKUP(H$5,NFI,5,0),1,0)*Table_NFI[[#This Row],[Hygiene Kit]],Table_NFI[Hygiene Kit])</f>
        <v>0</v>
      </c>
      <c r="Z153" s="378">
        <f>IF(NFI_Expiration=1,IF($A153&lt;VLOOKUP(I$5,NFI,5,0),1,0)*Table_NFI[[#This Row],[NFI Core Kit]],Table_NFI[NFI Core Kit])</f>
        <v>0</v>
      </c>
      <c r="AA153" s="378">
        <f>IF(NFI_Expiration=1,IF($A153&lt;VLOOKUP(J$5,NFI,5,0),1,0)*Table_NFI[[#This Row],[Sanitary Kit]],Table_NFI[Sanitary Kit])</f>
        <v>0</v>
      </c>
      <c r="AB153" s="378">
        <f>IF(NFI_Expiration=1,IF($A153&lt;VLOOKUP(K$5,NFI,5,0),1,0)*Table_NFI[[#This Row],[Mosquito net]],Table_NFI[Mosquito net])</f>
        <v>0</v>
      </c>
      <c r="AC153" s="378">
        <f>IF(NFI_Expiration=1,IF($A153&lt;VLOOKUP(L$5,NFI,5,0),1,0)*Table_NFI[[#This Row],[Tarpaulin]],Table_NFI[[#This Row],[Tarpaulin]])</f>
        <v>0</v>
      </c>
      <c r="AD153" s="378">
        <f>IF(NFI_Expiration=1,IF($A153&lt;VLOOKUP(M$5,NFI,5,0),1,0)*Table_NFI[[#This Row],[Blanket]],Table_NFI[[#This Row],[Blanket]])</f>
        <v>0</v>
      </c>
      <c r="AE153" s="378">
        <f>IF(NFI_Expiration=1,IF($A153&lt;VLOOKUP(N$5,NFI,5,0),1,0)*Table_NFI[[#This Row],[Kitchen Set]],Table_NFI[Kitchen Set])</f>
        <v>0</v>
      </c>
      <c r="AF153" s="378">
        <f>IF(NFI_Expiration=1,IF($A153&lt;VLOOKUP(O$5,NFI,5,0),1,0)*Table_NFI[[#This Row],[Clothes Kit]],Table_NFI[Clothes Kit])</f>
        <v>0</v>
      </c>
      <c r="AG153" s="378">
        <f>IF(NFI_Expiration=1,IF($A153&lt;VLOOKUP(P$5,NFI,5,0),1,0)*Table_NFI[[#This Row],[Plastic Bucket]],Table_NFI[Plastic Bucket])</f>
        <v>0</v>
      </c>
      <c r="AH153" s="378">
        <f>IF(NFI_Expiration=1,IF($A153&lt;VLOOKUP(Q$5,NFI,5,0),1,0)*Table_NFI[[#This Row],[Plastic Mat]],Table_NFI[Plastic Mat])*IF(Table_NFI[[#This Row],[Distribution Date]]&gt;"2014-04-01",1,2.5)</f>
        <v>0</v>
      </c>
      <c r="AI153" s="378">
        <f>IF(NFI_Expiration=1,IF($A153&lt;VLOOKUP(R$5,NFI,5,0),1,0)*Table_NFI[[#This Row],[Winter Clothes Adult]],Table_NFI[Winter Clothes Adult])</f>
        <v>0</v>
      </c>
      <c r="AJ153" s="378">
        <f>IF(NFI_Expiration=1,IF($A153&lt;VLOOKUP(S$5,NFI,5,0),1,0)*Table_NFI[[#This Row],[Winter Clothes Children]],Table_NFI[Winter Clothes Children])</f>
        <v>0</v>
      </c>
      <c r="AK153" s="378">
        <f>IF(NFI_Expiration=1,IF($A153&lt;VLOOKUP(T$5,NFI,5,0),1,0)*Table_NFI[[#This Row],[Winter Items Other]],Table_NFI[Winter Items Other])</f>
        <v>0</v>
      </c>
      <c r="AL153" s="378">
        <f>IF(NFI_Expiration=1,IF($A153&lt;VLOOKUP(M$5,NFI,5,0),1,0)*Table_NFI[[#This Row],[Winter Blanket]],Table_NFI[[#This Row],[Winter Blanket]])</f>
        <v>0</v>
      </c>
      <c r="AM153" s="378">
        <f>IF(Table_NFI[[#This Row],[Winter Clothes Adult]]+Table_NFI[[#This Row],[Winter Clothes Children]]+Table_NFI[[#This Row],[Winter Items Other]]+Table_NFI[[#This Row],[Winter Blanket]]&gt;0,1,0)</f>
        <v>0</v>
      </c>
      <c r="AN153" s="418">
        <f>IF(NFI_Expiration=1,IF($A153&lt;VLOOKUP(V$5,NFI,5,0),1,0)*Table_NFI[[#This Row],[Jerry Can]],Table_NFI[Jerry Can])</f>
        <v>0</v>
      </c>
      <c r="AO153" s="579" t="str">
        <f>IFERROR(VLOOKUP(Table_NFI[[#This Row],[Camp Name]],CL,2,0),"")</f>
        <v>MMR001CMP115</v>
      </c>
      <c r="AP153" s="574">
        <f ca="1">IF(Table_NFI[[#This Row],[Pcode]]="","",IF(OFFSET(CampList[Opening Date],MATCH(Table_NFI[[#This Row],[Pcode]],CampList[CP_Pcode],0)-1,0,1,1)&gt;=NFI_Monitor_Date,1,0))</f>
        <v>0</v>
      </c>
      <c r="AQ153" s="579" t="str">
        <f>IFERROR(VLOOKUP(Table_NFI[[#This Row],[Camp Name]],CL,3,0),"")</f>
        <v>Open</v>
      </c>
      <c r="AR153" s="378" t="str">
        <f ca="1">IF(Table_NFI[[#This Row],[Pcode]]="","",OFFSET(CampList[Priority],MATCH(Table_NFI[[#This Row],[Pcode]],CampList[CP_Pcode],0)-1,0,1,1))</f>
        <v>P1</v>
      </c>
      <c r="AS153" s="377">
        <f>IFERROR(Table_NFI[[#This Row],[Kitchen Set]]/VLOOKUP(Table_NFI[[#This Row],[Camp Name]],CL,4,0),"")</f>
        <v>1.2397260273972603</v>
      </c>
      <c r="AT153" s="572" t="s">
        <v>1095</v>
      </c>
      <c r="AU153" s="575"/>
    </row>
    <row r="154" spans="1:47" s="130" customFormat="1" x14ac:dyDescent="0.25">
      <c r="A154" s="381">
        <f t="shared" si="2"/>
        <v>30.466666666666665</v>
      </c>
      <c r="B154" s="571">
        <v>41608</v>
      </c>
      <c r="C154" s="572" t="s">
        <v>908</v>
      </c>
      <c r="D154" s="572" t="s">
        <v>462</v>
      </c>
      <c r="E154" s="572" t="s">
        <v>380</v>
      </c>
      <c r="F154" s="374" t="s">
        <v>310</v>
      </c>
      <c r="G154" s="374" t="s">
        <v>336</v>
      </c>
      <c r="H154" s="375"/>
      <c r="I154" s="375"/>
      <c r="J154" s="375"/>
      <c r="K154" s="375"/>
      <c r="L154" s="376"/>
      <c r="M154" s="376"/>
      <c r="N154" s="376"/>
      <c r="O154" s="376"/>
      <c r="P154" s="378"/>
      <c r="Q154" s="378"/>
      <c r="R154" s="378"/>
      <c r="S154" s="378"/>
      <c r="T154" s="378"/>
      <c r="U154" s="378"/>
      <c r="V154" s="533"/>
      <c r="W154" s="378"/>
      <c r="X154" s="378"/>
      <c r="Y154" s="378">
        <f>IF(NFI_Expiration=1,IF($A154&lt;VLOOKUP(H$5,NFI,5,0),1,0)*Table_NFI[[#This Row],[Hygiene Kit]],Table_NFI[Hygiene Kit])</f>
        <v>0</v>
      </c>
      <c r="Z154" s="378">
        <f>IF(NFI_Expiration=1,IF($A154&lt;VLOOKUP(I$5,NFI,5,0),1,0)*Table_NFI[[#This Row],[NFI Core Kit]],Table_NFI[NFI Core Kit])</f>
        <v>0</v>
      </c>
      <c r="AA154" s="378">
        <f>IF(NFI_Expiration=1,IF($A154&lt;VLOOKUP(J$5,NFI,5,0),1,0)*Table_NFI[[#This Row],[Sanitary Kit]],Table_NFI[Sanitary Kit])</f>
        <v>0</v>
      </c>
      <c r="AB154" s="378">
        <f>IF(NFI_Expiration=1,IF($A154&lt;VLOOKUP(K$5,NFI,5,0),1,0)*Table_NFI[[#This Row],[Mosquito net]],Table_NFI[Mosquito net])</f>
        <v>0</v>
      </c>
      <c r="AC154" s="378">
        <f>IF(NFI_Expiration=1,IF($A154&lt;VLOOKUP(L$5,NFI,5,0),1,0)*Table_NFI[[#This Row],[Tarpaulin]],Table_NFI[[#This Row],[Tarpaulin]])</f>
        <v>0</v>
      </c>
      <c r="AD154" s="378">
        <f>IF(NFI_Expiration=1,IF($A154&lt;VLOOKUP(M$5,NFI,5,0),1,0)*Table_NFI[[#This Row],[Blanket]],Table_NFI[[#This Row],[Blanket]])</f>
        <v>0</v>
      </c>
      <c r="AE154" s="378">
        <f>IF(NFI_Expiration=1,IF($A154&lt;VLOOKUP(N$5,NFI,5,0),1,0)*Table_NFI[[#This Row],[Kitchen Set]],Table_NFI[Kitchen Set])</f>
        <v>0</v>
      </c>
      <c r="AF154" s="378">
        <f>IF(NFI_Expiration=1,IF($A154&lt;VLOOKUP(O$5,NFI,5,0),1,0)*Table_NFI[[#This Row],[Clothes Kit]],Table_NFI[Clothes Kit])</f>
        <v>0</v>
      </c>
      <c r="AG154" s="378">
        <f>IF(NFI_Expiration=1,IF($A154&lt;VLOOKUP(P$5,NFI,5,0),1,0)*Table_NFI[[#This Row],[Plastic Bucket]],Table_NFI[Plastic Bucket])</f>
        <v>0</v>
      </c>
      <c r="AH154" s="378">
        <f>IF(NFI_Expiration=1,IF($A154&lt;VLOOKUP(Q$5,NFI,5,0),1,0)*Table_NFI[[#This Row],[Plastic Mat]],Table_NFI[Plastic Mat])*IF(Table_NFI[[#This Row],[Distribution Date]]&gt;"2014-04-01",1,2.5)</f>
        <v>0</v>
      </c>
      <c r="AI154" s="378">
        <f>IF(NFI_Expiration=1,IF($A154&lt;VLOOKUP(R$5,NFI,5,0),1,0)*Table_NFI[[#This Row],[Winter Clothes Adult]],Table_NFI[Winter Clothes Adult])</f>
        <v>0</v>
      </c>
      <c r="AJ154" s="378">
        <f>IF(NFI_Expiration=1,IF($A154&lt;VLOOKUP(S$5,NFI,5,0),1,0)*Table_NFI[[#This Row],[Winter Clothes Children]],Table_NFI[Winter Clothes Children])</f>
        <v>0</v>
      </c>
      <c r="AK154" s="378">
        <f>IF(NFI_Expiration=1,IF($A154&lt;VLOOKUP(T$5,NFI,5,0),1,0)*Table_NFI[[#This Row],[Winter Items Other]],Table_NFI[Winter Items Other])</f>
        <v>0</v>
      </c>
      <c r="AL154" s="378">
        <f>IF(NFI_Expiration=1,IF($A154&lt;VLOOKUP(M$5,NFI,5,0),1,0)*Table_NFI[[#This Row],[Winter Blanket]],Table_NFI[[#This Row],[Winter Blanket]])</f>
        <v>0</v>
      </c>
      <c r="AM154" s="378">
        <f>IF(Table_NFI[[#This Row],[Winter Clothes Adult]]+Table_NFI[[#This Row],[Winter Clothes Children]]+Table_NFI[[#This Row],[Winter Items Other]]+Table_NFI[[#This Row],[Winter Blanket]]&gt;0,1,0)</f>
        <v>0</v>
      </c>
      <c r="AN154" s="418">
        <f>IF(NFI_Expiration=1,IF($A154&lt;VLOOKUP(V$5,NFI,5,0),1,0)*Table_NFI[[#This Row],[Jerry Can]],Table_NFI[Jerry Can])</f>
        <v>0</v>
      </c>
      <c r="AO154" s="579" t="str">
        <f>IFERROR(VLOOKUP(Table_NFI[[#This Row],[Camp Name]],CL,2,0),"")</f>
        <v>MMR001CMP115</v>
      </c>
      <c r="AP154" s="574">
        <f ca="1">IF(Table_NFI[[#This Row],[Pcode]]="","",IF(OFFSET(CampList[Opening Date],MATCH(Table_NFI[[#This Row],[Pcode]],CampList[CP_Pcode],0)-1,0,1,1)&gt;=NFI_Monitor_Date,1,0))</f>
        <v>0</v>
      </c>
      <c r="AQ154" s="579" t="str">
        <f>IFERROR(VLOOKUP(Table_NFI[[#This Row],[Camp Name]],CL,3,0),"")</f>
        <v>Open</v>
      </c>
      <c r="AR154" s="378" t="str">
        <f ca="1">IF(Table_NFI[[#This Row],[Pcode]]="","",OFFSET(CampList[Priority],MATCH(Table_NFI[[#This Row],[Pcode]],CampList[CP_Pcode],0)-1,0,1,1))</f>
        <v>P1</v>
      </c>
      <c r="AS154" s="377">
        <f>IFERROR(Table_NFI[[#This Row],[Kitchen Set]]/VLOOKUP(Table_NFI[[#This Row],[Camp Name]],CL,4,0),"")</f>
        <v>0</v>
      </c>
      <c r="AT154" s="572" t="s">
        <v>1095</v>
      </c>
      <c r="AU154" s="575"/>
    </row>
    <row r="155" spans="1:47" s="130" customFormat="1" x14ac:dyDescent="0.25">
      <c r="A155" s="381">
        <f t="shared" si="2"/>
        <v>30.5</v>
      </c>
      <c r="B155" s="571">
        <v>41607</v>
      </c>
      <c r="C155" s="572" t="s">
        <v>908</v>
      </c>
      <c r="D155" s="572" t="s">
        <v>462</v>
      </c>
      <c r="E155" s="572" t="s">
        <v>380</v>
      </c>
      <c r="F155" s="572" t="s">
        <v>310</v>
      </c>
      <c r="G155" s="572" t="s">
        <v>336</v>
      </c>
      <c r="H155" s="375"/>
      <c r="I155" s="375"/>
      <c r="J155" s="375"/>
      <c r="K155" s="375"/>
      <c r="L155" s="376"/>
      <c r="M155" s="376"/>
      <c r="N155" s="376"/>
      <c r="O155" s="376"/>
      <c r="P155" s="378"/>
      <c r="Q155" s="378"/>
      <c r="R155" s="378">
        <v>177</v>
      </c>
      <c r="S155" s="378">
        <v>354</v>
      </c>
      <c r="T155" s="378">
        <v>1062</v>
      </c>
      <c r="U155" s="378">
        <v>531</v>
      </c>
      <c r="V155" s="533"/>
      <c r="W155" s="378"/>
      <c r="X155" s="378"/>
      <c r="Y155" s="378">
        <f>IF(NFI_Expiration=1,IF($A155&lt;VLOOKUP(H$5,NFI,5,0),1,0)*Table_NFI[[#This Row],[Hygiene Kit]],Table_NFI[Hygiene Kit])</f>
        <v>0</v>
      </c>
      <c r="Z155" s="378">
        <f>IF(NFI_Expiration=1,IF($A155&lt;VLOOKUP(I$5,NFI,5,0),1,0)*Table_NFI[[#This Row],[NFI Core Kit]],Table_NFI[NFI Core Kit])</f>
        <v>0</v>
      </c>
      <c r="AA155" s="378">
        <f>IF(NFI_Expiration=1,IF($A155&lt;VLOOKUP(J$5,NFI,5,0),1,0)*Table_NFI[[#This Row],[Sanitary Kit]],Table_NFI[Sanitary Kit])</f>
        <v>0</v>
      </c>
      <c r="AB155" s="378">
        <f>IF(NFI_Expiration=1,IF($A155&lt;VLOOKUP(K$5,NFI,5,0),1,0)*Table_NFI[[#This Row],[Mosquito net]],Table_NFI[Mosquito net])</f>
        <v>0</v>
      </c>
      <c r="AC155" s="378">
        <f>IF(NFI_Expiration=1,IF($A155&lt;VLOOKUP(L$5,NFI,5,0),1,0)*Table_NFI[[#This Row],[Tarpaulin]],Table_NFI[[#This Row],[Tarpaulin]])</f>
        <v>0</v>
      </c>
      <c r="AD155" s="378">
        <f>IF(NFI_Expiration=1,IF($A155&lt;VLOOKUP(M$5,NFI,5,0),1,0)*Table_NFI[[#This Row],[Blanket]],Table_NFI[[#This Row],[Blanket]])</f>
        <v>0</v>
      </c>
      <c r="AE155" s="378">
        <f>IF(NFI_Expiration=1,IF($A155&lt;VLOOKUP(N$5,NFI,5,0),1,0)*Table_NFI[[#This Row],[Kitchen Set]],Table_NFI[Kitchen Set])</f>
        <v>0</v>
      </c>
      <c r="AF155" s="378">
        <f>IF(NFI_Expiration=1,IF($A155&lt;VLOOKUP(O$5,NFI,5,0),1,0)*Table_NFI[[#This Row],[Clothes Kit]],Table_NFI[Clothes Kit])</f>
        <v>0</v>
      </c>
      <c r="AG155" s="378">
        <f>IF(NFI_Expiration=1,IF($A155&lt;VLOOKUP(P$5,NFI,5,0),1,0)*Table_NFI[[#This Row],[Plastic Bucket]],Table_NFI[Plastic Bucket])</f>
        <v>0</v>
      </c>
      <c r="AH155" s="378">
        <f>IF(NFI_Expiration=1,IF($A155&lt;VLOOKUP(Q$5,NFI,5,0),1,0)*Table_NFI[[#This Row],[Plastic Mat]],Table_NFI[Plastic Mat])*IF(Table_NFI[[#This Row],[Distribution Date]]&gt;"2014-04-01",1,2.5)</f>
        <v>0</v>
      </c>
      <c r="AI155" s="378">
        <f>IF(NFI_Expiration=1,IF($A155&lt;VLOOKUP(R$5,NFI,5,0),1,0)*Table_NFI[[#This Row],[Winter Clothes Adult]],Table_NFI[Winter Clothes Adult])</f>
        <v>0</v>
      </c>
      <c r="AJ155" s="378">
        <f>IF(NFI_Expiration=1,IF($A155&lt;VLOOKUP(S$5,NFI,5,0),1,0)*Table_NFI[[#This Row],[Winter Clothes Children]],Table_NFI[Winter Clothes Children])</f>
        <v>0</v>
      </c>
      <c r="AK155" s="378">
        <f>IF(NFI_Expiration=1,IF($A155&lt;VLOOKUP(T$5,NFI,5,0),1,0)*Table_NFI[[#This Row],[Winter Items Other]],Table_NFI[Winter Items Other])</f>
        <v>0</v>
      </c>
      <c r="AL155" s="378">
        <f>IF(NFI_Expiration=1,IF($A155&lt;VLOOKUP(M$5,NFI,5,0),1,0)*Table_NFI[[#This Row],[Winter Blanket]],Table_NFI[[#This Row],[Winter Blanket]])</f>
        <v>0</v>
      </c>
      <c r="AM155" s="378">
        <f>IF(Table_NFI[[#This Row],[Winter Clothes Adult]]+Table_NFI[[#This Row],[Winter Clothes Children]]+Table_NFI[[#This Row],[Winter Items Other]]+Table_NFI[[#This Row],[Winter Blanket]]&gt;0,1,0)</f>
        <v>1</v>
      </c>
      <c r="AN155" s="418">
        <f>IF(NFI_Expiration=1,IF($A155&lt;VLOOKUP(V$5,NFI,5,0),1,0)*Table_NFI[[#This Row],[Jerry Can]],Table_NFI[Jerry Can])</f>
        <v>0</v>
      </c>
      <c r="AO155" s="579" t="str">
        <f>IFERROR(VLOOKUP(Table_NFI[[#This Row],[Camp Name]],CL,2,0),"")</f>
        <v>MMR001CMP115</v>
      </c>
      <c r="AP155" s="574">
        <f ca="1">IF(Table_NFI[[#This Row],[Pcode]]="","",IF(OFFSET(CampList[Opening Date],MATCH(Table_NFI[[#This Row],[Pcode]],CampList[CP_Pcode],0)-1,0,1,1)&gt;=NFI_Monitor_Date,1,0))</f>
        <v>0</v>
      </c>
      <c r="AQ155" s="579" t="str">
        <f>IFERROR(VLOOKUP(Table_NFI[[#This Row],[Camp Name]],CL,3,0),"")</f>
        <v>Open</v>
      </c>
      <c r="AR155" s="378" t="str">
        <f ca="1">IF(Table_NFI[[#This Row],[Pcode]]="","",OFFSET(CampList[Priority],MATCH(Table_NFI[[#This Row],[Pcode]],CampList[CP_Pcode],0)-1,0,1,1))</f>
        <v>P1</v>
      </c>
      <c r="AS155" s="377">
        <f>IFERROR(Table_NFI[[#This Row],[Kitchen Set]]/VLOOKUP(Table_NFI[[#This Row],[Camp Name]],CL,4,0),"")</f>
        <v>0</v>
      </c>
      <c r="AT155" s="572"/>
      <c r="AU155" s="575"/>
    </row>
    <row r="156" spans="1:47" s="130" customFormat="1" x14ac:dyDescent="0.25">
      <c r="A156" s="381">
        <f t="shared" si="2"/>
        <v>18.933333333333334</v>
      </c>
      <c r="B156" s="571">
        <v>41954</v>
      </c>
      <c r="C156" s="572" t="s">
        <v>454</v>
      </c>
      <c r="D156" s="572" t="s">
        <v>462</v>
      </c>
      <c r="E156" s="572" t="s">
        <v>380</v>
      </c>
      <c r="F156" s="572" t="s">
        <v>529</v>
      </c>
      <c r="G156" s="572" t="s">
        <v>88</v>
      </c>
      <c r="H156" s="375"/>
      <c r="I156" s="375"/>
      <c r="J156" s="375">
        <v>19</v>
      </c>
      <c r="K156" s="375">
        <v>38</v>
      </c>
      <c r="L156" s="376">
        <v>19</v>
      </c>
      <c r="M156" s="376">
        <v>38</v>
      </c>
      <c r="N156" s="376">
        <v>19</v>
      </c>
      <c r="O156" s="376"/>
      <c r="P156" s="378">
        <v>19</v>
      </c>
      <c r="Q156" s="378">
        <v>95</v>
      </c>
      <c r="R156" s="378"/>
      <c r="S156" s="378"/>
      <c r="T156" s="378"/>
      <c r="U156" s="378"/>
      <c r="V156" s="533"/>
      <c r="W156" s="378"/>
      <c r="X156" s="378"/>
      <c r="Y156" s="378">
        <f>IF(NFI_Expiration=1,IF($A156&lt;VLOOKUP(H$5,NFI,5,0),1,0)*Table_NFI[[#This Row],[Hygiene Kit]],Table_NFI[Hygiene Kit])</f>
        <v>0</v>
      </c>
      <c r="Z156" s="378">
        <f>IF(NFI_Expiration=1,IF($A156&lt;VLOOKUP(I$5,NFI,5,0),1,0)*Table_NFI[[#This Row],[NFI Core Kit]],Table_NFI[NFI Core Kit])</f>
        <v>0</v>
      </c>
      <c r="AA156" s="378">
        <f>IF(NFI_Expiration=1,IF($A156&lt;VLOOKUP(J$5,NFI,5,0),1,0)*Table_NFI[[#This Row],[Sanitary Kit]],Table_NFI[Sanitary Kit])</f>
        <v>0</v>
      </c>
      <c r="AB156" s="378">
        <f>IF(NFI_Expiration=1,IF($A156&lt;VLOOKUP(K$5,NFI,5,0),1,0)*Table_NFI[[#This Row],[Mosquito net]],Table_NFI[Mosquito net])</f>
        <v>0</v>
      </c>
      <c r="AC156" s="378">
        <f>IF(NFI_Expiration=1,IF($A156&lt;VLOOKUP(L$5,NFI,5,0),1,0)*Table_NFI[[#This Row],[Tarpaulin]],Table_NFI[[#This Row],[Tarpaulin]])</f>
        <v>0</v>
      </c>
      <c r="AD156" s="378">
        <f>IF(NFI_Expiration=1,IF($A156&lt;VLOOKUP(M$5,NFI,5,0),1,0)*Table_NFI[[#This Row],[Blanket]],Table_NFI[[#This Row],[Blanket]])</f>
        <v>0</v>
      </c>
      <c r="AE156" s="378">
        <f>IF(NFI_Expiration=1,IF($A156&lt;VLOOKUP(N$5,NFI,5,0),1,0)*Table_NFI[[#This Row],[Kitchen Set]],Table_NFI[Kitchen Set])</f>
        <v>0</v>
      </c>
      <c r="AF156" s="378">
        <f>IF(NFI_Expiration=1,IF($A156&lt;VLOOKUP(O$5,NFI,5,0),1,0)*Table_NFI[[#This Row],[Clothes Kit]],Table_NFI[Clothes Kit])</f>
        <v>0</v>
      </c>
      <c r="AG156" s="378">
        <f>IF(NFI_Expiration=1,IF($A156&lt;VLOOKUP(P$5,NFI,5,0),1,0)*Table_NFI[[#This Row],[Plastic Bucket]],Table_NFI[Plastic Bucket])</f>
        <v>0</v>
      </c>
      <c r="AH156" s="378">
        <f>IF(NFI_Expiration=1,IF($A156&lt;VLOOKUP(Q$5,NFI,5,0),1,0)*Table_NFI[[#This Row],[Plastic Mat]],Table_NFI[Plastic Mat])*IF(Table_NFI[[#This Row],[Distribution Date]]&gt;"2014-04-01",1,2.5)</f>
        <v>0</v>
      </c>
      <c r="AI156" s="378">
        <f>IF(NFI_Expiration=1,IF($A156&lt;VLOOKUP(R$5,NFI,5,0),1,0)*Table_NFI[[#This Row],[Winter Clothes Adult]],Table_NFI[Winter Clothes Adult])</f>
        <v>0</v>
      </c>
      <c r="AJ156" s="378">
        <f>IF(NFI_Expiration=1,IF($A156&lt;VLOOKUP(S$5,NFI,5,0),1,0)*Table_NFI[[#This Row],[Winter Clothes Children]],Table_NFI[Winter Clothes Children])</f>
        <v>0</v>
      </c>
      <c r="AK156" s="378">
        <f>IF(NFI_Expiration=1,IF($A156&lt;VLOOKUP(T$5,NFI,5,0),1,0)*Table_NFI[[#This Row],[Winter Items Other]],Table_NFI[Winter Items Other])</f>
        <v>0</v>
      </c>
      <c r="AL156" s="378">
        <f>IF(NFI_Expiration=1,IF($A156&lt;VLOOKUP(M$5,NFI,5,0),1,0)*Table_NFI[[#This Row],[Winter Blanket]],Table_NFI[[#This Row],[Winter Blanket]])</f>
        <v>0</v>
      </c>
      <c r="AM156" s="378">
        <f>IF(Table_NFI[[#This Row],[Winter Clothes Adult]]+Table_NFI[[#This Row],[Winter Clothes Children]]+Table_NFI[[#This Row],[Winter Items Other]]+Table_NFI[[#This Row],[Winter Blanket]]&gt;0,1,0)</f>
        <v>0</v>
      </c>
      <c r="AN156" s="418">
        <f>IF(NFI_Expiration=1,IF($A156&lt;VLOOKUP(V$5,NFI,5,0),1,0)*Table_NFI[[#This Row],[Jerry Can]],Table_NFI[Jerry Can])</f>
        <v>0</v>
      </c>
      <c r="AO156" s="579" t="str">
        <f>IFERROR(VLOOKUP(Table_NFI[[#This Row],[Camp Name]],CL,2,0),"")</f>
        <v>MMR001CMP148</v>
      </c>
      <c r="AP156" s="574">
        <f ca="1">IF(Table_NFI[[#This Row],[Pcode]]="","",IF(OFFSET(CampList[Opening Date],MATCH(Table_NFI[[#This Row],[Pcode]],CampList[CP_Pcode],0)-1,0,1,1)&gt;=NFI_Monitor_Date,1,0))</f>
        <v>0</v>
      </c>
      <c r="AQ156" s="579" t="str">
        <f>IFERROR(VLOOKUP(Table_NFI[[#This Row],[Camp Name]],CL,3,0),"")</f>
        <v>Open</v>
      </c>
      <c r="AR156" s="378" t="str">
        <f ca="1">IF(Table_NFI[[#This Row],[Pcode]]="","",OFFSET(CampList[Priority],MATCH(Table_NFI[[#This Row],[Pcode]],CampList[CP_Pcode],0)-1,0,1,1))</f>
        <v>P4</v>
      </c>
      <c r="AS156" s="377">
        <f>IFERROR(Table_NFI[[#This Row],[Kitchen Set]]/VLOOKUP(Table_NFI[[#This Row],[Camp Name]],CL,4,0),"")</f>
        <v>1.3571428571428572</v>
      </c>
      <c r="AT156" s="572"/>
      <c r="AU156" s="575"/>
    </row>
    <row r="157" spans="1:47" s="130" customFormat="1" x14ac:dyDescent="0.25">
      <c r="A157" s="381">
        <f t="shared" si="2"/>
        <v>19.5</v>
      </c>
      <c r="B157" s="571">
        <v>41937</v>
      </c>
      <c r="C157" s="572" t="s">
        <v>1097</v>
      </c>
      <c r="D157" s="572" t="s">
        <v>903</v>
      </c>
      <c r="E157" s="572" t="s">
        <v>380</v>
      </c>
      <c r="F157" s="572" t="s">
        <v>529</v>
      </c>
      <c r="G157" s="572" t="s">
        <v>88</v>
      </c>
      <c r="H157" s="375"/>
      <c r="I157" s="375"/>
      <c r="J157" s="375"/>
      <c r="K157" s="375"/>
      <c r="L157" s="376"/>
      <c r="M157" s="376"/>
      <c r="N157" s="376"/>
      <c r="O157" s="376"/>
      <c r="P157" s="378"/>
      <c r="Q157" s="378"/>
      <c r="R157" s="378">
        <v>37</v>
      </c>
      <c r="S157" s="378">
        <v>24</v>
      </c>
      <c r="T157" s="378"/>
      <c r="U157" s="378"/>
      <c r="V157" s="533"/>
      <c r="W157" s="378"/>
      <c r="X157" s="378"/>
      <c r="Y157" s="378">
        <f>IF(NFI_Expiration=1,IF($A157&lt;VLOOKUP(H$5,NFI,5,0),1,0)*Table_NFI[[#This Row],[Hygiene Kit]],Table_NFI[Hygiene Kit])</f>
        <v>0</v>
      </c>
      <c r="Z157" s="378">
        <f>IF(NFI_Expiration=1,IF($A157&lt;VLOOKUP(I$5,NFI,5,0),1,0)*Table_NFI[[#This Row],[NFI Core Kit]],Table_NFI[NFI Core Kit])</f>
        <v>0</v>
      </c>
      <c r="AA157" s="378">
        <f>IF(NFI_Expiration=1,IF($A157&lt;VLOOKUP(J$5,NFI,5,0),1,0)*Table_NFI[[#This Row],[Sanitary Kit]],Table_NFI[Sanitary Kit])</f>
        <v>0</v>
      </c>
      <c r="AB157" s="378">
        <f>IF(NFI_Expiration=1,IF($A157&lt;VLOOKUP(K$5,NFI,5,0),1,0)*Table_NFI[[#This Row],[Mosquito net]],Table_NFI[Mosquito net])</f>
        <v>0</v>
      </c>
      <c r="AC157" s="378">
        <f>IF(NFI_Expiration=1,IF($A157&lt;VLOOKUP(L$5,NFI,5,0),1,0)*Table_NFI[[#This Row],[Tarpaulin]],Table_NFI[[#This Row],[Tarpaulin]])</f>
        <v>0</v>
      </c>
      <c r="AD157" s="378">
        <f>IF(NFI_Expiration=1,IF($A157&lt;VLOOKUP(M$5,NFI,5,0),1,0)*Table_NFI[[#This Row],[Blanket]],Table_NFI[[#This Row],[Blanket]])</f>
        <v>0</v>
      </c>
      <c r="AE157" s="378">
        <f>IF(NFI_Expiration=1,IF($A157&lt;VLOOKUP(N$5,NFI,5,0),1,0)*Table_NFI[[#This Row],[Kitchen Set]],Table_NFI[Kitchen Set])</f>
        <v>0</v>
      </c>
      <c r="AF157" s="378">
        <f>IF(NFI_Expiration=1,IF($A157&lt;VLOOKUP(O$5,NFI,5,0),1,0)*Table_NFI[[#This Row],[Clothes Kit]],Table_NFI[Clothes Kit])</f>
        <v>0</v>
      </c>
      <c r="AG157" s="378">
        <f>IF(NFI_Expiration=1,IF($A157&lt;VLOOKUP(P$5,NFI,5,0),1,0)*Table_NFI[[#This Row],[Plastic Bucket]],Table_NFI[Plastic Bucket])</f>
        <v>0</v>
      </c>
      <c r="AH157" s="378">
        <f>IF(NFI_Expiration=1,IF($A157&lt;VLOOKUP(Q$5,NFI,5,0),1,0)*Table_NFI[[#This Row],[Plastic Mat]],Table_NFI[Plastic Mat])*IF(Table_NFI[[#This Row],[Distribution Date]]&gt;"2014-04-01",1,2.5)</f>
        <v>0</v>
      </c>
      <c r="AI157" s="378">
        <f>IF(NFI_Expiration=1,IF($A157&lt;VLOOKUP(R$5,NFI,5,0),1,0)*Table_NFI[[#This Row],[Winter Clothes Adult]],Table_NFI[Winter Clothes Adult])</f>
        <v>0</v>
      </c>
      <c r="AJ157" s="378">
        <f>IF(NFI_Expiration=1,IF($A157&lt;VLOOKUP(S$5,NFI,5,0),1,0)*Table_NFI[[#This Row],[Winter Clothes Children]],Table_NFI[Winter Clothes Children])</f>
        <v>0</v>
      </c>
      <c r="AK157" s="378">
        <f>IF(NFI_Expiration=1,IF($A157&lt;VLOOKUP(T$5,NFI,5,0),1,0)*Table_NFI[[#This Row],[Winter Items Other]],Table_NFI[Winter Items Other])</f>
        <v>0</v>
      </c>
      <c r="AL157" s="378">
        <f>IF(NFI_Expiration=1,IF($A157&lt;VLOOKUP(M$5,NFI,5,0),1,0)*Table_NFI[[#This Row],[Winter Blanket]],Table_NFI[[#This Row],[Winter Blanket]])</f>
        <v>0</v>
      </c>
      <c r="AM157" s="378">
        <f>IF(Table_NFI[[#This Row],[Winter Clothes Adult]]+Table_NFI[[#This Row],[Winter Clothes Children]]+Table_NFI[[#This Row],[Winter Items Other]]+Table_NFI[[#This Row],[Winter Blanket]]&gt;0,1,0)</f>
        <v>1</v>
      </c>
      <c r="AN157" s="418">
        <f>IF(NFI_Expiration=1,IF($A157&lt;VLOOKUP(V$5,NFI,5,0),1,0)*Table_NFI[[#This Row],[Jerry Can]],Table_NFI[Jerry Can])</f>
        <v>0</v>
      </c>
      <c r="AO157" s="579" t="str">
        <f>IFERROR(VLOOKUP(Table_NFI[[#This Row],[Camp Name]],CL,2,0),"")</f>
        <v>MMR001CMP148</v>
      </c>
      <c r="AP157" s="574">
        <f ca="1">IF(Table_NFI[[#This Row],[Pcode]]="","",IF(OFFSET(CampList[Opening Date],MATCH(Table_NFI[[#This Row],[Pcode]],CampList[CP_Pcode],0)-1,0,1,1)&gt;=NFI_Monitor_Date,1,0))</f>
        <v>0</v>
      </c>
      <c r="AQ157" s="579" t="str">
        <f>IFERROR(VLOOKUP(Table_NFI[[#This Row],[Camp Name]],CL,3,0),"")</f>
        <v>Open</v>
      </c>
      <c r="AR157" s="378" t="str">
        <f ca="1">IF(Table_NFI[[#This Row],[Pcode]]="","",OFFSET(CampList[Priority],MATCH(Table_NFI[[#This Row],[Pcode]],CampList[CP_Pcode],0)-1,0,1,1))</f>
        <v>P4</v>
      </c>
      <c r="AS157" s="377">
        <f>IFERROR(Table_NFI[[#This Row],[Kitchen Set]]/VLOOKUP(Table_NFI[[#This Row],[Camp Name]],CL,4,0),"")</f>
        <v>0</v>
      </c>
      <c r="AT157" s="572"/>
      <c r="AU157" s="575"/>
    </row>
    <row r="158" spans="1:47" s="130" customFormat="1" x14ac:dyDescent="0.25">
      <c r="A158" s="381">
        <f t="shared" si="2"/>
        <v>26.266666666666666</v>
      </c>
      <c r="B158" s="571">
        <v>41734</v>
      </c>
      <c r="C158" s="572" t="s">
        <v>1107</v>
      </c>
      <c r="D158" s="572" t="s">
        <v>903</v>
      </c>
      <c r="E158" s="572" t="s">
        <v>380</v>
      </c>
      <c r="F158" s="572" t="s">
        <v>529</v>
      </c>
      <c r="G158" s="572" t="s">
        <v>88</v>
      </c>
      <c r="H158" s="375"/>
      <c r="I158" s="375"/>
      <c r="J158" s="375"/>
      <c r="K158" s="375"/>
      <c r="L158" s="376"/>
      <c r="M158" s="376"/>
      <c r="N158" s="376"/>
      <c r="O158" s="376"/>
      <c r="P158" s="378"/>
      <c r="Q158" s="378"/>
      <c r="R158" s="378"/>
      <c r="S158" s="378"/>
      <c r="T158" s="378"/>
      <c r="U158" s="378">
        <v>44</v>
      </c>
      <c r="V158" s="533"/>
      <c r="W158" s="378"/>
      <c r="X158" s="378"/>
      <c r="Y158" s="378">
        <f>IF(NFI_Expiration=1,IF($A158&lt;VLOOKUP(H$5,NFI,5,0),1,0)*Table_NFI[[#This Row],[Hygiene Kit]],Table_NFI[Hygiene Kit])</f>
        <v>0</v>
      </c>
      <c r="Z158" s="378">
        <f>IF(NFI_Expiration=1,IF($A158&lt;VLOOKUP(I$5,NFI,5,0),1,0)*Table_NFI[[#This Row],[NFI Core Kit]],Table_NFI[NFI Core Kit])</f>
        <v>0</v>
      </c>
      <c r="AA158" s="378">
        <f>IF(NFI_Expiration=1,IF($A158&lt;VLOOKUP(J$5,NFI,5,0),1,0)*Table_NFI[[#This Row],[Sanitary Kit]],Table_NFI[Sanitary Kit])</f>
        <v>0</v>
      </c>
      <c r="AB158" s="378">
        <f>IF(NFI_Expiration=1,IF($A158&lt;VLOOKUP(K$5,NFI,5,0),1,0)*Table_NFI[[#This Row],[Mosquito net]],Table_NFI[Mosquito net])</f>
        <v>0</v>
      </c>
      <c r="AC158" s="378">
        <f>IF(NFI_Expiration=1,IF($A158&lt;VLOOKUP(L$5,NFI,5,0),1,0)*Table_NFI[[#This Row],[Tarpaulin]],Table_NFI[[#This Row],[Tarpaulin]])</f>
        <v>0</v>
      </c>
      <c r="AD158" s="378">
        <f>IF(NFI_Expiration=1,IF($A158&lt;VLOOKUP(M$5,NFI,5,0),1,0)*Table_NFI[[#This Row],[Blanket]],Table_NFI[[#This Row],[Blanket]])</f>
        <v>0</v>
      </c>
      <c r="AE158" s="378">
        <f>IF(NFI_Expiration=1,IF($A158&lt;VLOOKUP(N$5,NFI,5,0),1,0)*Table_NFI[[#This Row],[Kitchen Set]],Table_NFI[Kitchen Set])</f>
        <v>0</v>
      </c>
      <c r="AF158" s="378">
        <f>IF(NFI_Expiration=1,IF($A158&lt;VLOOKUP(O$5,NFI,5,0),1,0)*Table_NFI[[#This Row],[Clothes Kit]],Table_NFI[Clothes Kit])</f>
        <v>0</v>
      </c>
      <c r="AG158" s="378">
        <f>IF(NFI_Expiration=1,IF($A158&lt;VLOOKUP(P$5,NFI,5,0),1,0)*Table_NFI[[#This Row],[Plastic Bucket]],Table_NFI[Plastic Bucket])</f>
        <v>0</v>
      </c>
      <c r="AH158" s="378">
        <f>IF(NFI_Expiration=1,IF($A158&lt;VLOOKUP(Q$5,NFI,5,0),1,0)*Table_NFI[[#This Row],[Plastic Mat]],Table_NFI[Plastic Mat])*IF(Table_NFI[[#This Row],[Distribution Date]]&gt;"2014-04-01",1,2.5)</f>
        <v>0</v>
      </c>
      <c r="AI158" s="378">
        <f>IF(NFI_Expiration=1,IF($A158&lt;VLOOKUP(R$5,NFI,5,0),1,0)*Table_NFI[[#This Row],[Winter Clothes Adult]],Table_NFI[Winter Clothes Adult])</f>
        <v>0</v>
      </c>
      <c r="AJ158" s="378">
        <f>IF(NFI_Expiration=1,IF($A158&lt;VLOOKUP(S$5,NFI,5,0),1,0)*Table_NFI[[#This Row],[Winter Clothes Children]],Table_NFI[Winter Clothes Children])</f>
        <v>0</v>
      </c>
      <c r="AK158" s="378">
        <f>IF(NFI_Expiration=1,IF($A158&lt;VLOOKUP(T$5,NFI,5,0),1,0)*Table_NFI[[#This Row],[Winter Items Other]],Table_NFI[Winter Items Other])</f>
        <v>0</v>
      </c>
      <c r="AL158" s="378">
        <f>IF(NFI_Expiration=1,IF($A158&lt;VLOOKUP(M$5,NFI,5,0),1,0)*Table_NFI[[#This Row],[Winter Blanket]],Table_NFI[[#This Row],[Winter Blanket]])</f>
        <v>0</v>
      </c>
      <c r="AM158" s="378">
        <f>IF(Table_NFI[[#This Row],[Winter Clothes Adult]]+Table_NFI[[#This Row],[Winter Clothes Children]]+Table_NFI[[#This Row],[Winter Items Other]]+Table_NFI[[#This Row],[Winter Blanket]]&gt;0,1,0)</f>
        <v>1</v>
      </c>
      <c r="AN158" s="418">
        <f>IF(NFI_Expiration=1,IF($A158&lt;VLOOKUP(V$5,NFI,5,0),1,0)*Table_NFI[[#This Row],[Jerry Can]],Table_NFI[Jerry Can])</f>
        <v>0</v>
      </c>
      <c r="AO158" s="579" t="str">
        <f>IFERROR(VLOOKUP(Table_NFI[[#This Row],[Camp Name]],CL,2,0),"")</f>
        <v>MMR001CMP148</v>
      </c>
      <c r="AP158" s="574">
        <f ca="1">IF(Table_NFI[[#This Row],[Pcode]]="","",IF(OFFSET(CampList[Opening Date],MATCH(Table_NFI[[#This Row],[Pcode]],CampList[CP_Pcode],0)-1,0,1,1)&gt;=NFI_Monitor_Date,1,0))</f>
        <v>0</v>
      </c>
      <c r="AQ158" s="579" t="str">
        <f>IFERROR(VLOOKUP(Table_NFI[[#This Row],[Camp Name]],CL,3,0),"")</f>
        <v>Open</v>
      </c>
      <c r="AR158" s="378" t="str">
        <f ca="1">IF(Table_NFI[[#This Row],[Pcode]]="","",OFFSET(CampList[Priority],MATCH(Table_NFI[[#This Row],[Pcode]],CampList[CP_Pcode],0)-1,0,1,1))</f>
        <v>P4</v>
      </c>
      <c r="AS158" s="377">
        <f>IFERROR(Table_NFI[[#This Row],[Kitchen Set]]/VLOOKUP(Table_NFI[[#This Row],[Camp Name]],CL,4,0),"")</f>
        <v>0</v>
      </c>
      <c r="AT158" s="572"/>
      <c r="AU158" s="575"/>
    </row>
    <row r="159" spans="1:47" s="130" customFormat="1" x14ac:dyDescent="0.25">
      <c r="A159" s="381">
        <f t="shared" si="2"/>
        <v>39.966666666666669</v>
      </c>
      <c r="B159" s="571">
        <v>41323</v>
      </c>
      <c r="C159" s="572" t="s">
        <v>454</v>
      </c>
      <c r="D159" s="573" t="s">
        <v>454</v>
      </c>
      <c r="E159" s="572" t="s">
        <v>380</v>
      </c>
      <c r="F159" s="374" t="s">
        <v>529</v>
      </c>
      <c r="G159" s="374" t="s">
        <v>88</v>
      </c>
      <c r="H159" s="375"/>
      <c r="I159" s="375"/>
      <c r="J159" s="375">
        <v>30</v>
      </c>
      <c r="K159" s="375">
        <v>0</v>
      </c>
      <c r="L159" s="376">
        <v>0</v>
      </c>
      <c r="M159" s="376">
        <v>0</v>
      </c>
      <c r="N159" s="376">
        <v>0</v>
      </c>
      <c r="O159" s="376">
        <v>0</v>
      </c>
      <c r="P159" s="378"/>
      <c r="Q159" s="378"/>
      <c r="R159" s="378"/>
      <c r="S159" s="378"/>
      <c r="T159" s="378"/>
      <c r="U159" s="378"/>
      <c r="V159" s="533"/>
      <c r="W159" s="378"/>
      <c r="X159" s="378"/>
      <c r="Y159" s="378">
        <f>IF(NFI_Expiration=1,IF($A159&lt;VLOOKUP(H$5,NFI,5,0),1,0)*Table_NFI[[#This Row],[Hygiene Kit]],Table_NFI[Hygiene Kit])</f>
        <v>0</v>
      </c>
      <c r="Z159" s="378">
        <f>IF(NFI_Expiration=1,IF($A159&lt;VLOOKUP(I$5,NFI,5,0),1,0)*Table_NFI[[#This Row],[NFI Core Kit]],Table_NFI[NFI Core Kit])</f>
        <v>0</v>
      </c>
      <c r="AA159" s="378">
        <f>IF(NFI_Expiration=1,IF($A159&lt;VLOOKUP(J$5,NFI,5,0),1,0)*Table_NFI[[#This Row],[Sanitary Kit]],Table_NFI[Sanitary Kit])</f>
        <v>0</v>
      </c>
      <c r="AB159" s="378">
        <f>IF(NFI_Expiration=1,IF($A159&lt;VLOOKUP(K$5,NFI,5,0),1,0)*Table_NFI[[#This Row],[Mosquito net]],Table_NFI[Mosquito net])</f>
        <v>0</v>
      </c>
      <c r="AC159" s="378">
        <f>IF(NFI_Expiration=1,IF($A159&lt;VLOOKUP(L$5,NFI,5,0),1,0)*Table_NFI[[#This Row],[Tarpaulin]],Table_NFI[[#This Row],[Tarpaulin]])</f>
        <v>0</v>
      </c>
      <c r="AD159" s="378">
        <f>IF(NFI_Expiration=1,IF($A159&lt;VLOOKUP(M$5,NFI,5,0),1,0)*Table_NFI[[#This Row],[Blanket]],Table_NFI[[#This Row],[Blanket]])</f>
        <v>0</v>
      </c>
      <c r="AE159" s="378">
        <f>IF(NFI_Expiration=1,IF($A159&lt;VLOOKUP(N$5,NFI,5,0),1,0)*Table_NFI[[#This Row],[Kitchen Set]],Table_NFI[Kitchen Set])</f>
        <v>0</v>
      </c>
      <c r="AF159" s="378">
        <f>IF(NFI_Expiration=1,IF($A159&lt;VLOOKUP(O$5,NFI,5,0),1,0)*Table_NFI[[#This Row],[Clothes Kit]],Table_NFI[Clothes Kit])</f>
        <v>0</v>
      </c>
      <c r="AG159" s="378">
        <f>IF(NFI_Expiration=1,IF($A159&lt;VLOOKUP(P$5,NFI,5,0),1,0)*Table_NFI[[#This Row],[Plastic Bucket]],Table_NFI[Plastic Bucket])</f>
        <v>0</v>
      </c>
      <c r="AH159" s="378">
        <f>IF(NFI_Expiration=1,IF($A159&lt;VLOOKUP(Q$5,NFI,5,0),1,0)*Table_NFI[[#This Row],[Plastic Mat]],Table_NFI[Plastic Mat])*IF(Table_NFI[[#This Row],[Distribution Date]]&gt;"2014-04-01",1,2.5)</f>
        <v>0</v>
      </c>
      <c r="AI159" s="378">
        <f>IF(NFI_Expiration=1,IF($A159&lt;VLOOKUP(R$5,NFI,5,0),1,0)*Table_NFI[[#This Row],[Winter Clothes Adult]],Table_NFI[Winter Clothes Adult])</f>
        <v>0</v>
      </c>
      <c r="AJ159" s="378">
        <f>IF(NFI_Expiration=1,IF($A159&lt;VLOOKUP(S$5,NFI,5,0),1,0)*Table_NFI[[#This Row],[Winter Clothes Children]],Table_NFI[Winter Clothes Children])</f>
        <v>0</v>
      </c>
      <c r="AK159" s="378">
        <f>IF(NFI_Expiration=1,IF($A159&lt;VLOOKUP(T$5,NFI,5,0),1,0)*Table_NFI[[#This Row],[Winter Items Other]],Table_NFI[Winter Items Other])</f>
        <v>0</v>
      </c>
      <c r="AL159" s="378">
        <f>IF(NFI_Expiration=1,IF($A159&lt;VLOOKUP(M$5,NFI,5,0),1,0)*Table_NFI[[#This Row],[Winter Blanket]],Table_NFI[[#This Row],[Winter Blanket]])</f>
        <v>0</v>
      </c>
      <c r="AM159" s="378">
        <f>IF(Table_NFI[[#This Row],[Winter Clothes Adult]]+Table_NFI[[#This Row],[Winter Clothes Children]]+Table_NFI[[#This Row],[Winter Items Other]]+Table_NFI[[#This Row],[Winter Blanket]]&gt;0,1,0)</f>
        <v>0</v>
      </c>
      <c r="AN159" s="418">
        <f>IF(NFI_Expiration=1,IF($A159&lt;VLOOKUP(V$5,NFI,5,0),1,0)*Table_NFI[[#This Row],[Jerry Can]],Table_NFI[Jerry Can])</f>
        <v>0</v>
      </c>
      <c r="AO159" s="579" t="str">
        <f>IFERROR(VLOOKUP(Table_NFI[[#This Row],[Camp Name]],CL,2,0),"")</f>
        <v>MMR001CMP148</v>
      </c>
      <c r="AP159" s="574">
        <f ca="1">IF(Table_NFI[[#This Row],[Pcode]]="","",IF(OFFSET(CampList[Opening Date],MATCH(Table_NFI[[#This Row],[Pcode]],CampList[CP_Pcode],0)-1,0,1,1)&gt;=NFI_Monitor_Date,1,0))</f>
        <v>0</v>
      </c>
      <c r="AQ159" s="579" t="str">
        <f>IFERROR(VLOOKUP(Table_NFI[[#This Row],[Camp Name]],CL,3,0),"")</f>
        <v>Open</v>
      </c>
      <c r="AR159" s="378" t="str">
        <f ca="1">IF(Table_NFI[[#This Row],[Pcode]]="","",OFFSET(CampList[Priority],MATCH(Table_NFI[[#This Row],[Pcode]],CampList[CP_Pcode],0)-1,0,1,1))</f>
        <v>P4</v>
      </c>
      <c r="AS159" s="377">
        <f>IFERROR(Table_NFI[[#This Row],[Kitchen Set]]/VLOOKUP(Table_NFI[[#This Row],[Camp Name]],CL,4,0),"")</f>
        <v>0</v>
      </c>
      <c r="AT159" s="572" t="s">
        <v>1095</v>
      </c>
      <c r="AU159" s="575"/>
    </row>
    <row r="160" spans="1:47" s="130" customFormat="1" x14ac:dyDescent="0.25">
      <c r="A160" s="381">
        <f t="shared" si="2"/>
        <v>41.6</v>
      </c>
      <c r="B160" s="571">
        <v>41274</v>
      </c>
      <c r="C160" s="572" t="s">
        <v>455</v>
      </c>
      <c r="D160" s="572" t="s">
        <v>455</v>
      </c>
      <c r="E160" s="572" t="s">
        <v>380</v>
      </c>
      <c r="F160" s="572" t="s">
        <v>529</v>
      </c>
      <c r="G160" s="374" t="s">
        <v>88</v>
      </c>
      <c r="H160" s="375">
        <v>4</v>
      </c>
      <c r="I160" s="375"/>
      <c r="J160" s="375"/>
      <c r="K160" s="375"/>
      <c r="L160" s="376"/>
      <c r="M160" s="376"/>
      <c r="N160" s="376"/>
      <c r="O160" s="376"/>
      <c r="P160" s="378">
        <v>0</v>
      </c>
      <c r="Q160" s="378">
        <v>0</v>
      </c>
      <c r="R160" s="378"/>
      <c r="S160" s="378"/>
      <c r="T160" s="378"/>
      <c r="U160" s="378"/>
      <c r="V160" s="533"/>
      <c r="W160" s="378"/>
      <c r="X160" s="378"/>
      <c r="Y160" s="378">
        <f>IF(NFI_Expiration=1,IF($A160&lt;VLOOKUP(H$5,NFI,5,0),1,0)*Table_NFI[[#This Row],[Hygiene Kit]],Table_NFI[Hygiene Kit])</f>
        <v>0</v>
      </c>
      <c r="Z160" s="378">
        <f>IF(NFI_Expiration=1,IF($A160&lt;VLOOKUP(I$5,NFI,5,0),1,0)*Table_NFI[[#This Row],[NFI Core Kit]],Table_NFI[NFI Core Kit])</f>
        <v>0</v>
      </c>
      <c r="AA160" s="378">
        <f>IF(NFI_Expiration=1,IF($A160&lt;VLOOKUP(J$5,NFI,5,0),1,0)*Table_NFI[[#This Row],[Sanitary Kit]],Table_NFI[Sanitary Kit])</f>
        <v>0</v>
      </c>
      <c r="AB160" s="378">
        <f>IF(NFI_Expiration=1,IF($A160&lt;VLOOKUP(K$5,NFI,5,0),1,0)*Table_NFI[[#This Row],[Mosquito net]],Table_NFI[Mosquito net])</f>
        <v>0</v>
      </c>
      <c r="AC160" s="378">
        <f>IF(NFI_Expiration=1,IF($A160&lt;VLOOKUP(L$5,NFI,5,0),1,0)*Table_NFI[[#This Row],[Tarpaulin]],Table_NFI[[#This Row],[Tarpaulin]])</f>
        <v>0</v>
      </c>
      <c r="AD160" s="378">
        <f>IF(NFI_Expiration=1,IF($A160&lt;VLOOKUP(M$5,NFI,5,0),1,0)*Table_NFI[[#This Row],[Blanket]],Table_NFI[[#This Row],[Blanket]])</f>
        <v>0</v>
      </c>
      <c r="AE160" s="378">
        <f>IF(NFI_Expiration=1,IF($A160&lt;VLOOKUP(N$5,NFI,5,0),1,0)*Table_NFI[[#This Row],[Kitchen Set]],Table_NFI[Kitchen Set])</f>
        <v>0</v>
      </c>
      <c r="AF160" s="378">
        <f>IF(NFI_Expiration=1,IF($A160&lt;VLOOKUP(O$5,NFI,5,0),1,0)*Table_NFI[[#This Row],[Clothes Kit]],Table_NFI[Clothes Kit])</f>
        <v>0</v>
      </c>
      <c r="AG160" s="378">
        <f>IF(NFI_Expiration=1,IF($A160&lt;VLOOKUP(P$5,NFI,5,0),1,0)*Table_NFI[[#This Row],[Plastic Bucket]],Table_NFI[Plastic Bucket])</f>
        <v>0</v>
      </c>
      <c r="AH160" s="378">
        <f>IF(NFI_Expiration=1,IF($A160&lt;VLOOKUP(Q$5,NFI,5,0),1,0)*Table_NFI[[#This Row],[Plastic Mat]],Table_NFI[Plastic Mat])*IF(Table_NFI[[#This Row],[Distribution Date]]&gt;"2014-04-01",1,2.5)</f>
        <v>0</v>
      </c>
      <c r="AI160" s="378">
        <f>IF(NFI_Expiration=1,IF($A160&lt;VLOOKUP(R$5,NFI,5,0),1,0)*Table_NFI[[#This Row],[Winter Clothes Adult]],Table_NFI[Winter Clothes Adult])</f>
        <v>0</v>
      </c>
      <c r="AJ160" s="378">
        <f>IF(NFI_Expiration=1,IF($A160&lt;VLOOKUP(S$5,NFI,5,0),1,0)*Table_NFI[[#This Row],[Winter Clothes Children]],Table_NFI[Winter Clothes Children])</f>
        <v>0</v>
      </c>
      <c r="AK160" s="378">
        <f>IF(NFI_Expiration=1,IF($A160&lt;VLOOKUP(T$5,NFI,5,0),1,0)*Table_NFI[[#This Row],[Winter Items Other]],Table_NFI[Winter Items Other])</f>
        <v>0</v>
      </c>
      <c r="AL160" s="378">
        <f>IF(NFI_Expiration=1,IF($A160&lt;VLOOKUP(M$5,NFI,5,0),1,0)*Table_NFI[[#This Row],[Winter Blanket]],Table_NFI[[#This Row],[Winter Blanket]])</f>
        <v>0</v>
      </c>
      <c r="AM160" s="378">
        <f>IF(Table_NFI[[#This Row],[Winter Clothes Adult]]+Table_NFI[[#This Row],[Winter Clothes Children]]+Table_NFI[[#This Row],[Winter Items Other]]+Table_NFI[[#This Row],[Winter Blanket]]&gt;0,1,0)</f>
        <v>0</v>
      </c>
      <c r="AN160" s="418">
        <f>IF(NFI_Expiration=1,IF($A160&lt;VLOOKUP(V$5,NFI,5,0),1,0)*Table_NFI[[#This Row],[Jerry Can]],Table_NFI[Jerry Can])</f>
        <v>0</v>
      </c>
      <c r="AO160" s="579" t="str">
        <f>IFERROR(VLOOKUP(Table_NFI[[#This Row],[Camp Name]],CL,2,0),"")</f>
        <v>MMR001CMP148</v>
      </c>
      <c r="AP160" s="574">
        <f ca="1">IF(Table_NFI[[#This Row],[Pcode]]="","",IF(OFFSET(CampList[Opening Date],MATCH(Table_NFI[[#This Row],[Pcode]],CampList[CP_Pcode],0)-1,0,1,1)&gt;=NFI_Monitor_Date,1,0))</f>
        <v>0</v>
      </c>
      <c r="AQ160" s="579" t="str">
        <f>IFERROR(VLOOKUP(Table_NFI[[#This Row],[Camp Name]],CL,3,0),"")</f>
        <v>Open</v>
      </c>
      <c r="AR160" s="378" t="str">
        <f ca="1">IF(Table_NFI[[#This Row],[Pcode]]="","",OFFSET(CampList[Priority],MATCH(Table_NFI[[#This Row],[Pcode]],CampList[CP_Pcode],0)-1,0,1,1))</f>
        <v>P4</v>
      </c>
      <c r="AS160" s="377">
        <f>IFERROR(Table_NFI[[#This Row],[Kitchen Set]]/VLOOKUP(Table_NFI[[#This Row],[Camp Name]],CL,4,0),"")</f>
        <v>0</v>
      </c>
      <c r="AT160" s="572" t="s">
        <v>1095</v>
      </c>
      <c r="AU160" s="575"/>
    </row>
    <row r="161" spans="1:47" s="130" customFormat="1" x14ac:dyDescent="0.25">
      <c r="A161" s="381">
        <f t="shared" si="2"/>
        <v>41.966666666666669</v>
      </c>
      <c r="B161" s="571">
        <v>41263</v>
      </c>
      <c r="C161" s="572" t="s">
        <v>454</v>
      </c>
      <c r="D161" s="573" t="s">
        <v>462</v>
      </c>
      <c r="E161" s="572" t="s">
        <v>380</v>
      </c>
      <c r="F161" s="374" t="s">
        <v>529</v>
      </c>
      <c r="G161" s="374" t="s">
        <v>88</v>
      </c>
      <c r="H161" s="375"/>
      <c r="I161" s="380"/>
      <c r="J161" s="373"/>
      <c r="K161" s="373">
        <v>12</v>
      </c>
      <c r="L161" s="373">
        <v>0</v>
      </c>
      <c r="M161" s="373">
        <v>12</v>
      </c>
      <c r="N161" s="373">
        <v>0</v>
      </c>
      <c r="O161" s="373">
        <v>0</v>
      </c>
      <c r="P161" s="378"/>
      <c r="Q161" s="378"/>
      <c r="R161" s="378"/>
      <c r="S161" s="378"/>
      <c r="T161" s="378"/>
      <c r="U161" s="378"/>
      <c r="V161" s="533"/>
      <c r="W161" s="378"/>
      <c r="X161" s="378"/>
      <c r="Y161" s="378">
        <f>IF(NFI_Expiration=1,IF($A161&lt;VLOOKUP(H$5,NFI,5,0),1,0)*Table_NFI[[#This Row],[Hygiene Kit]],Table_NFI[Hygiene Kit])</f>
        <v>0</v>
      </c>
      <c r="Z161" s="378">
        <f>IF(NFI_Expiration=1,IF($A161&lt;VLOOKUP(I$5,NFI,5,0),1,0)*Table_NFI[[#This Row],[NFI Core Kit]],Table_NFI[NFI Core Kit])</f>
        <v>0</v>
      </c>
      <c r="AA161" s="378">
        <f>IF(NFI_Expiration=1,IF($A161&lt;VLOOKUP(J$5,NFI,5,0),1,0)*Table_NFI[[#This Row],[Sanitary Kit]],Table_NFI[Sanitary Kit])</f>
        <v>0</v>
      </c>
      <c r="AB161" s="378">
        <f>IF(NFI_Expiration=1,IF($A161&lt;VLOOKUP(K$5,NFI,5,0),1,0)*Table_NFI[[#This Row],[Mosquito net]],Table_NFI[Mosquito net])</f>
        <v>0</v>
      </c>
      <c r="AC161" s="378">
        <f>IF(NFI_Expiration=1,IF($A161&lt;VLOOKUP(L$5,NFI,5,0),1,0)*Table_NFI[[#This Row],[Tarpaulin]],Table_NFI[[#This Row],[Tarpaulin]])</f>
        <v>0</v>
      </c>
      <c r="AD161" s="378">
        <f>IF(NFI_Expiration=1,IF($A161&lt;VLOOKUP(M$5,NFI,5,0),1,0)*Table_NFI[[#This Row],[Blanket]],Table_NFI[[#This Row],[Blanket]])</f>
        <v>0</v>
      </c>
      <c r="AE161" s="378">
        <f>IF(NFI_Expiration=1,IF($A161&lt;VLOOKUP(N$5,NFI,5,0),1,0)*Table_NFI[[#This Row],[Kitchen Set]],Table_NFI[Kitchen Set])</f>
        <v>0</v>
      </c>
      <c r="AF161" s="378">
        <f>IF(NFI_Expiration=1,IF($A161&lt;VLOOKUP(O$5,NFI,5,0),1,0)*Table_NFI[[#This Row],[Clothes Kit]],Table_NFI[Clothes Kit])</f>
        <v>0</v>
      </c>
      <c r="AG161" s="378">
        <f>IF(NFI_Expiration=1,IF($A161&lt;VLOOKUP(P$5,NFI,5,0),1,0)*Table_NFI[[#This Row],[Plastic Bucket]],Table_NFI[Plastic Bucket])</f>
        <v>0</v>
      </c>
      <c r="AH161" s="378">
        <f>IF(NFI_Expiration=1,IF($A161&lt;VLOOKUP(Q$5,NFI,5,0),1,0)*Table_NFI[[#This Row],[Plastic Mat]],Table_NFI[Plastic Mat])*IF(Table_NFI[[#This Row],[Distribution Date]]&gt;"2014-04-01",1,2.5)</f>
        <v>0</v>
      </c>
      <c r="AI161" s="378">
        <f>IF(NFI_Expiration=1,IF($A161&lt;VLOOKUP(R$5,NFI,5,0),1,0)*Table_NFI[[#This Row],[Winter Clothes Adult]],Table_NFI[Winter Clothes Adult])</f>
        <v>0</v>
      </c>
      <c r="AJ161" s="378">
        <f>IF(NFI_Expiration=1,IF($A161&lt;VLOOKUP(S$5,NFI,5,0),1,0)*Table_NFI[[#This Row],[Winter Clothes Children]],Table_NFI[Winter Clothes Children])</f>
        <v>0</v>
      </c>
      <c r="AK161" s="378">
        <f>IF(NFI_Expiration=1,IF($A161&lt;VLOOKUP(T$5,NFI,5,0),1,0)*Table_NFI[[#This Row],[Winter Items Other]],Table_NFI[Winter Items Other])</f>
        <v>0</v>
      </c>
      <c r="AL161" s="378">
        <f>IF(NFI_Expiration=1,IF($A161&lt;VLOOKUP(M$5,NFI,5,0),1,0)*Table_NFI[[#This Row],[Winter Blanket]],Table_NFI[[#This Row],[Winter Blanket]])</f>
        <v>0</v>
      </c>
      <c r="AM161" s="378">
        <f>IF(Table_NFI[[#This Row],[Winter Clothes Adult]]+Table_NFI[[#This Row],[Winter Clothes Children]]+Table_NFI[[#This Row],[Winter Items Other]]+Table_NFI[[#This Row],[Winter Blanket]]&gt;0,1,0)</f>
        <v>0</v>
      </c>
      <c r="AN161" s="418">
        <f>IF(NFI_Expiration=1,IF($A161&lt;VLOOKUP(V$5,NFI,5,0),1,0)*Table_NFI[[#This Row],[Jerry Can]],Table_NFI[Jerry Can])</f>
        <v>0</v>
      </c>
      <c r="AO161" s="579" t="str">
        <f>IFERROR(VLOOKUP(Table_NFI[[#This Row],[Camp Name]],CL,2,0),"")</f>
        <v>MMR001CMP148</v>
      </c>
      <c r="AP161" s="574">
        <f ca="1">IF(Table_NFI[[#This Row],[Pcode]]="","",IF(OFFSET(CampList[Opening Date],MATCH(Table_NFI[[#This Row],[Pcode]],CampList[CP_Pcode],0)-1,0,1,1)&gt;=NFI_Monitor_Date,1,0))</f>
        <v>0</v>
      </c>
      <c r="AQ161" s="579" t="str">
        <f>IFERROR(VLOOKUP(Table_NFI[[#This Row],[Camp Name]],CL,3,0),"")</f>
        <v>Open</v>
      </c>
      <c r="AR161" s="378" t="str">
        <f ca="1">IF(Table_NFI[[#This Row],[Pcode]]="","",OFFSET(CampList[Priority],MATCH(Table_NFI[[#This Row],[Pcode]],CampList[CP_Pcode],0)-1,0,1,1))</f>
        <v>P4</v>
      </c>
      <c r="AS161" s="377">
        <f>IFERROR(Table_NFI[[#This Row],[Kitchen Set]]/VLOOKUP(Table_NFI[[#This Row],[Camp Name]],CL,4,0),"")</f>
        <v>0</v>
      </c>
      <c r="AT161" s="572" t="s">
        <v>1095</v>
      </c>
      <c r="AU161" s="575"/>
    </row>
    <row r="162" spans="1:47" s="130" customFormat="1" x14ac:dyDescent="0.25">
      <c r="A162" s="381">
        <f t="shared" si="2"/>
        <v>43.3</v>
      </c>
      <c r="B162" s="571">
        <v>41223</v>
      </c>
      <c r="C162" s="572" t="s">
        <v>454</v>
      </c>
      <c r="D162" s="572" t="s">
        <v>454</v>
      </c>
      <c r="E162" s="572" t="s">
        <v>380</v>
      </c>
      <c r="F162" s="572" t="s">
        <v>529</v>
      </c>
      <c r="G162" s="374" t="s">
        <v>88</v>
      </c>
      <c r="H162" s="375"/>
      <c r="I162" s="375"/>
      <c r="J162" s="375"/>
      <c r="K162" s="375">
        <v>12</v>
      </c>
      <c r="L162" s="376">
        <v>0</v>
      </c>
      <c r="M162" s="376">
        <v>12</v>
      </c>
      <c r="N162" s="376">
        <v>0</v>
      </c>
      <c r="O162" s="376">
        <v>0</v>
      </c>
      <c r="P162" s="378"/>
      <c r="Q162" s="378"/>
      <c r="R162" s="378"/>
      <c r="S162" s="378"/>
      <c r="T162" s="378"/>
      <c r="U162" s="378"/>
      <c r="V162" s="533"/>
      <c r="W162" s="378"/>
      <c r="X162" s="378"/>
      <c r="Y162" s="378">
        <f>IF(NFI_Expiration=1,IF($A162&lt;VLOOKUP(H$5,NFI,5,0),1,0)*Table_NFI[[#This Row],[Hygiene Kit]],Table_NFI[Hygiene Kit])</f>
        <v>0</v>
      </c>
      <c r="Z162" s="378">
        <f>IF(NFI_Expiration=1,IF($A162&lt;VLOOKUP(I$5,NFI,5,0),1,0)*Table_NFI[[#This Row],[NFI Core Kit]],Table_NFI[NFI Core Kit])</f>
        <v>0</v>
      </c>
      <c r="AA162" s="378">
        <f>IF(NFI_Expiration=1,IF($A162&lt;VLOOKUP(J$5,NFI,5,0),1,0)*Table_NFI[[#This Row],[Sanitary Kit]],Table_NFI[Sanitary Kit])</f>
        <v>0</v>
      </c>
      <c r="AB162" s="378">
        <f>IF(NFI_Expiration=1,IF($A162&lt;VLOOKUP(K$5,NFI,5,0),1,0)*Table_NFI[[#This Row],[Mosquito net]],Table_NFI[Mosquito net])</f>
        <v>0</v>
      </c>
      <c r="AC162" s="378">
        <f>IF(NFI_Expiration=1,IF($A162&lt;VLOOKUP(L$5,NFI,5,0),1,0)*Table_NFI[[#This Row],[Tarpaulin]],Table_NFI[[#This Row],[Tarpaulin]])</f>
        <v>0</v>
      </c>
      <c r="AD162" s="378">
        <f>IF(NFI_Expiration=1,IF($A162&lt;VLOOKUP(M$5,NFI,5,0),1,0)*Table_NFI[[#This Row],[Blanket]],Table_NFI[[#This Row],[Blanket]])</f>
        <v>0</v>
      </c>
      <c r="AE162" s="378">
        <f>IF(NFI_Expiration=1,IF($A162&lt;VLOOKUP(N$5,NFI,5,0),1,0)*Table_NFI[[#This Row],[Kitchen Set]],Table_NFI[Kitchen Set])</f>
        <v>0</v>
      </c>
      <c r="AF162" s="378">
        <f>IF(NFI_Expiration=1,IF($A162&lt;VLOOKUP(O$5,NFI,5,0),1,0)*Table_NFI[[#This Row],[Clothes Kit]],Table_NFI[Clothes Kit])</f>
        <v>0</v>
      </c>
      <c r="AG162" s="378">
        <f>IF(NFI_Expiration=1,IF($A162&lt;VLOOKUP(P$5,NFI,5,0),1,0)*Table_NFI[[#This Row],[Plastic Bucket]],Table_NFI[Plastic Bucket])</f>
        <v>0</v>
      </c>
      <c r="AH162" s="378">
        <f>IF(NFI_Expiration=1,IF($A162&lt;VLOOKUP(Q$5,NFI,5,0),1,0)*Table_NFI[[#This Row],[Plastic Mat]],Table_NFI[Plastic Mat])*IF(Table_NFI[[#This Row],[Distribution Date]]&gt;"2014-04-01",1,2.5)</f>
        <v>0</v>
      </c>
      <c r="AI162" s="378">
        <f>IF(NFI_Expiration=1,IF($A162&lt;VLOOKUP(R$5,NFI,5,0),1,0)*Table_NFI[[#This Row],[Winter Clothes Adult]],Table_NFI[Winter Clothes Adult])</f>
        <v>0</v>
      </c>
      <c r="AJ162" s="378">
        <f>IF(NFI_Expiration=1,IF($A162&lt;VLOOKUP(S$5,NFI,5,0),1,0)*Table_NFI[[#This Row],[Winter Clothes Children]],Table_NFI[Winter Clothes Children])</f>
        <v>0</v>
      </c>
      <c r="AK162" s="378">
        <f>IF(NFI_Expiration=1,IF($A162&lt;VLOOKUP(T$5,NFI,5,0),1,0)*Table_NFI[[#This Row],[Winter Items Other]],Table_NFI[Winter Items Other])</f>
        <v>0</v>
      </c>
      <c r="AL162" s="378">
        <f>IF(NFI_Expiration=1,IF($A162&lt;VLOOKUP(M$5,NFI,5,0),1,0)*Table_NFI[[#This Row],[Winter Blanket]],Table_NFI[[#This Row],[Winter Blanket]])</f>
        <v>0</v>
      </c>
      <c r="AM162" s="378">
        <f>IF(Table_NFI[[#This Row],[Winter Clothes Adult]]+Table_NFI[[#This Row],[Winter Clothes Children]]+Table_NFI[[#This Row],[Winter Items Other]]+Table_NFI[[#This Row],[Winter Blanket]]&gt;0,1,0)</f>
        <v>0</v>
      </c>
      <c r="AN162" s="418">
        <f>IF(NFI_Expiration=1,IF($A162&lt;VLOOKUP(V$5,NFI,5,0),1,0)*Table_NFI[[#This Row],[Jerry Can]],Table_NFI[Jerry Can])</f>
        <v>0</v>
      </c>
      <c r="AO162" s="579" t="str">
        <f>IFERROR(VLOOKUP(Table_NFI[[#This Row],[Camp Name]],CL,2,0),"")</f>
        <v>MMR001CMP148</v>
      </c>
      <c r="AP162" s="574">
        <f ca="1">IF(Table_NFI[[#This Row],[Pcode]]="","",IF(OFFSET(CampList[Opening Date],MATCH(Table_NFI[[#This Row],[Pcode]],CampList[CP_Pcode],0)-1,0,1,1)&gt;=NFI_Monitor_Date,1,0))</f>
        <v>0</v>
      </c>
      <c r="AQ162" s="579" t="str">
        <f>IFERROR(VLOOKUP(Table_NFI[[#This Row],[Camp Name]],CL,3,0),"")</f>
        <v>Open</v>
      </c>
      <c r="AR162" s="378" t="str">
        <f ca="1">IF(Table_NFI[[#This Row],[Pcode]]="","",OFFSET(CampList[Priority],MATCH(Table_NFI[[#This Row],[Pcode]],CampList[CP_Pcode],0)-1,0,1,1))</f>
        <v>P4</v>
      </c>
      <c r="AS162" s="377">
        <f>IFERROR(Table_NFI[[#This Row],[Kitchen Set]]/VLOOKUP(Table_NFI[[#This Row],[Camp Name]],CL,4,0),"")</f>
        <v>0</v>
      </c>
      <c r="AT162" s="572" t="s">
        <v>1095</v>
      </c>
      <c r="AU162" s="575"/>
    </row>
    <row r="163" spans="1:47" s="130" customFormat="1" x14ac:dyDescent="0.25">
      <c r="A163" s="381">
        <f t="shared" si="2"/>
        <v>43.466666666666669</v>
      </c>
      <c r="B163" s="571">
        <v>41218</v>
      </c>
      <c r="C163" s="572" t="s">
        <v>454</v>
      </c>
      <c r="D163" s="573" t="s">
        <v>454</v>
      </c>
      <c r="E163" s="572" t="s">
        <v>380</v>
      </c>
      <c r="F163" s="374" t="s">
        <v>529</v>
      </c>
      <c r="G163" s="374" t="s">
        <v>88</v>
      </c>
      <c r="H163" s="375"/>
      <c r="I163" s="375"/>
      <c r="J163" s="375"/>
      <c r="K163" s="375">
        <v>70</v>
      </c>
      <c r="L163" s="376">
        <v>40</v>
      </c>
      <c r="M163" s="376">
        <v>70</v>
      </c>
      <c r="N163" s="376">
        <v>40</v>
      </c>
      <c r="O163" s="376">
        <v>40</v>
      </c>
      <c r="P163" s="378">
        <v>40</v>
      </c>
      <c r="Q163" s="378">
        <v>40</v>
      </c>
      <c r="R163" s="378"/>
      <c r="S163" s="378"/>
      <c r="T163" s="378"/>
      <c r="U163" s="378"/>
      <c r="V163" s="533"/>
      <c r="W163" s="378"/>
      <c r="X163" s="378"/>
      <c r="Y163" s="378">
        <f>IF(NFI_Expiration=1,IF($A163&lt;VLOOKUP(H$5,NFI,5,0),1,0)*Table_NFI[[#This Row],[Hygiene Kit]],Table_NFI[Hygiene Kit])</f>
        <v>0</v>
      </c>
      <c r="Z163" s="378">
        <f>IF(NFI_Expiration=1,IF($A163&lt;VLOOKUP(I$5,NFI,5,0),1,0)*Table_NFI[[#This Row],[NFI Core Kit]],Table_NFI[NFI Core Kit])</f>
        <v>0</v>
      </c>
      <c r="AA163" s="378">
        <f>IF(NFI_Expiration=1,IF($A163&lt;VLOOKUP(J$5,NFI,5,0),1,0)*Table_NFI[[#This Row],[Sanitary Kit]],Table_NFI[Sanitary Kit])</f>
        <v>0</v>
      </c>
      <c r="AB163" s="378">
        <f>IF(NFI_Expiration=1,IF($A163&lt;VLOOKUP(K$5,NFI,5,0),1,0)*Table_NFI[[#This Row],[Mosquito net]],Table_NFI[Mosquito net])</f>
        <v>0</v>
      </c>
      <c r="AC163" s="378">
        <f>IF(NFI_Expiration=1,IF($A163&lt;VLOOKUP(L$5,NFI,5,0),1,0)*Table_NFI[[#This Row],[Tarpaulin]],Table_NFI[[#This Row],[Tarpaulin]])</f>
        <v>0</v>
      </c>
      <c r="AD163" s="378">
        <f>IF(NFI_Expiration=1,IF($A163&lt;VLOOKUP(M$5,NFI,5,0),1,0)*Table_NFI[[#This Row],[Blanket]],Table_NFI[[#This Row],[Blanket]])</f>
        <v>0</v>
      </c>
      <c r="AE163" s="378">
        <f>IF(NFI_Expiration=1,IF($A163&lt;VLOOKUP(N$5,NFI,5,0),1,0)*Table_NFI[[#This Row],[Kitchen Set]],Table_NFI[Kitchen Set])</f>
        <v>0</v>
      </c>
      <c r="AF163" s="378">
        <f>IF(NFI_Expiration=1,IF($A163&lt;VLOOKUP(O$5,NFI,5,0),1,0)*Table_NFI[[#This Row],[Clothes Kit]],Table_NFI[Clothes Kit])</f>
        <v>0</v>
      </c>
      <c r="AG163" s="378">
        <f>IF(NFI_Expiration=1,IF($A163&lt;VLOOKUP(P$5,NFI,5,0),1,0)*Table_NFI[[#This Row],[Plastic Bucket]],Table_NFI[Plastic Bucket])</f>
        <v>0</v>
      </c>
      <c r="AH163" s="378">
        <f>IF(NFI_Expiration=1,IF($A163&lt;VLOOKUP(Q$5,NFI,5,0),1,0)*Table_NFI[[#This Row],[Plastic Mat]],Table_NFI[Plastic Mat])*IF(Table_NFI[[#This Row],[Distribution Date]]&gt;"2014-04-01",1,2.5)</f>
        <v>0</v>
      </c>
      <c r="AI163" s="378">
        <f>IF(NFI_Expiration=1,IF($A163&lt;VLOOKUP(R$5,NFI,5,0),1,0)*Table_NFI[[#This Row],[Winter Clothes Adult]],Table_NFI[Winter Clothes Adult])</f>
        <v>0</v>
      </c>
      <c r="AJ163" s="378">
        <f>IF(NFI_Expiration=1,IF($A163&lt;VLOOKUP(S$5,NFI,5,0),1,0)*Table_NFI[[#This Row],[Winter Clothes Children]],Table_NFI[Winter Clothes Children])</f>
        <v>0</v>
      </c>
      <c r="AK163" s="378">
        <f>IF(NFI_Expiration=1,IF($A163&lt;VLOOKUP(T$5,NFI,5,0),1,0)*Table_NFI[[#This Row],[Winter Items Other]],Table_NFI[Winter Items Other])</f>
        <v>0</v>
      </c>
      <c r="AL163" s="378">
        <f>IF(NFI_Expiration=1,IF($A163&lt;VLOOKUP(M$5,NFI,5,0),1,0)*Table_NFI[[#This Row],[Winter Blanket]],Table_NFI[[#This Row],[Winter Blanket]])</f>
        <v>0</v>
      </c>
      <c r="AM163" s="378">
        <f>IF(Table_NFI[[#This Row],[Winter Clothes Adult]]+Table_NFI[[#This Row],[Winter Clothes Children]]+Table_NFI[[#This Row],[Winter Items Other]]+Table_NFI[[#This Row],[Winter Blanket]]&gt;0,1,0)</f>
        <v>0</v>
      </c>
      <c r="AN163" s="418">
        <f>IF(NFI_Expiration=1,IF($A163&lt;VLOOKUP(V$5,NFI,5,0),1,0)*Table_NFI[[#This Row],[Jerry Can]],Table_NFI[Jerry Can])</f>
        <v>0</v>
      </c>
      <c r="AO163" s="579" t="str">
        <f>IFERROR(VLOOKUP(Table_NFI[[#This Row],[Camp Name]],CL,2,0),"")</f>
        <v>MMR001CMP148</v>
      </c>
      <c r="AP163" s="574">
        <f ca="1">IF(Table_NFI[[#This Row],[Pcode]]="","",IF(OFFSET(CampList[Opening Date],MATCH(Table_NFI[[#This Row],[Pcode]],CampList[CP_Pcode],0)-1,0,1,1)&gt;=NFI_Monitor_Date,1,0))</f>
        <v>0</v>
      </c>
      <c r="AQ163" s="579" t="str">
        <f>IFERROR(VLOOKUP(Table_NFI[[#This Row],[Camp Name]],CL,3,0),"")</f>
        <v>Open</v>
      </c>
      <c r="AR163" s="378" t="str">
        <f ca="1">IF(Table_NFI[[#This Row],[Pcode]]="","",OFFSET(CampList[Priority],MATCH(Table_NFI[[#This Row],[Pcode]],CampList[CP_Pcode],0)-1,0,1,1))</f>
        <v>P4</v>
      </c>
      <c r="AS163" s="377">
        <f>IFERROR(Table_NFI[[#This Row],[Kitchen Set]]/VLOOKUP(Table_NFI[[#This Row],[Camp Name]],CL,4,0),"")</f>
        <v>2.8571428571428572</v>
      </c>
      <c r="AT163" s="572" t="s">
        <v>1095</v>
      </c>
      <c r="AU163" s="575"/>
    </row>
    <row r="164" spans="1:47" s="130" customFormat="1" x14ac:dyDescent="0.25">
      <c r="A164" s="381">
        <f t="shared" si="2"/>
        <v>53.366666666666667</v>
      </c>
      <c r="B164" s="571">
        <v>40921</v>
      </c>
      <c r="C164" s="572" t="s">
        <v>454</v>
      </c>
      <c r="D164" s="573" t="s">
        <v>462</v>
      </c>
      <c r="E164" s="572" t="s">
        <v>380</v>
      </c>
      <c r="F164" s="374" t="s">
        <v>529</v>
      </c>
      <c r="G164" s="374" t="s">
        <v>88</v>
      </c>
      <c r="H164" s="375"/>
      <c r="I164" s="375"/>
      <c r="J164" s="375"/>
      <c r="K164" s="375">
        <v>10</v>
      </c>
      <c r="L164" s="376">
        <v>5</v>
      </c>
      <c r="M164" s="376">
        <v>5</v>
      </c>
      <c r="N164" s="376">
        <v>0</v>
      </c>
      <c r="O164" s="376">
        <v>5</v>
      </c>
      <c r="P164" s="378">
        <v>5</v>
      </c>
      <c r="Q164" s="378">
        <v>5</v>
      </c>
      <c r="R164" s="378"/>
      <c r="S164" s="378"/>
      <c r="T164" s="378"/>
      <c r="U164" s="378"/>
      <c r="V164" s="533"/>
      <c r="W164" s="378"/>
      <c r="X164" s="378"/>
      <c r="Y164" s="378">
        <f>IF(NFI_Expiration=1,IF($A164&lt;VLOOKUP(H$5,NFI,5,0),1,0)*Table_NFI[[#This Row],[Hygiene Kit]],Table_NFI[Hygiene Kit])</f>
        <v>0</v>
      </c>
      <c r="Z164" s="378">
        <f>IF(NFI_Expiration=1,IF($A164&lt;VLOOKUP(I$5,NFI,5,0),1,0)*Table_NFI[[#This Row],[NFI Core Kit]],Table_NFI[NFI Core Kit])</f>
        <v>0</v>
      </c>
      <c r="AA164" s="378">
        <f>IF(NFI_Expiration=1,IF($A164&lt;VLOOKUP(J$5,NFI,5,0),1,0)*Table_NFI[[#This Row],[Sanitary Kit]],Table_NFI[Sanitary Kit])</f>
        <v>0</v>
      </c>
      <c r="AB164" s="378">
        <f>IF(NFI_Expiration=1,IF($A164&lt;VLOOKUP(K$5,NFI,5,0),1,0)*Table_NFI[[#This Row],[Mosquito net]],Table_NFI[Mosquito net])</f>
        <v>0</v>
      </c>
      <c r="AC164" s="378">
        <f>IF(NFI_Expiration=1,IF($A164&lt;VLOOKUP(L$5,NFI,5,0),1,0)*Table_NFI[[#This Row],[Tarpaulin]],Table_NFI[[#This Row],[Tarpaulin]])</f>
        <v>0</v>
      </c>
      <c r="AD164" s="378">
        <f>IF(NFI_Expiration=1,IF($A164&lt;VLOOKUP(M$5,NFI,5,0),1,0)*Table_NFI[[#This Row],[Blanket]],Table_NFI[[#This Row],[Blanket]])</f>
        <v>0</v>
      </c>
      <c r="AE164" s="378">
        <f>IF(NFI_Expiration=1,IF($A164&lt;VLOOKUP(N$5,NFI,5,0),1,0)*Table_NFI[[#This Row],[Kitchen Set]],Table_NFI[Kitchen Set])</f>
        <v>0</v>
      </c>
      <c r="AF164" s="378">
        <f>IF(NFI_Expiration=1,IF($A164&lt;VLOOKUP(O$5,NFI,5,0),1,0)*Table_NFI[[#This Row],[Clothes Kit]],Table_NFI[Clothes Kit])</f>
        <v>0</v>
      </c>
      <c r="AG164" s="378">
        <f>IF(NFI_Expiration=1,IF($A164&lt;VLOOKUP(P$5,NFI,5,0),1,0)*Table_NFI[[#This Row],[Plastic Bucket]],Table_NFI[Plastic Bucket])</f>
        <v>0</v>
      </c>
      <c r="AH164" s="378">
        <f>IF(NFI_Expiration=1,IF($A164&lt;VLOOKUP(Q$5,NFI,5,0),1,0)*Table_NFI[[#This Row],[Plastic Mat]],Table_NFI[Plastic Mat])*IF(Table_NFI[[#This Row],[Distribution Date]]&gt;"2014-04-01",1,2.5)</f>
        <v>0</v>
      </c>
      <c r="AI164" s="378">
        <f>IF(NFI_Expiration=1,IF($A164&lt;VLOOKUP(R$5,NFI,5,0),1,0)*Table_NFI[[#This Row],[Winter Clothes Adult]],Table_NFI[Winter Clothes Adult])</f>
        <v>0</v>
      </c>
      <c r="AJ164" s="378">
        <f>IF(NFI_Expiration=1,IF($A164&lt;VLOOKUP(S$5,NFI,5,0),1,0)*Table_NFI[[#This Row],[Winter Clothes Children]],Table_NFI[Winter Clothes Children])</f>
        <v>0</v>
      </c>
      <c r="AK164" s="378">
        <f>IF(NFI_Expiration=1,IF($A164&lt;VLOOKUP(T$5,NFI,5,0),1,0)*Table_NFI[[#This Row],[Winter Items Other]],Table_NFI[Winter Items Other])</f>
        <v>0</v>
      </c>
      <c r="AL164" s="378">
        <f>IF(NFI_Expiration=1,IF($A164&lt;VLOOKUP(M$5,NFI,5,0),1,0)*Table_NFI[[#This Row],[Winter Blanket]],Table_NFI[[#This Row],[Winter Blanket]])</f>
        <v>0</v>
      </c>
      <c r="AM164" s="378">
        <f>IF(Table_NFI[[#This Row],[Winter Clothes Adult]]+Table_NFI[[#This Row],[Winter Clothes Children]]+Table_NFI[[#This Row],[Winter Items Other]]+Table_NFI[[#This Row],[Winter Blanket]]&gt;0,1,0)</f>
        <v>0</v>
      </c>
      <c r="AN164" s="418">
        <f>IF(NFI_Expiration=1,IF($A164&lt;VLOOKUP(V$5,NFI,5,0),1,0)*Table_NFI[[#This Row],[Jerry Can]],Table_NFI[Jerry Can])</f>
        <v>0</v>
      </c>
      <c r="AO164" s="579" t="str">
        <f>IFERROR(VLOOKUP(Table_NFI[[#This Row],[Camp Name]],CL,2,0),"")</f>
        <v>MMR001CMP148</v>
      </c>
      <c r="AP164" s="574">
        <f ca="1">IF(Table_NFI[[#This Row],[Pcode]]="","",IF(OFFSET(CampList[Opening Date],MATCH(Table_NFI[[#This Row],[Pcode]],CampList[CP_Pcode],0)-1,0,1,1)&gt;=NFI_Monitor_Date,1,0))</f>
        <v>0</v>
      </c>
      <c r="AQ164" s="579" t="str">
        <f>IFERROR(VLOOKUP(Table_NFI[[#This Row],[Camp Name]],CL,3,0),"")</f>
        <v>Open</v>
      </c>
      <c r="AR164" s="378" t="str">
        <f ca="1">IF(Table_NFI[[#This Row],[Pcode]]="","",OFFSET(CampList[Priority],MATCH(Table_NFI[[#This Row],[Pcode]],CampList[CP_Pcode],0)-1,0,1,1))</f>
        <v>P4</v>
      </c>
      <c r="AS164" s="377">
        <f>IFERROR(Table_NFI[[#This Row],[Kitchen Set]]/VLOOKUP(Table_NFI[[#This Row],[Camp Name]],CL,4,0),"")</f>
        <v>0</v>
      </c>
      <c r="AT164" s="572" t="s">
        <v>1095</v>
      </c>
      <c r="AU164" s="575"/>
    </row>
    <row r="165" spans="1:47" s="130" customFormat="1" x14ac:dyDescent="0.25">
      <c r="A165" s="381">
        <f t="shared" si="2"/>
        <v>19.3</v>
      </c>
      <c r="B165" s="571">
        <v>41943</v>
      </c>
      <c r="C165" s="572" t="s">
        <v>454</v>
      </c>
      <c r="D165" s="572"/>
      <c r="E165" s="572" t="s">
        <v>380</v>
      </c>
      <c r="F165" s="572" t="s">
        <v>529</v>
      </c>
      <c r="G165" s="572" t="s">
        <v>44</v>
      </c>
      <c r="H165" s="375"/>
      <c r="I165" s="375"/>
      <c r="J165" s="375">
        <v>10</v>
      </c>
      <c r="K165" s="375">
        <v>20</v>
      </c>
      <c r="L165" s="376">
        <v>10</v>
      </c>
      <c r="M165" s="376">
        <v>20</v>
      </c>
      <c r="N165" s="376">
        <v>10</v>
      </c>
      <c r="O165" s="376"/>
      <c r="P165" s="378">
        <v>10</v>
      </c>
      <c r="Q165" s="378">
        <v>50</v>
      </c>
      <c r="R165" s="378"/>
      <c r="S165" s="378"/>
      <c r="T165" s="378"/>
      <c r="U165" s="378"/>
      <c r="V165" s="533"/>
      <c r="W165" s="378"/>
      <c r="X165" s="378"/>
      <c r="Y165" s="378">
        <f>IF(NFI_Expiration=1,IF($A165&lt;VLOOKUP(H$5,NFI,5,0),1,0)*Table_NFI[[#This Row],[Hygiene Kit]],Table_NFI[Hygiene Kit])</f>
        <v>0</v>
      </c>
      <c r="Z165" s="378">
        <f>IF(NFI_Expiration=1,IF($A165&lt;VLOOKUP(I$5,NFI,5,0),1,0)*Table_NFI[[#This Row],[NFI Core Kit]],Table_NFI[NFI Core Kit])</f>
        <v>0</v>
      </c>
      <c r="AA165" s="378">
        <f>IF(NFI_Expiration=1,IF($A165&lt;VLOOKUP(J$5,NFI,5,0),1,0)*Table_NFI[[#This Row],[Sanitary Kit]],Table_NFI[Sanitary Kit])</f>
        <v>0</v>
      </c>
      <c r="AB165" s="378">
        <f>IF(NFI_Expiration=1,IF($A165&lt;VLOOKUP(K$5,NFI,5,0),1,0)*Table_NFI[[#This Row],[Mosquito net]],Table_NFI[Mosquito net])</f>
        <v>0</v>
      </c>
      <c r="AC165" s="378">
        <f>IF(NFI_Expiration=1,IF($A165&lt;VLOOKUP(L$5,NFI,5,0),1,0)*Table_NFI[[#This Row],[Tarpaulin]],Table_NFI[[#This Row],[Tarpaulin]])</f>
        <v>0</v>
      </c>
      <c r="AD165" s="378">
        <f>IF(NFI_Expiration=1,IF($A165&lt;VLOOKUP(M$5,NFI,5,0),1,0)*Table_NFI[[#This Row],[Blanket]],Table_NFI[[#This Row],[Blanket]])</f>
        <v>0</v>
      </c>
      <c r="AE165" s="378">
        <f>IF(NFI_Expiration=1,IF($A165&lt;VLOOKUP(N$5,NFI,5,0),1,0)*Table_NFI[[#This Row],[Kitchen Set]],Table_NFI[Kitchen Set])</f>
        <v>0</v>
      </c>
      <c r="AF165" s="378">
        <f>IF(NFI_Expiration=1,IF($A165&lt;VLOOKUP(O$5,NFI,5,0),1,0)*Table_NFI[[#This Row],[Clothes Kit]],Table_NFI[Clothes Kit])</f>
        <v>0</v>
      </c>
      <c r="AG165" s="378">
        <f>IF(NFI_Expiration=1,IF($A165&lt;VLOOKUP(P$5,NFI,5,0),1,0)*Table_NFI[[#This Row],[Plastic Bucket]],Table_NFI[Plastic Bucket])</f>
        <v>0</v>
      </c>
      <c r="AH165" s="378">
        <f>IF(NFI_Expiration=1,IF($A165&lt;VLOOKUP(Q$5,NFI,5,0),1,0)*Table_NFI[[#This Row],[Plastic Mat]],Table_NFI[Plastic Mat])*IF(Table_NFI[[#This Row],[Distribution Date]]&gt;"2014-04-01",1,2.5)</f>
        <v>0</v>
      </c>
      <c r="AI165" s="378">
        <f>IF(NFI_Expiration=1,IF($A165&lt;VLOOKUP(R$5,NFI,5,0),1,0)*Table_NFI[[#This Row],[Winter Clothes Adult]],Table_NFI[Winter Clothes Adult])</f>
        <v>0</v>
      </c>
      <c r="AJ165" s="378">
        <f>IF(NFI_Expiration=1,IF($A165&lt;VLOOKUP(S$5,NFI,5,0),1,0)*Table_NFI[[#This Row],[Winter Clothes Children]],Table_NFI[Winter Clothes Children])</f>
        <v>0</v>
      </c>
      <c r="AK165" s="378">
        <f>IF(NFI_Expiration=1,IF($A165&lt;VLOOKUP(T$5,NFI,5,0),1,0)*Table_NFI[[#This Row],[Winter Items Other]],Table_NFI[Winter Items Other])</f>
        <v>0</v>
      </c>
      <c r="AL165" s="378">
        <f>IF(NFI_Expiration=1,IF($A165&lt;VLOOKUP(M$5,NFI,5,0),1,0)*Table_NFI[[#This Row],[Winter Blanket]],Table_NFI[[#This Row],[Winter Blanket]])</f>
        <v>0</v>
      </c>
      <c r="AM165" s="378">
        <f>IF(Table_NFI[[#This Row],[Winter Clothes Adult]]+Table_NFI[[#This Row],[Winter Clothes Children]]+Table_NFI[[#This Row],[Winter Items Other]]+Table_NFI[[#This Row],[Winter Blanket]]&gt;0,1,0)</f>
        <v>0</v>
      </c>
      <c r="AN165" s="418">
        <f>IF(NFI_Expiration=1,IF($A165&lt;VLOOKUP(V$5,NFI,5,0),1,0)*Table_NFI[[#This Row],[Jerry Can]],Table_NFI[Jerry Can])</f>
        <v>0</v>
      </c>
      <c r="AO165" s="579" t="str">
        <f>IFERROR(VLOOKUP(Table_NFI[[#This Row],[Camp Name]],CL,2,0),"")</f>
        <v>MMR001CMP191</v>
      </c>
      <c r="AP165" s="574">
        <f ca="1">IF(Table_NFI[[#This Row],[Pcode]]="","",IF(OFFSET(CampList[Opening Date],MATCH(Table_NFI[[#This Row],[Pcode]],CampList[CP_Pcode],0)-1,0,1,1)&gt;=NFI_Monitor_Date,1,0))</f>
        <v>0</v>
      </c>
      <c r="AQ165" s="579" t="str">
        <f>IFERROR(VLOOKUP(Table_NFI[[#This Row],[Camp Name]],CL,3,0),"")</f>
        <v>Open</v>
      </c>
      <c r="AR165" s="378" t="str">
        <f ca="1">IF(Table_NFI[[#This Row],[Pcode]]="","",OFFSET(CampList[Priority],MATCH(Table_NFI[[#This Row],[Pcode]],CampList[CP_Pcode],0)-1,0,1,1))</f>
        <v>P4</v>
      </c>
      <c r="AS165" s="377">
        <f>IFERROR(Table_NFI[[#This Row],[Kitchen Set]]/VLOOKUP(Table_NFI[[#This Row],[Camp Name]],CL,4,0),"")</f>
        <v>1.25</v>
      </c>
      <c r="AT165" s="572"/>
      <c r="AU165" s="575"/>
    </row>
    <row r="166" spans="1:47" s="130" customFormat="1" x14ac:dyDescent="0.25">
      <c r="A166" s="381">
        <f t="shared" si="2"/>
        <v>19.5</v>
      </c>
      <c r="B166" s="571">
        <v>41937</v>
      </c>
      <c r="C166" s="572" t="s">
        <v>1097</v>
      </c>
      <c r="D166" s="572" t="s">
        <v>903</v>
      </c>
      <c r="E166" s="572" t="s">
        <v>380</v>
      </c>
      <c r="F166" s="572" t="s">
        <v>529</v>
      </c>
      <c r="G166" s="572" t="s">
        <v>44</v>
      </c>
      <c r="H166" s="375"/>
      <c r="I166" s="375"/>
      <c r="J166" s="375"/>
      <c r="K166" s="375"/>
      <c r="L166" s="376"/>
      <c r="M166" s="376"/>
      <c r="N166" s="376"/>
      <c r="O166" s="376"/>
      <c r="P166" s="378"/>
      <c r="Q166" s="378"/>
      <c r="R166" s="378">
        <v>33</v>
      </c>
      <c r="S166" s="378">
        <v>24</v>
      </c>
      <c r="T166" s="378"/>
      <c r="U166" s="378"/>
      <c r="V166" s="533"/>
      <c r="W166" s="378"/>
      <c r="X166" s="378"/>
      <c r="Y166" s="378">
        <f>IF(NFI_Expiration=1,IF($A166&lt;VLOOKUP(H$5,NFI,5,0),1,0)*Table_NFI[[#This Row],[Hygiene Kit]],Table_NFI[Hygiene Kit])</f>
        <v>0</v>
      </c>
      <c r="Z166" s="378">
        <f>IF(NFI_Expiration=1,IF($A166&lt;VLOOKUP(I$5,NFI,5,0),1,0)*Table_NFI[[#This Row],[NFI Core Kit]],Table_NFI[NFI Core Kit])</f>
        <v>0</v>
      </c>
      <c r="AA166" s="378">
        <f>IF(NFI_Expiration=1,IF($A166&lt;VLOOKUP(J$5,NFI,5,0),1,0)*Table_NFI[[#This Row],[Sanitary Kit]],Table_NFI[Sanitary Kit])</f>
        <v>0</v>
      </c>
      <c r="AB166" s="378">
        <f>IF(NFI_Expiration=1,IF($A166&lt;VLOOKUP(K$5,NFI,5,0),1,0)*Table_NFI[[#This Row],[Mosquito net]],Table_NFI[Mosquito net])</f>
        <v>0</v>
      </c>
      <c r="AC166" s="378">
        <f>IF(NFI_Expiration=1,IF($A166&lt;VLOOKUP(L$5,NFI,5,0),1,0)*Table_NFI[[#This Row],[Tarpaulin]],Table_NFI[[#This Row],[Tarpaulin]])</f>
        <v>0</v>
      </c>
      <c r="AD166" s="378">
        <f>IF(NFI_Expiration=1,IF($A166&lt;VLOOKUP(M$5,NFI,5,0),1,0)*Table_NFI[[#This Row],[Blanket]],Table_NFI[[#This Row],[Blanket]])</f>
        <v>0</v>
      </c>
      <c r="AE166" s="378">
        <f>IF(NFI_Expiration=1,IF($A166&lt;VLOOKUP(N$5,NFI,5,0),1,0)*Table_NFI[[#This Row],[Kitchen Set]],Table_NFI[Kitchen Set])</f>
        <v>0</v>
      </c>
      <c r="AF166" s="378">
        <f>IF(NFI_Expiration=1,IF($A166&lt;VLOOKUP(O$5,NFI,5,0),1,0)*Table_NFI[[#This Row],[Clothes Kit]],Table_NFI[Clothes Kit])</f>
        <v>0</v>
      </c>
      <c r="AG166" s="378">
        <f>IF(NFI_Expiration=1,IF($A166&lt;VLOOKUP(P$5,NFI,5,0),1,0)*Table_NFI[[#This Row],[Plastic Bucket]],Table_NFI[Plastic Bucket])</f>
        <v>0</v>
      </c>
      <c r="AH166" s="378">
        <f>IF(NFI_Expiration=1,IF($A166&lt;VLOOKUP(Q$5,NFI,5,0),1,0)*Table_NFI[[#This Row],[Plastic Mat]],Table_NFI[Plastic Mat])*IF(Table_NFI[[#This Row],[Distribution Date]]&gt;"2014-04-01",1,2.5)</f>
        <v>0</v>
      </c>
      <c r="AI166" s="378">
        <f>IF(NFI_Expiration=1,IF($A166&lt;VLOOKUP(R$5,NFI,5,0),1,0)*Table_NFI[[#This Row],[Winter Clothes Adult]],Table_NFI[Winter Clothes Adult])</f>
        <v>0</v>
      </c>
      <c r="AJ166" s="378">
        <f>IF(NFI_Expiration=1,IF($A166&lt;VLOOKUP(S$5,NFI,5,0),1,0)*Table_NFI[[#This Row],[Winter Clothes Children]],Table_NFI[Winter Clothes Children])</f>
        <v>0</v>
      </c>
      <c r="AK166" s="378">
        <f>IF(NFI_Expiration=1,IF($A166&lt;VLOOKUP(T$5,NFI,5,0),1,0)*Table_NFI[[#This Row],[Winter Items Other]],Table_NFI[Winter Items Other])</f>
        <v>0</v>
      </c>
      <c r="AL166" s="378">
        <f>IF(NFI_Expiration=1,IF($A166&lt;VLOOKUP(M$5,NFI,5,0),1,0)*Table_NFI[[#This Row],[Winter Blanket]],Table_NFI[[#This Row],[Winter Blanket]])</f>
        <v>0</v>
      </c>
      <c r="AM166" s="378">
        <f>IF(Table_NFI[[#This Row],[Winter Clothes Adult]]+Table_NFI[[#This Row],[Winter Clothes Children]]+Table_NFI[[#This Row],[Winter Items Other]]+Table_NFI[[#This Row],[Winter Blanket]]&gt;0,1,0)</f>
        <v>1</v>
      </c>
      <c r="AN166" s="418">
        <f>IF(NFI_Expiration=1,IF($A166&lt;VLOOKUP(V$5,NFI,5,0),1,0)*Table_NFI[[#This Row],[Jerry Can]],Table_NFI[Jerry Can])</f>
        <v>0</v>
      </c>
      <c r="AO166" s="579" t="str">
        <f>IFERROR(VLOOKUP(Table_NFI[[#This Row],[Camp Name]],CL,2,0),"")</f>
        <v>MMR001CMP191</v>
      </c>
      <c r="AP166" s="574">
        <f ca="1">IF(Table_NFI[[#This Row],[Pcode]]="","",IF(OFFSET(CampList[Opening Date],MATCH(Table_NFI[[#This Row],[Pcode]],CampList[CP_Pcode],0)-1,0,1,1)&gt;=NFI_Monitor_Date,1,0))</f>
        <v>0</v>
      </c>
      <c r="AQ166" s="579" t="str">
        <f>IFERROR(VLOOKUP(Table_NFI[[#This Row],[Camp Name]],CL,3,0),"")</f>
        <v>Open</v>
      </c>
      <c r="AR166" s="378" t="str">
        <f ca="1">IF(Table_NFI[[#This Row],[Pcode]]="","",OFFSET(CampList[Priority],MATCH(Table_NFI[[#This Row],[Pcode]],CampList[CP_Pcode],0)-1,0,1,1))</f>
        <v>P4</v>
      </c>
      <c r="AS166" s="377">
        <f>IFERROR(Table_NFI[[#This Row],[Kitchen Set]]/VLOOKUP(Table_NFI[[#This Row],[Camp Name]],CL,4,0),"")</f>
        <v>0</v>
      </c>
      <c r="AT166" s="572"/>
      <c r="AU166" s="575"/>
    </row>
    <row r="167" spans="1:47" s="130" customFormat="1" x14ac:dyDescent="0.25">
      <c r="A167" s="381">
        <f t="shared" si="2"/>
        <v>20.3</v>
      </c>
      <c r="B167" s="571">
        <v>41913</v>
      </c>
      <c r="C167" s="572" t="s">
        <v>454</v>
      </c>
      <c r="D167" s="577" t="s">
        <v>507</v>
      </c>
      <c r="E167" s="577" t="s">
        <v>380</v>
      </c>
      <c r="F167" s="577" t="s">
        <v>529</v>
      </c>
      <c r="G167" s="577" t="s">
        <v>44</v>
      </c>
      <c r="H167" s="376"/>
      <c r="I167" s="376"/>
      <c r="J167" s="376"/>
      <c r="K167" s="376">
        <v>20</v>
      </c>
      <c r="L167" s="376"/>
      <c r="M167" s="376"/>
      <c r="N167" s="376"/>
      <c r="O167" s="376"/>
      <c r="P167" s="378"/>
      <c r="Q167" s="378"/>
      <c r="R167" s="378"/>
      <c r="S167" s="378"/>
      <c r="T167" s="378"/>
      <c r="U167" s="378"/>
      <c r="V167" s="533"/>
      <c r="W167" s="378"/>
      <c r="X167" s="378"/>
      <c r="Y167" s="378">
        <f>IF(NFI_Expiration=1,IF($A167&lt;VLOOKUP(H$5,NFI,5,0),1,0)*Table_NFI[[#This Row],[Hygiene Kit]],Table_NFI[Hygiene Kit])</f>
        <v>0</v>
      </c>
      <c r="Z167" s="378">
        <f>IF(NFI_Expiration=1,IF($A167&lt;VLOOKUP(I$5,NFI,5,0),1,0)*Table_NFI[[#This Row],[NFI Core Kit]],Table_NFI[NFI Core Kit])</f>
        <v>0</v>
      </c>
      <c r="AA167" s="378">
        <f>IF(NFI_Expiration=1,IF($A167&lt;VLOOKUP(J$5,NFI,5,0),1,0)*Table_NFI[[#This Row],[Sanitary Kit]],Table_NFI[Sanitary Kit])</f>
        <v>0</v>
      </c>
      <c r="AB167" s="378">
        <f>IF(NFI_Expiration=1,IF($A167&lt;VLOOKUP(K$5,NFI,5,0),1,0)*Table_NFI[[#This Row],[Mosquito net]],Table_NFI[Mosquito net])</f>
        <v>0</v>
      </c>
      <c r="AC167" s="378">
        <f>IF(NFI_Expiration=1,IF($A167&lt;VLOOKUP(L$5,NFI,5,0),1,0)*Table_NFI[[#This Row],[Tarpaulin]],Table_NFI[[#This Row],[Tarpaulin]])</f>
        <v>0</v>
      </c>
      <c r="AD167" s="378">
        <f>IF(NFI_Expiration=1,IF($A167&lt;VLOOKUP(M$5,NFI,5,0),1,0)*Table_NFI[[#This Row],[Blanket]],Table_NFI[[#This Row],[Blanket]])</f>
        <v>0</v>
      </c>
      <c r="AE167" s="378">
        <f>IF(NFI_Expiration=1,IF($A167&lt;VLOOKUP(N$5,NFI,5,0),1,0)*Table_NFI[[#This Row],[Kitchen Set]],Table_NFI[Kitchen Set])</f>
        <v>0</v>
      </c>
      <c r="AF167" s="378">
        <f>IF(NFI_Expiration=1,IF($A167&lt;VLOOKUP(O$5,NFI,5,0),1,0)*Table_NFI[[#This Row],[Clothes Kit]],Table_NFI[Clothes Kit])</f>
        <v>0</v>
      </c>
      <c r="AG167" s="378">
        <f>IF(NFI_Expiration=1,IF($A167&lt;VLOOKUP(P$5,NFI,5,0),1,0)*Table_NFI[[#This Row],[Plastic Bucket]],Table_NFI[Plastic Bucket])</f>
        <v>0</v>
      </c>
      <c r="AH167" s="378">
        <f>IF(NFI_Expiration=1,IF($A167&lt;VLOOKUP(Q$5,NFI,5,0),1,0)*Table_NFI[[#This Row],[Plastic Mat]],Table_NFI[Plastic Mat])*IF(Table_NFI[[#This Row],[Distribution Date]]&gt;"2014-04-01",1,2.5)</f>
        <v>0</v>
      </c>
      <c r="AI167" s="378">
        <f>IF(NFI_Expiration=1,IF($A167&lt;VLOOKUP(R$5,NFI,5,0),1,0)*Table_NFI[[#This Row],[Winter Clothes Adult]],Table_NFI[Winter Clothes Adult])</f>
        <v>0</v>
      </c>
      <c r="AJ167" s="378">
        <f>IF(NFI_Expiration=1,IF($A167&lt;VLOOKUP(S$5,NFI,5,0),1,0)*Table_NFI[[#This Row],[Winter Clothes Children]],Table_NFI[Winter Clothes Children])</f>
        <v>0</v>
      </c>
      <c r="AK167" s="378">
        <f>IF(NFI_Expiration=1,IF($A167&lt;VLOOKUP(T$5,NFI,5,0),1,0)*Table_NFI[[#This Row],[Winter Items Other]],Table_NFI[Winter Items Other])</f>
        <v>0</v>
      </c>
      <c r="AL167" s="378">
        <f>IF(NFI_Expiration=1,IF($A167&lt;VLOOKUP(M$5,NFI,5,0),1,0)*Table_NFI[[#This Row],[Winter Blanket]],Table_NFI[[#This Row],[Winter Blanket]])</f>
        <v>0</v>
      </c>
      <c r="AM167" s="378">
        <f>IF(Table_NFI[[#This Row],[Winter Clothes Adult]]+Table_NFI[[#This Row],[Winter Clothes Children]]+Table_NFI[[#This Row],[Winter Items Other]]+Table_NFI[[#This Row],[Winter Blanket]]&gt;0,1,0)</f>
        <v>0</v>
      </c>
      <c r="AN167" s="418">
        <f>IF(NFI_Expiration=1,IF($A167&lt;VLOOKUP(V$5,NFI,5,0),1,0)*Table_NFI[[#This Row],[Jerry Can]],Table_NFI[Jerry Can])</f>
        <v>0</v>
      </c>
      <c r="AO167" s="579" t="str">
        <f>IFERROR(VLOOKUP(Table_NFI[[#This Row],[Camp Name]],CL,2,0),"")</f>
        <v>MMR001CMP191</v>
      </c>
      <c r="AP167" s="574">
        <f ca="1">IF(Table_NFI[[#This Row],[Pcode]]="","",IF(OFFSET(CampList[Opening Date],MATCH(Table_NFI[[#This Row],[Pcode]],CampList[CP_Pcode],0)-1,0,1,1)&gt;=NFI_Monitor_Date,1,0))</f>
        <v>0</v>
      </c>
      <c r="AQ167" s="579" t="str">
        <f>IFERROR(VLOOKUP(Table_NFI[[#This Row],[Camp Name]],CL,3,0),"")</f>
        <v>Open</v>
      </c>
      <c r="AR167" s="378" t="str">
        <f ca="1">IF(Table_NFI[[#This Row],[Pcode]]="","",OFFSET(CampList[Priority],MATCH(Table_NFI[[#This Row],[Pcode]],CampList[CP_Pcode],0)-1,0,1,1))</f>
        <v>P4</v>
      </c>
      <c r="AS167" s="377">
        <f>IFERROR(Table_NFI[[#This Row],[Kitchen Set]]/VLOOKUP(Table_NFI[[#This Row],[Camp Name]],CL,4,0),"")</f>
        <v>0</v>
      </c>
      <c r="AT167" s="577"/>
      <c r="AU167" s="580"/>
    </row>
    <row r="168" spans="1:47" s="130" customFormat="1" x14ac:dyDescent="0.25">
      <c r="A168" s="381">
        <f t="shared" si="2"/>
        <v>41.6</v>
      </c>
      <c r="B168" s="571">
        <v>41274</v>
      </c>
      <c r="C168" s="572" t="s">
        <v>455</v>
      </c>
      <c r="D168" s="573" t="s">
        <v>455</v>
      </c>
      <c r="E168" s="572" t="s">
        <v>380</v>
      </c>
      <c r="F168" s="374" t="s">
        <v>529</v>
      </c>
      <c r="G168" s="374" t="s">
        <v>44</v>
      </c>
      <c r="H168" s="375">
        <v>3</v>
      </c>
      <c r="I168" s="375"/>
      <c r="J168" s="375"/>
      <c r="K168" s="375"/>
      <c r="L168" s="376"/>
      <c r="M168" s="376"/>
      <c r="N168" s="376"/>
      <c r="O168" s="376"/>
      <c r="P168" s="378">
        <v>0</v>
      </c>
      <c r="Q168" s="378">
        <v>0</v>
      </c>
      <c r="R168" s="378"/>
      <c r="S168" s="378"/>
      <c r="T168" s="378"/>
      <c r="U168" s="378"/>
      <c r="V168" s="533"/>
      <c r="W168" s="378"/>
      <c r="X168" s="378"/>
      <c r="Y168" s="378">
        <f>IF(NFI_Expiration=1,IF($A168&lt;VLOOKUP(H$5,NFI,5,0),1,0)*Table_NFI[[#This Row],[Hygiene Kit]],Table_NFI[Hygiene Kit])</f>
        <v>0</v>
      </c>
      <c r="Z168" s="378">
        <f>IF(NFI_Expiration=1,IF($A168&lt;VLOOKUP(I$5,NFI,5,0),1,0)*Table_NFI[[#This Row],[NFI Core Kit]],Table_NFI[NFI Core Kit])</f>
        <v>0</v>
      </c>
      <c r="AA168" s="378">
        <f>IF(NFI_Expiration=1,IF($A168&lt;VLOOKUP(J$5,NFI,5,0),1,0)*Table_NFI[[#This Row],[Sanitary Kit]],Table_NFI[Sanitary Kit])</f>
        <v>0</v>
      </c>
      <c r="AB168" s="378">
        <f>IF(NFI_Expiration=1,IF($A168&lt;VLOOKUP(K$5,NFI,5,0),1,0)*Table_NFI[[#This Row],[Mosquito net]],Table_NFI[Mosquito net])</f>
        <v>0</v>
      </c>
      <c r="AC168" s="378">
        <f>IF(NFI_Expiration=1,IF($A168&lt;VLOOKUP(L$5,NFI,5,0),1,0)*Table_NFI[[#This Row],[Tarpaulin]],Table_NFI[[#This Row],[Tarpaulin]])</f>
        <v>0</v>
      </c>
      <c r="AD168" s="378">
        <f>IF(NFI_Expiration=1,IF($A168&lt;VLOOKUP(M$5,NFI,5,0),1,0)*Table_NFI[[#This Row],[Blanket]],Table_NFI[[#This Row],[Blanket]])</f>
        <v>0</v>
      </c>
      <c r="AE168" s="378">
        <f>IF(NFI_Expiration=1,IF($A168&lt;VLOOKUP(N$5,NFI,5,0),1,0)*Table_NFI[[#This Row],[Kitchen Set]],Table_NFI[Kitchen Set])</f>
        <v>0</v>
      </c>
      <c r="AF168" s="378">
        <f>IF(NFI_Expiration=1,IF($A168&lt;VLOOKUP(O$5,NFI,5,0),1,0)*Table_NFI[[#This Row],[Clothes Kit]],Table_NFI[Clothes Kit])</f>
        <v>0</v>
      </c>
      <c r="AG168" s="378">
        <f>IF(NFI_Expiration=1,IF($A168&lt;VLOOKUP(P$5,NFI,5,0),1,0)*Table_NFI[[#This Row],[Plastic Bucket]],Table_NFI[Plastic Bucket])</f>
        <v>0</v>
      </c>
      <c r="AH168" s="378">
        <f>IF(NFI_Expiration=1,IF($A168&lt;VLOOKUP(Q$5,NFI,5,0),1,0)*Table_NFI[[#This Row],[Plastic Mat]],Table_NFI[Plastic Mat])*IF(Table_NFI[[#This Row],[Distribution Date]]&gt;"2014-04-01",1,2.5)</f>
        <v>0</v>
      </c>
      <c r="AI168" s="378">
        <f>IF(NFI_Expiration=1,IF($A168&lt;VLOOKUP(R$5,NFI,5,0),1,0)*Table_NFI[[#This Row],[Winter Clothes Adult]],Table_NFI[Winter Clothes Adult])</f>
        <v>0</v>
      </c>
      <c r="AJ168" s="378">
        <f>IF(NFI_Expiration=1,IF($A168&lt;VLOOKUP(S$5,NFI,5,0),1,0)*Table_NFI[[#This Row],[Winter Clothes Children]],Table_NFI[Winter Clothes Children])</f>
        <v>0</v>
      </c>
      <c r="AK168" s="378">
        <f>IF(NFI_Expiration=1,IF($A168&lt;VLOOKUP(T$5,NFI,5,0),1,0)*Table_NFI[[#This Row],[Winter Items Other]],Table_NFI[Winter Items Other])</f>
        <v>0</v>
      </c>
      <c r="AL168" s="378">
        <f>IF(NFI_Expiration=1,IF($A168&lt;VLOOKUP(M$5,NFI,5,0),1,0)*Table_NFI[[#This Row],[Winter Blanket]],Table_NFI[[#This Row],[Winter Blanket]])</f>
        <v>0</v>
      </c>
      <c r="AM168" s="378">
        <f>IF(Table_NFI[[#This Row],[Winter Clothes Adult]]+Table_NFI[[#This Row],[Winter Clothes Children]]+Table_NFI[[#This Row],[Winter Items Other]]+Table_NFI[[#This Row],[Winter Blanket]]&gt;0,1,0)</f>
        <v>0</v>
      </c>
      <c r="AN168" s="418">
        <f>IF(NFI_Expiration=1,IF($A168&lt;VLOOKUP(V$5,NFI,5,0),1,0)*Table_NFI[[#This Row],[Jerry Can]],Table_NFI[Jerry Can])</f>
        <v>0</v>
      </c>
      <c r="AO168" s="579" t="str">
        <f>IFERROR(VLOOKUP(Table_NFI[[#This Row],[Camp Name]],CL,2,0),"")</f>
        <v>MMR001CMP191</v>
      </c>
      <c r="AP168" s="574">
        <f ca="1">IF(Table_NFI[[#This Row],[Pcode]]="","",IF(OFFSET(CampList[Opening Date],MATCH(Table_NFI[[#This Row],[Pcode]],CampList[CP_Pcode],0)-1,0,1,1)&gt;=NFI_Monitor_Date,1,0))</f>
        <v>0</v>
      </c>
      <c r="AQ168" s="579" t="str">
        <f>IFERROR(VLOOKUP(Table_NFI[[#This Row],[Camp Name]],CL,3,0),"")</f>
        <v>Open</v>
      </c>
      <c r="AR168" s="378" t="str">
        <f ca="1">IF(Table_NFI[[#This Row],[Pcode]]="","",OFFSET(CampList[Priority],MATCH(Table_NFI[[#This Row],[Pcode]],CampList[CP_Pcode],0)-1,0,1,1))</f>
        <v>P4</v>
      </c>
      <c r="AS168" s="377">
        <f>IFERROR(Table_NFI[[#This Row],[Kitchen Set]]/VLOOKUP(Table_NFI[[#This Row],[Camp Name]],CL,4,0),"")</f>
        <v>0</v>
      </c>
      <c r="AT168" s="572" t="s">
        <v>1095</v>
      </c>
      <c r="AU168" s="575"/>
    </row>
    <row r="169" spans="1:47" s="576" customFormat="1" x14ac:dyDescent="0.25">
      <c r="A169" s="381">
        <f t="shared" si="2"/>
        <v>26.2</v>
      </c>
      <c r="B169" s="571">
        <v>41736</v>
      </c>
      <c r="C169" s="572" t="s">
        <v>1107</v>
      </c>
      <c r="D169" s="572" t="s">
        <v>903</v>
      </c>
      <c r="E169" s="572" t="s">
        <v>380</v>
      </c>
      <c r="F169" s="572" t="s">
        <v>151</v>
      </c>
      <c r="G169" s="572" t="s">
        <v>12</v>
      </c>
      <c r="H169" s="375"/>
      <c r="I169" s="375"/>
      <c r="J169" s="375"/>
      <c r="K169" s="375"/>
      <c r="L169" s="376"/>
      <c r="M169" s="376"/>
      <c r="N169" s="376"/>
      <c r="O169" s="376"/>
      <c r="P169" s="378"/>
      <c r="Q169" s="378"/>
      <c r="R169" s="378"/>
      <c r="S169" s="378"/>
      <c r="T169" s="378"/>
      <c r="U169" s="378">
        <v>558</v>
      </c>
      <c r="V169" s="533"/>
      <c r="W169" s="378"/>
      <c r="X169" s="378"/>
      <c r="Y169" s="378">
        <f>IF(NFI_Expiration=1,IF($A169&lt;VLOOKUP(H$5,NFI,5,0),1,0)*Table_NFI[[#This Row],[Hygiene Kit]],Table_NFI[Hygiene Kit])</f>
        <v>0</v>
      </c>
      <c r="Z169" s="378">
        <f>IF(NFI_Expiration=1,IF($A169&lt;VLOOKUP(I$5,NFI,5,0),1,0)*Table_NFI[[#This Row],[NFI Core Kit]],Table_NFI[NFI Core Kit])</f>
        <v>0</v>
      </c>
      <c r="AA169" s="378">
        <f>IF(NFI_Expiration=1,IF($A169&lt;VLOOKUP(J$5,NFI,5,0),1,0)*Table_NFI[[#This Row],[Sanitary Kit]],Table_NFI[Sanitary Kit])</f>
        <v>0</v>
      </c>
      <c r="AB169" s="378">
        <f>IF(NFI_Expiration=1,IF($A169&lt;VLOOKUP(K$5,NFI,5,0),1,0)*Table_NFI[[#This Row],[Mosquito net]],Table_NFI[Mosquito net])</f>
        <v>0</v>
      </c>
      <c r="AC169" s="378">
        <f>IF(NFI_Expiration=1,IF($A169&lt;VLOOKUP(L$5,NFI,5,0),1,0)*Table_NFI[[#This Row],[Tarpaulin]],Table_NFI[[#This Row],[Tarpaulin]])</f>
        <v>0</v>
      </c>
      <c r="AD169" s="378">
        <f>IF(NFI_Expiration=1,IF($A169&lt;VLOOKUP(M$5,NFI,5,0),1,0)*Table_NFI[[#This Row],[Blanket]],Table_NFI[[#This Row],[Blanket]])</f>
        <v>0</v>
      </c>
      <c r="AE169" s="378">
        <f>IF(NFI_Expiration=1,IF($A169&lt;VLOOKUP(N$5,NFI,5,0),1,0)*Table_NFI[[#This Row],[Kitchen Set]],Table_NFI[Kitchen Set])</f>
        <v>0</v>
      </c>
      <c r="AF169" s="378">
        <f>IF(NFI_Expiration=1,IF($A169&lt;VLOOKUP(O$5,NFI,5,0),1,0)*Table_NFI[[#This Row],[Clothes Kit]],Table_NFI[Clothes Kit])</f>
        <v>0</v>
      </c>
      <c r="AG169" s="378">
        <f>IF(NFI_Expiration=1,IF($A169&lt;VLOOKUP(P$5,NFI,5,0),1,0)*Table_NFI[[#This Row],[Plastic Bucket]],Table_NFI[Plastic Bucket])</f>
        <v>0</v>
      </c>
      <c r="AH169" s="378">
        <f>IF(NFI_Expiration=1,IF($A169&lt;VLOOKUP(Q$5,NFI,5,0),1,0)*Table_NFI[[#This Row],[Plastic Mat]],Table_NFI[Plastic Mat])*IF(Table_NFI[[#This Row],[Distribution Date]]&gt;"2014-04-01",1,2.5)</f>
        <v>0</v>
      </c>
      <c r="AI169" s="378">
        <f>IF(NFI_Expiration=1,IF($A169&lt;VLOOKUP(R$5,NFI,5,0),1,0)*Table_NFI[[#This Row],[Winter Clothes Adult]],Table_NFI[Winter Clothes Adult])</f>
        <v>0</v>
      </c>
      <c r="AJ169" s="378">
        <f>IF(NFI_Expiration=1,IF($A169&lt;VLOOKUP(S$5,NFI,5,0),1,0)*Table_NFI[[#This Row],[Winter Clothes Children]],Table_NFI[Winter Clothes Children])</f>
        <v>0</v>
      </c>
      <c r="AK169" s="378">
        <f>IF(NFI_Expiration=1,IF($A169&lt;VLOOKUP(T$5,NFI,5,0),1,0)*Table_NFI[[#This Row],[Winter Items Other]],Table_NFI[Winter Items Other])</f>
        <v>0</v>
      </c>
      <c r="AL169" s="378">
        <f>IF(NFI_Expiration=1,IF($A169&lt;VLOOKUP(M$5,NFI,5,0),1,0)*Table_NFI[[#This Row],[Winter Blanket]],Table_NFI[[#This Row],[Winter Blanket]])</f>
        <v>0</v>
      </c>
      <c r="AM169" s="378">
        <f>IF(Table_NFI[[#This Row],[Winter Clothes Adult]]+Table_NFI[[#This Row],[Winter Clothes Children]]+Table_NFI[[#This Row],[Winter Items Other]]+Table_NFI[[#This Row],[Winter Blanket]]&gt;0,1,0)</f>
        <v>1</v>
      </c>
      <c r="AN169" s="418">
        <f>IF(NFI_Expiration=1,IF($A169&lt;VLOOKUP(V$5,NFI,5,0),1,0)*Table_NFI[[#This Row],[Jerry Can]],Table_NFI[Jerry Can])</f>
        <v>0</v>
      </c>
      <c r="AO169" s="579" t="str">
        <f>IFERROR(VLOOKUP(Table_NFI[[#This Row],[Camp Name]],CL,2,0),"")</f>
        <v>MMR001CMP163</v>
      </c>
      <c r="AP169" s="574">
        <f ca="1">IF(Table_NFI[[#This Row],[Pcode]]="","",IF(OFFSET(CampList[Opening Date],MATCH(Table_NFI[[#This Row],[Pcode]],CampList[CP_Pcode],0)-1,0,1,1)&gt;=NFI_Monitor_Date,1,0))</f>
        <v>0</v>
      </c>
      <c r="AQ169" s="579" t="str">
        <f>IFERROR(VLOOKUP(Table_NFI[[#This Row],[Camp Name]],CL,3,0),"")</f>
        <v>Open</v>
      </c>
      <c r="AR169" s="378" t="str">
        <f ca="1">IF(Table_NFI[[#This Row],[Pcode]]="","",OFFSET(CampList[Priority],MATCH(Table_NFI[[#This Row],[Pcode]],CampList[CP_Pcode],0)-1,0,1,1))</f>
        <v>P4</v>
      </c>
      <c r="AS169" s="377">
        <f>IFERROR(Table_NFI[[#This Row],[Kitchen Set]]/VLOOKUP(Table_NFI[[#This Row],[Camp Name]],CL,4,0),"")</f>
        <v>0</v>
      </c>
      <c r="AT169" s="572"/>
      <c r="AU169" s="575"/>
    </row>
    <row r="170" spans="1:47" s="576" customFormat="1" x14ac:dyDescent="0.25">
      <c r="A170" s="381">
        <f t="shared" si="2"/>
        <v>29.866666666666667</v>
      </c>
      <c r="B170" s="571">
        <v>41626</v>
      </c>
      <c r="C170" s="572" t="s">
        <v>454</v>
      </c>
      <c r="D170" s="573" t="s">
        <v>454</v>
      </c>
      <c r="E170" s="572" t="s">
        <v>380</v>
      </c>
      <c r="F170" s="374" t="s">
        <v>5</v>
      </c>
      <c r="G170" s="374" t="s">
        <v>12</v>
      </c>
      <c r="H170" s="375"/>
      <c r="I170" s="375"/>
      <c r="J170" s="375"/>
      <c r="K170" s="375"/>
      <c r="L170" s="376">
        <v>4</v>
      </c>
      <c r="M170" s="376"/>
      <c r="N170" s="376"/>
      <c r="O170" s="376"/>
      <c r="P170" s="378"/>
      <c r="Q170" s="378"/>
      <c r="R170" s="378"/>
      <c r="S170" s="378"/>
      <c r="T170" s="378"/>
      <c r="U170" s="378"/>
      <c r="V170" s="533"/>
      <c r="W170" s="378"/>
      <c r="X170" s="378"/>
      <c r="Y170" s="378">
        <f>IF(NFI_Expiration=1,IF($A170&lt;VLOOKUP(H$5,NFI,5,0),1,0)*Table_NFI[[#This Row],[Hygiene Kit]],Table_NFI[Hygiene Kit])</f>
        <v>0</v>
      </c>
      <c r="Z170" s="378">
        <f>IF(NFI_Expiration=1,IF($A170&lt;VLOOKUP(I$5,NFI,5,0),1,0)*Table_NFI[[#This Row],[NFI Core Kit]],Table_NFI[NFI Core Kit])</f>
        <v>0</v>
      </c>
      <c r="AA170" s="378">
        <f>IF(NFI_Expiration=1,IF($A170&lt;VLOOKUP(J$5,NFI,5,0),1,0)*Table_NFI[[#This Row],[Sanitary Kit]],Table_NFI[Sanitary Kit])</f>
        <v>0</v>
      </c>
      <c r="AB170" s="378">
        <f>IF(NFI_Expiration=1,IF($A170&lt;VLOOKUP(K$5,NFI,5,0),1,0)*Table_NFI[[#This Row],[Mosquito net]],Table_NFI[Mosquito net])</f>
        <v>0</v>
      </c>
      <c r="AC170" s="378">
        <f>IF(NFI_Expiration=1,IF($A170&lt;VLOOKUP(L$5,NFI,5,0),1,0)*Table_NFI[[#This Row],[Tarpaulin]],Table_NFI[[#This Row],[Tarpaulin]])</f>
        <v>0</v>
      </c>
      <c r="AD170" s="378">
        <f>IF(NFI_Expiration=1,IF($A170&lt;VLOOKUP(M$5,NFI,5,0),1,0)*Table_NFI[[#This Row],[Blanket]],Table_NFI[[#This Row],[Blanket]])</f>
        <v>0</v>
      </c>
      <c r="AE170" s="378">
        <f>IF(NFI_Expiration=1,IF($A170&lt;VLOOKUP(N$5,NFI,5,0),1,0)*Table_NFI[[#This Row],[Kitchen Set]],Table_NFI[Kitchen Set])</f>
        <v>0</v>
      </c>
      <c r="AF170" s="378">
        <f>IF(NFI_Expiration=1,IF($A170&lt;VLOOKUP(O$5,NFI,5,0),1,0)*Table_NFI[[#This Row],[Clothes Kit]],Table_NFI[Clothes Kit])</f>
        <v>0</v>
      </c>
      <c r="AG170" s="378">
        <f>IF(NFI_Expiration=1,IF($A170&lt;VLOOKUP(P$5,NFI,5,0),1,0)*Table_NFI[[#This Row],[Plastic Bucket]],Table_NFI[Plastic Bucket])</f>
        <v>0</v>
      </c>
      <c r="AH170" s="378">
        <f>IF(NFI_Expiration=1,IF($A170&lt;VLOOKUP(Q$5,NFI,5,0),1,0)*Table_NFI[[#This Row],[Plastic Mat]],Table_NFI[Plastic Mat])*IF(Table_NFI[[#This Row],[Distribution Date]]&gt;"2014-04-01",1,2.5)</f>
        <v>0</v>
      </c>
      <c r="AI170" s="378">
        <f>IF(NFI_Expiration=1,IF($A170&lt;VLOOKUP(R$5,NFI,5,0),1,0)*Table_NFI[[#This Row],[Winter Clothes Adult]],Table_NFI[Winter Clothes Adult])</f>
        <v>0</v>
      </c>
      <c r="AJ170" s="378">
        <f>IF(NFI_Expiration=1,IF($A170&lt;VLOOKUP(S$5,NFI,5,0),1,0)*Table_NFI[[#This Row],[Winter Clothes Children]],Table_NFI[Winter Clothes Children])</f>
        <v>0</v>
      </c>
      <c r="AK170" s="378">
        <f>IF(NFI_Expiration=1,IF($A170&lt;VLOOKUP(T$5,NFI,5,0),1,0)*Table_NFI[[#This Row],[Winter Items Other]],Table_NFI[Winter Items Other])</f>
        <v>0</v>
      </c>
      <c r="AL170" s="378">
        <f>IF(NFI_Expiration=1,IF($A170&lt;VLOOKUP(M$5,NFI,5,0),1,0)*Table_NFI[[#This Row],[Winter Blanket]],Table_NFI[[#This Row],[Winter Blanket]])</f>
        <v>0</v>
      </c>
      <c r="AM170" s="378">
        <f>IF(Table_NFI[[#This Row],[Winter Clothes Adult]]+Table_NFI[[#This Row],[Winter Clothes Children]]+Table_NFI[[#This Row],[Winter Items Other]]+Table_NFI[[#This Row],[Winter Blanket]]&gt;0,1,0)</f>
        <v>0</v>
      </c>
      <c r="AN170" s="418">
        <f>IF(NFI_Expiration=1,IF($A170&lt;VLOOKUP(V$5,NFI,5,0),1,0)*Table_NFI[[#This Row],[Jerry Can]],Table_NFI[Jerry Can])</f>
        <v>0</v>
      </c>
      <c r="AO170" s="579" t="str">
        <f>IFERROR(VLOOKUP(Table_NFI[[#This Row],[Camp Name]],CL,2,0),"")</f>
        <v>MMR001CMP163</v>
      </c>
      <c r="AP170" s="574">
        <f ca="1">IF(Table_NFI[[#This Row],[Pcode]]="","",IF(OFFSET(CampList[Opening Date],MATCH(Table_NFI[[#This Row],[Pcode]],CampList[CP_Pcode],0)-1,0,1,1)&gt;=NFI_Monitor_Date,1,0))</f>
        <v>0</v>
      </c>
      <c r="AQ170" s="579" t="str">
        <f>IFERROR(VLOOKUP(Table_NFI[[#This Row],[Camp Name]],CL,3,0),"")</f>
        <v>Open</v>
      </c>
      <c r="AR170" s="378" t="str">
        <f ca="1">IF(Table_NFI[[#This Row],[Pcode]]="","",OFFSET(CampList[Priority],MATCH(Table_NFI[[#This Row],[Pcode]],CampList[CP_Pcode],0)-1,0,1,1))</f>
        <v>P4</v>
      </c>
      <c r="AS170" s="377">
        <f>IFERROR(Table_NFI[[#This Row],[Kitchen Set]]/VLOOKUP(Table_NFI[[#This Row],[Camp Name]],CL,4,0),"")</f>
        <v>0</v>
      </c>
      <c r="AT170" s="572" t="s">
        <v>1095</v>
      </c>
      <c r="AU170" s="575"/>
    </row>
    <row r="171" spans="1:47" s="130" customFormat="1" x14ac:dyDescent="0.25">
      <c r="A171" s="381">
        <f t="shared" si="2"/>
        <v>30.6</v>
      </c>
      <c r="B171" s="571">
        <v>41604</v>
      </c>
      <c r="C171" s="573" t="s">
        <v>454</v>
      </c>
      <c r="D171" s="573" t="s">
        <v>454</v>
      </c>
      <c r="E171" s="572" t="s">
        <v>380</v>
      </c>
      <c r="F171" s="572" t="s">
        <v>5</v>
      </c>
      <c r="G171" s="374" t="s">
        <v>12</v>
      </c>
      <c r="H171" s="375"/>
      <c r="I171" s="375"/>
      <c r="J171" s="375"/>
      <c r="K171" s="375">
        <v>25</v>
      </c>
      <c r="L171" s="376">
        <v>13</v>
      </c>
      <c r="M171" s="376">
        <v>25</v>
      </c>
      <c r="N171" s="376">
        <v>13</v>
      </c>
      <c r="O171" s="376">
        <v>13</v>
      </c>
      <c r="P171" s="378"/>
      <c r="Q171" s="378"/>
      <c r="R171" s="378"/>
      <c r="S171" s="378"/>
      <c r="T171" s="378"/>
      <c r="U171" s="378"/>
      <c r="V171" s="533"/>
      <c r="W171" s="378"/>
      <c r="X171" s="378"/>
      <c r="Y171" s="378">
        <f>IF(NFI_Expiration=1,IF($A171&lt;VLOOKUP(H$5,NFI,5,0),1,0)*Table_NFI[[#This Row],[Hygiene Kit]],Table_NFI[Hygiene Kit])</f>
        <v>0</v>
      </c>
      <c r="Z171" s="378">
        <f>IF(NFI_Expiration=1,IF($A171&lt;VLOOKUP(I$5,NFI,5,0),1,0)*Table_NFI[[#This Row],[NFI Core Kit]],Table_NFI[NFI Core Kit])</f>
        <v>0</v>
      </c>
      <c r="AA171" s="378">
        <f>IF(NFI_Expiration=1,IF($A171&lt;VLOOKUP(J$5,NFI,5,0),1,0)*Table_NFI[[#This Row],[Sanitary Kit]],Table_NFI[Sanitary Kit])</f>
        <v>0</v>
      </c>
      <c r="AB171" s="378">
        <f>IF(NFI_Expiration=1,IF($A171&lt;VLOOKUP(K$5,NFI,5,0),1,0)*Table_NFI[[#This Row],[Mosquito net]],Table_NFI[Mosquito net])</f>
        <v>0</v>
      </c>
      <c r="AC171" s="378">
        <f>IF(NFI_Expiration=1,IF($A171&lt;VLOOKUP(L$5,NFI,5,0),1,0)*Table_NFI[[#This Row],[Tarpaulin]],Table_NFI[[#This Row],[Tarpaulin]])</f>
        <v>0</v>
      </c>
      <c r="AD171" s="378">
        <f>IF(NFI_Expiration=1,IF($A171&lt;VLOOKUP(M$5,NFI,5,0),1,0)*Table_NFI[[#This Row],[Blanket]],Table_NFI[[#This Row],[Blanket]])</f>
        <v>0</v>
      </c>
      <c r="AE171" s="378">
        <f>IF(NFI_Expiration=1,IF($A171&lt;VLOOKUP(N$5,NFI,5,0),1,0)*Table_NFI[[#This Row],[Kitchen Set]],Table_NFI[Kitchen Set])</f>
        <v>0</v>
      </c>
      <c r="AF171" s="378">
        <f>IF(NFI_Expiration=1,IF($A171&lt;VLOOKUP(O$5,NFI,5,0),1,0)*Table_NFI[[#This Row],[Clothes Kit]],Table_NFI[Clothes Kit])</f>
        <v>0</v>
      </c>
      <c r="AG171" s="378">
        <f>IF(NFI_Expiration=1,IF($A171&lt;VLOOKUP(P$5,NFI,5,0),1,0)*Table_NFI[[#This Row],[Plastic Bucket]],Table_NFI[Plastic Bucket])</f>
        <v>0</v>
      </c>
      <c r="AH171" s="378">
        <f>IF(NFI_Expiration=1,IF($A171&lt;VLOOKUP(Q$5,NFI,5,0),1,0)*Table_NFI[[#This Row],[Plastic Mat]],Table_NFI[Plastic Mat])*IF(Table_NFI[[#This Row],[Distribution Date]]&gt;"2014-04-01",1,2.5)</f>
        <v>0</v>
      </c>
      <c r="AI171" s="378">
        <f>IF(NFI_Expiration=1,IF($A171&lt;VLOOKUP(R$5,NFI,5,0),1,0)*Table_NFI[[#This Row],[Winter Clothes Adult]],Table_NFI[Winter Clothes Adult])</f>
        <v>0</v>
      </c>
      <c r="AJ171" s="378">
        <f>IF(NFI_Expiration=1,IF($A171&lt;VLOOKUP(S$5,NFI,5,0),1,0)*Table_NFI[[#This Row],[Winter Clothes Children]],Table_NFI[Winter Clothes Children])</f>
        <v>0</v>
      </c>
      <c r="AK171" s="378">
        <f>IF(NFI_Expiration=1,IF($A171&lt;VLOOKUP(T$5,NFI,5,0),1,0)*Table_NFI[[#This Row],[Winter Items Other]],Table_NFI[Winter Items Other])</f>
        <v>0</v>
      </c>
      <c r="AL171" s="378">
        <f>IF(NFI_Expiration=1,IF($A171&lt;VLOOKUP(M$5,NFI,5,0),1,0)*Table_NFI[[#This Row],[Winter Blanket]],Table_NFI[[#This Row],[Winter Blanket]])</f>
        <v>0</v>
      </c>
      <c r="AM171" s="378">
        <f>IF(Table_NFI[[#This Row],[Winter Clothes Adult]]+Table_NFI[[#This Row],[Winter Clothes Children]]+Table_NFI[[#This Row],[Winter Items Other]]+Table_NFI[[#This Row],[Winter Blanket]]&gt;0,1,0)</f>
        <v>0</v>
      </c>
      <c r="AN171" s="418">
        <f>IF(NFI_Expiration=1,IF($A171&lt;VLOOKUP(V$5,NFI,5,0),1,0)*Table_NFI[[#This Row],[Jerry Can]],Table_NFI[Jerry Can])</f>
        <v>0</v>
      </c>
      <c r="AO171" s="579" t="str">
        <f>IFERROR(VLOOKUP(Table_NFI[[#This Row],[Camp Name]],CL,2,0),"")</f>
        <v>MMR001CMP163</v>
      </c>
      <c r="AP171" s="574">
        <f ca="1">IF(Table_NFI[[#This Row],[Pcode]]="","",IF(OFFSET(CampList[Opening Date],MATCH(Table_NFI[[#This Row],[Pcode]],CampList[CP_Pcode],0)-1,0,1,1)&gt;=NFI_Monitor_Date,1,0))</f>
        <v>0</v>
      </c>
      <c r="AQ171" s="579" t="str">
        <f>IFERROR(VLOOKUP(Table_NFI[[#This Row],[Camp Name]],CL,3,0),"")</f>
        <v>Open</v>
      </c>
      <c r="AR171" s="378" t="str">
        <f ca="1">IF(Table_NFI[[#This Row],[Pcode]]="","",OFFSET(CampList[Priority],MATCH(Table_NFI[[#This Row],[Pcode]],CampList[CP_Pcode],0)-1,0,1,1))</f>
        <v>P4</v>
      </c>
      <c r="AS171" s="377">
        <f>IFERROR(Table_NFI[[#This Row],[Kitchen Set]]/VLOOKUP(Table_NFI[[#This Row],[Camp Name]],CL,4,0),"")</f>
        <v>6.1611374407582936E-2</v>
      </c>
      <c r="AT171" s="572" t="s">
        <v>1095</v>
      </c>
      <c r="AU171" s="575"/>
    </row>
    <row r="172" spans="1:47" s="130" customFormat="1" x14ac:dyDescent="0.25">
      <c r="A172" s="381">
        <f t="shared" si="2"/>
        <v>30.833333333333332</v>
      </c>
      <c r="B172" s="571">
        <v>41597</v>
      </c>
      <c r="C172" s="573" t="s">
        <v>454</v>
      </c>
      <c r="D172" s="573" t="s">
        <v>454</v>
      </c>
      <c r="E172" s="572" t="s">
        <v>380</v>
      </c>
      <c r="F172" s="572" t="s">
        <v>5</v>
      </c>
      <c r="G172" s="374" t="s">
        <v>12</v>
      </c>
      <c r="H172" s="375"/>
      <c r="I172" s="375"/>
      <c r="J172" s="375"/>
      <c r="K172" s="375">
        <v>57</v>
      </c>
      <c r="L172" s="376">
        <v>33</v>
      </c>
      <c r="M172" s="376">
        <v>57</v>
      </c>
      <c r="N172" s="376">
        <v>33</v>
      </c>
      <c r="O172" s="376">
        <v>33</v>
      </c>
      <c r="P172" s="378"/>
      <c r="Q172" s="378"/>
      <c r="R172" s="378"/>
      <c r="S172" s="378"/>
      <c r="T172" s="378"/>
      <c r="U172" s="378"/>
      <c r="V172" s="533"/>
      <c r="W172" s="378"/>
      <c r="X172" s="378"/>
      <c r="Y172" s="378">
        <f>IF(NFI_Expiration=1,IF($A172&lt;VLOOKUP(H$5,NFI,5,0),1,0)*Table_NFI[[#This Row],[Hygiene Kit]],Table_NFI[Hygiene Kit])</f>
        <v>0</v>
      </c>
      <c r="Z172" s="378">
        <f>IF(NFI_Expiration=1,IF($A172&lt;VLOOKUP(I$5,NFI,5,0),1,0)*Table_NFI[[#This Row],[NFI Core Kit]],Table_NFI[NFI Core Kit])</f>
        <v>0</v>
      </c>
      <c r="AA172" s="378">
        <f>IF(NFI_Expiration=1,IF($A172&lt;VLOOKUP(J$5,NFI,5,0),1,0)*Table_NFI[[#This Row],[Sanitary Kit]],Table_NFI[Sanitary Kit])</f>
        <v>0</v>
      </c>
      <c r="AB172" s="378">
        <f>IF(NFI_Expiration=1,IF($A172&lt;VLOOKUP(K$5,NFI,5,0),1,0)*Table_NFI[[#This Row],[Mosquito net]],Table_NFI[Mosquito net])</f>
        <v>0</v>
      </c>
      <c r="AC172" s="378">
        <f>IF(NFI_Expiration=1,IF($A172&lt;VLOOKUP(L$5,NFI,5,0),1,0)*Table_NFI[[#This Row],[Tarpaulin]],Table_NFI[[#This Row],[Tarpaulin]])</f>
        <v>0</v>
      </c>
      <c r="AD172" s="378">
        <f>IF(NFI_Expiration=1,IF($A172&lt;VLOOKUP(M$5,NFI,5,0),1,0)*Table_NFI[[#This Row],[Blanket]],Table_NFI[[#This Row],[Blanket]])</f>
        <v>0</v>
      </c>
      <c r="AE172" s="378">
        <f>IF(NFI_Expiration=1,IF($A172&lt;VLOOKUP(N$5,NFI,5,0),1,0)*Table_NFI[[#This Row],[Kitchen Set]],Table_NFI[Kitchen Set])</f>
        <v>0</v>
      </c>
      <c r="AF172" s="378">
        <f>IF(NFI_Expiration=1,IF($A172&lt;VLOOKUP(O$5,NFI,5,0),1,0)*Table_NFI[[#This Row],[Clothes Kit]],Table_NFI[Clothes Kit])</f>
        <v>0</v>
      </c>
      <c r="AG172" s="378">
        <f>IF(NFI_Expiration=1,IF($A172&lt;VLOOKUP(P$5,NFI,5,0),1,0)*Table_NFI[[#This Row],[Plastic Bucket]],Table_NFI[Plastic Bucket])</f>
        <v>0</v>
      </c>
      <c r="AH172" s="378">
        <f>IF(NFI_Expiration=1,IF($A172&lt;VLOOKUP(Q$5,NFI,5,0),1,0)*Table_NFI[[#This Row],[Plastic Mat]],Table_NFI[Plastic Mat])*IF(Table_NFI[[#This Row],[Distribution Date]]&gt;"2014-04-01",1,2.5)</f>
        <v>0</v>
      </c>
      <c r="AI172" s="378">
        <f>IF(NFI_Expiration=1,IF($A172&lt;VLOOKUP(R$5,NFI,5,0),1,0)*Table_NFI[[#This Row],[Winter Clothes Adult]],Table_NFI[Winter Clothes Adult])</f>
        <v>0</v>
      </c>
      <c r="AJ172" s="378">
        <f>IF(NFI_Expiration=1,IF($A172&lt;VLOOKUP(S$5,NFI,5,0),1,0)*Table_NFI[[#This Row],[Winter Clothes Children]],Table_NFI[Winter Clothes Children])</f>
        <v>0</v>
      </c>
      <c r="AK172" s="378">
        <f>IF(NFI_Expiration=1,IF($A172&lt;VLOOKUP(T$5,NFI,5,0),1,0)*Table_NFI[[#This Row],[Winter Items Other]],Table_NFI[Winter Items Other])</f>
        <v>0</v>
      </c>
      <c r="AL172" s="378">
        <f>IF(NFI_Expiration=1,IF($A172&lt;VLOOKUP(M$5,NFI,5,0),1,0)*Table_NFI[[#This Row],[Winter Blanket]],Table_NFI[[#This Row],[Winter Blanket]])</f>
        <v>0</v>
      </c>
      <c r="AM172" s="378">
        <f>IF(Table_NFI[[#This Row],[Winter Clothes Adult]]+Table_NFI[[#This Row],[Winter Clothes Children]]+Table_NFI[[#This Row],[Winter Items Other]]+Table_NFI[[#This Row],[Winter Blanket]]&gt;0,1,0)</f>
        <v>0</v>
      </c>
      <c r="AN172" s="418">
        <f>IF(NFI_Expiration=1,IF($A172&lt;VLOOKUP(V$5,NFI,5,0),1,0)*Table_NFI[[#This Row],[Jerry Can]],Table_NFI[Jerry Can])</f>
        <v>0</v>
      </c>
      <c r="AO172" s="579" t="str">
        <f>IFERROR(VLOOKUP(Table_NFI[[#This Row],[Camp Name]],CL,2,0),"")</f>
        <v>MMR001CMP163</v>
      </c>
      <c r="AP172" s="574">
        <f ca="1">IF(Table_NFI[[#This Row],[Pcode]]="","",IF(OFFSET(CampList[Opening Date],MATCH(Table_NFI[[#This Row],[Pcode]],CampList[CP_Pcode],0)-1,0,1,1)&gt;=NFI_Monitor_Date,1,0))</f>
        <v>0</v>
      </c>
      <c r="AQ172" s="579" t="str">
        <f>IFERROR(VLOOKUP(Table_NFI[[#This Row],[Camp Name]],CL,3,0),"")</f>
        <v>Open</v>
      </c>
      <c r="AR172" s="378" t="str">
        <f ca="1">IF(Table_NFI[[#This Row],[Pcode]]="","",OFFSET(CampList[Priority],MATCH(Table_NFI[[#This Row],[Pcode]],CampList[CP_Pcode],0)-1,0,1,1))</f>
        <v>P4</v>
      </c>
      <c r="AS172" s="377">
        <f>IFERROR(Table_NFI[[#This Row],[Kitchen Set]]/VLOOKUP(Table_NFI[[#This Row],[Camp Name]],CL,4,0),"")</f>
        <v>0.15639810426540285</v>
      </c>
      <c r="AT172" s="572" t="s">
        <v>1095</v>
      </c>
      <c r="AU172" s="575"/>
    </row>
    <row r="173" spans="1:47" s="130" customFormat="1" x14ac:dyDescent="0.25">
      <c r="A173" s="381">
        <f t="shared" si="2"/>
        <v>34.1</v>
      </c>
      <c r="B173" s="571">
        <v>41499</v>
      </c>
      <c r="C173" s="572" t="s">
        <v>454</v>
      </c>
      <c r="D173" s="572" t="s">
        <v>508</v>
      </c>
      <c r="E173" s="572" t="s">
        <v>555</v>
      </c>
      <c r="F173" s="572" t="s">
        <v>166</v>
      </c>
      <c r="G173" s="374" t="s">
        <v>12</v>
      </c>
      <c r="H173" s="375"/>
      <c r="I173" s="375"/>
      <c r="J173" s="375">
        <v>49</v>
      </c>
      <c r="K173" s="375">
        <v>90</v>
      </c>
      <c r="L173" s="376">
        <v>30</v>
      </c>
      <c r="M173" s="376">
        <v>90</v>
      </c>
      <c r="N173" s="376">
        <v>30</v>
      </c>
      <c r="O173" s="376">
        <v>30</v>
      </c>
      <c r="P173" s="378">
        <v>30</v>
      </c>
      <c r="Q173" s="378">
        <v>30</v>
      </c>
      <c r="R173" s="378"/>
      <c r="S173" s="378"/>
      <c r="T173" s="378"/>
      <c r="U173" s="378"/>
      <c r="V173" s="533"/>
      <c r="W173" s="378"/>
      <c r="X173" s="378"/>
      <c r="Y173" s="378">
        <f>IF(NFI_Expiration=1,IF($A173&lt;VLOOKUP(H$5,NFI,5,0),1,0)*Table_NFI[[#This Row],[Hygiene Kit]],Table_NFI[Hygiene Kit])</f>
        <v>0</v>
      </c>
      <c r="Z173" s="378">
        <f>IF(NFI_Expiration=1,IF($A173&lt;VLOOKUP(I$5,NFI,5,0),1,0)*Table_NFI[[#This Row],[NFI Core Kit]],Table_NFI[NFI Core Kit])</f>
        <v>0</v>
      </c>
      <c r="AA173" s="378">
        <f>IF(NFI_Expiration=1,IF($A173&lt;VLOOKUP(J$5,NFI,5,0),1,0)*Table_NFI[[#This Row],[Sanitary Kit]],Table_NFI[Sanitary Kit])</f>
        <v>0</v>
      </c>
      <c r="AB173" s="378">
        <f>IF(NFI_Expiration=1,IF($A173&lt;VLOOKUP(K$5,NFI,5,0),1,0)*Table_NFI[[#This Row],[Mosquito net]],Table_NFI[Mosquito net])</f>
        <v>0</v>
      </c>
      <c r="AC173" s="378">
        <f>IF(NFI_Expiration=1,IF($A173&lt;VLOOKUP(L$5,NFI,5,0),1,0)*Table_NFI[[#This Row],[Tarpaulin]],Table_NFI[[#This Row],[Tarpaulin]])</f>
        <v>0</v>
      </c>
      <c r="AD173" s="378">
        <f>IF(NFI_Expiration=1,IF($A173&lt;VLOOKUP(M$5,NFI,5,0),1,0)*Table_NFI[[#This Row],[Blanket]],Table_NFI[[#This Row],[Blanket]])</f>
        <v>0</v>
      </c>
      <c r="AE173" s="378">
        <f>IF(NFI_Expiration=1,IF($A173&lt;VLOOKUP(N$5,NFI,5,0),1,0)*Table_NFI[[#This Row],[Kitchen Set]],Table_NFI[Kitchen Set])</f>
        <v>0</v>
      </c>
      <c r="AF173" s="378">
        <f>IF(NFI_Expiration=1,IF($A173&lt;VLOOKUP(O$5,NFI,5,0),1,0)*Table_NFI[[#This Row],[Clothes Kit]],Table_NFI[Clothes Kit])</f>
        <v>0</v>
      </c>
      <c r="AG173" s="378">
        <f>IF(NFI_Expiration=1,IF($A173&lt;VLOOKUP(P$5,NFI,5,0),1,0)*Table_NFI[[#This Row],[Plastic Bucket]],Table_NFI[Plastic Bucket])</f>
        <v>0</v>
      </c>
      <c r="AH173" s="378">
        <f>IF(NFI_Expiration=1,IF($A173&lt;VLOOKUP(Q$5,NFI,5,0),1,0)*Table_NFI[[#This Row],[Plastic Mat]],Table_NFI[Plastic Mat])*IF(Table_NFI[[#This Row],[Distribution Date]]&gt;"2014-04-01",1,2.5)</f>
        <v>0</v>
      </c>
      <c r="AI173" s="378">
        <f>IF(NFI_Expiration=1,IF($A173&lt;VLOOKUP(R$5,NFI,5,0),1,0)*Table_NFI[[#This Row],[Winter Clothes Adult]],Table_NFI[Winter Clothes Adult])</f>
        <v>0</v>
      </c>
      <c r="AJ173" s="378">
        <f>IF(NFI_Expiration=1,IF($A173&lt;VLOOKUP(S$5,NFI,5,0),1,0)*Table_NFI[[#This Row],[Winter Clothes Children]],Table_NFI[Winter Clothes Children])</f>
        <v>0</v>
      </c>
      <c r="AK173" s="378">
        <f>IF(NFI_Expiration=1,IF($A173&lt;VLOOKUP(T$5,NFI,5,0),1,0)*Table_NFI[[#This Row],[Winter Items Other]],Table_NFI[Winter Items Other])</f>
        <v>0</v>
      </c>
      <c r="AL173" s="378">
        <f>IF(NFI_Expiration=1,IF($A173&lt;VLOOKUP(M$5,NFI,5,0),1,0)*Table_NFI[[#This Row],[Winter Blanket]],Table_NFI[[#This Row],[Winter Blanket]])</f>
        <v>0</v>
      </c>
      <c r="AM173" s="378">
        <f>IF(Table_NFI[[#This Row],[Winter Clothes Adult]]+Table_NFI[[#This Row],[Winter Clothes Children]]+Table_NFI[[#This Row],[Winter Items Other]]+Table_NFI[[#This Row],[Winter Blanket]]&gt;0,1,0)</f>
        <v>0</v>
      </c>
      <c r="AN173" s="418">
        <f>IF(NFI_Expiration=1,IF($A173&lt;VLOOKUP(V$5,NFI,5,0),1,0)*Table_NFI[[#This Row],[Jerry Can]],Table_NFI[Jerry Can])</f>
        <v>0</v>
      </c>
      <c r="AO173" s="579" t="str">
        <f>IFERROR(VLOOKUP(Table_NFI[[#This Row],[Camp Name]],CL,2,0),"")</f>
        <v>MMR001CMP163</v>
      </c>
      <c r="AP173" s="574">
        <f ca="1">IF(Table_NFI[[#This Row],[Pcode]]="","",IF(OFFSET(CampList[Opening Date],MATCH(Table_NFI[[#This Row],[Pcode]],CampList[CP_Pcode],0)-1,0,1,1)&gt;=NFI_Monitor_Date,1,0))</f>
        <v>0</v>
      </c>
      <c r="AQ173" s="579" t="str">
        <f>IFERROR(VLOOKUP(Table_NFI[[#This Row],[Camp Name]],CL,3,0),"")</f>
        <v>Open</v>
      </c>
      <c r="AR173" s="378" t="str">
        <f ca="1">IF(Table_NFI[[#This Row],[Pcode]]="","",OFFSET(CampList[Priority],MATCH(Table_NFI[[#This Row],[Pcode]],CampList[CP_Pcode],0)-1,0,1,1))</f>
        <v>P4</v>
      </c>
      <c r="AS173" s="377">
        <f>IFERROR(Table_NFI[[#This Row],[Kitchen Set]]/VLOOKUP(Table_NFI[[#This Row],[Camp Name]],CL,4,0),"")</f>
        <v>0.14218009478672985</v>
      </c>
      <c r="AT173" s="572" t="s">
        <v>1095</v>
      </c>
      <c r="AU173" s="575"/>
    </row>
    <row r="174" spans="1:47" s="130" customFormat="1" x14ac:dyDescent="0.25">
      <c r="A174" s="381">
        <f t="shared" si="2"/>
        <v>19.3</v>
      </c>
      <c r="B174" s="571">
        <v>41943</v>
      </c>
      <c r="C174" s="572" t="s">
        <v>454</v>
      </c>
      <c r="D174" s="572"/>
      <c r="E174" s="572" t="s">
        <v>380</v>
      </c>
      <c r="F174" s="572" t="s">
        <v>529</v>
      </c>
      <c r="G174" s="572" t="s">
        <v>1068</v>
      </c>
      <c r="H174" s="375"/>
      <c r="I174" s="375"/>
      <c r="J174" s="375">
        <v>64</v>
      </c>
      <c r="K174" s="375">
        <v>128</v>
      </c>
      <c r="L174" s="376">
        <v>64</v>
      </c>
      <c r="M174" s="376">
        <v>128</v>
      </c>
      <c r="N174" s="376">
        <v>64</v>
      </c>
      <c r="O174" s="376"/>
      <c r="P174" s="378">
        <v>64</v>
      </c>
      <c r="Q174" s="378">
        <v>320</v>
      </c>
      <c r="R174" s="378"/>
      <c r="S174" s="378"/>
      <c r="T174" s="378"/>
      <c r="U174" s="378"/>
      <c r="V174" s="533"/>
      <c r="W174" s="378"/>
      <c r="X174" s="378"/>
      <c r="Y174" s="378">
        <f>IF(NFI_Expiration=1,IF($A174&lt;VLOOKUP(H$5,NFI,5,0),1,0)*Table_NFI[[#This Row],[Hygiene Kit]],Table_NFI[Hygiene Kit])</f>
        <v>0</v>
      </c>
      <c r="Z174" s="378">
        <f>IF(NFI_Expiration=1,IF($A174&lt;VLOOKUP(I$5,NFI,5,0),1,0)*Table_NFI[[#This Row],[NFI Core Kit]],Table_NFI[NFI Core Kit])</f>
        <v>0</v>
      </c>
      <c r="AA174" s="378">
        <f>IF(NFI_Expiration=1,IF($A174&lt;VLOOKUP(J$5,NFI,5,0),1,0)*Table_NFI[[#This Row],[Sanitary Kit]],Table_NFI[Sanitary Kit])</f>
        <v>0</v>
      </c>
      <c r="AB174" s="378">
        <f>IF(NFI_Expiration=1,IF($A174&lt;VLOOKUP(K$5,NFI,5,0),1,0)*Table_NFI[[#This Row],[Mosquito net]],Table_NFI[Mosquito net])</f>
        <v>0</v>
      </c>
      <c r="AC174" s="378">
        <f>IF(NFI_Expiration=1,IF($A174&lt;VLOOKUP(L$5,NFI,5,0),1,0)*Table_NFI[[#This Row],[Tarpaulin]],Table_NFI[[#This Row],[Tarpaulin]])</f>
        <v>0</v>
      </c>
      <c r="AD174" s="378">
        <f>IF(NFI_Expiration=1,IF($A174&lt;VLOOKUP(M$5,NFI,5,0),1,0)*Table_NFI[[#This Row],[Blanket]],Table_NFI[[#This Row],[Blanket]])</f>
        <v>0</v>
      </c>
      <c r="AE174" s="378">
        <f>IF(NFI_Expiration=1,IF($A174&lt;VLOOKUP(N$5,NFI,5,0),1,0)*Table_NFI[[#This Row],[Kitchen Set]],Table_NFI[Kitchen Set])</f>
        <v>0</v>
      </c>
      <c r="AF174" s="378">
        <f>IF(NFI_Expiration=1,IF($A174&lt;VLOOKUP(O$5,NFI,5,0),1,0)*Table_NFI[[#This Row],[Clothes Kit]],Table_NFI[Clothes Kit])</f>
        <v>0</v>
      </c>
      <c r="AG174" s="378">
        <f>IF(NFI_Expiration=1,IF($A174&lt;VLOOKUP(P$5,NFI,5,0),1,0)*Table_NFI[[#This Row],[Plastic Bucket]],Table_NFI[Plastic Bucket])</f>
        <v>0</v>
      </c>
      <c r="AH174" s="378">
        <f>IF(NFI_Expiration=1,IF($A174&lt;VLOOKUP(Q$5,NFI,5,0),1,0)*Table_NFI[[#This Row],[Plastic Mat]],Table_NFI[Plastic Mat])*IF(Table_NFI[[#This Row],[Distribution Date]]&gt;"2014-04-01",1,2.5)</f>
        <v>0</v>
      </c>
      <c r="AI174" s="378">
        <f>IF(NFI_Expiration=1,IF($A174&lt;VLOOKUP(R$5,NFI,5,0),1,0)*Table_NFI[[#This Row],[Winter Clothes Adult]],Table_NFI[Winter Clothes Adult])</f>
        <v>0</v>
      </c>
      <c r="AJ174" s="378">
        <f>IF(NFI_Expiration=1,IF($A174&lt;VLOOKUP(S$5,NFI,5,0),1,0)*Table_NFI[[#This Row],[Winter Clothes Children]],Table_NFI[Winter Clothes Children])</f>
        <v>0</v>
      </c>
      <c r="AK174" s="378">
        <f>IF(NFI_Expiration=1,IF($A174&lt;VLOOKUP(T$5,NFI,5,0),1,0)*Table_NFI[[#This Row],[Winter Items Other]],Table_NFI[Winter Items Other])</f>
        <v>0</v>
      </c>
      <c r="AL174" s="378">
        <f>IF(NFI_Expiration=1,IF($A174&lt;VLOOKUP(M$5,NFI,5,0),1,0)*Table_NFI[[#This Row],[Winter Blanket]],Table_NFI[[#This Row],[Winter Blanket]])</f>
        <v>0</v>
      </c>
      <c r="AM174" s="378">
        <f>IF(Table_NFI[[#This Row],[Winter Clothes Adult]]+Table_NFI[[#This Row],[Winter Clothes Children]]+Table_NFI[[#This Row],[Winter Items Other]]+Table_NFI[[#This Row],[Winter Blanket]]&gt;0,1,0)</f>
        <v>0</v>
      </c>
      <c r="AN174" s="418">
        <f>IF(NFI_Expiration=1,IF($A174&lt;VLOOKUP(V$5,NFI,5,0),1,0)*Table_NFI[[#This Row],[Jerry Can]],Table_NFI[Jerry Can])</f>
        <v>0</v>
      </c>
      <c r="AO174" s="579" t="str">
        <f>IFERROR(VLOOKUP(Table_NFI[[#This Row],[Camp Name]],CL,2,0),"")</f>
        <v>MMR001CMP229</v>
      </c>
      <c r="AP174" s="574">
        <f ca="1">IF(Table_NFI[[#This Row],[Pcode]]="","",IF(OFFSET(CampList[Opening Date],MATCH(Table_NFI[[#This Row],[Pcode]],CampList[CP_Pcode],0)-1,0,1,1)&gt;=NFI_Monitor_Date,1,0))</f>
        <v>0</v>
      </c>
      <c r="AQ174" s="579" t="str">
        <f>IFERROR(VLOOKUP(Table_NFI[[#This Row],[Camp Name]],CL,3,0),"")</f>
        <v>Open</v>
      </c>
      <c r="AR174" s="378" t="str">
        <f ca="1">IF(Table_NFI[[#This Row],[Pcode]]="","",OFFSET(CampList[Priority],MATCH(Table_NFI[[#This Row],[Pcode]],CampList[CP_Pcode],0)-1,0,1,1))</f>
        <v>P4</v>
      </c>
      <c r="AS174" s="377">
        <f>IFERROR(Table_NFI[[#This Row],[Kitchen Set]]/VLOOKUP(Table_NFI[[#This Row],[Camp Name]],CL,4,0),"")</f>
        <v>0.55172413793103448</v>
      </c>
      <c r="AT174" s="572"/>
      <c r="AU174" s="575"/>
    </row>
    <row r="175" spans="1:47" s="130" customFormat="1" x14ac:dyDescent="0.25">
      <c r="A175" s="381">
        <f t="shared" si="2"/>
        <v>19.5</v>
      </c>
      <c r="B175" s="571">
        <v>41937</v>
      </c>
      <c r="C175" s="572" t="s">
        <v>1097</v>
      </c>
      <c r="D175" s="572" t="s">
        <v>903</v>
      </c>
      <c r="E175" s="572" t="s">
        <v>380</v>
      </c>
      <c r="F175" s="572" t="s">
        <v>529</v>
      </c>
      <c r="G175" s="572" t="s">
        <v>1068</v>
      </c>
      <c r="H175" s="375"/>
      <c r="I175" s="375"/>
      <c r="J175" s="375"/>
      <c r="K175" s="375"/>
      <c r="L175" s="376"/>
      <c r="M175" s="376"/>
      <c r="N175" s="376"/>
      <c r="O175" s="376"/>
      <c r="P175" s="378"/>
      <c r="Q175" s="378"/>
      <c r="R175" s="378">
        <v>186</v>
      </c>
      <c r="S175" s="378">
        <v>125</v>
      </c>
      <c r="T175" s="378"/>
      <c r="U175" s="378"/>
      <c r="V175" s="533"/>
      <c r="W175" s="378"/>
      <c r="X175" s="378"/>
      <c r="Y175" s="378">
        <f>IF(NFI_Expiration=1,IF($A175&lt;VLOOKUP(H$5,NFI,5,0),1,0)*Table_NFI[[#This Row],[Hygiene Kit]],Table_NFI[Hygiene Kit])</f>
        <v>0</v>
      </c>
      <c r="Z175" s="378">
        <f>IF(NFI_Expiration=1,IF($A175&lt;VLOOKUP(I$5,NFI,5,0),1,0)*Table_NFI[[#This Row],[NFI Core Kit]],Table_NFI[NFI Core Kit])</f>
        <v>0</v>
      </c>
      <c r="AA175" s="378">
        <f>IF(NFI_Expiration=1,IF($A175&lt;VLOOKUP(J$5,NFI,5,0),1,0)*Table_NFI[[#This Row],[Sanitary Kit]],Table_NFI[Sanitary Kit])</f>
        <v>0</v>
      </c>
      <c r="AB175" s="378">
        <f>IF(NFI_Expiration=1,IF($A175&lt;VLOOKUP(K$5,NFI,5,0),1,0)*Table_NFI[[#This Row],[Mosquito net]],Table_NFI[Mosquito net])</f>
        <v>0</v>
      </c>
      <c r="AC175" s="378">
        <f>IF(NFI_Expiration=1,IF($A175&lt;VLOOKUP(L$5,NFI,5,0),1,0)*Table_NFI[[#This Row],[Tarpaulin]],Table_NFI[[#This Row],[Tarpaulin]])</f>
        <v>0</v>
      </c>
      <c r="AD175" s="378">
        <f>IF(NFI_Expiration=1,IF($A175&lt;VLOOKUP(M$5,NFI,5,0),1,0)*Table_NFI[[#This Row],[Blanket]],Table_NFI[[#This Row],[Blanket]])</f>
        <v>0</v>
      </c>
      <c r="AE175" s="378">
        <f>IF(NFI_Expiration=1,IF($A175&lt;VLOOKUP(N$5,NFI,5,0),1,0)*Table_NFI[[#This Row],[Kitchen Set]],Table_NFI[Kitchen Set])</f>
        <v>0</v>
      </c>
      <c r="AF175" s="378">
        <f>IF(NFI_Expiration=1,IF($A175&lt;VLOOKUP(O$5,NFI,5,0),1,0)*Table_NFI[[#This Row],[Clothes Kit]],Table_NFI[Clothes Kit])</f>
        <v>0</v>
      </c>
      <c r="AG175" s="378">
        <f>IF(NFI_Expiration=1,IF($A175&lt;VLOOKUP(P$5,NFI,5,0),1,0)*Table_NFI[[#This Row],[Plastic Bucket]],Table_NFI[Plastic Bucket])</f>
        <v>0</v>
      </c>
      <c r="AH175" s="378">
        <f>IF(NFI_Expiration=1,IF($A175&lt;VLOOKUP(Q$5,NFI,5,0),1,0)*Table_NFI[[#This Row],[Plastic Mat]],Table_NFI[Plastic Mat])*IF(Table_NFI[[#This Row],[Distribution Date]]&gt;"2014-04-01",1,2.5)</f>
        <v>0</v>
      </c>
      <c r="AI175" s="378">
        <f>IF(NFI_Expiration=1,IF($A175&lt;VLOOKUP(R$5,NFI,5,0),1,0)*Table_NFI[[#This Row],[Winter Clothes Adult]],Table_NFI[Winter Clothes Adult])</f>
        <v>0</v>
      </c>
      <c r="AJ175" s="378">
        <f>IF(NFI_Expiration=1,IF($A175&lt;VLOOKUP(S$5,NFI,5,0),1,0)*Table_NFI[[#This Row],[Winter Clothes Children]],Table_NFI[Winter Clothes Children])</f>
        <v>0</v>
      </c>
      <c r="AK175" s="378">
        <f>IF(NFI_Expiration=1,IF($A175&lt;VLOOKUP(T$5,NFI,5,0),1,0)*Table_NFI[[#This Row],[Winter Items Other]],Table_NFI[Winter Items Other])</f>
        <v>0</v>
      </c>
      <c r="AL175" s="378">
        <f>IF(NFI_Expiration=1,IF($A175&lt;VLOOKUP(M$5,NFI,5,0),1,0)*Table_NFI[[#This Row],[Winter Blanket]],Table_NFI[[#This Row],[Winter Blanket]])</f>
        <v>0</v>
      </c>
      <c r="AM175" s="378">
        <f>IF(Table_NFI[[#This Row],[Winter Clothes Adult]]+Table_NFI[[#This Row],[Winter Clothes Children]]+Table_NFI[[#This Row],[Winter Items Other]]+Table_NFI[[#This Row],[Winter Blanket]]&gt;0,1,0)</f>
        <v>1</v>
      </c>
      <c r="AN175" s="418">
        <f>IF(NFI_Expiration=1,IF($A175&lt;VLOOKUP(V$5,NFI,5,0),1,0)*Table_NFI[[#This Row],[Jerry Can]],Table_NFI[Jerry Can])</f>
        <v>0</v>
      </c>
      <c r="AO175" s="579" t="str">
        <f>IFERROR(VLOOKUP(Table_NFI[[#This Row],[Camp Name]],CL,2,0),"")</f>
        <v>MMR001CMP229</v>
      </c>
      <c r="AP175" s="574">
        <f ca="1">IF(Table_NFI[[#This Row],[Pcode]]="","",IF(OFFSET(CampList[Opening Date],MATCH(Table_NFI[[#This Row],[Pcode]],CampList[CP_Pcode],0)-1,0,1,1)&gt;=NFI_Monitor_Date,1,0))</f>
        <v>0</v>
      </c>
      <c r="AQ175" s="579" t="str">
        <f>IFERROR(VLOOKUP(Table_NFI[[#This Row],[Camp Name]],CL,3,0),"")</f>
        <v>Open</v>
      </c>
      <c r="AR175" s="378" t="str">
        <f ca="1">IF(Table_NFI[[#This Row],[Pcode]]="","",OFFSET(CampList[Priority],MATCH(Table_NFI[[#This Row],[Pcode]],CampList[CP_Pcode],0)-1,0,1,1))</f>
        <v>P4</v>
      </c>
      <c r="AS175" s="377">
        <f>IFERROR(Table_NFI[[#This Row],[Kitchen Set]]/VLOOKUP(Table_NFI[[#This Row],[Camp Name]],CL,4,0),"")</f>
        <v>0</v>
      </c>
      <c r="AT175" s="572"/>
      <c r="AU175" s="575"/>
    </row>
    <row r="176" spans="1:47" s="130" customFormat="1" x14ac:dyDescent="0.25">
      <c r="A176" s="381">
        <f t="shared" si="2"/>
        <v>12.1</v>
      </c>
      <c r="B176" s="571">
        <v>42159</v>
      </c>
      <c r="C176" s="573" t="s">
        <v>454</v>
      </c>
      <c r="D176" s="573" t="s">
        <v>462</v>
      </c>
      <c r="E176" s="572" t="s">
        <v>380</v>
      </c>
      <c r="F176" s="374" t="s">
        <v>5</v>
      </c>
      <c r="G176" s="374" t="s">
        <v>1356</v>
      </c>
      <c r="H176" s="375"/>
      <c r="I176" s="375"/>
      <c r="J176" s="375"/>
      <c r="K176" s="375"/>
      <c r="L176" s="376">
        <v>37</v>
      </c>
      <c r="M176" s="376"/>
      <c r="N176" s="376"/>
      <c r="O176" s="376"/>
      <c r="P176" s="378"/>
      <c r="Q176" s="378"/>
      <c r="R176" s="378"/>
      <c r="S176" s="378"/>
      <c r="T176" s="378"/>
      <c r="U176" s="378"/>
      <c r="V176" s="533"/>
      <c r="W176" s="378"/>
      <c r="X176" s="378"/>
      <c r="Y176" s="378">
        <f>IF(NFI_Expiration=1,IF($A176&lt;VLOOKUP(H$5,NFI,5,0),1,0)*Table_NFI[[#This Row],[Hygiene Kit]],Table_NFI[Hygiene Kit])</f>
        <v>0</v>
      </c>
      <c r="Z176" s="378">
        <f>IF(NFI_Expiration=1,IF($A176&lt;VLOOKUP(I$5,NFI,5,0),1,0)*Table_NFI[[#This Row],[NFI Core Kit]],Table_NFI[NFI Core Kit])</f>
        <v>0</v>
      </c>
      <c r="AA176" s="378">
        <f>IF(NFI_Expiration=1,IF($A176&lt;VLOOKUP(J$5,NFI,5,0),1,0)*Table_NFI[[#This Row],[Sanitary Kit]],Table_NFI[Sanitary Kit])</f>
        <v>0</v>
      </c>
      <c r="AB176" s="378">
        <f>IF(NFI_Expiration=1,IF($A176&lt;VLOOKUP(K$5,NFI,5,0),1,0)*Table_NFI[[#This Row],[Mosquito net]],Table_NFI[Mosquito net])</f>
        <v>0</v>
      </c>
      <c r="AC176" s="378">
        <f>IF(NFI_Expiration=1,IF($A176&lt;VLOOKUP(L$5,NFI,5,0),1,0)*Table_NFI[[#This Row],[Tarpaulin]],Table_NFI[[#This Row],[Tarpaulin]])</f>
        <v>0</v>
      </c>
      <c r="AD176" s="378">
        <f>IF(NFI_Expiration=1,IF($A176&lt;VLOOKUP(M$5,NFI,5,0),1,0)*Table_NFI[[#This Row],[Blanket]],Table_NFI[[#This Row],[Blanket]])</f>
        <v>0</v>
      </c>
      <c r="AE176" s="378">
        <f>IF(NFI_Expiration=1,IF($A176&lt;VLOOKUP(N$5,NFI,5,0),1,0)*Table_NFI[[#This Row],[Kitchen Set]],Table_NFI[Kitchen Set])</f>
        <v>0</v>
      </c>
      <c r="AF176" s="378">
        <f>IF(NFI_Expiration=1,IF($A176&lt;VLOOKUP(O$5,NFI,5,0),1,0)*Table_NFI[[#This Row],[Clothes Kit]],Table_NFI[Clothes Kit])</f>
        <v>0</v>
      </c>
      <c r="AG176" s="378">
        <f>IF(NFI_Expiration=1,IF($A176&lt;VLOOKUP(P$5,NFI,5,0),1,0)*Table_NFI[[#This Row],[Plastic Bucket]],Table_NFI[Plastic Bucket])</f>
        <v>0</v>
      </c>
      <c r="AH176" s="378">
        <f>IF(NFI_Expiration=1,IF($A176&lt;VLOOKUP(Q$5,NFI,5,0),1,0)*Table_NFI[[#This Row],[Plastic Mat]],Table_NFI[Plastic Mat])*IF(Table_NFI[[#This Row],[Distribution Date]]&gt;"2014-04-01",1,2.5)</f>
        <v>0</v>
      </c>
      <c r="AI176" s="378">
        <f>IF(NFI_Expiration=1,IF($A176&lt;VLOOKUP(R$5,NFI,5,0),1,0)*Table_NFI[[#This Row],[Winter Clothes Adult]],Table_NFI[Winter Clothes Adult])</f>
        <v>0</v>
      </c>
      <c r="AJ176" s="378">
        <f>IF(NFI_Expiration=1,IF($A176&lt;VLOOKUP(S$5,NFI,5,0),1,0)*Table_NFI[[#This Row],[Winter Clothes Children]],Table_NFI[Winter Clothes Children])</f>
        <v>0</v>
      </c>
      <c r="AK176" s="378">
        <f>IF(NFI_Expiration=1,IF($A176&lt;VLOOKUP(T$5,NFI,5,0),1,0)*Table_NFI[[#This Row],[Winter Items Other]],Table_NFI[Winter Items Other])</f>
        <v>0</v>
      </c>
      <c r="AL176" s="378">
        <f>IF(NFI_Expiration=1,IF($A176&lt;VLOOKUP(M$5,NFI,5,0),1,0)*Table_NFI[[#This Row],[Winter Blanket]],Table_NFI[[#This Row],[Winter Blanket]])</f>
        <v>0</v>
      </c>
      <c r="AM176" s="378">
        <f>IF(Table_NFI[[#This Row],[Winter Clothes Adult]]+Table_NFI[[#This Row],[Winter Clothes Children]]+Table_NFI[[#This Row],[Winter Items Other]]+Table_NFI[[#This Row],[Winter Blanket]]&gt;0,1,0)</f>
        <v>0</v>
      </c>
      <c r="AN176" s="418">
        <f>IF(NFI_Expiration=1,IF($A176&lt;VLOOKUP(V$5,NFI,5,0),1,0)*Table_NFI[[#This Row],[Jerry Can]],Table_NFI[Jerry Can])</f>
        <v>0</v>
      </c>
      <c r="AO176" s="579" t="str">
        <f>IFERROR(VLOOKUP(Table_NFI[[#This Row],[Camp Name]],CL,2,0),"")</f>
        <v/>
      </c>
      <c r="AP176" s="574" t="str">
        <f ca="1">IF(Table_NFI[[#This Row],[Pcode]]="","",IF(OFFSET(CampList[Opening Date],MATCH(Table_NFI[[#This Row],[Pcode]],CampList[CP_Pcode],0)-1,0,1,1)&gt;=NFI_Monitor_Date,1,0))</f>
        <v/>
      </c>
      <c r="AQ176" s="579" t="str">
        <f>IFERROR(VLOOKUP(Table_NFI[[#This Row],[Camp Name]],CL,3,0),"")</f>
        <v/>
      </c>
      <c r="AR176" s="378" t="str">
        <f ca="1">IF(Table_NFI[[#This Row],[Pcode]]="","",OFFSET(CampList[Priority],MATCH(Table_NFI[[#This Row],[Pcode]],CampList[CP_Pcode],0)-1,0,1,1))</f>
        <v/>
      </c>
      <c r="AS176" s="377" t="str">
        <f>IFERROR(Table_NFI[[#This Row],[Kitchen Set]]/VLOOKUP(Table_NFI[[#This Row],[Camp Name]],CL,4,0),"")</f>
        <v/>
      </c>
      <c r="AT176" s="572" t="s">
        <v>1095</v>
      </c>
      <c r="AU176" s="575"/>
    </row>
    <row r="177" spans="1:47" s="576" customFormat="1" ht="21.75" customHeight="1" x14ac:dyDescent="0.25">
      <c r="A177" s="381">
        <f t="shared" si="2"/>
        <v>3.1666666666666665</v>
      </c>
      <c r="B177" s="571">
        <v>42427</v>
      </c>
      <c r="C177" s="572" t="s">
        <v>454</v>
      </c>
      <c r="D177" s="572" t="s">
        <v>462</v>
      </c>
      <c r="E177" s="572" t="s">
        <v>380</v>
      </c>
      <c r="F177" s="572" t="s">
        <v>310</v>
      </c>
      <c r="G177" s="374" t="s">
        <v>364</v>
      </c>
      <c r="H177" s="375"/>
      <c r="I177" s="376"/>
      <c r="J177" s="378"/>
      <c r="K177" s="378"/>
      <c r="L177" s="376"/>
      <c r="M177" s="376"/>
      <c r="N177" s="376"/>
      <c r="O177" s="376"/>
      <c r="P177" s="378"/>
      <c r="Q177" s="378"/>
      <c r="R177" s="378">
        <v>380</v>
      </c>
      <c r="S177" s="378">
        <v>380</v>
      </c>
      <c r="T177" s="378"/>
      <c r="U177" s="378"/>
      <c r="V177" s="533"/>
      <c r="W177" s="378"/>
      <c r="X177" s="378"/>
      <c r="Y177" s="378">
        <f>IF(NFI_Expiration=1,IF($A177&lt;VLOOKUP(H$5,NFI,5,0),1,0)*Table_NFI[[#This Row],[Hygiene Kit]],Table_NFI[Hygiene Kit])</f>
        <v>0</v>
      </c>
      <c r="Z177" s="378">
        <f>IF(NFI_Expiration=1,IF($A177&lt;VLOOKUP(I$5,NFI,5,0),1,0)*Table_NFI[[#This Row],[NFI Core Kit]],Table_NFI[NFI Core Kit])</f>
        <v>0</v>
      </c>
      <c r="AA177" s="378">
        <f>IF(NFI_Expiration=1,IF($A177&lt;VLOOKUP(J$5,NFI,5,0),1,0)*Table_NFI[[#This Row],[Sanitary Kit]],Table_NFI[Sanitary Kit])</f>
        <v>0</v>
      </c>
      <c r="AB177" s="378">
        <f>IF(NFI_Expiration=1,IF($A177&lt;VLOOKUP(K$5,NFI,5,0),1,0)*Table_NFI[[#This Row],[Mosquito net]],Table_NFI[Mosquito net])</f>
        <v>0</v>
      </c>
      <c r="AC177" s="378">
        <f>IF(NFI_Expiration=1,IF($A177&lt;VLOOKUP(L$5,NFI,5,0),1,0)*Table_NFI[[#This Row],[Tarpaulin]],Table_NFI[[#This Row],[Tarpaulin]])</f>
        <v>0</v>
      </c>
      <c r="AD177" s="378">
        <f>IF(NFI_Expiration=1,IF($A177&lt;VLOOKUP(M$5,NFI,5,0),1,0)*Table_NFI[[#This Row],[Blanket]],Table_NFI[[#This Row],[Blanket]])</f>
        <v>0</v>
      </c>
      <c r="AE177" s="378">
        <f>IF(NFI_Expiration=1,IF($A177&lt;VLOOKUP(N$5,NFI,5,0),1,0)*Table_NFI[[#This Row],[Kitchen Set]],Table_NFI[Kitchen Set])</f>
        <v>0</v>
      </c>
      <c r="AF177" s="378">
        <f>IF(NFI_Expiration=1,IF($A177&lt;VLOOKUP(O$5,NFI,5,0),1,0)*Table_NFI[[#This Row],[Clothes Kit]],Table_NFI[Clothes Kit])</f>
        <v>0</v>
      </c>
      <c r="AG177" s="378">
        <f>IF(NFI_Expiration=1,IF($A177&lt;VLOOKUP(P$5,NFI,5,0),1,0)*Table_NFI[[#This Row],[Plastic Bucket]],Table_NFI[Plastic Bucket])</f>
        <v>0</v>
      </c>
      <c r="AH177" s="378">
        <f>IF(NFI_Expiration=1,IF($A177&lt;VLOOKUP(Q$5,NFI,5,0),1,0)*Table_NFI[[#This Row],[Plastic Mat]],Table_NFI[Plastic Mat])*IF(Table_NFI[[#This Row],[Distribution Date]]&gt;"2014-04-01",1,2.5)</f>
        <v>0</v>
      </c>
      <c r="AI177" s="378">
        <f>IF(NFI_Expiration=1,IF($A177&lt;VLOOKUP(R$5,NFI,5,0),1,0)*Table_NFI[[#This Row],[Winter Clothes Adult]],Table_NFI[Winter Clothes Adult])</f>
        <v>380</v>
      </c>
      <c r="AJ177" s="378">
        <f>IF(NFI_Expiration=1,IF($A177&lt;VLOOKUP(S$5,NFI,5,0),1,0)*Table_NFI[[#This Row],[Winter Clothes Children]],Table_NFI[Winter Clothes Children])</f>
        <v>380</v>
      </c>
      <c r="AK177" s="378">
        <f>IF(NFI_Expiration=1,IF($A177&lt;VLOOKUP(T$5,NFI,5,0),1,0)*Table_NFI[[#This Row],[Winter Items Other]],Table_NFI[Winter Items Other])</f>
        <v>0</v>
      </c>
      <c r="AL177" s="378">
        <f>IF(NFI_Expiration=1,IF($A177&lt;VLOOKUP(M$5,NFI,5,0),1,0)*Table_NFI[[#This Row],[Winter Blanket]],Table_NFI[[#This Row],[Winter Blanket]])</f>
        <v>0</v>
      </c>
      <c r="AM177" s="378">
        <f>IF(Table_NFI[[#This Row],[Winter Clothes Adult]]+Table_NFI[[#This Row],[Winter Clothes Children]]+Table_NFI[[#This Row],[Winter Items Other]]+Table_NFI[[#This Row],[Winter Blanket]]&gt;0,1,0)</f>
        <v>1</v>
      </c>
      <c r="AN177" s="418">
        <f>IF(NFI_Expiration=1,IF($A177&lt;VLOOKUP(V$5,NFI,5,0),1,0)*Table_NFI[[#This Row],[Jerry Can]],Table_NFI[Jerry Can])</f>
        <v>0</v>
      </c>
      <c r="AO177" s="579" t="str">
        <f>IFERROR(VLOOKUP(Table_NFI[[#This Row],[Camp Name]],CL,2,0),"")</f>
        <v>MMR001CMP043</v>
      </c>
      <c r="AP177" s="574">
        <f ca="1">IF(Table_NFI[[#This Row],[Pcode]]="","",IF(OFFSET(CampList[Opening Date],MATCH(Table_NFI[[#This Row],[Pcode]],CampList[CP_Pcode],0)-1,0,1,1)&gt;=NFI_Monitor_Date,1,0))</f>
        <v>0</v>
      </c>
      <c r="AQ177" s="579" t="str">
        <f>IFERROR(VLOOKUP(Table_NFI[[#This Row],[Camp Name]],CL,3,0),"")</f>
        <v>Open</v>
      </c>
      <c r="AR177" s="378" t="str">
        <f ca="1">IF(Table_NFI[[#This Row],[Pcode]]="","",OFFSET(CampList[Priority],MATCH(Table_NFI[[#This Row],[Pcode]],CampList[CP_Pcode],0)-1,0,1,1))</f>
        <v>P1</v>
      </c>
      <c r="AS177" s="623">
        <f>IFERROR(Table_NFI[[#This Row],[Kitchen Set]]/VLOOKUP(Table_NFI[[#This Row],[Camp Name]],CL,4,0),"")</f>
        <v>0</v>
      </c>
      <c r="AT177" s="577"/>
      <c r="AU177" s="626" t="s">
        <v>1399</v>
      </c>
    </row>
    <row r="178" spans="1:47" s="576" customFormat="1" x14ac:dyDescent="0.25">
      <c r="A178" s="381">
        <f t="shared" si="2"/>
        <v>17.666666666666668</v>
      </c>
      <c r="B178" s="571">
        <v>41992</v>
      </c>
      <c r="C178" s="572" t="s">
        <v>454</v>
      </c>
      <c r="D178" s="572"/>
      <c r="E178" s="572" t="s">
        <v>380</v>
      </c>
      <c r="F178" s="572" t="s">
        <v>27</v>
      </c>
      <c r="G178" s="572" t="s">
        <v>364</v>
      </c>
      <c r="H178" s="375"/>
      <c r="I178" s="375"/>
      <c r="J178" s="375"/>
      <c r="K178" s="375"/>
      <c r="L178" s="376"/>
      <c r="M178" s="376"/>
      <c r="N178" s="376"/>
      <c r="O178" s="376"/>
      <c r="P178" s="378"/>
      <c r="Q178" s="378"/>
      <c r="R178" s="378">
        <v>320</v>
      </c>
      <c r="S178" s="378">
        <v>465</v>
      </c>
      <c r="T178" s="378"/>
      <c r="U178" s="378">
        <v>310</v>
      </c>
      <c r="V178" s="533"/>
      <c r="W178" s="378"/>
      <c r="X178" s="378"/>
      <c r="Y178" s="378">
        <f>IF(NFI_Expiration=1,IF($A178&lt;VLOOKUP(H$5,NFI,5,0),1,0)*Table_NFI[[#This Row],[Hygiene Kit]],Table_NFI[Hygiene Kit])</f>
        <v>0</v>
      </c>
      <c r="Z178" s="378">
        <f>IF(NFI_Expiration=1,IF($A178&lt;VLOOKUP(I$5,NFI,5,0),1,0)*Table_NFI[[#This Row],[NFI Core Kit]],Table_NFI[NFI Core Kit])</f>
        <v>0</v>
      </c>
      <c r="AA178" s="378">
        <f>IF(NFI_Expiration=1,IF($A178&lt;VLOOKUP(J$5,NFI,5,0),1,0)*Table_NFI[[#This Row],[Sanitary Kit]],Table_NFI[Sanitary Kit])</f>
        <v>0</v>
      </c>
      <c r="AB178" s="378">
        <f>IF(NFI_Expiration=1,IF($A178&lt;VLOOKUP(K$5,NFI,5,0),1,0)*Table_NFI[[#This Row],[Mosquito net]],Table_NFI[Mosquito net])</f>
        <v>0</v>
      </c>
      <c r="AC178" s="378">
        <f>IF(NFI_Expiration=1,IF($A178&lt;VLOOKUP(L$5,NFI,5,0),1,0)*Table_NFI[[#This Row],[Tarpaulin]],Table_NFI[[#This Row],[Tarpaulin]])</f>
        <v>0</v>
      </c>
      <c r="AD178" s="378">
        <f>IF(NFI_Expiration=1,IF($A178&lt;VLOOKUP(M$5,NFI,5,0),1,0)*Table_NFI[[#This Row],[Blanket]],Table_NFI[[#This Row],[Blanket]])</f>
        <v>0</v>
      </c>
      <c r="AE178" s="378">
        <f>IF(NFI_Expiration=1,IF($A178&lt;VLOOKUP(N$5,NFI,5,0),1,0)*Table_NFI[[#This Row],[Kitchen Set]],Table_NFI[Kitchen Set])</f>
        <v>0</v>
      </c>
      <c r="AF178" s="378">
        <f>IF(NFI_Expiration=1,IF($A178&lt;VLOOKUP(O$5,NFI,5,0),1,0)*Table_NFI[[#This Row],[Clothes Kit]],Table_NFI[Clothes Kit])</f>
        <v>0</v>
      </c>
      <c r="AG178" s="378">
        <f>IF(NFI_Expiration=1,IF($A178&lt;VLOOKUP(P$5,NFI,5,0),1,0)*Table_NFI[[#This Row],[Plastic Bucket]],Table_NFI[Plastic Bucket])</f>
        <v>0</v>
      </c>
      <c r="AH178" s="378">
        <f>IF(NFI_Expiration=1,IF($A178&lt;VLOOKUP(Q$5,NFI,5,0),1,0)*Table_NFI[[#This Row],[Plastic Mat]],Table_NFI[Plastic Mat])*IF(Table_NFI[[#This Row],[Distribution Date]]&gt;"2014-04-01",1,2.5)</f>
        <v>0</v>
      </c>
      <c r="AI178" s="378">
        <f>IF(NFI_Expiration=1,IF($A178&lt;VLOOKUP(R$5,NFI,5,0),1,0)*Table_NFI[[#This Row],[Winter Clothes Adult]],Table_NFI[Winter Clothes Adult])</f>
        <v>0</v>
      </c>
      <c r="AJ178" s="378">
        <f>IF(NFI_Expiration=1,IF($A178&lt;VLOOKUP(S$5,NFI,5,0),1,0)*Table_NFI[[#This Row],[Winter Clothes Children]],Table_NFI[Winter Clothes Children])</f>
        <v>0</v>
      </c>
      <c r="AK178" s="378">
        <f>IF(NFI_Expiration=1,IF($A178&lt;VLOOKUP(T$5,NFI,5,0),1,0)*Table_NFI[[#This Row],[Winter Items Other]],Table_NFI[Winter Items Other])</f>
        <v>0</v>
      </c>
      <c r="AL178" s="378">
        <f>IF(NFI_Expiration=1,IF($A178&lt;VLOOKUP(M$5,NFI,5,0),1,0)*Table_NFI[[#This Row],[Winter Blanket]],Table_NFI[[#This Row],[Winter Blanket]])</f>
        <v>0</v>
      </c>
      <c r="AM178" s="378">
        <f>IF(Table_NFI[[#This Row],[Winter Clothes Adult]]+Table_NFI[[#This Row],[Winter Clothes Children]]+Table_NFI[[#This Row],[Winter Items Other]]+Table_NFI[[#This Row],[Winter Blanket]]&gt;0,1,0)</f>
        <v>1</v>
      </c>
      <c r="AN178" s="418">
        <f>IF(NFI_Expiration=1,IF($A178&lt;VLOOKUP(V$5,NFI,5,0),1,0)*Table_NFI[[#This Row],[Jerry Can]],Table_NFI[Jerry Can])</f>
        <v>0</v>
      </c>
      <c r="AO178" s="579" t="str">
        <f>IFERROR(VLOOKUP(Table_NFI[[#This Row],[Camp Name]],CL,2,0),"")</f>
        <v>MMR001CMP043</v>
      </c>
      <c r="AP178" s="574">
        <f ca="1">IF(Table_NFI[[#This Row],[Pcode]]="","",IF(OFFSET(CampList[Opening Date],MATCH(Table_NFI[[#This Row],[Pcode]],CampList[CP_Pcode],0)-1,0,1,1)&gt;=NFI_Monitor_Date,1,0))</f>
        <v>0</v>
      </c>
      <c r="AQ178" s="579" t="str">
        <f>IFERROR(VLOOKUP(Table_NFI[[#This Row],[Camp Name]],CL,3,0),"")</f>
        <v>Open</v>
      </c>
      <c r="AR178" s="378" t="str">
        <f ca="1">IF(Table_NFI[[#This Row],[Pcode]]="","",OFFSET(CampList[Priority],MATCH(Table_NFI[[#This Row],[Pcode]],CampList[CP_Pcode],0)-1,0,1,1))</f>
        <v>P1</v>
      </c>
      <c r="AS178" s="377">
        <f>IFERROR(Table_NFI[[#This Row],[Kitchen Set]]/VLOOKUP(Table_NFI[[#This Row],[Camp Name]],CL,4,0),"")</f>
        <v>0</v>
      </c>
      <c r="AT178" s="572"/>
      <c r="AU178" s="575"/>
    </row>
    <row r="179" spans="1:47" s="576" customFormat="1" x14ac:dyDescent="0.25">
      <c r="A179" s="381">
        <f t="shared" si="2"/>
        <v>21.3</v>
      </c>
      <c r="B179" s="571">
        <v>41883</v>
      </c>
      <c r="C179" s="577" t="s">
        <v>1039</v>
      </c>
      <c r="D179" s="577"/>
      <c r="E179" s="577" t="s">
        <v>380</v>
      </c>
      <c r="F179" s="577" t="s">
        <v>27</v>
      </c>
      <c r="G179" s="577" t="s">
        <v>364</v>
      </c>
      <c r="H179" s="376"/>
      <c r="I179" s="376"/>
      <c r="J179" s="376"/>
      <c r="K179" s="376"/>
      <c r="L179" s="376"/>
      <c r="M179" s="376"/>
      <c r="N179" s="376"/>
      <c r="O179" s="376"/>
      <c r="P179" s="378"/>
      <c r="Q179" s="378"/>
      <c r="R179" s="378"/>
      <c r="S179" s="378">
        <v>347</v>
      </c>
      <c r="T179" s="378"/>
      <c r="U179" s="378"/>
      <c r="V179" s="533"/>
      <c r="W179" s="378"/>
      <c r="X179" s="378"/>
      <c r="Y179" s="378">
        <f>IF(NFI_Expiration=1,IF($A179&lt;VLOOKUP(H$5,NFI,5,0),1,0)*Table_NFI[[#This Row],[Hygiene Kit]],Table_NFI[Hygiene Kit])</f>
        <v>0</v>
      </c>
      <c r="Z179" s="378">
        <f>IF(NFI_Expiration=1,IF($A179&lt;VLOOKUP(I$5,NFI,5,0),1,0)*Table_NFI[[#This Row],[NFI Core Kit]],Table_NFI[NFI Core Kit])</f>
        <v>0</v>
      </c>
      <c r="AA179" s="378">
        <f>IF(NFI_Expiration=1,IF($A179&lt;VLOOKUP(J$5,NFI,5,0),1,0)*Table_NFI[[#This Row],[Sanitary Kit]],Table_NFI[Sanitary Kit])</f>
        <v>0</v>
      </c>
      <c r="AB179" s="378">
        <f>IF(NFI_Expiration=1,IF($A179&lt;VLOOKUP(K$5,NFI,5,0),1,0)*Table_NFI[[#This Row],[Mosquito net]],Table_NFI[Mosquito net])</f>
        <v>0</v>
      </c>
      <c r="AC179" s="378">
        <f>IF(NFI_Expiration=1,IF($A179&lt;VLOOKUP(L$5,NFI,5,0),1,0)*Table_NFI[[#This Row],[Tarpaulin]],Table_NFI[[#This Row],[Tarpaulin]])</f>
        <v>0</v>
      </c>
      <c r="AD179" s="378">
        <f>IF(NFI_Expiration=1,IF($A179&lt;VLOOKUP(M$5,NFI,5,0),1,0)*Table_NFI[[#This Row],[Blanket]],Table_NFI[[#This Row],[Blanket]])</f>
        <v>0</v>
      </c>
      <c r="AE179" s="378">
        <f>IF(NFI_Expiration=1,IF($A179&lt;VLOOKUP(N$5,NFI,5,0),1,0)*Table_NFI[[#This Row],[Kitchen Set]],Table_NFI[Kitchen Set])</f>
        <v>0</v>
      </c>
      <c r="AF179" s="378">
        <f>IF(NFI_Expiration=1,IF($A179&lt;VLOOKUP(O$5,NFI,5,0),1,0)*Table_NFI[[#This Row],[Clothes Kit]],Table_NFI[Clothes Kit])</f>
        <v>0</v>
      </c>
      <c r="AG179" s="378">
        <f>IF(NFI_Expiration=1,IF($A179&lt;VLOOKUP(P$5,NFI,5,0),1,0)*Table_NFI[[#This Row],[Plastic Bucket]],Table_NFI[Plastic Bucket])</f>
        <v>0</v>
      </c>
      <c r="AH179" s="378">
        <f>IF(NFI_Expiration=1,IF($A179&lt;VLOOKUP(Q$5,NFI,5,0),1,0)*Table_NFI[[#This Row],[Plastic Mat]],Table_NFI[Plastic Mat])*IF(Table_NFI[[#This Row],[Distribution Date]]&gt;"2014-04-01",1,2.5)</f>
        <v>0</v>
      </c>
      <c r="AI179" s="378">
        <f>IF(NFI_Expiration=1,IF($A179&lt;VLOOKUP(R$5,NFI,5,0),1,0)*Table_NFI[[#This Row],[Winter Clothes Adult]],Table_NFI[Winter Clothes Adult])</f>
        <v>0</v>
      </c>
      <c r="AJ179" s="378">
        <f>IF(NFI_Expiration=1,IF($A179&lt;VLOOKUP(S$5,NFI,5,0),1,0)*Table_NFI[[#This Row],[Winter Clothes Children]],Table_NFI[Winter Clothes Children])</f>
        <v>0</v>
      </c>
      <c r="AK179" s="378">
        <f>IF(NFI_Expiration=1,IF($A179&lt;VLOOKUP(T$5,NFI,5,0),1,0)*Table_NFI[[#This Row],[Winter Items Other]],Table_NFI[Winter Items Other])</f>
        <v>0</v>
      </c>
      <c r="AL179" s="378">
        <f>IF(NFI_Expiration=1,IF($A179&lt;VLOOKUP(M$5,NFI,5,0),1,0)*Table_NFI[[#This Row],[Winter Blanket]],Table_NFI[[#This Row],[Winter Blanket]])</f>
        <v>0</v>
      </c>
      <c r="AM179" s="378">
        <f>IF(Table_NFI[[#This Row],[Winter Clothes Adult]]+Table_NFI[[#This Row],[Winter Clothes Children]]+Table_NFI[[#This Row],[Winter Items Other]]+Table_NFI[[#This Row],[Winter Blanket]]&gt;0,1,0)</f>
        <v>1</v>
      </c>
      <c r="AN179" s="418">
        <f>IF(NFI_Expiration=1,IF($A179&lt;VLOOKUP(V$5,NFI,5,0),1,0)*Table_NFI[[#This Row],[Jerry Can]],Table_NFI[Jerry Can])</f>
        <v>0</v>
      </c>
      <c r="AO179" s="579" t="str">
        <f>IFERROR(VLOOKUP(Table_NFI[[#This Row],[Camp Name]],CL,2,0),"")</f>
        <v>MMR001CMP043</v>
      </c>
      <c r="AP179" s="574">
        <f ca="1">IF(Table_NFI[[#This Row],[Pcode]]="","",IF(OFFSET(CampList[Opening Date],MATCH(Table_NFI[[#This Row],[Pcode]],CampList[CP_Pcode],0)-1,0,1,1)&gt;=NFI_Monitor_Date,1,0))</f>
        <v>0</v>
      </c>
      <c r="AQ179" s="579" t="str">
        <f>IFERROR(VLOOKUP(Table_NFI[[#This Row],[Camp Name]],CL,3,0),"")</f>
        <v>Open</v>
      </c>
      <c r="AR179" s="378" t="str">
        <f ca="1">IF(Table_NFI[[#This Row],[Pcode]]="","",OFFSET(CampList[Priority],MATCH(Table_NFI[[#This Row],[Pcode]],CampList[CP_Pcode],0)-1,0,1,1))</f>
        <v>P1</v>
      </c>
      <c r="AS179" s="377">
        <f>IFERROR(Table_NFI[[#This Row],[Kitchen Set]]/VLOOKUP(Table_NFI[[#This Row],[Camp Name]],CL,4,0),"")</f>
        <v>0</v>
      </c>
      <c r="AT179" s="577"/>
      <c r="AU179" s="580"/>
    </row>
    <row r="180" spans="1:47" s="576" customFormat="1" x14ac:dyDescent="0.25">
      <c r="A180" s="381">
        <f t="shared" si="2"/>
        <v>28.533333333333335</v>
      </c>
      <c r="B180" s="571">
        <v>41666</v>
      </c>
      <c r="C180" s="572" t="s">
        <v>1039</v>
      </c>
      <c r="D180" s="572" t="s">
        <v>462</v>
      </c>
      <c r="E180" s="572" t="s">
        <v>380</v>
      </c>
      <c r="F180" s="572" t="s">
        <v>27</v>
      </c>
      <c r="G180" s="572" t="s">
        <v>364</v>
      </c>
      <c r="H180" s="375"/>
      <c r="I180" s="375"/>
      <c r="J180" s="375"/>
      <c r="K180" s="375"/>
      <c r="L180" s="376"/>
      <c r="M180" s="376">
        <v>155</v>
      </c>
      <c r="N180" s="376">
        <v>155</v>
      </c>
      <c r="O180" s="376">
        <v>155</v>
      </c>
      <c r="P180" s="378"/>
      <c r="Q180" s="378">
        <v>155</v>
      </c>
      <c r="R180" s="378"/>
      <c r="S180" s="378"/>
      <c r="T180" s="378"/>
      <c r="U180" s="378"/>
      <c r="V180" s="533"/>
      <c r="W180" s="378"/>
      <c r="X180" s="378"/>
      <c r="Y180" s="378">
        <f>IF(NFI_Expiration=1,IF($A180&lt;VLOOKUP(H$5,NFI,5,0),1,0)*Table_NFI[[#This Row],[Hygiene Kit]],Table_NFI[Hygiene Kit])</f>
        <v>0</v>
      </c>
      <c r="Z180" s="378">
        <f>IF(NFI_Expiration=1,IF($A180&lt;VLOOKUP(I$5,NFI,5,0),1,0)*Table_NFI[[#This Row],[NFI Core Kit]],Table_NFI[NFI Core Kit])</f>
        <v>0</v>
      </c>
      <c r="AA180" s="378">
        <f>IF(NFI_Expiration=1,IF($A180&lt;VLOOKUP(J$5,NFI,5,0),1,0)*Table_NFI[[#This Row],[Sanitary Kit]],Table_NFI[Sanitary Kit])</f>
        <v>0</v>
      </c>
      <c r="AB180" s="378">
        <f>IF(NFI_Expiration=1,IF($A180&lt;VLOOKUP(K$5,NFI,5,0),1,0)*Table_NFI[[#This Row],[Mosquito net]],Table_NFI[Mosquito net])</f>
        <v>0</v>
      </c>
      <c r="AC180" s="378">
        <f>IF(NFI_Expiration=1,IF($A180&lt;VLOOKUP(L$5,NFI,5,0),1,0)*Table_NFI[[#This Row],[Tarpaulin]],Table_NFI[[#This Row],[Tarpaulin]])</f>
        <v>0</v>
      </c>
      <c r="AD180" s="378">
        <f>IF(NFI_Expiration=1,IF($A180&lt;VLOOKUP(M$5,NFI,5,0),1,0)*Table_NFI[[#This Row],[Blanket]],Table_NFI[[#This Row],[Blanket]])</f>
        <v>0</v>
      </c>
      <c r="AE180" s="378">
        <f>IF(NFI_Expiration=1,IF($A180&lt;VLOOKUP(N$5,NFI,5,0),1,0)*Table_NFI[[#This Row],[Kitchen Set]],Table_NFI[Kitchen Set])</f>
        <v>0</v>
      </c>
      <c r="AF180" s="378">
        <f>IF(NFI_Expiration=1,IF($A180&lt;VLOOKUP(O$5,NFI,5,0),1,0)*Table_NFI[[#This Row],[Clothes Kit]],Table_NFI[Clothes Kit])</f>
        <v>0</v>
      </c>
      <c r="AG180" s="378">
        <f>IF(NFI_Expiration=1,IF($A180&lt;VLOOKUP(P$5,NFI,5,0),1,0)*Table_NFI[[#This Row],[Plastic Bucket]],Table_NFI[Plastic Bucket])</f>
        <v>0</v>
      </c>
      <c r="AH180" s="378">
        <f>IF(NFI_Expiration=1,IF($A180&lt;VLOOKUP(Q$5,NFI,5,0),1,0)*Table_NFI[[#This Row],[Plastic Mat]],Table_NFI[Plastic Mat])*IF(Table_NFI[[#This Row],[Distribution Date]]&gt;"2014-04-01",1,2.5)</f>
        <v>0</v>
      </c>
      <c r="AI180" s="378">
        <f>IF(NFI_Expiration=1,IF($A180&lt;VLOOKUP(R$5,NFI,5,0),1,0)*Table_NFI[[#This Row],[Winter Clothes Adult]],Table_NFI[Winter Clothes Adult])</f>
        <v>0</v>
      </c>
      <c r="AJ180" s="378">
        <f>IF(NFI_Expiration=1,IF($A180&lt;VLOOKUP(S$5,NFI,5,0),1,0)*Table_NFI[[#This Row],[Winter Clothes Children]],Table_NFI[Winter Clothes Children])</f>
        <v>0</v>
      </c>
      <c r="AK180" s="378">
        <f>IF(NFI_Expiration=1,IF($A180&lt;VLOOKUP(T$5,NFI,5,0),1,0)*Table_NFI[[#This Row],[Winter Items Other]],Table_NFI[Winter Items Other])</f>
        <v>0</v>
      </c>
      <c r="AL180" s="378">
        <f>IF(NFI_Expiration=1,IF($A180&lt;VLOOKUP(M$5,NFI,5,0),1,0)*Table_NFI[[#This Row],[Winter Blanket]],Table_NFI[[#This Row],[Winter Blanket]])</f>
        <v>0</v>
      </c>
      <c r="AM180" s="378">
        <f>IF(Table_NFI[[#This Row],[Winter Clothes Adult]]+Table_NFI[[#This Row],[Winter Clothes Children]]+Table_NFI[[#This Row],[Winter Items Other]]+Table_NFI[[#This Row],[Winter Blanket]]&gt;0,1,0)</f>
        <v>0</v>
      </c>
      <c r="AN180" s="418">
        <f>IF(NFI_Expiration=1,IF($A180&lt;VLOOKUP(V$5,NFI,5,0),1,0)*Table_NFI[[#This Row],[Jerry Can]],Table_NFI[Jerry Can])</f>
        <v>0</v>
      </c>
      <c r="AO180" s="579" t="str">
        <f>IFERROR(VLOOKUP(Table_NFI[[#This Row],[Camp Name]],CL,2,0),"")</f>
        <v>MMR001CMP043</v>
      </c>
      <c r="AP180" s="574">
        <f ca="1">IF(Table_NFI[[#This Row],[Pcode]]="","",IF(OFFSET(CampList[Opening Date],MATCH(Table_NFI[[#This Row],[Pcode]],CampList[CP_Pcode],0)-1,0,1,1)&gt;=NFI_Monitor_Date,1,0))</f>
        <v>0</v>
      </c>
      <c r="AQ180" s="579" t="str">
        <f>IFERROR(VLOOKUP(Table_NFI[[#This Row],[Camp Name]],CL,3,0),"")</f>
        <v>Open</v>
      </c>
      <c r="AR180" s="378" t="str">
        <f ca="1">IF(Table_NFI[[#This Row],[Pcode]]="","",OFFSET(CampList[Priority],MATCH(Table_NFI[[#This Row],[Pcode]],CampList[CP_Pcode],0)-1,0,1,1))</f>
        <v>P1</v>
      </c>
      <c r="AS180" s="377">
        <f>IFERROR(Table_NFI[[#This Row],[Kitchen Set]]/VLOOKUP(Table_NFI[[#This Row],[Camp Name]],CL,4,0),"")</f>
        <v>1.0064935064935066</v>
      </c>
      <c r="AT180" s="572" t="s">
        <v>1095</v>
      </c>
      <c r="AU180" s="575"/>
    </row>
    <row r="181" spans="1:47" s="576" customFormat="1" x14ac:dyDescent="0.25">
      <c r="A181" s="381">
        <f t="shared" si="2"/>
        <v>39.733333333333334</v>
      </c>
      <c r="B181" s="571">
        <v>41330</v>
      </c>
      <c r="C181" s="572" t="s">
        <v>454</v>
      </c>
      <c r="D181" s="573" t="s">
        <v>907</v>
      </c>
      <c r="E181" s="572" t="s">
        <v>380</v>
      </c>
      <c r="F181" s="374" t="s">
        <v>27</v>
      </c>
      <c r="G181" s="374" t="s">
        <v>364</v>
      </c>
      <c r="H181" s="375"/>
      <c r="I181" s="375"/>
      <c r="J181" s="375">
        <v>11</v>
      </c>
      <c r="K181" s="375">
        <v>17</v>
      </c>
      <c r="L181" s="376">
        <v>7</v>
      </c>
      <c r="M181" s="376">
        <v>17</v>
      </c>
      <c r="N181" s="376">
        <v>7</v>
      </c>
      <c r="O181" s="376">
        <v>7</v>
      </c>
      <c r="P181" s="378">
        <v>7</v>
      </c>
      <c r="Q181" s="378">
        <v>7</v>
      </c>
      <c r="R181" s="378"/>
      <c r="S181" s="378"/>
      <c r="T181" s="378"/>
      <c r="U181" s="378"/>
      <c r="V181" s="533"/>
      <c r="W181" s="378"/>
      <c r="X181" s="378"/>
      <c r="Y181" s="378">
        <f>IF(NFI_Expiration=1,IF($A181&lt;VLOOKUP(H$5,NFI,5,0),1,0)*Table_NFI[[#This Row],[Hygiene Kit]],Table_NFI[Hygiene Kit])</f>
        <v>0</v>
      </c>
      <c r="Z181" s="378">
        <f>IF(NFI_Expiration=1,IF($A181&lt;VLOOKUP(I$5,NFI,5,0),1,0)*Table_NFI[[#This Row],[NFI Core Kit]],Table_NFI[NFI Core Kit])</f>
        <v>0</v>
      </c>
      <c r="AA181" s="378">
        <f>IF(NFI_Expiration=1,IF($A181&lt;VLOOKUP(J$5,NFI,5,0),1,0)*Table_NFI[[#This Row],[Sanitary Kit]],Table_NFI[Sanitary Kit])</f>
        <v>0</v>
      </c>
      <c r="AB181" s="378">
        <f>IF(NFI_Expiration=1,IF($A181&lt;VLOOKUP(K$5,NFI,5,0),1,0)*Table_NFI[[#This Row],[Mosquito net]],Table_NFI[Mosquito net])</f>
        <v>0</v>
      </c>
      <c r="AC181" s="378">
        <f>IF(NFI_Expiration=1,IF($A181&lt;VLOOKUP(L$5,NFI,5,0),1,0)*Table_NFI[[#This Row],[Tarpaulin]],Table_NFI[[#This Row],[Tarpaulin]])</f>
        <v>0</v>
      </c>
      <c r="AD181" s="378">
        <f>IF(NFI_Expiration=1,IF($A181&lt;VLOOKUP(M$5,NFI,5,0),1,0)*Table_NFI[[#This Row],[Blanket]],Table_NFI[[#This Row],[Blanket]])</f>
        <v>0</v>
      </c>
      <c r="AE181" s="378">
        <f>IF(NFI_Expiration=1,IF($A181&lt;VLOOKUP(N$5,NFI,5,0),1,0)*Table_NFI[[#This Row],[Kitchen Set]],Table_NFI[Kitchen Set])</f>
        <v>0</v>
      </c>
      <c r="AF181" s="378">
        <f>IF(NFI_Expiration=1,IF($A181&lt;VLOOKUP(O$5,NFI,5,0),1,0)*Table_NFI[[#This Row],[Clothes Kit]],Table_NFI[Clothes Kit])</f>
        <v>0</v>
      </c>
      <c r="AG181" s="378">
        <f>IF(NFI_Expiration=1,IF($A181&lt;VLOOKUP(P$5,NFI,5,0),1,0)*Table_NFI[[#This Row],[Plastic Bucket]],Table_NFI[Plastic Bucket])</f>
        <v>0</v>
      </c>
      <c r="AH181" s="378">
        <f>IF(NFI_Expiration=1,IF($A181&lt;VLOOKUP(Q$5,NFI,5,0),1,0)*Table_NFI[[#This Row],[Plastic Mat]],Table_NFI[Plastic Mat])*IF(Table_NFI[[#This Row],[Distribution Date]]&gt;"2014-04-01",1,2.5)</f>
        <v>0</v>
      </c>
      <c r="AI181" s="378">
        <f>IF(NFI_Expiration=1,IF($A181&lt;VLOOKUP(R$5,NFI,5,0),1,0)*Table_NFI[[#This Row],[Winter Clothes Adult]],Table_NFI[Winter Clothes Adult])</f>
        <v>0</v>
      </c>
      <c r="AJ181" s="378">
        <f>IF(NFI_Expiration=1,IF($A181&lt;VLOOKUP(S$5,NFI,5,0),1,0)*Table_NFI[[#This Row],[Winter Clothes Children]],Table_NFI[Winter Clothes Children])</f>
        <v>0</v>
      </c>
      <c r="AK181" s="378">
        <f>IF(NFI_Expiration=1,IF($A181&lt;VLOOKUP(T$5,NFI,5,0),1,0)*Table_NFI[[#This Row],[Winter Items Other]],Table_NFI[Winter Items Other])</f>
        <v>0</v>
      </c>
      <c r="AL181" s="378">
        <f>IF(NFI_Expiration=1,IF($A181&lt;VLOOKUP(M$5,NFI,5,0),1,0)*Table_NFI[[#This Row],[Winter Blanket]],Table_NFI[[#This Row],[Winter Blanket]])</f>
        <v>0</v>
      </c>
      <c r="AM181" s="378">
        <f>IF(Table_NFI[[#This Row],[Winter Clothes Adult]]+Table_NFI[[#This Row],[Winter Clothes Children]]+Table_NFI[[#This Row],[Winter Items Other]]+Table_NFI[[#This Row],[Winter Blanket]]&gt;0,1,0)</f>
        <v>0</v>
      </c>
      <c r="AN181" s="418">
        <f>IF(NFI_Expiration=1,IF($A181&lt;VLOOKUP(V$5,NFI,5,0),1,0)*Table_NFI[[#This Row],[Jerry Can]],Table_NFI[Jerry Can])</f>
        <v>0</v>
      </c>
      <c r="AO181" s="579" t="str">
        <f>IFERROR(VLOOKUP(Table_NFI[[#This Row],[Camp Name]],CL,2,0),"")</f>
        <v>MMR001CMP043</v>
      </c>
      <c r="AP181" s="574">
        <f ca="1">IF(Table_NFI[[#This Row],[Pcode]]="","",IF(OFFSET(CampList[Opening Date],MATCH(Table_NFI[[#This Row],[Pcode]],CampList[CP_Pcode],0)-1,0,1,1)&gt;=NFI_Monitor_Date,1,0))</f>
        <v>0</v>
      </c>
      <c r="AQ181" s="579" t="str">
        <f>IFERROR(VLOOKUP(Table_NFI[[#This Row],[Camp Name]],CL,3,0),"")</f>
        <v>Open</v>
      </c>
      <c r="AR181" s="378" t="str">
        <f ca="1">IF(Table_NFI[[#This Row],[Pcode]]="","",OFFSET(CampList[Priority],MATCH(Table_NFI[[#This Row],[Pcode]],CampList[CP_Pcode],0)-1,0,1,1))</f>
        <v>P1</v>
      </c>
      <c r="AS181" s="377">
        <f>IFERROR(Table_NFI[[#This Row],[Kitchen Set]]/VLOOKUP(Table_NFI[[#This Row],[Camp Name]],CL,4,0),"")</f>
        <v>4.5454545454545456E-2</v>
      </c>
      <c r="AT181" s="572" t="s">
        <v>1095</v>
      </c>
      <c r="AU181" s="575"/>
    </row>
    <row r="182" spans="1:47" s="576" customFormat="1" x14ac:dyDescent="0.25">
      <c r="A182" s="381">
        <f t="shared" si="2"/>
        <v>44.766666666666666</v>
      </c>
      <c r="B182" s="571">
        <v>41179</v>
      </c>
      <c r="C182" s="572" t="s">
        <v>454</v>
      </c>
      <c r="D182" s="572" t="s">
        <v>907</v>
      </c>
      <c r="E182" s="572" t="s">
        <v>380</v>
      </c>
      <c r="F182" s="374" t="s">
        <v>27</v>
      </c>
      <c r="G182" s="374" t="s">
        <v>364</v>
      </c>
      <c r="H182" s="375"/>
      <c r="I182" s="375"/>
      <c r="J182" s="375"/>
      <c r="K182" s="375">
        <v>33</v>
      </c>
      <c r="L182" s="378">
        <v>11</v>
      </c>
      <c r="M182" s="378">
        <v>33</v>
      </c>
      <c r="N182" s="378">
        <v>11</v>
      </c>
      <c r="O182" s="376">
        <v>11</v>
      </c>
      <c r="P182" s="378">
        <v>11</v>
      </c>
      <c r="Q182" s="378">
        <v>11</v>
      </c>
      <c r="R182" s="378"/>
      <c r="S182" s="378"/>
      <c r="T182" s="378"/>
      <c r="U182" s="378"/>
      <c r="V182" s="533"/>
      <c r="W182" s="378"/>
      <c r="X182" s="378"/>
      <c r="Y182" s="378">
        <f>IF(NFI_Expiration=1,IF($A182&lt;VLOOKUP(H$5,NFI,5,0),1,0)*Table_NFI[[#This Row],[Hygiene Kit]],Table_NFI[Hygiene Kit])</f>
        <v>0</v>
      </c>
      <c r="Z182" s="378">
        <f>IF(NFI_Expiration=1,IF($A182&lt;VLOOKUP(I$5,NFI,5,0),1,0)*Table_NFI[[#This Row],[NFI Core Kit]],Table_NFI[NFI Core Kit])</f>
        <v>0</v>
      </c>
      <c r="AA182" s="378">
        <f>IF(NFI_Expiration=1,IF($A182&lt;VLOOKUP(J$5,NFI,5,0),1,0)*Table_NFI[[#This Row],[Sanitary Kit]],Table_NFI[Sanitary Kit])</f>
        <v>0</v>
      </c>
      <c r="AB182" s="378">
        <f>IF(NFI_Expiration=1,IF($A182&lt;VLOOKUP(K$5,NFI,5,0),1,0)*Table_NFI[[#This Row],[Mosquito net]],Table_NFI[Mosquito net])</f>
        <v>0</v>
      </c>
      <c r="AC182" s="378">
        <f>IF(NFI_Expiration=1,IF($A182&lt;VLOOKUP(L$5,NFI,5,0),1,0)*Table_NFI[[#This Row],[Tarpaulin]],Table_NFI[[#This Row],[Tarpaulin]])</f>
        <v>0</v>
      </c>
      <c r="AD182" s="378">
        <f>IF(NFI_Expiration=1,IF($A182&lt;VLOOKUP(M$5,NFI,5,0),1,0)*Table_NFI[[#This Row],[Blanket]],Table_NFI[[#This Row],[Blanket]])</f>
        <v>0</v>
      </c>
      <c r="AE182" s="378">
        <f>IF(NFI_Expiration=1,IF($A182&lt;VLOOKUP(N$5,NFI,5,0),1,0)*Table_NFI[[#This Row],[Kitchen Set]],Table_NFI[Kitchen Set])</f>
        <v>0</v>
      </c>
      <c r="AF182" s="378">
        <f>IF(NFI_Expiration=1,IF($A182&lt;VLOOKUP(O$5,NFI,5,0),1,0)*Table_NFI[[#This Row],[Clothes Kit]],Table_NFI[Clothes Kit])</f>
        <v>0</v>
      </c>
      <c r="AG182" s="378">
        <f>IF(NFI_Expiration=1,IF($A182&lt;VLOOKUP(P$5,NFI,5,0),1,0)*Table_NFI[[#This Row],[Plastic Bucket]],Table_NFI[Plastic Bucket])</f>
        <v>0</v>
      </c>
      <c r="AH182" s="378">
        <f>IF(NFI_Expiration=1,IF($A182&lt;VLOOKUP(Q$5,NFI,5,0),1,0)*Table_NFI[[#This Row],[Plastic Mat]],Table_NFI[Plastic Mat])*IF(Table_NFI[[#This Row],[Distribution Date]]&gt;"2014-04-01",1,2.5)</f>
        <v>0</v>
      </c>
      <c r="AI182" s="378">
        <f>IF(NFI_Expiration=1,IF($A182&lt;VLOOKUP(R$5,NFI,5,0),1,0)*Table_NFI[[#This Row],[Winter Clothes Adult]],Table_NFI[Winter Clothes Adult])</f>
        <v>0</v>
      </c>
      <c r="AJ182" s="378">
        <f>IF(NFI_Expiration=1,IF($A182&lt;VLOOKUP(S$5,NFI,5,0),1,0)*Table_NFI[[#This Row],[Winter Clothes Children]],Table_NFI[Winter Clothes Children])</f>
        <v>0</v>
      </c>
      <c r="AK182" s="378">
        <f>IF(NFI_Expiration=1,IF($A182&lt;VLOOKUP(T$5,NFI,5,0),1,0)*Table_NFI[[#This Row],[Winter Items Other]],Table_NFI[Winter Items Other])</f>
        <v>0</v>
      </c>
      <c r="AL182" s="378">
        <f>IF(NFI_Expiration=1,IF($A182&lt;VLOOKUP(M$5,NFI,5,0),1,0)*Table_NFI[[#This Row],[Winter Blanket]],Table_NFI[[#This Row],[Winter Blanket]])</f>
        <v>0</v>
      </c>
      <c r="AM182" s="378">
        <f>IF(Table_NFI[[#This Row],[Winter Clothes Adult]]+Table_NFI[[#This Row],[Winter Clothes Children]]+Table_NFI[[#This Row],[Winter Items Other]]+Table_NFI[[#This Row],[Winter Blanket]]&gt;0,1,0)</f>
        <v>0</v>
      </c>
      <c r="AN182" s="418">
        <f>IF(NFI_Expiration=1,IF($A182&lt;VLOOKUP(V$5,NFI,5,0),1,0)*Table_NFI[[#This Row],[Jerry Can]],Table_NFI[Jerry Can])</f>
        <v>0</v>
      </c>
      <c r="AO182" s="579" t="str">
        <f>IFERROR(VLOOKUP(Table_NFI[[#This Row],[Camp Name]],CL,2,0),"")</f>
        <v>MMR001CMP043</v>
      </c>
      <c r="AP182" s="574">
        <f ca="1">IF(Table_NFI[[#This Row],[Pcode]]="","",IF(OFFSET(CampList[Opening Date],MATCH(Table_NFI[[#This Row],[Pcode]],CampList[CP_Pcode],0)-1,0,1,1)&gt;=NFI_Monitor_Date,1,0))</f>
        <v>0</v>
      </c>
      <c r="AQ182" s="579" t="str">
        <f>IFERROR(VLOOKUP(Table_NFI[[#This Row],[Camp Name]],CL,3,0),"")</f>
        <v>Open</v>
      </c>
      <c r="AR182" s="378" t="str">
        <f ca="1">IF(Table_NFI[[#This Row],[Pcode]]="","",OFFSET(CampList[Priority],MATCH(Table_NFI[[#This Row],[Pcode]],CampList[CP_Pcode],0)-1,0,1,1))</f>
        <v>P1</v>
      </c>
      <c r="AS182" s="377">
        <f>IFERROR(Table_NFI[[#This Row],[Kitchen Set]]/VLOOKUP(Table_NFI[[#This Row],[Camp Name]],CL,4,0),"")</f>
        <v>7.1428571428571425E-2</v>
      </c>
      <c r="AT182" s="572" t="s">
        <v>1095</v>
      </c>
      <c r="AU182" s="575"/>
    </row>
    <row r="183" spans="1:47" s="576" customFormat="1" x14ac:dyDescent="0.25">
      <c r="A183" s="381">
        <f t="shared" si="2"/>
        <v>15.7</v>
      </c>
      <c r="B183" s="571">
        <v>42051</v>
      </c>
      <c r="C183" s="577" t="s">
        <v>454</v>
      </c>
      <c r="D183" s="577" t="s">
        <v>508</v>
      </c>
      <c r="E183" s="577" t="s">
        <v>380</v>
      </c>
      <c r="F183" s="577" t="s">
        <v>310</v>
      </c>
      <c r="G183" s="577" t="s">
        <v>194</v>
      </c>
      <c r="H183" s="376"/>
      <c r="I183" s="376"/>
      <c r="J183" s="376"/>
      <c r="K183" s="376"/>
      <c r="L183" s="376"/>
      <c r="M183" s="376"/>
      <c r="N183" s="376"/>
      <c r="O183" s="376"/>
      <c r="P183" s="378"/>
      <c r="Q183" s="378"/>
      <c r="R183" s="378">
        <v>865</v>
      </c>
      <c r="S183" s="378">
        <v>924</v>
      </c>
      <c r="T183" s="378"/>
      <c r="U183" s="378">
        <v>918</v>
      </c>
      <c r="V183" s="533"/>
      <c r="W183" s="378"/>
      <c r="X183" s="378"/>
      <c r="Y183" s="378">
        <f>IF(NFI_Expiration=1,IF($A183&lt;VLOOKUP(H$5,NFI,5,0),1,0)*Table_NFI[[#This Row],[Hygiene Kit]],Table_NFI[Hygiene Kit])</f>
        <v>0</v>
      </c>
      <c r="Z183" s="378">
        <f>IF(NFI_Expiration=1,IF($A183&lt;VLOOKUP(I$5,NFI,5,0),1,0)*Table_NFI[[#This Row],[NFI Core Kit]],Table_NFI[NFI Core Kit])</f>
        <v>0</v>
      </c>
      <c r="AA183" s="378">
        <f>IF(NFI_Expiration=1,IF($A183&lt;VLOOKUP(J$5,NFI,5,0),1,0)*Table_NFI[[#This Row],[Sanitary Kit]],Table_NFI[Sanitary Kit])</f>
        <v>0</v>
      </c>
      <c r="AB183" s="378">
        <f>IF(NFI_Expiration=1,IF($A183&lt;VLOOKUP(K$5,NFI,5,0),1,0)*Table_NFI[[#This Row],[Mosquito net]],Table_NFI[Mosquito net])</f>
        <v>0</v>
      </c>
      <c r="AC183" s="378">
        <f>IF(NFI_Expiration=1,IF($A183&lt;VLOOKUP(L$5,NFI,5,0),1,0)*Table_NFI[[#This Row],[Tarpaulin]],Table_NFI[[#This Row],[Tarpaulin]])</f>
        <v>0</v>
      </c>
      <c r="AD183" s="378">
        <f>IF(NFI_Expiration=1,IF($A183&lt;VLOOKUP(M$5,NFI,5,0),1,0)*Table_NFI[[#This Row],[Blanket]],Table_NFI[[#This Row],[Blanket]])</f>
        <v>0</v>
      </c>
      <c r="AE183" s="378">
        <f>IF(NFI_Expiration=1,IF($A183&lt;VLOOKUP(N$5,NFI,5,0),1,0)*Table_NFI[[#This Row],[Kitchen Set]],Table_NFI[Kitchen Set])</f>
        <v>0</v>
      </c>
      <c r="AF183" s="378">
        <f>IF(NFI_Expiration=1,IF($A183&lt;VLOOKUP(O$5,NFI,5,0),1,0)*Table_NFI[[#This Row],[Clothes Kit]],Table_NFI[Clothes Kit])</f>
        <v>0</v>
      </c>
      <c r="AG183" s="378">
        <f>IF(NFI_Expiration=1,IF($A183&lt;VLOOKUP(P$5,NFI,5,0),1,0)*Table_NFI[[#This Row],[Plastic Bucket]],Table_NFI[Plastic Bucket])</f>
        <v>0</v>
      </c>
      <c r="AH183" s="378">
        <f>IF(NFI_Expiration=1,IF($A183&lt;VLOOKUP(Q$5,NFI,5,0),1,0)*Table_NFI[[#This Row],[Plastic Mat]],Table_NFI[Plastic Mat])*IF(Table_NFI[[#This Row],[Distribution Date]]&gt;"2014-04-01",1,2.5)</f>
        <v>0</v>
      </c>
      <c r="AI183" s="378">
        <f>IF(NFI_Expiration=1,IF($A183&lt;VLOOKUP(R$5,NFI,5,0),1,0)*Table_NFI[[#This Row],[Winter Clothes Adult]],Table_NFI[Winter Clothes Adult])</f>
        <v>0</v>
      </c>
      <c r="AJ183" s="378">
        <f>IF(NFI_Expiration=1,IF($A183&lt;VLOOKUP(S$5,NFI,5,0),1,0)*Table_NFI[[#This Row],[Winter Clothes Children]],Table_NFI[Winter Clothes Children])</f>
        <v>0</v>
      </c>
      <c r="AK183" s="378">
        <f>IF(NFI_Expiration=1,IF($A183&lt;VLOOKUP(T$5,NFI,5,0),1,0)*Table_NFI[[#This Row],[Winter Items Other]],Table_NFI[Winter Items Other])</f>
        <v>0</v>
      </c>
      <c r="AL183" s="378">
        <f>IF(NFI_Expiration=1,IF($A183&lt;VLOOKUP(M$5,NFI,5,0),1,0)*Table_NFI[[#This Row],[Winter Blanket]],Table_NFI[[#This Row],[Winter Blanket]])</f>
        <v>0</v>
      </c>
      <c r="AM183" s="378">
        <f>IF(Table_NFI[[#This Row],[Winter Clothes Adult]]+Table_NFI[[#This Row],[Winter Clothes Children]]+Table_NFI[[#This Row],[Winter Items Other]]+Table_NFI[[#This Row],[Winter Blanket]]&gt;0,1,0)</f>
        <v>1</v>
      </c>
      <c r="AN183" s="418">
        <f>IF(NFI_Expiration=1,IF($A183&lt;VLOOKUP(V$5,NFI,5,0),1,0)*Table_NFI[[#This Row],[Jerry Can]],Table_NFI[Jerry Can])</f>
        <v>0</v>
      </c>
      <c r="AO183" s="579" t="str">
        <f>IFERROR(VLOOKUP(Table_NFI[[#This Row],[Camp Name]],CL,2,0),"")</f>
        <v>MMR001CMP122</v>
      </c>
      <c r="AP183" s="574">
        <f ca="1">IF(Table_NFI[[#This Row],[Pcode]]="","",IF(OFFSET(CampList[Opening Date],MATCH(Table_NFI[[#This Row],[Pcode]],CampList[CP_Pcode],0)-1,0,1,1)&gt;=NFI_Monitor_Date,1,0))</f>
        <v>0</v>
      </c>
      <c r="AQ183" s="579" t="str">
        <f>IFERROR(VLOOKUP(Table_NFI[[#This Row],[Camp Name]],CL,3,0),"")</f>
        <v>Open</v>
      </c>
      <c r="AR183" s="378" t="str">
        <f ca="1">IF(Table_NFI[[#This Row],[Pcode]]="","",OFFSET(CampList[Priority],MATCH(Table_NFI[[#This Row],[Pcode]],CampList[CP_Pcode],0)-1,0,1,1))</f>
        <v>P2</v>
      </c>
      <c r="AS183" s="377">
        <f>IFERROR(Table_NFI[[#This Row],[Kitchen Set]]/VLOOKUP(Table_NFI[[#This Row],[Camp Name]],CL,4,0),"")</f>
        <v>0</v>
      </c>
      <c r="AT183" s="572" t="s">
        <v>1095</v>
      </c>
      <c r="AU183" s="580"/>
    </row>
    <row r="184" spans="1:47" s="576" customFormat="1" x14ac:dyDescent="0.25">
      <c r="A184" s="381">
        <f t="shared" si="2"/>
        <v>30.466666666666665</v>
      </c>
      <c r="B184" s="571">
        <v>41608</v>
      </c>
      <c r="C184" s="572" t="s">
        <v>908</v>
      </c>
      <c r="D184" s="572" t="s">
        <v>462</v>
      </c>
      <c r="E184" s="572" t="s">
        <v>380</v>
      </c>
      <c r="F184" s="374" t="s">
        <v>185</v>
      </c>
      <c r="G184" s="374" t="s">
        <v>194</v>
      </c>
      <c r="H184" s="375"/>
      <c r="I184" s="375"/>
      <c r="J184" s="375"/>
      <c r="K184" s="375"/>
      <c r="L184" s="376"/>
      <c r="M184" s="376"/>
      <c r="N184" s="376"/>
      <c r="O184" s="376"/>
      <c r="P184" s="378"/>
      <c r="Q184" s="378">
        <v>978</v>
      </c>
      <c r="R184" s="378"/>
      <c r="S184" s="378"/>
      <c r="T184" s="378"/>
      <c r="U184" s="378"/>
      <c r="V184" s="533"/>
      <c r="W184" s="378"/>
      <c r="X184" s="378"/>
      <c r="Y184" s="378">
        <f>IF(NFI_Expiration=1,IF($A184&lt;VLOOKUP(H$5,NFI,5,0),1,0)*Table_NFI[[#This Row],[Hygiene Kit]],Table_NFI[Hygiene Kit])</f>
        <v>0</v>
      </c>
      <c r="Z184" s="378">
        <f>IF(NFI_Expiration=1,IF($A184&lt;VLOOKUP(I$5,NFI,5,0),1,0)*Table_NFI[[#This Row],[NFI Core Kit]],Table_NFI[NFI Core Kit])</f>
        <v>0</v>
      </c>
      <c r="AA184" s="378">
        <f>IF(NFI_Expiration=1,IF($A184&lt;VLOOKUP(J$5,NFI,5,0),1,0)*Table_NFI[[#This Row],[Sanitary Kit]],Table_NFI[Sanitary Kit])</f>
        <v>0</v>
      </c>
      <c r="AB184" s="378">
        <f>IF(NFI_Expiration=1,IF($A184&lt;VLOOKUP(K$5,NFI,5,0),1,0)*Table_NFI[[#This Row],[Mosquito net]],Table_NFI[Mosquito net])</f>
        <v>0</v>
      </c>
      <c r="AC184" s="378">
        <f>IF(NFI_Expiration=1,IF($A184&lt;VLOOKUP(L$5,NFI,5,0),1,0)*Table_NFI[[#This Row],[Tarpaulin]],Table_NFI[[#This Row],[Tarpaulin]])</f>
        <v>0</v>
      </c>
      <c r="AD184" s="378">
        <f>IF(NFI_Expiration=1,IF($A184&lt;VLOOKUP(M$5,NFI,5,0),1,0)*Table_NFI[[#This Row],[Blanket]],Table_NFI[[#This Row],[Blanket]])</f>
        <v>0</v>
      </c>
      <c r="AE184" s="378">
        <f>IF(NFI_Expiration=1,IF($A184&lt;VLOOKUP(N$5,NFI,5,0),1,0)*Table_NFI[[#This Row],[Kitchen Set]],Table_NFI[Kitchen Set])</f>
        <v>0</v>
      </c>
      <c r="AF184" s="378">
        <f>IF(NFI_Expiration=1,IF($A184&lt;VLOOKUP(O$5,NFI,5,0),1,0)*Table_NFI[[#This Row],[Clothes Kit]],Table_NFI[Clothes Kit])</f>
        <v>0</v>
      </c>
      <c r="AG184" s="378">
        <f>IF(NFI_Expiration=1,IF($A184&lt;VLOOKUP(P$5,NFI,5,0),1,0)*Table_NFI[[#This Row],[Plastic Bucket]],Table_NFI[Plastic Bucket])</f>
        <v>0</v>
      </c>
      <c r="AH184" s="378">
        <f>IF(NFI_Expiration=1,IF($A184&lt;VLOOKUP(Q$5,NFI,5,0),1,0)*Table_NFI[[#This Row],[Plastic Mat]],Table_NFI[Plastic Mat])*IF(Table_NFI[[#This Row],[Distribution Date]]&gt;"2014-04-01",1,2.5)</f>
        <v>0</v>
      </c>
      <c r="AI184" s="378">
        <f>IF(NFI_Expiration=1,IF($A184&lt;VLOOKUP(R$5,NFI,5,0),1,0)*Table_NFI[[#This Row],[Winter Clothes Adult]],Table_NFI[Winter Clothes Adult])</f>
        <v>0</v>
      </c>
      <c r="AJ184" s="378">
        <f>IF(NFI_Expiration=1,IF($A184&lt;VLOOKUP(S$5,NFI,5,0),1,0)*Table_NFI[[#This Row],[Winter Clothes Children]],Table_NFI[Winter Clothes Children])</f>
        <v>0</v>
      </c>
      <c r="AK184" s="378">
        <f>IF(NFI_Expiration=1,IF($A184&lt;VLOOKUP(T$5,NFI,5,0),1,0)*Table_NFI[[#This Row],[Winter Items Other]],Table_NFI[Winter Items Other])</f>
        <v>0</v>
      </c>
      <c r="AL184" s="378">
        <f>IF(NFI_Expiration=1,IF($A184&lt;VLOOKUP(M$5,NFI,5,0),1,0)*Table_NFI[[#This Row],[Winter Blanket]],Table_NFI[[#This Row],[Winter Blanket]])</f>
        <v>0</v>
      </c>
      <c r="AM184" s="378">
        <f>IF(Table_NFI[[#This Row],[Winter Clothes Adult]]+Table_NFI[[#This Row],[Winter Clothes Children]]+Table_NFI[[#This Row],[Winter Items Other]]+Table_NFI[[#This Row],[Winter Blanket]]&gt;0,1,0)</f>
        <v>0</v>
      </c>
      <c r="AN184" s="418">
        <f>IF(NFI_Expiration=1,IF($A184&lt;VLOOKUP(V$5,NFI,5,0),1,0)*Table_NFI[[#This Row],[Jerry Can]],Table_NFI[Jerry Can])</f>
        <v>0</v>
      </c>
      <c r="AO184" s="579" t="str">
        <f>IFERROR(VLOOKUP(Table_NFI[[#This Row],[Camp Name]],CL,2,0),"")</f>
        <v>MMR001CMP122</v>
      </c>
      <c r="AP184" s="574">
        <f ca="1">IF(Table_NFI[[#This Row],[Pcode]]="","",IF(OFFSET(CampList[Opening Date],MATCH(Table_NFI[[#This Row],[Pcode]],CampList[CP_Pcode],0)-1,0,1,1)&gt;=NFI_Monitor_Date,1,0))</f>
        <v>0</v>
      </c>
      <c r="AQ184" s="579" t="str">
        <f>IFERROR(VLOOKUP(Table_NFI[[#This Row],[Camp Name]],CL,3,0),"")</f>
        <v>Open</v>
      </c>
      <c r="AR184" s="378" t="str">
        <f ca="1">IF(Table_NFI[[#This Row],[Pcode]]="","",OFFSET(CampList[Priority],MATCH(Table_NFI[[#This Row],[Pcode]],CampList[CP_Pcode],0)-1,0,1,1))</f>
        <v>P2</v>
      </c>
      <c r="AS184" s="377">
        <f>IFERROR(Table_NFI[[#This Row],[Kitchen Set]]/VLOOKUP(Table_NFI[[#This Row],[Camp Name]],CL,4,0),"")</f>
        <v>0</v>
      </c>
      <c r="AT184" s="572" t="s">
        <v>1095</v>
      </c>
      <c r="AU184" s="575"/>
    </row>
    <row r="185" spans="1:47" s="576" customFormat="1" x14ac:dyDescent="0.25">
      <c r="A185" s="381">
        <f t="shared" si="2"/>
        <v>32.633333333333333</v>
      </c>
      <c r="B185" s="571">
        <v>41543</v>
      </c>
      <c r="C185" s="572" t="s">
        <v>454</v>
      </c>
      <c r="D185" s="572" t="s">
        <v>454</v>
      </c>
      <c r="E185" s="572" t="s">
        <v>380</v>
      </c>
      <c r="F185" s="374" t="s">
        <v>185</v>
      </c>
      <c r="G185" s="374" t="s">
        <v>194</v>
      </c>
      <c r="H185" s="375"/>
      <c r="I185" s="375"/>
      <c r="J185" s="375">
        <v>882</v>
      </c>
      <c r="K185" s="375">
        <v>882</v>
      </c>
      <c r="L185" s="376">
        <v>441</v>
      </c>
      <c r="M185" s="376">
        <v>882</v>
      </c>
      <c r="N185" s="376">
        <v>441</v>
      </c>
      <c r="O185" s="376"/>
      <c r="P185" s="378">
        <v>441</v>
      </c>
      <c r="Q185" s="378">
        <v>882</v>
      </c>
      <c r="R185" s="378"/>
      <c r="S185" s="378"/>
      <c r="T185" s="378"/>
      <c r="U185" s="378"/>
      <c r="V185" s="533"/>
      <c r="W185" s="378"/>
      <c r="X185" s="378"/>
      <c r="Y185" s="378">
        <f>IF(NFI_Expiration=1,IF($A185&lt;VLOOKUP(H$5,NFI,5,0),1,0)*Table_NFI[[#This Row],[Hygiene Kit]],Table_NFI[Hygiene Kit])</f>
        <v>0</v>
      </c>
      <c r="Z185" s="378">
        <f>IF(NFI_Expiration=1,IF($A185&lt;VLOOKUP(I$5,NFI,5,0),1,0)*Table_NFI[[#This Row],[NFI Core Kit]],Table_NFI[NFI Core Kit])</f>
        <v>0</v>
      </c>
      <c r="AA185" s="378">
        <f>IF(NFI_Expiration=1,IF($A185&lt;VLOOKUP(J$5,NFI,5,0),1,0)*Table_NFI[[#This Row],[Sanitary Kit]],Table_NFI[Sanitary Kit])</f>
        <v>0</v>
      </c>
      <c r="AB185" s="378">
        <f>IF(NFI_Expiration=1,IF($A185&lt;VLOOKUP(K$5,NFI,5,0),1,0)*Table_NFI[[#This Row],[Mosquito net]],Table_NFI[Mosquito net])</f>
        <v>0</v>
      </c>
      <c r="AC185" s="378">
        <f>IF(NFI_Expiration=1,IF($A185&lt;VLOOKUP(L$5,NFI,5,0),1,0)*Table_NFI[[#This Row],[Tarpaulin]],Table_NFI[[#This Row],[Tarpaulin]])</f>
        <v>0</v>
      </c>
      <c r="AD185" s="378">
        <f>IF(NFI_Expiration=1,IF($A185&lt;VLOOKUP(M$5,NFI,5,0),1,0)*Table_NFI[[#This Row],[Blanket]],Table_NFI[[#This Row],[Blanket]])</f>
        <v>0</v>
      </c>
      <c r="AE185" s="378">
        <f>IF(NFI_Expiration=1,IF($A185&lt;VLOOKUP(N$5,NFI,5,0),1,0)*Table_NFI[[#This Row],[Kitchen Set]],Table_NFI[Kitchen Set])</f>
        <v>0</v>
      </c>
      <c r="AF185" s="378">
        <f>IF(NFI_Expiration=1,IF($A185&lt;VLOOKUP(O$5,NFI,5,0),1,0)*Table_NFI[[#This Row],[Clothes Kit]],Table_NFI[Clothes Kit])</f>
        <v>0</v>
      </c>
      <c r="AG185" s="378">
        <f>IF(NFI_Expiration=1,IF($A185&lt;VLOOKUP(P$5,NFI,5,0),1,0)*Table_NFI[[#This Row],[Plastic Bucket]],Table_NFI[Plastic Bucket])</f>
        <v>0</v>
      </c>
      <c r="AH185" s="378">
        <f>IF(NFI_Expiration=1,IF($A185&lt;VLOOKUP(Q$5,NFI,5,0),1,0)*Table_NFI[[#This Row],[Plastic Mat]],Table_NFI[Plastic Mat])*IF(Table_NFI[[#This Row],[Distribution Date]]&gt;"2014-04-01",1,2.5)</f>
        <v>0</v>
      </c>
      <c r="AI185" s="378">
        <f>IF(NFI_Expiration=1,IF($A185&lt;VLOOKUP(R$5,NFI,5,0),1,0)*Table_NFI[[#This Row],[Winter Clothes Adult]],Table_NFI[Winter Clothes Adult])</f>
        <v>0</v>
      </c>
      <c r="AJ185" s="378">
        <f>IF(NFI_Expiration=1,IF($A185&lt;VLOOKUP(S$5,NFI,5,0),1,0)*Table_NFI[[#This Row],[Winter Clothes Children]],Table_NFI[Winter Clothes Children])</f>
        <v>0</v>
      </c>
      <c r="AK185" s="378">
        <f>IF(NFI_Expiration=1,IF($A185&lt;VLOOKUP(T$5,NFI,5,0),1,0)*Table_NFI[[#This Row],[Winter Items Other]],Table_NFI[Winter Items Other])</f>
        <v>0</v>
      </c>
      <c r="AL185" s="378">
        <f>IF(NFI_Expiration=1,IF($A185&lt;VLOOKUP(M$5,NFI,5,0),1,0)*Table_NFI[[#This Row],[Winter Blanket]],Table_NFI[[#This Row],[Winter Blanket]])</f>
        <v>0</v>
      </c>
      <c r="AM185" s="378">
        <f>IF(Table_NFI[[#This Row],[Winter Clothes Adult]]+Table_NFI[[#This Row],[Winter Clothes Children]]+Table_NFI[[#This Row],[Winter Items Other]]+Table_NFI[[#This Row],[Winter Blanket]]&gt;0,1,0)</f>
        <v>0</v>
      </c>
      <c r="AN185" s="418">
        <f>IF(NFI_Expiration=1,IF($A185&lt;VLOOKUP(V$5,NFI,5,0),1,0)*Table_NFI[[#This Row],[Jerry Can]],Table_NFI[Jerry Can])</f>
        <v>0</v>
      </c>
      <c r="AO185" s="579" t="str">
        <f>IFERROR(VLOOKUP(Table_NFI[[#This Row],[Camp Name]],CL,2,0),"")</f>
        <v>MMR001CMP122</v>
      </c>
      <c r="AP185" s="574">
        <f ca="1">IF(Table_NFI[[#This Row],[Pcode]]="","",IF(OFFSET(CampList[Opening Date],MATCH(Table_NFI[[#This Row],[Pcode]],CampList[CP_Pcode],0)-1,0,1,1)&gt;=NFI_Monitor_Date,1,0))</f>
        <v>0</v>
      </c>
      <c r="AQ185" s="579" t="str">
        <f>IFERROR(VLOOKUP(Table_NFI[[#This Row],[Camp Name]],CL,3,0),"")</f>
        <v>Open</v>
      </c>
      <c r="AR185" s="378" t="str">
        <f ca="1">IF(Table_NFI[[#This Row],[Pcode]]="","",OFFSET(CampList[Priority],MATCH(Table_NFI[[#This Row],[Pcode]],CampList[CP_Pcode],0)-1,0,1,1))</f>
        <v>P2</v>
      </c>
      <c r="AS185" s="377">
        <f>IFERROR(Table_NFI[[#This Row],[Kitchen Set]]/VLOOKUP(Table_NFI[[#This Row],[Camp Name]],CL,4,0),"")</f>
        <v>0.75255972696245732</v>
      </c>
      <c r="AT185" s="572" t="s">
        <v>1095</v>
      </c>
      <c r="AU185" s="575"/>
    </row>
    <row r="186" spans="1:47" s="130" customFormat="1" x14ac:dyDescent="0.25">
      <c r="A186" s="381">
        <f t="shared" si="2"/>
        <v>42.266666666666666</v>
      </c>
      <c r="B186" s="571">
        <v>41254</v>
      </c>
      <c r="C186" s="572" t="s">
        <v>908</v>
      </c>
      <c r="D186" s="573" t="s">
        <v>908</v>
      </c>
      <c r="E186" s="572" t="s">
        <v>380</v>
      </c>
      <c r="F186" s="374" t="s">
        <v>185</v>
      </c>
      <c r="G186" s="374" t="s">
        <v>194</v>
      </c>
      <c r="H186" s="375">
        <v>1658</v>
      </c>
      <c r="I186" s="380"/>
      <c r="J186" s="373">
        <v>2085</v>
      </c>
      <c r="K186" s="373"/>
      <c r="L186" s="373"/>
      <c r="M186" s="373"/>
      <c r="N186" s="373"/>
      <c r="O186" s="373"/>
      <c r="P186" s="378">
        <v>0</v>
      </c>
      <c r="Q186" s="378">
        <v>0</v>
      </c>
      <c r="R186" s="378"/>
      <c r="S186" s="378"/>
      <c r="T186" s="378"/>
      <c r="U186" s="378"/>
      <c r="V186" s="533"/>
      <c r="W186" s="378"/>
      <c r="X186" s="378"/>
      <c r="Y186" s="378">
        <f>IF(NFI_Expiration=1,IF($A186&lt;VLOOKUP(H$5,NFI,5,0),1,0)*Table_NFI[[#This Row],[Hygiene Kit]],Table_NFI[Hygiene Kit])</f>
        <v>0</v>
      </c>
      <c r="Z186" s="378">
        <f>IF(NFI_Expiration=1,IF($A186&lt;VLOOKUP(I$5,NFI,5,0),1,0)*Table_NFI[[#This Row],[NFI Core Kit]],Table_NFI[NFI Core Kit])</f>
        <v>0</v>
      </c>
      <c r="AA186" s="378">
        <f>IF(NFI_Expiration=1,IF($A186&lt;VLOOKUP(J$5,NFI,5,0),1,0)*Table_NFI[[#This Row],[Sanitary Kit]],Table_NFI[Sanitary Kit])</f>
        <v>0</v>
      </c>
      <c r="AB186" s="378">
        <f>IF(NFI_Expiration=1,IF($A186&lt;VLOOKUP(K$5,NFI,5,0),1,0)*Table_NFI[[#This Row],[Mosquito net]],Table_NFI[Mosquito net])</f>
        <v>0</v>
      </c>
      <c r="AC186" s="378">
        <f>IF(NFI_Expiration=1,IF($A186&lt;VLOOKUP(L$5,NFI,5,0),1,0)*Table_NFI[[#This Row],[Tarpaulin]],Table_NFI[[#This Row],[Tarpaulin]])</f>
        <v>0</v>
      </c>
      <c r="AD186" s="378">
        <f>IF(NFI_Expiration=1,IF($A186&lt;VLOOKUP(M$5,NFI,5,0),1,0)*Table_NFI[[#This Row],[Blanket]],Table_NFI[[#This Row],[Blanket]])</f>
        <v>0</v>
      </c>
      <c r="AE186" s="378">
        <f>IF(NFI_Expiration=1,IF($A186&lt;VLOOKUP(N$5,NFI,5,0),1,0)*Table_NFI[[#This Row],[Kitchen Set]],Table_NFI[Kitchen Set])</f>
        <v>0</v>
      </c>
      <c r="AF186" s="378">
        <f>IF(NFI_Expiration=1,IF($A186&lt;VLOOKUP(O$5,NFI,5,0),1,0)*Table_NFI[[#This Row],[Clothes Kit]],Table_NFI[Clothes Kit])</f>
        <v>0</v>
      </c>
      <c r="AG186" s="378">
        <f>IF(NFI_Expiration=1,IF($A186&lt;VLOOKUP(P$5,NFI,5,0),1,0)*Table_NFI[[#This Row],[Plastic Bucket]],Table_NFI[Plastic Bucket])</f>
        <v>0</v>
      </c>
      <c r="AH186" s="378">
        <f>IF(NFI_Expiration=1,IF($A186&lt;VLOOKUP(Q$5,NFI,5,0),1,0)*Table_NFI[[#This Row],[Plastic Mat]],Table_NFI[Plastic Mat])*IF(Table_NFI[[#This Row],[Distribution Date]]&gt;"2014-04-01",1,2.5)</f>
        <v>0</v>
      </c>
      <c r="AI186" s="378">
        <f>IF(NFI_Expiration=1,IF($A186&lt;VLOOKUP(R$5,NFI,5,0),1,0)*Table_NFI[[#This Row],[Winter Clothes Adult]],Table_NFI[Winter Clothes Adult])</f>
        <v>0</v>
      </c>
      <c r="AJ186" s="378">
        <f>IF(NFI_Expiration=1,IF($A186&lt;VLOOKUP(S$5,NFI,5,0),1,0)*Table_NFI[[#This Row],[Winter Clothes Children]],Table_NFI[Winter Clothes Children])</f>
        <v>0</v>
      </c>
      <c r="AK186" s="378">
        <f>IF(NFI_Expiration=1,IF($A186&lt;VLOOKUP(T$5,NFI,5,0),1,0)*Table_NFI[[#This Row],[Winter Items Other]],Table_NFI[Winter Items Other])</f>
        <v>0</v>
      </c>
      <c r="AL186" s="378">
        <f>IF(NFI_Expiration=1,IF($A186&lt;VLOOKUP(M$5,NFI,5,0),1,0)*Table_NFI[[#This Row],[Winter Blanket]],Table_NFI[[#This Row],[Winter Blanket]])</f>
        <v>0</v>
      </c>
      <c r="AM186" s="378">
        <f>IF(Table_NFI[[#This Row],[Winter Clothes Adult]]+Table_NFI[[#This Row],[Winter Clothes Children]]+Table_NFI[[#This Row],[Winter Items Other]]+Table_NFI[[#This Row],[Winter Blanket]]&gt;0,1,0)</f>
        <v>0</v>
      </c>
      <c r="AN186" s="418">
        <f>IF(NFI_Expiration=1,IF($A186&lt;VLOOKUP(V$5,NFI,5,0),1,0)*Table_NFI[[#This Row],[Jerry Can]],Table_NFI[Jerry Can])</f>
        <v>0</v>
      </c>
      <c r="AO186" s="579" t="str">
        <f>IFERROR(VLOOKUP(Table_NFI[[#This Row],[Camp Name]],CL,2,0),"")</f>
        <v>MMR001CMP122</v>
      </c>
      <c r="AP186" s="574">
        <f ca="1">IF(Table_NFI[[#This Row],[Pcode]]="","",IF(OFFSET(CampList[Opening Date],MATCH(Table_NFI[[#This Row],[Pcode]],CampList[CP_Pcode],0)-1,0,1,1)&gt;=NFI_Monitor_Date,1,0))</f>
        <v>0</v>
      </c>
      <c r="AQ186" s="579" t="str">
        <f>IFERROR(VLOOKUP(Table_NFI[[#This Row],[Camp Name]],CL,3,0),"")</f>
        <v>Open</v>
      </c>
      <c r="AR186" s="378" t="str">
        <f ca="1">IF(Table_NFI[[#This Row],[Pcode]]="","",OFFSET(CampList[Priority],MATCH(Table_NFI[[#This Row],[Pcode]],CampList[CP_Pcode],0)-1,0,1,1))</f>
        <v>P2</v>
      </c>
      <c r="AS186" s="377">
        <f>IFERROR(Table_NFI[[#This Row],[Kitchen Set]]/VLOOKUP(Table_NFI[[#This Row],[Camp Name]],CL,4,0),"")</f>
        <v>0</v>
      </c>
      <c r="AT186" s="572" t="s">
        <v>1095</v>
      </c>
      <c r="AU186" s="575"/>
    </row>
    <row r="187" spans="1:47" s="130" customFormat="1" x14ac:dyDescent="0.25">
      <c r="A187" s="381">
        <f t="shared" si="2"/>
        <v>47.166666666666664</v>
      </c>
      <c r="B187" s="571">
        <v>41107</v>
      </c>
      <c r="C187" s="572" t="s">
        <v>454</v>
      </c>
      <c r="D187" s="573" t="s">
        <v>454</v>
      </c>
      <c r="E187" s="572" t="s">
        <v>380</v>
      </c>
      <c r="F187" s="374" t="s">
        <v>185</v>
      </c>
      <c r="G187" s="374" t="s">
        <v>194</v>
      </c>
      <c r="H187" s="375"/>
      <c r="I187" s="380"/>
      <c r="J187" s="373"/>
      <c r="K187" s="373">
        <v>0</v>
      </c>
      <c r="L187" s="373">
        <v>0</v>
      </c>
      <c r="M187" s="373">
        <v>0</v>
      </c>
      <c r="N187" s="373">
        <v>0</v>
      </c>
      <c r="O187" s="373">
        <v>0</v>
      </c>
      <c r="P187" s="378"/>
      <c r="Q187" s="378"/>
      <c r="R187" s="378"/>
      <c r="S187" s="378"/>
      <c r="T187" s="378"/>
      <c r="U187" s="378"/>
      <c r="V187" s="533"/>
      <c r="W187" s="378"/>
      <c r="X187" s="378"/>
      <c r="Y187" s="378">
        <f>IF(NFI_Expiration=1,IF($A187&lt;VLOOKUP(H$5,NFI,5,0),1,0)*Table_NFI[[#This Row],[Hygiene Kit]],Table_NFI[Hygiene Kit])</f>
        <v>0</v>
      </c>
      <c r="Z187" s="378">
        <f>IF(NFI_Expiration=1,IF($A187&lt;VLOOKUP(I$5,NFI,5,0),1,0)*Table_NFI[[#This Row],[NFI Core Kit]],Table_NFI[NFI Core Kit])</f>
        <v>0</v>
      </c>
      <c r="AA187" s="378">
        <f>IF(NFI_Expiration=1,IF($A187&lt;VLOOKUP(J$5,NFI,5,0),1,0)*Table_NFI[[#This Row],[Sanitary Kit]],Table_NFI[Sanitary Kit])</f>
        <v>0</v>
      </c>
      <c r="AB187" s="378">
        <f>IF(NFI_Expiration=1,IF($A187&lt;VLOOKUP(K$5,NFI,5,0),1,0)*Table_NFI[[#This Row],[Mosquito net]],Table_NFI[Mosquito net])</f>
        <v>0</v>
      </c>
      <c r="AC187" s="378">
        <f>IF(NFI_Expiration=1,IF($A187&lt;VLOOKUP(L$5,NFI,5,0),1,0)*Table_NFI[[#This Row],[Tarpaulin]],Table_NFI[[#This Row],[Tarpaulin]])</f>
        <v>0</v>
      </c>
      <c r="AD187" s="378">
        <f>IF(NFI_Expiration=1,IF($A187&lt;VLOOKUP(M$5,NFI,5,0),1,0)*Table_NFI[[#This Row],[Blanket]],Table_NFI[[#This Row],[Blanket]])</f>
        <v>0</v>
      </c>
      <c r="AE187" s="378">
        <f>IF(NFI_Expiration=1,IF($A187&lt;VLOOKUP(N$5,NFI,5,0),1,0)*Table_NFI[[#This Row],[Kitchen Set]],Table_NFI[Kitchen Set])</f>
        <v>0</v>
      </c>
      <c r="AF187" s="378">
        <f>IF(NFI_Expiration=1,IF($A187&lt;VLOOKUP(O$5,NFI,5,0),1,0)*Table_NFI[[#This Row],[Clothes Kit]],Table_NFI[Clothes Kit])</f>
        <v>0</v>
      </c>
      <c r="AG187" s="378">
        <f>IF(NFI_Expiration=1,IF($A187&lt;VLOOKUP(P$5,NFI,5,0),1,0)*Table_NFI[[#This Row],[Plastic Bucket]],Table_NFI[Plastic Bucket])</f>
        <v>0</v>
      </c>
      <c r="AH187" s="378">
        <f>IF(NFI_Expiration=1,IF($A187&lt;VLOOKUP(Q$5,NFI,5,0),1,0)*Table_NFI[[#This Row],[Plastic Mat]],Table_NFI[Plastic Mat])*IF(Table_NFI[[#This Row],[Distribution Date]]&gt;"2014-04-01",1,2.5)</f>
        <v>0</v>
      </c>
      <c r="AI187" s="378">
        <f>IF(NFI_Expiration=1,IF($A187&lt;VLOOKUP(R$5,NFI,5,0),1,0)*Table_NFI[[#This Row],[Winter Clothes Adult]],Table_NFI[Winter Clothes Adult])</f>
        <v>0</v>
      </c>
      <c r="AJ187" s="378">
        <f>IF(NFI_Expiration=1,IF($A187&lt;VLOOKUP(S$5,NFI,5,0),1,0)*Table_NFI[[#This Row],[Winter Clothes Children]],Table_NFI[Winter Clothes Children])</f>
        <v>0</v>
      </c>
      <c r="AK187" s="378">
        <f>IF(NFI_Expiration=1,IF($A187&lt;VLOOKUP(T$5,NFI,5,0),1,0)*Table_NFI[[#This Row],[Winter Items Other]],Table_NFI[Winter Items Other])</f>
        <v>0</v>
      </c>
      <c r="AL187" s="378">
        <f>IF(NFI_Expiration=1,IF($A187&lt;VLOOKUP(M$5,NFI,5,0),1,0)*Table_NFI[[#This Row],[Winter Blanket]],Table_NFI[[#This Row],[Winter Blanket]])</f>
        <v>0</v>
      </c>
      <c r="AM187" s="378">
        <f>IF(Table_NFI[[#This Row],[Winter Clothes Adult]]+Table_NFI[[#This Row],[Winter Clothes Children]]+Table_NFI[[#This Row],[Winter Items Other]]+Table_NFI[[#This Row],[Winter Blanket]]&gt;0,1,0)</f>
        <v>0</v>
      </c>
      <c r="AN187" s="418">
        <f>IF(NFI_Expiration=1,IF($A187&lt;VLOOKUP(V$5,NFI,5,0),1,0)*Table_NFI[[#This Row],[Jerry Can]],Table_NFI[Jerry Can])</f>
        <v>0</v>
      </c>
      <c r="AO187" s="579" t="str">
        <f>IFERROR(VLOOKUP(Table_NFI[[#This Row],[Camp Name]],CL,2,0),"")</f>
        <v>MMR001CMP122</v>
      </c>
      <c r="AP187" s="574">
        <f ca="1">IF(Table_NFI[[#This Row],[Pcode]]="","",IF(OFFSET(CampList[Opening Date],MATCH(Table_NFI[[#This Row],[Pcode]],CampList[CP_Pcode],0)-1,0,1,1)&gt;=NFI_Monitor_Date,1,0))</f>
        <v>0</v>
      </c>
      <c r="AQ187" s="579" t="str">
        <f>IFERROR(VLOOKUP(Table_NFI[[#This Row],[Camp Name]],CL,3,0),"")</f>
        <v>Open</v>
      </c>
      <c r="AR187" s="378" t="str">
        <f ca="1">IF(Table_NFI[[#This Row],[Pcode]]="","",OFFSET(CampList[Priority],MATCH(Table_NFI[[#This Row],[Pcode]],CampList[CP_Pcode],0)-1,0,1,1))</f>
        <v>P2</v>
      </c>
      <c r="AS187" s="377">
        <f>IFERROR(Table_NFI[[#This Row],[Kitchen Set]]/VLOOKUP(Table_NFI[[#This Row],[Camp Name]],CL,4,0),"")</f>
        <v>0</v>
      </c>
      <c r="AT187" s="572" t="s">
        <v>1095</v>
      </c>
      <c r="AU187" s="575"/>
    </row>
    <row r="188" spans="1:47" s="576" customFormat="1" x14ac:dyDescent="0.25">
      <c r="A188" s="381">
        <f t="shared" si="2"/>
        <v>48.533333333333331</v>
      </c>
      <c r="B188" s="571">
        <v>41066</v>
      </c>
      <c r="C188" s="572" t="s">
        <v>454</v>
      </c>
      <c r="D188" s="573" t="s">
        <v>575</v>
      </c>
      <c r="E188" s="572" t="s">
        <v>380</v>
      </c>
      <c r="F188" s="374" t="s">
        <v>185</v>
      </c>
      <c r="G188" s="374" t="s">
        <v>194</v>
      </c>
      <c r="H188" s="375"/>
      <c r="I188" s="375"/>
      <c r="J188" s="375"/>
      <c r="K188" s="375">
        <v>0</v>
      </c>
      <c r="L188" s="376">
        <v>200</v>
      </c>
      <c r="M188" s="376">
        <v>0</v>
      </c>
      <c r="N188" s="376">
        <v>0</v>
      </c>
      <c r="O188" s="376">
        <v>0</v>
      </c>
      <c r="P188" s="378"/>
      <c r="Q188" s="378"/>
      <c r="R188" s="378"/>
      <c r="S188" s="378"/>
      <c r="T188" s="378"/>
      <c r="U188" s="378"/>
      <c r="V188" s="533"/>
      <c r="W188" s="378"/>
      <c r="X188" s="378"/>
      <c r="Y188" s="378">
        <f>IF(NFI_Expiration=1,IF($A188&lt;VLOOKUP(H$5,NFI,5,0),1,0)*Table_NFI[[#This Row],[Hygiene Kit]],Table_NFI[Hygiene Kit])</f>
        <v>0</v>
      </c>
      <c r="Z188" s="378">
        <f>IF(NFI_Expiration=1,IF($A188&lt;VLOOKUP(I$5,NFI,5,0),1,0)*Table_NFI[[#This Row],[NFI Core Kit]],Table_NFI[NFI Core Kit])</f>
        <v>0</v>
      </c>
      <c r="AA188" s="378">
        <f>IF(NFI_Expiration=1,IF($A188&lt;VLOOKUP(J$5,NFI,5,0),1,0)*Table_NFI[[#This Row],[Sanitary Kit]],Table_NFI[Sanitary Kit])</f>
        <v>0</v>
      </c>
      <c r="AB188" s="378">
        <f>IF(NFI_Expiration=1,IF($A188&lt;VLOOKUP(K$5,NFI,5,0),1,0)*Table_NFI[[#This Row],[Mosquito net]],Table_NFI[Mosquito net])</f>
        <v>0</v>
      </c>
      <c r="AC188" s="378">
        <f>IF(NFI_Expiration=1,IF($A188&lt;VLOOKUP(L$5,NFI,5,0),1,0)*Table_NFI[[#This Row],[Tarpaulin]],Table_NFI[[#This Row],[Tarpaulin]])</f>
        <v>0</v>
      </c>
      <c r="AD188" s="378">
        <f>IF(NFI_Expiration=1,IF($A188&lt;VLOOKUP(M$5,NFI,5,0),1,0)*Table_NFI[[#This Row],[Blanket]],Table_NFI[[#This Row],[Blanket]])</f>
        <v>0</v>
      </c>
      <c r="AE188" s="378">
        <f>IF(NFI_Expiration=1,IF($A188&lt;VLOOKUP(N$5,NFI,5,0),1,0)*Table_NFI[[#This Row],[Kitchen Set]],Table_NFI[Kitchen Set])</f>
        <v>0</v>
      </c>
      <c r="AF188" s="378">
        <f>IF(NFI_Expiration=1,IF($A188&lt;VLOOKUP(O$5,NFI,5,0),1,0)*Table_NFI[[#This Row],[Clothes Kit]],Table_NFI[Clothes Kit])</f>
        <v>0</v>
      </c>
      <c r="AG188" s="378">
        <f>IF(NFI_Expiration=1,IF($A188&lt;VLOOKUP(P$5,NFI,5,0),1,0)*Table_NFI[[#This Row],[Plastic Bucket]],Table_NFI[Plastic Bucket])</f>
        <v>0</v>
      </c>
      <c r="AH188" s="378">
        <f>IF(NFI_Expiration=1,IF($A188&lt;VLOOKUP(Q$5,NFI,5,0),1,0)*Table_NFI[[#This Row],[Plastic Mat]],Table_NFI[Plastic Mat])*IF(Table_NFI[[#This Row],[Distribution Date]]&gt;"2014-04-01",1,2.5)</f>
        <v>0</v>
      </c>
      <c r="AI188" s="378">
        <f>IF(NFI_Expiration=1,IF($A188&lt;VLOOKUP(R$5,NFI,5,0),1,0)*Table_NFI[[#This Row],[Winter Clothes Adult]],Table_NFI[Winter Clothes Adult])</f>
        <v>0</v>
      </c>
      <c r="AJ188" s="378">
        <f>IF(NFI_Expiration=1,IF($A188&lt;VLOOKUP(S$5,NFI,5,0),1,0)*Table_NFI[[#This Row],[Winter Clothes Children]],Table_NFI[Winter Clothes Children])</f>
        <v>0</v>
      </c>
      <c r="AK188" s="378">
        <f>IF(NFI_Expiration=1,IF($A188&lt;VLOOKUP(T$5,NFI,5,0),1,0)*Table_NFI[[#This Row],[Winter Items Other]],Table_NFI[Winter Items Other])</f>
        <v>0</v>
      </c>
      <c r="AL188" s="378">
        <f>IF(NFI_Expiration=1,IF($A188&lt;VLOOKUP(M$5,NFI,5,0),1,0)*Table_NFI[[#This Row],[Winter Blanket]],Table_NFI[[#This Row],[Winter Blanket]])</f>
        <v>0</v>
      </c>
      <c r="AM188" s="378">
        <f>IF(Table_NFI[[#This Row],[Winter Clothes Adult]]+Table_NFI[[#This Row],[Winter Clothes Children]]+Table_NFI[[#This Row],[Winter Items Other]]+Table_NFI[[#This Row],[Winter Blanket]]&gt;0,1,0)</f>
        <v>0</v>
      </c>
      <c r="AN188" s="418">
        <f>IF(NFI_Expiration=1,IF($A188&lt;VLOOKUP(V$5,NFI,5,0),1,0)*Table_NFI[[#This Row],[Jerry Can]],Table_NFI[Jerry Can])</f>
        <v>0</v>
      </c>
      <c r="AO188" s="579" t="str">
        <f>IFERROR(VLOOKUP(Table_NFI[[#This Row],[Camp Name]],CL,2,0),"")</f>
        <v>MMR001CMP122</v>
      </c>
      <c r="AP188" s="574">
        <f ca="1">IF(Table_NFI[[#This Row],[Pcode]]="","",IF(OFFSET(CampList[Opening Date],MATCH(Table_NFI[[#This Row],[Pcode]],CampList[CP_Pcode],0)-1,0,1,1)&gt;=NFI_Monitor_Date,1,0))</f>
        <v>0</v>
      </c>
      <c r="AQ188" s="579" t="str">
        <f>IFERROR(VLOOKUP(Table_NFI[[#This Row],[Camp Name]],CL,3,0),"")</f>
        <v>Open</v>
      </c>
      <c r="AR188" s="378" t="str">
        <f ca="1">IF(Table_NFI[[#This Row],[Pcode]]="","",OFFSET(CampList[Priority],MATCH(Table_NFI[[#This Row],[Pcode]],CampList[CP_Pcode],0)-1,0,1,1))</f>
        <v>P2</v>
      </c>
      <c r="AS188" s="377">
        <f>IFERROR(Table_NFI[[#This Row],[Kitchen Set]]/VLOOKUP(Table_NFI[[#This Row],[Camp Name]],CL,4,0),"")</f>
        <v>0</v>
      </c>
      <c r="AT188" s="572" t="s">
        <v>1095</v>
      </c>
      <c r="AU188" s="575"/>
    </row>
    <row r="189" spans="1:47" s="130" customFormat="1" x14ac:dyDescent="0.25">
      <c r="A189" s="381">
        <f t="shared" si="2"/>
        <v>54.4</v>
      </c>
      <c r="B189" s="571">
        <v>40890</v>
      </c>
      <c r="C189" s="572" t="s">
        <v>454</v>
      </c>
      <c r="D189" s="573" t="s">
        <v>574</v>
      </c>
      <c r="E189" s="572" t="s">
        <v>380</v>
      </c>
      <c r="F189" s="374" t="s">
        <v>185</v>
      </c>
      <c r="G189" s="374" t="s">
        <v>194</v>
      </c>
      <c r="H189" s="375"/>
      <c r="I189" s="375"/>
      <c r="J189" s="375"/>
      <c r="K189" s="375">
        <v>250</v>
      </c>
      <c r="L189" s="376">
        <v>125</v>
      </c>
      <c r="M189" s="376">
        <v>250</v>
      </c>
      <c r="N189" s="376">
        <v>125</v>
      </c>
      <c r="O189" s="376">
        <v>125</v>
      </c>
      <c r="P189" s="378">
        <v>125</v>
      </c>
      <c r="Q189" s="378">
        <v>125</v>
      </c>
      <c r="R189" s="378"/>
      <c r="S189" s="378"/>
      <c r="T189" s="378"/>
      <c r="U189" s="378"/>
      <c r="V189" s="533"/>
      <c r="W189" s="378"/>
      <c r="X189" s="378"/>
      <c r="Y189" s="378">
        <f>IF(NFI_Expiration=1,IF($A189&lt;VLOOKUP(H$5,NFI,5,0),1,0)*Table_NFI[[#This Row],[Hygiene Kit]],Table_NFI[Hygiene Kit])</f>
        <v>0</v>
      </c>
      <c r="Z189" s="378">
        <f>IF(NFI_Expiration=1,IF($A189&lt;VLOOKUP(I$5,NFI,5,0),1,0)*Table_NFI[[#This Row],[NFI Core Kit]],Table_NFI[NFI Core Kit])</f>
        <v>0</v>
      </c>
      <c r="AA189" s="378">
        <f>IF(NFI_Expiration=1,IF($A189&lt;VLOOKUP(J$5,NFI,5,0),1,0)*Table_NFI[[#This Row],[Sanitary Kit]],Table_NFI[Sanitary Kit])</f>
        <v>0</v>
      </c>
      <c r="AB189" s="378">
        <f>IF(NFI_Expiration=1,IF($A189&lt;VLOOKUP(K$5,NFI,5,0),1,0)*Table_NFI[[#This Row],[Mosquito net]],Table_NFI[Mosquito net])</f>
        <v>0</v>
      </c>
      <c r="AC189" s="378">
        <f>IF(NFI_Expiration=1,IF($A189&lt;VLOOKUP(L$5,NFI,5,0),1,0)*Table_NFI[[#This Row],[Tarpaulin]],Table_NFI[[#This Row],[Tarpaulin]])</f>
        <v>0</v>
      </c>
      <c r="AD189" s="378">
        <f>IF(NFI_Expiration=1,IF($A189&lt;VLOOKUP(M$5,NFI,5,0),1,0)*Table_NFI[[#This Row],[Blanket]],Table_NFI[[#This Row],[Blanket]])</f>
        <v>0</v>
      </c>
      <c r="AE189" s="378">
        <f>IF(NFI_Expiration=1,IF($A189&lt;VLOOKUP(N$5,NFI,5,0),1,0)*Table_NFI[[#This Row],[Kitchen Set]],Table_NFI[Kitchen Set])</f>
        <v>0</v>
      </c>
      <c r="AF189" s="378">
        <f>IF(NFI_Expiration=1,IF($A189&lt;VLOOKUP(O$5,NFI,5,0),1,0)*Table_NFI[[#This Row],[Clothes Kit]],Table_NFI[Clothes Kit])</f>
        <v>0</v>
      </c>
      <c r="AG189" s="378">
        <f>IF(NFI_Expiration=1,IF($A189&lt;VLOOKUP(P$5,NFI,5,0),1,0)*Table_NFI[[#This Row],[Plastic Bucket]],Table_NFI[Plastic Bucket])</f>
        <v>0</v>
      </c>
      <c r="AH189" s="378">
        <f>IF(NFI_Expiration=1,IF($A189&lt;VLOOKUP(Q$5,NFI,5,0),1,0)*Table_NFI[[#This Row],[Plastic Mat]],Table_NFI[Plastic Mat])*IF(Table_NFI[[#This Row],[Distribution Date]]&gt;"2014-04-01",1,2.5)</f>
        <v>0</v>
      </c>
      <c r="AI189" s="378">
        <f>IF(NFI_Expiration=1,IF($A189&lt;VLOOKUP(R$5,NFI,5,0),1,0)*Table_NFI[[#This Row],[Winter Clothes Adult]],Table_NFI[Winter Clothes Adult])</f>
        <v>0</v>
      </c>
      <c r="AJ189" s="378">
        <f>IF(NFI_Expiration=1,IF($A189&lt;VLOOKUP(S$5,NFI,5,0),1,0)*Table_NFI[[#This Row],[Winter Clothes Children]],Table_NFI[Winter Clothes Children])</f>
        <v>0</v>
      </c>
      <c r="AK189" s="378">
        <f>IF(NFI_Expiration=1,IF($A189&lt;VLOOKUP(T$5,NFI,5,0),1,0)*Table_NFI[[#This Row],[Winter Items Other]],Table_NFI[Winter Items Other])</f>
        <v>0</v>
      </c>
      <c r="AL189" s="378">
        <f>IF(NFI_Expiration=1,IF($A189&lt;VLOOKUP(M$5,NFI,5,0),1,0)*Table_NFI[[#This Row],[Winter Blanket]],Table_NFI[[#This Row],[Winter Blanket]])</f>
        <v>0</v>
      </c>
      <c r="AM189" s="378">
        <f>IF(Table_NFI[[#This Row],[Winter Clothes Adult]]+Table_NFI[[#This Row],[Winter Clothes Children]]+Table_NFI[[#This Row],[Winter Items Other]]+Table_NFI[[#This Row],[Winter Blanket]]&gt;0,1,0)</f>
        <v>0</v>
      </c>
      <c r="AN189" s="418">
        <f>IF(NFI_Expiration=1,IF($A189&lt;VLOOKUP(V$5,NFI,5,0),1,0)*Table_NFI[[#This Row],[Jerry Can]],Table_NFI[Jerry Can])</f>
        <v>0</v>
      </c>
      <c r="AO189" s="579" t="str">
        <f>IFERROR(VLOOKUP(Table_NFI[[#This Row],[Camp Name]],CL,2,0),"")</f>
        <v>MMR001CMP122</v>
      </c>
      <c r="AP189" s="574">
        <f ca="1">IF(Table_NFI[[#This Row],[Pcode]]="","",IF(OFFSET(CampList[Opening Date],MATCH(Table_NFI[[#This Row],[Pcode]],CampList[CP_Pcode],0)-1,0,1,1)&gt;=NFI_Monitor_Date,1,0))</f>
        <v>0</v>
      </c>
      <c r="AQ189" s="579" t="str">
        <f>IFERROR(VLOOKUP(Table_NFI[[#This Row],[Camp Name]],CL,3,0),"")</f>
        <v>Open</v>
      </c>
      <c r="AR189" s="378" t="str">
        <f ca="1">IF(Table_NFI[[#This Row],[Pcode]]="","",OFFSET(CampList[Priority],MATCH(Table_NFI[[#This Row],[Pcode]],CampList[CP_Pcode],0)-1,0,1,1))</f>
        <v>P2</v>
      </c>
      <c r="AS189" s="377">
        <f>IFERROR(Table_NFI[[#This Row],[Kitchen Set]]/VLOOKUP(Table_NFI[[#This Row],[Camp Name]],CL,4,0),"")</f>
        <v>0.21331058020477817</v>
      </c>
      <c r="AT189" s="572" t="s">
        <v>1095</v>
      </c>
      <c r="AU189" s="575"/>
    </row>
    <row r="190" spans="1:47" s="130" customFormat="1" x14ac:dyDescent="0.25">
      <c r="A190" s="381">
        <f t="shared" si="2"/>
        <v>26.166666666666668</v>
      </c>
      <c r="B190" s="571">
        <v>41737</v>
      </c>
      <c r="C190" s="572" t="s">
        <v>1107</v>
      </c>
      <c r="D190" s="572" t="s">
        <v>903</v>
      </c>
      <c r="E190" s="572" t="s">
        <v>380</v>
      </c>
      <c r="F190" s="572" t="s">
        <v>5</v>
      </c>
      <c r="G190" s="572" t="s">
        <v>14</v>
      </c>
      <c r="H190" s="375"/>
      <c r="I190" s="375"/>
      <c r="J190" s="375"/>
      <c r="K190" s="375"/>
      <c r="L190" s="376"/>
      <c r="M190" s="376"/>
      <c r="N190" s="376"/>
      <c r="O190" s="376"/>
      <c r="P190" s="378"/>
      <c r="Q190" s="378"/>
      <c r="R190" s="378"/>
      <c r="S190" s="378"/>
      <c r="T190" s="378"/>
      <c r="U190" s="378">
        <v>90</v>
      </c>
      <c r="V190" s="533"/>
      <c r="W190" s="378"/>
      <c r="X190" s="378"/>
      <c r="Y190" s="378">
        <f>IF(NFI_Expiration=1,IF($A190&lt;VLOOKUP(H$5,NFI,5,0),1,0)*Table_NFI[[#This Row],[Hygiene Kit]],Table_NFI[Hygiene Kit])</f>
        <v>0</v>
      </c>
      <c r="Z190" s="378">
        <f>IF(NFI_Expiration=1,IF($A190&lt;VLOOKUP(I$5,NFI,5,0),1,0)*Table_NFI[[#This Row],[NFI Core Kit]],Table_NFI[NFI Core Kit])</f>
        <v>0</v>
      </c>
      <c r="AA190" s="378">
        <f>IF(NFI_Expiration=1,IF($A190&lt;VLOOKUP(J$5,NFI,5,0),1,0)*Table_NFI[[#This Row],[Sanitary Kit]],Table_NFI[Sanitary Kit])</f>
        <v>0</v>
      </c>
      <c r="AB190" s="378">
        <f>IF(NFI_Expiration=1,IF($A190&lt;VLOOKUP(K$5,NFI,5,0),1,0)*Table_NFI[[#This Row],[Mosquito net]],Table_NFI[Mosquito net])</f>
        <v>0</v>
      </c>
      <c r="AC190" s="378">
        <f>IF(NFI_Expiration=1,IF($A190&lt;VLOOKUP(L$5,NFI,5,0),1,0)*Table_NFI[[#This Row],[Tarpaulin]],Table_NFI[[#This Row],[Tarpaulin]])</f>
        <v>0</v>
      </c>
      <c r="AD190" s="378">
        <f>IF(NFI_Expiration=1,IF($A190&lt;VLOOKUP(M$5,NFI,5,0),1,0)*Table_NFI[[#This Row],[Blanket]],Table_NFI[[#This Row],[Blanket]])</f>
        <v>0</v>
      </c>
      <c r="AE190" s="378">
        <f>IF(NFI_Expiration=1,IF($A190&lt;VLOOKUP(N$5,NFI,5,0),1,0)*Table_NFI[[#This Row],[Kitchen Set]],Table_NFI[Kitchen Set])</f>
        <v>0</v>
      </c>
      <c r="AF190" s="378">
        <f>IF(NFI_Expiration=1,IF($A190&lt;VLOOKUP(O$5,NFI,5,0),1,0)*Table_NFI[[#This Row],[Clothes Kit]],Table_NFI[Clothes Kit])</f>
        <v>0</v>
      </c>
      <c r="AG190" s="378">
        <f>IF(NFI_Expiration=1,IF($A190&lt;VLOOKUP(P$5,NFI,5,0),1,0)*Table_NFI[[#This Row],[Plastic Bucket]],Table_NFI[Plastic Bucket])</f>
        <v>0</v>
      </c>
      <c r="AH190" s="378">
        <f>IF(NFI_Expiration=1,IF($A190&lt;VLOOKUP(Q$5,NFI,5,0),1,0)*Table_NFI[[#This Row],[Plastic Mat]],Table_NFI[Plastic Mat])*IF(Table_NFI[[#This Row],[Distribution Date]]&gt;"2014-04-01",1,2.5)</f>
        <v>0</v>
      </c>
      <c r="AI190" s="378">
        <f>IF(NFI_Expiration=1,IF($A190&lt;VLOOKUP(R$5,NFI,5,0),1,0)*Table_NFI[[#This Row],[Winter Clothes Adult]],Table_NFI[Winter Clothes Adult])</f>
        <v>0</v>
      </c>
      <c r="AJ190" s="378">
        <f>IF(NFI_Expiration=1,IF($A190&lt;VLOOKUP(S$5,NFI,5,0),1,0)*Table_NFI[[#This Row],[Winter Clothes Children]],Table_NFI[Winter Clothes Children])</f>
        <v>0</v>
      </c>
      <c r="AK190" s="378">
        <f>IF(NFI_Expiration=1,IF($A190&lt;VLOOKUP(T$5,NFI,5,0),1,0)*Table_NFI[[#This Row],[Winter Items Other]],Table_NFI[Winter Items Other])</f>
        <v>0</v>
      </c>
      <c r="AL190" s="378">
        <f>IF(NFI_Expiration=1,IF($A190&lt;VLOOKUP(M$5,NFI,5,0),1,0)*Table_NFI[[#This Row],[Winter Blanket]],Table_NFI[[#This Row],[Winter Blanket]])</f>
        <v>0</v>
      </c>
      <c r="AM190" s="378">
        <f>IF(Table_NFI[[#This Row],[Winter Clothes Adult]]+Table_NFI[[#This Row],[Winter Clothes Children]]+Table_NFI[[#This Row],[Winter Items Other]]+Table_NFI[[#This Row],[Winter Blanket]]&gt;0,1,0)</f>
        <v>1</v>
      </c>
      <c r="AN190" s="418">
        <f>IF(NFI_Expiration=1,IF($A190&lt;VLOOKUP(V$5,NFI,5,0),1,0)*Table_NFI[[#This Row],[Jerry Can]],Table_NFI[Jerry Can])</f>
        <v>0</v>
      </c>
      <c r="AO190" s="579" t="str">
        <f>IFERROR(VLOOKUP(Table_NFI[[#This Row],[Camp Name]],CL,2,0),"")</f>
        <v>MMR001CMP052</v>
      </c>
      <c r="AP190" s="574">
        <f ca="1">IF(Table_NFI[[#This Row],[Pcode]]="","",IF(OFFSET(CampList[Opening Date],MATCH(Table_NFI[[#This Row],[Pcode]],CampList[CP_Pcode],0)-1,0,1,1)&gt;=NFI_Monitor_Date,1,0))</f>
        <v>0</v>
      </c>
      <c r="AQ190" s="579" t="str">
        <f>IFERROR(VLOOKUP(Table_NFI[[#This Row],[Camp Name]],CL,3,0),"")</f>
        <v>Open</v>
      </c>
      <c r="AR190" s="378" t="str">
        <f ca="1">IF(Table_NFI[[#This Row],[Pcode]]="","",OFFSET(CampList[Priority],MATCH(Table_NFI[[#This Row],[Pcode]],CampList[CP_Pcode],0)-1,0,1,1))</f>
        <v>P4</v>
      </c>
      <c r="AS190" s="377">
        <f>IFERROR(Table_NFI[[#This Row],[Kitchen Set]]/VLOOKUP(Table_NFI[[#This Row],[Camp Name]],CL,4,0),"")</f>
        <v>0</v>
      </c>
      <c r="AT190" s="572"/>
      <c r="AU190" s="575"/>
    </row>
    <row r="191" spans="1:47" s="130" customFormat="1" x14ac:dyDescent="0.25">
      <c r="A191" s="381">
        <f t="shared" si="2"/>
        <v>30.466666666666665</v>
      </c>
      <c r="B191" s="571">
        <v>41608</v>
      </c>
      <c r="C191" s="572" t="s">
        <v>1100</v>
      </c>
      <c r="D191" s="573" t="s">
        <v>947</v>
      </c>
      <c r="E191" s="572" t="s">
        <v>380</v>
      </c>
      <c r="F191" s="374" t="s">
        <v>5</v>
      </c>
      <c r="G191" s="374" t="s">
        <v>14</v>
      </c>
      <c r="H191" s="375"/>
      <c r="I191" s="375"/>
      <c r="J191" s="375"/>
      <c r="K191" s="375"/>
      <c r="L191" s="376"/>
      <c r="M191" s="376">
        <v>105</v>
      </c>
      <c r="N191" s="376"/>
      <c r="O191" s="376"/>
      <c r="P191" s="378"/>
      <c r="Q191" s="378"/>
      <c r="R191" s="378">
        <v>154</v>
      </c>
      <c r="S191" s="378">
        <v>26</v>
      </c>
      <c r="T191" s="378">
        <v>0</v>
      </c>
      <c r="U191" s="378"/>
      <c r="V191" s="533"/>
      <c r="W191" s="378"/>
      <c r="X191" s="378"/>
      <c r="Y191" s="378">
        <f>IF(NFI_Expiration=1,IF($A191&lt;VLOOKUP(H$5,NFI,5,0),1,0)*Table_NFI[[#This Row],[Hygiene Kit]],Table_NFI[Hygiene Kit])</f>
        <v>0</v>
      </c>
      <c r="Z191" s="378">
        <f>IF(NFI_Expiration=1,IF($A191&lt;VLOOKUP(I$5,NFI,5,0),1,0)*Table_NFI[[#This Row],[NFI Core Kit]],Table_NFI[NFI Core Kit])</f>
        <v>0</v>
      </c>
      <c r="AA191" s="378">
        <f>IF(NFI_Expiration=1,IF($A191&lt;VLOOKUP(J$5,NFI,5,0),1,0)*Table_NFI[[#This Row],[Sanitary Kit]],Table_NFI[Sanitary Kit])</f>
        <v>0</v>
      </c>
      <c r="AB191" s="378">
        <f>IF(NFI_Expiration=1,IF($A191&lt;VLOOKUP(K$5,NFI,5,0),1,0)*Table_NFI[[#This Row],[Mosquito net]],Table_NFI[Mosquito net])</f>
        <v>0</v>
      </c>
      <c r="AC191" s="378">
        <f>IF(NFI_Expiration=1,IF($A191&lt;VLOOKUP(L$5,NFI,5,0),1,0)*Table_NFI[[#This Row],[Tarpaulin]],Table_NFI[[#This Row],[Tarpaulin]])</f>
        <v>0</v>
      </c>
      <c r="AD191" s="378">
        <f>IF(NFI_Expiration=1,IF($A191&lt;VLOOKUP(M$5,NFI,5,0),1,0)*Table_NFI[[#This Row],[Blanket]],Table_NFI[[#This Row],[Blanket]])</f>
        <v>0</v>
      </c>
      <c r="AE191" s="378">
        <f>IF(NFI_Expiration=1,IF($A191&lt;VLOOKUP(N$5,NFI,5,0),1,0)*Table_NFI[[#This Row],[Kitchen Set]],Table_NFI[Kitchen Set])</f>
        <v>0</v>
      </c>
      <c r="AF191" s="378">
        <f>IF(NFI_Expiration=1,IF($A191&lt;VLOOKUP(O$5,NFI,5,0),1,0)*Table_NFI[[#This Row],[Clothes Kit]],Table_NFI[Clothes Kit])</f>
        <v>0</v>
      </c>
      <c r="AG191" s="378">
        <f>IF(NFI_Expiration=1,IF($A191&lt;VLOOKUP(P$5,NFI,5,0),1,0)*Table_NFI[[#This Row],[Plastic Bucket]],Table_NFI[Plastic Bucket])</f>
        <v>0</v>
      </c>
      <c r="AH191" s="378">
        <f>IF(NFI_Expiration=1,IF($A191&lt;VLOOKUP(Q$5,NFI,5,0),1,0)*Table_NFI[[#This Row],[Plastic Mat]],Table_NFI[Plastic Mat])*IF(Table_NFI[[#This Row],[Distribution Date]]&gt;"2014-04-01",1,2.5)</f>
        <v>0</v>
      </c>
      <c r="AI191" s="378">
        <f>IF(NFI_Expiration=1,IF($A191&lt;VLOOKUP(R$5,NFI,5,0),1,0)*Table_NFI[[#This Row],[Winter Clothes Adult]],Table_NFI[Winter Clothes Adult])</f>
        <v>0</v>
      </c>
      <c r="AJ191" s="378">
        <f>IF(NFI_Expiration=1,IF($A191&lt;VLOOKUP(S$5,NFI,5,0),1,0)*Table_NFI[[#This Row],[Winter Clothes Children]],Table_NFI[Winter Clothes Children])</f>
        <v>0</v>
      </c>
      <c r="AK191" s="378">
        <f>IF(NFI_Expiration=1,IF($A191&lt;VLOOKUP(T$5,NFI,5,0),1,0)*Table_NFI[[#This Row],[Winter Items Other]],Table_NFI[Winter Items Other])</f>
        <v>0</v>
      </c>
      <c r="AL191" s="378">
        <f>IF(NFI_Expiration=1,IF($A191&lt;VLOOKUP(M$5,NFI,5,0),1,0)*Table_NFI[[#This Row],[Winter Blanket]],Table_NFI[[#This Row],[Winter Blanket]])</f>
        <v>0</v>
      </c>
      <c r="AM191" s="378">
        <f>IF(Table_NFI[[#This Row],[Winter Clothes Adult]]+Table_NFI[[#This Row],[Winter Clothes Children]]+Table_NFI[[#This Row],[Winter Items Other]]+Table_NFI[[#This Row],[Winter Blanket]]&gt;0,1,0)</f>
        <v>1</v>
      </c>
      <c r="AN191" s="418">
        <f>IF(NFI_Expiration=1,IF($A191&lt;VLOOKUP(V$5,NFI,5,0),1,0)*Table_NFI[[#This Row],[Jerry Can]],Table_NFI[Jerry Can])</f>
        <v>0</v>
      </c>
      <c r="AO191" s="579" t="str">
        <f>IFERROR(VLOOKUP(Table_NFI[[#This Row],[Camp Name]],CL,2,0),"")</f>
        <v>MMR001CMP052</v>
      </c>
      <c r="AP191" s="574">
        <f ca="1">IF(Table_NFI[[#This Row],[Pcode]]="","",IF(OFFSET(CampList[Opening Date],MATCH(Table_NFI[[#This Row],[Pcode]],CampList[CP_Pcode],0)-1,0,1,1)&gt;=NFI_Monitor_Date,1,0))</f>
        <v>0</v>
      </c>
      <c r="AQ191" s="579" t="str">
        <f>IFERROR(VLOOKUP(Table_NFI[[#This Row],[Camp Name]],CL,3,0),"")</f>
        <v>Open</v>
      </c>
      <c r="AR191" s="378" t="str">
        <f ca="1">IF(Table_NFI[[#This Row],[Pcode]]="","",OFFSET(CampList[Priority],MATCH(Table_NFI[[#This Row],[Pcode]],CampList[CP_Pcode],0)-1,0,1,1))</f>
        <v>P4</v>
      </c>
      <c r="AS191" s="377">
        <f>IFERROR(Table_NFI[[#This Row],[Kitchen Set]]/VLOOKUP(Table_NFI[[#This Row],[Camp Name]],CL,4,0),"")</f>
        <v>0</v>
      </c>
      <c r="AT191" s="572" t="s">
        <v>1095</v>
      </c>
      <c r="AU191" s="575"/>
    </row>
    <row r="192" spans="1:47" s="130" customFormat="1" x14ac:dyDescent="0.25">
      <c r="A192" s="381">
        <f t="shared" si="2"/>
        <v>30.466666666666665</v>
      </c>
      <c r="B192" s="571">
        <v>41608</v>
      </c>
      <c r="C192" s="572" t="s">
        <v>908</v>
      </c>
      <c r="D192" s="572"/>
      <c r="E192" s="572" t="s">
        <v>380</v>
      </c>
      <c r="F192" s="374" t="s">
        <v>5</v>
      </c>
      <c r="G192" s="374" t="s">
        <v>14</v>
      </c>
      <c r="H192" s="375"/>
      <c r="I192" s="375"/>
      <c r="J192" s="375"/>
      <c r="K192" s="375"/>
      <c r="L192" s="376"/>
      <c r="M192" s="376"/>
      <c r="N192" s="376"/>
      <c r="O192" s="376"/>
      <c r="P192" s="378"/>
      <c r="Q192" s="378">
        <v>138</v>
      </c>
      <c r="R192" s="378"/>
      <c r="S192" s="378"/>
      <c r="T192" s="378"/>
      <c r="U192" s="378"/>
      <c r="V192" s="533"/>
      <c r="W192" s="378"/>
      <c r="X192" s="378"/>
      <c r="Y192" s="378">
        <f>IF(NFI_Expiration=1,IF($A192&lt;VLOOKUP(H$5,NFI,5,0),1,0)*Table_NFI[[#This Row],[Hygiene Kit]],Table_NFI[Hygiene Kit])</f>
        <v>0</v>
      </c>
      <c r="Z192" s="378">
        <f>IF(NFI_Expiration=1,IF($A192&lt;VLOOKUP(I$5,NFI,5,0),1,0)*Table_NFI[[#This Row],[NFI Core Kit]],Table_NFI[NFI Core Kit])</f>
        <v>0</v>
      </c>
      <c r="AA192" s="378">
        <f>IF(NFI_Expiration=1,IF($A192&lt;VLOOKUP(J$5,NFI,5,0),1,0)*Table_NFI[[#This Row],[Sanitary Kit]],Table_NFI[Sanitary Kit])</f>
        <v>0</v>
      </c>
      <c r="AB192" s="378">
        <f>IF(NFI_Expiration=1,IF($A192&lt;VLOOKUP(K$5,NFI,5,0),1,0)*Table_NFI[[#This Row],[Mosquito net]],Table_NFI[Mosquito net])</f>
        <v>0</v>
      </c>
      <c r="AC192" s="378">
        <f>IF(NFI_Expiration=1,IF($A192&lt;VLOOKUP(L$5,NFI,5,0),1,0)*Table_NFI[[#This Row],[Tarpaulin]],Table_NFI[[#This Row],[Tarpaulin]])</f>
        <v>0</v>
      </c>
      <c r="AD192" s="378">
        <f>IF(NFI_Expiration=1,IF($A192&lt;VLOOKUP(M$5,NFI,5,0),1,0)*Table_NFI[[#This Row],[Blanket]],Table_NFI[[#This Row],[Blanket]])</f>
        <v>0</v>
      </c>
      <c r="AE192" s="378">
        <f>IF(NFI_Expiration=1,IF($A192&lt;VLOOKUP(N$5,NFI,5,0),1,0)*Table_NFI[[#This Row],[Kitchen Set]],Table_NFI[Kitchen Set])</f>
        <v>0</v>
      </c>
      <c r="AF192" s="378">
        <f>IF(NFI_Expiration=1,IF($A192&lt;VLOOKUP(O$5,NFI,5,0),1,0)*Table_NFI[[#This Row],[Clothes Kit]],Table_NFI[Clothes Kit])</f>
        <v>0</v>
      </c>
      <c r="AG192" s="378">
        <f>IF(NFI_Expiration=1,IF($A192&lt;VLOOKUP(P$5,NFI,5,0),1,0)*Table_NFI[[#This Row],[Plastic Bucket]],Table_NFI[Plastic Bucket])</f>
        <v>0</v>
      </c>
      <c r="AH192" s="378">
        <f>IF(NFI_Expiration=1,IF($A192&lt;VLOOKUP(Q$5,NFI,5,0),1,0)*Table_NFI[[#This Row],[Plastic Mat]],Table_NFI[Plastic Mat])*IF(Table_NFI[[#This Row],[Distribution Date]]&gt;"2014-04-01",1,2.5)</f>
        <v>0</v>
      </c>
      <c r="AI192" s="378">
        <f>IF(NFI_Expiration=1,IF($A192&lt;VLOOKUP(R$5,NFI,5,0),1,0)*Table_NFI[[#This Row],[Winter Clothes Adult]],Table_NFI[Winter Clothes Adult])</f>
        <v>0</v>
      </c>
      <c r="AJ192" s="378">
        <f>IF(NFI_Expiration=1,IF($A192&lt;VLOOKUP(S$5,NFI,5,0),1,0)*Table_NFI[[#This Row],[Winter Clothes Children]],Table_NFI[Winter Clothes Children])</f>
        <v>0</v>
      </c>
      <c r="AK192" s="378">
        <f>IF(NFI_Expiration=1,IF($A192&lt;VLOOKUP(T$5,NFI,5,0),1,0)*Table_NFI[[#This Row],[Winter Items Other]],Table_NFI[Winter Items Other])</f>
        <v>0</v>
      </c>
      <c r="AL192" s="378">
        <f>IF(NFI_Expiration=1,IF($A192&lt;VLOOKUP(M$5,NFI,5,0),1,0)*Table_NFI[[#This Row],[Winter Blanket]],Table_NFI[[#This Row],[Winter Blanket]])</f>
        <v>0</v>
      </c>
      <c r="AM192" s="378">
        <f>IF(Table_NFI[[#This Row],[Winter Clothes Adult]]+Table_NFI[[#This Row],[Winter Clothes Children]]+Table_NFI[[#This Row],[Winter Items Other]]+Table_NFI[[#This Row],[Winter Blanket]]&gt;0,1,0)</f>
        <v>0</v>
      </c>
      <c r="AN192" s="418">
        <f>IF(NFI_Expiration=1,IF($A192&lt;VLOOKUP(V$5,NFI,5,0),1,0)*Table_NFI[[#This Row],[Jerry Can]],Table_NFI[Jerry Can])</f>
        <v>0</v>
      </c>
      <c r="AO192" s="579" t="str">
        <f>IFERROR(VLOOKUP(Table_NFI[[#This Row],[Camp Name]],CL,2,0),"")</f>
        <v>MMR001CMP052</v>
      </c>
      <c r="AP192" s="574">
        <f ca="1">IF(Table_NFI[[#This Row],[Pcode]]="","",IF(OFFSET(CampList[Opening Date],MATCH(Table_NFI[[#This Row],[Pcode]],CampList[CP_Pcode],0)-1,0,1,1)&gt;=NFI_Monitor_Date,1,0))</f>
        <v>0</v>
      </c>
      <c r="AQ192" s="579" t="str">
        <f>IFERROR(VLOOKUP(Table_NFI[[#This Row],[Camp Name]],CL,3,0),"")</f>
        <v>Open</v>
      </c>
      <c r="AR192" s="378" t="str">
        <f ca="1">IF(Table_NFI[[#This Row],[Pcode]]="","",OFFSET(CampList[Priority],MATCH(Table_NFI[[#This Row],[Pcode]],CampList[CP_Pcode],0)-1,0,1,1))</f>
        <v>P4</v>
      </c>
      <c r="AS192" s="377">
        <f>IFERROR(Table_NFI[[#This Row],[Kitchen Set]]/VLOOKUP(Table_NFI[[#This Row],[Camp Name]],CL,4,0),"")</f>
        <v>0</v>
      </c>
      <c r="AT192" s="572" t="s">
        <v>1095</v>
      </c>
      <c r="AU192" s="575"/>
    </row>
    <row r="193" spans="1:47" s="130" customFormat="1" x14ac:dyDescent="0.25">
      <c r="A193" s="381">
        <f t="shared" si="2"/>
        <v>31.366666666666667</v>
      </c>
      <c r="B193" s="571">
        <v>41581</v>
      </c>
      <c r="C193" s="572" t="s">
        <v>903</v>
      </c>
      <c r="D193" s="573" t="s">
        <v>903</v>
      </c>
      <c r="E193" s="572" t="s">
        <v>380</v>
      </c>
      <c r="F193" s="374" t="s">
        <v>5</v>
      </c>
      <c r="G193" s="374" t="s">
        <v>14</v>
      </c>
      <c r="H193" s="375"/>
      <c r="I193" s="375"/>
      <c r="J193" s="375">
        <v>41</v>
      </c>
      <c r="K193" s="375"/>
      <c r="L193" s="376"/>
      <c r="M193" s="376"/>
      <c r="N193" s="376">
        <v>41</v>
      </c>
      <c r="O193" s="376"/>
      <c r="P193" s="378"/>
      <c r="Q193" s="378"/>
      <c r="R193" s="378"/>
      <c r="S193" s="378"/>
      <c r="T193" s="378"/>
      <c r="U193" s="378"/>
      <c r="V193" s="533"/>
      <c r="W193" s="378"/>
      <c r="X193" s="378"/>
      <c r="Y193" s="378">
        <f>IF(NFI_Expiration=1,IF($A193&lt;VLOOKUP(H$5,NFI,5,0),1,0)*Table_NFI[[#This Row],[Hygiene Kit]],Table_NFI[Hygiene Kit])</f>
        <v>0</v>
      </c>
      <c r="Z193" s="378">
        <f>IF(NFI_Expiration=1,IF($A193&lt;VLOOKUP(I$5,NFI,5,0),1,0)*Table_NFI[[#This Row],[NFI Core Kit]],Table_NFI[NFI Core Kit])</f>
        <v>0</v>
      </c>
      <c r="AA193" s="378">
        <f>IF(NFI_Expiration=1,IF($A193&lt;VLOOKUP(J$5,NFI,5,0),1,0)*Table_NFI[[#This Row],[Sanitary Kit]],Table_NFI[Sanitary Kit])</f>
        <v>0</v>
      </c>
      <c r="AB193" s="378">
        <f>IF(NFI_Expiration=1,IF($A193&lt;VLOOKUP(K$5,NFI,5,0),1,0)*Table_NFI[[#This Row],[Mosquito net]],Table_NFI[Mosquito net])</f>
        <v>0</v>
      </c>
      <c r="AC193" s="378">
        <f>IF(NFI_Expiration=1,IF($A193&lt;VLOOKUP(L$5,NFI,5,0),1,0)*Table_NFI[[#This Row],[Tarpaulin]],Table_NFI[[#This Row],[Tarpaulin]])</f>
        <v>0</v>
      </c>
      <c r="AD193" s="378">
        <f>IF(NFI_Expiration=1,IF($A193&lt;VLOOKUP(M$5,NFI,5,0),1,0)*Table_NFI[[#This Row],[Blanket]],Table_NFI[[#This Row],[Blanket]])</f>
        <v>0</v>
      </c>
      <c r="AE193" s="378">
        <f>IF(NFI_Expiration=1,IF($A193&lt;VLOOKUP(N$5,NFI,5,0),1,0)*Table_NFI[[#This Row],[Kitchen Set]],Table_NFI[Kitchen Set])</f>
        <v>0</v>
      </c>
      <c r="AF193" s="378">
        <f>IF(NFI_Expiration=1,IF($A193&lt;VLOOKUP(O$5,NFI,5,0),1,0)*Table_NFI[[#This Row],[Clothes Kit]],Table_NFI[Clothes Kit])</f>
        <v>0</v>
      </c>
      <c r="AG193" s="378">
        <f>IF(NFI_Expiration=1,IF($A193&lt;VLOOKUP(P$5,NFI,5,0),1,0)*Table_NFI[[#This Row],[Plastic Bucket]],Table_NFI[Plastic Bucket])</f>
        <v>0</v>
      </c>
      <c r="AH193" s="378">
        <f>IF(NFI_Expiration=1,IF($A193&lt;VLOOKUP(Q$5,NFI,5,0),1,0)*Table_NFI[[#This Row],[Plastic Mat]],Table_NFI[Plastic Mat])*IF(Table_NFI[[#This Row],[Distribution Date]]&gt;"2014-04-01",1,2.5)</f>
        <v>0</v>
      </c>
      <c r="AI193" s="378">
        <f>IF(NFI_Expiration=1,IF($A193&lt;VLOOKUP(R$5,NFI,5,0),1,0)*Table_NFI[[#This Row],[Winter Clothes Adult]],Table_NFI[Winter Clothes Adult])</f>
        <v>0</v>
      </c>
      <c r="AJ193" s="378">
        <f>IF(NFI_Expiration=1,IF($A193&lt;VLOOKUP(S$5,NFI,5,0),1,0)*Table_NFI[[#This Row],[Winter Clothes Children]],Table_NFI[Winter Clothes Children])</f>
        <v>0</v>
      </c>
      <c r="AK193" s="378">
        <f>IF(NFI_Expiration=1,IF($A193&lt;VLOOKUP(T$5,NFI,5,0),1,0)*Table_NFI[[#This Row],[Winter Items Other]],Table_NFI[Winter Items Other])</f>
        <v>0</v>
      </c>
      <c r="AL193" s="378">
        <f>IF(NFI_Expiration=1,IF($A193&lt;VLOOKUP(M$5,NFI,5,0),1,0)*Table_NFI[[#This Row],[Winter Blanket]],Table_NFI[[#This Row],[Winter Blanket]])</f>
        <v>0</v>
      </c>
      <c r="AM193" s="378">
        <f>IF(Table_NFI[[#This Row],[Winter Clothes Adult]]+Table_NFI[[#This Row],[Winter Clothes Children]]+Table_NFI[[#This Row],[Winter Items Other]]+Table_NFI[[#This Row],[Winter Blanket]]&gt;0,1,0)</f>
        <v>0</v>
      </c>
      <c r="AN193" s="418">
        <f>IF(NFI_Expiration=1,IF($A193&lt;VLOOKUP(V$5,NFI,5,0),1,0)*Table_NFI[[#This Row],[Jerry Can]],Table_NFI[Jerry Can])</f>
        <v>0</v>
      </c>
      <c r="AO193" s="579" t="str">
        <f>IFERROR(VLOOKUP(Table_NFI[[#This Row],[Camp Name]],CL,2,0),"")</f>
        <v>MMR001CMP052</v>
      </c>
      <c r="AP193" s="574">
        <f ca="1">IF(Table_NFI[[#This Row],[Pcode]]="","",IF(OFFSET(CampList[Opening Date],MATCH(Table_NFI[[#This Row],[Pcode]],CampList[CP_Pcode],0)-1,0,1,1)&gt;=NFI_Monitor_Date,1,0))</f>
        <v>0</v>
      </c>
      <c r="AQ193" s="579" t="str">
        <f>IFERROR(VLOOKUP(Table_NFI[[#This Row],[Camp Name]],CL,3,0),"")</f>
        <v>Open</v>
      </c>
      <c r="AR193" s="378" t="str">
        <f ca="1">IF(Table_NFI[[#This Row],[Pcode]]="","",OFFSET(CampList[Priority],MATCH(Table_NFI[[#This Row],[Pcode]],CampList[CP_Pcode],0)-1,0,1,1))</f>
        <v>P4</v>
      </c>
      <c r="AS193" s="377">
        <f>IFERROR(Table_NFI[[#This Row],[Kitchen Set]]/VLOOKUP(Table_NFI[[#This Row],[Camp Name]],CL,4,0),"")</f>
        <v>1.0512820512820513</v>
      </c>
      <c r="AT193" s="572" t="s">
        <v>1095</v>
      </c>
      <c r="AU193" s="575"/>
    </row>
    <row r="194" spans="1:47" s="130" customFormat="1" x14ac:dyDescent="0.25">
      <c r="A194" s="381">
        <f t="shared" si="2"/>
        <v>31.433333333333334</v>
      </c>
      <c r="B194" s="571">
        <v>41579</v>
      </c>
      <c r="C194" s="572" t="s">
        <v>454</v>
      </c>
      <c r="D194" s="572" t="s">
        <v>454</v>
      </c>
      <c r="E194" s="572" t="s">
        <v>380</v>
      </c>
      <c r="F194" s="374" t="s">
        <v>5</v>
      </c>
      <c r="G194" s="374" t="s">
        <v>14</v>
      </c>
      <c r="H194" s="375"/>
      <c r="I194" s="375"/>
      <c r="J194" s="375">
        <v>12</v>
      </c>
      <c r="K194" s="375">
        <v>9</v>
      </c>
      <c r="L194" s="376">
        <v>6</v>
      </c>
      <c r="M194" s="376">
        <v>9</v>
      </c>
      <c r="N194" s="376">
        <v>6</v>
      </c>
      <c r="O194" s="376">
        <v>6</v>
      </c>
      <c r="P194" s="378">
        <v>6</v>
      </c>
      <c r="Q194" s="378"/>
      <c r="R194" s="378"/>
      <c r="S194" s="378"/>
      <c r="T194" s="378"/>
      <c r="U194" s="378"/>
      <c r="V194" s="533"/>
      <c r="W194" s="378"/>
      <c r="X194" s="378"/>
      <c r="Y194" s="378">
        <f>IF(NFI_Expiration=1,IF($A194&lt;VLOOKUP(H$5,NFI,5,0),1,0)*Table_NFI[[#This Row],[Hygiene Kit]],Table_NFI[Hygiene Kit])</f>
        <v>0</v>
      </c>
      <c r="Z194" s="378">
        <f>IF(NFI_Expiration=1,IF($A194&lt;VLOOKUP(I$5,NFI,5,0),1,0)*Table_NFI[[#This Row],[NFI Core Kit]],Table_NFI[NFI Core Kit])</f>
        <v>0</v>
      </c>
      <c r="AA194" s="378">
        <f>IF(NFI_Expiration=1,IF($A194&lt;VLOOKUP(J$5,NFI,5,0),1,0)*Table_NFI[[#This Row],[Sanitary Kit]],Table_NFI[Sanitary Kit])</f>
        <v>0</v>
      </c>
      <c r="AB194" s="378">
        <f>IF(NFI_Expiration=1,IF($A194&lt;VLOOKUP(K$5,NFI,5,0),1,0)*Table_NFI[[#This Row],[Mosquito net]],Table_NFI[Mosquito net])</f>
        <v>0</v>
      </c>
      <c r="AC194" s="378">
        <f>IF(NFI_Expiration=1,IF($A194&lt;VLOOKUP(L$5,NFI,5,0),1,0)*Table_NFI[[#This Row],[Tarpaulin]],Table_NFI[[#This Row],[Tarpaulin]])</f>
        <v>0</v>
      </c>
      <c r="AD194" s="378">
        <f>IF(NFI_Expiration=1,IF($A194&lt;VLOOKUP(M$5,NFI,5,0),1,0)*Table_NFI[[#This Row],[Blanket]],Table_NFI[[#This Row],[Blanket]])</f>
        <v>0</v>
      </c>
      <c r="AE194" s="378">
        <f>IF(NFI_Expiration=1,IF($A194&lt;VLOOKUP(N$5,NFI,5,0),1,0)*Table_NFI[[#This Row],[Kitchen Set]],Table_NFI[Kitchen Set])</f>
        <v>0</v>
      </c>
      <c r="AF194" s="378">
        <f>IF(NFI_Expiration=1,IF($A194&lt;VLOOKUP(O$5,NFI,5,0),1,0)*Table_NFI[[#This Row],[Clothes Kit]],Table_NFI[Clothes Kit])</f>
        <v>0</v>
      </c>
      <c r="AG194" s="378">
        <f>IF(NFI_Expiration=1,IF($A194&lt;VLOOKUP(P$5,NFI,5,0),1,0)*Table_NFI[[#This Row],[Plastic Bucket]],Table_NFI[Plastic Bucket])</f>
        <v>0</v>
      </c>
      <c r="AH194" s="378">
        <f>IF(NFI_Expiration=1,IF($A194&lt;VLOOKUP(Q$5,NFI,5,0),1,0)*Table_NFI[[#This Row],[Plastic Mat]],Table_NFI[Plastic Mat])*IF(Table_NFI[[#This Row],[Distribution Date]]&gt;"2014-04-01",1,2.5)</f>
        <v>0</v>
      </c>
      <c r="AI194" s="378">
        <f>IF(NFI_Expiration=1,IF($A194&lt;VLOOKUP(R$5,NFI,5,0),1,0)*Table_NFI[[#This Row],[Winter Clothes Adult]],Table_NFI[Winter Clothes Adult])</f>
        <v>0</v>
      </c>
      <c r="AJ194" s="378">
        <f>IF(NFI_Expiration=1,IF($A194&lt;VLOOKUP(S$5,NFI,5,0),1,0)*Table_NFI[[#This Row],[Winter Clothes Children]],Table_NFI[Winter Clothes Children])</f>
        <v>0</v>
      </c>
      <c r="AK194" s="378">
        <f>IF(NFI_Expiration=1,IF($A194&lt;VLOOKUP(T$5,NFI,5,0),1,0)*Table_NFI[[#This Row],[Winter Items Other]],Table_NFI[Winter Items Other])</f>
        <v>0</v>
      </c>
      <c r="AL194" s="378">
        <f>IF(NFI_Expiration=1,IF($A194&lt;VLOOKUP(M$5,NFI,5,0),1,0)*Table_NFI[[#This Row],[Winter Blanket]],Table_NFI[[#This Row],[Winter Blanket]])</f>
        <v>0</v>
      </c>
      <c r="AM194" s="378">
        <f>IF(Table_NFI[[#This Row],[Winter Clothes Adult]]+Table_NFI[[#This Row],[Winter Clothes Children]]+Table_NFI[[#This Row],[Winter Items Other]]+Table_NFI[[#This Row],[Winter Blanket]]&gt;0,1,0)</f>
        <v>0</v>
      </c>
      <c r="AN194" s="418">
        <f>IF(NFI_Expiration=1,IF($A194&lt;VLOOKUP(V$5,NFI,5,0),1,0)*Table_NFI[[#This Row],[Jerry Can]],Table_NFI[Jerry Can])</f>
        <v>0</v>
      </c>
      <c r="AO194" s="579" t="str">
        <f>IFERROR(VLOOKUP(Table_NFI[[#This Row],[Camp Name]],CL,2,0),"")</f>
        <v>MMR001CMP052</v>
      </c>
      <c r="AP194" s="574">
        <f ca="1">IF(Table_NFI[[#This Row],[Pcode]]="","",IF(OFFSET(CampList[Opening Date],MATCH(Table_NFI[[#This Row],[Pcode]],CampList[CP_Pcode],0)-1,0,1,1)&gt;=NFI_Monitor_Date,1,0))</f>
        <v>0</v>
      </c>
      <c r="AQ194" s="579" t="str">
        <f>IFERROR(VLOOKUP(Table_NFI[[#This Row],[Camp Name]],CL,3,0),"")</f>
        <v>Open</v>
      </c>
      <c r="AR194" s="378" t="str">
        <f ca="1">IF(Table_NFI[[#This Row],[Pcode]]="","",OFFSET(CampList[Priority],MATCH(Table_NFI[[#This Row],[Pcode]],CampList[CP_Pcode],0)-1,0,1,1))</f>
        <v>P4</v>
      </c>
      <c r="AS194" s="377">
        <f>IFERROR(Table_NFI[[#This Row],[Kitchen Set]]/VLOOKUP(Table_NFI[[#This Row],[Camp Name]],CL,4,0),"")</f>
        <v>0.15384615384615385</v>
      </c>
      <c r="AT194" s="572" t="s">
        <v>1095</v>
      </c>
      <c r="AU194" s="575"/>
    </row>
    <row r="195" spans="1:47" s="130" customFormat="1" x14ac:dyDescent="0.25">
      <c r="A195" s="381">
        <f t="shared" si="2"/>
        <v>31.5</v>
      </c>
      <c r="B195" s="571">
        <v>41577</v>
      </c>
      <c r="C195" s="572" t="s">
        <v>454</v>
      </c>
      <c r="D195" s="572" t="s">
        <v>454</v>
      </c>
      <c r="E195" s="572" t="s">
        <v>380</v>
      </c>
      <c r="F195" s="374" t="s">
        <v>5</v>
      </c>
      <c r="G195" s="374" t="s">
        <v>14</v>
      </c>
      <c r="H195" s="375"/>
      <c r="I195" s="375"/>
      <c r="J195" s="375">
        <v>72</v>
      </c>
      <c r="K195" s="375">
        <v>61</v>
      </c>
      <c r="L195" s="376">
        <v>36</v>
      </c>
      <c r="M195" s="376">
        <v>61</v>
      </c>
      <c r="N195" s="376">
        <v>36</v>
      </c>
      <c r="O195" s="376">
        <v>36</v>
      </c>
      <c r="P195" s="378">
        <v>36</v>
      </c>
      <c r="Q195" s="378">
        <v>36</v>
      </c>
      <c r="R195" s="378"/>
      <c r="S195" s="378"/>
      <c r="T195" s="378"/>
      <c r="U195" s="378"/>
      <c r="V195" s="533"/>
      <c r="W195" s="378"/>
      <c r="X195" s="378"/>
      <c r="Y195" s="378">
        <f>IF(NFI_Expiration=1,IF($A195&lt;VLOOKUP(H$5,NFI,5,0),1,0)*Table_NFI[[#This Row],[Hygiene Kit]],Table_NFI[Hygiene Kit])</f>
        <v>0</v>
      </c>
      <c r="Z195" s="378">
        <f>IF(NFI_Expiration=1,IF($A195&lt;VLOOKUP(I$5,NFI,5,0),1,0)*Table_NFI[[#This Row],[NFI Core Kit]],Table_NFI[NFI Core Kit])</f>
        <v>0</v>
      </c>
      <c r="AA195" s="378">
        <f>IF(NFI_Expiration=1,IF($A195&lt;VLOOKUP(J$5,NFI,5,0),1,0)*Table_NFI[[#This Row],[Sanitary Kit]],Table_NFI[Sanitary Kit])</f>
        <v>0</v>
      </c>
      <c r="AB195" s="378">
        <f>IF(NFI_Expiration=1,IF($A195&lt;VLOOKUP(K$5,NFI,5,0),1,0)*Table_NFI[[#This Row],[Mosquito net]],Table_NFI[Mosquito net])</f>
        <v>0</v>
      </c>
      <c r="AC195" s="378">
        <f>IF(NFI_Expiration=1,IF($A195&lt;VLOOKUP(L$5,NFI,5,0),1,0)*Table_NFI[[#This Row],[Tarpaulin]],Table_NFI[[#This Row],[Tarpaulin]])</f>
        <v>0</v>
      </c>
      <c r="AD195" s="378">
        <f>IF(NFI_Expiration=1,IF($A195&lt;VLOOKUP(M$5,NFI,5,0),1,0)*Table_NFI[[#This Row],[Blanket]],Table_NFI[[#This Row],[Blanket]])</f>
        <v>0</v>
      </c>
      <c r="AE195" s="378">
        <f>IF(NFI_Expiration=1,IF($A195&lt;VLOOKUP(N$5,NFI,5,0),1,0)*Table_NFI[[#This Row],[Kitchen Set]],Table_NFI[Kitchen Set])</f>
        <v>0</v>
      </c>
      <c r="AF195" s="378">
        <f>IF(NFI_Expiration=1,IF($A195&lt;VLOOKUP(O$5,NFI,5,0),1,0)*Table_NFI[[#This Row],[Clothes Kit]],Table_NFI[Clothes Kit])</f>
        <v>0</v>
      </c>
      <c r="AG195" s="378">
        <f>IF(NFI_Expiration=1,IF($A195&lt;VLOOKUP(P$5,NFI,5,0),1,0)*Table_NFI[[#This Row],[Plastic Bucket]],Table_NFI[Plastic Bucket])</f>
        <v>0</v>
      </c>
      <c r="AH195" s="378">
        <f>IF(NFI_Expiration=1,IF($A195&lt;VLOOKUP(Q$5,NFI,5,0),1,0)*Table_NFI[[#This Row],[Plastic Mat]],Table_NFI[Plastic Mat])*IF(Table_NFI[[#This Row],[Distribution Date]]&gt;"2014-04-01",1,2.5)</f>
        <v>0</v>
      </c>
      <c r="AI195" s="378">
        <f>IF(NFI_Expiration=1,IF($A195&lt;VLOOKUP(R$5,NFI,5,0),1,0)*Table_NFI[[#This Row],[Winter Clothes Adult]],Table_NFI[Winter Clothes Adult])</f>
        <v>0</v>
      </c>
      <c r="AJ195" s="378">
        <f>IF(NFI_Expiration=1,IF($A195&lt;VLOOKUP(S$5,NFI,5,0),1,0)*Table_NFI[[#This Row],[Winter Clothes Children]],Table_NFI[Winter Clothes Children])</f>
        <v>0</v>
      </c>
      <c r="AK195" s="378">
        <f>IF(NFI_Expiration=1,IF($A195&lt;VLOOKUP(T$5,NFI,5,0),1,0)*Table_NFI[[#This Row],[Winter Items Other]],Table_NFI[Winter Items Other])</f>
        <v>0</v>
      </c>
      <c r="AL195" s="378">
        <f>IF(NFI_Expiration=1,IF($A195&lt;VLOOKUP(M$5,NFI,5,0),1,0)*Table_NFI[[#This Row],[Winter Blanket]],Table_NFI[[#This Row],[Winter Blanket]])</f>
        <v>0</v>
      </c>
      <c r="AM195" s="378">
        <f>IF(Table_NFI[[#This Row],[Winter Clothes Adult]]+Table_NFI[[#This Row],[Winter Clothes Children]]+Table_NFI[[#This Row],[Winter Items Other]]+Table_NFI[[#This Row],[Winter Blanket]]&gt;0,1,0)</f>
        <v>0</v>
      </c>
      <c r="AN195" s="418">
        <f>IF(NFI_Expiration=1,IF($A195&lt;VLOOKUP(V$5,NFI,5,0),1,0)*Table_NFI[[#This Row],[Jerry Can]],Table_NFI[Jerry Can])</f>
        <v>0</v>
      </c>
      <c r="AO195" s="579" t="str">
        <f>IFERROR(VLOOKUP(Table_NFI[[#This Row],[Camp Name]],CL,2,0),"")</f>
        <v>MMR001CMP052</v>
      </c>
      <c r="AP195" s="574">
        <f ca="1">IF(Table_NFI[[#This Row],[Pcode]]="","",IF(OFFSET(CampList[Opening Date],MATCH(Table_NFI[[#This Row],[Pcode]],CampList[CP_Pcode],0)-1,0,1,1)&gt;=NFI_Monitor_Date,1,0))</f>
        <v>0</v>
      </c>
      <c r="AQ195" s="579" t="str">
        <f>IFERROR(VLOOKUP(Table_NFI[[#This Row],[Camp Name]],CL,3,0),"")</f>
        <v>Open</v>
      </c>
      <c r="AR195" s="378" t="str">
        <f ca="1">IF(Table_NFI[[#This Row],[Pcode]]="","",OFFSET(CampList[Priority],MATCH(Table_NFI[[#This Row],[Pcode]],CampList[CP_Pcode],0)-1,0,1,1))</f>
        <v>P4</v>
      </c>
      <c r="AS195" s="377">
        <f>IFERROR(Table_NFI[[#This Row],[Kitchen Set]]/VLOOKUP(Table_NFI[[#This Row],[Camp Name]],CL,4,0),"")</f>
        <v>0.92307692307692313</v>
      </c>
      <c r="AT195" s="572" t="s">
        <v>1095</v>
      </c>
      <c r="AU195" s="575"/>
    </row>
    <row r="196" spans="1:47" s="130" customFormat="1" x14ac:dyDescent="0.25">
      <c r="A196" s="381">
        <f t="shared" si="2"/>
        <v>41.266666666666666</v>
      </c>
      <c r="B196" s="571">
        <v>41284</v>
      </c>
      <c r="C196" s="572" t="s">
        <v>908</v>
      </c>
      <c r="D196" s="573" t="s">
        <v>908</v>
      </c>
      <c r="E196" s="572" t="s">
        <v>380</v>
      </c>
      <c r="F196" s="374" t="s">
        <v>5</v>
      </c>
      <c r="G196" s="374" t="s">
        <v>14</v>
      </c>
      <c r="H196" s="375">
        <v>212</v>
      </c>
      <c r="I196" s="375"/>
      <c r="J196" s="375">
        <v>240</v>
      </c>
      <c r="K196" s="375"/>
      <c r="L196" s="376"/>
      <c r="M196" s="376"/>
      <c r="N196" s="376"/>
      <c r="O196" s="376"/>
      <c r="P196" s="378">
        <v>0</v>
      </c>
      <c r="Q196" s="378">
        <v>0</v>
      </c>
      <c r="R196" s="378"/>
      <c r="S196" s="378"/>
      <c r="T196" s="378"/>
      <c r="U196" s="378"/>
      <c r="V196" s="533"/>
      <c r="W196" s="378"/>
      <c r="X196" s="378"/>
      <c r="Y196" s="378">
        <f>IF(NFI_Expiration=1,IF($A196&lt;VLOOKUP(H$5,NFI,5,0),1,0)*Table_NFI[[#This Row],[Hygiene Kit]],Table_NFI[Hygiene Kit])</f>
        <v>0</v>
      </c>
      <c r="Z196" s="378">
        <f>IF(NFI_Expiration=1,IF($A196&lt;VLOOKUP(I$5,NFI,5,0),1,0)*Table_NFI[[#This Row],[NFI Core Kit]],Table_NFI[NFI Core Kit])</f>
        <v>0</v>
      </c>
      <c r="AA196" s="378">
        <f>IF(NFI_Expiration=1,IF($A196&lt;VLOOKUP(J$5,NFI,5,0),1,0)*Table_NFI[[#This Row],[Sanitary Kit]],Table_NFI[Sanitary Kit])</f>
        <v>0</v>
      </c>
      <c r="AB196" s="378">
        <f>IF(NFI_Expiration=1,IF($A196&lt;VLOOKUP(K$5,NFI,5,0),1,0)*Table_NFI[[#This Row],[Mosquito net]],Table_NFI[Mosquito net])</f>
        <v>0</v>
      </c>
      <c r="AC196" s="378">
        <f>IF(NFI_Expiration=1,IF($A196&lt;VLOOKUP(L$5,NFI,5,0),1,0)*Table_NFI[[#This Row],[Tarpaulin]],Table_NFI[[#This Row],[Tarpaulin]])</f>
        <v>0</v>
      </c>
      <c r="AD196" s="378">
        <f>IF(NFI_Expiration=1,IF($A196&lt;VLOOKUP(M$5,NFI,5,0),1,0)*Table_NFI[[#This Row],[Blanket]],Table_NFI[[#This Row],[Blanket]])</f>
        <v>0</v>
      </c>
      <c r="AE196" s="378">
        <f>IF(NFI_Expiration=1,IF($A196&lt;VLOOKUP(N$5,NFI,5,0),1,0)*Table_NFI[[#This Row],[Kitchen Set]],Table_NFI[Kitchen Set])</f>
        <v>0</v>
      </c>
      <c r="AF196" s="378">
        <f>IF(NFI_Expiration=1,IF($A196&lt;VLOOKUP(O$5,NFI,5,0),1,0)*Table_NFI[[#This Row],[Clothes Kit]],Table_NFI[Clothes Kit])</f>
        <v>0</v>
      </c>
      <c r="AG196" s="378">
        <f>IF(NFI_Expiration=1,IF($A196&lt;VLOOKUP(P$5,NFI,5,0),1,0)*Table_NFI[[#This Row],[Plastic Bucket]],Table_NFI[Plastic Bucket])</f>
        <v>0</v>
      </c>
      <c r="AH196" s="378">
        <f>IF(NFI_Expiration=1,IF($A196&lt;VLOOKUP(Q$5,NFI,5,0),1,0)*Table_NFI[[#This Row],[Plastic Mat]],Table_NFI[Plastic Mat])*IF(Table_NFI[[#This Row],[Distribution Date]]&gt;"2014-04-01",1,2.5)</f>
        <v>0</v>
      </c>
      <c r="AI196" s="378">
        <f>IF(NFI_Expiration=1,IF($A196&lt;VLOOKUP(R$5,NFI,5,0),1,0)*Table_NFI[[#This Row],[Winter Clothes Adult]],Table_NFI[Winter Clothes Adult])</f>
        <v>0</v>
      </c>
      <c r="AJ196" s="378">
        <f>IF(NFI_Expiration=1,IF($A196&lt;VLOOKUP(S$5,NFI,5,0),1,0)*Table_NFI[[#This Row],[Winter Clothes Children]],Table_NFI[Winter Clothes Children])</f>
        <v>0</v>
      </c>
      <c r="AK196" s="378">
        <f>IF(NFI_Expiration=1,IF($A196&lt;VLOOKUP(T$5,NFI,5,0),1,0)*Table_NFI[[#This Row],[Winter Items Other]],Table_NFI[Winter Items Other])</f>
        <v>0</v>
      </c>
      <c r="AL196" s="378">
        <f>IF(NFI_Expiration=1,IF($A196&lt;VLOOKUP(M$5,NFI,5,0),1,0)*Table_NFI[[#This Row],[Winter Blanket]],Table_NFI[[#This Row],[Winter Blanket]])</f>
        <v>0</v>
      </c>
      <c r="AM196" s="378">
        <f>IF(Table_NFI[[#This Row],[Winter Clothes Adult]]+Table_NFI[[#This Row],[Winter Clothes Children]]+Table_NFI[[#This Row],[Winter Items Other]]+Table_NFI[[#This Row],[Winter Blanket]]&gt;0,1,0)</f>
        <v>0</v>
      </c>
      <c r="AN196" s="418">
        <f>IF(NFI_Expiration=1,IF($A196&lt;VLOOKUP(V$5,NFI,5,0),1,0)*Table_NFI[[#This Row],[Jerry Can]],Table_NFI[Jerry Can])</f>
        <v>0</v>
      </c>
      <c r="AO196" s="579" t="str">
        <f>IFERROR(VLOOKUP(Table_NFI[[#This Row],[Camp Name]],CL,2,0),"")</f>
        <v>MMR001CMP052</v>
      </c>
      <c r="AP196" s="574">
        <f ca="1">IF(Table_NFI[[#This Row],[Pcode]]="","",IF(OFFSET(CampList[Opening Date],MATCH(Table_NFI[[#This Row],[Pcode]],CampList[CP_Pcode],0)-1,0,1,1)&gt;=NFI_Monitor_Date,1,0))</f>
        <v>0</v>
      </c>
      <c r="AQ196" s="579" t="str">
        <f>IFERROR(VLOOKUP(Table_NFI[[#This Row],[Camp Name]],CL,3,0),"")</f>
        <v>Open</v>
      </c>
      <c r="AR196" s="378" t="str">
        <f ca="1">IF(Table_NFI[[#This Row],[Pcode]]="","",OFFSET(CampList[Priority],MATCH(Table_NFI[[#This Row],[Pcode]],CampList[CP_Pcode],0)-1,0,1,1))</f>
        <v>P4</v>
      </c>
      <c r="AS196" s="377">
        <f>IFERROR(Table_NFI[[#This Row],[Kitchen Set]]/VLOOKUP(Table_NFI[[#This Row],[Camp Name]],CL,4,0),"")</f>
        <v>0</v>
      </c>
      <c r="AT196" s="572" t="s">
        <v>1095</v>
      </c>
      <c r="AU196" s="575"/>
    </row>
    <row r="197" spans="1:47" s="130" customFormat="1" x14ac:dyDescent="0.25">
      <c r="A197" s="381">
        <f t="shared" si="2"/>
        <v>29.7</v>
      </c>
      <c r="B197" s="571">
        <v>41631</v>
      </c>
      <c r="C197" s="572" t="s">
        <v>908</v>
      </c>
      <c r="D197" s="572" t="s">
        <v>462</v>
      </c>
      <c r="E197" s="572" t="s">
        <v>380</v>
      </c>
      <c r="F197" s="572" t="s">
        <v>310</v>
      </c>
      <c r="G197" s="572" t="s">
        <v>815</v>
      </c>
      <c r="H197" s="375"/>
      <c r="I197" s="375"/>
      <c r="J197" s="375"/>
      <c r="K197" s="375"/>
      <c r="L197" s="376"/>
      <c r="M197" s="376"/>
      <c r="N197" s="376"/>
      <c r="O197" s="376"/>
      <c r="P197" s="378"/>
      <c r="Q197" s="378"/>
      <c r="R197" s="378">
        <v>2</v>
      </c>
      <c r="S197" s="378">
        <v>111</v>
      </c>
      <c r="T197" s="378">
        <v>226</v>
      </c>
      <c r="U197" s="378">
        <v>113</v>
      </c>
      <c r="V197" s="533"/>
      <c r="W197" s="378"/>
      <c r="X197" s="378"/>
      <c r="Y197" s="378">
        <f>IF(NFI_Expiration=1,IF($A197&lt;VLOOKUP(H$5,NFI,5,0),1,0)*Table_NFI[[#This Row],[Hygiene Kit]],Table_NFI[Hygiene Kit])</f>
        <v>0</v>
      </c>
      <c r="Z197" s="378">
        <f>IF(NFI_Expiration=1,IF($A197&lt;VLOOKUP(I$5,NFI,5,0),1,0)*Table_NFI[[#This Row],[NFI Core Kit]],Table_NFI[NFI Core Kit])</f>
        <v>0</v>
      </c>
      <c r="AA197" s="378">
        <f>IF(NFI_Expiration=1,IF($A197&lt;VLOOKUP(J$5,NFI,5,0),1,0)*Table_NFI[[#This Row],[Sanitary Kit]],Table_NFI[Sanitary Kit])</f>
        <v>0</v>
      </c>
      <c r="AB197" s="378">
        <f>IF(NFI_Expiration=1,IF($A197&lt;VLOOKUP(K$5,NFI,5,0),1,0)*Table_NFI[[#This Row],[Mosquito net]],Table_NFI[Mosquito net])</f>
        <v>0</v>
      </c>
      <c r="AC197" s="378">
        <f>IF(NFI_Expiration=1,IF($A197&lt;VLOOKUP(L$5,NFI,5,0),1,0)*Table_NFI[[#This Row],[Tarpaulin]],Table_NFI[[#This Row],[Tarpaulin]])</f>
        <v>0</v>
      </c>
      <c r="AD197" s="378">
        <f>IF(NFI_Expiration=1,IF($A197&lt;VLOOKUP(M$5,NFI,5,0),1,0)*Table_NFI[[#This Row],[Blanket]],Table_NFI[[#This Row],[Blanket]])</f>
        <v>0</v>
      </c>
      <c r="AE197" s="378">
        <f>IF(NFI_Expiration=1,IF($A197&lt;VLOOKUP(N$5,NFI,5,0),1,0)*Table_NFI[[#This Row],[Kitchen Set]],Table_NFI[Kitchen Set])</f>
        <v>0</v>
      </c>
      <c r="AF197" s="378">
        <f>IF(NFI_Expiration=1,IF($A197&lt;VLOOKUP(O$5,NFI,5,0),1,0)*Table_NFI[[#This Row],[Clothes Kit]],Table_NFI[Clothes Kit])</f>
        <v>0</v>
      </c>
      <c r="AG197" s="378">
        <f>IF(NFI_Expiration=1,IF($A197&lt;VLOOKUP(P$5,NFI,5,0),1,0)*Table_NFI[[#This Row],[Plastic Bucket]],Table_NFI[Plastic Bucket])</f>
        <v>0</v>
      </c>
      <c r="AH197" s="378">
        <f>IF(NFI_Expiration=1,IF($A197&lt;VLOOKUP(Q$5,NFI,5,0),1,0)*Table_NFI[[#This Row],[Plastic Mat]],Table_NFI[Plastic Mat])*IF(Table_NFI[[#This Row],[Distribution Date]]&gt;"2014-04-01",1,2.5)</f>
        <v>0</v>
      </c>
      <c r="AI197" s="378">
        <f>IF(NFI_Expiration=1,IF($A197&lt;VLOOKUP(R$5,NFI,5,0),1,0)*Table_NFI[[#This Row],[Winter Clothes Adult]],Table_NFI[Winter Clothes Adult])</f>
        <v>0</v>
      </c>
      <c r="AJ197" s="378">
        <f>IF(NFI_Expiration=1,IF($A197&lt;VLOOKUP(S$5,NFI,5,0),1,0)*Table_NFI[[#This Row],[Winter Clothes Children]],Table_NFI[Winter Clothes Children])</f>
        <v>0</v>
      </c>
      <c r="AK197" s="378">
        <f>IF(NFI_Expiration=1,IF($A197&lt;VLOOKUP(T$5,NFI,5,0),1,0)*Table_NFI[[#This Row],[Winter Items Other]],Table_NFI[Winter Items Other])</f>
        <v>0</v>
      </c>
      <c r="AL197" s="378">
        <f>IF(NFI_Expiration=1,IF($A197&lt;VLOOKUP(M$5,NFI,5,0),1,0)*Table_NFI[[#This Row],[Winter Blanket]],Table_NFI[[#This Row],[Winter Blanket]])</f>
        <v>0</v>
      </c>
      <c r="AM197" s="378">
        <f>IF(Table_NFI[[#This Row],[Winter Clothes Adult]]+Table_NFI[[#This Row],[Winter Clothes Children]]+Table_NFI[[#This Row],[Winter Items Other]]+Table_NFI[[#This Row],[Winter Blanket]]&gt;0,1,0)</f>
        <v>1</v>
      </c>
      <c r="AN197" s="418">
        <f>IF(NFI_Expiration=1,IF($A197&lt;VLOOKUP(V$5,NFI,5,0),1,0)*Table_NFI[[#This Row],[Jerry Can]],Table_NFI[Jerry Can])</f>
        <v>0</v>
      </c>
      <c r="AO197" s="579" t="str">
        <f>IFERROR(VLOOKUP(Table_NFI[[#This Row],[Camp Name]],CL,2,0),"")</f>
        <v>MMR001CMP208</v>
      </c>
      <c r="AP197" s="574">
        <f ca="1">IF(Table_NFI[[#This Row],[Pcode]]="","",IF(OFFSET(CampList[Opening Date],MATCH(Table_NFI[[#This Row],[Pcode]],CampList[CP_Pcode],0)-1,0,1,1)&gt;=NFI_Monitor_Date,1,0))</f>
        <v>0</v>
      </c>
      <c r="AQ197" s="579" t="str">
        <f>IFERROR(VLOOKUP(Table_NFI[[#This Row],[Camp Name]],CL,3,0),"")</f>
        <v>Open</v>
      </c>
      <c r="AR197" s="378" t="str">
        <f ca="1">IF(Table_NFI[[#This Row],[Pcode]]="","",OFFSET(CampList[Priority],MATCH(Table_NFI[[#This Row],[Pcode]],CampList[CP_Pcode],0)-1,0,1,1))</f>
        <v>P2</v>
      </c>
      <c r="AS197" s="377" t="str">
        <f>IFERROR(Table_NFI[[#This Row],[Kitchen Set]]/VLOOKUP(Table_NFI[[#This Row],[Camp Name]],CL,4,0),"")</f>
        <v/>
      </c>
      <c r="AT197" s="572"/>
      <c r="AU197" s="575"/>
    </row>
    <row r="198" spans="1:47" s="130" customFormat="1" x14ac:dyDescent="0.25">
      <c r="A198" s="381">
        <f t="shared" ref="A198:A261" si="3">IF(ISBLANK(B198),"",(Report_Date-B198)/30)</f>
        <v>29.133333333333333</v>
      </c>
      <c r="B198" s="571">
        <v>41648</v>
      </c>
      <c r="C198" s="572" t="s">
        <v>908</v>
      </c>
      <c r="D198" s="572" t="s">
        <v>462</v>
      </c>
      <c r="E198" s="572" t="s">
        <v>380</v>
      </c>
      <c r="F198" s="572" t="s">
        <v>151</v>
      </c>
      <c r="G198" s="572" t="s">
        <v>886</v>
      </c>
      <c r="H198" s="375"/>
      <c r="I198" s="375"/>
      <c r="J198" s="375"/>
      <c r="K198" s="375"/>
      <c r="L198" s="376"/>
      <c r="M198" s="376"/>
      <c r="N198" s="376"/>
      <c r="O198" s="376"/>
      <c r="P198" s="378"/>
      <c r="Q198" s="378"/>
      <c r="R198" s="378">
        <v>142</v>
      </c>
      <c r="S198" s="378">
        <v>284</v>
      </c>
      <c r="T198" s="378">
        <v>852</v>
      </c>
      <c r="U198" s="378">
        <v>426</v>
      </c>
      <c r="V198" s="533"/>
      <c r="W198" s="378"/>
      <c r="X198" s="378"/>
      <c r="Y198" s="378">
        <f>IF(NFI_Expiration=1,IF($A198&lt;VLOOKUP(H$5,NFI,5,0),1,0)*Table_NFI[[#This Row],[Hygiene Kit]],Table_NFI[Hygiene Kit])</f>
        <v>0</v>
      </c>
      <c r="Z198" s="378">
        <f>IF(NFI_Expiration=1,IF($A198&lt;VLOOKUP(I$5,NFI,5,0),1,0)*Table_NFI[[#This Row],[NFI Core Kit]],Table_NFI[NFI Core Kit])</f>
        <v>0</v>
      </c>
      <c r="AA198" s="378">
        <f>IF(NFI_Expiration=1,IF($A198&lt;VLOOKUP(J$5,NFI,5,0),1,0)*Table_NFI[[#This Row],[Sanitary Kit]],Table_NFI[Sanitary Kit])</f>
        <v>0</v>
      </c>
      <c r="AB198" s="378">
        <f>IF(NFI_Expiration=1,IF($A198&lt;VLOOKUP(K$5,NFI,5,0),1,0)*Table_NFI[[#This Row],[Mosquito net]],Table_NFI[Mosquito net])</f>
        <v>0</v>
      </c>
      <c r="AC198" s="378">
        <f>IF(NFI_Expiration=1,IF($A198&lt;VLOOKUP(L$5,NFI,5,0),1,0)*Table_NFI[[#This Row],[Tarpaulin]],Table_NFI[[#This Row],[Tarpaulin]])</f>
        <v>0</v>
      </c>
      <c r="AD198" s="378">
        <f>IF(NFI_Expiration=1,IF($A198&lt;VLOOKUP(M$5,NFI,5,0),1,0)*Table_NFI[[#This Row],[Blanket]],Table_NFI[[#This Row],[Blanket]])</f>
        <v>0</v>
      </c>
      <c r="AE198" s="378">
        <f>IF(NFI_Expiration=1,IF($A198&lt;VLOOKUP(N$5,NFI,5,0),1,0)*Table_NFI[[#This Row],[Kitchen Set]],Table_NFI[Kitchen Set])</f>
        <v>0</v>
      </c>
      <c r="AF198" s="378">
        <f>IF(NFI_Expiration=1,IF($A198&lt;VLOOKUP(O$5,NFI,5,0),1,0)*Table_NFI[[#This Row],[Clothes Kit]],Table_NFI[Clothes Kit])</f>
        <v>0</v>
      </c>
      <c r="AG198" s="378">
        <f>IF(NFI_Expiration=1,IF($A198&lt;VLOOKUP(P$5,NFI,5,0),1,0)*Table_NFI[[#This Row],[Plastic Bucket]],Table_NFI[Plastic Bucket])</f>
        <v>0</v>
      </c>
      <c r="AH198" s="378">
        <f>IF(NFI_Expiration=1,IF($A198&lt;VLOOKUP(Q$5,NFI,5,0),1,0)*Table_NFI[[#This Row],[Plastic Mat]],Table_NFI[Plastic Mat])*IF(Table_NFI[[#This Row],[Distribution Date]]&gt;"2014-04-01",1,2.5)</f>
        <v>0</v>
      </c>
      <c r="AI198" s="378">
        <f>IF(NFI_Expiration=1,IF($A198&lt;VLOOKUP(R$5,NFI,5,0),1,0)*Table_NFI[[#This Row],[Winter Clothes Adult]],Table_NFI[Winter Clothes Adult])</f>
        <v>0</v>
      </c>
      <c r="AJ198" s="378">
        <f>IF(NFI_Expiration=1,IF($A198&lt;VLOOKUP(S$5,NFI,5,0),1,0)*Table_NFI[[#This Row],[Winter Clothes Children]],Table_NFI[Winter Clothes Children])</f>
        <v>0</v>
      </c>
      <c r="AK198" s="378">
        <f>IF(NFI_Expiration=1,IF($A198&lt;VLOOKUP(T$5,NFI,5,0),1,0)*Table_NFI[[#This Row],[Winter Items Other]],Table_NFI[Winter Items Other])</f>
        <v>0</v>
      </c>
      <c r="AL198" s="378">
        <f>IF(NFI_Expiration=1,IF($A198&lt;VLOOKUP(M$5,NFI,5,0),1,0)*Table_NFI[[#This Row],[Winter Blanket]],Table_NFI[[#This Row],[Winter Blanket]])</f>
        <v>0</v>
      </c>
      <c r="AM198" s="378">
        <f>IF(Table_NFI[[#This Row],[Winter Clothes Adult]]+Table_NFI[[#This Row],[Winter Clothes Children]]+Table_NFI[[#This Row],[Winter Items Other]]+Table_NFI[[#This Row],[Winter Blanket]]&gt;0,1,0)</f>
        <v>1</v>
      </c>
      <c r="AN198" s="418">
        <f>IF(NFI_Expiration=1,IF($A198&lt;VLOOKUP(V$5,NFI,5,0),1,0)*Table_NFI[[#This Row],[Jerry Can]],Table_NFI[Jerry Can])</f>
        <v>0</v>
      </c>
      <c r="AO198" s="579" t="str">
        <f>IFERROR(VLOOKUP(Table_NFI[[#This Row],[Camp Name]],CL,2,0),"")</f>
        <v>MMR001CMP217</v>
      </c>
      <c r="AP198" s="574">
        <f ca="1">IF(Table_NFI[[#This Row],[Pcode]]="","",IF(OFFSET(CampList[Opening Date],MATCH(Table_NFI[[#This Row],[Pcode]],CampList[CP_Pcode],0)-1,0,1,1)&gt;=NFI_Monitor_Date,1,0))</f>
        <v>0</v>
      </c>
      <c r="AQ198" s="579" t="str">
        <f>IFERROR(VLOOKUP(Table_NFI[[#This Row],[Camp Name]],CL,3,0),"")</f>
        <v>Closed</v>
      </c>
      <c r="AR198" s="378" t="str">
        <f ca="1">IF(Table_NFI[[#This Row],[Pcode]]="","",OFFSET(CampList[Priority],MATCH(Table_NFI[[#This Row],[Pcode]],CampList[CP_Pcode],0)-1,0,1,1))</f>
        <v/>
      </c>
      <c r="AS198" s="377" t="str">
        <f>IFERROR(Table_NFI[[#This Row],[Kitchen Set]]/VLOOKUP(Table_NFI[[#This Row],[Camp Name]],CL,4,0),"")</f>
        <v/>
      </c>
      <c r="AT198" s="572"/>
      <c r="AU198" s="575"/>
    </row>
    <row r="199" spans="1:47" s="130" customFormat="1" x14ac:dyDescent="0.25">
      <c r="A199" s="381">
        <f t="shared" si="3"/>
        <v>18.533333333333335</v>
      </c>
      <c r="B199" s="571">
        <v>41966</v>
      </c>
      <c r="C199" s="572" t="s">
        <v>454</v>
      </c>
      <c r="D199" s="572" t="s">
        <v>462</v>
      </c>
      <c r="E199" s="572" t="s">
        <v>380</v>
      </c>
      <c r="F199" s="572" t="s">
        <v>237</v>
      </c>
      <c r="G199" s="572" t="s">
        <v>253</v>
      </c>
      <c r="H199" s="375"/>
      <c r="I199" s="375"/>
      <c r="J199" s="375"/>
      <c r="K199" s="375">
        <v>72</v>
      </c>
      <c r="L199" s="376">
        <v>36</v>
      </c>
      <c r="M199" s="376">
        <v>72</v>
      </c>
      <c r="N199" s="376">
        <v>36</v>
      </c>
      <c r="O199" s="376"/>
      <c r="P199" s="378">
        <v>36</v>
      </c>
      <c r="Q199" s="378">
        <v>180</v>
      </c>
      <c r="R199" s="378"/>
      <c r="S199" s="378"/>
      <c r="T199" s="378"/>
      <c r="U199" s="378"/>
      <c r="V199" s="533"/>
      <c r="W199" s="378"/>
      <c r="X199" s="378"/>
      <c r="Y199" s="378">
        <f>IF(NFI_Expiration=1,IF($A199&lt;VLOOKUP(H$5,NFI,5,0),1,0)*Table_NFI[[#This Row],[Hygiene Kit]],Table_NFI[Hygiene Kit])</f>
        <v>0</v>
      </c>
      <c r="Z199" s="378">
        <f>IF(NFI_Expiration=1,IF($A199&lt;VLOOKUP(I$5,NFI,5,0),1,0)*Table_NFI[[#This Row],[NFI Core Kit]],Table_NFI[NFI Core Kit])</f>
        <v>0</v>
      </c>
      <c r="AA199" s="378">
        <f>IF(NFI_Expiration=1,IF($A199&lt;VLOOKUP(J$5,NFI,5,0),1,0)*Table_NFI[[#This Row],[Sanitary Kit]],Table_NFI[Sanitary Kit])</f>
        <v>0</v>
      </c>
      <c r="AB199" s="378">
        <f>IF(NFI_Expiration=1,IF($A199&lt;VLOOKUP(K$5,NFI,5,0),1,0)*Table_NFI[[#This Row],[Mosquito net]],Table_NFI[Mosquito net])</f>
        <v>0</v>
      </c>
      <c r="AC199" s="378">
        <f>IF(NFI_Expiration=1,IF($A199&lt;VLOOKUP(L$5,NFI,5,0),1,0)*Table_NFI[[#This Row],[Tarpaulin]],Table_NFI[[#This Row],[Tarpaulin]])</f>
        <v>0</v>
      </c>
      <c r="AD199" s="378">
        <f>IF(NFI_Expiration=1,IF($A199&lt;VLOOKUP(M$5,NFI,5,0),1,0)*Table_NFI[[#This Row],[Blanket]],Table_NFI[[#This Row],[Blanket]])</f>
        <v>0</v>
      </c>
      <c r="AE199" s="378">
        <f>IF(NFI_Expiration=1,IF($A199&lt;VLOOKUP(N$5,NFI,5,0),1,0)*Table_NFI[[#This Row],[Kitchen Set]],Table_NFI[Kitchen Set])</f>
        <v>0</v>
      </c>
      <c r="AF199" s="378">
        <f>IF(NFI_Expiration=1,IF($A199&lt;VLOOKUP(O$5,NFI,5,0),1,0)*Table_NFI[[#This Row],[Clothes Kit]],Table_NFI[Clothes Kit])</f>
        <v>0</v>
      </c>
      <c r="AG199" s="378">
        <f>IF(NFI_Expiration=1,IF($A199&lt;VLOOKUP(P$5,NFI,5,0),1,0)*Table_NFI[[#This Row],[Plastic Bucket]],Table_NFI[Plastic Bucket])</f>
        <v>0</v>
      </c>
      <c r="AH199" s="378">
        <f>IF(NFI_Expiration=1,IF($A199&lt;VLOOKUP(Q$5,NFI,5,0),1,0)*Table_NFI[[#This Row],[Plastic Mat]],Table_NFI[Plastic Mat])*IF(Table_NFI[[#This Row],[Distribution Date]]&gt;"2014-04-01",1,2.5)</f>
        <v>0</v>
      </c>
      <c r="AI199" s="378">
        <f>IF(NFI_Expiration=1,IF($A199&lt;VLOOKUP(R$5,NFI,5,0),1,0)*Table_NFI[[#This Row],[Winter Clothes Adult]],Table_NFI[Winter Clothes Adult])</f>
        <v>0</v>
      </c>
      <c r="AJ199" s="378">
        <f>IF(NFI_Expiration=1,IF($A199&lt;VLOOKUP(S$5,NFI,5,0),1,0)*Table_NFI[[#This Row],[Winter Clothes Children]],Table_NFI[Winter Clothes Children])</f>
        <v>0</v>
      </c>
      <c r="AK199" s="378">
        <f>IF(NFI_Expiration=1,IF($A199&lt;VLOOKUP(T$5,NFI,5,0),1,0)*Table_NFI[[#This Row],[Winter Items Other]],Table_NFI[Winter Items Other])</f>
        <v>0</v>
      </c>
      <c r="AL199" s="378">
        <f>IF(NFI_Expiration=1,IF($A199&lt;VLOOKUP(M$5,NFI,5,0),1,0)*Table_NFI[[#This Row],[Winter Blanket]],Table_NFI[[#This Row],[Winter Blanket]])</f>
        <v>0</v>
      </c>
      <c r="AM199" s="378">
        <f>IF(Table_NFI[[#This Row],[Winter Clothes Adult]]+Table_NFI[[#This Row],[Winter Clothes Children]]+Table_NFI[[#This Row],[Winter Items Other]]+Table_NFI[[#This Row],[Winter Blanket]]&gt;0,1,0)</f>
        <v>0</v>
      </c>
      <c r="AN199" s="418">
        <f>IF(NFI_Expiration=1,IF($A199&lt;VLOOKUP(V$5,NFI,5,0),1,0)*Table_NFI[[#This Row],[Jerry Can]],Table_NFI[Jerry Can])</f>
        <v>0</v>
      </c>
      <c r="AO199" s="579" t="str">
        <f>IFERROR(VLOOKUP(Table_NFI[[#This Row],[Camp Name]],CL,2,0),"")</f>
        <v>MMR001CMP018</v>
      </c>
      <c r="AP199" s="574">
        <f ca="1">IF(Table_NFI[[#This Row],[Pcode]]="","",IF(OFFSET(CampList[Opening Date],MATCH(Table_NFI[[#This Row],[Pcode]],CampList[CP_Pcode],0)-1,0,1,1)&gt;=NFI_Monitor_Date,1,0))</f>
        <v>0</v>
      </c>
      <c r="AQ199" s="579" t="str">
        <f>IFERROR(VLOOKUP(Table_NFI[[#This Row],[Camp Name]],CL,3,0),"")</f>
        <v>Open</v>
      </c>
      <c r="AR199" s="378" t="str">
        <f ca="1">IF(Table_NFI[[#This Row],[Pcode]]="","",OFFSET(CampList[Priority],MATCH(Table_NFI[[#This Row],[Pcode]],CampList[CP_Pcode],0)-1,0,1,1))</f>
        <v>P4</v>
      </c>
      <c r="AS199" s="377">
        <f>IFERROR(Table_NFI[[#This Row],[Kitchen Set]]/VLOOKUP(Table_NFI[[#This Row],[Camp Name]],CL,4,0),"")</f>
        <v>0.17647058823529413</v>
      </c>
      <c r="AT199" s="572"/>
      <c r="AU199" s="575"/>
    </row>
    <row r="200" spans="1:47" s="130" customFormat="1" x14ac:dyDescent="0.25">
      <c r="A200" s="381">
        <f t="shared" si="3"/>
        <v>23.933333333333334</v>
      </c>
      <c r="B200" s="571">
        <v>41804</v>
      </c>
      <c r="C200" s="572" t="s">
        <v>1107</v>
      </c>
      <c r="D200" s="572" t="s">
        <v>903</v>
      </c>
      <c r="E200" s="572" t="s">
        <v>380</v>
      </c>
      <c r="F200" s="572" t="s">
        <v>237</v>
      </c>
      <c r="G200" s="572" t="s">
        <v>253</v>
      </c>
      <c r="H200" s="375"/>
      <c r="I200" s="375"/>
      <c r="J200" s="375"/>
      <c r="K200" s="375"/>
      <c r="L200" s="376"/>
      <c r="M200" s="376"/>
      <c r="N200" s="376"/>
      <c r="O200" s="376"/>
      <c r="P200" s="378"/>
      <c r="Q200" s="378"/>
      <c r="R200" s="378"/>
      <c r="S200" s="378"/>
      <c r="T200" s="378"/>
      <c r="U200" s="378">
        <v>406</v>
      </c>
      <c r="V200" s="533"/>
      <c r="W200" s="378"/>
      <c r="X200" s="378"/>
      <c r="Y200" s="378">
        <f>IF(NFI_Expiration=1,IF($A200&lt;VLOOKUP(H$5,NFI,5,0),1,0)*Table_NFI[[#This Row],[Hygiene Kit]],Table_NFI[Hygiene Kit])</f>
        <v>0</v>
      </c>
      <c r="Z200" s="378">
        <f>IF(NFI_Expiration=1,IF($A200&lt;VLOOKUP(I$5,NFI,5,0),1,0)*Table_NFI[[#This Row],[NFI Core Kit]],Table_NFI[NFI Core Kit])</f>
        <v>0</v>
      </c>
      <c r="AA200" s="378">
        <f>IF(NFI_Expiration=1,IF($A200&lt;VLOOKUP(J$5,NFI,5,0),1,0)*Table_NFI[[#This Row],[Sanitary Kit]],Table_NFI[Sanitary Kit])</f>
        <v>0</v>
      </c>
      <c r="AB200" s="378">
        <f>IF(NFI_Expiration=1,IF($A200&lt;VLOOKUP(K$5,NFI,5,0),1,0)*Table_NFI[[#This Row],[Mosquito net]],Table_NFI[Mosquito net])</f>
        <v>0</v>
      </c>
      <c r="AC200" s="378">
        <f>IF(NFI_Expiration=1,IF($A200&lt;VLOOKUP(L$5,NFI,5,0),1,0)*Table_NFI[[#This Row],[Tarpaulin]],Table_NFI[[#This Row],[Tarpaulin]])</f>
        <v>0</v>
      </c>
      <c r="AD200" s="378">
        <f>IF(NFI_Expiration=1,IF($A200&lt;VLOOKUP(M$5,NFI,5,0),1,0)*Table_NFI[[#This Row],[Blanket]],Table_NFI[[#This Row],[Blanket]])</f>
        <v>0</v>
      </c>
      <c r="AE200" s="378">
        <f>IF(NFI_Expiration=1,IF($A200&lt;VLOOKUP(N$5,NFI,5,0),1,0)*Table_NFI[[#This Row],[Kitchen Set]],Table_NFI[Kitchen Set])</f>
        <v>0</v>
      </c>
      <c r="AF200" s="378">
        <f>IF(NFI_Expiration=1,IF($A200&lt;VLOOKUP(O$5,NFI,5,0),1,0)*Table_NFI[[#This Row],[Clothes Kit]],Table_NFI[Clothes Kit])</f>
        <v>0</v>
      </c>
      <c r="AG200" s="378">
        <f>IF(NFI_Expiration=1,IF($A200&lt;VLOOKUP(P$5,NFI,5,0),1,0)*Table_NFI[[#This Row],[Plastic Bucket]],Table_NFI[Plastic Bucket])</f>
        <v>0</v>
      </c>
      <c r="AH200" s="378">
        <f>IF(NFI_Expiration=1,IF($A200&lt;VLOOKUP(Q$5,NFI,5,0),1,0)*Table_NFI[[#This Row],[Plastic Mat]],Table_NFI[Plastic Mat])*IF(Table_NFI[[#This Row],[Distribution Date]]&gt;"2014-04-01",1,2.5)</f>
        <v>0</v>
      </c>
      <c r="AI200" s="378">
        <f>IF(NFI_Expiration=1,IF($A200&lt;VLOOKUP(R$5,NFI,5,0),1,0)*Table_NFI[[#This Row],[Winter Clothes Adult]],Table_NFI[Winter Clothes Adult])</f>
        <v>0</v>
      </c>
      <c r="AJ200" s="378">
        <f>IF(NFI_Expiration=1,IF($A200&lt;VLOOKUP(S$5,NFI,5,0),1,0)*Table_NFI[[#This Row],[Winter Clothes Children]],Table_NFI[Winter Clothes Children])</f>
        <v>0</v>
      </c>
      <c r="AK200" s="378">
        <f>IF(NFI_Expiration=1,IF($A200&lt;VLOOKUP(T$5,NFI,5,0),1,0)*Table_NFI[[#This Row],[Winter Items Other]],Table_NFI[Winter Items Other])</f>
        <v>0</v>
      </c>
      <c r="AL200" s="378">
        <f>IF(NFI_Expiration=1,IF($A200&lt;VLOOKUP(M$5,NFI,5,0),1,0)*Table_NFI[[#This Row],[Winter Blanket]],Table_NFI[[#This Row],[Winter Blanket]])</f>
        <v>0</v>
      </c>
      <c r="AM200" s="378">
        <f>IF(Table_NFI[[#This Row],[Winter Clothes Adult]]+Table_NFI[[#This Row],[Winter Clothes Children]]+Table_NFI[[#This Row],[Winter Items Other]]+Table_NFI[[#This Row],[Winter Blanket]]&gt;0,1,0)</f>
        <v>1</v>
      </c>
      <c r="AN200" s="418">
        <f>IF(NFI_Expiration=1,IF($A200&lt;VLOOKUP(V$5,NFI,5,0),1,0)*Table_NFI[[#This Row],[Jerry Can]],Table_NFI[Jerry Can])</f>
        <v>0</v>
      </c>
      <c r="AO200" s="579" t="str">
        <f>IFERROR(VLOOKUP(Table_NFI[[#This Row],[Camp Name]],CL,2,0),"")</f>
        <v>MMR001CMP018</v>
      </c>
      <c r="AP200" s="574">
        <f ca="1">IF(Table_NFI[[#This Row],[Pcode]]="","",IF(OFFSET(CampList[Opening Date],MATCH(Table_NFI[[#This Row],[Pcode]],CampList[CP_Pcode],0)-1,0,1,1)&gt;=NFI_Monitor_Date,1,0))</f>
        <v>0</v>
      </c>
      <c r="AQ200" s="579" t="str">
        <f>IFERROR(VLOOKUP(Table_NFI[[#This Row],[Camp Name]],CL,3,0),"")</f>
        <v>Open</v>
      </c>
      <c r="AR200" s="378" t="str">
        <f ca="1">IF(Table_NFI[[#This Row],[Pcode]]="","",OFFSET(CampList[Priority],MATCH(Table_NFI[[#This Row],[Pcode]],CampList[CP_Pcode],0)-1,0,1,1))</f>
        <v>P4</v>
      </c>
      <c r="AS200" s="377">
        <f>IFERROR(Table_NFI[[#This Row],[Kitchen Set]]/VLOOKUP(Table_NFI[[#This Row],[Camp Name]],CL,4,0),"")</f>
        <v>0</v>
      </c>
      <c r="AT200" s="572"/>
      <c r="AU200" s="575"/>
    </row>
    <row r="201" spans="1:47" s="576" customFormat="1" x14ac:dyDescent="0.25">
      <c r="A201" s="381">
        <f t="shared" si="3"/>
        <v>40.266666666666666</v>
      </c>
      <c r="B201" s="571">
        <v>41314</v>
      </c>
      <c r="C201" s="572" t="s">
        <v>903</v>
      </c>
      <c r="D201" s="572" t="s">
        <v>903</v>
      </c>
      <c r="E201" s="572" t="s">
        <v>380</v>
      </c>
      <c r="F201" s="572" t="s">
        <v>237</v>
      </c>
      <c r="G201" s="374" t="s">
        <v>253</v>
      </c>
      <c r="H201" s="375"/>
      <c r="I201" s="375"/>
      <c r="J201" s="375"/>
      <c r="K201" s="375"/>
      <c r="L201" s="376">
        <v>177</v>
      </c>
      <c r="M201" s="376">
        <v>10</v>
      </c>
      <c r="N201" s="376">
        <v>10</v>
      </c>
      <c r="O201" s="376"/>
      <c r="P201" s="378">
        <v>0</v>
      </c>
      <c r="Q201" s="378">
        <v>0</v>
      </c>
      <c r="R201" s="378"/>
      <c r="S201" s="378"/>
      <c r="T201" s="378"/>
      <c r="U201" s="378"/>
      <c r="V201" s="533"/>
      <c r="W201" s="378"/>
      <c r="X201" s="378"/>
      <c r="Y201" s="378">
        <f>IF(NFI_Expiration=1,IF($A201&lt;VLOOKUP(H$5,NFI,5,0),1,0)*Table_NFI[[#This Row],[Hygiene Kit]],Table_NFI[Hygiene Kit])</f>
        <v>0</v>
      </c>
      <c r="Z201" s="378">
        <f>IF(NFI_Expiration=1,IF($A201&lt;VLOOKUP(I$5,NFI,5,0),1,0)*Table_NFI[[#This Row],[NFI Core Kit]],Table_NFI[NFI Core Kit])</f>
        <v>0</v>
      </c>
      <c r="AA201" s="378">
        <f>IF(NFI_Expiration=1,IF($A201&lt;VLOOKUP(J$5,NFI,5,0),1,0)*Table_NFI[[#This Row],[Sanitary Kit]],Table_NFI[Sanitary Kit])</f>
        <v>0</v>
      </c>
      <c r="AB201" s="378">
        <f>IF(NFI_Expiration=1,IF($A201&lt;VLOOKUP(K$5,NFI,5,0),1,0)*Table_NFI[[#This Row],[Mosquito net]],Table_NFI[Mosquito net])</f>
        <v>0</v>
      </c>
      <c r="AC201" s="378">
        <f>IF(NFI_Expiration=1,IF($A201&lt;VLOOKUP(L$5,NFI,5,0),1,0)*Table_NFI[[#This Row],[Tarpaulin]],Table_NFI[[#This Row],[Tarpaulin]])</f>
        <v>0</v>
      </c>
      <c r="AD201" s="378">
        <f>IF(NFI_Expiration=1,IF($A201&lt;VLOOKUP(M$5,NFI,5,0),1,0)*Table_NFI[[#This Row],[Blanket]],Table_NFI[[#This Row],[Blanket]])</f>
        <v>0</v>
      </c>
      <c r="AE201" s="378">
        <f>IF(NFI_Expiration=1,IF($A201&lt;VLOOKUP(N$5,NFI,5,0),1,0)*Table_NFI[[#This Row],[Kitchen Set]],Table_NFI[Kitchen Set])</f>
        <v>0</v>
      </c>
      <c r="AF201" s="378">
        <f>IF(NFI_Expiration=1,IF($A201&lt;VLOOKUP(O$5,NFI,5,0),1,0)*Table_NFI[[#This Row],[Clothes Kit]],Table_NFI[Clothes Kit])</f>
        <v>0</v>
      </c>
      <c r="AG201" s="378">
        <f>IF(NFI_Expiration=1,IF($A201&lt;VLOOKUP(P$5,NFI,5,0),1,0)*Table_NFI[[#This Row],[Plastic Bucket]],Table_NFI[Plastic Bucket])</f>
        <v>0</v>
      </c>
      <c r="AH201" s="378">
        <f>IF(NFI_Expiration=1,IF($A201&lt;VLOOKUP(Q$5,NFI,5,0),1,0)*Table_NFI[[#This Row],[Plastic Mat]],Table_NFI[Plastic Mat])*IF(Table_NFI[[#This Row],[Distribution Date]]&gt;"2014-04-01",1,2.5)</f>
        <v>0</v>
      </c>
      <c r="AI201" s="378">
        <f>IF(NFI_Expiration=1,IF($A201&lt;VLOOKUP(R$5,NFI,5,0),1,0)*Table_NFI[[#This Row],[Winter Clothes Adult]],Table_NFI[Winter Clothes Adult])</f>
        <v>0</v>
      </c>
      <c r="AJ201" s="378">
        <f>IF(NFI_Expiration=1,IF($A201&lt;VLOOKUP(S$5,NFI,5,0),1,0)*Table_NFI[[#This Row],[Winter Clothes Children]],Table_NFI[Winter Clothes Children])</f>
        <v>0</v>
      </c>
      <c r="AK201" s="378">
        <f>IF(NFI_Expiration=1,IF($A201&lt;VLOOKUP(T$5,NFI,5,0),1,0)*Table_NFI[[#This Row],[Winter Items Other]],Table_NFI[Winter Items Other])</f>
        <v>0</v>
      </c>
      <c r="AL201" s="378">
        <f>IF(NFI_Expiration=1,IF($A201&lt;VLOOKUP(M$5,NFI,5,0),1,0)*Table_NFI[[#This Row],[Winter Blanket]],Table_NFI[[#This Row],[Winter Blanket]])</f>
        <v>0</v>
      </c>
      <c r="AM201" s="378">
        <f>IF(Table_NFI[[#This Row],[Winter Clothes Adult]]+Table_NFI[[#This Row],[Winter Clothes Children]]+Table_NFI[[#This Row],[Winter Items Other]]+Table_NFI[[#This Row],[Winter Blanket]]&gt;0,1,0)</f>
        <v>0</v>
      </c>
      <c r="AN201" s="418">
        <f>IF(NFI_Expiration=1,IF($A201&lt;VLOOKUP(V$5,NFI,5,0),1,0)*Table_NFI[[#This Row],[Jerry Can]],Table_NFI[Jerry Can])</f>
        <v>0</v>
      </c>
      <c r="AO201" s="579" t="str">
        <f>IFERROR(VLOOKUP(Table_NFI[[#This Row],[Camp Name]],CL,2,0),"")</f>
        <v>MMR001CMP018</v>
      </c>
      <c r="AP201" s="574">
        <f ca="1">IF(Table_NFI[[#This Row],[Pcode]]="","",IF(OFFSET(CampList[Opening Date],MATCH(Table_NFI[[#This Row],[Pcode]],CampList[CP_Pcode],0)-1,0,1,1)&gt;=NFI_Monitor_Date,1,0))</f>
        <v>0</v>
      </c>
      <c r="AQ201" s="579" t="str">
        <f>IFERROR(VLOOKUP(Table_NFI[[#This Row],[Camp Name]],CL,3,0),"")</f>
        <v>Open</v>
      </c>
      <c r="AR201" s="378" t="str">
        <f ca="1">IF(Table_NFI[[#This Row],[Pcode]]="","",OFFSET(CampList[Priority],MATCH(Table_NFI[[#This Row],[Pcode]],CampList[CP_Pcode],0)-1,0,1,1))</f>
        <v>P4</v>
      </c>
      <c r="AS201" s="377">
        <f>IFERROR(Table_NFI[[#This Row],[Kitchen Set]]/VLOOKUP(Table_NFI[[#This Row],[Camp Name]],CL,4,0),"")</f>
        <v>4.9019607843137254E-2</v>
      </c>
      <c r="AT201" s="572" t="s">
        <v>1095</v>
      </c>
      <c r="AU201" s="575"/>
    </row>
    <row r="202" spans="1:47" s="576" customFormat="1" x14ac:dyDescent="0.25">
      <c r="A202" s="381">
        <f t="shared" si="3"/>
        <v>40.4</v>
      </c>
      <c r="B202" s="571">
        <v>41310</v>
      </c>
      <c r="C202" s="572" t="s">
        <v>903</v>
      </c>
      <c r="D202" s="572" t="s">
        <v>903</v>
      </c>
      <c r="E202" s="572" t="s">
        <v>380</v>
      </c>
      <c r="F202" s="572" t="s">
        <v>237</v>
      </c>
      <c r="G202" s="374" t="s">
        <v>253</v>
      </c>
      <c r="H202" s="375">
        <v>22</v>
      </c>
      <c r="I202" s="375"/>
      <c r="J202" s="375"/>
      <c r="K202" s="375"/>
      <c r="L202" s="376"/>
      <c r="M202" s="376"/>
      <c r="N202" s="376"/>
      <c r="O202" s="376"/>
      <c r="P202" s="378">
        <v>0</v>
      </c>
      <c r="Q202" s="378">
        <v>0</v>
      </c>
      <c r="R202" s="378"/>
      <c r="S202" s="378"/>
      <c r="T202" s="378"/>
      <c r="U202" s="378"/>
      <c r="V202" s="533"/>
      <c r="W202" s="378"/>
      <c r="X202" s="378"/>
      <c r="Y202" s="378">
        <f>IF(NFI_Expiration=1,IF($A202&lt;VLOOKUP(H$5,NFI,5,0),1,0)*Table_NFI[[#This Row],[Hygiene Kit]],Table_NFI[Hygiene Kit])</f>
        <v>0</v>
      </c>
      <c r="Z202" s="378">
        <f>IF(NFI_Expiration=1,IF($A202&lt;VLOOKUP(I$5,NFI,5,0),1,0)*Table_NFI[[#This Row],[NFI Core Kit]],Table_NFI[NFI Core Kit])</f>
        <v>0</v>
      </c>
      <c r="AA202" s="378">
        <f>IF(NFI_Expiration=1,IF($A202&lt;VLOOKUP(J$5,NFI,5,0),1,0)*Table_NFI[[#This Row],[Sanitary Kit]],Table_NFI[Sanitary Kit])</f>
        <v>0</v>
      </c>
      <c r="AB202" s="378">
        <f>IF(NFI_Expiration=1,IF($A202&lt;VLOOKUP(K$5,NFI,5,0),1,0)*Table_NFI[[#This Row],[Mosquito net]],Table_NFI[Mosquito net])</f>
        <v>0</v>
      </c>
      <c r="AC202" s="378">
        <f>IF(NFI_Expiration=1,IF($A202&lt;VLOOKUP(L$5,NFI,5,0),1,0)*Table_NFI[[#This Row],[Tarpaulin]],Table_NFI[[#This Row],[Tarpaulin]])</f>
        <v>0</v>
      </c>
      <c r="AD202" s="378">
        <f>IF(NFI_Expiration=1,IF($A202&lt;VLOOKUP(M$5,NFI,5,0),1,0)*Table_NFI[[#This Row],[Blanket]],Table_NFI[[#This Row],[Blanket]])</f>
        <v>0</v>
      </c>
      <c r="AE202" s="378">
        <f>IF(NFI_Expiration=1,IF($A202&lt;VLOOKUP(N$5,NFI,5,0),1,0)*Table_NFI[[#This Row],[Kitchen Set]],Table_NFI[Kitchen Set])</f>
        <v>0</v>
      </c>
      <c r="AF202" s="378">
        <f>IF(NFI_Expiration=1,IF($A202&lt;VLOOKUP(O$5,NFI,5,0),1,0)*Table_NFI[[#This Row],[Clothes Kit]],Table_NFI[Clothes Kit])</f>
        <v>0</v>
      </c>
      <c r="AG202" s="378">
        <f>IF(NFI_Expiration=1,IF($A202&lt;VLOOKUP(P$5,NFI,5,0),1,0)*Table_NFI[[#This Row],[Plastic Bucket]],Table_NFI[Plastic Bucket])</f>
        <v>0</v>
      </c>
      <c r="AH202" s="378">
        <f>IF(NFI_Expiration=1,IF($A202&lt;VLOOKUP(Q$5,NFI,5,0),1,0)*Table_NFI[[#This Row],[Plastic Mat]],Table_NFI[Plastic Mat])*IF(Table_NFI[[#This Row],[Distribution Date]]&gt;"2014-04-01",1,2.5)</f>
        <v>0</v>
      </c>
      <c r="AI202" s="378">
        <f>IF(NFI_Expiration=1,IF($A202&lt;VLOOKUP(R$5,NFI,5,0),1,0)*Table_NFI[[#This Row],[Winter Clothes Adult]],Table_NFI[Winter Clothes Adult])</f>
        <v>0</v>
      </c>
      <c r="AJ202" s="378">
        <f>IF(NFI_Expiration=1,IF($A202&lt;VLOOKUP(S$5,NFI,5,0),1,0)*Table_NFI[[#This Row],[Winter Clothes Children]],Table_NFI[Winter Clothes Children])</f>
        <v>0</v>
      </c>
      <c r="AK202" s="378">
        <f>IF(NFI_Expiration=1,IF($A202&lt;VLOOKUP(T$5,NFI,5,0),1,0)*Table_NFI[[#This Row],[Winter Items Other]],Table_NFI[Winter Items Other])</f>
        <v>0</v>
      </c>
      <c r="AL202" s="378">
        <f>IF(NFI_Expiration=1,IF($A202&lt;VLOOKUP(M$5,NFI,5,0),1,0)*Table_NFI[[#This Row],[Winter Blanket]],Table_NFI[[#This Row],[Winter Blanket]])</f>
        <v>0</v>
      </c>
      <c r="AM202" s="378">
        <f>IF(Table_NFI[[#This Row],[Winter Clothes Adult]]+Table_NFI[[#This Row],[Winter Clothes Children]]+Table_NFI[[#This Row],[Winter Items Other]]+Table_NFI[[#This Row],[Winter Blanket]]&gt;0,1,0)</f>
        <v>0</v>
      </c>
      <c r="AN202" s="418">
        <f>IF(NFI_Expiration=1,IF($A202&lt;VLOOKUP(V$5,NFI,5,0),1,0)*Table_NFI[[#This Row],[Jerry Can]],Table_NFI[Jerry Can])</f>
        <v>0</v>
      </c>
      <c r="AO202" s="579" t="str">
        <f>IFERROR(VLOOKUP(Table_NFI[[#This Row],[Camp Name]],CL,2,0),"")</f>
        <v>MMR001CMP018</v>
      </c>
      <c r="AP202" s="574">
        <f ca="1">IF(Table_NFI[[#This Row],[Pcode]]="","",IF(OFFSET(CampList[Opening Date],MATCH(Table_NFI[[#This Row],[Pcode]],CampList[CP_Pcode],0)-1,0,1,1)&gt;=NFI_Monitor_Date,1,0))</f>
        <v>0</v>
      </c>
      <c r="AQ202" s="579" t="str">
        <f>IFERROR(VLOOKUP(Table_NFI[[#This Row],[Camp Name]],CL,3,0),"")</f>
        <v>Open</v>
      </c>
      <c r="AR202" s="378" t="str">
        <f ca="1">IF(Table_NFI[[#This Row],[Pcode]]="","",OFFSET(CampList[Priority],MATCH(Table_NFI[[#This Row],[Pcode]],CampList[CP_Pcode],0)-1,0,1,1))</f>
        <v>P4</v>
      </c>
      <c r="AS202" s="377">
        <f>IFERROR(Table_NFI[[#This Row],[Kitchen Set]]/VLOOKUP(Table_NFI[[#This Row],[Camp Name]],CL,4,0),"")</f>
        <v>0</v>
      </c>
      <c r="AT202" s="572" t="s">
        <v>1095</v>
      </c>
      <c r="AU202" s="575"/>
    </row>
    <row r="203" spans="1:47" s="576" customFormat="1" x14ac:dyDescent="0.25">
      <c r="A203" s="381">
        <f t="shared" si="3"/>
        <v>41.966666666666669</v>
      </c>
      <c r="B203" s="571">
        <v>41263</v>
      </c>
      <c r="C203" s="572" t="s">
        <v>454</v>
      </c>
      <c r="D203" s="572" t="s">
        <v>454</v>
      </c>
      <c r="E203" s="572" t="s">
        <v>380</v>
      </c>
      <c r="F203" s="572" t="s">
        <v>237</v>
      </c>
      <c r="G203" s="374" t="s">
        <v>253</v>
      </c>
      <c r="H203" s="375"/>
      <c r="I203" s="375"/>
      <c r="J203" s="375"/>
      <c r="K203" s="375">
        <v>19</v>
      </c>
      <c r="L203" s="376">
        <v>10</v>
      </c>
      <c r="M203" s="376">
        <v>19</v>
      </c>
      <c r="N203" s="376">
        <v>10</v>
      </c>
      <c r="O203" s="376">
        <v>10</v>
      </c>
      <c r="P203" s="378">
        <v>10</v>
      </c>
      <c r="Q203" s="378">
        <v>10</v>
      </c>
      <c r="R203" s="378"/>
      <c r="S203" s="378"/>
      <c r="T203" s="378"/>
      <c r="U203" s="378"/>
      <c r="V203" s="533"/>
      <c r="W203" s="378"/>
      <c r="X203" s="378"/>
      <c r="Y203" s="378">
        <f>IF(NFI_Expiration=1,IF($A203&lt;VLOOKUP(H$5,NFI,5,0),1,0)*Table_NFI[[#This Row],[Hygiene Kit]],Table_NFI[Hygiene Kit])</f>
        <v>0</v>
      </c>
      <c r="Z203" s="378">
        <f>IF(NFI_Expiration=1,IF($A203&lt;VLOOKUP(I$5,NFI,5,0),1,0)*Table_NFI[[#This Row],[NFI Core Kit]],Table_NFI[NFI Core Kit])</f>
        <v>0</v>
      </c>
      <c r="AA203" s="378">
        <f>IF(NFI_Expiration=1,IF($A203&lt;VLOOKUP(J$5,NFI,5,0),1,0)*Table_NFI[[#This Row],[Sanitary Kit]],Table_NFI[Sanitary Kit])</f>
        <v>0</v>
      </c>
      <c r="AB203" s="378">
        <f>IF(NFI_Expiration=1,IF($A203&lt;VLOOKUP(K$5,NFI,5,0),1,0)*Table_NFI[[#This Row],[Mosquito net]],Table_NFI[Mosquito net])</f>
        <v>0</v>
      </c>
      <c r="AC203" s="378">
        <f>IF(NFI_Expiration=1,IF($A203&lt;VLOOKUP(L$5,NFI,5,0),1,0)*Table_NFI[[#This Row],[Tarpaulin]],Table_NFI[[#This Row],[Tarpaulin]])</f>
        <v>0</v>
      </c>
      <c r="AD203" s="378">
        <f>IF(NFI_Expiration=1,IF($A203&lt;VLOOKUP(M$5,NFI,5,0),1,0)*Table_NFI[[#This Row],[Blanket]],Table_NFI[[#This Row],[Blanket]])</f>
        <v>0</v>
      </c>
      <c r="AE203" s="378">
        <f>IF(NFI_Expiration=1,IF($A203&lt;VLOOKUP(N$5,NFI,5,0),1,0)*Table_NFI[[#This Row],[Kitchen Set]],Table_NFI[Kitchen Set])</f>
        <v>0</v>
      </c>
      <c r="AF203" s="378">
        <f>IF(NFI_Expiration=1,IF($A203&lt;VLOOKUP(O$5,NFI,5,0),1,0)*Table_NFI[[#This Row],[Clothes Kit]],Table_NFI[Clothes Kit])</f>
        <v>0</v>
      </c>
      <c r="AG203" s="378">
        <f>IF(NFI_Expiration=1,IF($A203&lt;VLOOKUP(P$5,NFI,5,0),1,0)*Table_NFI[[#This Row],[Plastic Bucket]],Table_NFI[Plastic Bucket])</f>
        <v>0</v>
      </c>
      <c r="AH203" s="378">
        <f>IF(NFI_Expiration=1,IF($A203&lt;VLOOKUP(Q$5,NFI,5,0),1,0)*Table_NFI[[#This Row],[Plastic Mat]],Table_NFI[Plastic Mat])*IF(Table_NFI[[#This Row],[Distribution Date]]&gt;"2014-04-01",1,2.5)</f>
        <v>0</v>
      </c>
      <c r="AI203" s="378">
        <f>IF(NFI_Expiration=1,IF($A203&lt;VLOOKUP(R$5,NFI,5,0),1,0)*Table_NFI[[#This Row],[Winter Clothes Adult]],Table_NFI[Winter Clothes Adult])</f>
        <v>0</v>
      </c>
      <c r="AJ203" s="378">
        <f>IF(NFI_Expiration=1,IF($A203&lt;VLOOKUP(S$5,NFI,5,0),1,0)*Table_NFI[[#This Row],[Winter Clothes Children]],Table_NFI[Winter Clothes Children])</f>
        <v>0</v>
      </c>
      <c r="AK203" s="378">
        <f>IF(NFI_Expiration=1,IF($A203&lt;VLOOKUP(T$5,NFI,5,0),1,0)*Table_NFI[[#This Row],[Winter Items Other]],Table_NFI[Winter Items Other])</f>
        <v>0</v>
      </c>
      <c r="AL203" s="378">
        <f>IF(NFI_Expiration=1,IF($A203&lt;VLOOKUP(M$5,NFI,5,0),1,0)*Table_NFI[[#This Row],[Winter Blanket]],Table_NFI[[#This Row],[Winter Blanket]])</f>
        <v>0</v>
      </c>
      <c r="AM203" s="378">
        <f>IF(Table_NFI[[#This Row],[Winter Clothes Adult]]+Table_NFI[[#This Row],[Winter Clothes Children]]+Table_NFI[[#This Row],[Winter Items Other]]+Table_NFI[[#This Row],[Winter Blanket]]&gt;0,1,0)</f>
        <v>0</v>
      </c>
      <c r="AN203" s="418">
        <f>IF(NFI_Expiration=1,IF($A203&lt;VLOOKUP(V$5,NFI,5,0),1,0)*Table_NFI[[#This Row],[Jerry Can]],Table_NFI[Jerry Can])</f>
        <v>0</v>
      </c>
      <c r="AO203" s="579" t="str">
        <f>IFERROR(VLOOKUP(Table_NFI[[#This Row],[Camp Name]],CL,2,0),"")</f>
        <v>MMR001CMP018</v>
      </c>
      <c r="AP203" s="574">
        <f ca="1">IF(Table_NFI[[#This Row],[Pcode]]="","",IF(OFFSET(CampList[Opening Date],MATCH(Table_NFI[[#This Row],[Pcode]],CampList[CP_Pcode],0)-1,0,1,1)&gt;=NFI_Monitor_Date,1,0))</f>
        <v>0</v>
      </c>
      <c r="AQ203" s="579" t="str">
        <f>IFERROR(VLOOKUP(Table_NFI[[#This Row],[Camp Name]],CL,3,0),"")</f>
        <v>Open</v>
      </c>
      <c r="AR203" s="378" t="str">
        <f ca="1">IF(Table_NFI[[#This Row],[Pcode]]="","",OFFSET(CampList[Priority],MATCH(Table_NFI[[#This Row],[Pcode]],CampList[CP_Pcode],0)-1,0,1,1))</f>
        <v>P4</v>
      </c>
      <c r="AS203" s="377">
        <f>IFERROR(Table_NFI[[#This Row],[Kitchen Set]]/VLOOKUP(Table_NFI[[#This Row],[Camp Name]],CL,4,0),"")</f>
        <v>4.9019607843137254E-2</v>
      </c>
      <c r="AT203" s="572" t="s">
        <v>1095</v>
      </c>
      <c r="AU203" s="575"/>
    </row>
    <row r="204" spans="1:47" s="576" customFormat="1" x14ac:dyDescent="0.25">
      <c r="A204" s="381">
        <f t="shared" si="3"/>
        <v>45.8</v>
      </c>
      <c r="B204" s="571">
        <v>41148</v>
      </c>
      <c r="C204" s="572" t="s">
        <v>454</v>
      </c>
      <c r="D204" s="573" t="s">
        <v>454</v>
      </c>
      <c r="E204" s="572" t="s">
        <v>380</v>
      </c>
      <c r="F204" s="374" t="s">
        <v>237</v>
      </c>
      <c r="G204" s="374" t="s">
        <v>253</v>
      </c>
      <c r="H204" s="375"/>
      <c r="I204" s="375"/>
      <c r="J204" s="375"/>
      <c r="K204" s="375">
        <v>7</v>
      </c>
      <c r="L204" s="376">
        <v>4</v>
      </c>
      <c r="M204" s="376">
        <v>7</v>
      </c>
      <c r="N204" s="376">
        <v>3</v>
      </c>
      <c r="O204" s="376">
        <v>3</v>
      </c>
      <c r="P204" s="378">
        <v>3</v>
      </c>
      <c r="Q204" s="378">
        <v>3</v>
      </c>
      <c r="R204" s="378"/>
      <c r="S204" s="378"/>
      <c r="T204" s="378"/>
      <c r="U204" s="378"/>
      <c r="V204" s="533"/>
      <c r="W204" s="378"/>
      <c r="X204" s="378"/>
      <c r="Y204" s="378">
        <f>IF(NFI_Expiration=1,IF($A204&lt;VLOOKUP(H$5,NFI,5,0),1,0)*Table_NFI[[#This Row],[Hygiene Kit]],Table_NFI[Hygiene Kit])</f>
        <v>0</v>
      </c>
      <c r="Z204" s="378">
        <f>IF(NFI_Expiration=1,IF($A204&lt;VLOOKUP(I$5,NFI,5,0),1,0)*Table_NFI[[#This Row],[NFI Core Kit]],Table_NFI[NFI Core Kit])</f>
        <v>0</v>
      </c>
      <c r="AA204" s="378">
        <f>IF(NFI_Expiration=1,IF($A204&lt;VLOOKUP(J$5,NFI,5,0),1,0)*Table_NFI[[#This Row],[Sanitary Kit]],Table_NFI[Sanitary Kit])</f>
        <v>0</v>
      </c>
      <c r="AB204" s="378">
        <f>IF(NFI_Expiration=1,IF($A204&lt;VLOOKUP(K$5,NFI,5,0),1,0)*Table_NFI[[#This Row],[Mosquito net]],Table_NFI[Mosquito net])</f>
        <v>0</v>
      </c>
      <c r="AC204" s="378">
        <f>IF(NFI_Expiration=1,IF($A204&lt;VLOOKUP(L$5,NFI,5,0),1,0)*Table_NFI[[#This Row],[Tarpaulin]],Table_NFI[[#This Row],[Tarpaulin]])</f>
        <v>0</v>
      </c>
      <c r="AD204" s="378">
        <f>IF(NFI_Expiration=1,IF($A204&lt;VLOOKUP(M$5,NFI,5,0),1,0)*Table_NFI[[#This Row],[Blanket]],Table_NFI[[#This Row],[Blanket]])</f>
        <v>0</v>
      </c>
      <c r="AE204" s="378">
        <f>IF(NFI_Expiration=1,IF($A204&lt;VLOOKUP(N$5,NFI,5,0),1,0)*Table_NFI[[#This Row],[Kitchen Set]],Table_NFI[Kitchen Set])</f>
        <v>0</v>
      </c>
      <c r="AF204" s="378">
        <f>IF(NFI_Expiration=1,IF($A204&lt;VLOOKUP(O$5,NFI,5,0),1,0)*Table_NFI[[#This Row],[Clothes Kit]],Table_NFI[Clothes Kit])</f>
        <v>0</v>
      </c>
      <c r="AG204" s="378">
        <f>IF(NFI_Expiration=1,IF($A204&lt;VLOOKUP(P$5,NFI,5,0),1,0)*Table_NFI[[#This Row],[Plastic Bucket]],Table_NFI[Plastic Bucket])</f>
        <v>0</v>
      </c>
      <c r="AH204" s="378">
        <f>IF(NFI_Expiration=1,IF($A204&lt;VLOOKUP(Q$5,NFI,5,0),1,0)*Table_NFI[[#This Row],[Plastic Mat]],Table_NFI[Plastic Mat])*IF(Table_NFI[[#This Row],[Distribution Date]]&gt;"2014-04-01",1,2.5)</f>
        <v>0</v>
      </c>
      <c r="AI204" s="378">
        <f>IF(NFI_Expiration=1,IF($A204&lt;VLOOKUP(R$5,NFI,5,0),1,0)*Table_NFI[[#This Row],[Winter Clothes Adult]],Table_NFI[Winter Clothes Adult])</f>
        <v>0</v>
      </c>
      <c r="AJ204" s="378">
        <f>IF(NFI_Expiration=1,IF($A204&lt;VLOOKUP(S$5,NFI,5,0),1,0)*Table_NFI[[#This Row],[Winter Clothes Children]],Table_NFI[Winter Clothes Children])</f>
        <v>0</v>
      </c>
      <c r="AK204" s="378">
        <f>IF(NFI_Expiration=1,IF($A204&lt;VLOOKUP(T$5,NFI,5,0),1,0)*Table_NFI[[#This Row],[Winter Items Other]],Table_NFI[Winter Items Other])</f>
        <v>0</v>
      </c>
      <c r="AL204" s="378">
        <f>IF(NFI_Expiration=1,IF($A204&lt;VLOOKUP(M$5,NFI,5,0),1,0)*Table_NFI[[#This Row],[Winter Blanket]],Table_NFI[[#This Row],[Winter Blanket]])</f>
        <v>0</v>
      </c>
      <c r="AM204" s="378">
        <f>IF(Table_NFI[[#This Row],[Winter Clothes Adult]]+Table_NFI[[#This Row],[Winter Clothes Children]]+Table_NFI[[#This Row],[Winter Items Other]]+Table_NFI[[#This Row],[Winter Blanket]]&gt;0,1,0)</f>
        <v>0</v>
      </c>
      <c r="AN204" s="418">
        <f>IF(NFI_Expiration=1,IF($A204&lt;VLOOKUP(V$5,NFI,5,0),1,0)*Table_NFI[[#This Row],[Jerry Can]],Table_NFI[Jerry Can])</f>
        <v>0</v>
      </c>
      <c r="AO204" s="579" t="str">
        <f>IFERROR(VLOOKUP(Table_NFI[[#This Row],[Camp Name]],CL,2,0),"")</f>
        <v>MMR001CMP018</v>
      </c>
      <c r="AP204" s="574">
        <f ca="1">IF(Table_NFI[[#This Row],[Pcode]]="","",IF(OFFSET(CampList[Opening Date],MATCH(Table_NFI[[#This Row],[Pcode]],CampList[CP_Pcode],0)-1,0,1,1)&gt;=NFI_Monitor_Date,1,0))</f>
        <v>0</v>
      </c>
      <c r="AQ204" s="579" t="str">
        <f>IFERROR(VLOOKUP(Table_NFI[[#This Row],[Camp Name]],CL,3,0),"")</f>
        <v>Open</v>
      </c>
      <c r="AR204" s="378" t="str">
        <f ca="1">IF(Table_NFI[[#This Row],[Pcode]]="","",OFFSET(CampList[Priority],MATCH(Table_NFI[[#This Row],[Pcode]],CampList[CP_Pcode],0)-1,0,1,1))</f>
        <v>P4</v>
      </c>
      <c r="AS204" s="377">
        <f>IFERROR(Table_NFI[[#This Row],[Kitchen Set]]/VLOOKUP(Table_NFI[[#This Row],[Camp Name]],CL,4,0),"")</f>
        <v>1.4705882352941176E-2</v>
      </c>
      <c r="AT204" s="572" t="s">
        <v>1095</v>
      </c>
      <c r="AU204" s="575"/>
    </row>
    <row r="205" spans="1:47" s="576" customFormat="1" x14ac:dyDescent="0.25">
      <c r="A205" s="381">
        <f t="shared" si="3"/>
        <v>46.4</v>
      </c>
      <c r="B205" s="571">
        <v>41130</v>
      </c>
      <c r="C205" s="572" t="s">
        <v>454</v>
      </c>
      <c r="D205" s="573" t="s">
        <v>454</v>
      </c>
      <c r="E205" s="572" t="s">
        <v>380</v>
      </c>
      <c r="F205" s="374" t="s">
        <v>237</v>
      </c>
      <c r="G205" s="374" t="s">
        <v>253</v>
      </c>
      <c r="H205" s="375"/>
      <c r="I205" s="380"/>
      <c r="J205" s="373"/>
      <c r="K205" s="373">
        <v>7</v>
      </c>
      <c r="L205" s="373">
        <v>3</v>
      </c>
      <c r="M205" s="373">
        <v>7</v>
      </c>
      <c r="N205" s="373">
        <v>3</v>
      </c>
      <c r="O205" s="373">
        <v>3</v>
      </c>
      <c r="P205" s="378">
        <v>3</v>
      </c>
      <c r="Q205" s="378">
        <v>3</v>
      </c>
      <c r="R205" s="378"/>
      <c r="S205" s="378"/>
      <c r="T205" s="378"/>
      <c r="U205" s="378"/>
      <c r="V205" s="533"/>
      <c r="W205" s="378"/>
      <c r="X205" s="378"/>
      <c r="Y205" s="378">
        <f>IF(NFI_Expiration=1,IF($A205&lt;VLOOKUP(H$5,NFI,5,0),1,0)*Table_NFI[[#This Row],[Hygiene Kit]],Table_NFI[Hygiene Kit])</f>
        <v>0</v>
      </c>
      <c r="Z205" s="378">
        <f>IF(NFI_Expiration=1,IF($A205&lt;VLOOKUP(I$5,NFI,5,0),1,0)*Table_NFI[[#This Row],[NFI Core Kit]],Table_NFI[NFI Core Kit])</f>
        <v>0</v>
      </c>
      <c r="AA205" s="378">
        <f>IF(NFI_Expiration=1,IF($A205&lt;VLOOKUP(J$5,NFI,5,0),1,0)*Table_NFI[[#This Row],[Sanitary Kit]],Table_NFI[Sanitary Kit])</f>
        <v>0</v>
      </c>
      <c r="AB205" s="378">
        <f>IF(NFI_Expiration=1,IF($A205&lt;VLOOKUP(K$5,NFI,5,0),1,0)*Table_NFI[[#This Row],[Mosquito net]],Table_NFI[Mosquito net])</f>
        <v>0</v>
      </c>
      <c r="AC205" s="378">
        <f>IF(NFI_Expiration=1,IF($A205&lt;VLOOKUP(L$5,NFI,5,0),1,0)*Table_NFI[[#This Row],[Tarpaulin]],Table_NFI[[#This Row],[Tarpaulin]])</f>
        <v>0</v>
      </c>
      <c r="AD205" s="378">
        <f>IF(NFI_Expiration=1,IF($A205&lt;VLOOKUP(M$5,NFI,5,0),1,0)*Table_NFI[[#This Row],[Blanket]],Table_NFI[[#This Row],[Blanket]])</f>
        <v>0</v>
      </c>
      <c r="AE205" s="378">
        <f>IF(NFI_Expiration=1,IF($A205&lt;VLOOKUP(N$5,NFI,5,0),1,0)*Table_NFI[[#This Row],[Kitchen Set]],Table_NFI[Kitchen Set])</f>
        <v>0</v>
      </c>
      <c r="AF205" s="378">
        <f>IF(NFI_Expiration=1,IF($A205&lt;VLOOKUP(O$5,NFI,5,0),1,0)*Table_NFI[[#This Row],[Clothes Kit]],Table_NFI[Clothes Kit])</f>
        <v>0</v>
      </c>
      <c r="AG205" s="378">
        <f>IF(NFI_Expiration=1,IF($A205&lt;VLOOKUP(P$5,NFI,5,0),1,0)*Table_NFI[[#This Row],[Plastic Bucket]],Table_NFI[Plastic Bucket])</f>
        <v>0</v>
      </c>
      <c r="AH205" s="378">
        <f>IF(NFI_Expiration=1,IF($A205&lt;VLOOKUP(Q$5,NFI,5,0),1,0)*Table_NFI[[#This Row],[Plastic Mat]],Table_NFI[Plastic Mat])*IF(Table_NFI[[#This Row],[Distribution Date]]&gt;"2014-04-01",1,2.5)</f>
        <v>0</v>
      </c>
      <c r="AI205" s="378">
        <f>IF(NFI_Expiration=1,IF($A205&lt;VLOOKUP(R$5,NFI,5,0),1,0)*Table_NFI[[#This Row],[Winter Clothes Adult]],Table_NFI[Winter Clothes Adult])</f>
        <v>0</v>
      </c>
      <c r="AJ205" s="378">
        <f>IF(NFI_Expiration=1,IF($A205&lt;VLOOKUP(S$5,NFI,5,0),1,0)*Table_NFI[[#This Row],[Winter Clothes Children]],Table_NFI[Winter Clothes Children])</f>
        <v>0</v>
      </c>
      <c r="AK205" s="378">
        <f>IF(NFI_Expiration=1,IF($A205&lt;VLOOKUP(T$5,NFI,5,0),1,0)*Table_NFI[[#This Row],[Winter Items Other]],Table_NFI[Winter Items Other])</f>
        <v>0</v>
      </c>
      <c r="AL205" s="378">
        <f>IF(NFI_Expiration=1,IF($A205&lt;VLOOKUP(M$5,NFI,5,0),1,0)*Table_NFI[[#This Row],[Winter Blanket]],Table_NFI[[#This Row],[Winter Blanket]])</f>
        <v>0</v>
      </c>
      <c r="AM205" s="378">
        <f>IF(Table_NFI[[#This Row],[Winter Clothes Adult]]+Table_NFI[[#This Row],[Winter Clothes Children]]+Table_NFI[[#This Row],[Winter Items Other]]+Table_NFI[[#This Row],[Winter Blanket]]&gt;0,1,0)</f>
        <v>0</v>
      </c>
      <c r="AN205" s="418">
        <f>IF(NFI_Expiration=1,IF($A205&lt;VLOOKUP(V$5,NFI,5,0),1,0)*Table_NFI[[#This Row],[Jerry Can]],Table_NFI[Jerry Can])</f>
        <v>0</v>
      </c>
      <c r="AO205" s="579" t="str">
        <f>IFERROR(VLOOKUP(Table_NFI[[#This Row],[Camp Name]],CL,2,0),"")</f>
        <v>MMR001CMP018</v>
      </c>
      <c r="AP205" s="574">
        <f ca="1">IF(Table_NFI[[#This Row],[Pcode]]="","",IF(OFFSET(CampList[Opening Date],MATCH(Table_NFI[[#This Row],[Pcode]],CampList[CP_Pcode],0)-1,0,1,1)&gt;=NFI_Monitor_Date,1,0))</f>
        <v>0</v>
      </c>
      <c r="AQ205" s="579" t="str">
        <f>IFERROR(VLOOKUP(Table_NFI[[#This Row],[Camp Name]],CL,3,0),"")</f>
        <v>Open</v>
      </c>
      <c r="AR205" s="378" t="str">
        <f ca="1">IF(Table_NFI[[#This Row],[Pcode]]="","",OFFSET(CampList[Priority],MATCH(Table_NFI[[#This Row],[Pcode]],CampList[CP_Pcode],0)-1,0,1,1))</f>
        <v>P4</v>
      </c>
      <c r="AS205" s="377">
        <f>IFERROR(Table_NFI[[#This Row],[Kitchen Set]]/VLOOKUP(Table_NFI[[#This Row],[Camp Name]],CL,4,0),"")</f>
        <v>1.4705882352941176E-2</v>
      </c>
      <c r="AT205" s="572" t="s">
        <v>1095</v>
      </c>
      <c r="AU205" s="575"/>
    </row>
    <row r="206" spans="1:47" s="576" customFormat="1" x14ac:dyDescent="0.25">
      <c r="A206" s="381">
        <f t="shared" si="3"/>
        <v>47.166666666666664</v>
      </c>
      <c r="B206" s="571">
        <v>41107</v>
      </c>
      <c r="C206" s="572" t="s">
        <v>454</v>
      </c>
      <c r="D206" s="573" t="s">
        <v>454</v>
      </c>
      <c r="E206" s="572" t="s">
        <v>380</v>
      </c>
      <c r="F206" s="374" t="s">
        <v>237</v>
      </c>
      <c r="G206" s="374" t="s">
        <v>253</v>
      </c>
      <c r="H206" s="375"/>
      <c r="I206" s="375"/>
      <c r="J206" s="375"/>
      <c r="K206" s="375">
        <v>21</v>
      </c>
      <c r="L206" s="376">
        <v>21</v>
      </c>
      <c r="M206" s="376">
        <v>21</v>
      </c>
      <c r="N206" s="376">
        <v>21</v>
      </c>
      <c r="O206" s="376">
        <v>21</v>
      </c>
      <c r="P206" s="378">
        <v>21</v>
      </c>
      <c r="Q206" s="378">
        <v>21</v>
      </c>
      <c r="R206" s="378"/>
      <c r="S206" s="378"/>
      <c r="T206" s="378"/>
      <c r="U206" s="378"/>
      <c r="V206" s="533"/>
      <c r="W206" s="378"/>
      <c r="X206" s="378"/>
      <c r="Y206" s="378">
        <f>IF(NFI_Expiration=1,IF($A206&lt;VLOOKUP(H$5,NFI,5,0),1,0)*Table_NFI[[#This Row],[Hygiene Kit]],Table_NFI[Hygiene Kit])</f>
        <v>0</v>
      </c>
      <c r="Z206" s="378">
        <f>IF(NFI_Expiration=1,IF($A206&lt;VLOOKUP(I$5,NFI,5,0),1,0)*Table_NFI[[#This Row],[NFI Core Kit]],Table_NFI[NFI Core Kit])</f>
        <v>0</v>
      </c>
      <c r="AA206" s="378">
        <f>IF(NFI_Expiration=1,IF($A206&lt;VLOOKUP(J$5,NFI,5,0),1,0)*Table_NFI[[#This Row],[Sanitary Kit]],Table_NFI[Sanitary Kit])</f>
        <v>0</v>
      </c>
      <c r="AB206" s="378">
        <f>IF(NFI_Expiration=1,IF($A206&lt;VLOOKUP(K$5,NFI,5,0),1,0)*Table_NFI[[#This Row],[Mosquito net]],Table_NFI[Mosquito net])</f>
        <v>0</v>
      </c>
      <c r="AC206" s="378">
        <f>IF(NFI_Expiration=1,IF($A206&lt;VLOOKUP(L$5,NFI,5,0),1,0)*Table_NFI[[#This Row],[Tarpaulin]],Table_NFI[[#This Row],[Tarpaulin]])</f>
        <v>0</v>
      </c>
      <c r="AD206" s="378">
        <f>IF(NFI_Expiration=1,IF($A206&lt;VLOOKUP(M$5,NFI,5,0),1,0)*Table_NFI[[#This Row],[Blanket]],Table_NFI[[#This Row],[Blanket]])</f>
        <v>0</v>
      </c>
      <c r="AE206" s="378">
        <f>IF(NFI_Expiration=1,IF($A206&lt;VLOOKUP(N$5,NFI,5,0),1,0)*Table_NFI[[#This Row],[Kitchen Set]],Table_NFI[Kitchen Set])</f>
        <v>0</v>
      </c>
      <c r="AF206" s="378">
        <f>IF(NFI_Expiration=1,IF($A206&lt;VLOOKUP(O$5,NFI,5,0),1,0)*Table_NFI[[#This Row],[Clothes Kit]],Table_NFI[Clothes Kit])</f>
        <v>0</v>
      </c>
      <c r="AG206" s="378">
        <f>IF(NFI_Expiration=1,IF($A206&lt;VLOOKUP(P$5,NFI,5,0),1,0)*Table_NFI[[#This Row],[Plastic Bucket]],Table_NFI[Plastic Bucket])</f>
        <v>0</v>
      </c>
      <c r="AH206" s="378">
        <f>IF(NFI_Expiration=1,IF($A206&lt;VLOOKUP(Q$5,NFI,5,0),1,0)*Table_NFI[[#This Row],[Plastic Mat]],Table_NFI[Plastic Mat])*IF(Table_NFI[[#This Row],[Distribution Date]]&gt;"2014-04-01",1,2.5)</f>
        <v>0</v>
      </c>
      <c r="AI206" s="378">
        <f>IF(NFI_Expiration=1,IF($A206&lt;VLOOKUP(R$5,NFI,5,0),1,0)*Table_NFI[[#This Row],[Winter Clothes Adult]],Table_NFI[Winter Clothes Adult])</f>
        <v>0</v>
      </c>
      <c r="AJ206" s="378">
        <f>IF(NFI_Expiration=1,IF($A206&lt;VLOOKUP(S$5,NFI,5,0),1,0)*Table_NFI[[#This Row],[Winter Clothes Children]],Table_NFI[Winter Clothes Children])</f>
        <v>0</v>
      </c>
      <c r="AK206" s="378">
        <f>IF(NFI_Expiration=1,IF($A206&lt;VLOOKUP(T$5,NFI,5,0),1,0)*Table_NFI[[#This Row],[Winter Items Other]],Table_NFI[Winter Items Other])</f>
        <v>0</v>
      </c>
      <c r="AL206" s="378">
        <f>IF(NFI_Expiration=1,IF($A206&lt;VLOOKUP(M$5,NFI,5,0),1,0)*Table_NFI[[#This Row],[Winter Blanket]],Table_NFI[[#This Row],[Winter Blanket]])</f>
        <v>0</v>
      </c>
      <c r="AM206" s="378">
        <f>IF(Table_NFI[[#This Row],[Winter Clothes Adult]]+Table_NFI[[#This Row],[Winter Clothes Children]]+Table_NFI[[#This Row],[Winter Items Other]]+Table_NFI[[#This Row],[Winter Blanket]]&gt;0,1,0)</f>
        <v>0</v>
      </c>
      <c r="AN206" s="418">
        <f>IF(NFI_Expiration=1,IF($A206&lt;VLOOKUP(V$5,NFI,5,0),1,0)*Table_NFI[[#This Row],[Jerry Can]],Table_NFI[Jerry Can])</f>
        <v>0</v>
      </c>
      <c r="AO206" s="579" t="str">
        <f>IFERROR(VLOOKUP(Table_NFI[[#This Row],[Camp Name]],CL,2,0),"")</f>
        <v>MMR001CMP018</v>
      </c>
      <c r="AP206" s="574">
        <f ca="1">IF(Table_NFI[[#This Row],[Pcode]]="","",IF(OFFSET(CampList[Opening Date],MATCH(Table_NFI[[#This Row],[Pcode]],CampList[CP_Pcode],0)-1,0,1,1)&gt;=NFI_Monitor_Date,1,0))</f>
        <v>0</v>
      </c>
      <c r="AQ206" s="579" t="str">
        <f>IFERROR(VLOOKUP(Table_NFI[[#This Row],[Camp Name]],CL,3,0),"")</f>
        <v>Open</v>
      </c>
      <c r="AR206" s="378" t="str">
        <f ca="1">IF(Table_NFI[[#This Row],[Pcode]]="","",OFFSET(CampList[Priority],MATCH(Table_NFI[[#This Row],[Pcode]],CampList[CP_Pcode],0)-1,0,1,1))</f>
        <v>P4</v>
      </c>
      <c r="AS206" s="377">
        <f>IFERROR(Table_NFI[[#This Row],[Kitchen Set]]/VLOOKUP(Table_NFI[[#This Row],[Camp Name]],CL,4,0),"")</f>
        <v>0.10294117647058823</v>
      </c>
      <c r="AT206" s="572" t="s">
        <v>1095</v>
      </c>
      <c r="AU206" s="575"/>
    </row>
    <row r="207" spans="1:47" s="130" customFormat="1" x14ac:dyDescent="0.25">
      <c r="A207" s="381">
        <f t="shared" si="3"/>
        <v>49</v>
      </c>
      <c r="B207" s="571">
        <v>41052</v>
      </c>
      <c r="C207" s="572" t="s">
        <v>454</v>
      </c>
      <c r="D207" s="572" t="s">
        <v>454</v>
      </c>
      <c r="E207" s="572" t="s">
        <v>380</v>
      </c>
      <c r="F207" s="374" t="s">
        <v>237</v>
      </c>
      <c r="G207" s="374" t="s">
        <v>253</v>
      </c>
      <c r="H207" s="375"/>
      <c r="I207" s="375"/>
      <c r="J207" s="375"/>
      <c r="K207" s="375">
        <v>22</v>
      </c>
      <c r="L207" s="376">
        <v>15</v>
      </c>
      <c r="M207" s="376">
        <v>22</v>
      </c>
      <c r="N207" s="376">
        <v>15</v>
      </c>
      <c r="O207" s="376">
        <v>15</v>
      </c>
      <c r="P207" s="378">
        <v>15</v>
      </c>
      <c r="Q207" s="378">
        <v>15</v>
      </c>
      <c r="R207" s="378"/>
      <c r="S207" s="378"/>
      <c r="T207" s="378"/>
      <c r="U207" s="378"/>
      <c r="V207" s="533"/>
      <c r="W207" s="378"/>
      <c r="X207" s="378"/>
      <c r="Y207" s="378">
        <f>IF(NFI_Expiration=1,IF($A207&lt;VLOOKUP(H$5,NFI,5,0),1,0)*Table_NFI[[#This Row],[Hygiene Kit]],Table_NFI[Hygiene Kit])</f>
        <v>0</v>
      </c>
      <c r="Z207" s="378">
        <f>IF(NFI_Expiration=1,IF($A207&lt;VLOOKUP(I$5,NFI,5,0),1,0)*Table_NFI[[#This Row],[NFI Core Kit]],Table_NFI[NFI Core Kit])</f>
        <v>0</v>
      </c>
      <c r="AA207" s="378">
        <f>IF(NFI_Expiration=1,IF($A207&lt;VLOOKUP(J$5,NFI,5,0),1,0)*Table_NFI[[#This Row],[Sanitary Kit]],Table_NFI[Sanitary Kit])</f>
        <v>0</v>
      </c>
      <c r="AB207" s="378">
        <f>IF(NFI_Expiration=1,IF($A207&lt;VLOOKUP(K$5,NFI,5,0),1,0)*Table_NFI[[#This Row],[Mosquito net]],Table_NFI[Mosquito net])</f>
        <v>0</v>
      </c>
      <c r="AC207" s="378">
        <f>IF(NFI_Expiration=1,IF($A207&lt;VLOOKUP(L$5,NFI,5,0),1,0)*Table_NFI[[#This Row],[Tarpaulin]],Table_NFI[[#This Row],[Tarpaulin]])</f>
        <v>0</v>
      </c>
      <c r="AD207" s="378">
        <f>IF(NFI_Expiration=1,IF($A207&lt;VLOOKUP(M$5,NFI,5,0),1,0)*Table_NFI[[#This Row],[Blanket]],Table_NFI[[#This Row],[Blanket]])</f>
        <v>0</v>
      </c>
      <c r="AE207" s="378">
        <f>IF(NFI_Expiration=1,IF($A207&lt;VLOOKUP(N$5,NFI,5,0),1,0)*Table_NFI[[#This Row],[Kitchen Set]],Table_NFI[Kitchen Set])</f>
        <v>0</v>
      </c>
      <c r="AF207" s="378">
        <f>IF(NFI_Expiration=1,IF($A207&lt;VLOOKUP(O$5,NFI,5,0),1,0)*Table_NFI[[#This Row],[Clothes Kit]],Table_NFI[Clothes Kit])</f>
        <v>0</v>
      </c>
      <c r="AG207" s="378">
        <f>IF(NFI_Expiration=1,IF($A207&lt;VLOOKUP(P$5,NFI,5,0),1,0)*Table_NFI[[#This Row],[Plastic Bucket]],Table_NFI[Plastic Bucket])</f>
        <v>0</v>
      </c>
      <c r="AH207" s="378">
        <f>IF(NFI_Expiration=1,IF($A207&lt;VLOOKUP(Q$5,NFI,5,0),1,0)*Table_NFI[[#This Row],[Plastic Mat]],Table_NFI[Plastic Mat])*IF(Table_NFI[[#This Row],[Distribution Date]]&gt;"2014-04-01",1,2.5)</f>
        <v>0</v>
      </c>
      <c r="AI207" s="378">
        <f>IF(NFI_Expiration=1,IF($A207&lt;VLOOKUP(R$5,NFI,5,0),1,0)*Table_NFI[[#This Row],[Winter Clothes Adult]],Table_NFI[Winter Clothes Adult])</f>
        <v>0</v>
      </c>
      <c r="AJ207" s="378">
        <f>IF(NFI_Expiration=1,IF($A207&lt;VLOOKUP(S$5,NFI,5,0),1,0)*Table_NFI[[#This Row],[Winter Clothes Children]],Table_NFI[Winter Clothes Children])</f>
        <v>0</v>
      </c>
      <c r="AK207" s="378">
        <f>IF(NFI_Expiration=1,IF($A207&lt;VLOOKUP(T$5,NFI,5,0),1,0)*Table_NFI[[#This Row],[Winter Items Other]],Table_NFI[Winter Items Other])</f>
        <v>0</v>
      </c>
      <c r="AL207" s="378">
        <f>IF(NFI_Expiration=1,IF($A207&lt;VLOOKUP(M$5,NFI,5,0),1,0)*Table_NFI[[#This Row],[Winter Blanket]],Table_NFI[[#This Row],[Winter Blanket]])</f>
        <v>0</v>
      </c>
      <c r="AM207" s="378">
        <f>IF(Table_NFI[[#This Row],[Winter Clothes Adult]]+Table_NFI[[#This Row],[Winter Clothes Children]]+Table_NFI[[#This Row],[Winter Items Other]]+Table_NFI[[#This Row],[Winter Blanket]]&gt;0,1,0)</f>
        <v>0</v>
      </c>
      <c r="AN207" s="418">
        <f>IF(NFI_Expiration=1,IF($A207&lt;VLOOKUP(V$5,NFI,5,0),1,0)*Table_NFI[[#This Row],[Jerry Can]],Table_NFI[Jerry Can])</f>
        <v>0</v>
      </c>
      <c r="AO207" s="579" t="str">
        <f>IFERROR(VLOOKUP(Table_NFI[[#This Row],[Camp Name]],CL,2,0),"")</f>
        <v>MMR001CMP018</v>
      </c>
      <c r="AP207" s="574">
        <f ca="1">IF(Table_NFI[[#This Row],[Pcode]]="","",IF(OFFSET(CampList[Opening Date],MATCH(Table_NFI[[#This Row],[Pcode]],CampList[CP_Pcode],0)-1,0,1,1)&gt;=NFI_Monitor_Date,1,0))</f>
        <v>0</v>
      </c>
      <c r="AQ207" s="579" t="str">
        <f>IFERROR(VLOOKUP(Table_NFI[[#This Row],[Camp Name]],CL,3,0),"")</f>
        <v>Open</v>
      </c>
      <c r="AR207" s="378" t="str">
        <f ca="1">IF(Table_NFI[[#This Row],[Pcode]]="","",OFFSET(CampList[Priority],MATCH(Table_NFI[[#This Row],[Pcode]],CampList[CP_Pcode],0)-1,0,1,1))</f>
        <v>P4</v>
      </c>
      <c r="AS207" s="377">
        <f>IFERROR(Table_NFI[[#This Row],[Kitchen Set]]/VLOOKUP(Table_NFI[[#This Row],[Camp Name]],CL,4,0),"")</f>
        <v>7.3529411764705885E-2</v>
      </c>
      <c r="AT207" s="572" t="s">
        <v>1095</v>
      </c>
      <c r="AU207" s="575"/>
    </row>
    <row r="208" spans="1:47" s="576" customFormat="1" x14ac:dyDescent="0.25">
      <c r="A208" s="381">
        <f t="shared" si="3"/>
        <v>53.166666666666664</v>
      </c>
      <c r="B208" s="571">
        <v>40927</v>
      </c>
      <c r="C208" s="572" t="s">
        <v>454</v>
      </c>
      <c r="D208" s="572" t="s">
        <v>462</v>
      </c>
      <c r="E208" s="572" t="s">
        <v>380</v>
      </c>
      <c r="F208" s="374" t="s">
        <v>237</v>
      </c>
      <c r="G208" s="374" t="s">
        <v>253</v>
      </c>
      <c r="H208" s="375"/>
      <c r="I208" s="375"/>
      <c r="J208" s="375"/>
      <c r="K208" s="375">
        <v>0</v>
      </c>
      <c r="L208" s="376">
        <v>0</v>
      </c>
      <c r="M208" s="376">
        <v>0</v>
      </c>
      <c r="N208" s="376">
        <v>0</v>
      </c>
      <c r="O208" s="376">
        <v>118</v>
      </c>
      <c r="P208" s="378">
        <v>118</v>
      </c>
      <c r="Q208" s="378">
        <v>118</v>
      </c>
      <c r="R208" s="378"/>
      <c r="S208" s="378"/>
      <c r="T208" s="378"/>
      <c r="U208" s="378"/>
      <c r="V208" s="533"/>
      <c r="W208" s="378"/>
      <c r="X208" s="378"/>
      <c r="Y208" s="378">
        <f>IF(NFI_Expiration=1,IF($A208&lt;VLOOKUP(H$5,NFI,5,0),1,0)*Table_NFI[[#This Row],[Hygiene Kit]],Table_NFI[Hygiene Kit])</f>
        <v>0</v>
      </c>
      <c r="Z208" s="378">
        <f>IF(NFI_Expiration=1,IF($A208&lt;VLOOKUP(I$5,NFI,5,0),1,0)*Table_NFI[[#This Row],[NFI Core Kit]],Table_NFI[NFI Core Kit])</f>
        <v>0</v>
      </c>
      <c r="AA208" s="378">
        <f>IF(NFI_Expiration=1,IF($A208&lt;VLOOKUP(J$5,NFI,5,0),1,0)*Table_NFI[[#This Row],[Sanitary Kit]],Table_NFI[Sanitary Kit])</f>
        <v>0</v>
      </c>
      <c r="AB208" s="378">
        <f>IF(NFI_Expiration=1,IF($A208&lt;VLOOKUP(K$5,NFI,5,0),1,0)*Table_NFI[[#This Row],[Mosquito net]],Table_NFI[Mosquito net])</f>
        <v>0</v>
      </c>
      <c r="AC208" s="378">
        <f>IF(NFI_Expiration=1,IF($A208&lt;VLOOKUP(L$5,NFI,5,0),1,0)*Table_NFI[[#This Row],[Tarpaulin]],Table_NFI[[#This Row],[Tarpaulin]])</f>
        <v>0</v>
      </c>
      <c r="AD208" s="378">
        <f>IF(NFI_Expiration=1,IF($A208&lt;VLOOKUP(M$5,NFI,5,0),1,0)*Table_NFI[[#This Row],[Blanket]],Table_NFI[[#This Row],[Blanket]])</f>
        <v>0</v>
      </c>
      <c r="AE208" s="378">
        <f>IF(NFI_Expiration=1,IF($A208&lt;VLOOKUP(N$5,NFI,5,0),1,0)*Table_NFI[[#This Row],[Kitchen Set]],Table_NFI[Kitchen Set])</f>
        <v>0</v>
      </c>
      <c r="AF208" s="378">
        <f>IF(NFI_Expiration=1,IF($A208&lt;VLOOKUP(O$5,NFI,5,0),1,0)*Table_NFI[[#This Row],[Clothes Kit]],Table_NFI[Clothes Kit])</f>
        <v>0</v>
      </c>
      <c r="AG208" s="378">
        <f>IF(NFI_Expiration=1,IF($A208&lt;VLOOKUP(P$5,NFI,5,0),1,0)*Table_NFI[[#This Row],[Plastic Bucket]],Table_NFI[Plastic Bucket])</f>
        <v>0</v>
      </c>
      <c r="AH208" s="378">
        <f>IF(NFI_Expiration=1,IF($A208&lt;VLOOKUP(Q$5,NFI,5,0),1,0)*Table_NFI[[#This Row],[Plastic Mat]],Table_NFI[Plastic Mat])*IF(Table_NFI[[#This Row],[Distribution Date]]&gt;"2014-04-01",1,2.5)</f>
        <v>0</v>
      </c>
      <c r="AI208" s="378">
        <f>IF(NFI_Expiration=1,IF($A208&lt;VLOOKUP(R$5,NFI,5,0),1,0)*Table_NFI[[#This Row],[Winter Clothes Adult]],Table_NFI[Winter Clothes Adult])</f>
        <v>0</v>
      </c>
      <c r="AJ208" s="378">
        <f>IF(NFI_Expiration=1,IF($A208&lt;VLOOKUP(S$5,NFI,5,0),1,0)*Table_NFI[[#This Row],[Winter Clothes Children]],Table_NFI[Winter Clothes Children])</f>
        <v>0</v>
      </c>
      <c r="AK208" s="378">
        <f>IF(NFI_Expiration=1,IF($A208&lt;VLOOKUP(T$5,NFI,5,0),1,0)*Table_NFI[[#This Row],[Winter Items Other]],Table_NFI[Winter Items Other])</f>
        <v>0</v>
      </c>
      <c r="AL208" s="378">
        <f>IF(NFI_Expiration=1,IF($A208&lt;VLOOKUP(M$5,NFI,5,0),1,0)*Table_NFI[[#This Row],[Winter Blanket]],Table_NFI[[#This Row],[Winter Blanket]])</f>
        <v>0</v>
      </c>
      <c r="AM208" s="378">
        <f>IF(Table_NFI[[#This Row],[Winter Clothes Adult]]+Table_NFI[[#This Row],[Winter Clothes Children]]+Table_NFI[[#This Row],[Winter Items Other]]+Table_NFI[[#This Row],[Winter Blanket]]&gt;0,1,0)</f>
        <v>0</v>
      </c>
      <c r="AN208" s="418">
        <f>IF(NFI_Expiration=1,IF($A208&lt;VLOOKUP(V$5,NFI,5,0),1,0)*Table_NFI[[#This Row],[Jerry Can]],Table_NFI[Jerry Can])</f>
        <v>0</v>
      </c>
      <c r="AO208" s="579" t="str">
        <f>IFERROR(VLOOKUP(Table_NFI[[#This Row],[Camp Name]],CL,2,0),"")</f>
        <v>MMR001CMP018</v>
      </c>
      <c r="AP208" s="574">
        <f ca="1">IF(Table_NFI[[#This Row],[Pcode]]="","",IF(OFFSET(CampList[Opening Date],MATCH(Table_NFI[[#This Row],[Pcode]],CampList[CP_Pcode],0)-1,0,1,1)&gt;=NFI_Monitor_Date,1,0))</f>
        <v>0</v>
      </c>
      <c r="AQ208" s="579" t="str">
        <f>IFERROR(VLOOKUP(Table_NFI[[#This Row],[Camp Name]],CL,3,0),"")</f>
        <v>Open</v>
      </c>
      <c r="AR208" s="378" t="str">
        <f ca="1">IF(Table_NFI[[#This Row],[Pcode]]="","",OFFSET(CampList[Priority],MATCH(Table_NFI[[#This Row],[Pcode]],CampList[CP_Pcode],0)-1,0,1,1))</f>
        <v>P4</v>
      </c>
      <c r="AS208" s="377">
        <f>IFERROR(Table_NFI[[#This Row],[Kitchen Set]]/VLOOKUP(Table_NFI[[#This Row],[Camp Name]],CL,4,0),"")</f>
        <v>0</v>
      </c>
      <c r="AT208" s="572" t="s">
        <v>1095</v>
      </c>
      <c r="AU208" s="575"/>
    </row>
    <row r="209" spans="1:47" s="576" customFormat="1" x14ac:dyDescent="0.25">
      <c r="A209" s="381">
        <f t="shared" si="3"/>
        <v>53.56666666666667</v>
      </c>
      <c r="B209" s="571">
        <v>40915</v>
      </c>
      <c r="C209" s="572" t="s">
        <v>454</v>
      </c>
      <c r="D209" s="572" t="s">
        <v>508</v>
      </c>
      <c r="E209" s="572" t="s">
        <v>380</v>
      </c>
      <c r="F209" s="374" t="s">
        <v>237</v>
      </c>
      <c r="G209" s="374" t="s">
        <v>253</v>
      </c>
      <c r="H209" s="375"/>
      <c r="I209" s="375"/>
      <c r="J209" s="375"/>
      <c r="K209" s="375">
        <v>32</v>
      </c>
      <c r="L209" s="376">
        <v>16</v>
      </c>
      <c r="M209" s="376">
        <v>32</v>
      </c>
      <c r="N209" s="376">
        <v>16</v>
      </c>
      <c r="O209" s="376">
        <v>16</v>
      </c>
      <c r="P209" s="378">
        <v>16</v>
      </c>
      <c r="Q209" s="378">
        <v>16</v>
      </c>
      <c r="R209" s="378"/>
      <c r="S209" s="378"/>
      <c r="T209" s="378"/>
      <c r="U209" s="378"/>
      <c r="V209" s="533"/>
      <c r="W209" s="378"/>
      <c r="X209" s="378"/>
      <c r="Y209" s="378">
        <f>IF(NFI_Expiration=1,IF($A209&lt;VLOOKUP(H$5,NFI,5,0),1,0)*Table_NFI[[#This Row],[Hygiene Kit]],Table_NFI[Hygiene Kit])</f>
        <v>0</v>
      </c>
      <c r="Z209" s="378">
        <f>IF(NFI_Expiration=1,IF($A209&lt;VLOOKUP(I$5,NFI,5,0),1,0)*Table_NFI[[#This Row],[NFI Core Kit]],Table_NFI[NFI Core Kit])</f>
        <v>0</v>
      </c>
      <c r="AA209" s="378">
        <f>IF(NFI_Expiration=1,IF($A209&lt;VLOOKUP(J$5,NFI,5,0),1,0)*Table_NFI[[#This Row],[Sanitary Kit]],Table_NFI[Sanitary Kit])</f>
        <v>0</v>
      </c>
      <c r="AB209" s="378">
        <f>IF(NFI_Expiration=1,IF($A209&lt;VLOOKUP(K$5,NFI,5,0),1,0)*Table_NFI[[#This Row],[Mosquito net]],Table_NFI[Mosquito net])</f>
        <v>0</v>
      </c>
      <c r="AC209" s="378">
        <f>IF(NFI_Expiration=1,IF($A209&lt;VLOOKUP(L$5,NFI,5,0),1,0)*Table_NFI[[#This Row],[Tarpaulin]],Table_NFI[[#This Row],[Tarpaulin]])</f>
        <v>0</v>
      </c>
      <c r="AD209" s="378">
        <f>IF(NFI_Expiration=1,IF($A209&lt;VLOOKUP(M$5,NFI,5,0),1,0)*Table_NFI[[#This Row],[Blanket]],Table_NFI[[#This Row],[Blanket]])</f>
        <v>0</v>
      </c>
      <c r="AE209" s="378">
        <f>IF(NFI_Expiration=1,IF($A209&lt;VLOOKUP(N$5,NFI,5,0),1,0)*Table_NFI[[#This Row],[Kitchen Set]],Table_NFI[Kitchen Set])</f>
        <v>0</v>
      </c>
      <c r="AF209" s="378">
        <f>IF(NFI_Expiration=1,IF($A209&lt;VLOOKUP(O$5,NFI,5,0),1,0)*Table_NFI[[#This Row],[Clothes Kit]],Table_NFI[Clothes Kit])</f>
        <v>0</v>
      </c>
      <c r="AG209" s="378">
        <f>IF(NFI_Expiration=1,IF($A209&lt;VLOOKUP(P$5,NFI,5,0),1,0)*Table_NFI[[#This Row],[Plastic Bucket]],Table_NFI[Plastic Bucket])</f>
        <v>0</v>
      </c>
      <c r="AH209" s="378">
        <f>IF(NFI_Expiration=1,IF($A209&lt;VLOOKUP(Q$5,NFI,5,0),1,0)*Table_NFI[[#This Row],[Plastic Mat]],Table_NFI[Plastic Mat])*IF(Table_NFI[[#This Row],[Distribution Date]]&gt;"2014-04-01",1,2.5)</f>
        <v>0</v>
      </c>
      <c r="AI209" s="378">
        <f>IF(NFI_Expiration=1,IF($A209&lt;VLOOKUP(R$5,NFI,5,0),1,0)*Table_NFI[[#This Row],[Winter Clothes Adult]],Table_NFI[Winter Clothes Adult])</f>
        <v>0</v>
      </c>
      <c r="AJ209" s="378">
        <f>IF(NFI_Expiration=1,IF($A209&lt;VLOOKUP(S$5,NFI,5,0),1,0)*Table_NFI[[#This Row],[Winter Clothes Children]],Table_NFI[Winter Clothes Children])</f>
        <v>0</v>
      </c>
      <c r="AK209" s="378">
        <f>IF(NFI_Expiration=1,IF($A209&lt;VLOOKUP(T$5,NFI,5,0),1,0)*Table_NFI[[#This Row],[Winter Items Other]],Table_NFI[Winter Items Other])</f>
        <v>0</v>
      </c>
      <c r="AL209" s="378">
        <f>IF(NFI_Expiration=1,IF($A209&lt;VLOOKUP(M$5,NFI,5,0),1,0)*Table_NFI[[#This Row],[Winter Blanket]],Table_NFI[[#This Row],[Winter Blanket]])</f>
        <v>0</v>
      </c>
      <c r="AM209" s="378">
        <f>IF(Table_NFI[[#This Row],[Winter Clothes Adult]]+Table_NFI[[#This Row],[Winter Clothes Children]]+Table_NFI[[#This Row],[Winter Items Other]]+Table_NFI[[#This Row],[Winter Blanket]]&gt;0,1,0)</f>
        <v>0</v>
      </c>
      <c r="AN209" s="418">
        <f>IF(NFI_Expiration=1,IF($A209&lt;VLOOKUP(V$5,NFI,5,0),1,0)*Table_NFI[[#This Row],[Jerry Can]],Table_NFI[Jerry Can])</f>
        <v>0</v>
      </c>
      <c r="AO209" s="579" t="str">
        <f>IFERROR(VLOOKUP(Table_NFI[[#This Row],[Camp Name]],CL,2,0),"")</f>
        <v>MMR001CMP018</v>
      </c>
      <c r="AP209" s="574">
        <f ca="1">IF(Table_NFI[[#This Row],[Pcode]]="","",IF(OFFSET(CampList[Opening Date],MATCH(Table_NFI[[#This Row],[Pcode]],CampList[CP_Pcode],0)-1,0,1,1)&gt;=NFI_Monitor_Date,1,0))</f>
        <v>0</v>
      </c>
      <c r="AQ209" s="579" t="str">
        <f>IFERROR(VLOOKUP(Table_NFI[[#This Row],[Camp Name]],CL,3,0),"")</f>
        <v>Open</v>
      </c>
      <c r="AR209" s="378" t="str">
        <f ca="1">IF(Table_NFI[[#This Row],[Pcode]]="","",OFFSET(CampList[Priority],MATCH(Table_NFI[[#This Row],[Pcode]],CampList[CP_Pcode],0)-1,0,1,1))</f>
        <v>P4</v>
      </c>
      <c r="AS209" s="377">
        <f>IFERROR(Table_NFI[[#This Row],[Kitchen Set]]/VLOOKUP(Table_NFI[[#This Row],[Camp Name]],CL,4,0),"")</f>
        <v>7.8431372549019607E-2</v>
      </c>
      <c r="AT209" s="572" t="s">
        <v>1095</v>
      </c>
      <c r="AU209" s="575"/>
    </row>
    <row r="210" spans="1:47" s="576" customFormat="1" x14ac:dyDescent="0.25">
      <c r="A210" s="381">
        <f t="shared" si="3"/>
        <v>53.833333333333336</v>
      </c>
      <c r="B210" s="571">
        <v>40907</v>
      </c>
      <c r="C210" s="572" t="s">
        <v>454</v>
      </c>
      <c r="D210" s="573" t="s">
        <v>462</v>
      </c>
      <c r="E210" s="572" t="s">
        <v>380</v>
      </c>
      <c r="F210" s="374" t="s">
        <v>237</v>
      </c>
      <c r="G210" s="374" t="s">
        <v>253</v>
      </c>
      <c r="H210" s="375"/>
      <c r="I210" s="375"/>
      <c r="J210" s="375"/>
      <c r="K210" s="375">
        <v>56</v>
      </c>
      <c r="L210" s="376">
        <v>29</v>
      </c>
      <c r="M210" s="376">
        <v>56</v>
      </c>
      <c r="N210" s="376">
        <v>29</v>
      </c>
      <c r="O210" s="376">
        <v>29</v>
      </c>
      <c r="P210" s="378">
        <v>29</v>
      </c>
      <c r="Q210" s="378">
        <v>29</v>
      </c>
      <c r="R210" s="378"/>
      <c r="S210" s="378"/>
      <c r="T210" s="378"/>
      <c r="U210" s="378"/>
      <c r="V210" s="533"/>
      <c r="W210" s="378"/>
      <c r="X210" s="378"/>
      <c r="Y210" s="378">
        <f>IF(NFI_Expiration=1,IF($A210&lt;VLOOKUP(H$5,NFI,5,0),1,0)*Table_NFI[[#This Row],[Hygiene Kit]],Table_NFI[Hygiene Kit])</f>
        <v>0</v>
      </c>
      <c r="Z210" s="378">
        <f>IF(NFI_Expiration=1,IF($A210&lt;VLOOKUP(I$5,NFI,5,0),1,0)*Table_NFI[[#This Row],[NFI Core Kit]],Table_NFI[NFI Core Kit])</f>
        <v>0</v>
      </c>
      <c r="AA210" s="378">
        <f>IF(NFI_Expiration=1,IF($A210&lt;VLOOKUP(J$5,NFI,5,0),1,0)*Table_NFI[[#This Row],[Sanitary Kit]],Table_NFI[Sanitary Kit])</f>
        <v>0</v>
      </c>
      <c r="AB210" s="378">
        <f>IF(NFI_Expiration=1,IF($A210&lt;VLOOKUP(K$5,NFI,5,0),1,0)*Table_NFI[[#This Row],[Mosquito net]],Table_NFI[Mosquito net])</f>
        <v>0</v>
      </c>
      <c r="AC210" s="378">
        <f>IF(NFI_Expiration=1,IF($A210&lt;VLOOKUP(L$5,NFI,5,0),1,0)*Table_NFI[[#This Row],[Tarpaulin]],Table_NFI[[#This Row],[Tarpaulin]])</f>
        <v>0</v>
      </c>
      <c r="AD210" s="378">
        <f>IF(NFI_Expiration=1,IF($A210&lt;VLOOKUP(M$5,NFI,5,0),1,0)*Table_NFI[[#This Row],[Blanket]],Table_NFI[[#This Row],[Blanket]])</f>
        <v>0</v>
      </c>
      <c r="AE210" s="378">
        <f>IF(NFI_Expiration=1,IF($A210&lt;VLOOKUP(N$5,NFI,5,0),1,0)*Table_NFI[[#This Row],[Kitchen Set]],Table_NFI[Kitchen Set])</f>
        <v>0</v>
      </c>
      <c r="AF210" s="378">
        <f>IF(NFI_Expiration=1,IF($A210&lt;VLOOKUP(O$5,NFI,5,0),1,0)*Table_NFI[[#This Row],[Clothes Kit]],Table_NFI[Clothes Kit])</f>
        <v>0</v>
      </c>
      <c r="AG210" s="378">
        <f>IF(NFI_Expiration=1,IF($A210&lt;VLOOKUP(P$5,NFI,5,0),1,0)*Table_NFI[[#This Row],[Plastic Bucket]],Table_NFI[Plastic Bucket])</f>
        <v>0</v>
      </c>
      <c r="AH210" s="378">
        <f>IF(NFI_Expiration=1,IF($A210&lt;VLOOKUP(Q$5,NFI,5,0),1,0)*Table_NFI[[#This Row],[Plastic Mat]],Table_NFI[Plastic Mat])*IF(Table_NFI[[#This Row],[Distribution Date]]&gt;"2014-04-01",1,2.5)</f>
        <v>0</v>
      </c>
      <c r="AI210" s="378">
        <f>IF(NFI_Expiration=1,IF($A210&lt;VLOOKUP(R$5,NFI,5,0),1,0)*Table_NFI[[#This Row],[Winter Clothes Adult]],Table_NFI[Winter Clothes Adult])</f>
        <v>0</v>
      </c>
      <c r="AJ210" s="378">
        <f>IF(NFI_Expiration=1,IF($A210&lt;VLOOKUP(S$5,NFI,5,0),1,0)*Table_NFI[[#This Row],[Winter Clothes Children]],Table_NFI[Winter Clothes Children])</f>
        <v>0</v>
      </c>
      <c r="AK210" s="378">
        <f>IF(NFI_Expiration=1,IF($A210&lt;VLOOKUP(T$5,NFI,5,0),1,0)*Table_NFI[[#This Row],[Winter Items Other]],Table_NFI[Winter Items Other])</f>
        <v>0</v>
      </c>
      <c r="AL210" s="378">
        <f>IF(NFI_Expiration=1,IF($A210&lt;VLOOKUP(M$5,NFI,5,0),1,0)*Table_NFI[[#This Row],[Winter Blanket]],Table_NFI[[#This Row],[Winter Blanket]])</f>
        <v>0</v>
      </c>
      <c r="AM210" s="378">
        <f>IF(Table_NFI[[#This Row],[Winter Clothes Adult]]+Table_NFI[[#This Row],[Winter Clothes Children]]+Table_NFI[[#This Row],[Winter Items Other]]+Table_NFI[[#This Row],[Winter Blanket]]&gt;0,1,0)</f>
        <v>0</v>
      </c>
      <c r="AN210" s="418">
        <f>IF(NFI_Expiration=1,IF($A210&lt;VLOOKUP(V$5,NFI,5,0),1,0)*Table_NFI[[#This Row],[Jerry Can]],Table_NFI[Jerry Can])</f>
        <v>0</v>
      </c>
      <c r="AO210" s="579" t="str">
        <f>IFERROR(VLOOKUP(Table_NFI[[#This Row],[Camp Name]],CL,2,0),"")</f>
        <v>MMR001CMP018</v>
      </c>
      <c r="AP210" s="574">
        <f ca="1">IF(Table_NFI[[#This Row],[Pcode]]="","",IF(OFFSET(CampList[Opening Date],MATCH(Table_NFI[[#This Row],[Pcode]],CampList[CP_Pcode],0)-1,0,1,1)&gt;=NFI_Monitor_Date,1,0))</f>
        <v>0</v>
      </c>
      <c r="AQ210" s="579" t="str">
        <f>IFERROR(VLOOKUP(Table_NFI[[#This Row],[Camp Name]],CL,3,0),"")</f>
        <v>Open</v>
      </c>
      <c r="AR210" s="378" t="str">
        <f ca="1">IF(Table_NFI[[#This Row],[Pcode]]="","",OFFSET(CampList[Priority],MATCH(Table_NFI[[#This Row],[Pcode]],CampList[CP_Pcode],0)-1,0,1,1))</f>
        <v>P4</v>
      </c>
      <c r="AS210" s="377">
        <f>IFERROR(Table_NFI[[#This Row],[Kitchen Set]]/VLOOKUP(Table_NFI[[#This Row],[Camp Name]],CL,4,0),"")</f>
        <v>0.14215686274509803</v>
      </c>
      <c r="AT210" s="572" t="s">
        <v>1095</v>
      </c>
      <c r="AU210" s="575"/>
    </row>
    <row r="211" spans="1:47" s="576" customFormat="1" x14ac:dyDescent="0.25">
      <c r="A211" s="381">
        <f t="shared" si="3"/>
        <v>54.666666666666664</v>
      </c>
      <c r="B211" s="571">
        <v>40882</v>
      </c>
      <c r="C211" s="572" t="s">
        <v>454</v>
      </c>
      <c r="D211" s="573" t="s">
        <v>508</v>
      </c>
      <c r="E211" s="572" t="s">
        <v>380</v>
      </c>
      <c r="F211" s="374" t="s">
        <v>237</v>
      </c>
      <c r="G211" s="374" t="s">
        <v>253</v>
      </c>
      <c r="H211" s="375"/>
      <c r="I211" s="375"/>
      <c r="J211" s="375"/>
      <c r="K211" s="375">
        <v>80</v>
      </c>
      <c r="L211" s="376">
        <v>45</v>
      </c>
      <c r="M211" s="376">
        <v>80</v>
      </c>
      <c r="N211" s="376">
        <v>45</v>
      </c>
      <c r="O211" s="376">
        <v>45</v>
      </c>
      <c r="P211" s="378">
        <v>45</v>
      </c>
      <c r="Q211" s="378">
        <v>45</v>
      </c>
      <c r="R211" s="378"/>
      <c r="S211" s="378"/>
      <c r="T211" s="378"/>
      <c r="U211" s="378"/>
      <c r="V211" s="533"/>
      <c r="W211" s="378"/>
      <c r="X211" s="378"/>
      <c r="Y211" s="378">
        <f>IF(NFI_Expiration=1,IF($A211&lt;VLOOKUP(H$5,NFI,5,0),1,0)*Table_NFI[[#This Row],[Hygiene Kit]],Table_NFI[Hygiene Kit])</f>
        <v>0</v>
      </c>
      <c r="Z211" s="378">
        <f>IF(NFI_Expiration=1,IF($A211&lt;VLOOKUP(I$5,NFI,5,0),1,0)*Table_NFI[[#This Row],[NFI Core Kit]],Table_NFI[NFI Core Kit])</f>
        <v>0</v>
      </c>
      <c r="AA211" s="378">
        <f>IF(NFI_Expiration=1,IF($A211&lt;VLOOKUP(J$5,NFI,5,0),1,0)*Table_NFI[[#This Row],[Sanitary Kit]],Table_NFI[Sanitary Kit])</f>
        <v>0</v>
      </c>
      <c r="AB211" s="378">
        <f>IF(NFI_Expiration=1,IF($A211&lt;VLOOKUP(K$5,NFI,5,0),1,0)*Table_NFI[[#This Row],[Mosquito net]],Table_NFI[Mosquito net])</f>
        <v>0</v>
      </c>
      <c r="AC211" s="378">
        <f>IF(NFI_Expiration=1,IF($A211&lt;VLOOKUP(L$5,NFI,5,0),1,0)*Table_NFI[[#This Row],[Tarpaulin]],Table_NFI[[#This Row],[Tarpaulin]])</f>
        <v>0</v>
      </c>
      <c r="AD211" s="378">
        <f>IF(NFI_Expiration=1,IF($A211&lt;VLOOKUP(M$5,NFI,5,0),1,0)*Table_NFI[[#This Row],[Blanket]],Table_NFI[[#This Row],[Blanket]])</f>
        <v>0</v>
      </c>
      <c r="AE211" s="378">
        <f>IF(NFI_Expiration=1,IF($A211&lt;VLOOKUP(N$5,NFI,5,0),1,0)*Table_NFI[[#This Row],[Kitchen Set]],Table_NFI[Kitchen Set])</f>
        <v>0</v>
      </c>
      <c r="AF211" s="378">
        <f>IF(NFI_Expiration=1,IF($A211&lt;VLOOKUP(O$5,NFI,5,0),1,0)*Table_NFI[[#This Row],[Clothes Kit]],Table_NFI[Clothes Kit])</f>
        <v>0</v>
      </c>
      <c r="AG211" s="378">
        <f>IF(NFI_Expiration=1,IF($A211&lt;VLOOKUP(P$5,NFI,5,0),1,0)*Table_NFI[[#This Row],[Plastic Bucket]],Table_NFI[Plastic Bucket])</f>
        <v>0</v>
      </c>
      <c r="AH211" s="378">
        <f>IF(NFI_Expiration=1,IF($A211&lt;VLOOKUP(Q$5,NFI,5,0),1,0)*Table_NFI[[#This Row],[Plastic Mat]],Table_NFI[Plastic Mat])*IF(Table_NFI[[#This Row],[Distribution Date]]&gt;"2014-04-01",1,2.5)</f>
        <v>0</v>
      </c>
      <c r="AI211" s="378">
        <f>IF(NFI_Expiration=1,IF($A211&lt;VLOOKUP(R$5,NFI,5,0),1,0)*Table_NFI[[#This Row],[Winter Clothes Adult]],Table_NFI[Winter Clothes Adult])</f>
        <v>0</v>
      </c>
      <c r="AJ211" s="378">
        <f>IF(NFI_Expiration=1,IF($A211&lt;VLOOKUP(S$5,NFI,5,0),1,0)*Table_NFI[[#This Row],[Winter Clothes Children]],Table_NFI[Winter Clothes Children])</f>
        <v>0</v>
      </c>
      <c r="AK211" s="378">
        <f>IF(NFI_Expiration=1,IF($A211&lt;VLOOKUP(T$5,NFI,5,0),1,0)*Table_NFI[[#This Row],[Winter Items Other]],Table_NFI[Winter Items Other])</f>
        <v>0</v>
      </c>
      <c r="AL211" s="378">
        <f>IF(NFI_Expiration=1,IF($A211&lt;VLOOKUP(M$5,NFI,5,0),1,0)*Table_NFI[[#This Row],[Winter Blanket]],Table_NFI[[#This Row],[Winter Blanket]])</f>
        <v>0</v>
      </c>
      <c r="AM211" s="378">
        <f>IF(Table_NFI[[#This Row],[Winter Clothes Adult]]+Table_NFI[[#This Row],[Winter Clothes Children]]+Table_NFI[[#This Row],[Winter Items Other]]+Table_NFI[[#This Row],[Winter Blanket]]&gt;0,1,0)</f>
        <v>0</v>
      </c>
      <c r="AN211" s="418">
        <f>IF(NFI_Expiration=1,IF($A211&lt;VLOOKUP(V$5,NFI,5,0),1,0)*Table_NFI[[#This Row],[Jerry Can]],Table_NFI[Jerry Can])</f>
        <v>0</v>
      </c>
      <c r="AO211" s="579" t="str">
        <f>IFERROR(VLOOKUP(Table_NFI[[#This Row],[Camp Name]],CL,2,0),"")</f>
        <v>MMR001CMP018</v>
      </c>
      <c r="AP211" s="574">
        <f ca="1">IF(Table_NFI[[#This Row],[Pcode]]="","",IF(OFFSET(CampList[Opening Date],MATCH(Table_NFI[[#This Row],[Pcode]],CampList[CP_Pcode],0)-1,0,1,1)&gt;=NFI_Monitor_Date,1,0))</f>
        <v>0</v>
      </c>
      <c r="AQ211" s="579" t="str">
        <f>IFERROR(VLOOKUP(Table_NFI[[#This Row],[Camp Name]],CL,3,0),"")</f>
        <v>Open</v>
      </c>
      <c r="AR211" s="378" t="str">
        <f ca="1">IF(Table_NFI[[#This Row],[Pcode]]="","",OFFSET(CampList[Priority],MATCH(Table_NFI[[#This Row],[Pcode]],CampList[CP_Pcode],0)-1,0,1,1))</f>
        <v>P4</v>
      </c>
      <c r="AS211" s="377">
        <f>IFERROR(Table_NFI[[#This Row],[Kitchen Set]]/VLOOKUP(Table_NFI[[#This Row],[Camp Name]],CL,4,0),"")</f>
        <v>0.22058823529411764</v>
      </c>
      <c r="AT211" s="572" t="s">
        <v>1095</v>
      </c>
      <c r="AU211" s="575"/>
    </row>
    <row r="212" spans="1:47" s="576" customFormat="1" x14ac:dyDescent="0.25">
      <c r="A212" s="381">
        <f t="shared" si="3"/>
        <v>55.7</v>
      </c>
      <c r="B212" s="571">
        <v>40851</v>
      </c>
      <c r="C212" s="572" t="s">
        <v>454</v>
      </c>
      <c r="D212" s="573" t="s">
        <v>462</v>
      </c>
      <c r="E212" s="572" t="s">
        <v>380</v>
      </c>
      <c r="F212" s="374" t="s">
        <v>237</v>
      </c>
      <c r="G212" s="374" t="s">
        <v>253</v>
      </c>
      <c r="H212" s="375"/>
      <c r="I212" s="375"/>
      <c r="J212" s="375"/>
      <c r="K212" s="375">
        <v>208</v>
      </c>
      <c r="L212" s="376">
        <v>102</v>
      </c>
      <c r="M212" s="376">
        <v>208</v>
      </c>
      <c r="N212" s="376">
        <v>102</v>
      </c>
      <c r="O212" s="376">
        <v>102</v>
      </c>
      <c r="P212" s="378">
        <v>102</v>
      </c>
      <c r="Q212" s="378">
        <v>102</v>
      </c>
      <c r="R212" s="378"/>
      <c r="S212" s="378"/>
      <c r="T212" s="378"/>
      <c r="U212" s="378"/>
      <c r="V212" s="533"/>
      <c r="W212" s="378"/>
      <c r="X212" s="378"/>
      <c r="Y212" s="378">
        <f>IF(NFI_Expiration=1,IF($A212&lt;VLOOKUP(H$5,NFI,5,0),1,0)*Table_NFI[[#This Row],[Hygiene Kit]],Table_NFI[Hygiene Kit])</f>
        <v>0</v>
      </c>
      <c r="Z212" s="378">
        <f>IF(NFI_Expiration=1,IF($A212&lt;VLOOKUP(I$5,NFI,5,0),1,0)*Table_NFI[[#This Row],[NFI Core Kit]],Table_NFI[NFI Core Kit])</f>
        <v>0</v>
      </c>
      <c r="AA212" s="378">
        <f>IF(NFI_Expiration=1,IF($A212&lt;VLOOKUP(J$5,NFI,5,0),1,0)*Table_NFI[[#This Row],[Sanitary Kit]],Table_NFI[Sanitary Kit])</f>
        <v>0</v>
      </c>
      <c r="AB212" s="378">
        <f>IF(NFI_Expiration=1,IF($A212&lt;VLOOKUP(K$5,NFI,5,0),1,0)*Table_NFI[[#This Row],[Mosquito net]],Table_NFI[Mosquito net])</f>
        <v>0</v>
      </c>
      <c r="AC212" s="378">
        <f>IF(NFI_Expiration=1,IF($A212&lt;VLOOKUP(L$5,NFI,5,0),1,0)*Table_NFI[[#This Row],[Tarpaulin]],Table_NFI[[#This Row],[Tarpaulin]])</f>
        <v>0</v>
      </c>
      <c r="AD212" s="378">
        <f>IF(NFI_Expiration=1,IF($A212&lt;VLOOKUP(M$5,NFI,5,0),1,0)*Table_NFI[[#This Row],[Blanket]],Table_NFI[[#This Row],[Blanket]])</f>
        <v>0</v>
      </c>
      <c r="AE212" s="378">
        <f>IF(NFI_Expiration=1,IF($A212&lt;VLOOKUP(N$5,NFI,5,0),1,0)*Table_NFI[[#This Row],[Kitchen Set]],Table_NFI[Kitchen Set])</f>
        <v>0</v>
      </c>
      <c r="AF212" s="378">
        <f>IF(NFI_Expiration=1,IF($A212&lt;VLOOKUP(O$5,NFI,5,0),1,0)*Table_NFI[[#This Row],[Clothes Kit]],Table_NFI[Clothes Kit])</f>
        <v>0</v>
      </c>
      <c r="AG212" s="378">
        <f>IF(NFI_Expiration=1,IF($A212&lt;VLOOKUP(P$5,NFI,5,0),1,0)*Table_NFI[[#This Row],[Plastic Bucket]],Table_NFI[Plastic Bucket])</f>
        <v>0</v>
      </c>
      <c r="AH212" s="378">
        <f>IF(NFI_Expiration=1,IF($A212&lt;VLOOKUP(Q$5,NFI,5,0),1,0)*Table_NFI[[#This Row],[Plastic Mat]],Table_NFI[Plastic Mat])*IF(Table_NFI[[#This Row],[Distribution Date]]&gt;"2014-04-01",1,2.5)</f>
        <v>0</v>
      </c>
      <c r="AI212" s="378">
        <f>IF(NFI_Expiration=1,IF($A212&lt;VLOOKUP(R$5,NFI,5,0),1,0)*Table_NFI[[#This Row],[Winter Clothes Adult]],Table_NFI[Winter Clothes Adult])</f>
        <v>0</v>
      </c>
      <c r="AJ212" s="378">
        <f>IF(NFI_Expiration=1,IF($A212&lt;VLOOKUP(S$5,NFI,5,0),1,0)*Table_NFI[[#This Row],[Winter Clothes Children]],Table_NFI[Winter Clothes Children])</f>
        <v>0</v>
      </c>
      <c r="AK212" s="378">
        <f>IF(NFI_Expiration=1,IF($A212&lt;VLOOKUP(T$5,NFI,5,0),1,0)*Table_NFI[[#This Row],[Winter Items Other]],Table_NFI[Winter Items Other])</f>
        <v>0</v>
      </c>
      <c r="AL212" s="378">
        <f>IF(NFI_Expiration=1,IF($A212&lt;VLOOKUP(M$5,NFI,5,0),1,0)*Table_NFI[[#This Row],[Winter Blanket]],Table_NFI[[#This Row],[Winter Blanket]])</f>
        <v>0</v>
      </c>
      <c r="AM212" s="378">
        <f>IF(Table_NFI[[#This Row],[Winter Clothes Adult]]+Table_NFI[[#This Row],[Winter Clothes Children]]+Table_NFI[[#This Row],[Winter Items Other]]+Table_NFI[[#This Row],[Winter Blanket]]&gt;0,1,0)</f>
        <v>0</v>
      </c>
      <c r="AN212" s="418">
        <f>IF(NFI_Expiration=1,IF($A212&lt;VLOOKUP(V$5,NFI,5,0),1,0)*Table_NFI[[#This Row],[Jerry Can]],Table_NFI[Jerry Can])</f>
        <v>0</v>
      </c>
      <c r="AO212" s="579" t="str">
        <f>IFERROR(VLOOKUP(Table_NFI[[#This Row],[Camp Name]],CL,2,0),"")</f>
        <v>MMR001CMP018</v>
      </c>
      <c r="AP212" s="574">
        <f ca="1">IF(Table_NFI[[#This Row],[Pcode]]="","",IF(OFFSET(CampList[Opening Date],MATCH(Table_NFI[[#This Row],[Pcode]],CampList[CP_Pcode],0)-1,0,1,1)&gt;=NFI_Monitor_Date,1,0))</f>
        <v>0</v>
      </c>
      <c r="AQ212" s="579" t="str">
        <f>IFERROR(VLOOKUP(Table_NFI[[#This Row],[Camp Name]],CL,3,0),"")</f>
        <v>Open</v>
      </c>
      <c r="AR212" s="378" t="str">
        <f ca="1">IF(Table_NFI[[#This Row],[Pcode]]="","",OFFSET(CampList[Priority],MATCH(Table_NFI[[#This Row],[Pcode]],CampList[CP_Pcode],0)-1,0,1,1))</f>
        <v>P4</v>
      </c>
      <c r="AS212" s="377">
        <f>IFERROR(Table_NFI[[#This Row],[Kitchen Set]]/VLOOKUP(Table_NFI[[#This Row],[Camp Name]],CL,4,0),"")</f>
        <v>0.5</v>
      </c>
      <c r="AT212" s="572" t="s">
        <v>1095</v>
      </c>
      <c r="AU212" s="575"/>
    </row>
    <row r="213" spans="1:47" s="576" customFormat="1" x14ac:dyDescent="0.25">
      <c r="A213" s="381">
        <f t="shared" si="3"/>
        <v>55.733333333333334</v>
      </c>
      <c r="B213" s="571">
        <v>40850</v>
      </c>
      <c r="C213" s="572" t="s">
        <v>454</v>
      </c>
      <c r="D213" s="573" t="s">
        <v>508</v>
      </c>
      <c r="E213" s="572" t="s">
        <v>380</v>
      </c>
      <c r="F213" s="374" t="s">
        <v>237</v>
      </c>
      <c r="G213" s="374" t="s">
        <v>253</v>
      </c>
      <c r="H213" s="375"/>
      <c r="I213" s="375"/>
      <c r="J213" s="375"/>
      <c r="K213" s="375">
        <v>106</v>
      </c>
      <c r="L213" s="376">
        <v>52</v>
      </c>
      <c r="M213" s="376">
        <v>106</v>
      </c>
      <c r="N213" s="376">
        <v>52</v>
      </c>
      <c r="O213" s="376">
        <v>52</v>
      </c>
      <c r="P213" s="378">
        <v>52</v>
      </c>
      <c r="Q213" s="378">
        <v>52</v>
      </c>
      <c r="R213" s="378"/>
      <c r="S213" s="378"/>
      <c r="T213" s="378"/>
      <c r="U213" s="378"/>
      <c r="V213" s="533"/>
      <c r="W213" s="378"/>
      <c r="X213" s="378"/>
      <c r="Y213" s="378">
        <f>IF(NFI_Expiration=1,IF($A213&lt;VLOOKUP(H$5,NFI,5,0),1,0)*Table_NFI[[#This Row],[Hygiene Kit]],Table_NFI[Hygiene Kit])</f>
        <v>0</v>
      </c>
      <c r="Z213" s="378">
        <f>IF(NFI_Expiration=1,IF($A213&lt;VLOOKUP(I$5,NFI,5,0),1,0)*Table_NFI[[#This Row],[NFI Core Kit]],Table_NFI[NFI Core Kit])</f>
        <v>0</v>
      </c>
      <c r="AA213" s="378">
        <f>IF(NFI_Expiration=1,IF($A213&lt;VLOOKUP(J$5,NFI,5,0),1,0)*Table_NFI[[#This Row],[Sanitary Kit]],Table_NFI[Sanitary Kit])</f>
        <v>0</v>
      </c>
      <c r="AB213" s="378">
        <f>IF(NFI_Expiration=1,IF($A213&lt;VLOOKUP(K$5,NFI,5,0),1,0)*Table_NFI[[#This Row],[Mosquito net]],Table_NFI[Mosquito net])</f>
        <v>0</v>
      </c>
      <c r="AC213" s="378">
        <f>IF(NFI_Expiration=1,IF($A213&lt;VLOOKUP(L$5,NFI,5,0),1,0)*Table_NFI[[#This Row],[Tarpaulin]],Table_NFI[[#This Row],[Tarpaulin]])</f>
        <v>0</v>
      </c>
      <c r="AD213" s="378">
        <f>IF(NFI_Expiration=1,IF($A213&lt;VLOOKUP(M$5,NFI,5,0),1,0)*Table_NFI[[#This Row],[Blanket]],Table_NFI[[#This Row],[Blanket]])</f>
        <v>0</v>
      </c>
      <c r="AE213" s="378">
        <f>IF(NFI_Expiration=1,IF($A213&lt;VLOOKUP(N$5,NFI,5,0),1,0)*Table_NFI[[#This Row],[Kitchen Set]],Table_NFI[Kitchen Set])</f>
        <v>0</v>
      </c>
      <c r="AF213" s="378">
        <f>IF(NFI_Expiration=1,IF($A213&lt;VLOOKUP(O$5,NFI,5,0),1,0)*Table_NFI[[#This Row],[Clothes Kit]],Table_NFI[Clothes Kit])</f>
        <v>0</v>
      </c>
      <c r="AG213" s="378">
        <f>IF(NFI_Expiration=1,IF($A213&lt;VLOOKUP(P$5,NFI,5,0),1,0)*Table_NFI[[#This Row],[Plastic Bucket]],Table_NFI[Plastic Bucket])</f>
        <v>0</v>
      </c>
      <c r="AH213" s="378">
        <f>IF(NFI_Expiration=1,IF($A213&lt;VLOOKUP(Q$5,NFI,5,0),1,0)*Table_NFI[[#This Row],[Plastic Mat]],Table_NFI[Plastic Mat])*IF(Table_NFI[[#This Row],[Distribution Date]]&gt;"2014-04-01",1,2.5)</f>
        <v>0</v>
      </c>
      <c r="AI213" s="378">
        <f>IF(NFI_Expiration=1,IF($A213&lt;VLOOKUP(R$5,NFI,5,0),1,0)*Table_NFI[[#This Row],[Winter Clothes Adult]],Table_NFI[Winter Clothes Adult])</f>
        <v>0</v>
      </c>
      <c r="AJ213" s="378">
        <f>IF(NFI_Expiration=1,IF($A213&lt;VLOOKUP(S$5,NFI,5,0),1,0)*Table_NFI[[#This Row],[Winter Clothes Children]],Table_NFI[Winter Clothes Children])</f>
        <v>0</v>
      </c>
      <c r="AK213" s="378">
        <f>IF(NFI_Expiration=1,IF($A213&lt;VLOOKUP(T$5,NFI,5,0),1,0)*Table_NFI[[#This Row],[Winter Items Other]],Table_NFI[Winter Items Other])</f>
        <v>0</v>
      </c>
      <c r="AL213" s="378">
        <f>IF(NFI_Expiration=1,IF($A213&lt;VLOOKUP(M$5,NFI,5,0),1,0)*Table_NFI[[#This Row],[Winter Blanket]],Table_NFI[[#This Row],[Winter Blanket]])</f>
        <v>0</v>
      </c>
      <c r="AM213" s="378">
        <f>IF(Table_NFI[[#This Row],[Winter Clothes Adult]]+Table_NFI[[#This Row],[Winter Clothes Children]]+Table_NFI[[#This Row],[Winter Items Other]]+Table_NFI[[#This Row],[Winter Blanket]]&gt;0,1,0)</f>
        <v>0</v>
      </c>
      <c r="AN213" s="418">
        <f>IF(NFI_Expiration=1,IF($A213&lt;VLOOKUP(V$5,NFI,5,0),1,0)*Table_NFI[[#This Row],[Jerry Can]],Table_NFI[Jerry Can])</f>
        <v>0</v>
      </c>
      <c r="AO213" s="579" t="str">
        <f>IFERROR(VLOOKUP(Table_NFI[[#This Row],[Camp Name]],CL,2,0),"")</f>
        <v>MMR001CMP018</v>
      </c>
      <c r="AP213" s="574">
        <f ca="1">IF(Table_NFI[[#This Row],[Pcode]]="","",IF(OFFSET(CampList[Opening Date],MATCH(Table_NFI[[#This Row],[Pcode]],CampList[CP_Pcode],0)-1,0,1,1)&gt;=NFI_Monitor_Date,1,0))</f>
        <v>0</v>
      </c>
      <c r="AQ213" s="579" t="str">
        <f>IFERROR(VLOOKUP(Table_NFI[[#This Row],[Camp Name]],CL,3,0),"")</f>
        <v>Open</v>
      </c>
      <c r="AR213" s="378" t="str">
        <f ca="1">IF(Table_NFI[[#This Row],[Pcode]]="","",OFFSET(CampList[Priority],MATCH(Table_NFI[[#This Row],[Pcode]],CampList[CP_Pcode],0)-1,0,1,1))</f>
        <v>P4</v>
      </c>
      <c r="AS213" s="377">
        <f>IFERROR(Table_NFI[[#This Row],[Kitchen Set]]/VLOOKUP(Table_NFI[[#This Row],[Camp Name]],CL,4,0),"")</f>
        <v>0.25490196078431371</v>
      </c>
      <c r="AT213" s="572" t="s">
        <v>1095</v>
      </c>
      <c r="AU213" s="575"/>
    </row>
    <row r="214" spans="1:47" s="576" customFormat="1" x14ac:dyDescent="0.25">
      <c r="A214" s="381">
        <f t="shared" si="3"/>
        <v>20.3</v>
      </c>
      <c r="B214" s="571">
        <v>41913</v>
      </c>
      <c r="C214" s="572" t="s">
        <v>454</v>
      </c>
      <c r="D214" s="577" t="s">
        <v>508</v>
      </c>
      <c r="E214" s="577" t="s">
        <v>380</v>
      </c>
      <c r="F214" s="577" t="s">
        <v>237</v>
      </c>
      <c r="G214" s="577" t="s">
        <v>255</v>
      </c>
      <c r="H214" s="376"/>
      <c r="I214" s="376"/>
      <c r="J214" s="376"/>
      <c r="K214" s="376">
        <v>218</v>
      </c>
      <c r="L214" s="376"/>
      <c r="M214" s="376"/>
      <c r="N214" s="376"/>
      <c r="O214" s="376"/>
      <c r="P214" s="378"/>
      <c r="Q214" s="378"/>
      <c r="R214" s="378"/>
      <c r="S214" s="378"/>
      <c r="T214" s="378"/>
      <c r="U214" s="378"/>
      <c r="V214" s="533"/>
      <c r="W214" s="378"/>
      <c r="X214" s="378"/>
      <c r="Y214" s="378">
        <f>IF(NFI_Expiration=1,IF($A214&lt;VLOOKUP(H$5,NFI,5,0),1,0)*Table_NFI[[#This Row],[Hygiene Kit]],Table_NFI[Hygiene Kit])</f>
        <v>0</v>
      </c>
      <c r="Z214" s="378">
        <f>IF(NFI_Expiration=1,IF($A214&lt;VLOOKUP(I$5,NFI,5,0),1,0)*Table_NFI[[#This Row],[NFI Core Kit]],Table_NFI[NFI Core Kit])</f>
        <v>0</v>
      </c>
      <c r="AA214" s="378">
        <f>IF(NFI_Expiration=1,IF($A214&lt;VLOOKUP(J$5,NFI,5,0),1,0)*Table_NFI[[#This Row],[Sanitary Kit]],Table_NFI[Sanitary Kit])</f>
        <v>0</v>
      </c>
      <c r="AB214" s="378">
        <f>IF(NFI_Expiration=1,IF($A214&lt;VLOOKUP(K$5,NFI,5,0),1,0)*Table_NFI[[#This Row],[Mosquito net]],Table_NFI[Mosquito net])</f>
        <v>0</v>
      </c>
      <c r="AC214" s="378">
        <f>IF(NFI_Expiration=1,IF($A214&lt;VLOOKUP(L$5,NFI,5,0),1,0)*Table_NFI[[#This Row],[Tarpaulin]],Table_NFI[[#This Row],[Tarpaulin]])</f>
        <v>0</v>
      </c>
      <c r="AD214" s="378">
        <f>IF(NFI_Expiration=1,IF($A214&lt;VLOOKUP(M$5,NFI,5,0),1,0)*Table_NFI[[#This Row],[Blanket]],Table_NFI[[#This Row],[Blanket]])</f>
        <v>0</v>
      </c>
      <c r="AE214" s="378">
        <f>IF(NFI_Expiration=1,IF($A214&lt;VLOOKUP(N$5,NFI,5,0),1,0)*Table_NFI[[#This Row],[Kitchen Set]],Table_NFI[Kitchen Set])</f>
        <v>0</v>
      </c>
      <c r="AF214" s="378">
        <f>IF(NFI_Expiration=1,IF($A214&lt;VLOOKUP(O$5,NFI,5,0),1,0)*Table_NFI[[#This Row],[Clothes Kit]],Table_NFI[Clothes Kit])</f>
        <v>0</v>
      </c>
      <c r="AG214" s="378">
        <f>IF(NFI_Expiration=1,IF($A214&lt;VLOOKUP(P$5,NFI,5,0),1,0)*Table_NFI[[#This Row],[Plastic Bucket]],Table_NFI[Plastic Bucket])</f>
        <v>0</v>
      </c>
      <c r="AH214" s="378">
        <f>IF(NFI_Expiration=1,IF($A214&lt;VLOOKUP(Q$5,NFI,5,0),1,0)*Table_NFI[[#This Row],[Plastic Mat]],Table_NFI[Plastic Mat])*IF(Table_NFI[[#This Row],[Distribution Date]]&gt;"2014-04-01",1,2.5)</f>
        <v>0</v>
      </c>
      <c r="AI214" s="378">
        <f>IF(NFI_Expiration=1,IF($A214&lt;VLOOKUP(R$5,NFI,5,0),1,0)*Table_NFI[[#This Row],[Winter Clothes Adult]],Table_NFI[Winter Clothes Adult])</f>
        <v>0</v>
      </c>
      <c r="AJ214" s="378">
        <f>IF(NFI_Expiration=1,IF($A214&lt;VLOOKUP(S$5,NFI,5,0),1,0)*Table_NFI[[#This Row],[Winter Clothes Children]],Table_NFI[Winter Clothes Children])</f>
        <v>0</v>
      </c>
      <c r="AK214" s="378">
        <f>IF(NFI_Expiration=1,IF($A214&lt;VLOOKUP(T$5,NFI,5,0),1,0)*Table_NFI[[#This Row],[Winter Items Other]],Table_NFI[Winter Items Other])</f>
        <v>0</v>
      </c>
      <c r="AL214" s="378">
        <f>IF(NFI_Expiration=1,IF($A214&lt;VLOOKUP(M$5,NFI,5,0),1,0)*Table_NFI[[#This Row],[Winter Blanket]],Table_NFI[[#This Row],[Winter Blanket]])</f>
        <v>0</v>
      </c>
      <c r="AM214" s="378">
        <f>IF(Table_NFI[[#This Row],[Winter Clothes Adult]]+Table_NFI[[#This Row],[Winter Clothes Children]]+Table_NFI[[#This Row],[Winter Items Other]]+Table_NFI[[#This Row],[Winter Blanket]]&gt;0,1,0)</f>
        <v>0</v>
      </c>
      <c r="AN214" s="418">
        <f>IF(NFI_Expiration=1,IF($A214&lt;VLOOKUP(V$5,NFI,5,0),1,0)*Table_NFI[[#This Row],[Jerry Can]],Table_NFI[Jerry Can])</f>
        <v>0</v>
      </c>
      <c r="AO214" s="579" t="str">
        <f>IFERROR(VLOOKUP(Table_NFI[[#This Row],[Camp Name]],CL,2,0),"")</f>
        <v>MMR001CMP019</v>
      </c>
      <c r="AP214" s="574">
        <f ca="1">IF(Table_NFI[[#This Row],[Pcode]]="","",IF(OFFSET(CampList[Opening Date],MATCH(Table_NFI[[#This Row],[Pcode]],CampList[CP_Pcode],0)-1,0,1,1)&gt;=NFI_Monitor_Date,1,0))</f>
        <v>0</v>
      </c>
      <c r="AQ214" s="579" t="str">
        <f>IFERROR(VLOOKUP(Table_NFI[[#This Row],[Camp Name]],CL,3,0),"")</f>
        <v>Open</v>
      </c>
      <c r="AR214" s="378" t="str">
        <f ca="1">IF(Table_NFI[[#This Row],[Pcode]]="","",OFFSET(CampList[Priority],MATCH(Table_NFI[[#This Row],[Pcode]],CampList[CP_Pcode],0)-1,0,1,1))</f>
        <v>P4</v>
      </c>
      <c r="AS214" s="377">
        <f>IFERROR(Table_NFI[[#This Row],[Kitchen Set]]/VLOOKUP(Table_NFI[[#This Row],[Camp Name]],CL,4,0),"")</f>
        <v>0</v>
      </c>
      <c r="AT214" s="577"/>
      <c r="AU214" s="580"/>
    </row>
    <row r="215" spans="1:47" s="576" customFormat="1" x14ac:dyDescent="0.25">
      <c r="A215" s="381">
        <f t="shared" si="3"/>
        <v>23.933333333333334</v>
      </c>
      <c r="B215" s="571">
        <v>41804</v>
      </c>
      <c r="C215" s="572" t="s">
        <v>1107</v>
      </c>
      <c r="D215" s="572" t="s">
        <v>903</v>
      </c>
      <c r="E215" s="572" t="s">
        <v>380</v>
      </c>
      <c r="F215" s="572" t="s">
        <v>237</v>
      </c>
      <c r="G215" s="572" t="s">
        <v>255</v>
      </c>
      <c r="H215" s="375"/>
      <c r="I215" s="375"/>
      <c r="J215" s="375"/>
      <c r="K215" s="375"/>
      <c r="L215" s="376"/>
      <c r="M215" s="376"/>
      <c r="N215" s="376"/>
      <c r="O215" s="376"/>
      <c r="P215" s="378"/>
      <c r="Q215" s="378"/>
      <c r="R215" s="378"/>
      <c r="S215" s="378"/>
      <c r="T215" s="378"/>
      <c r="U215" s="378">
        <v>216</v>
      </c>
      <c r="V215" s="533"/>
      <c r="W215" s="378"/>
      <c r="X215" s="378"/>
      <c r="Y215" s="378">
        <f>IF(NFI_Expiration=1,IF($A215&lt;VLOOKUP(H$5,NFI,5,0),1,0)*Table_NFI[[#This Row],[Hygiene Kit]],Table_NFI[Hygiene Kit])</f>
        <v>0</v>
      </c>
      <c r="Z215" s="378">
        <f>IF(NFI_Expiration=1,IF($A215&lt;VLOOKUP(I$5,NFI,5,0),1,0)*Table_NFI[[#This Row],[NFI Core Kit]],Table_NFI[NFI Core Kit])</f>
        <v>0</v>
      </c>
      <c r="AA215" s="378">
        <f>IF(NFI_Expiration=1,IF($A215&lt;VLOOKUP(J$5,NFI,5,0),1,0)*Table_NFI[[#This Row],[Sanitary Kit]],Table_NFI[Sanitary Kit])</f>
        <v>0</v>
      </c>
      <c r="AB215" s="378">
        <f>IF(NFI_Expiration=1,IF($A215&lt;VLOOKUP(K$5,NFI,5,0),1,0)*Table_NFI[[#This Row],[Mosquito net]],Table_NFI[Mosquito net])</f>
        <v>0</v>
      </c>
      <c r="AC215" s="378">
        <f>IF(NFI_Expiration=1,IF($A215&lt;VLOOKUP(L$5,NFI,5,0),1,0)*Table_NFI[[#This Row],[Tarpaulin]],Table_NFI[[#This Row],[Tarpaulin]])</f>
        <v>0</v>
      </c>
      <c r="AD215" s="378">
        <f>IF(NFI_Expiration=1,IF($A215&lt;VLOOKUP(M$5,NFI,5,0),1,0)*Table_NFI[[#This Row],[Blanket]],Table_NFI[[#This Row],[Blanket]])</f>
        <v>0</v>
      </c>
      <c r="AE215" s="378">
        <f>IF(NFI_Expiration=1,IF($A215&lt;VLOOKUP(N$5,NFI,5,0),1,0)*Table_NFI[[#This Row],[Kitchen Set]],Table_NFI[Kitchen Set])</f>
        <v>0</v>
      </c>
      <c r="AF215" s="378">
        <f>IF(NFI_Expiration=1,IF($A215&lt;VLOOKUP(O$5,NFI,5,0),1,0)*Table_NFI[[#This Row],[Clothes Kit]],Table_NFI[Clothes Kit])</f>
        <v>0</v>
      </c>
      <c r="AG215" s="378">
        <f>IF(NFI_Expiration=1,IF($A215&lt;VLOOKUP(P$5,NFI,5,0),1,0)*Table_NFI[[#This Row],[Plastic Bucket]],Table_NFI[Plastic Bucket])</f>
        <v>0</v>
      </c>
      <c r="AH215" s="378">
        <f>IF(NFI_Expiration=1,IF($A215&lt;VLOOKUP(Q$5,NFI,5,0),1,0)*Table_NFI[[#This Row],[Plastic Mat]],Table_NFI[Plastic Mat])*IF(Table_NFI[[#This Row],[Distribution Date]]&gt;"2014-04-01",1,2.5)</f>
        <v>0</v>
      </c>
      <c r="AI215" s="378">
        <f>IF(NFI_Expiration=1,IF($A215&lt;VLOOKUP(R$5,NFI,5,0),1,0)*Table_NFI[[#This Row],[Winter Clothes Adult]],Table_NFI[Winter Clothes Adult])</f>
        <v>0</v>
      </c>
      <c r="AJ215" s="378">
        <f>IF(NFI_Expiration=1,IF($A215&lt;VLOOKUP(S$5,NFI,5,0),1,0)*Table_NFI[[#This Row],[Winter Clothes Children]],Table_NFI[Winter Clothes Children])</f>
        <v>0</v>
      </c>
      <c r="AK215" s="378">
        <f>IF(NFI_Expiration=1,IF($A215&lt;VLOOKUP(T$5,NFI,5,0),1,0)*Table_NFI[[#This Row],[Winter Items Other]],Table_NFI[Winter Items Other])</f>
        <v>0</v>
      </c>
      <c r="AL215" s="378">
        <f>IF(NFI_Expiration=1,IF($A215&lt;VLOOKUP(M$5,NFI,5,0),1,0)*Table_NFI[[#This Row],[Winter Blanket]],Table_NFI[[#This Row],[Winter Blanket]])</f>
        <v>0</v>
      </c>
      <c r="AM215" s="378">
        <f>IF(Table_NFI[[#This Row],[Winter Clothes Adult]]+Table_NFI[[#This Row],[Winter Clothes Children]]+Table_NFI[[#This Row],[Winter Items Other]]+Table_NFI[[#This Row],[Winter Blanket]]&gt;0,1,0)</f>
        <v>1</v>
      </c>
      <c r="AN215" s="418">
        <f>IF(NFI_Expiration=1,IF($A215&lt;VLOOKUP(V$5,NFI,5,0),1,0)*Table_NFI[[#This Row],[Jerry Can]],Table_NFI[Jerry Can])</f>
        <v>0</v>
      </c>
      <c r="AO215" s="579" t="str">
        <f>IFERROR(VLOOKUP(Table_NFI[[#This Row],[Camp Name]],CL,2,0),"")</f>
        <v>MMR001CMP019</v>
      </c>
      <c r="AP215" s="574">
        <f ca="1">IF(Table_NFI[[#This Row],[Pcode]]="","",IF(OFFSET(CampList[Opening Date],MATCH(Table_NFI[[#This Row],[Pcode]],CampList[CP_Pcode],0)-1,0,1,1)&gt;=NFI_Monitor_Date,1,0))</f>
        <v>0</v>
      </c>
      <c r="AQ215" s="579" t="str">
        <f>IFERROR(VLOOKUP(Table_NFI[[#This Row],[Camp Name]],CL,3,0),"")</f>
        <v>Open</v>
      </c>
      <c r="AR215" s="378" t="str">
        <f ca="1">IF(Table_NFI[[#This Row],[Pcode]]="","",OFFSET(CampList[Priority],MATCH(Table_NFI[[#This Row],[Pcode]],CampList[CP_Pcode],0)-1,0,1,1))</f>
        <v>P4</v>
      </c>
      <c r="AS215" s="377">
        <f>IFERROR(Table_NFI[[#This Row],[Kitchen Set]]/VLOOKUP(Table_NFI[[#This Row],[Camp Name]],CL,4,0),"")</f>
        <v>0</v>
      </c>
      <c r="AT215" s="572"/>
      <c r="AU215" s="575"/>
    </row>
    <row r="216" spans="1:47" s="576" customFormat="1" x14ac:dyDescent="0.25">
      <c r="A216" s="381">
        <f t="shared" si="3"/>
        <v>37.299999999999997</v>
      </c>
      <c r="B216" s="571">
        <v>41403</v>
      </c>
      <c r="C216" s="572" t="s">
        <v>904</v>
      </c>
      <c r="D216" s="573" t="s">
        <v>508</v>
      </c>
      <c r="E216" s="572" t="s">
        <v>380</v>
      </c>
      <c r="F216" s="374" t="s">
        <v>237</v>
      </c>
      <c r="G216" s="374" t="s">
        <v>255</v>
      </c>
      <c r="H216" s="375">
        <v>460</v>
      </c>
      <c r="I216" s="375"/>
      <c r="J216" s="375"/>
      <c r="K216" s="375"/>
      <c r="L216" s="376"/>
      <c r="M216" s="376"/>
      <c r="N216" s="376"/>
      <c r="O216" s="376"/>
      <c r="P216" s="378"/>
      <c r="Q216" s="378"/>
      <c r="R216" s="378"/>
      <c r="S216" s="378"/>
      <c r="T216" s="378"/>
      <c r="U216" s="378"/>
      <c r="V216" s="533"/>
      <c r="W216" s="378"/>
      <c r="X216" s="378"/>
      <c r="Y216" s="378">
        <f>IF(NFI_Expiration=1,IF($A216&lt;VLOOKUP(H$5,NFI,5,0),1,0)*Table_NFI[[#This Row],[Hygiene Kit]],Table_NFI[Hygiene Kit])</f>
        <v>0</v>
      </c>
      <c r="Z216" s="378">
        <f>IF(NFI_Expiration=1,IF($A216&lt;VLOOKUP(I$5,NFI,5,0),1,0)*Table_NFI[[#This Row],[NFI Core Kit]],Table_NFI[NFI Core Kit])</f>
        <v>0</v>
      </c>
      <c r="AA216" s="378">
        <f>IF(NFI_Expiration=1,IF($A216&lt;VLOOKUP(J$5,NFI,5,0),1,0)*Table_NFI[[#This Row],[Sanitary Kit]],Table_NFI[Sanitary Kit])</f>
        <v>0</v>
      </c>
      <c r="AB216" s="378">
        <f>IF(NFI_Expiration=1,IF($A216&lt;VLOOKUP(K$5,NFI,5,0),1,0)*Table_NFI[[#This Row],[Mosquito net]],Table_NFI[Mosquito net])</f>
        <v>0</v>
      </c>
      <c r="AC216" s="378">
        <f>IF(NFI_Expiration=1,IF($A216&lt;VLOOKUP(L$5,NFI,5,0),1,0)*Table_NFI[[#This Row],[Tarpaulin]],Table_NFI[[#This Row],[Tarpaulin]])</f>
        <v>0</v>
      </c>
      <c r="AD216" s="378">
        <f>IF(NFI_Expiration=1,IF($A216&lt;VLOOKUP(M$5,NFI,5,0),1,0)*Table_NFI[[#This Row],[Blanket]],Table_NFI[[#This Row],[Blanket]])</f>
        <v>0</v>
      </c>
      <c r="AE216" s="378">
        <f>IF(NFI_Expiration=1,IF($A216&lt;VLOOKUP(N$5,NFI,5,0),1,0)*Table_NFI[[#This Row],[Kitchen Set]],Table_NFI[Kitchen Set])</f>
        <v>0</v>
      </c>
      <c r="AF216" s="378">
        <f>IF(NFI_Expiration=1,IF($A216&lt;VLOOKUP(O$5,NFI,5,0),1,0)*Table_NFI[[#This Row],[Clothes Kit]],Table_NFI[Clothes Kit])</f>
        <v>0</v>
      </c>
      <c r="AG216" s="378">
        <f>IF(NFI_Expiration=1,IF($A216&lt;VLOOKUP(P$5,NFI,5,0),1,0)*Table_NFI[[#This Row],[Plastic Bucket]],Table_NFI[Plastic Bucket])</f>
        <v>0</v>
      </c>
      <c r="AH216" s="378">
        <f>IF(NFI_Expiration=1,IF($A216&lt;VLOOKUP(Q$5,NFI,5,0),1,0)*Table_NFI[[#This Row],[Plastic Mat]],Table_NFI[Plastic Mat])*IF(Table_NFI[[#This Row],[Distribution Date]]&gt;"2014-04-01",1,2.5)</f>
        <v>0</v>
      </c>
      <c r="AI216" s="378">
        <f>IF(NFI_Expiration=1,IF($A216&lt;VLOOKUP(R$5,NFI,5,0),1,0)*Table_NFI[[#This Row],[Winter Clothes Adult]],Table_NFI[Winter Clothes Adult])</f>
        <v>0</v>
      </c>
      <c r="AJ216" s="378">
        <f>IF(NFI_Expiration=1,IF($A216&lt;VLOOKUP(S$5,NFI,5,0),1,0)*Table_NFI[[#This Row],[Winter Clothes Children]],Table_NFI[Winter Clothes Children])</f>
        <v>0</v>
      </c>
      <c r="AK216" s="378">
        <f>IF(NFI_Expiration=1,IF($A216&lt;VLOOKUP(T$5,NFI,5,0),1,0)*Table_NFI[[#This Row],[Winter Items Other]],Table_NFI[Winter Items Other])</f>
        <v>0</v>
      </c>
      <c r="AL216" s="378">
        <f>IF(NFI_Expiration=1,IF($A216&lt;VLOOKUP(M$5,NFI,5,0),1,0)*Table_NFI[[#This Row],[Winter Blanket]],Table_NFI[[#This Row],[Winter Blanket]])</f>
        <v>0</v>
      </c>
      <c r="AM216" s="378">
        <f>IF(Table_NFI[[#This Row],[Winter Clothes Adult]]+Table_NFI[[#This Row],[Winter Clothes Children]]+Table_NFI[[#This Row],[Winter Items Other]]+Table_NFI[[#This Row],[Winter Blanket]]&gt;0,1,0)</f>
        <v>0</v>
      </c>
      <c r="AN216" s="418">
        <f>IF(NFI_Expiration=1,IF($A216&lt;VLOOKUP(V$5,NFI,5,0),1,0)*Table_NFI[[#This Row],[Jerry Can]],Table_NFI[Jerry Can])</f>
        <v>0</v>
      </c>
      <c r="AO216" s="579" t="str">
        <f>IFERROR(VLOOKUP(Table_NFI[[#This Row],[Camp Name]],CL,2,0),"")</f>
        <v>MMR001CMP019</v>
      </c>
      <c r="AP216" s="574">
        <f ca="1">IF(Table_NFI[[#This Row],[Pcode]]="","",IF(OFFSET(CampList[Opening Date],MATCH(Table_NFI[[#This Row],[Pcode]],CampList[CP_Pcode],0)-1,0,1,1)&gt;=NFI_Monitor_Date,1,0))</f>
        <v>0</v>
      </c>
      <c r="AQ216" s="579" t="str">
        <f>IFERROR(VLOOKUP(Table_NFI[[#This Row],[Camp Name]],CL,3,0),"")</f>
        <v>Open</v>
      </c>
      <c r="AR216" s="378" t="str">
        <f ca="1">IF(Table_NFI[[#This Row],[Pcode]]="","",OFFSET(CampList[Priority],MATCH(Table_NFI[[#This Row],[Pcode]],CampList[CP_Pcode],0)-1,0,1,1))</f>
        <v>P4</v>
      </c>
      <c r="AS216" s="377">
        <f>IFERROR(Table_NFI[[#This Row],[Kitchen Set]]/VLOOKUP(Table_NFI[[#This Row],[Camp Name]],CL,4,0),"")</f>
        <v>0</v>
      </c>
      <c r="AT216" s="572" t="s">
        <v>1095</v>
      </c>
      <c r="AU216" s="575"/>
    </row>
    <row r="217" spans="1:47" s="576" customFormat="1" x14ac:dyDescent="0.25">
      <c r="A217" s="381">
        <f t="shared" si="3"/>
        <v>39.700000000000003</v>
      </c>
      <c r="B217" s="571">
        <v>41331</v>
      </c>
      <c r="C217" s="572" t="s">
        <v>903</v>
      </c>
      <c r="D217" s="572" t="s">
        <v>903</v>
      </c>
      <c r="E217" s="572" t="s">
        <v>380</v>
      </c>
      <c r="F217" s="572" t="s">
        <v>237</v>
      </c>
      <c r="G217" s="374" t="s">
        <v>255</v>
      </c>
      <c r="H217" s="375"/>
      <c r="I217" s="375"/>
      <c r="J217" s="375">
        <v>99</v>
      </c>
      <c r="K217" s="375"/>
      <c r="L217" s="376">
        <v>99</v>
      </c>
      <c r="M217" s="376"/>
      <c r="N217" s="376"/>
      <c r="O217" s="376"/>
      <c r="P217" s="378">
        <v>0</v>
      </c>
      <c r="Q217" s="378">
        <v>0</v>
      </c>
      <c r="R217" s="378"/>
      <c r="S217" s="378"/>
      <c r="T217" s="378"/>
      <c r="U217" s="378"/>
      <c r="V217" s="533"/>
      <c r="W217" s="378"/>
      <c r="X217" s="378"/>
      <c r="Y217" s="378">
        <f>IF(NFI_Expiration=1,IF($A217&lt;VLOOKUP(H$5,NFI,5,0),1,0)*Table_NFI[[#This Row],[Hygiene Kit]],Table_NFI[Hygiene Kit])</f>
        <v>0</v>
      </c>
      <c r="Z217" s="378">
        <f>IF(NFI_Expiration=1,IF($A217&lt;VLOOKUP(I$5,NFI,5,0),1,0)*Table_NFI[[#This Row],[NFI Core Kit]],Table_NFI[NFI Core Kit])</f>
        <v>0</v>
      </c>
      <c r="AA217" s="378">
        <f>IF(NFI_Expiration=1,IF($A217&lt;VLOOKUP(J$5,NFI,5,0),1,0)*Table_NFI[[#This Row],[Sanitary Kit]],Table_NFI[Sanitary Kit])</f>
        <v>0</v>
      </c>
      <c r="AB217" s="378">
        <f>IF(NFI_Expiration=1,IF($A217&lt;VLOOKUP(K$5,NFI,5,0),1,0)*Table_NFI[[#This Row],[Mosquito net]],Table_NFI[Mosquito net])</f>
        <v>0</v>
      </c>
      <c r="AC217" s="378">
        <f>IF(NFI_Expiration=1,IF($A217&lt;VLOOKUP(L$5,NFI,5,0),1,0)*Table_NFI[[#This Row],[Tarpaulin]],Table_NFI[[#This Row],[Tarpaulin]])</f>
        <v>0</v>
      </c>
      <c r="AD217" s="378">
        <f>IF(NFI_Expiration=1,IF($A217&lt;VLOOKUP(M$5,NFI,5,0),1,0)*Table_NFI[[#This Row],[Blanket]],Table_NFI[[#This Row],[Blanket]])</f>
        <v>0</v>
      </c>
      <c r="AE217" s="378">
        <f>IF(NFI_Expiration=1,IF($A217&lt;VLOOKUP(N$5,NFI,5,0),1,0)*Table_NFI[[#This Row],[Kitchen Set]],Table_NFI[Kitchen Set])</f>
        <v>0</v>
      </c>
      <c r="AF217" s="378">
        <f>IF(NFI_Expiration=1,IF($A217&lt;VLOOKUP(O$5,NFI,5,0),1,0)*Table_NFI[[#This Row],[Clothes Kit]],Table_NFI[Clothes Kit])</f>
        <v>0</v>
      </c>
      <c r="AG217" s="378">
        <f>IF(NFI_Expiration=1,IF($A217&lt;VLOOKUP(P$5,NFI,5,0),1,0)*Table_NFI[[#This Row],[Plastic Bucket]],Table_NFI[Plastic Bucket])</f>
        <v>0</v>
      </c>
      <c r="AH217" s="378">
        <f>IF(NFI_Expiration=1,IF($A217&lt;VLOOKUP(Q$5,NFI,5,0),1,0)*Table_NFI[[#This Row],[Plastic Mat]],Table_NFI[Plastic Mat])*IF(Table_NFI[[#This Row],[Distribution Date]]&gt;"2014-04-01",1,2.5)</f>
        <v>0</v>
      </c>
      <c r="AI217" s="378">
        <f>IF(NFI_Expiration=1,IF($A217&lt;VLOOKUP(R$5,NFI,5,0),1,0)*Table_NFI[[#This Row],[Winter Clothes Adult]],Table_NFI[Winter Clothes Adult])</f>
        <v>0</v>
      </c>
      <c r="AJ217" s="378">
        <f>IF(NFI_Expiration=1,IF($A217&lt;VLOOKUP(S$5,NFI,5,0),1,0)*Table_NFI[[#This Row],[Winter Clothes Children]],Table_NFI[Winter Clothes Children])</f>
        <v>0</v>
      </c>
      <c r="AK217" s="378">
        <f>IF(NFI_Expiration=1,IF($A217&lt;VLOOKUP(T$5,NFI,5,0),1,0)*Table_NFI[[#This Row],[Winter Items Other]],Table_NFI[Winter Items Other])</f>
        <v>0</v>
      </c>
      <c r="AL217" s="378">
        <f>IF(NFI_Expiration=1,IF($A217&lt;VLOOKUP(M$5,NFI,5,0),1,0)*Table_NFI[[#This Row],[Winter Blanket]],Table_NFI[[#This Row],[Winter Blanket]])</f>
        <v>0</v>
      </c>
      <c r="AM217" s="378">
        <f>IF(Table_NFI[[#This Row],[Winter Clothes Adult]]+Table_NFI[[#This Row],[Winter Clothes Children]]+Table_NFI[[#This Row],[Winter Items Other]]+Table_NFI[[#This Row],[Winter Blanket]]&gt;0,1,0)</f>
        <v>0</v>
      </c>
      <c r="AN217" s="418">
        <f>IF(NFI_Expiration=1,IF($A217&lt;VLOOKUP(V$5,NFI,5,0),1,0)*Table_NFI[[#This Row],[Jerry Can]],Table_NFI[Jerry Can])</f>
        <v>0</v>
      </c>
      <c r="AO217" s="579" t="str">
        <f>IFERROR(VLOOKUP(Table_NFI[[#This Row],[Camp Name]],CL,2,0),"")</f>
        <v>MMR001CMP019</v>
      </c>
      <c r="AP217" s="574">
        <f ca="1">IF(Table_NFI[[#This Row],[Pcode]]="","",IF(OFFSET(CampList[Opening Date],MATCH(Table_NFI[[#This Row],[Pcode]],CampList[CP_Pcode],0)-1,0,1,1)&gt;=NFI_Monitor_Date,1,0))</f>
        <v>0</v>
      </c>
      <c r="AQ217" s="579" t="str">
        <f>IFERROR(VLOOKUP(Table_NFI[[#This Row],[Camp Name]],CL,3,0),"")</f>
        <v>Open</v>
      </c>
      <c r="AR217" s="378" t="str">
        <f ca="1">IF(Table_NFI[[#This Row],[Pcode]]="","",OFFSET(CampList[Priority],MATCH(Table_NFI[[#This Row],[Pcode]],CampList[CP_Pcode],0)-1,0,1,1))</f>
        <v>P4</v>
      </c>
      <c r="AS217" s="377">
        <f>IFERROR(Table_NFI[[#This Row],[Kitchen Set]]/VLOOKUP(Table_NFI[[#This Row],[Camp Name]],CL,4,0),"")</f>
        <v>0</v>
      </c>
      <c r="AT217" s="572" t="s">
        <v>1095</v>
      </c>
      <c r="AU217" s="575"/>
    </row>
    <row r="218" spans="1:47" s="576" customFormat="1" x14ac:dyDescent="0.25">
      <c r="A218" s="381">
        <f t="shared" si="3"/>
        <v>46.966666666666669</v>
      </c>
      <c r="B218" s="571">
        <v>41113</v>
      </c>
      <c r="C218" s="572" t="s">
        <v>454</v>
      </c>
      <c r="D218" s="573" t="s">
        <v>454</v>
      </c>
      <c r="E218" s="572" t="s">
        <v>380</v>
      </c>
      <c r="F218" s="374" t="s">
        <v>237</v>
      </c>
      <c r="G218" s="374" t="s">
        <v>255</v>
      </c>
      <c r="H218" s="375"/>
      <c r="I218" s="375"/>
      <c r="J218" s="375"/>
      <c r="K218" s="375">
        <v>19</v>
      </c>
      <c r="L218" s="376">
        <v>10</v>
      </c>
      <c r="M218" s="376">
        <v>19</v>
      </c>
      <c r="N218" s="376">
        <v>10</v>
      </c>
      <c r="O218" s="376">
        <v>11</v>
      </c>
      <c r="P218" s="378">
        <v>11</v>
      </c>
      <c r="Q218" s="378">
        <v>11</v>
      </c>
      <c r="R218" s="378"/>
      <c r="S218" s="378"/>
      <c r="T218" s="378"/>
      <c r="U218" s="378"/>
      <c r="V218" s="533"/>
      <c r="W218" s="378"/>
      <c r="X218" s="378"/>
      <c r="Y218" s="378">
        <f>IF(NFI_Expiration=1,IF($A218&lt;VLOOKUP(H$5,NFI,5,0),1,0)*Table_NFI[[#This Row],[Hygiene Kit]],Table_NFI[Hygiene Kit])</f>
        <v>0</v>
      </c>
      <c r="Z218" s="378">
        <f>IF(NFI_Expiration=1,IF($A218&lt;VLOOKUP(I$5,NFI,5,0),1,0)*Table_NFI[[#This Row],[NFI Core Kit]],Table_NFI[NFI Core Kit])</f>
        <v>0</v>
      </c>
      <c r="AA218" s="378">
        <f>IF(NFI_Expiration=1,IF($A218&lt;VLOOKUP(J$5,NFI,5,0),1,0)*Table_NFI[[#This Row],[Sanitary Kit]],Table_NFI[Sanitary Kit])</f>
        <v>0</v>
      </c>
      <c r="AB218" s="378">
        <f>IF(NFI_Expiration=1,IF($A218&lt;VLOOKUP(K$5,NFI,5,0),1,0)*Table_NFI[[#This Row],[Mosquito net]],Table_NFI[Mosquito net])</f>
        <v>0</v>
      </c>
      <c r="AC218" s="378">
        <f>IF(NFI_Expiration=1,IF($A218&lt;VLOOKUP(L$5,NFI,5,0),1,0)*Table_NFI[[#This Row],[Tarpaulin]],Table_NFI[[#This Row],[Tarpaulin]])</f>
        <v>0</v>
      </c>
      <c r="AD218" s="378">
        <f>IF(NFI_Expiration=1,IF($A218&lt;VLOOKUP(M$5,NFI,5,0),1,0)*Table_NFI[[#This Row],[Blanket]],Table_NFI[[#This Row],[Blanket]])</f>
        <v>0</v>
      </c>
      <c r="AE218" s="378">
        <f>IF(NFI_Expiration=1,IF($A218&lt;VLOOKUP(N$5,NFI,5,0),1,0)*Table_NFI[[#This Row],[Kitchen Set]],Table_NFI[Kitchen Set])</f>
        <v>0</v>
      </c>
      <c r="AF218" s="378">
        <f>IF(NFI_Expiration=1,IF($A218&lt;VLOOKUP(O$5,NFI,5,0),1,0)*Table_NFI[[#This Row],[Clothes Kit]],Table_NFI[Clothes Kit])</f>
        <v>0</v>
      </c>
      <c r="AG218" s="378">
        <f>IF(NFI_Expiration=1,IF($A218&lt;VLOOKUP(P$5,NFI,5,0),1,0)*Table_NFI[[#This Row],[Plastic Bucket]],Table_NFI[Plastic Bucket])</f>
        <v>0</v>
      </c>
      <c r="AH218" s="378">
        <f>IF(NFI_Expiration=1,IF($A218&lt;VLOOKUP(Q$5,NFI,5,0),1,0)*Table_NFI[[#This Row],[Plastic Mat]],Table_NFI[Plastic Mat])*IF(Table_NFI[[#This Row],[Distribution Date]]&gt;"2014-04-01",1,2.5)</f>
        <v>0</v>
      </c>
      <c r="AI218" s="378">
        <f>IF(NFI_Expiration=1,IF($A218&lt;VLOOKUP(R$5,NFI,5,0),1,0)*Table_NFI[[#This Row],[Winter Clothes Adult]],Table_NFI[Winter Clothes Adult])</f>
        <v>0</v>
      </c>
      <c r="AJ218" s="378">
        <f>IF(NFI_Expiration=1,IF($A218&lt;VLOOKUP(S$5,NFI,5,0),1,0)*Table_NFI[[#This Row],[Winter Clothes Children]],Table_NFI[Winter Clothes Children])</f>
        <v>0</v>
      </c>
      <c r="AK218" s="378">
        <f>IF(NFI_Expiration=1,IF($A218&lt;VLOOKUP(T$5,NFI,5,0),1,0)*Table_NFI[[#This Row],[Winter Items Other]],Table_NFI[Winter Items Other])</f>
        <v>0</v>
      </c>
      <c r="AL218" s="378">
        <f>IF(NFI_Expiration=1,IF($A218&lt;VLOOKUP(M$5,NFI,5,0),1,0)*Table_NFI[[#This Row],[Winter Blanket]],Table_NFI[[#This Row],[Winter Blanket]])</f>
        <v>0</v>
      </c>
      <c r="AM218" s="378">
        <f>IF(Table_NFI[[#This Row],[Winter Clothes Adult]]+Table_NFI[[#This Row],[Winter Clothes Children]]+Table_NFI[[#This Row],[Winter Items Other]]+Table_NFI[[#This Row],[Winter Blanket]]&gt;0,1,0)</f>
        <v>0</v>
      </c>
      <c r="AN218" s="418">
        <f>IF(NFI_Expiration=1,IF($A218&lt;VLOOKUP(V$5,NFI,5,0),1,0)*Table_NFI[[#This Row],[Jerry Can]],Table_NFI[Jerry Can])</f>
        <v>0</v>
      </c>
      <c r="AO218" s="579" t="str">
        <f>IFERROR(VLOOKUP(Table_NFI[[#This Row],[Camp Name]],CL,2,0),"")</f>
        <v>MMR001CMP019</v>
      </c>
      <c r="AP218" s="574">
        <f ca="1">IF(Table_NFI[[#This Row],[Pcode]]="","",IF(OFFSET(CampList[Opening Date],MATCH(Table_NFI[[#This Row],[Pcode]],CampList[CP_Pcode],0)-1,0,1,1)&gt;=NFI_Monitor_Date,1,0))</f>
        <v>0</v>
      </c>
      <c r="AQ218" s="579" t="str">
        <f>IFERROR(VLOOKUP(Table_NFI[[#This Row],[Camp Name]],CL,3,0),"")</f>
        <v>Open</v>
      </c>
      <c r="AR218" s="378" t="str">
        <f ca="1">IF(Table_NFI[[#This Row],[Pcode]]="","",OFFSET(CampList[Priority],MATCH(Table_NFI[[#This Row],[Pcode]],CampList[CP_Pcode],0)-1,0,1,1))</f>
        <v>P4</v>
      </c>
      <c r="AS218" s="377">
        <f>IFERROR(Table_NFI[[#This Row],[Kitchen Set]]/VLOOKUP(Table_NFI[[#This Row],[Camp Name]],CL,4,0),"")</f>
        <v>9.7087378640776698E-2</v>
      </c>
      <c r="AT218" s="572" t="s">
        <v>1095</v>
      </c>
      <c r="AU218" s="575"/>
    </row>
    <row r="219" spans="1:47" s="576" customFormat="1" x14ac:dyDescent="0.25">
      <c r="A219" s="381">
        <f t="shared" si="3"/>
        <v>53.6</v>
      </c>
      <c r="B219" s="571">
        <v>40914</v>
      </c>
      <c r="C219" s="572" t="s">
        <v>454</v>
      </c>
      <c r="D219" s="573" t="s">
        <v>508</v>
      </c>
      <c r="E219" s="572" t="s">
        <v>380</v>
      </c>
      <c r="F219" s="374" t="s">
        <v>237</v>
      </c>
      <c r="G219" s="374" t="s">
        <v>255</v>
      </c>
      <c r="H219" s="375"/>
      <c r="I219" s="375"/>
      <c r="J219" s="375"/>
      <c r="K219" s="375">
        <v>0</v>
      </c>
      <c r="L219" s="376">
        <v>0</v>
      </c>
      <c r="M219" s="376">
        <v>0</v>
      </c>
      <c r="N219" s="376">
        <v>0</v>
      </c>
      <c r="O219" s="376">
        <v>9</v>
      </c>
      <c r="P219" s="378">
        <v>9</v>
      </c>
      <c r="Q219" s="378">
        <v>9</v>
      </c>
      <c r="R219" s="378"/>
      <c r="S219" s="378"/>
      <c r="T219" s="378"/>
      <c r="U219" s="378"/>
      <c r="V219" s="533"/>
      <c r="W219" s="378"/>
      <c r="X219" s="378"/>
      <c r="Y219" s="378">
        <f>IF(NFI_Expiration=1,IF($A219&lt;VLOOKUP(H$5,NFI,5,0),1,0)*Table_NFI[[#This Row],[Hygiene Kit]],Table_NFI[Hygiene Kit])</f>
        <v>0</v>
      </c>
      <c r="Z219" s="378">
        <f>IF(NFI_Expiration=1,IF($A219&lt;VLOOKUP(I$5,NFI,5,0),1,0)*Table_NFI[[#This Row],[NFI Core Kit]],Table_NFI[NFI Core Kit])</f>
        <v>0</v>
      </c>
      <c r="AA219" s="378">
        <f>IF(NFI_Expiration=1,IF($A219&lt;VLOOKUP(J$5,NFI,5,0),1,0)*Table_NFI[[#This Row],[Sanitary Kit]],Table_NFI[Sanitary Kit])</f>
        <v>0</v>
      </c>
      <c r="AB219" s="378">
        <f>IF(NFI_Expiration=1,IF($A219&lt;VLOOKUP(K$5,NFI,5,0),1,0)*Table_NFI[[#This Row],[Mosquito net]],Table_NFI[Mosquito net])</f>
        <v>0</v>
      </c>
      <c r="AC219" s="378">
        <f>IF(NFI_Expiration=1,IF($A219&lt;VLOOKUP(L$5,NFI,5,0),1,0)*Table_NFI[[#This Row],[Tarpaulin]],Table_NFI[[#This Row],[Tarpaulin]])</f>
        <v>0</v>
      </c>
      <c r="AD219" s="378">
        <f>IF(NFI_Expiration=1,IF($A219&lt;VLOOKUP(M$5,NFI,5,0),1,0)*Table_NFI[[#This Row],[Blanket]],Table_NFI[[#This Row],[Blanket]])</f>
        <v>0</v>
      </c>
      <c r="AE219" s="378">
        <f>IF(NFI_Expiration=1,IF($A219&lt;VLOOKUP(N$5,NFI,5,0),1,0)*Table_NFI[[#This Row],[Kitchen Set]],Table_NFI[Kitchen Set])</f>
        <v>0</v>
      </c>
      <c r="AF219" s="378">
        <f>IF(NFI_Expiration=1,IF($A219&lt;VLOOKUP(O$5,NFI,5,0),1,0)*Table_NFI[[#This Row],[Clothes Kit]],Table_NFI[Clothes Kit])</f>
        <v>0</v>
      </c>
      <c r="AG219" s="378">
        <f>IF(NFI_Expiration=1,IF($A219&lt;VLOOKUP(P$5,NFI,5,0),1,0)*Table_NFI[[#This Row],[Plastic Bucket]],Table_NFI[Plastic Bucket])</f>
        <v>0</v>
      </c>
      <c r="AH219" s="378">
        <f>IF(NFI_Expiration=1,IF($A219&lt;VLOOKUP(Q$5,NFI,5,0),1,0)*Table_NFI[[#This Row],[Plastic Mat]],Table_NFI[Plastic Mat])*IF(Table_NFI[[#This Row],[Distribution Date]]&gt;"2014-04-01",1,2.5)</f>
        <v>0</v>
      </c>
      <c r="AI219" s="378">
        <f>IF(NFI_Expiration=1,IF($A219&lt;VLOOKUP(R$5,NFI,5,0),1,0)*Table_NFI[[#This Row],[Winter Clothes Adult]],Table_NFI[Winter Clothes Adult])</f>
        <v>0</v>
      </c>
      <c r="AJ219" s="378">
        <f>IF(NFI_Expiration=1,IF($A219&lt;VLOOKUP(S$5,NFI,5,0),1,0)*Table_NFI[[#This Row],[Winter Clothes Children]],Table_NFI[Winter Clothes Children])</f>
        <v>0</v>
      </c>
      <c r="AK219" s="378">
        <f>IF(NFI_Expiration=1,IF($A219&lt;VLOOKUP(T$5,NFI,5,0),1,0)*Table_NFI[[#This Row],[Winter Items Other]],Table_NFI[Winter Items Other])</f>
        <v>0</v>
      </c>
      <c r="AL219" s="378">
        <f>IF(NFI_Expiration=1,IF($A219&lt;VLOOKUP(M$5,NFI,5,0),1,0)*Table_NFI[[#This Row],[Winter Blanket]],Table_NFI[[#This Row],[Winter Blanket]])</f>
        <v>0</v>
      </c>
      <c r="AM219" s="378">
        <f>IF(Table_NFI[[#This Row],[Winter Clothes Adult]]+Table_NFI[[#This Row],[Winter Clothes Children]]+Table_NFI[[#This Row],[Winter Items Other]]+Table_NFI[[#This Row],[Winter Blanket]]&gt;0,1,0)</f>
        <v>0</v>
      </c>
      <c r="AN219" s="418">
        <f>IF(NFI_Expiration=1,IF($A219&lt;VLOOKUP(V$5,NFI,5,0),1,0)*Table_NFI[[#This Row],[Jerry Can]],Table_NFI[Jerry Can])</f>
        <v>0</v>
      </c>
      <c r="AO219" s="579" t="str">
        <f>IFERROR(VLOOKUP(Table_NFI[[#This Row],[Camp Name]],CL,2,0),"")</f>
        <v>MMR001CMP019</v>
      </c>
      <c r="AP219" s="574">
        <f ca="1">IF(Table_NFI[[#This Row],[Pcode]]="","",IF(OFFSET(CampList[Opening Date],MATCH(Table_NFI[[#This Row],[Pcode]],CampList[CP_Pcode],0)-1,0,1,1)&gt;=NFI_Monitor_Date,1,0))</f>
        <v>0</v>
      </c>
      <c r="AQ219" s="579" t="str">
        <f>IFERROR(VLOOKUP(Table_NFI[[#This Row],[Camp Name]],CL,3,0),"")</f>
        <v>Open</v>
      </c>
      <c r="AR219" s="378" t="str">
        <f ca="1">IF(Table_NFI[[#This Row],[Pcode]]="","",OFFSET(CampList[Priority],MATCH(Table_NFI[[#This Row],[Pcode]],CampList[CP_Pcode],0)-1,0,1,1))</f>
        <v>P4</v>
      </c>
      <c r="AS219" s="377">
        <f>IFERROR(Table_NFI[[#This Row],[Kitchen Set]]/VLOOKUP(Table_NFI[[#This Row],[Camp Name]],CL,4,0),"")</f>
        <v>0</v>
      </c>
      <c r="AT219" s="572" t="s">
        <v>1095</v>
      </c>
      <c r="AU219" s="575"/>
    </row>
    <row r="220" spans="1:47" s="576" customFormat="1" x14ac:dyDescent="0.25">
      <c r="A220" s="381">
        <f t="shared" si="3"/>
        <v>50.033333333333331</v>
      </c>
      <c r="B220" s="571">
        <v>41021</v>
      </c>
      <c r="C220" s="572" t="s">
        <v>454</v>
      </c>
      <c r="D220" s="572" t="s">
        <v>454</v>
      </c>
      <c r="E220" s="572" t="s">
        <v>380</v>
      </c>
      <c r="F220" s="374" t="s">
        <v>185</v>
      </c>
      <c r="G220" s="374" t="s">
        <v>910</v>
      </c>
      <c r="H220" s="375"/>
      <c r="I220" s="375"/>
      <c r="J220" s="375"/>
      <c r="K220" s="375">
        <v>846</v>
      </c>
      <c r="L220" s="376">
        <v>423</v>
      </c>
      <c r="M220" s="376">
        <v>846</v>
      </c>
      <c r="N220" s="376">
        <v>423</v>
      </c>
      <c r="O220" s="376">
        <v>423</v>
      </c>
      <c r="P220" s="378">
        <v>423</v>
      </c>
      <c r="Q220" s="378">
        <v>423</v>
      </c>
      <c r="R220" s="378"/>
      <c r="S220" s="378"/>
      <c r="T220" s="378"/>
      <c r="U220" s="378"/>
      <c r="V220" s="533"/>
      <c r="W220" s="378"/>
      <c r="X220" s="378"/>
      <c r="Y220" s="378">
        <f>IF(NFI_Expiration=1,IF($A220&lt;VLOOKUP(H$5,NFI,5,0),1,0)*Table_NFI[[#This Row],[Hygiene Kit]],Table_NFI[Hygiene Kit])</f>
        <v>0</v>
      </c>
      <c r="Z220" s="378">
        <f>IF(NFI_Expiration=1,IF($A220&lt;VLOOKUP(I$5,NFI,5,0),1,0)*Table_NFI[[#This Row],[NFI Core Kit]],Table_NFI[NFI Core Kit])</f>
        <v>0</v>
      </c>
      <c r="AA220" s="378">
        <f>IF(NFI_Expiration=1,IF($A220&lt;VLOOKUP(J$5,NFI,5,0),1,0)*Table_NFI[[#This Row],[Sanitary Kit]],Table_NFI[Sanitary Kit])</f>
        <v>0</v>
      </c>
      <c r="AB220" s="378">
        <f>IF(NFI_Expiration=1,IF($A220&lt;VLOOKUP(K$5,NFI,5,0),1,0)*Table_NFI[[#This Row],[Mosquito net]],Table_NFI[Mosquito net])</f>
        <v>0</v>
      </c>
      <c r="AC220" s="378">
        <f>IF(NFI_Expiration=1,IF($A220&lt;VLOOKUP(L$5,NFI,5,0),1,0)*Table_NFI[[#This Row],[Tarpaulin]],Table_NFI[[#This Row],[Tarpaulin]])</f>
        <v>0</v>
      </c>
      <c r="AD220" s="378">
        <f>IF(NFI_Expiration=1,IF($A220&lt;VLOOKUP(M$5,NFI,5,0),1,0)*Table_NFI[[#This Row],[Blanket]],Table_NFI[[#This Row],[Blanket]])</f>
        <v>0</v>
      </c>
      <c r="AE220" s="378">
        <f>IF(NFI_Expiration=1,IF($A220&lt;VLOOKUP(N$5,NFI,5,0),1,0)*Table_NFI[[#This Row],[Kitchen Set]],Table_NFI[Kitchen Set])</f>
        <v>0</v>
      </c>
      <c r="AF220" s="378">
        <f>IF(NFI_Expiration=1,IF($A220&lt;VLOOKUP(O$5,NFI,5,0),1,0)*Table_NFI[[#This Row],[Clothes Kit]],Table_NFI[Clothes Kit])</f>
        <v>0</v>
      </c>
      <c r="AG220" s="378">
        <f>IF(NFI_Expiration=1,IF($A220&lt;VLOOKUP(P$5,NFI,5,0),1,0)*Table_NFI[[#This Row],[Plastic Bucket]],Table_NFI[Plastic Bucket])</f>
        <v>0</v>
      </c>
      <c r="AH220" s="378">
        <f>IF(NFI_Expiration=1,IF($A220&lt;VLOOKUP(Q$5,NFI,5,0),1,0)*Table_NFI[[#This Row],[Plastic Mat]],Table_NFI[Plastic Mat])*IF(Table_NFI[[#This Row],[Distribution Date]]&gt;"2014-04-01",1,2.5)</f>
        <v>0</v>
      </c>
      <c r="AI220" s="378">
        <f>IF(NFI_Expiration=1,IF($A220&lt;VLOOKUP(R$5,NFI,5,0),1,0)*Table_NFI[[#This Row],[Winter Clothes Adult]],Table_NFI[Winter Clothes Adult])</f>
        <v>0</v>
      </c>
      <c r="AJ220" s="378">
        <f>IF(NFI_Expiration=1,IF($A220&lt;VLOOKUP(S$5,NFI,5,0),1,0)*Table_NFI[[#This Row],[Winter Clothes Children]],Table_NFI[Winter Clothes Children])</f>
        <v>0</v>
      </c>
      <c r="AK220" s="378">
        <f>IF(NFI_Expiration=1,IF($A220&lt;VLOOKUP(T$5,NFI,5,0),1,0)*Table_NFI[[#This Row],[Winter Items Other]],Table_NFI[Winter Items Other])</f>
        <v>0</v>
      </c>
      <c r="AL220" s="378">
        <f>IF(NFI_Expiration=1,IF($A220&lt;VLOOKUP(M$5,NFI,5,0),1,0)*Table_NFI[[#This Row],[Winter Blanket]],Table_NFI[[#This Row],[Winter Blanket]])</f>
        <v>0</v>
      </c>
      <c r="AM220" s="378">
        <f>IF(Table_NFI[[#This Row],[Winter Clothes Adult]]+Table_NFI[[#This Row],[Winter Clothes Children]]+Table_NFI[[#This Row],[Winter Items Other]]+Table_NFI[[#This Row],[Winter Blanket]]&gt;0,1,0)</f>
        <v>0</v>
      </c>
      <c r="AN220" s="418">
        <f>IF(NFI_Expiration=1,IF($A220&lt;VLOOKUP(V$5,NFI,5,0),1,0)*Table_NFI[[#This Row],[Jerry Can]],Table_NFI[Jerry Can])</f>
        <v>0</v>
      </c>
      <c r="AO220" s="579" t="str">
        <f>IFERROR(VLOOKUP(Table_NFI[[#This Row],[Camp Name]],CL,2,0),"")</f>
        <v/>
      </c>
      <c r="AP220" s="574" t="str">
        <f ca="1">IF(Table_NFI[[#This Row],[Pcode]]="","",IF(OFFSET(CampList[Opening Date],MATCH(Table_NFI[[#This Row],[Pcode]],CampList[CP_Pcode],0)-1,0,1,1)&gt;=NFI_Monitor_Date,1,0))</f>
        <v/>
      </c>
      <c r="AQ220" s="579" t="str">
        <f>IFERROR(VLOOKUP(Table_NFI[[#This Row],[Camp Name]],CL,3,0),"")</f>
        <v/>
      </c>
      <c r="AR220" s="378" t="str">
        <f ca="1">IF(Table_NFI[[#This Row],[Pcode]]="","",OFFSET(CampList[Priority],MATCH(Table_NFI[[#This Row],[Pcode]],CampList[CP_Pcode],0)-1,0,1,1))</f>
        <v/>
      </c>
      <c r="AS220" s="377" t="str">
        <f>IFERROR(Table_NFI[[#This Row],[Kitchen Set]]/VLOOKUP(Table_NFI[[#This Row],[Camp Name]],CL,4,0),"")</f>
        <v/>
      </c>
      <c r="AT220" s="572" t="s">
        <v>1095</v>
      </c>
      <c r="AU220" s="575"/>
    </row>
    <row r="221" spans="1:47" s="576" customFormat="1" x14ac:dyDescent="0.25">
      <c r="A221" s="381">
        <f t="shared" si="3"/>
        <v>15.7</v>
      </c>
      <c r="B221" s="571">
        <v>42051</v>
      </c>
      <c r="C221" s="577" t="s">
        <v>454</v>
      </c>
      <c r="D221" s="577" t="s">
        <v>508</v>
      </c>
      <c r="E221" s="577" t="s">
        <v>380</v>
      </c>
      <c r="F221" s="577" t="s">
        <v>310</v>
      </c>
      <c r="G221" s="577" t="s">
        <v>196</v>
      </c>
      <c r="H221" s="376"/>
      <c r="I221" s="376"/>
      <c r="J221" s="376"/>
      <c r="K221" s="376"/>
      <c r="L221" s="376"/>
      <c r="M221" s="376"/>
      <c r="N221" s="376"/>
      <c r="O221" s="376"/>
      <c r="P221" s="378"/>
      <c r="Q221" s="378"/>
      <c r="R221" s="378">
        <v>2676</v>
      </c>
      <c r="S221" s="378">
        <v>2672</v>
      </c>
      <c r="T221" s="378"/>
      <c r="U221" s="378">
        <v>3186</v>
      </c>
      <c r="V221" s="533"/>
      <c r="W221" s="378"/>
      <c r="X221" s="378"/>
      <c r="Y221" s="378">
        <f>IF(NFI_Expiration=1,IF($A221&lt;VLOOKUP(H$5,NFI,5,0),1,0)*Table_NFI[[#This Row],[Hygiene Kit]],Table_NFI[Hygiene Kit])</f>
        <v>0</v>
      </c>
      <c r="Z221" s="378">
        <f>IF(NFI_Expiration=1,IF($A221&lt;VLOOKUP(I$5,NFI,5,0),1,0)*Table_NFI[[#This Row],[NFI Core Kit]],Table_NFI[NFI Core Kit])</f>
        <v>0</v>
      </c>
      <c r="AA221" s="378">
        <f>IF(NFI_Expiration=1,IF($A221&lt;VLOOKUP(J$5,NFI,5,0),1,0)*Table_NFI[[#This Row],[Sanitary Kit]],Table_NFI[Sanitary Kit])</f>
        <v>0</v>
      </c>
      <c r="AB221" s="378">
        <f>IF(NFI_Expiration=1,IF($A221&lt;VLOOKUP(K$5,NFI,5,0),1,0)*Table_NFI[[#This Row],[Mosquito net]],Table_NFI[Mosquito net])</f>
        <v>0</v>
      </c>
      <c r="AC221" s="378">
        <f>IF(NFI_Expiration=1,IF($A221&lt;VLOOKUP(L$5,NFI,5,0),1,0)*Table_NFI[[#This Row],[Tarpaulin]],Table_NFI[[#This Row],[Tarpaulin]])</f>
        <v>0</v>
      </c>
      <c r="AD221" s="378">
        <f>IF(NFI_Expiration=1,IF($A221&lt;VLOOKUP(M$5,NFI,5,0),1,0)*Table_NFI[[#This Row],[Blanket]],Table_NFI[[#This Row],[Blanket]])</f>
        <v>0</v>
      </c>
      <c r="AE221" s="378">
        <f>IF(NFI_Expiration=1,IF($A221&lt;VLOOKUP(N$5,NFI,5,0),1,0)*Table_NFI[[#This Row],[Kitchen Set]],Table_NFI[Kitchen Set])</f>
        <v>0</v>
      </c>
      <c r="AF221" s="378">
        <f>IF(NFI_Expiration=1,IF($A221&lt;VLOOKUP(O$5,NFI,5,0),1,0)*Table_NFI[[#This Row],[Clothes Kit]],Table_NFI[Clothes Kit])</f>
        <v>0</v>
      </c>
      <c r="AG221" s="378">
        <f>IF(NFI_Expiration=1,IF($A221&lt;VLOOKUP(P$5,NFI,5,0),1,0)*Table_NFI[[#This Row],[Plastic Bucket]],Table_NFI[Plastic Bucket])</f>
        <v>0</v>
      </c>
      <c r="AH221" s="378">
        <f>IF(NFI_Expiration=1,IF($A221&lt;VLOOKUP(Q$5,NFI,5,0),1,0)*Table_NFI[[#This Row],[Plastic Mat]],Table_NFI[Plastic Mat])*IF(Table_NFI[[#This Row],[Distribution Date]]&gt;"2014-04-01",1,2.5)</f>
        <v>0</v>
      </c>
      <c r="AI221" s="378">
        <f>IF(NFI_Expiration=1,IF($A221&lt;VLOOKUP(R$5,NFI,5,0),1,0)*Table_NFI[[#This Row],[Winter Clothes Adult]],Table_NFI[Winter Clothes Adult])</f>
        <v>0</v>
      </c>
      <c r="AJ221" s="378">
        <f>IF(NFI_Expiration=1,IF($A221&lt;VLOOKUP(S$5,NFI,5,0),1,0)*Table_NFI[[#This Row],[Winter Clothes Children]],Table_NFI[Winter Clothes Children])</f>
        <v>0</v>
      </c>
      <c r="AK221" s="378">
        <f>IF(NFI_Expiration=1,IF($A221&lt;VLOOKUP(T$5,NFI,5,0),1,0)*Table_NFI[[#This Row],[Winter Items Other]],Table_NFI[Winter Items Other])</f>
        <v>0</v>
      </c>
      <c r="AL221" s="378">
        <f>IF(NFI_Expiration=1,IF($A221&lt;VLOOKUP(M$5,NFI,5,0),1,0)*Table_NFI[[#This Row],[Winter Blanket]],Table_NFI[[#This Row],[Winter Blanket]])</f>
        <v>0</v>
      </c>
      <c r="AM221" s="378">
        <f>IF(Table_NFI[[#This Row],[Winter Clothes Adult]]+Table_NFI[[#This Row],[Winter Clothes Children]]+Table_NFI[[#This Row],[Winter Items Other]]+Table_NFI[[#This Row],[Winter Blanket]]&gt;0,1,0)</f>
        <v>1</v>
      </c>
      <c r="AN221" s="418">
        <f>IF(NFI_Expiration=1,IF($A221&lt;VLOOKUP(V$5,NFI,5,0),1,0)*Table_NFI[[#This Row],[Jerry Can]],Table_NFI[Jerry Can])</f>
        <v>0</v>
      </c>
      <c r="AO221" s="579" t="str">
        <f>IFERROR(VLOOKUP(Table_NFI[[#This Row],[Camp Name]],CL,2,0),"")</f>
        <v>MMR001CMP121</v>
      </c>
      <c r="AP221" s="574">
        <f ca="1">IF(Table_NFI[[#This Row],[Pcode]]="","",IF(OFFSET(CampList[Opening Date],MATCH(Table_NFI[[#This Row],[Pcode]],CampList[CP_Pcode],0)-1,0,1,1)&gt;=NFI_Monitor_Date,1,0))</f>
        <v>0</v>
      </c>
      <c r="AQ221" s="579" t="str">
        <f>IFERROR(VLOOKUP(Table_NFI[[#This Row],[Camp Name]],CL,3,0),"")</f>
        <v>Open</v>
      </c>
      <c r="AR221" s="378" t="str">
        <f ca="1">IF(Table_NFI[[#This Row],[Pcode]]="","",OFFSET(CampList[Priority],MATCH(Table_NFI[[#This Row],[Pcode]],CampList[CP_Pcode],0)-1,0,1,1))</f>
        <v>P2</v>
      </c>
      <c r="AS221" s="377">
        <f>IFERROR(Table_NFI[[#This Row],[Kitchen Set]]/VLOOKUP(Table_NFI[[#This Row],[Camp Name]],CL,4,0),"")</f>
        <v>0</v>
      </c>
      <c r="AT221" s="572" t="s">
        <v>1095</v>
      </c>
      <c r="AU221" s="580"/>
    </row>
    <row r="222" spans="1:47" s="576" customFormat="1" x14ac:dyDescent="0.25">
      <c r="A222" s="381">
        <f t="shared" si="3"/>
        <v>22.433333333333334</v>
      </c>
      <c r="B222" s="571">
        <v>41849</v>
      </c>
      <c r="C222" s="572" t="s">
        <v>454</v>
      </c>
      <c r="D222" s="572"/>
      <c r="E222" s="572" t="s">
        <v>380</v>
      </c>
      <c r="F222" s="572" t="s">
        <v>185</v>
      </c>
      <c r="G222" s="572" t="s">
        <v>196</v>
      </c>
      <c r="H222" s="375"/>
      <c r="I222" s="375"/>
      <c r="J222" s="375"/>
      <c r="K222" s="375">
        <v>254</v>
      </c>
      <c r="L222" s="376">
        <v>204</v>
      </c>
      <c r="M222" s="376">
        <v>254</v>
      </c>
      <c r="N222" s="376">
        <v>134</v>
      </c>
      <c r="O222" s="376"/>
      <c r="P222" s="378">
        <v>134</v>
      </c>
      <c r="Q222" s="378">
        <v>608</v>
      </c>
      <c r="R222" s="378"/>
      <c r="S222" s="378"/>
      <c r="T222" s="378"/>
      <c r="U222" s="378"/>
      <c r="V222" s="533"/>
      <c r="W222" s="378"/>
      <c r="X222" s="378"/>
      <c r="Y222" s="378">
        <f>IF(NFI_Expiration=1,IF($A222&lt;VLOOKUP(H$5,NFI,5,0),1,0)*Table_NFI[[#This Row],[Hygiene Kit]],Table_NFI[Hygiene Kit])</f>
        <v>0</v>
      </c>
      <c r="Z222" s="378">
        <f>IF(NFI_Expiration=1,IF($A222&lt;VLOOKUP(I$5,NFI,5,0),1,0)*Table_NFI[[#This Row],[NFI Core Kit]],Table_NFI[NFI Core Kit])</f>
        <v>0</v>
      </c>
      <c r="AA222" s="378">
        <f>IF(NFI_Expiration=1,IF($A222&lt;VLOOKUP(J$5,NFI,5,0),1,0)*Table_NFI[[#This Row],[Sanitary Kit]],Table_NFI[Sanitary Kit])</f>
        <v>0</v>
      </c>
      <c r="AB222" s="378">
        <f>IF(NFI_Expiration=1,IF($A222&lt;VLOOKUP(K$5,NFI,5,0),1,0)*Table_NFI[[#This Row],[Mosquito net]],Table_NFI[Mosquito net])</f>
        <v>0</v>
      </c>
      <c r="AC222" s="378">
        <f>IF(NFI_Expiration=1,IF($A222&lt;VLOOKUP(L$5,NFI,5,0),1,0)*Table_NFI[[#This Row],[Tarpaulin]],Table_NFI[[#This Row],[Tarpaulin]])</f>
        <v>0</v>
      </c>
      <c r="AD222" s="378">
        <f>IF(NFI_Expiration=1,IF($A222&lt;VLOOKUP(M$5,NFI,5,0),1,0)*Table_NFI[[#This Row],[Blanket]],Table_NFI[[#This Row],[Blanket]])</f>
        <v>0</v>
      </c>
      <c r="AE222" s="378">
        <f>IF(NFI_Expiration=1,IF($A222&lt;VLOOKUP(N$5,NFI,5,0),1,0)*Table_NFI[[#This Row],[Kitchen Set]],Table_NFI[Kitchen Set])</f>
        <v>0</v>
      </c>
      <c r="AF222" s="378">
        <f>IF(NFI_Expiration=1,IF($A222&lt;VLOOKUP(O$5,NFI,5,0),1,0)*Table_NFI[[#This Row],[Clothes Kit]],Table_NFI[Clothes Kit])</f>
        <v>0</v>
      </c>
      <c r="AG222" s="378">
        <f>IF(NFI_Expiration=1,IF($A222&lt;VLOOKUP(P$5,NFI,5,0),1,0)*Table_NFI[[#This Row],[Plastic Bucket]],Table_NFI[Plastic Bucket])</f>
        <v>0</v>
      </c>
      <c r="AH222" s="378">
        <f>IF(NFI_Expiration=1,IF($A222&lt;VLOOKUP(Q$5,NFI,5,0),1,0)*Table_NFI[[#This Row],[Plastic Mat]],Table_NFI[Plastic Mat])*IF(Table_NFI[[#This Row],[Distribution Date]]&gt;"2014-04-01",1,2.5)</f>
        <v>0</v>
      </c>
      <c r="AI222" s="378">
        <f>IF(NFI_Expiration=1,IF($A222&lt;VLOOKUP(R$5,NFI,5,0),1,0)*Table_NFI[[#This Row],[Winter Clothes Adult]],Table_NFI[Winter Clothes Adult])</f>
        <v>0</v>
      </c>
      <c r="AJ222" s="378">
        <f>IF(NFI_Expiration=1,IF($A222&lt;VLOOKUP(S$5,NFI,5,0),1,0)*Table_NFI[[#This Row],[Winter Clothes Children]],Table_NFI[Winter Clothes Children])</f>
        <v>0</v>
      </c>
      <c r="AK222" s="378">
        <f>IF(NFI_Expiration=1,IF($A222&lt;VLOOKUP(T$5,NFI,5,0),1,0)*Table_NFI[[#This Row],[Winter Items Other]],Table_NFI[Winter Items Other])</f>
        <v>0</v>
      </c>
      <c r="AL222" s="378">
        <f>IF(NFI_Expiration=1,IF($A222&lt;VLOOKUP(M$5,NFI,5,0),1,0)*Table_NFI[[#This Row],[Winter Blanket]],Table_NFI[[#This Row],[Winter Blanket]])</f>
        <v>0</v>
      </c>
      <c r="AM222" s="378">
        <f>IF(Table_NFI[[#This Row],[Winter Clothes Adult]]+Table_NFI[[#This Row],[Winter Clothes Children]]+Table_NFI[[#This Row],[Winter Items Other]]+Table_NFI[[#This Row],[Winter Blanket]]&gt;0,1,0)</f>
        <v>0</v>
      </c>
      <c r="AN222" s="418">
        <f>IF(NFI_Expiration=1,IF($A222&lt;VLOOKUP(V$5,NFI,5,0),1,0)*Table_NFI[[#This Row],[Jerry Can]],Table_NFI[Jerry Can])</f>
        <v>0</v>
      </c>
      <c r="AO222" s="579" t="str">
        <f>IFERROR(VLOOKUP(Table_NFI[[#This Row],[Camp Name]],CL,2,0),"")</f>
        <v>MMR001CMP121</v>
      </c>
      <c r="AP222" s="574">
        <f ca="1">IF(Table_NFI[[#This Row],[Pcode]]="","",IF(OFFSET(CampList[Opening Date],MATCH(Table_NFI[[#This Row],[Pcode]],CampList[CP_Pcode],0)-1,0,1,1)&gt;=NFI_Monitor_Date,1,0))</f>
        <v>0</v>
      </c>
      <c r="AQ222" s="579" t="str">
        <f>IFERROR(VLOOKUP(Table_NFI[[#This Row],[Camp Name]],CL,3,0),"")</f>
        <v>Open</v>
      </c>
      <c r="AR222" s="378" t="str">
        <f ca="1">IF(Table_NFI[[#This Row],[Pcode]]="","",OFFSET(CampList[Priority],MATCH(Table_NFI[[#This Row],[Pcode]],CampList[CP_Pcode],0)-1,0,1,1))</f>
        <v>P2</v>
      </c>
      <c r="AS222" s="377">
        <f>IFERROR(Table_NFI[[#This Row],[Kitchen Set]]/VLOOKUP(Table_NFI[[#This Row],[Camp Name]],CL,4,0),"")</f>
        <v>8.1558125380401705E-2</v>
      </c>
      <c r="AT222" s="572"/>
      <c r="AU222" s="575"/>
    </row>
    <row r="223" spans="1:47" s="576" customFormat="1" x14ac:dyDescent="0.25">
      <c r="A223" s="381">
        <f t="shared" si="3"/>
        <v>30.466666666666665</v>
      </c>
      <c r="B223" s="571">
        <v>41608</v>
      </c>
      <c r="C223" s="572" t="s">
        <v>908</v>
      </c>
      <c r="D223" s="572" t="s">
        <v>462</v>
      </c>
      <c r="E223" s="572" t="s">
        <v>380</v>
      </c>
      <c r="F223" s="374" t="s">
        <v>185</v>
      </c>
      <c r="G223" s="374" t="s">
        <v>196</v>
      </c>
      <c r="H223" s="375"/>
      <c r="I223" s="375"/>
      <c r="J223" s="375"/>
      <c r="K223" s="375"/>
      <c r="L223" s="376"/>
      <c r="M223" s="376"/>
      <c r="N223" s="376"/>
      <c r="O223" s="376"/>
      <c r="P223" s="378"/>
      <c r="Q223" s="378">
        <v>5268</v>
      </c>
      <c r="R223" s="378"/>
      <c r="S223" s="378"/>
      <c r="T223" s="378"/>
      <c r="U223" s="378"/>
      <c r="V223" s="533"/>
      <c r="W223" s="378"/>
      <c r="X223" s="378"/>
      <c r="Y223" s="378">
        <f>IF(NFI_Expiration=1,IF($A223&lt;VLOOKUP(H$5,NFI,5,0),1,0)*Table_NFI[[#This Row],[Hygiene Kit]],Table_NFI[Hygiene Kit])</f>
        <v>0</v>
      </c>
      <c r="Z223" s="378">
        <f>IF(NFI_Expiration=1,IF($A223&lt;VLOOKUP(I$5,NFI,5,0),1,0)*Table_NFI[[#This Row],[NFI Core Kit]],Table_NFI[NFI Core Kit])</f>
        <v>0</v>
      </c>
      <c r="AA223" s="378">
        <f>IF(NFI_Expiration=1,IF($A223&lt;VLOOKUP(J$5,NFI,5,0),1,0)*Table_NFI[[#This Row],[Sanitary Kit]],Table_NFI[Sanitary Kit])</f>
        <v>0</v>
      </c>
      <c r="AB223" s="378">
        <f>IF(NFI_Expiration=1,IF($A223&lt;VLOOKUP(K$5,NFI,5,0),1,0)*Table_NFI[[#This Row],[Mosquito net]],Table_NFI[Mosquito net])</f>
        <v>0</v>
      </c>
      <c r="AC223" s="378">
        <f>IF(NFI_Expiration=1,IF($A223&lt;VLOOKUP(L$5,NFI,5,0),1,0)*Table_NFI[[#This Row],[Tarpaulin]],Table_NFI[[#This Row],[Tarpaulin]])</f>
        <v>0</v>
      </c>
      <c r="AD223" s="378">
        <f>IF(NFI_Expiration=1,IF($A223&lt;VLOOKUP(M$5,NFI,5,0),1,0)*Table_NFI[[#This Row],[Blanket]],Table_NFI[[#This Row],[Blanket]])</f>
        <v>0</v>
      </c>
      <c r="AE223" s="378">
        <f>IF(NFI_Expiration=1,IF($A223&lt;VLOOKUP(N$5,NFI,5,0),1,0)*Table_NFI[[#This Row],[Kitchen Set]],Table_NFI[Kitchen Set])</f>
        <v>0</v>
      </c>
      <c r="AF223" s="378">
        <f>IF(NFI_Expiration=1,IF($A223&lt;VLOOKUP(O$5,NFI,5,0),1,0)*Table_NFI[[#This Row],[Clothes Kit]],Table_NFI[Clothes Kit])</f>
        <v>0</v>
      </c>
      <c r="AG223" s="378">
        <f>IF(NFI_Expiration=1,IF($A223&lt;VLOOKUP(P$5,NFI,5,0),1,0)*Table_NFI[[#This Row],[Plastic Bucket]],Table_NFI[Plastic Bucket])</f>
        <v>0</v>
      </c>
      <c r="AH223" s="378">
        <f>IF(NFI_Expiration=1,IF($A223&lt;VLOOKUP(Q$5,NFI,5,0),1,0)*Table_NFI[[#This Row],[Plastic Mat]],Table_NFI[Plastic Mat])*IF(Table_NFI[[#This Row],[Distribution Date]]&gt;"2014-04-01",1,2.5)</f>
        <v>0</v>
      </c>
      <c r="AI223" s="378">
        <f>IF(NFI_Expiration=1,IF($A223&lt;VLOOKUP(R$5,NFI,5,0),1,0)*Table_NFI[[#This Row],[Winter Clothes Adult]],Table_NFI[Winter Clothes Adult])</f>
        <v>0</v>
      </c>
      <c r="AJ223" s="378">
        <f>IF(NFI_Expiration=1,IF($A223&lt;VLOOKUP(S$5,NFI,5,0),1,0)*Table_NFI[[#This Row],[Winter Clothes Children]],Table_NFI[Winter Clothes Children])</f>
        <v>0</v>
      </c>
      <c r="AK223" s="378">
        <f>IF(NFI_Expiration=1,IF($A223&lt;VLOOKUP(T$5,NFI,5,0),1,0)*Table_NFI[[#This Row],[Winter Items Other]],Table_NFI[Winter Items Other])</f>
        <v>0</v>
      </c>
      <c r="AL223" s="378">
        <f>IF(NFI_Expiration=1,IF($A223&lt;VLOOKUP(M$5,NFI,5,0),1,0)*Table_NFI[[#This Row],[Winter Blanket]],Table_NFI[[#This Row],[Winter Blanket]])</f>
        <v>0</v>
      </c>
      <c r="AM223" s="378">
        <f>IF(Table_NFI[[#This Row],[Winter Clothes Adult]]+Table_NFI[[#This Row],[Winter Clothes Children]]+Table_NFI[[#This Row],[Winter Items Other]]+Table_NFI[[#This Row],[Winter Blanket]]&gt;0,1,0)</f>
        <v>0</v>
      </c>
      <c r="AN223" s="418">
        <f>IF(NFI_Expiration=1,IF($A223&lt;VLOOKUP(V$5,NFI,5,0),1,0)*Table_NFI[[#This Row],[Jerry Can]],Table_NFI[Jerry Can])</f>
        <v>0</v>
      </c>
      <c r="AO223" s="579" t="str">
        <f>IFERROR(VLOOKUP(Table_NFI[[#This Row],[Camp Name]],CL,2,0),"")</f>
        <v>MMR001CMP121</v>
      </c>
      <c r="AP223" s="574">
        <f ca="1">IF(Table_NFI[[#This Row],[Pcode]]="","",IF(OFFSET(CampList[Opening Date],MATCH(Table_NFI[[#This Row],[Pcode]],CampList[CP_Pcode],0)-1,0,1,1)&gt;=NFI_Monitor_Date,1,0))</f>
        <v>0</v>
      </c>
      <c r="AQ223" s="579" t="str">
        <f>IFERROR(VLOOKUP(Table_NFI[[#This Row],[Camp Name]],CL,3,0),"")</f>
        <v>Open</v>
      </c>
      <c r="AR223" s="378" t="str">
        <f ca="1">IF(Table_NFI[[#This Row],[Pcode]]="","",OFFSET(CampList[Priority],MATCH(Table_NFI[[#This Row],[Pcode]],CampList[CP_Pcode],0)-1,0,1,1))</f>
        <v>P2</v>
      </c>
      <c r="AS223" s="377">
        <f>IFERROR(Table_NFI[[#This Row],[Kitchen Set]]/VLOOKUP(Table_NFI[[#This Row],[Camp Name]],CL,4,0),"")</f>
        <v>0</v>
      </c>
      <c r="AT223" s="572" t="s">
        <v>1095</v>
      </c>
      <c r="AU223" s="575"/>
    </row>
    <row r="224" spans="1:47" s="576" customFormat="1" x14ac:dyDescent="0.25">
      <c r="A224" s="381">
        <f t="shared" si="3"/>
        <v>32.633333333333333</v>
      </c>
      <c r="B224" s="571">
        <v>41543</v>
      </c>
      <c r="C224" s="572" t="s">
        <v>454</v>
      </c>
      <c r="D224" s="572" t="s">
        <v>454</v>
      </c>
      <c r="E224" s="572" t="s">
        <v>380</v>
      </c>
      <c r="F224" s="572" t="s">
        <v>185</v>
      </c>
      <c r="G224" s="374" t="s">
        <v>196</v>
      </c>
      <c r="H224" s="375"/>
      <c r="I224" s="375"/>
      <c r="J224" s="375">
        <v>1628</v>
      </c>
      <c r="K224" s="375">
        <v>3256</v>
      </c>
      <c r="L224" s="376">
        <v>1628</v>
      </c>
      <c r="M224" s="376">
        <v>3256</v>
      </c>
      <c r="N224" s="376">
        <v>1628</v>
      </c>
      <c r="O224" s="376"/>
      <c r="P224" s="378">
        <v>1628</v>
      </c>
      <c r="Q224" s="378">
        <v>3256</v>
      </c>
      <c r="R224" s="378"/>
      <c r="S224" s="378"/>
      <c r="T224" s="378"/>
      <c r="U224" s="378"/>
      <c r="V224" s="533"/>
      <c r="W224" s="378"/>
      <c r="X224" s="378"/>
      <c r="Y224" s="378">
        <f>IF(NFI_Expiration=1,IF($A224&lt;VLOOKUP(H$5,NFI,5,0),1,0)*Table_NFI[[#This Row],[Hygiene Kit]],Table_NFI[Hygiene Kit])</f>
        <v>0</v>
      </c>
      <c r="Z224" s="378">
        <f>IF(NFI_Expiration=1,IF($A224&lt;VLOOKUP(I$5,NFI,5,0),1,0)*Table_NFI[[#This Row],[NFI Core Kit]],Table_NFI[NFI Core Kit])</f>
        <v>0</v>
      </c>
      <c r="AA224" s="378">
        <f>IF(NFI_Expiration=1,IF($A224&lt;VLOOKUP(J$5,NFI,5,0),1,0)*Table_NFI[[#This Row],[Sanitary Kit]],Table_NFI[Sanitary Kit])</f>
        <v>0</v>
      </c>
      <c r="AB224" s="378">
        <f>IF(NFI_Expiration=1,IF($A224&lt;VLOOKUP(K$5,NFI,5,0),1,0)*Table_NFI[[#This Row],[Mosquito net]],Table_NFI[Mosquito net])</f>
        <v>0</v>
      </c>
      <c r="AC224" s="378">
        <f>IF(NFI_Expiration=1,IF($A224&lt;VLOOKUP(L$5,NFI,5,0),1,0)*Table_NFI[[#This Row],[Tarpaulin]],Table_NFI[[#This Row],[Tarpaulin]])</f>
        <v>0</v>
      </c>
      <c r="AD224" s="378">
        <f>IF(NFI_Expiration=1,IF($A224&lt;VLOOKUP(M$5,NFI,5,0),1,0)*Table_NFI[[#This Row],[Blanket]],Table_NFI[[#This Row],[Blanket]])</f>
        <v>0</v>
      </c>
      <c r="AE224" s="378">
        <f>IF(NFI_Expiration=1,IF($A224&lt;VLOOKUP(N$5,NFI,5,0),1,0)*Table_NFI[[#This Row],[Kitchen Set]],Table_NFI[Kitchen Set])</f>
        <v>0</v>
      </c>
      <c r="AF224" s="378">
        <f>IF(NFI_Expiration=1,IF($A224&lt;VLOOKUP(O$5,NFI,5,0),1,0)*Table_NFI[[#This Row],[Clothes Kit]],Table_NFI[Clothes Kit])</f>
        <v>0</v>
      </c>
      <c r="AG224" s="378">
        <f>IF(NFI_Expiration=1,IF($A224&lt;VLOOKUP(P$5,NFI,5,0),1,0)*Table_NFI[[#This Row],[Plastic Bucket]],Table_NFI[Plastic Bucket])</f>
        <v>0</v>
      </c>
      <c r="AH224" s="378">
        <f>IF(NFI_Expiration=1,IF($A224&lt;VLOOKUP(Q$5,NFI,5,0),1,0)*Table_NFI[[#This Row],[Plastic Mat]],Table_NFI[Plastic Mat])*IF(Table_NFI[[#This Row],[Distribution Date]]&gt;"2014-04-01",1,2.5)</f>
        <v>0</v>
      </c>
      <c r="AI224" s="378">
        <f>IF(NFI_Expiration=1,IF($A224&lt;VLOOKUP(R$5,NFI,5,0),1,0)*Table_NFI[[#This Row],[Winter Clothes Adult]],Table_NFI[Winter Clothes Adult])</f>
        <v>0</v>
      </c>
      <c r="AJ224" s="378">
        <f>IF(NFI_Expiration=1,IF($A224&lt;VLOOKUP(S$5,NFI,5,0),1,0)*Table_NFI[[#This Row],[Winter Clothes Children]],Table_NFI[Winter Clothes Children])</f>
        <v>0</v>
      </c>
      <c r="AK224" s="378">
        <f>IF(NFI_Expiration=1,IF($A224&lt;VLOOKUP(T$5,NFI,5,0),1,0)*Table_NFI[[#This Row],[Winter Items Other]],Table_NFI[Winter Items Other])</f>
        <v>0</v>
      </c>
      <c r="AL224" s="378">
        <f>IF(NFI_Expiration=1,IF($A224&lt;VLOOKUP(M$5,NFI,5,0),1,0)*Table_NFI[[#This Row],[Winter Blanket]],Table_NFI[[#This Row],[Winter Blanket]])</f>
        <v>0</v>
      </c>
      <c r="AM224" s="378">
        <f>IF(Table_NFI[[#This Row],[Winter Clothes Adult]]+Table_NFI[[#This Row],[Winter Clothes Children]]+Table_NFI[[#This Row],[Winter Items Other]]+Table_NFI[[#This Row],[Winter Blanket]]&gt;0,1,0)</f>
        <v>0</v>
      </c>
      <c r="AN224" s="418">
        <f>IF(NFI_Expiration=1,IF($A224&lt;VLOOKUP(V$5,NFI,5,0),1,0)*Table_NFI[[#This Row],[Jerry Can]],Table_NFI[Jerry Can])</f>
        <v>0</v>
      </c>
      <c r="AO224" s="579" t="str">
        <f>IFERROR(VLOOKUP(Table_NFI[[#This Row],[Camp Name]],CL,2,0),"")</f>
        <v>MMR001CMP121</v>
      </c>
      <c r="AP224" s="574">
        <f ca="1">IF(Table_NFI[[#This Row],[Pcode]]="","",IF(OFFSET(CampList[Opening Date],MATCH(Table_NFI[[#This Row],[Pcode]],CampList[CP_Pcode],0)-1,0,1,1)&gt;=NFI_Monitor_Date,1,0))</f>
        <v>0</v>
      </c>
      <c r="AQ224" s="579" t="str">
        <f>IFERROR(VLOOKUP(Table_NFI[[#This Row],[Camp Name]],CL,3,0),"")</f>
        <v>Open</v>
      </c>
      <c r="AR224" s="378" t="str">
        <f ca="1">IF(Table_NFI[[#This Row],[Pcode]]="","",OFFSET(CampList[Priority],MATCH(Table_NFI[[#This Row],[Pcode]],CampList[CP_Pcode],0)-1,0,1,1))</f>
        <v>P2</v>
      </c>
      <c r="AS224" s="377">
        <f>IFERROR(Table_NFI[[#This Row],[Kitchen Set]]/VLOOKUP(Table_NFI[[#This Row],[Camp Name]],CL,4,0),"")</f>
        <v>0.99087035909920873</v>
      </c>
      <c r="AT224" s="572" t="s">
        <v>1095</v>
      </c>
      <c r="AU224" s="575"/>
    </row>
    <row r="225" spans="1:47" s="576" customFormat="1" x14ac:dyDescent="0.25">
      <c r="A225" s="381">
        <f t="shared" si="3"/>
        <v>42.233333333333334</v>
      </c>
      <c r="B225" s="571">
        <v>41255</v>
      </c>
      <c r="C225" s="572" t="s">
        <v>908</v>
      </c>
      <c r="D225" s="572" t="s">
        <v>908</v>
      </c>
      <c r="E225" s="572" t="s">
        <v>380</v>
      </c>
      <c r="F225" s="572" t="s">
        <v>185</v>
      </c>
      <c r="G225" s="374" t="s">
        <v>196</v>
      </c>
      <c r="H225" s="375">
        <v>5228</v>
      </c>
      <c r="I225" s="375"/>
      <c r="J225" s="375">
        <v>6005</v>
      </c>
      <c r="K225" s="375"/>
      <c r="L225" s="376"/>
      <c r="M225" s="376"/>
      <c r="N225" s="376"/>
      <c r="O225" s="376"/>
      <c r="P225" s="378">
        <v>0</v>
      </c>
      <c r="Q225" s="378">
        <v>0</v>
      </c>
      <c r="R225" s="378"/>
      <c r="S225" s="378"/>
      <c r="T225" s="378"/>
      <c r="U225" s="378"/>
      <c r="V225" s="533"/>
      <c r="W225" s="378"/>
      <c r="X225" s="378"/>
      <c r="Y225" s="378">
        <f>IF(NFI_Expiration=1,IF($A225&lt;VLOOKUP(H$5,NFI,5,0),1,0)*Table_NFI[[#This Row],[Hygiene Kit]],Table_NFI[Hygiene Kit])</f>
        <v>0</v>
      </c>
      <c r="Z225" s="378">
        <f>IF(NFI_Expiration=1,IF($A225&lt;VLOOKUP(I$5,NFI,5,0),1,0)*Table_NFI[[#This Row],[NFI Core Kit]],Table_NFI[NFI Core Kit])</f>
        <v>0</v>
      </c>
      <c r="AA225" s="378">
        <f>IF(NFI_Expiration=1,IF($A225&lt;VLOOKUP(J$5,NFI,5,0),1,0)*Table_NFI[[#This Row],[Sanitary Kit]],Table_NFI[Sanitary Kit])</f>
        <v>0</v>
      </c>
      <c r="AB225" s="378">
        <f>IF(NFI_Expiration=1,IF($A225&lt;VLOOKUP(K$5,NFI,5,0),1,0)*Table_NFI[[#This Row],[Mosquito net]],Table_NFI[Mosquito net])</f>
        <v>0</v>
      </c>
      <c r="AC225" s="378">
        <f>IF(NFI_Expiration=1,IF($A225&lt;VLOOKUP(L$5,NFI,5,0),1,0)*Table_NFI[[#This Row],[Tarpaulin]],Table_NFI[[#This Row],[Tarpaulin]])</f>
        <v>0</v>
      </c>
      <c r="AD225" s="378">
        <f>IF(NFI_Expiration=1,IF($A225&lt;VLOOKUP(M$5,NFI,5,0),1,0)*Table_NFI[[#This Row],[Blanket]],Table_NFI[[#This Row],[Blanket]])</f>
        <v>0</v>
      </c>
      <c r="AE225" s="378">
        <f>IF(NFI_Expiration=1,IF($A225&lt;VLOOKUP(N$5,NFI,5,0),1,0)*Table_NFI[[#This Row],[Kitchen Set]],Table_NFI[Kitchen Set])</f>
        <v>0</v>
      </c>
      <c r="AF225" s="378">
        <f>IF(NFI_Expiration=1,IF($A225&lt;VLOOKUP(O$5,NFI,5,0),1,0)*Table_NFI[[#This Row],[Clothes Kit]],Table_NFI[Clothes Kit])</f>
        <v>0</v>
      </c>
      <c r="AG225" s="378">
        <f>IF(NFI_Expiration=1,IF($A225&lt;VLOOKUP(P$5,NFI,5,0),1,0)*Table_NFI[[#This Row],[Plastic Bucket]],Table_NFI[Plastic Bucket])</f>
        <v>0</v>
      </c>
      <c r="AH225" s="378">
        <f>IF(NFI_Expiration=1,IF($A225&lt;VLOOKUP(Q$5,NFI,5,0),1,0)*Table_NFI[[#This Row],[Plastic Mat]],Table_NFI[Plastic Mat])*IF(Table_NFI[[#This Row],[Distribution Date]]&gt;"2014-04-01",1,2.5)</f>
        <v>0</v>
      </c>
      <c r="AI225" s="378">
        <f>IF(NFI_Expiration=1,IF($A225&lt;VLOOKUP(R$5,NFI,5,0),1,0)*Table_NFI[[#This Row],[Winter Clothes Adult]],Table_NFI[Winter Clothes Adult])</f>
        <v>0</v>
      </c>
      <c r="AJ225" s="378">
        <f>IF(NFI_Expiration=1,IF($A225&lt;VLOOKUP(S$5,NFI,5,0),1,0)*Table_NFI[[#This Row],[Winter Clothes Children]],Table_NFI[Winter Clothes Children])</f>
        <v>0</v>
      </c>
      <c r="AK225" s="378">
        <f>IF(NFI_Expiration=1,IF($A225&lt;VLOOKUP(T$5,NFI,5,0),1,0)*Table_NFI[[#This Row],[Winter Items Other]],Table_NFI[Winter Items Other])</f>
        <v>0</v>
      </c>
      <c r="AL225" s="378">
        <f>IF(NFI_Expiration=1,IF($A225&lt;VLOOKUP(M$5,NFI,5,0),1,0)*Table_NFI[[#This Row],[Winter Blanket]],Table_NFI[[#This Row],[Winter Blanket]])</f>
        <v>0</v>
      </c>
      <c r="AM225" s="378">
        <f>IF(Table_NFI[[#This Row],[Winter Clothes Adult]]+Table_NFI[[#This Row],[Winter Clothes Children]]+Table_NFI[[#This Row],[Winter Items Other]]+Table_NFI[[#This Row],[Winter Blanket]]&gt;0,1,0)</f>
        <v>0</v>
      </c>
      <c r="AN225" s="418">
        <f>IF(NFI_Expiration=1,IF($A225&lt;VLOOKUP(V$5,NFI,5,0),1,0)*Table_NFI[[#This Row],[Jerry Can]],Table_NFI[Jerry Can])</f>
        <v>0</v>
      </c>
      <c r="AO225" s="579" t="str">
        <f>IFERROR(VLOOKUP(Table_NFI[[#This Row],[Camp Name]],CL,2,0),"")</f>
        <v>MMR001CMP121</v>
      </c>
      <c r="AP225" s="574">
        <f ca="1">IF(Table_NFI[[#This Row],[Pcode]]="","",IF(OFFSET(CampList[Opening Date],MATCH(Table_NFI[[#This Row],[Pcode]],CampList[CP_Pcode],0)-1,0,1,1)&gt;=NFI_Monitor_Date,1,0))</f>
        <v>0</v>
      </c>
      <c r="AQ225" s="579" t="str">
        <f>IFERROR(VLOOKUP(Table_NFI[[#This Row],[Camp Name]],CL,3,0),"")</f>
        <v>Open</v>
      </c>
      <c r="AR225" s="378" t="str">
        <f ca="1">IF(Table_NFI[[#This Row],[Pcode]]="","",OFFSET(CampList[Priority],MATCH(Table_NFI[[#This Row],[Pcode]],CampList[CP_Pcode],0)-1,0,1,1))</f>
        <v>P2</v>
      </c>
      <c r="AS225" s="377">
        <f>IFERROR(Table_NFI[[#This Row],[Kitchen Set]]/VLOOKUP(Table_NFI[[#This Row],[Camp Name]],CL,4,0),"")</f>
        <v>0</v>
      </c>
      <c r="AT225" s="572" t="s">
        <v>1095</v>
      </c>
      <c r="AU225" s="575"/>
    </row>
    <row r="226" spans="1:47" s="576" customFormat="1" x14ac:dyDescent="0.25">
      <c r="A226" s="381">
        <f t="shared" si="3"/>
        <v>54.4</v>
      </c>
      <c r="B226" s="571">
        <v>40890</v>
      </c>
      <c r="C226" s="572" t="s">
        <v>454</v>
      </c>
      <c r="D226" s="573" t="s">
        <v>574</v>
      </c>
      <c r="E226" s="572" t="s">
        <v>380</v>
      </c>
      <c r="F226" s="374" t="s">
        <v>185</v>
      </c>
      <c r="G226" s="374" t="s">
        <v>196</v>
      </c>
      <c r="H226" s="375"/>
      <c r="I226" s="375"/>
      <c r="J226" s="375"/>
      <c r="K226" s="375">
        <v>250</v>
      </c>
      <c r="L226" s="376">
        <v>125</v>
      </c>
      <c r="M226" s="376">
        <v>250</v>
      </c>
      <c r="N226" s="376">
        <v>125</v>
      </c>
      <c r="O226" s="376">
        <v>125</v>
      </c>
      <c r="P226" s="378">
        <v>125</v>
      </c>
      <c r="Q226" s="378">
        <v>125</v>
      </c>
      <c r="R226" s="378"/>
      <c r="S226" s="378"/>
      <c r="T226" s="378"/>
      <c r="U226" s="378"/>
      <c r="V226" s="533"/>
      <c r="W226" s="378"/>
      <c r="X226" s="378"/>
      <c r="Y226" s="378">
        <f>IF(NFI_Expiration=1,IF($A226&lt;VLOOKUP(H$5,NFI,5,0),1,0)*Table_NFI[[#This Row],[Hygiene Kit]],Table_NFI[Hygiene Kit])</f>
        <v>0</v>
      </c>
      <c r="Z226" s="378">
        <f>IF(NFI_Expiration=1,IF($A226&lt;VLOOKUP(I$5,NFI,5,0),1,0)*Table_NFI[[#This Row],[NFI Core Kit]],Table_NFI[NFI Core Kit])</f>
        <v>0</v>
      </c>
      <c r="AA226" s="378">
        <f>IF(NFI_Expiration=1,IF($A226&lt;VLOOKUP(J$5,NFI,5,0),1,0)*Table_NFI[[#This Row],[Sanitary Kit]],Table_NFI[Sanitary Kit])</f>
        <v>0</v>
      </c>
      <c r="AB226" s="378">
        <f>IF(NFI_Expiration=1,IF($A226&lt;VLOOKUP(K$5,NFI,5,0),1,0)*Table_NFI[[#This Row],[Mosquito net]],Table_NFI[Mosquito net])</f>
        <v>0</v>
      </c>
      <c r="AC226" s="378">
        <f>IF(NFI_Expiration=1,IF($A226&lt;VLOOKUP(L$5,NFI,5,0),1,0)*Table_NFI[[#This Row],[Tarpaulin]],Table_NFI[[#This Row],[Tarpaulin]])</f>
        <v>0</v>
      </c>
      <c r="AD226" s="378">
        <f>IF(NFI_Expiration=1,IF($A226&lt;VLOOKUP(M$5,NFI,5,0),1,0)*Table_NFI[[#This Row],[Blanket]],Table_NFI[[#This Row],[Blanket]])</f>
        <v>0</v>
      </c>
      <c r="AE226" s="378">
        <f>IF(NFI_Expiration=1,IF($A226&lt;VLOOKUP(N$5,NFI,5,0),1,0)*Table_NFI[[#This Row],[Kitchen Set]],Table_NFI[Kitchen Set])</f>
        <v>0</v>
      </c>
      <c r="AF226" s="378">
        <f>IF(NFI_Expiration=1,IF($A226&lt;VLOOKUP(O$5,NFI,5,0),1,0)*Table_NFI[[#This Row],[Clothes Kit]],Table_NFI[Clothes Kit])</f>
        <v>0</v>
      </c>
      <c r="AG226" s="378">
        <f>IF(NFI_Expiration=1,IF($A226&lt;VLOOKUP(P$5,NFI,5,0),1,0)*Table_NFI[[#This Row],[Plastic Bucket]],Table_NFI[Plastic Bucket])</f>
        <v>0</v>
      </c>
      <c r="AH226" s="378">
        <f>IF(NFI_Expiration=1,IF($A226&lt;VLOOKUP(Q$5,NFI,5,0),1,0)*Table_NFI[[#This Row],[Plastic Mat]],Table_NFI[Plastic Mat])*IF(Table_NFI[[#This Row],[Distribution Date]]&gt;"2014-04-01",1,2.5)</f>
        <v>0</v>
      </c>
      <c r="AI226" s="378">
        <f>IF(NFI_Expiration=1,IF($A226&lt;VLOOKUP(R$5,NFI,5,0),1,0)*Table_NFI[[#This Row],[Winter Clothes Adult]],Table_NFI[Winter Clothes Adult])</f>
        <v>0</v>
      </c>
      <c r="AJ226" s="378">
        <f>IF(NFI_Expiration=1,IF($A226&lt;VLOOKUP(S$5,NFI,5,0),1,0)*Table_NFI[[#This Row],[Winter Clothes Children]],Table_NFI[Winter Clothes Children])</f>
        <v>0</v>
      </c>
      <c r="AK226" s="378">
        <f>IF(NFI_Expiration=1,IF($A226&lt;VLOOKUP(T$5,NFI,5,0),1,0)*Table_NFI[[#This Row],[Winter Items Other]],Table_NFI[Winter Items Other])</f>
        <v>0</v>
      </c>
      <c r="AL226" s="378">
        <f>IF(NFI_Expiration=1,IF($A226&lt;VLOOKUP(M$5,NFI,5,0),1,0)*Table_NFI[[#This Row],[Winter Blanket]],Table_NFI[[#This Row],[Winter Blanket]])</f>
        <v>0</v>
      </c>
      <c r="AM226" s="378">
        <f>IF(Table_NFI[[#This Row],[Winter Clothes Adult]]+Table_NFI[[#This Row],[Winter Clothes Children]]+Table_NFI[[#This Row],[Winter Items Other]]+Table_NFI[[#This Row],[Winter Blanket]]&gt;0,1,0)</f>
        <v>0</v>
      </c>
      <c r="AN226" s="418">
        <f>IF(NFI_Expiration=1,IF($A226&lt;VLOOKUP(V$5,NFI,5,0),1,0)*Table_NFI[[#This Row],[Jerry Can]],Table_NFI[Jerry Can])</f>
        <v>0</v>
      </c>
      <c r="AO226" s="579" t="str">
        <f>IFERROR(VLOOKUP(Table_NFI[[#This Row],[Camp Name]],CL,2,0),"")</f>
        <v>MMR001CMP121</v>
      </c>
      <c r="AP226" s="574">
        <f ca="1">IF(Table_NFI[[#This Row],[Pcode]]="","",IF(OFFSET(CampList[Opening Date],MATCH(Table_NFI[[#This Row],[Pcode]],CampList[CP_Pcode],0)-1,0,1,1)&gt;=NFI_Monitor_Date,1,0))</f>
        <v>0</v>
      </c>
      <c r="AQ226" s="579" t="str">
        <f>IFERROR(VLOOKUP(Table_NFI[[#This Row],[Camp Name]],CL,3,0),"")</f>
        <v>Open</v>
      </c>
      <c r="AR226" s="378" t="str">
        <f ca="1">IF(Table_NFI[[#This Row],[Pcode]]="","",OFFSET(CampList[Priority],MATCH(Table_NFI[[#This Row],[Pcode]],CampList[CP_Pcode],0)-1,0,1,1))</f>
        <v>P2</v>
      </c>
      <c r="AS226" s="377">
        <f>IFERROR(Table_NFI[[#This Row],[Kitchen Set]]/VLOOKUP(Table_NFI[[#This Row],[Camp Name]],CL,4,0),"")</f>
        <v>7.6080340839926958E-2</v>
      </c>
      <c r="AT226" s="572" t="s">
        <v>1095</v>
      </c>
      <c r="AU226" s="575"/>
    </row>
    <row r="227" spans="1:47" s="576" customFormat="1" x14ac:dyDescent="0.25">
      <c r="A227" s="381">
        <f t="shared" si="3"/>
        <v>53.366666666666667</v>
      </c>
      <c r="B227" s="571">
        <v>40921</v>
      </c>
      <c r="C227" s="572" t="s">
        <v>454</v>
      </c>
      <c r="D227" s="573" t="s">
        <v>462</v>
      </c>
      <c r="E227" s="572" t="s">
        <v>380</v>
      </c>
      <c r="F227" s="374"/>
      <c r="G227" s="374" t="s">
        <v>911</v>
      </c>
      <c r="H227" s="375"/>
      <c r="I227" s="375"/>
      <c r="J227" s="375"/>
      <c r="K227" s="375">
        <v>76</v>
      </c>
      <c r="L227" s="376">
        <v>38</v>
      </c>
      <c r="M227" s="376">
        <v>38</v>
      </c>
      <c r="N227" s="376">
        <v>0</v>
      </c>
      <c r="O227" s="376">
        <v>38</v>
      </c>
      <c r="P227" s="378">
        <v>38</v>
      </c>
      <c r="Q227" s="378">
        <v>38</v>
      </c>
      <c r="R227" s="378"/>
      <c r="S227" s="378"/>
      <c r="T227" s="378"/>
      <c r="U227" s="378"/>
      <c r="V227" s="533"/>
      <c r="W227" s="378"/>
      <c r="X227" s="378"/>
      <c r="Y227" s="378">
        <f>IF(NFI_Expiration=1,IF($A227&lt;VLOOKUP(H$5,NFI,5,0),1,0)*Table_NFI[[#This Row],[Hygiene Kit]],Table_NFI[Hygiene Kit])</f>
        <v>0</v>
      </c>
      <c r="Z227" s="378">
        <f>IF(NFI_Expiration=1,IF($A227&lt;VLOOKUP(I$5,NFI,5,0),1,0)*Table_NFI[[#This Row],[NFI Core Kit]],Table_NFI[NFI Core Kit])</f>
        <v>0</v>
      </c>
      <c r="AA227" s="378">
        <f>IF(NFI_Expiration=1,IF($A227&lt;VLOOKUP(J$5,NFI,5,0),1,0)*Table_NFI[[#This Row],[Sanitary Kit]],Table_NFI[Sanitary Kit])</f>
        <v>0</v>
      </c>
      <c r="AB227" s="378">
        <f>IF(NFI_Expiration=1,IF($A227&lt;VLOOKUP(K$5,NFI,5,0),1,0)*Table_NFI[[#This Row],[Mosquito net]],Table_NFI[Mosquito net])</f>
        <v>0</v>
      </c>
      <c r="AC227" s="378">
        <f>IF(NFI_Expiration=1,IF($A227&lt;VLOOKUP(L$5,NFI,5,0),1,0)*Table_NFI[[#This Row],[Tarpaulin]],Table_NFI[[#This Row],[Tarpaulin]])</f>
        <v>0</v>
      </c>
      <c r="AD227" s="378">
        <f>IF(NFI_Expiration=1,IF($A227&lt;VLOOKUP(M$5,NFI,5,0),1,0)*Table_NFI[[#This Row],[Blanket]],Table_NFI[[#This Row],[Blanket]])</f>
        <v>0</v>
      </c>
      <c r="AE227" s="378">
        <f>IF(NFI_Expiration=1,IF($A227&lt;VLOOKUP(N$5,NFI,5,0),1,0)*Table_NFI[[#This Row],[Kitchen Set]],Table_NFI[Kitchen Set])</f>
        <v>0</v>
      </c>
      <c r="AF227" s="378">
        <f>IF(NFI_Expiration=1,IF($A227&lt;VLOOKUP(O$5,NFI,5,0),1,0)*Table_NFI[[#This Row],[Clothes Kit]],Table_NFI[Clothes Kit])</f>
        <v>0</v>
      </c>
      <c r="AG227" s="378">
        <f>IF(NFI_Expiration=1,IF($A227&lt;VLOOKUP(P$5,NFI,5,0),1,0)*Table_NFI[[#This Row],[Plastic Bucket]],Table_NFI[Plastic Bucket])</f>
        <v>0</v>
      </c>
      <c r="AH227" s="378">
        <f>IF(NFI_Expiration=1,IF($A227&lt;VLOOKUP(Q$5,NFI,5,0),1,0)*Table_NFI[[#This Row],[Plastic Mat]],Table_NFI[Plastic Mat])*IF(Table_NFI[[#This Row],[Distribution Date]]&gt;"2014-04-01",1,2.5)</f>
        <v>0</v>
      </c>
      <c r="AI227" s="378">
        <f>IF(NFI_Expiration=1,IF($A227&lt;VLOOKUP(R$5,NFI,5,0),1,0)*Table_NFI[[#This Row],[Winter Clothes Adult]],Table_NFI[Winter Clothes Adult])</f>
        <v>0</v>
      </c>
      <c r="AJ227" s="378">
        <f>IF(NFI_Expiration=1,IF($A227&lt;VLOOKUP(S$5,NFI,5,0),1,0)*Table_NFI[[#This Row],[Winter Clothes Children]],Table_NFI[Winter Clothes Children])</f>
        <v>0</v>
      </c>
      <c r="AK227" s="378">
        <f>IF(NFI_Expiration=1,IF($A227&lt;VLOOKUP(T$5,NFI,5,0),1,0)*Table_NFI[[#This Row],[Winter Items Other]],Table_NFI[Winter Items Other])</f>
        <v>0</v>
      </c>
      <c r="AL227" s="378">
        <f>IF(NFI_Expiration=1,IF($A227&lt;VLOOKUP(M$5,NFI,5,0),1,0)*Table_NFI[[#This Row],[Winter Blanket]],Table_NFI[[#This Row],[Winter Blanket]])</f>
        <v>0</v>
      </c>
      <c r="AM227" s="378">
        <f>IF(Table_NFI[[#This Row],[Winter Clothes Adult]]+Table_NFI[[#This Row],[Winter Clothes Children]]+Table_NFI[[#This Row],[Winter Items Other]]+Table_NFI[[#This Row],[Winter Blanket]]&gt;0,1,0)</f>
        <v>0</v>
      </c>
      <c r="AN227" s="418">
        <f>IF(NFI_Expiration=1,IF($A227&lt;VLOOKUP(V$5,NFI,5,0),1,0)*Table_NFI[[#This Row],[Jerry Can]],Table_NFI[Jerry Can])</f>
        <v>0</v>
      </c>
      <c r="AO227" s="579" t="str">
        <f>IFERROR(VLOOKUP(Table_NFI[[#This Row],[Camp Name]],CL,2,0),"")</f>
        <v/>
      </c>
      <c r="AP227" s="574" t="str">
        <f ca="1">IF(Table_NFI[[#This Row],[Pcode]]="","",IF(OFFSET(CampList[Opening Date],MATCH(Table_NFI[[#This Row],[Pcode]],CampList[CP_Pcode],0)-1,0,1,1)&gt;=NFI_Monitor_Date,1,0))</f>
        <v/>
      </c>
      <c r="AQ227" s="579" t="str">
        <f>IFERROR(VLOOKUP(Table_NFI[[#This Row],[Camp Name]],CL,3,0),"")</f>
        <v/>
      </c>
      <c r="AR227" s="378" t="str">
        <f ca="1">IF(Table_NFI[[#This Row],[Pcode]]="","",OFFSET(CampList[Priority],MATCH(Table_NFI[[#This Row],[Pcode]],CampList[CP_Pcode],0)-1,0,1,1))</f>
        <v/>
      </c>
      <c r="AS227" s="377" t="str">
        <f>IFERROR(Table_NFI[[#This Row],[Kitchen Set]]/VLOOKUP(Table_NFI[[#This Row],[Camp Name]],CL,4,0),"")</f>
        <v/>
      </c>
      <c r="AT227" s="572" t="s">
        <v>1095</v>
      </c>
      <c r="AU227" s="575"/>
    </row>
    <row r="228" spans="1:47" s="576" customFormat="1" x14ac:dyDescent="0.25">
      <c r="A228" s="381">
        <f t="shared" si="3"/>
        <v>34.1</v>
      </c>
      <c r="B228" s="571">
        <v>41499</v>
      </c>
      <c r="C228" s="572" t="s">
        <v>454</v>
      </c>
      <c r="D228" s="572" t="s">
        <v>462</v>
      </c>
      <c r="E228" s="572" t="s">
        <v>555</v>
      </c>
      <c r="F228" s="572" t="s">
        <v>146</v>
      </c>
      <c r="G228" s="374" t="s">
        <v>372</v>
      </c>
      <c r="H228" s="375"/>
      <c r="I228" s="375"/>
      <c r="J228" s="375">
        <v>70</v>
      </c>
      <c r="K228" s="375">
        <v>120</v>
      </c>
      <c r="L228" s="376">
        <v>48</v>
      </c>
      <c r="M228" s="376">
        <v>120</v>
      </c>
      <c r="N228" s="376">
        <v>48</v>
      </c>
      <c r="O228" s="376">
        <v>48</v>
      </c>
      <c r="P228" s="378">
        <v>48</v>
      </c>
      <c r="Q228" s="378">
        <v>48</v>
      </c>
      <c r="R228" s="378"/>
      <c r="S228" s="378"/>
      <c r="T228" s="378"/>
      <c r="U228" s="378"/>
      <c r="V228" s="533"/>
      <c r="W228" s="378"/>
      <c r="X228" s="378"/>
      <c r="Y228" s="378">
        <f>IF(NFI_Expiration=1,IF($A228&lt;VLOOKUP(H$5,NFI,5,0),1,0)*Table_NFI[[#This Row],[Hygiene Kit]],Table_NFI[Hygiene Kit])</f>
        <v>0</v>
      </c>
      <c r="Z228" s="378">
        <f>IF(NFI_Expiration=1,IF($A228&lt;VLOOKUP(I$5,NFI,5,0),1,0)*Table_NFI[[#This Row],[NFI Core Kit]],Table_NFI[NFI Core Kit])</f>
        <v>0</v>
      </c>
      <c r="AA228" s="378">
        <f>IF(NFI_Expiration=1,IF($A228&lt;VLOOKUP(J$5,NFI,5,0),1,0)*Table_NFI[[#This Row],[Sanitary Kit]],Table_NFI[Sanitary Kit])</f>
        <v>0</v>
      </c>
      <c r="AB228" s="378">
        <f>IF(NFI_Expiration=1,IF($A228&lt;VLOOKUP(K$5,NFI,5,0),1,0)*Table_NFI[[#This Row],[Mosquito net]],Table_NFI[Mosquito net])</f>
        <v>0</v>
      </c>
      <c r="AC228" s="378">
        <f>IF(NFI_Expiration=1,IF($A228&lt;VLOOKUP(L$5,NFI,5,0),1,0)*Table_NFI[[#This Row],[Tarpaulin]],Table_NFI[[#This Row],[Tarpaulin]])</f>
        <v>0</v>
      </c>
      <c r="AD228" s="378">
        <f>IF(NFI_Expiration=1,IF($A228&lt;VLOOKUP(M$5,NFI,5,0),1,0)*Table_NFI[[#This Row],[Blanket]],Table_NFI[[#This Row],[Blanket]])</f>
        <v>0</v>
      </c>
      <c r="AE228" s="378">
        <f>IF(NFI_Expiration=1,IF($A228&lt;VLOOKUP(N$5,NFI,5,0),1,0)*Table_NFI[[#This Row],[Kitchen Set]],Table_NFI[Kitchen Set])</f>
        <v>0</v>
      </c>
      <c r="AF228" s="378">
        <f>IF(NFI_Expiration=1,IF($A228&lt;VLOOKUP(O$5,NFI,5,0),1,0)*Table_NFI[[#This Row],[Clothes Kit]],Table_NFI[Clothes Kit])</f>
        <v>0</v>
      </c>
      <c r="AG228" s="378">
        <f>IF(NFI_Expiration=1,IF($A228&lt;VLOOKUP(P$5,NFI,5,0),1,0)*Table_NFI[[#This Row],[Plastic Bucket]],Table_NFI[Plastic Bucket])</f>
        <v>0</v>
      </c>
      <c r="AH228" s="378">
        <f>IF(NFI_Expiration=1,IF($A228&lt;VLOOKUP(Q$5,NFI,5,0),1,0)*Table_NFI[[#This Row],[Plastic Mat]],Table_NFI[Plastic Mat])*IF(Table_NFI[[#This Row],[Distribution Date]]&gt;"2014-04-01",1,2.5)</f>
        <v>0</v>
      </c>
      <c r="AI228" s="378">
        <f>IF(NFI_Expiration=1,IF($A228&lt;VLOOKUP(R$5,NFI,5,0),1,0)*Table_NFI[[#This Row],[Winter Clothes Adult]],Table_NFI[Winter Clothes Adult])</f>
        <v>0</v>
      </c>
      <c r="AJ228" s="378">
        <f>IF(NFI_Expiration=1,IF($A228&lt;VLOOKUP(S$5,NFI,5,0),1,0)*Table_NFI[[#This Row],[Winter Clothes Children]],Table_NFI[Winter Clothes Children])</f>
        <v>0</v>
      </c>
      <c r="AK228" s="378">
        <f>IF(NFI_Expiration=1,IF($A228&lt;VLOOKUP(T$5,NFI,5,0),1,0)*Table_NFI[[#This Row],[Winter Items Other]],Table_NFI[Winter Items Other])</f>
        <v>0</v>
      </c>
      <c r="AL228" s="378">
        <f>IF(NFI_Expiration=1,IF($A228&lt;VLOOKUP(M$5,NFI,5,0),1,0)*Table_NFI[[#This Row],[Winter Blanket]],Table_NFI[[#This Row],[Winter Blanket]])</f>
        <v>0</v>
      </c>
      <c r="AM228" s="378">
        <f>IF(Table_NFI[[#This Row],[Winter Clothes Adult]]+Table_NFI[[#This Row],[Winter Clothes Children]]+Table_NFI[[#This Row],[Winter Items Other]]+Table_NFI[[#This Row],[Winter Blanket]]&gt;0,1,0)</f>
        <v>0</v>
      </c>
      <c r="AN228" s="418">
        <f>IF(NFI_Expiration=1,IF($A228&lt;VLOOKUP(V$5,NFI,5,0),1,0)*Table_NFI[[#This Row],[Jerry Can]],Table_NFI[Jerry Can])</f>
        <v>0</v>
      </c>
      <c r="AO228" s="579" t="str">
        <f>IFERROR(VLOOKUP(Table_NFI[[#This Row],[Camp Name]],CL,2,0),"")</f>
        <v>MMR015CMP015</v>
      </c>
      <c r="AP228" s="574">
        <f ca="1">IF(Table_NFI[[#This Row],[Pcode]]="","",IF(OFFSET(CampList[Opening Date],MATCH(Table_NFI[[#This Row],[Pcode]],CampList[CP_Pcode],0)-1,0,1,1)&gt;=NFI_Monitor_Date,1,0))</f>
        <v>0</v>
      </c>
      <c r="AQ228" s="579" t="str">
        <f>IFERROR(VLOOKUP(Table_NFI[[#This Row],[Camp Name]],CL,3,0),"")</f>
        <v>Open</v>
      </c>
      <c r="AR228" s="378" t="str">
        <f ca="1">IF(Table_NFI[[#This Row],[Pcode]]="","",OFFSET(CampList[Priority],MATCH(Table_NFI[[#This Row],[Pcode]],CampList[CP_Pcode],0)-1,0,1,1))</f>
        <v>P3</v>
      </c>
      <c r="AS228" s="377">
        <f>IFERROR(Table_NFI[[#This Row],[Kitchen Set]]/VLOOKUP(Table_NFI[[#This Row],[Camp Name]],CL,4,0),"")</f>
        <v>0.54545454545454541</v>
      </c>
      <c r="AT228" s="572" t="s">
        <v>1095</v>
      </c>
      <c r="AU228" s="575"/>
    </row>
    <row r="229" spans="1:47" s="576" customFormat="1" x14ac:dyDescent="0.25">
      <c r="A229" s="381">
        <f t="shared" si="3"/>
        <v>13.733333333333333</v>
      </c>
      <c r="B229" s="571">
        <v>42110</v>
      </c>
      <c r="C229" s="572" t="s">
        <v>454</v>
      </c>
      <c r="D229" s="572" t="s">
        <v>1266</v>
      </c>
      <c r="E229" s="572" t="s">
        <v>555</v>
      </c>
      <c r="F229" s="572" t="s">
        <v>146</v>
      </c>
      <c r="G229" s="572" t="s">
        <v>1368</v>
      </c>
      <c r="H229" s="375"/>
      <c r="I229" s="375"/>
      <c r="J229" s="378"/>
      <c r="K229" s="378"/>
      <c r="L229" s="376"/>
      <c r="M229" s="376"/>
      <c r="N229" s="376"/>
      <c r="O229" s="376"/>
      <c r="P229" s="378"/>
      <c r="Q229" s="378">
        <v>69</v>
      </c>
      <c r="R229" s="378"/>
      <c r="S229" s="378"/>
      <c r="T229" s="378"/>
      <c r="U229" s="378"/>
      <c r="V229" s="533"/>
      <c r="W229" s="378"/>
      <c r="X229" s="378"/>
      <c r="Y229" s="378">
        <f>IF(NFI_Expiration=1,IF($A229&lt;VLOOKUP(H$5,NFI,5,0),1,0)*Table_NFI[[#This Row],[Hygiene Kit]],Table_NFI[Hygiene Kit])</f>
        <v>0</v>
      </c>
      <c r="Z229" s="378">
        <f>IF(NFI_Expiration=1,IF($A229&lt;VLOOKUP(I$5,NFI,5,0),1,0)*Table_NFI[[#This Row],[NFI Core Kit]],Table_NFI[NFI Core Kit])</f>
        <v>0</v>
      </c>
      <c r="AA229" s="378">
        <f>IF(NFI_Expiration=1,IF($A229&lt;VLOOKUP(J$5,NFI,5,0),1,0)*Table_NFI[[#This Row],[Sanitary Kit]],Table_NFI[Sanitary Kit])</f>
        <v>0</v>
      </c>
      <c r="AB229" s="378">
        <f>IF(NFI_Expiration=1,IF($A229&lt;VLOOKUP(K$5,NFI,5,0),1,0)*Table_NFI[[#This Row],[Mosquito net]],Table_NFI[Mosquito net])</f>
        <v>0</v>
      </c>
      <c r="AC229" s="378">
        <f>IF(NFI_Expiration=1,IF($A229&lt;VLOOKUP(L$5,NFI,5,0),1,0)*Table_NFI[[#This Row],[Tarpaulin]],Table_NFI[[#This Row],[Tarpaulin]])</f>
        <v>0</v>
      </c>
      <c r="AD229" s="378">
        <f>IF(NFI_Expiration=1,IF($A229&lt;VLOOKUP(M$5,NFI,5,0),1,0)*Table_NFI[[#This Row],[Blanket]],Table_NFI[[#This Row],[Blanket]])</f>
        <v>0</v>
      </c>
      <c r="AE229" s="378">
        <f>IF(NFI_Expiration=1,IF($A229&lt;VLOOKUP(N$5,NFI,5,0),1,0)*Table_NFI[[#This Row],[Kitchen Set]],Table_NFI[Kitchen Set])</f>
        <v>0</v>
      </c>
      <c r="AF229" s="378">
        <f>IF(NFI_Expiration=1,IF($A229&lt;VLOOKUP(O$5,NFI,5,0),1,0)*Table_NFI[[#This Row],[Clothes Kit]],Table_NFI[Clothes Kit])</f>
        <v>0</v>
      </c>
      <c r="AG229" s="378">
        <f>IF(NFI_Expiration=1,IF($A229&lt;VLOOKUP(P$5,NFI,5,0),1,0)*Table_NFI[[#This Row],[Plastic Bucket]],Table_NFI[Plastic Bucket])</f>
        <v>0</v>
      </c>
      <c r="AH229" s="378">
        <f>IF(NFI_Expiration=1,IF($A229&lt;VLOOKUP(Q$5,NFI,5,0),1,0)*Table_NFI[[#This Row],[Plastic Mat]],Table_NFI[Plastic Mat])*IF(Table_NFI[[#This Row],[Distribution Date]]&gt;"2014-04-01",1,2.5)</f>
        <v>0</v>
      </c>
      <c r="AI229" s="378">
        <f>IF(NFI_Expiration=1,IF($A229&lt;VLOOKUP(R$5,NFI,5,0),1,0)*Table_NFI[[#This Row],[Winter Clothes Adult]],Table_NFI[Winter Clothes Adult])</f>
        <v>0</v>
      </c>
      <c r="AJ229" s="378">
        <f>IF(NFI_Expiration=1,IF($A229&lt;VLOOKUP(S$5,NFI,5,0),1,0)*Table_NFI[[#This Row],[Winter Clothes Children]],Table_NFI[Winter Clothes Children])</f>
        <v>0</v>
      </c>
      <c r="AK229" s="378">
        <f>IF(NFI_Expiration=1,IF($A229&lt;VLOOKUP(T$5,NFI,5,0),1,0)*Table_NFI[[#This Row],[Winter Items Other]],Table_NFI[Winter Items Other])</f>
        <v>0</v>
      </c>
      <c r="AL229" s="378">
        <f>IF(NFI_Expiration=1,IF($A229&lt;VLOOKUP(M$5,NFI,5,0),1,0)*Table_NFI[[#This Row],[Winter Blanket]],Table_NFI[[#This Row],[Winter Blanket]])</f>
        <v>0</v>
      </c>
      <c r="AM229" s="378">
        <f>IF(Table_NFI[[#This Row],[Winter Clothes Adult]]+Table_NFI[[#This Row],[Winter Clothes Children]]+Table_NFI[[#This Row],[Winter Items Other]]+Table_NFI[[#This Row],[Winter Blanket]]&gt;0,1,0)</f>
        <v>0</v>
      </c>
      <c r="AN229" s="418">
        <f>IF(NFI_Expiration=1,IF($A229&lt;VLOOKUP(V$5,NFI,5,0),1,0)*Table_NFI[[#This Row],[Jerry Can]],Table_NFI[Jerry Can])</f>
        <v>0</v>
      </c>
      <c r="AO229" s="579" t="str">
        <f>IFERROR(VLOOKUP(Table_NFI[[#This Row],[Camp Name]],CL,2,0),"")</f>
        <v/>
      </c>
      <c r="AP229" s="574" t="str">
        <f ca="1">IF(Table_NFI[[#This Row],[Pcode]]="","",IF(OFFSET(CampList[Opening Date],MATCH(Table_NFI[[#This Row],[Pcode]],CampList[CP_Pcode],0)-1,0,1,1)&gt;=NFI_Monitor_Date,1,0))</f>
        <v/>
      </c>
      <c r="AQ229" s="579" t="str">
        <f>IFERROR(VLOOKUP(Table_NFI[[#This Row],[Camp Name]],CL,3,0),"")</f>
        <v/>
      </c>
      <c r="AR229" s="378" t="str">
        <f ca="1">IF(Table_NFI[[#This Row],[Pcode]]="","",OFFSET(CampList[Priority],MATCH(Table_NFI[[#This Row],[Pcode]],CampList[CP_Pcode],0)-1,0,1,1))</f>
        <v/>
      </c>
      <c r="AS229" s="377" t="str">
        <f>IFERROR(Table_NFI[[#This Row],[Kitchen Set]]/VLOOKUP(Table_NFI[[#This Row],[Camp Name]],CL,4,0),"")</f>
        <v/>
      </c>
      <c r="AT229" s="572" t="s">
        <v>1095</v>
      </c>
      <c r="AU229" s="575"/>
    </row>
    <row r="230" spans="1:47" s="576" customFormat="1" x14ac:dyDescent="0.25">
      <c r="A230" s="381">
        <f t="shared" si="3"/>
        <v>39.966666666666669</v>
      </c>
      <c r="B230" s="571">
        <v>41323</v>
      </c>
      <c r="C230" s="572" t="s">
        <v>454</v>
      </c>
      <c r="D230" s="573" t="s">
        <v>462</v>
      </c>
      <c r="E230" s="572" t="s">
        <v>555</v>
      </c>
      <c r="F230" s="374" t="s">
        <v>146</v>
      </c>
      <c r="G230" s="374" t="s">
        <v>369</v>
      </c>
      <c r="H230" s="375"/>
      <c r="I230" s="375"/>
      <c r="J230" s="375">
        <v>120</v>
      </c>
      <c r="K230" s="375">
        <v>120</v>
      </c>
      <c r="L230" s="376">
        <v>60</v>
      </c>
      <c r="M230" s="376">
        <v>120</v>
      </c>
      <c r="N230" s="376">
        <v>60</v>
      </c>
      <c r="O230" s="376">
        <v>60</v>
      </c>
      <c r="P230" s="378">
        <v>60</v>
      </c>
      <c r="Q230" s="378">
        <v>60</v>
      </c>
      <c r="R230" s="378"/>
      <c r="S230" s="378"/>
      <c r="T230" s="378"/>
      <c r="U230" s="378"/>
      <c r="V230" s="533"/>
      <c r="W230" s="378"/>
      <c r="X230" s="378"/>
      <c r="Y230" s="378">
        <f>IF(NFI_Expiration=1,IF($A230&lt;VLOOKUP(H$5,NFI,5,0),1,0)*Table_NFI[[#This Row],[Hygiene Kit]],Table_NFI[Hygiene Kit])</f>
        <v>0</v>
      </c>
      <c r="Z230" s="378">
        <f>IF(NFI_Expiration=1,IF($A230&lt;VLOOKUP(I$5,NFI,5,0),1,0)*Table_NFI[[#This Row],[NFI Core Kit]],Table_NFI[NFI Core Kit])</f>
        <v>0</v>
      </c>
      <c r="AA230" s="378">
        <f>IF(NFI_Expiration=1,IF($A230&lt;VLOOKUP(J$5,NFI,5,0),1,0)*Table_NFI[[#This Row],[Sanitary Kit]],Table_NFI[Sanitary Kit])</f>
        <v>0</v>
      </c>
      <c r="AB230" s="378">
        <f>IF(NFI_Expiration=1,IF($A230&lt;VLOOKUP(K$5,NFI,5,0),1,0)*Table_NFI[[#This Row],[Mosquito net]],Table_NFI[Mosquito net])</f>
        <v>0</v>
      </c>
      <c r="AC230" s="378">
        <f>IF(NFI_Expiration=1,IF($A230&lt;VLOOKUP(L$5,NFI,5,0),1,0)*Table_NFI[[#This Row],[Tarpaulin]],Table_NFI[[#This Row],[Tarpaulin]])</f>
        <v>0</v>
      </c>
      <c r="AD230" s="378">
        <f>IF(NFI_Expiration=1,IF($A230&lt;VLOOKUP(M$5,NFI,5,0),1,0)*Table_NFI[[#This Row],[Blanket]],Table_NFI[[#This Row],[Blanket]])</f>
        <v>0</v>
      </c>
      <c r="AE230" s="378">
        <f>IF(NFI_Expiration=1,IF($A230&lt;VLOOKUP(N$5,NFI,5,0),1,0)*Table_NFI[[#This Row],[Kitchen Set]],Table_NFI[Kitchen Set])</f>
        <v>0</v>
      </c>
      <c r="AF230" s="378">
        <f>IF(NFI_Expiration=1,IF($A230&lt;VLOOKUP(O$5,NFI,5,0),1,0)*Table_NFI[[#This Row],[Clothes Kit]],Table_NFI[Clothes Kit])</f>
        <v>0</v>
      </c>
      <c r="AG230" s="378">
        <f>IF(NFI_Expiration=1,IF($A230&lt;VLOOKUP(P$5,NFI,5,0),1,0)*Table_NFI[[#This Row],[Plastic Bucket]],Table_NFI[Plastic Bucket])</f>
        <v>0</v>
      </c>
      <c r="AH230" s="378">
        <f>IF(NFI_Expiration=1,IF($A230&lt;VLOOKUP(Q$5,NFI,5,0),1,0)*Table_NFI[[#This Row],[Plastic Mat]],Table_NFI[Plastic Mat])*IF(Table_NFI[[#This Row],[Distribution Date]]&gt;"2014-04-01",1,2.5)</f>
        <v>0</v>
      </c>
      <c r="AI230" s="378">
        <f>IF(NFI_Expiration=1,IF($A230&lt;VLOOKUP(R$5,NFI,5,0),1,0)*Table_NFI[[#This Row],[Winter Clothes Adult]],Table_NFI[Winter Clothes Adult])</f>
        <v>0</v>
      </c>
      <c r="AJ230" s="378">
        <f>IF(NFI_Expiration=1,IF($A230&lt;VLOOKUP(S$5,NFI,5,0),1,0)*Table_NFI[[#This Row],[Winter Clothes Children]],Table_NFI[Winter Clothes Children])</f>
        <v>0</v>
      </c>
      <c r="AK230" s="378">
        <f>IF(NFI_Expiration=1,IF($A230&lt;VLOOKUP(T$5,NFI,5,0),1,0)*Table_NFI[[#This Row],[Winter Items Other]],Table_NFI[Winter Items Other])</f>
        <v>0</v>
      </c>
      <c r="AL230" s="378">
        <f>IF(NFI_Expiration=1,IF($A230&lt;VLOOKUP(M$5,NFI,5,0),1,0)*Table_NFI[[#This Row],[Winter Blanket]],Table_NFI[[#This Row],[Winter Blanket]])</f>
        <v>0</v>
      </c>
      <c r="AM230" s="378">
        <f>IF(Table_NFI[[#This Row],[Winter Clothes Adult]]+Table_NFI[[#This Row],[Winter Clothes Children]]+Table_NFI[[#This Row],[Winter Items Other]]+Table_NFI[[#This Row],[Winter Blanket]]&gt;0,1,0)</f>
        <v>0</v>
      </c>
      <c r="AN230" s="418">
        <f>IF(NFI_Expiration=1,IF($A230&lt;VLOOKUP(V$5,NFI,5,0),1,0)*Table_NFI[[#This Row],[Jerry Can]],Table_NFI[Jerry Can])</f>
        <v>0</v>
      </c>
      <c r="AO230" s="579" t="str">
        <f>IFERROR(VLOOKUP(Table_NFI[[#This Row],[Camp Name]],CL,2,0),"")</f>
        <v>MMR015CMP016</v>
      </c>
      <c r="AP230" s="574">
        <f ca="1">IF(Table_NFI[[#This Row],[Pcode]]="","",IF(OFFSET(CampList[Opening Date],MATCH(Table_NFI[[#This Row],[Pcode]],CampList[CP_Pcode],0)-1,0,1,1)&gt;=NFI_Monitor_Date,1,0))</f>
        <v>0</v>
      </c>
      <c r="AQ230" s="579" t="str">
        <f>IFERROR(VLOOKUP(Table_NFI[[#This Row],[Camp Name]],CL,3,0),"")</f>
        <v>Open</v>
      </c>
      <c r="AR230" s="378" t="str">
        <f ca="1">IF(Table_NFI[[#This Row],[Pcode]]="","",OFFSET(CampList[Priority],MATCH(Table_NFI[[#This Row],[Pcode]],CampList[CP_Pcode],0)-1,0,1,1))</f>
        <v>P3</v>
      </c>
      <c r="AS230" s="377">
        <f>IFERROR(Table_NFI[[#This Row],[Kitchen Set]]/VLOOKUP(Table_NFI[[#This Row],[Camp Name]],CL,4,0),"")</f>
        <v>0.95238095238095233</v>
      </c>
      <c r="AT230" s="572" t="s">
        <v>1095</v>
      </c>
      <c r="AU230" s="575"/>
    </row>
    <row r="231" spans="1:47" s="576" customFormat="1" x14ac:dyDescent="0.25">
      <c r="A231" s="381">
        <f t="shared" si="3"/>
        <v>34.1</v>
      </c>
      <c r="B231" s="571">
        <v>41499</v>
      </c>
      <c r="C231" s="572" t="s">
        <v>454</v>
      </c>
      <c r="D231" s="573" t="s">
        <v>508</v>
      </c>
      <c r="E231" s="572" t="s">
        <v>555</v>
      </c>
      <c r="F231" s="374" t="s">
        <v>146</v>
      </c>
      <c r="G231" s="374" t="s">
        <v>370</v>
      </c>
      <c r="H231" s="375"/>
      <c r="I231" s="375"/>
      <c r="J231" s="375">
        <v>47</v>
      </c>
      <c r="K231" s="375">
        <v>103</v>
      </c>
      <c r="L231" s="376">
        <v>41</v>
      </c>
      <c r="M231" s="376">
        <v>103</v>
      </c>
      <c r="N231" s="376">
        <v>41</v>
      </c>
      <c r="O231" s="376">
        <v>41</v>
      </c>
      <c r="P231" s="378">
        <v>41</v>
      </c>
      <c r="Q231" s="378">
        <v>41</v>
      </c>
      <c r="R231" s="378"/>
      <c r="S231" s="378"/>
      <c r="T231" s="378"/>
      <c r="U231" s="378"/>
      <c r="V231" s="533"/>
      <c r="W231" s="378"/>
      <c r="X231" s="378"/>
      <c r="Y231" s="378">
        <f>IF(NFI_Expiration=1,IF($A231&lt;VLOOKUP(H$5,NFI,5,0),1,0)*Table_NFI[[#This Row],[Hygiene Kit]],Table_NFI[Hygiene Kit])</f>
        <v>0</v>
      </c>
      <c r="Z231" s="378">
        <f>IF(NFI_Expiration=1,IF($A231&lt;VLOOKUP(I$5,NFI,5,0),1,0)*Table_NFI[[#This Row],[NFI Core Kit]],Table_NFI[NFI Core Kit])</f>
        <v>0</v>
      </c>
      <c r="AA231" s="378">
        <f>IF(NFI_Expiration=1,IF($A231&lt;VLOOKUP(J$5,NFI,5,0),1,0)*Table_NFI[[#This Row],[Sanitary Kit]],Table_NFI[Sanitary Kit])</f>
        <v>0</v>
      </c>
      <c r="AB231" s="378">
        <f>IF(NFI_Expiration=1,IF($A231&lt;VLOOKUP(K$5,NFI,5,0),1,0)*Table_NFI[[#This Row],[Mosquito net]],Table_NFI[Mosquito net])</f>
        <v>0</v>
      </c>
      <c r="AC231" s="378">
        <f>IF(NFI_Expiration=1,IF($A231&lt;VLOOKUP(L$5,NFI,5,0),1,0)*Table_NFI[[#This Row],[Tarpaulin]],Table_NFI[[#This Row],[Tarpaulin]])</f>
        <v>0</v>
      </c>
      <c r="AD231" s="378">
        <f>IF(NFI_Expiration=1,IF($A231&lt;VLOOKUP(M$5,NFI,5,0),1,0)*Table_NFI[[#This Row],[Blanket]],Table_NFI[[#This Row],[Blanket]])</f>
        <v>0</v>
      </c>
      <c r="AE231" s="378">
        <f>IF(NFI_Expiration=1,IF($A231&lt;VLOOKUP(N$5,NFI,5,0),1,0)*Table_NFI[[#This Row],[Kitchen Set]],Table_NFI[Kitchen Set])</f>
        <v>0</v>
      </c>
      <c r="AF231" s="378">
        <f>IF(NFI_Expiration=1,IF($A231&lt;VLOOKUP(O$5,NFI,5,0),1,0)*Table_NFI[[#This Row],[Clothes Kit]],Table_NFI[Clothes Kit])</f>
        <v>0</v>
      </c>
      <c r="AG231" s="378">
        <f>IF(NFI_Expiration=1,IF($A231&lt;VLOOKUP(P$5,NFI,5,0),1,0)*Table_NFI[[#This Row],[Plastic Bucket]],Table_NFI[Plastic Bucket])</f>
        <v>0</v>
      </c>
      <c r="AH231" s="378">
        <f>IF(NFI_Expiration=1,IF($A231&lt;VLOOKUP(Q$5,NFI,5,0),1,0)*Table_NFI[[#This Row],[Plastic Mat]],Table_NFI[Plastic Mat])*IF(Table_NFI[[#This Row],[Distribution Date]]&gt;"2014-04-01",1,2.5)</f>
        <v>0</v>
      </c>
      <c r="AI231" s="378">
        <f>IF(NFI_Expiration=1,IF($A231&lt;VLOOKUP(R$5,NFI,5,0),1,0)*Table_NFI[[#This Row],[Winter Clothes Adult]],Table_NFI[Winter Clothes Adult])</f>
        <v>0</v>
      </c>
      <c r="AJ231" s="378">
        <f>IF(NFI_Expiration=1,IF($A231&lt;VLOOKUP(S$5,NFI,5,0),1,0)*Table_NFI[[#This Row],[Winter Clothes Children]],Table_NFI[Winter Clothes Children])</f>
        <v>0</v>
      </c>
      <c r="AK231" s="378">
        <f>IF(NFI_Expiration=1,IF($A231&lt;VLOOKUP(T$5,NFI,5,0),1,0)*Table_NFI[[#This Row],[Winter Items Other]],Table_NFI[Winter Items Other])</f>
        <v>0</v>
      </c>
      <c r="AL231" s="378">
        <f>IF(NFI_Expiration=1,IF($A231&lt;VLOOKUP(M$5,NFI,5,0),1,0)*Table_NFI[[#This Row],[Winter Blanket]],Table_NFI[[#This Row],[Winter Blanket]])</f>
        <v>0</v>
      </c>
      <c r="AM231" s="378">
        <f>IF(Table_NFI[[#This Row],[Winter Clothes Adult]]+Table_NFI[[#This Row],[Winter Clothes Children]]+Table_NFI[[#This Row],[Winter Items Other]]+Table_NFI[[#This Row],[Winter Blanket]]&gt;0,1,0)</f>
        <v>0</v>
      </c>
      <c r="AN231" s="418">
        <f>IF(NFI_Expiration=1,IF($A231&lt;VLOOKUP(V$5,NFI,5,0),1,0)*Table_NFI[[#This Row],[Jerry Can]],Table_NFI[Jerry Can])</f>
        <v>0</v>
      </c>
      <c r="AO231" s="579" t="str">
        <f>IFERROR(VLOOKUP(Table_NFI[[#This Row],[Camp Name]],CL,2,0),"")</f>
        <v>MMR015CMP017</v>
      </c>
      <c r="AP231" s="574">
        <f ca="1">IF(Table_NFI[[#This Row],[Pcode]]="","",IF(OFFSET(CampList[Opening Date],MATCH(Table_NFI[[#This Row],[Pcode]],CampList[CP_Pcode],0)-1,0,1,1)&gt;=NFI_Monitor_Date,1,0))</f>
        <v>0</v>
      </c>
      <c r="AQ231" s="579" t="str">
        <f>IFERROR(VLOOKUP(Table_NFI[[#This Row],[Camp Name]],CL,3,0),"")</f>
        <v>Open</v>
      </c>
      <c r="AR231" s="378" t="str">
        <f ca="1">IF(Table_NFI[[#This Row],[Pcode]]="","",OFFSET(CampList[Priority],MATCH(Table_NFI[[#This Row],[Pcode]],CampList[CP_Pcode],0)-1,0,1,1))</f>
        <v>P3</v>
      </c>
      <c r="AS231" s="377">
        <f>IFERROR(Table_NFI[[#This Row],[Kitchen Set]]/VLOOKUP(Table_NFI[[#This Row],[Camp Name]],CL,4,0),"")</f>
        <v>1.3225806451612903</v>
      </c>
      <c r="AT231" s="572" t="s">
        <v>1095</v>
      </c>
      <c r="AU231" s="575"/>
    </row>
    <row r="232" spans="1:47" s="576" customFormat="1" x14ac:dyDescent="0.25">
      <c r="A232" s="381">
        <f t="shared" si="3"/>
        <v>24.766666666666666</v>
      </c>
      <c r="B232" s="571">
        <v>41779</v>
      </c>
      <c r="C232" s="572" t="s">
        <v>1107</v>
      </c>
      <c r="D232" s="572" t="s">
        <v>903</v>
      </c>
      <c r="E232" s="572" t="s">
        <v>380</v>
      </c>
      <c r="F232" s="572" t="s">
        <v>237</v>
      </c>
      <c r="G232" s="572" t="s">
        <v>257</v>
      </c>
      <c r="H232" s="375"/>
      <c r="I232" s="375"/>
      <c r="J232" s="375"/>
      <c r="K232" s="375"/>
      <c r="L232" s="376"/>
      <c r="M232" s="376"/>
      <c r="N232" s="376"/>
      <c r="O232" s="376"/>
      <c r="P232" s="378"/>
      <c r="Q232" s="378"/>
      <c r="R232" s="378"/>
      <c r="S232" s="378"/>
      <c r="T232" s="378"/>
      <c r="U232" s="378">
        <v>88</v>
      </c>
      <c r="V232" s="533"/>
      <c r="W232" s="378"/>
      <c r="X232" s="378"/>
      <c r="Y232" s="378">
        <f>IF(NFI_Expiration=1,IF($A232&lt;VLOOKUP(H$5,NFI,5,0),1,0)*Table_NFI[[#This Row],[Hygiene Kit]],Table_NFI[Hygiene Kit])</f>
        <v>0</v>
      </c>
      <c r="Z232" s="378">
        <f>IF(NFI_Expiration=1,IF($A232&lt;VLOOKUP(I$5,NFI,5,0),1,0)*Table_NFI[[#This Row],[NFI Core Kit]],Table_NFI[NFI Core Kit])</f>
        <v>0</v>
      </c>
      <c r="AA232" s="378">
        <f>IF(NFI_Expiration=1,IF($A232&lt;VLOOKUP(J$5,NFI,5,0),1,0)*Table_NFI[[#This Row],[Sanitary Kit]],Table_NFI[Sanitary Kit])</f>
        <v>0</v>
      </c>
      <c r="AB232" s="378">
        <f>IF(NFI_Expiration=1,IF($A232&lt;VLOOKUP(K$5,NFI,5,0),1,0)*Table_NFI[[#This Row],[Mosquito net]],Table_NFI[Mosquito net])</f>
        <v>0</v>
      </c>
      <c r="AC232" s="378">
        <f>IF(NFI_Expiration=1,IF($A232&lt;VLOOKUP(L$5,NFI,5,0),1,0)*Table_NFI[[#This Row],[Tarpaulin]],Table_NFI[[#This Row],[Tarpaulin]])</f>
        <v>0</v>
      </c>
      <c r="AD232" s="378">
        <f>IF(NFI_Expiration=1,IF($A232&lt;VLOOKUP(M$5,NFI,5,0),1,0)*Table_NFI[[#This Row],[Blanket]],Table_NFI[[#This Row],[Blanket]])</f>
        <v>0</v>
      </c>
      <c r="AE232" s="378">
        <f>IF(NFI_Expiration=1,IF($A232&lt;VLOOKUP(N$5,NFI,5,0),1,0)*Table_NFI[[#This Row],[Kitchen Set]],Table_NFI[Kitchen Set])</f>
        <v>0</v>
      </c>
      <c r="AF232" s="378">
        <f>IF(NFI_Expiration=1,IF($A232&lt;VLOOKUP(O$5,NFI,5,0),1,0)*Table_NFI[[#This Row],[Clothes Kit]],Table_NFI[Clothes Kit])</f>
        <v>0</v>
      </c>
      <c r="AG232" s="378">
        <f>IF(NFI_Expiration=1,IF($A232&lt;VLOOKUP(P$5,NFI,5,0),1,0)*Table_NFI[[#This Row],[Plastic Bucket]],Table_NFI[Plastic Bucket])</f>
        <v>0</v>
      </c>
      <c r="AH232" s="378">
        <f>IF(NFI_Expiration=1,IF($A232&lt;VLOOKUP(Q$5,NFI,5,0),1,0)*Table_NFI[[#This Row],[Plastic Mat]],Table_NFI[Plastic Mat])*IF(Table_NFI[[#This Row],[Distribution Date]]&gt;"2014-04-01",1,2.5)</f>
        <v>0</v>
      </c>
      <c r="AI232" s="378">
        <f>IF(NFI_Expiration=1,IF($A232&lt;VLOOKUP(R$5,NFI,5,0),1,0)*Table_NFI[[#This Row],[Winter Clothes Adult]],Table_NFI[Winter Clothes Adult])</f>
        <v>0</v>
      </c>
      <c r="AJ232" s="378">
        <f>IF(NFI_Expiration=1,IF($A232&lt;VLOOKUP(S$5,NFI,5,0),1,0)*Table_NFI[[#This Row],[Winter Clothes Children]],Table_NFI[Winter Clothes Children])</f>
        <v>0</v>
      </c>
      <c r="AK232" s="378">
        <f>IF(NFI_Expiration=1,IF($A232&lt;VLOOKUP(T$5,NFI,5,0),1,0)*Table_NFI[[#This Row],[Winter Items Other]],Table_NFI[Winter Items Other])</f>
        <v>0</v>
      </c>
      <c r="AL232" s="378">
        <f>IF(NFI_Expiration=1,IF($A232&lt;VLOOKUP(M$5,NFI,5,0),1,0)*Table_NFI[[#This Row],[Winter Blanket]],Table_NFI[[#This Row],[Winter Blanket]])</f>
        <v>0</v>
      </c>
      <c r="AM232" s="378">
        <f>IF(Table_NFI[[#This Row],[Winter Clothes Adult]]+Table_NFI[[#This Row],[Winter Clothes Children]]+Table_NFI[[#This Row],[Winter Items Other]]+Table_NFI[[#This Row],[Winter Blanket]]&gt;0,1,0)</f>
        <v>1</v>
      </c>
      <c r="AN232" s="418">
        <f>IF(NFI_Expiration=1,IF($A232&lt;VLOOKUP(V$5,NFI,5,0),1,0)*Table_NFI[[#This Row],[Jerry Can]],Table_NFI[Jerry Can])</f>
        <v>0</v>
      </c>
      <c r="AO232" s="579" t="str">
        <f>IFERROR(VLOOKUP(Table_NFI[[#This Row],[Camp Name]],CL,2,0),"")</f>
        <v>MMR001CMP013</v>
      </c>
      <c r="AP232" s="574">
        <f ca="1">IF(Table_NFI[[#This Row],[Pcode]]="","",IF(OFFSET(CampList[Opening Date],MATCH(Table_NFI[[#This Row],[Pcode]],CampList[CP_Pcode],0)-1,0,1,1)&gt;=NFI_Monitor_Date,1,0))</f>
        <v>0</v>
      </c>
      <c r="AQ232" s="579" t="str">
        <f>IFERROR(VLOOKUP(Table_NFI[[#This Row],[Camp Name]],CL,3,0),"")</f>
        <v>Open</v>
      </c>
      <c r="AR232" s="378" t="str">
        <f ca="1">IF(Table_NFI[[#This Row],[Pcode]]="","",OFFSET(CampList[Priority],MATCH(Table_NFI[[#This Row],[Pcode]],CampList[CP_Pcode],0)-1,0,1,1))</f>
        <v>P4</v>
      </c>
      <c r="AS232" s="377">
        <f>IFERROR(Table_NFI[[#This Row],[Kitchen Set]]/VLOOKUP(Table_NFI[[#This Row],[Camp Name]],CL,4,0),"")</f>
        <v>0</v>
      </c>
      <c r="AT232" s="572"/>
      <c r="AU232" s="575"/>
    </row>
    <row r="233" spans="1:47" s="576" customFormat="1" x14ac:dyDescent="0.25">
      <c r="A233" s="381">
        <f t="shared" si="3"/>
        <v>47.1</v>
      </c>
      <c r="B233" s="571">
        <v>41109</v>
      </c>
      <c r="C233" s="572" t="s">
        <v>454</v>
      </c>
      <c r="D233" s="573" t="s">
        <v>454</v>
      </c>
      <c r="E233" s="572" t="s">
        <v>380</v>
      </c>
      <c r="F233" s="374" t="s">
        <v>237</v>
      </c>
      <c r="G233" s="374" t="s">
        <v>257</v>
      </c>
      <c r="H233" s="375"/>
      <c r="I233" s="375"/>
      <c r="J233" s="375"/>
      <c r="K233" s="375">
        <v>6</v>
      </c>
      <c r="L233" s="376">
        <v>4</v>
      </c>
      <c r="M233" s="376">
        <v>6</v>
      </c>
      <c r="N233" s="376">
        <v>4</v>
      </c>
      <c r="O233" s="376">
        <v>4</v>
      </c>
      <c r="P233" s="378">
        <v>4</v>
      </c>
      <c r="Q233" s="378">
        <v>4</v>
      </c>
      <c r="R233" s="378"/>
      <c r="S233" s="378"/>
      <c r="T233" s="378"/>
      <c r="U233" s="378"/>
      <c r="V233" s="533"/>
      <c r="W233" s="378"/>
      <c r="X233" s="378"/>
      <c r="Y233" s="378">
        <f>IF(NFI_Expiration=1,IF($A233&lt;VLOOKUP(H$5,NFI,5,0),1,0)*Table_NFI[[#This Row],[Hygiene Kit]],Table_NFI[Hygiene Kit])</f>
        <v>0</v>
      </c>
      <c r="Z233" s="378">
        <f>IF(NFI_Expiration=1,IF($A233&lt;VLOOKUP(I$5,NFI,5,0),1,0)*Table_NFI[[#This Row],[NFI Core Kit]],Table_NFI[NFI Core Kit])</f>
        <v>0</v>
      </c>
      <c r="AA233" s="378">
        <f>IF(NFI_Expiration=1,IF($A233&lt;VLOOKUP(J$5,NFI,5,0),1,0)*Table_NFI[[#This Row],[Sanitary Kit]],Table_NFI[Sanitary Kit])</f>
        <v>0</v>
      </c>
      <c r="AB233" s="378">
        <f>IF(NFI_Expiration=1,IF($A233&lt;VLOOKUP(K$5,NFI,5,0),1,0)*Table_NFI[[#This Row],[Mosquito net]],Table_NFI[Mosquito net])</f>
        <v>0</v>
      </c>
      <c r="AC233" s="378">
        <f>IF(NFI_Expiration=1,IF($A233&lt;VLOOKUP(L$5,NFI,5,0),1,0)*Table_NFI[[#This Row],[Tarpaulin]],Table_NFI[[#This Row],[Tarpaulin]])</f>
        <v>0</v>
      </c>
      <c r="AD233" s="378">
        <f>IF(NFI_Expiration=1,IF($A233&lt;VLOOKUP(M$5,NFI,5,0),1,0)*Table_NFI[[#This Row],[Blanket]],Table_NFI[[#This Row],[Blanket]])</f>
        <v>0</v>
      </c>
      <c r="AE233" s="378">
        <f>IF(NFI_Expiration=1,IF($A233&lt;VLOOKUP(N$5,NFI,5,0),1,0)*Table_NFI[[#This Row],[Kitchen Set]],Table_NFI[Kitchen Set])</f>
        <v>0</v>
      </c>
      <c r="AF233" s="378">
        <f>IF(NFI_Expiration=1,IF($A233&lt;VLOOKUP(O$5,NFI,5,0),1,0)*Table_NFI[[#This Row],[Clothes Kit]],Table_NFI[Clothes Kit])</f>
        <v>0</v>
      </c>
      <c r="AG233" s="378">
        <f>IF(NFI_Expiration=1,IF($A233&lt;VLOOKUP(P$5,NFI,5,0),1,0)*Table_NFI[[#This Row],[Plastic Bucket]],Table_NFI[Plastic Bucket])</f>
        <v>0</v>
      </c>
      <c r="AH233" s="378">
        <f>IF(NFI_Expiration=1,IF($A233&lt;VLOOKUP(Q$5,NFI,5,0),1,0)*Table_NFI[[#This Row],[Plastic Mat]],Table_NFI[Plastic Mat])*IF(Table_NFI[[#This Row],[Distribution Date]]&gt;"2014-04-01",1,2.5)</f>
        <v>0</v>
      </c>
      <c r="AI233" s="378">
        <f>IF(NFI_Expiration=1,IF($A233&lt;VLOOKUP(R$5,NFI,5,0),1,0)*Table_NFI[[#This Row],[Winter Clothes Adult]],Table_NFI[Winter Clothes Adult])</f>
        <v>0</v>
      </c>
      <c r="AJ233" s="378">
        <f>IF(NFI_Expiration=1,IF($A233&lt;VLOOKUP(S$5,NFI,5,0),1,0)*Table_NFI[[#This Row],[Winter Clothes Children]],Table_NFI[Winter Clothes Children])</f>
        <v>0</v>
      </c>
      <c r="AK233" s="378">
        <f>IF(NFI_Expiration=1,IF($A233&lt;VLOOKUP(T$5,NFI,5,0),1,0)*Table_NFI[[#This Row],[Winter Items Other]],Table_NFI[Winter Items Other])</f>
        <v>0</v>
      </c>
      <c r="AL233" s="378">
        <f>IF(NFI_Expiration=1,IF($A233&lt;VLOOKUP(M$5,NFI,5,0),1,0)*Table_NFI[[#This Row],[Winter Blanket]],Table_NFI[[#This Row],[Winter Blanket]])</f>
        <v>0</v>
      </c>
      <c r="AM233" s="378">
        <f>IF(Table_NFI[[#This Row],[Winter Clothes Adult]]+Table_NFI[[#This Row],[Winter Clothes Children]]+Table_NFI[[#This Row],[Winter Items Other]]+Table_NFI[[#This Row],[Winter Blanket]]&gt;0,1,0)</f>
        <v>0</v>
      </c>
      <c r="AN233" s="418">
        <f>IF(NFI_Expiration=1,IF($A233&lt;VLOOKUP(V$5,NFI,5,0),1,0)*Table_NFI[[#This Row],[Jerry Can]],Table_NFI[Jerry Can])</f>
        <v>0</v>
      </c>
      <c r="AO233" s="579" t="str">
        <f>IFERROR(VLOOKUP(Table_NFI[[#This Row],[Camp Name]],CL,2,0),"")</f>
        <v>MMR001CMP013</v>
      </c>
      <c r="AP233" s="574">
        <f ca="1">IF(Table_NFI[[#This Row],[Pcode]]="","",IF(OFFSET(CampList[Opening Date],MATCH(Table_NFI[[#This Row],[Pcode]],CampList[CP_Pcode],0)-1,0,1,1)&gt;=NFI_Monitor_Date,1,0))</f>
        <v>0</v>
      </c>
      <c r="AQ233" s="579" t="str">
        <f>IFERROR(VLOOKUP(Table_NFI[[#This Row],[Camp Name]],CL,3,0),"")</f>
        <v>Open</v>
      </c>
      <c r="AR233" s="378" t="str">
        <f ca="1">IF(Table_NFI[[#This Row],[Pcode]]="","",OFFSET(CampList[Priority],MATCH(Table_NFI[[#This Row],[Pcode]],CampList[CP_Pcode],0)-1,0,1,1))</f>
        <v>P4</v>
      </c>
      <c r="AS233" s="377">
        <f>IFERROR(Table_NFI[[#This Row],[Kitchen Set]]/VLOOKUP(Table_NFI[[#This Row],[Camp Name]],CL,4,0),"")</f>
        <v>9.0909090909090912E-2</v>
      </c>
      <c r="AT233" s="572" t="s">
        <v>1095</v>
      </c>
      <c r="AU233" s="575"/>
    </row>
    <row r="234" spans="1:47" s="576" customFormat="1" x14ac:dyDescent="0.25">
      <c r="A234" s="381">
        <f t="shared" si="3"/>
        <v>47.2</v>
      </c>
      <c r="B234" s="571">
        <v>41106</v>
      </c>
      <c r="C234" s="572" t="s">
        <v>454</v>
      </c>
      <c r="D234" s="573" t="s">
        <v>454</v>
      </c>
      <c r="E234" s="572" t="s">
        <v>380</v>
      </c>
      <c r="F234" s="374" t="s">
        <v>237</v>
      </c>
      <c r="G234" s="374" t="s">
        <v>257</v>
      </c>
      <c r="H234" s="375"/>
      <c r="I234" s="375"/>
      <c r="J234" s="375"/>
      <c r="K234" s="375">
        <v>33</v>
      </c>
      <c r="L234" s="376">
        <v>33</v>
      </c>
      <c r="M234" s="376">
        <v>33</v>
      </c>
      <c r="N234" s="376">
        <v>33</v>
      </c>
      <c r="O234" s="376">
        <v>33</v>
      </c>
      <c r="P234" s="378">
        <v>33</v>
      </c>
      <c r="Q234" s="378">
        <v>33</v>
      </c>
      <c r="R234" s="378"/>
      <c r="S234" s="378"/>
      <c r="T234" s="378"/>
      <c r="U234" s="378"/>
      <c r="V234" s="533"/>
      <c r="W234" s="378"/>
      <c r="X234" s="378"/>
      <c r="Y234" s="378">
        <f>IF(NFI_Expiration=1,IF($A234&lt;VLOOKUP(H$5,NFI,5,0),1,0)*Table_NFI[[#This Row],[Hygiene Kit]],Table_NFI[Hygiene Kit])</f>
        <v>0</v>
      </c>
      <c r="Z234" s="378">
        <f>IF(NFI_Expiration=1,IF($A234&lt;VLOOKUP(I$5,NFI,5,0),1,0)*Table_NFI[[#This Row],[NFI Core Kit]],Table_NFI[NFI Core Kit])</f>
        <v>0</v>
      </c>
      <c r="AA234" s="378">
        <f>IF(NFI_Expiration=1,IF($A234&lt;VLOOKUP(J$5,NFI,5,0),1,0)*Table_NFI[[#This Row],[Sanitary Kit]],Table_NFI[Sanitary Kit])</f>
        <v>0</v>
      </c>
      <c r="AB234" s="378">
        <f>IF(NFI_Expiration=1,IF($A234&lt;VLOOKUP(K$5,NFI,5,0),1,0)*Table_NFI[[#This Row],[Mosquito net]],Table_NFI[Mosquito net])</f>
        <v>0</v>
      </c>
      <c r="AC234" s="378">
        <f>IF(NFI_Expiration=1,IF($A234&lt;VLOOKUP(L$5,NFI,5,0),1,0)*Table_NFI[[#This Row],[Tarpaulin]],Table_NFI[[#This Row],[Tarpaulin]])</f>
        <v>0</v>
      </c>
      <c r="AD234" s="378">
        <f>IF(NFI_Expiration=1,IF($A234&lt;VLOOKUP(M$5,NFI,5,0),1,0)*Table_NFI[[#This Row],[Blanket]],Table_NFI[[#This Row],[Blanket]])</f>
        <v>0</v>
      </c>
      <c r="AE234" s="378">
        <f>IF(NFI_Expiration=1,IF($A234&lt;VLOOKUP(N$5,NFI,5,0),1,0)*Table_NFI[[#This Row],[Kitchen Set]],Table_NFI[Kitchen Set])</f>
        <v>0</v>
      </c>
      <c r="AF234" s="378">
        <f>IF(NFI_Expiration=1,IF($A234&lt;VLOOKUP(O$5,NFI,5,0),1,0)*Table_NFI[[#This Row],[Clothes Kit]],Table_NFI[Clothes Kit])</f>
        <v>0</v>
      </c>
      <c r="AG234" s="378">
        <f>IF(NFI_Expiration=1,IF($A234&lt;VLOOKUP(P$5,NFI,5,0),1,0)*Table_NFI[[#This Row],[Plastic Bucket]],Table_NFI[Plastic Bucket])</f>
        <v>0</v>
      </c>
      <c r="AH234" s="378">
        <f>IF(NFI_Expiration=1,IF($A234&lt;VLOOKUP(Q$5,NFI,5,0),1,0)*Table_NFI[[#This Row],[Plastic Mat]],Table_NFI[Plastic Mat])*IF(Table_NFI[[#This Row],[Distribution Date]]&gt;"2014-04-01",1,2.5)</f>
        <v>0</v>
      </c>
      <c r="AI234" s="378">
        <f>IF(NFI_Expiration=1,IF($A234&lt;VLOOKUP(R$5,NFI,5,0),1,0)*Table_NFI[[#This Row],[Winter Clothes Adult]],Table_NFI[Winter Clothes Adult])</f>
        <v>0</v>
      </c>
      <c r="AJ234" s="378">
        <f>IF(NFI_Expiration=1,IF($A234&lt;VLOOKUP(S$5,NFI,5,0),1,0)*Table_NFI[[#This Row],[Winter Clothes Children]],Table_NFI[Winter Clothes Children])</f>
        <v>0</v>
      </c>
      <c r="AK234" s="378">
        <f>IF(NFI_Expiration=1,IF($A234&lt;VLOOKUP(T$5,NFI,5,0),1,0)*Table_NFI[[#This Row],[Winter Items Other]],Table_NFI[Winter Items Other])</f>
        <v>0</v>
      </c>
      <c r="AL234" s="378">
        <f>IF(NFI_Expiration=1,IF($A234&lt;VLOOKUP(M$5,NFI,5,0),1,0)*Table_NFI[[#This Row],[Winter Blanket]],Table_NFI[[#This Row],[Winter Blanket]])</f>
        <v>0</v>
      </c>
      <c r="AM234" s="378">
        <f>IF(Table_NFI[[#This Row],[Winter Clothes Adult]]+Table_NFI[[#This Row],[Winter Clothes Children]]+Table_NFI[[#This Row],[Winter Items Other]]+Table_NFI[[#This Row],[Winter Blanket]]&gt;0,1,0)</f>
        <v>0</v>
      </c>
      <c r="AN234" s="418">
        <f>IF(NFI_Expiration=1,IF($A234&lt;VLOOKUP(V$5,NFI,5,0),1,0)*Table_NFI[[#This Row],[Jerry Can]],Table_NFI[Jerry Can])</f>
        <v>0</v>
      </c>
      <c r="AO234" s="579" t="str">
        <f>IFERROR(VLOOKUP(Table_NFI[[#This Row],[Camp Name]],CL,2,0),"")</f>
        <v>MMR001CMP013</v>
      </c>
      <c r="AP234" s="574">
        <f ca="1">IF(Table_NFI[[#This Row],[Pcode]]="","",IF(OFFSET(CampList[Opening Date],MATCH(Table_NFI[[#This Row],[Pcode]],CampList[CP_Pcode],0)-1,0,1,1)&gt;=NFI_Monitor_Date,1,0))</f>
        <v>0</v>
      </c>
      <c r="AQ234" s="579" t="str">
        <f>IFERROR(VLOOKUP(Table_NFI[[#This Row],[Camp Name]],CL,3,0),"")</f>
        <v>Open</v>
      </c>
      <c r="AR234" s="378" t="str">
        <f ca="1">IF(Table_NFI[[#This Row],[Pcode]]="","",OFFSET(CampList[Priority],MATCH(Table_NFI[[#This Row],[Pcode]],CampList[CP_Pcode],0)-1,0,1,1))</f>
        <v>P4</v>
      </c>
      <c r="AS234" s="377">
        <f>IFERROR(Table_NFI[[#This Row],[Kitchen Set]]/VLOOKUP(Table_NFI[[#This Row],[Camp Name]],CL,4,0),"")</f>
        <v>0.75</v>
      </c>
      <c r="AT234" s="572" t="s">
        <v>1095</v>
      </c>
      <c r="AU234" s="575"/>
    </row>
    <row r="235" spans="1:47" s="576" customFormat="1" x14ac:dyDescent="0.25">
      <c r="A235" s="381">
        <f t="shared" si="3"/>
        <v>55.366666666666667</v>
      </c>
      <c r="B235" s="571">
        <v>40861</v>
      </c>
      <c r="C235" s="572" t="s">
        <v>454</v>
      </c>
      <c r="D235" s="573" t="s">
        <v>462</v>
      </c>
      <c r="E235" s="572" t="s">
        <v>380</v>
      </c>
      <c r="F235" s="374" t="s">
        <v>237</v>
      </c>
      <c r="G235" s="374" t="s">
        <v>257</v>
      </c>
      <c r="H235" s="375"/>
      <c r="I235" s="375"/>
      <c r="J235" s="375"/>
      <c r="K235" s="375">
        <v>47</v>
      </c>
      <c r="L235" s="376">
        <v>28</v>
      </c>
      <c r="M235" s="376">
        <v>47</v>
      </c>
      <c r="N235" s="376">
        <v>28</v>
      </c>
      <c r="O235" s="376">
        <v>28</v>
      </c>
      <c r="P235" s="378">
        <v>28</v>
      </c>
      <c r="Q235" s="378">
        <v>28</v>
      </c>
      <c r="R235" s="378"/>
      <c r="S235" s="378"/>
      <c r="T235" s="378"/>
      <c r="U235" s="378"/>
      <c r="V235" s="533"/>
      <c r="W235" s="378"/>
      <c r="X235" s="378"/>
      <c r="Y235" s="378">
        <f>IF(NFI_Expiration=1,IF($A235&lt;VLOOKUP(H$5,NFI,5,0),1,0)*Table_NFI[[#This Row],[Hygiene Kit]],Table_NFI[Hygiene Kit])</f>
        <v>0</v>
      </c>
      <c r="Z235" s="378">
        <f>IF(NFI_Expiration=1,IF($A235&lt;VLOOKUP(I$5,NFI,5,0),1,0)*Table_NFI[[#This Row],[NFI Core Kit]],Table_NFI[NFI Core Kit])</f>
        <v>0</v>
      </c>
      <c r="AA235" s="378">
        <f>IF(NFI_Expiration=1,IF($A235&lt;VLOOKUP(J$5,NFI,5,0),1,0)*Table_NFI[[#This Row],[Sanitary Kit]],Table_NFI[Sanitary Kit])</f>
        <v>0</v>
      </c>
      <c r="AB235" s="378">
        <f>IF(NFI_Expiration=1,IF($A235&lt;VLOOKUP(K$5,NFI,5,0),1,0)*Table_NFI[[#This Row],[Mosquito net]],Table_NFI[Mosquito net])</f>
        <v>0</v>
      </c>
      <c r="AC235" s="378">
        <f>IF(NFI_Expiration=1,IF($A235&lt;VLOOKUP(L$5,NFI,5,0),1,0)*Table_NFI[[#This Row],[Tarpaulin]],Table_NFI[[#This Row],[Tarpaulin]])</f>
        <v>0</v>
      </c>
      <c r="AD235" s="378">
        <f>IF(NFI_Expiration=1,IF($A235&lt;VLOOKUP(M$5,NFI,5,0),1,0)*Table_NFI[[#This Row],[Blanket]],Table_NFI[[#This Row],[Blanket]])</f>
        <v>0</v>
      </c>
      <c r="AE235" s="378">
        <f>IF(NFI_Expiration=1,IF($A235&lt;VLOOKUP(N$5,NFI,5,0),1,0)*Table_NFI[[#This Row],[Kitchen Set]],Table_NFI[Kitchen Set])</f>
        <v>0</v>
      </c>
      <c r="AF235" s="378">
        <f>IF(NFI_Expiration=1,IF($A235&lt;VLOOKUP(O$5,NFI,5,0),1,0)*Table_NFI[[#This Row],[Clothes Kit]],Table_NFI[Clothes Kit])</f>
        <v>0</v>
      </c>
      <c r="AG235" s="378">
        <f>IF(NFI_Expiration=1,IF($A235&lt;VLOOKUP(P$5,NFI,5,0),1,0)*Table_NFI[[#This Row],[Plastic Bucket]],Table_NFI[Plastic Bucket])</f>
        <v>0</v>
      </c>
      <c r="AH235" s="378">
        <f>IF(NFI_Expiration=1,IF($A235&lt;VLOOKUP(Q$5,NFI,5,0),1,0)*Table_NFI[[#This Row],[Plastic Mat]],Table_NFI[Plastic Mat])*IF(Table_NFI[[#This Row],[Distribution Date]]&gt;"2014-04-01",1,2.5)</f>
        <v>0</v>
      </c>
      <c r="AI235" s="378">
        <f>IF(NFI_Expiration=1,IF($A235&lt;VLOOKUP(R$5,NFI,5,0),1,0)*Table_NFI[[#This Row],[Winter Clothes Adult]],Table_NFI[Winter Clothes Adult])</f>
        <v>0</v>
      </c>
      <c r="AJ235" s="378">
        <f>IF(NFI_Expiration=1,IF($A235&lt;VLOOKUP(S$5,NFI,5,0),1,0)*Table_NFI[[#This Row],[Winter Clothes Children]],Table_NFI[Winter Clothes Children])</f>
        <v>0</v>
      </c>
      <c r="AK235" s="378">
        <f>IF(NFI_Expiration=1,IF($A235&lt;VLOOKUP(T$5,NFI,5,0),1,0)*Table_NFI[[#This Row],[Winter Items Other]],Table_NFI[Winter Items Other])</f>
        <v>0</v>
      </c>
      <c r="AL235" s="378">
        <f>IF(NFI_Expiration=1,IF($A235&lt;VLOOKUP(M$5,NFI,5,0),1,0)*Table_NFI[[#This Row],[Winter Blanket]],Table_NFI[[#This Row],[Winter Blanket]])</f>
        <v>0</v>
      </c>
      <c r="AM235" s="378">
        <f>IF(Table_NFI[[#This Row],[Winter Clothes Adult]]+Table_NFI[[#This Row],[Winter Clothes Children]]+Table_NFI[[#This Row],[Winter Items Other]]+Table_NFI[[#This Row],[Winter Blanket]]&gt;0,1,0)</f>
        <v>0</v>
      </c>
      <c r="AN235" s="418">
        <f>IF(NFI_Expiration=1,IF($A235&lt;VLOOKUP(V$5,NFI,5,0),1,0)*Table_NFI[[#This Row],[Jerry Can]],Table_NFI[Jerry Can])</f>
        <v>0</v>
      </c>
      <c r="AO235" s="579" t="str">
        <f>IFERROR(VLOOKUP(Table_NFI[[#This Row],[Camp Name]],CL,2,0),"")</f>
        <v>MMR001CMP013</v>
      </c>
      <c r="AP235" s="574">
        <f ca="1">IF(Table_NFI[[#This Row],[Pcode]]="","",IF(OFFSET(CampList[Opening Date],MATCH(Table_NFI[[#This Row],[Pcode]],CampList[CP_Pcode],0)-1,0,1,1)&gt;=NFI_Monitor_Date,1,0))</f>
        <v>0</v>
      </c>
      <c r="AQ235" s="579" t="str">
        <f>IFERROR(VLOOKUP(Table_NFI[[#This Row],[Camp Name]],CL,3,0),"")</f>
        <v>Open</v>
      </c>
      <c r="AR235" s="378" t="str">
        <f ca="1">IF(Table_NFI[[#This Row],[Pcode]]="","",OFFSET(CampList[Priority],MATCH(Table_NFI[[#This Row],[Pcode]],CampList[CP_Pcode],0)-1,0,1,1))</f>
        <v>P4</v>
      </c>
      <c r="AS235" s="377">
        <f>IFERROR(Table_NFI[[#This Row],[Kitchen Set]]/VLOOKUP(Table_NFI[[#This Row],[Camp Name]],CL,4,0),"")</f>
        <v>0.63636363636363635</v>
      </c>
      <c r="AT235" s="572" t="s">
        <v>1095</v>
      </c>
      <c r="AU235" s="575"/>
    </row>
    <row r="236" spans="1:47" s="576" customFormat="1" ht="38.25" x14ac:dyDescent="0.25">
      <c r="A236" s="381">
        <f t="shared" si="3"/>
        <v>9.8333333333333339</v>
      </c>
      <c r="B236" s="571">
        <v>42227</v>
      </c>
      <c r="C236" s="572" t="s">
        <v>454</v>
      </c>
      <c r="D236" s="573" t="s">
        <v>462</v>
      </c>
      <c r="E236" s="572" t="s">
        <v>380</v>
      </c>
      <c r="F236" s="374" t="s">
        <v>173</v>
      </c>
      <c r="G236" s="374" t="s">
        <v>174</v>
      </c>
      <c r="H236" s="375"/>
      <c r="I236" s="376"/>
      <c r="J236" s="375"/>
      <c r="K236" s="378">
        <v>14</v>
      </c>
      <c r="L236" s="376">
        <v>14</v>
      </c>
      <c r="M236" s="376"/>
      <c r="N236" s="376"/>
      <c r="O236" s="376"/>
      <c r="P236" s="378"/>
      <c r="Q236" s="378"/>
      <c r="R236" s="378"/>
      <c r="S236" s="378"/>
      <c r="T236" s="378"/>
      <c r="U236" s="378"/>
      <c r="V236" s="533"/>
      <c r="W236" s="378"/>
      <c r="X236" s="378"/>
      <c r="Y236" s="378">
        <f>IF(NFI_Expiration=1,IF($A236&lt;VLOOKUP(H$5,NFI,5,0),1,0)*Table_NFI[[#This Row],[Hygiene Kit]],Table_NFI[Hygiene Kit])</f>
        <v>0</v>
      </c>
      <c r="Z236" s="378">
        <f>IF(NFI_Expiration=1,IF($A236&lt;VLOOKUP(I$5,NFI,5,0),1,0)*Table_NFI[[#This Row],[NFI Core Kit]],Table_NFI[NFI Core Kit])</f>
        <v>0</v>
      </c>
      <c r="AA236" s="378">
        <f>IF(NFI_Expiration=1,IF($A236&lt;VLOOKUP(J$5,NFI,5,0),1,0)*Table_NFI[[#This Row],[Sanitary Kit]],Table_NFI[Sanitary Kit])</f>
        <v>0</v>
      </c>
      <c r="AB236" s="378">
        <f>IF(NFI_Expiration=1,IF($A236&lt;VLOOKUP(K$5,NFI,5,0),1,0)*Table_NFI[[#This Row],[Mosquito net]],Table_NFI[Mosquito net])</f>
        <v>14</v>
      </c>
      <c r="AC236" s="378">
        <f>IF(NFI_Expiration=1,IF($A236&lt;VLOOKUP(L$5,NFI,5,0),1,0)*Table_NFI[[#This Row],[Tarpaulin]],Table_NFI[[#This Row],[Tarpaulin]])</f>
        <v>14</v>
      </c>
      <c r="AD236" s="378">
        <f>IF(NFI_Expiration=1,IF($A236&lt;VLOOKUP(M$5,NFI,5,0),1,0)*Table_NFI[[#This Row],[Blanket]],Table_NFI[[#This Row],[Blanket]])</f>
        <v>0</v>
      </c>
      <c r="AE236" s="378">
        <f>IF(NFI_Expiration=1,IF($A236&lt;VLOOKUP(N$5,NFI,5,0),1,0)*Table_NFI[[#This Row],[Kitchen Set]],Table_NFI[Kitchen Set])</f>
        <v>0</v>
      </c>
      <c r="AF236" s="378">
        <f>IF(NFI_Expiration=1,IF($A236&lt;VLOOKUP(O$5,NFI,5,0),1,0)*Table_NFI[[#This Row],[Clothes Kit]],Table_NFI[Clothes Kit])</f>
        <v>0</v>
      </c>
      <c r="AG236" s="378">
        <f>IF(NFI_Expiration=1,IF($A236&lt;VLOOKUP(P$5,NFI,5,0),1,0)*Table_NFI[[#This Row],[Plastic Bucket]],Table_NFI[Plastic Bucket])</f>
        <v>0</v>
      </c>
      <c r="AH236" s="378">
        <f>IF(NFI_Expiration=1,IF($A236&lt;VLOOKUP(Q$5,NFI,5,0),1,0)*Table_NFI[[#This Row],[Plastic Mat]],Table_NFI[Plastic Mat])*IF(Table_NFI[[#This Row],[Distribution Date]]&gt;"2014-04-01",1,2.5)</f>
        <v>0</v>
      </c>
      <c r="AI236" s="378">
        <f>IF(NFI_Expiration=1,IF($A236&lt;VLOOKUP(R$5,NFI,5,0),1,0)*Table_NFI[[#This Row],[Winter Clothes Adult]],Table_NFI[Winter Clothes Adult])</f>
        <v>0</v>
      </c>
      <c r="AJ236" s="378">
        <f>IF(NFI_Expiration=1,IF($A236&lt;VLOOKUP(S$5,NFI,5,0),1,0)*Table_NFI[[#This Row],[Winter Clothes Children]],Table_NFI[Winter Clothes Children])</f>
        <v>0</v>
      </c>
      <c r="AK236" s="378">
        <f>IF(NFI_Expiration=1,IF($A236&lt;VLOOKUP(T$5,NFI,5,0),1,0)*Table_NFI[[#This Row],[Winter Items Other]],Table_NFI[Winter Items Other])</f>
        <v>0</v>
      </c>
      <c r="AL236" s="378">
        <f>IF(NFI_Expiration=1,IF($A236&lt;VLOOKUP(M$5,NFI,5,0),1,0)*Table_NFI[[#This Row],[Winter Blanket]],Table_NFI[[#This Row],[Winter Blanket]])</f>
        <v>0</v>
      </c>
      <c r="AM236" s="378">
        <f>IF(Table_NFI[[#This Row],[Winter Clothes Adult]]+Table_NFI[[#This Row],[Winter Clothes Children]]+Table_NFI[[#This Row],[Winter Items Other]]+Table_NFI[[#This Row],[Winter Blanket]]&gt;0,1,0)</f>
        <v>0</v>
      </c>
      <c r="AN236" s="418">
        <f>IF(NFI_Expiration=1,IF($A236&lt;VLOOKUP(V$5,NFI,5,0),1,0)*Table_NFI[[#This Row],[Jerry Can]],Table_NFI[Jerry Can])</f>
        <v>0</v>
      </c>
      <c r="AO236" s="579" t="str">
        <f>IFERROR(VLOOKUP(Table_NFI[[#This Row],[Camp Name]],CL,2,0),"")</f>
        <v>MMR001CMP078</v>
      </c>
      <c r="AP236" s="574">
        <f ca="1">IF(Table_NFI[[#This Row],[Pcode]]="","",IF(OFFSET(CampList[Opening Date],MATCH(Table_NFI[[#This Row],[Pcode]],CampList[CP_Pcode],0)-1,0,1,1)&gt;=NFI_Monitor_Date,1,0))</f>
        <v>0</v>
      </c>
      <c r="AQ236" s="579" t="str">
        <f>IFERROR(VLOOKUP(Table_NFI[[#This Row],[Camp Name]],CL,3,0),"")</f>
        <v>Open</v>
      </c>
      <c r="AR236" s="378" t="str">
        <f ca="1">IF(Table_NFI[[#This Row],[Pcode]]="","",OFFSET(CampList[Priority],MATCH(Table_NFI[[#This Row],[Pcode]],CampList[CP_Pcode],0)-1,0,1,1))</f>
        <v>P4</v>
      </c>
      <c r="AS236" s="377">
        <f>IFERROR(Table_NFI[[#This Row],[Kitchen Set]]/VLOOKUP(Table_NFI[[#This Row],[Camp Name]],CL,4,0),"")</f>
        <v>0</v>
      </c>
      <c r="AT236" s="572" t="s">
        <v>1095</v>
      </c>
      <c r="AU236" s="592" t="s">
        <v>1377</v>
      </c>
    </row>
    <row r="237" spans="1:47" s="576" customFormat="1" x14ac:dyDescent="0.25">
      <c r="A237" s="381">
        <f t="shared" si="3"/>
        <v>27.566666666666666</v>
      </c>
      <c r="B237" s="571">
        <v>41695</v>
      </c>
      <c r="C237" s="572" t="s">
        <v>1107</v>
      </c>
      <c r="D237" s="572" t="s">
        <v>903</v>
      </c>
      <c r="E237" s="572" t="s">
        <v>380</v>
      </c>
      <c r="F237" s="572" t="s">
        <v>173</v>
      </c>
      <c r="G237" s="572" t="s">
        <v>174</v>
      </c>
      <c r="H237" s="375"/>
      <c r="I237" s="375"/>
      <c r="J237" s="375"/>
      <c r="K237" s="375"/>
      <c r="L237" s="376"/>
      <c r="M237" s="376"/>
      <c r="N237" s="376"/>
      <c r="O237" s="376"/>
      <c r="P237" s="378"/>
      <c r="Q237" s="378"/>
      <c r="R237" s="378"/>
      <c r="S237" s="378"/>
      <c r="T237" s="378"/>
      <c r="U237" s="378">
        <v>26</v>
      </c>
      <c r="V237" s="533"/>
      <c r="W237" s="378"/>
      <c r="X237" s="378"/>
      <c r="Y237" s="378">
        <f>IF(NFI_Expiration=1,IF($A237&lt;VLOOKUP(H$5,NFI,5,0),1,0)*Table_NFI[[#This Row],[Hygiene Kit]],Table_NFI[Hygiene Kit])</f>
        <v>0</v>
      </c>
      <c r="Z237" s="378">
        <f>IF(NFI_Expiration=1,IF($A237&lt;VLOOKUP(I$5,NFI,5,0),1,0)*Table_NFI[[#This Row],[NFI Core Kit]],Table_NFI[NFI Core Kit])</f>
        <v>0</v>
      </c>
      <c r="AA237" s="378">
        <f>IF(NFI_Expiration=1,IF($A237&lt;VLOOKUP(J$5,NFI,5,0),1,0)*Table_NFI[[#This Row],[Sanitary Kit]],Table_NFI[Sanitary Kit])</f>
        <v>0</v>
      </c>
      <c r="AB237" s="378">
        <f>IF(NFI_Expiration=1,IF($A237&lt;VLOOKUP(K$5,NFI,5,0),1,0)*Table_NFI[[#This Row],[Mosquito net]],Table_NFI[Mosquito net])</f>
        <v>0</v>
      </c>
      <c r="AC237" s="378">
        <f>IF(NFI_Expiration=1,IF($A237&lt;VLOOKUP(L$5,NFI,5,0),1,0)*Table_NFI[[#This Row],[Tarpaulin]],Table_NFI[[#This Row],[Tarpaulin]])</f>
        <v>0</v>
      </c>
      <c r="AD237" s="378">
        <f>IF(NFI_Expiration=1,IF($A237&lt;VLOOKUP(M$5,NFI,5,0),1,0)*Table_NFI[[#This Row],[Blanket]],Table_NFI[[#This Row],[Blanket]])</f>
        <v>0</v>
      </c>
      <c r="AE237" s="378">
        <f>IF(NFI_Expiration=1,IF($A237&lt;VLOOKUP(N$5,NFI,5,0),1,0)*Table_NFI[[#This Row],[Kitchen Set]],Table_NFI[Kitchen Set])</f>
        <v>0</v>
      </c>
      <c r="AF237" s="378">
        <f>IF(NFI_Expiration=1,IF($A237&lt;VLOOKUP(O$5,NFI,5,0),1,0)*Table_NFI[[#This Row],[Clothes Kit]],Table_NFI[Clothes Kit])</f>
        <v>0</v>
      </c>
      <c r="AG237" s="378">
        <f>IF(NFI_Expiration=1,IF($A237&lt;VLOOKUP(P$5,NFI,5,0),1,0)*Table_NFI[[#This Row],[Plastic Bucket]],Table_NFI[Plastic Bucket])</f>
        <v>0</v>
      </c>
      <c r="AH237" s="378">
        <f>IF(NFI_Expiration=1,IF($A237&lt;VLOOKUP(Q$5,NFI,5,0),1,0)*Table_NFI[[#This Row],[Plastic Mat]],Table_NFI[Plastic Mat])*IF(Table_NFI[[#This Row],[Distribution Date]]&gt;"2014-04-01",1,2.5)</f>
        <v>0</v>
      </c>
      <c r="AI237" s="378">
        <f>IF(NFI_Expiration=1,IF($A237&lt;VLOOKUP(R$5,NFI,5,0),1,0)*Table_NFI[[#This Row],[Winter Clothes Adult]],Table_NFI[Winter Clothes Adult])</f>
        <v>0</v>
      </c>
      <c r="AJ237" s="378">
        <f>IF(NFI_Expiration=1,IF($A237&lt;VLOOKUP(S$5,NFI,5,0),1,0)*Table_NFI[[#This Row],[Winter Clothes Children]],Table_NFI[Winter Clothes Children])</f>
        <v>0</v>
      </c>
      <c r="AK237" s="378">
        <f>IF(NFI_Expiration=1,IF($A237&lt;VLOOKUP(T$5,NFI,5,0),1,0)*Table_NFI[[#This Row],[Winter Items Other]],Table_NFI[Winter Items Other])</f>
        <v>0</v>
      </c>
      <c r="AL237" s="378">
        <f>IF(NFI_Expiration=1,IF($A237&lt;VLOOKUP(M$5,NFI,5,0),1,0)*Table_NFI[[#This Row],[Winter Blanket]],Table_NFI[[#This Row],[Winter Blanket]])</f>
        <v>0</v>
      </c>
      <c r="AM237" s="378">
        <f>IF(Table_NFI[[#This Row],[Winter Clothes Adult]]+Table_NFI[[#This Row],[Winter Clothes Children]]+Table_NFI[[#This Row],[Winter Items Other]]+Table_NFI[[#This Row],[Winter Blanket]]&gt;0,1,0)</f>
        <v>1</v>
      </c>
      <c r="AN237" s="418">
        <f>IF(NFI_Expiration=1,IF($A237&lt;VLOOKUP(V$5,NFI,5,0),1,0)*Table_NFI[[#This Row],[Jerry Can]],Table_NFI[Jerry Can])</f>
        <v>0</v>
      </c>
      <c r="AO237" s="579" t="str">
        <f>IFERROR(VLOOKUP(Table_NFI[[#This Row],[Camp Name]],CL,2,0),"")</f>
        <v>MMR001CMP078</v>
      </c>
      <c r="AP237" s="574">
        <f ca="1">IF(Table_NFI[[#This Row],[Pcode]]="","",IF(OFFSET(CampList[Opening Date],MATCH(Table_NFI[[#This Row],[Pcode]],CampList[CP_Pcode],0)-1,0,1,1)&gt;=NFI_Monitor_Date,1,0))</f>
        <v>0</v>
      </c>
      <c r="AQ237" s="579" t="str">
        <f>IFERROR(VLOOKUP(Table_NFI[[#This Row],[Camp Name]],CL,3,0),"")</f>
        <v>Open</v>
      </c>
      <c r="AR237" s="378" t="str">
        <f ca="1">IF(Table_NFI[[#This Row],[Pcode]]="","",OFFSET(CampList[Priority],MATCH(Table_NFI[[#This Row],[Pcode]],CampList[CP_Pcode],0)-1,0,1,1))</f>
        <v>P4</v>
      </c>
      <c r="AS237" s="377">
        <f>IFERROR(Table_NFI[[#This Row],[Kitchen Set]]/VLOOKUP(Table_NFI[[#This Row],[Camp Name]],CL,4,0),"")</f>
        <v>0</v>
      </c>
      <c r="AT237" s="572"/>
      <c r="AU237" s="575"/>
    </row>
    <row r="238" spans="1:47" s="576" customFormat="1" x14ac:dyDescent="0.25">
      <c r="A238" s="381">
        <f t="shared" si="3"/>
        <v>46.833333333333336</v>
      </c>
      <c r="B238" s="571">
        <v>41117</v>
      </c>
      <c r="C238" s="572" t="s">
        <v>454</v>
      </c>
      <c r="D238" s="573" t="s">
        <v>454</v>
      </c>
      <c r="E238" s="572" t="s">
        <v>380</v>
      </c>
      <c r="F238" s="374" t="s">
        <v>173</v>
      </c>
      <c r="G238" s="374" t="s">
        <v>174</v>
      </c>
      <c r="H238" s="375"/>
      <c r="I238" s="375"/>
      <c r="J238" s="375"/>
      <c r="K238" s="375">
        <v>35</v>
      </c>
      <c r="L238" s="376">
        <v>14</v>
      </c>
      <c r="M238" s="376">
        <v>35</v>
      </c>
      <c r="N238" s="376">
        <v>14</v>
      </c>
      <c r="O238" s="376">
        <v>14</v>
      </c>
      <c r="P238" s="378">
        <v>14</v>
      </c>
      <c r="Q238" s="378">
        <v>14</v>
      </c>
      <c r="R238" s="378"/>
      <c r="S238" s="378"/>
      <c r="T238" s="378"/>
      <c r="U238" s="378"/>
      <c r="V238" s="533"/>
      <c r="W238" s="378"/>
      <c r="X238" s="378"/>
      <c r="Y238" s="378">
        <f>IF(NFI_Expiration=1,IF($A238&lt;VLOOKUP(H$5,NFI,5,0),1,0)*Table_NFI[[#This Row],[Hygiene Kit]],Table_NFI[Hygiene Kit])</f>
        <v>0</v>
      </c>
      <c r="Z238" s="378">
        <f>IF(NFI_Expiration=1,IF($A238&lt;VLOOKUP(I$5,NFI,5,0),1,0)*Table_NFI[[#This Row],[NFI Core Kit]],Table_NFI[NFI Core Kit])</f>
        <v>0</v>
      </c>
      <c r="AA238" s="378">
        <f>IF(NFI_Expiration=1,IF($A238&lt;VLOOKUP(J$5,NFI,5,0),1,0)*Table_NFI[[#This Row],[Sanitary Kit]],Table_NFI[Sanitary Kit])</f>
        <v>0</v>
      </c>
      <c r="AB238" s="378">
        <f>IF(NFI_Expiration=1,IF($A238&lt;VLOOKUP(K$5,NFI,5,0),1,0)*Table_NFI[[#This Row],[Mosquito net]],Table_NFI[Mosquito net])</f>
        <v>0</v>
      </c>
      <c r="AC238" s="378">
        <f>IF(NFI_Expiration=1,IF($A238&lt;VLOOKUP(L$5,NFI,5,0),1,0)*Table_NFI[[#This Row],[Tarpaulin]],Table_NFI[[#This Row],[Tarpaulin]])</f>
        <v>0</v>
      </c>
      <c r="AD238" s="378">
        <f>IF(NFI_Expiration=1,IF($A238&lt;VLOOKUP(M$5,NFI,5,0),1,0)*Table_NFI[[#This Row],[Blanket]],Table_NFI[[#This Row],[Blanket]])</f>
        <v>0</v>
      </c>
      <c r="AE238" s="378">
        <f>IF(NFI_Expiration=1,IF($A238&lt;VLOOKUP(N$5,NFI,5,0),1,0)*Table_NFI[[#This Row],[Kitchen Set]],Table_NFI[Kitchen Set])</f>
        <v>0</v>
      </c>
      <c r="AF238" s="378">
        <f>IF(NFI_Expiration=1,IF($A238&lt;VLOOKUP(O$5,NFI,5,0),1,0)*Table_NFI[[#This Row],[Clothes Kit]],Table_NFI[Clothes Kit])</f>
        <v>0</v>
      </c>
      <c r="AG238" s="378">
        <f>IF(NFI_Expiration=1,IF($A238&lt;VLOOKUP(P$5,NFI,5,0),1,0)*Table_NFI[[#This Row],[Plastic Bucket]],Table_NFI[Plastic Bucket])</f>
        <v>0</v>
      </c>
      <c r="AH238" s="378">
        <f>IF(NFI_Expiration=1,IF($A238&lt;VLOOKUP(Q$5,NFI,5,0),1,0)*Table_NFI[[#This Row],[Plastic Mat]],Table_NFI[Plastic Mat])*IF(Table_NFI[[#This Row],[Distribution Date]]&gt;"2014-04-01",1,2.5)</f>
        <v>0</v>
      </c>
      <c r="AI238" s="378">
        <f>IF(NFI_Expiration=1,IF($A238&lt;VLOOKUP(R$5,NFI,5,0),1,0)*Table_NFI[[#This Row],[Winter Clothes Adult]],Table_NFI[Winter Clothes Adult])</f>
        <v>0</v>
      </c>
      <c r="AJ238" s="378">
        <f>IF(NFI_Expiration=1,IF($A238&lt;VLOOKUP(S$5,NFI,5,0),1,0)*Table_NFI[[#This Row],[Winter Clothes Children]],Table_NFI[Winter Clothes Children])</f>
        <v>0</v>
      </c>
      <c r="AK238" s="378">
        <f>IF(NFI_Expiration=1,IF($A238&lt;VLOOKUP(T$5,NFI,5,0),1,0)*Table_NFI[[#This Row],[Winter Items Other]],Table_NFI[Winter Items Other])</f>
        <v>0</v>
      </c>
      <c r="AL238" s="378">
        <f>IF(NFI_Expiration=1,IF($A238&lt;VLOOKUP(M$5,NFI,5,0),1,0)*Table_NFI[[#This Row],[Winter Blanket]],Table_NFI[[#This Row],[Winter Blanket]])</f>
        <v>0</v>
      </c>
      <c r="AM238" s="378">
        <f>IF(Table_NFI[[#This Row],[Winter Clothes Adult]]+Table_NFI[[#This Row],[Winter Clothes Children]]+Table_NFI[[#This Row],[Winter Items Other]]+Table_NFI[[#This Row],[Winter Blanket]]&gt;0,1,0)</f>
        <v>0</v>
      </c>
      <c r="AN238" s="418">
        <f>IF(NFI_Expiration=1,IF($A238&lt;VLOOKUP(V$5,NFI,5,0),1,0)*Table_NFI[[#This Row],[Jerry Can]],Table_NFI[Jerry Can])</f>
        <v>0</v>
      </c>
      <c r="AO238" s="579" t="str">
        <f>IFERROR(VLOOKUP(Table_NFI[[#This Row],[Camp Name]],CL,2,0),"")</f>
        <v>MMR001CMP078</v>
      </c>
      <c r="AP238" s="574">
        <f ca="1">IF(Table_NFI[[#This Row],[Pcode]]="","",IF(OFFSET(CampList[Opening Date],MATCH(Table_NFI[[#This Row],[Pcode]],CampList[CP_Pcode],0)-1,0,1,1)&gt;=NFI_Monitor_Date,1,0))</f>
        <v>0</v>
      </c>
      <c r="AQ238" s="579" t="str">
        <f>IFERROR(VLOOKUP(Table_NFI[[#This Row],[Camp Name]],CL,3,0),"")</f>
        <v>Open</v>
      </c>
      <c r="AR238" s="378" t="str">
        <f ca="1">IF(Table_NFI[[#This Row],[Pcode]]="","",OFFSET(CampList[Priority],MATCH(Table_NFI[[#This Row],[Pcode]],CampList[CP_Pcode],0)-1,0,1,1))</f>
        <v>P4</v>
      </c>
      <c r="AS238" s="377">
        <f>IFERROR(Table_NFI[[#This Row],[Kitchen Set]]/VLOOKUP(Table_NFI[[#This Row],[Camp Name]],CL,4,0),"")</f>
        <v>1.0769230769230769</v>
      </c>
      <c r="AT238" s="572" t="s">
        <v>1095</v>
      </c>
      <c r="AU238" s="575"/>
    </row>
    <row r="239" spans="1:47" s="576" customFormat="1" x14ac:dyDescent="0.25">
      <c r="A239" s="381">
        <f t="shared" si="3"/>
        <v>30.466666666666665</v>
      </c>
      <c r="B239" s="571">
        <v>41608</v>
      </c>
      <c r="C239" s="572" t="s">
        <v>1100</v>
      </c>
      <c r="D239" s="573" t="s">
        <v>947</v>
      </c>
      <c r="E239" s="572" t="s">
        <v>380</v>
      </c>
      <c r="F239" s="374" t="s">
        <v>151</v>
      </c>
      <c r="G239" s="374" t="s">
        <v>518</v>
      </c>
      <c r="H239" s="375"/>
      <c r="I239" s="375"/>
      <c r="J239" s="375"/>
      <c r="K239" s="375"/>
      <c r="L239" s="376"/>
      <c r="M239" s="376">
        <v>447</v>
      </c>
      <c r="N239" s="376"/>
      <c r="O239" s="376"/>
      <c r="P239" s="378"/>
      <c r="Q239" s="378"/>
      <c r="R239" s="378">
        <v>398</v>
      </c>
      <c r="S239" s="378">
        <v>390</v>
      </c>
      <c r="T239" s="378">
        <v>0</v>
      </c>
      <c r="U239" s="378"/>
      <c r="V239" s="533"/>
      <c r="W239" s="378"/>
      <c r="X239" s="378"/>
      <c r="Y239" s="378">
        <f>IF(NFI_Expiration=1,IF($A239&lt;VLOOKUP(H$5,NFI,5,0),1,0)*Table_NFI[[#This Row],[Hygiene Kit]],Table_NFI[Hygiene Kit])</f>
        <v>0</v>
      </c>
      <c r="Z239" s="378">
        <f>IF(NFI_Expiration=1,IF($A239&lt;VLOOKUP(I$5,NFI,5,0),1,0)*Table_NFI[[#This Row],[NFI Core Kit]],Table_NFI[NFI Core Kit])</f>
        <v>0</v>
      </c>
      <c r="AA239" s="378">
        <f>IF(NFI_Expiration=1,IF($A239&lt;VLOOKUP(J$5,NFI,5,0),1,0)*Table_NFI[[#This Row],[Sanitary Kit]],Table_NFI[Sanitary Kit])</f>
        <v>0</v>
      </c>
      <c r="AB239" s="378">
        <f>IF(NFI_Expiration=1,IF($A239&lt;VLOOKUP(K$5,NFI,5,0),1,0)*Table_NFI[[#This Row],[Mosquito net]],Table_NFI[Mosquito net])</f>
        <v>0</v>
      </c>
      <c r="AC239" s="378">
        <f>IF(NFI_Expiration=1,IF($A239&lt;VLOOKUP(L$5,NFI,5,0),1,0)*Table_NFI[[#This Row],[Tarpaulin]],Table_NFI[[#This Row],[Tarpaulin]])</f>
        <v>0</v>
      </c>
      <c r="AD239" s="378">
        <f>IF(NFI_Expiration=1,IF($A239&lt;VLOOKUP(M$5,NFI,5,0),1,0)*Table_NFI[[#This Row],[Blanket]],Table_NFI[[#This Row],[Blanket]])</f>
        <v>0</v>
      </c>
      <c r="AE239" s="378">
        <f>IF(NFI_Expiration=1,IF($A239&lt;VLOOKUP(N$5,NFI,5,0),1,0)*Table_NFI[[#This Row],[Kitchen Set]],Table_NFI[Kitchen Set])</f>
        <v>0</v>
      </c>
      <c r="AF239" s="378">
        <f>IF(NFI_Expiration=1,IF($A239&lt;VLOOKUP(O$5,NFI,5,0),1,0)*Table_NFI[[#This Row],[Clothes Kit]],Table_NFI[Clothes Kit])</f>
        <v>0</v>
      </c>
      <c r="AG239" s="378">
        <f>IF(NFI_Expiration=1,IF($A239&lt;VLOOKUP(P$5,NFI,5,0),1,0)*Table_NFI[[#This Row],[Plastic Bucket]],Table_NFI[Plastic Bucket])</f>
        <v>0</v>
      </c>
      <c r="AH239" s="378">
        <f>IF(NFI_Expiration=1,IF($A239&lt;VLOOKUP(Q$5,NFI,5,0),1,0)*Table_NFI[[#This Row],[Plastic Mat]],Table_NFI[Plastic Mat])*IF(Table_NFI[[#This Row],[Distribution Date]]&gt;"2014-04-01",1,2.5)</f>
        <v>0</v>
      </c>
      <c r="AI239" s="378">
        <f>IF(NFI_Expiration=1,IF($A239&lt;VLOOKUP(R$5,NFI,5,0),1,0)*Table_NFI[[#This Row],[Winter Clothes Adult]],Table_NFI[Winter Clothes Adult])</f>
        <v>0</v>
      </c>
      <c r="AJ239" s="378">
        <f>IF(NFI_Expiration=1,IF($A239&lt;VLOOKUP(S$5,NFI,5,0),1,0)*Table_NFI[[#This Row],[Winter Clothes Children]],Table_NFI[Winter Clothes Children])</f>
        <v>0</v>
      </c>
      <c r="AK239" s="378">
        <f>IF(NFI_Expiration=1,IF($A239&lt;VLOOKUP(T$5,NFI,5,0),1,0)*Table_NFI[[#This Row],[Winter Items Other]],Table_NFI[Winter Items Other])</f>
        <v>0</v>
      </c>
      <c r="AL239" s="378">
        <f>IF(NFI_Expiration=1,IF($A239&lt;VLOOKUP(M$5,NFI,5,0),1,0)*Table_NFI[[#This Row],[Winter Blanket]],Table_NFI[[#This Row],[Winter Blanket]])</f>
        <v>0</v>
      </c>
      <c r="AM239" s="378">
        <f>IF(Table_NFI[[#This Row],[Winter Clothes Adult]]+Table_NFI[[#This Row],[Winter Clothes Children]]+Table_NFI[[#This Row],[Winter Items Other]]+Table_NFI[[#This Row],[Winter Blanket]]&gt;0,1,0)</f>
        <v>1</v>
      </c>
      <c r="AN239" s="418">
        <f>IF(NFI_Expiration=1,IF($A239&lt;VLOOKUP(V$5,NFI,5,0),1,0)*Table_NFI[[#This Row],[Jerry Can]],Table_NFI[Jerry Can])</f>
        <v>0</v>
      </c>
      <c r="AO239" s="579" t="str">
        <f>IFERROR(VLOOKUP(Table_NFI[[#This Row],[Camp Name]],CL,2,0),"")</f>
        <v>MMR001CMP202</v>
      </c>
      <c r="AP239" s="574">
        <f ca="1">IF(Table_NFI[[#This Row],[Pcode]]="","",IF(OFFSET(CampList[Opening Date],MATCH(Table_NFI[[#This Row],[Pcode]],CampList[CP_Pcode],0)-1,0,1,1)&gt;=NFI_Monitor_Date,1,0))</f>
        <v>0</v>
      </c>
      <c r="AQ239" s="579" t="str">
        <f>IFERROR(VLOOKUP(Table_NFI[[#This Row],[Camp Name]],CL,3,0),"")</f>
        <v>Closed</v>
      </c>
      <c r="AR239" s="378" t="str">
        <f ca="1">IF(Table_NFI[[#This Row],[Pcode]]="","",OFFSET(CampList[Priority],MATCH(Table_NFI[[#This Row],[Pcode]],CampList[CP_Pcode],0)-1,0,1,1))</f>
        <v>P4</v>
      </c>
      <c r="AS239" s="377" t="str">
        <f>IFERROR(Table_NFI[[#This Row],[Kitchen Set]]/VLOOKUP(Table_NFI[[#This Row],[Camp Name]],CL,4,0),"")</f>
        <v/>
      </c>
      <c r="AT239" s="572" t="s">
        <v>1095</v>
      </c>
      <c r="AU239" s="575"/>
    </row>
    <row r="240" spans="1:47" s="576" customFormat="1" x14ac:dyDescent="0.25">
      <c r="A240" s="381">
        <f t="shared" si="3"/>
        <v>30.466666666666665</v>
      </c>
      <c r="B240" s="571">
        <v>41608</v>
      </c>
      <c r="C240" s="572" t="s">
        <v>908</v>
      </c>
      <c r="D240" s="572"/>
      <c r="E240" s="572" t="s">
        <v>380</v>
      </c>
      <c r="F240" s="374" t="s">
        <v>151</v>
      </c>
      <c r="G240" s="374" t="s">
        <v>518</v>
      </c>
      <c r="H240" s="375"/>
      <c r="I240" s="375"/>
      <c r="J240" s="375"/>
      <c r="K240" s="375"/>
      <c r="L240" s="376"/>
      <c r="M240" s="376"/>
      <c r="N240" s="376"/>
      <c r="O240" s="376"/>
      <c r="P240" s="378"/>
      <c r="Q240" s="378"/>
      <c r="R240" s="378"/>
      <c r="S240" s="378"/>
      <c r="T240" s="378"/>
      <c r="U240" s="378"/>
      <c r="V240" s="533"/>
      <c r="W240" s="378"/>
      <c r="X240" s="378"/>
      <c r="Y240" s="378">
        <f>IF(NFI_Expiration=1,IF($A240&lt;VLOOKUP(H$5,NFI,5,0),1,0)*Table_NFI[[#This Row],[Hygiene Kit]],Table_NFI[Hygiene Kit])</f>
        <v>0</v>
      </c>
      <c r="Z240" s="378">
        <f>IF(NFI_Expiration=1,IF($A240&lt;VLOOKUP(I$5,NFI,5,0),1,0)*Table_NFI[[#This Row],[NFI Core Kit]],Table_NFI[NFI Core Kit])</f>
        <v>0</v>
      </c>
      <c r="AA240" s="378">
        <f>IF(NFI_Expiration=1,IF($A240&lt;VLOOKUP(J$5,NFI,5,0),1,0)*Table_NFI[[#This Row],[Sanitary Kit]],Table_NFI[Sanitary Kit])</f>
        <v>0</v>
      </c>
      <c r="AB240" s="378">
        <f>IF(NFI_Expiration=1,IF($A240&lt;VLOOKUP(K$5,NFI,5,0),1,0)*Table_NFI[[#This Row],[Mosquito net]],Table_NFI[Mosquito net])</f>
        <v>0</v>
      </c>
      <c r="AC240" s="378">
        <f>IF(NFI_Expiration=1,IF($A240&lt;VLOOKUP(L$5,NFI,5,0),1,0)*Table_NFI[[#This Row],[Tarpaulin]],Table_NFI[[#This Row],[Tarpaulin]])</f>
        <v>0</v>
      </c>
      <c r="AD240" s="378">
        <f>IF(NFI_Expiration=1,IF($A240&lt;VLOOKUP(M$5,NFI,5,0),1,0)*Table_NFI[[#This Row],[Blanket]],Table_NFI[[#This Row],[Blanket]])</f>
        <v>0</v>
      </c>
      <c r="AE240" s="378">
        <f>IF(NFI_Expiration=1,IF($A240&lt;VLOOKUP(N$5,NFI,5,0),1,0)*Table_NFI[[#This Row],[Kitchen Set]],Table_NFI[Kitchen Set])</f>
        <v>0</v>
      </c>
      <c r="AF240" s="378">
        <f>IF(NFI_Expiration=1,IF($A240&lt;VLOOKUP(O$5,NFI,5,0),1,0)*Table_NFI[[#This Row],[Clothes Kit]],Table_NFI[Clothes Kit])</f>
        <v>0</v>
      </c>
      <c r="AG240" s="378">
        <f>IF(NFI_Expiration=1,IF($A240&lt;VLOOKUP(P$5,NFI,5,0),1,0)*Table_NFI[[#This Row],[Plastic Bucket]],Table_NFI[Plastic Bucket])</f>
        <v>0</v>
      </c>
      <c r="AH240" s="378">
        <f>IF(NFI_Expiration=1,IF($A240&lt;VLOOKUP(Q$5,NFI,5,0),1,0)*Table_NFI[[#This Row],[Plastic Mat]],Table_NFI[Plastic Mat])*IF(Table_NFI[[#This Row],[Distribution Date]]&gt;"2014-04-01",1,2.5)</f>
        <v>0</v>
      </c>
      <c r="AI240" s="378">
        <f>IF(NFI_Expiration=1,IF($A240&lt;VLOOKUP(R$5,NFI,5,0),1,0)*Table_NFI[[#This Row],[Winter Clothes Adult]],Table_NFI[Winter Clothes Adult])</f>
        <v>0</v>
      </c>
      <c r="AJ240" s="378">
        <f>IF(NFI_Expiration=1,IF($A240&lt;VLOOKUP(S$5,NFI,5,0),1,0)*Table_NFI[[#This Row],[Winter Clothes Children]],Table_NFI[Winter Clothes Children])</f>
        <v>0</v>
      </c>
      <c r="AK240" s="378">
        <f>IF(NFI_Expiration=1,IF($A240&lt;VLOOKUP(T$5,NFI,5,0),1,0)*Table_NFI[[#This Row],[Winter Items Other]],Table_NFI[Winter Items Other])</f>
        <v>0</v>
      </c>
      <c r="AL240" s="378">
        <f>IF(NFI_Expiration=1,IF($A240&lt;VLOOKUP(M$5,NFI,5,0),1,0)*Table_NFI[[#This Row],[Winter Blanket]],Table_NFI[[#This Row],[Winter Blanket]])</f>
        <v>0</v>
      </c>
      <c r="AM240" s="378">
        <f>IF(Table_NFI[[#This Row],[Winter Clothes Adult]]+Table_NFI[[#This Row],[Winter Clothes Children]]+Table_NFI[[#This Row],[Winter Items Other]]+Table_NFI[[#This Row],[Winter Blanket]]&gt;0,1,0)</f>
        <v>0</v>
      </c>
      <c r="AN240" s="418">
        <f>IF(NFI_Expiration=1,IF($A240&lt;VLOOKUP(V$5,NFI,5,0),1,0)*Table_NFI[[#This Row],[Jerry Can]],Table_NFI[Jerry Can])</f>
        <v>0</v>
      </c>
      <c r="AO240" s="579" t="str">
        <f>IFERROR(VLOOKUP(Table_NFI[[#This Row],[Camp Name]],CL,2,0),"")</f>
        <v>MMR001CMP202</v>
      </c>
      <c r="AP240" s="574">
        <f ca="1">IF(Table_NFI[[#This Row],[Pcode]]="","",IF(OFFSET(CampList[Opening Date],MATCH(Table_NFI[[#This Row],[Pcode]],CampList[CP_Pcode],0)-1,0,1,1)&gt;=NFI_Monitor_Date,1,0))</f>
        <v>0</v>
      </c>
      <c r="AQ240" s="579" t="str">
        <f>IFERROR(VLOOKUP(Table_NFI[[#This Row],[Camp Name]],CL,3,0),"")</f>
        <v>Closed</v>
      </c>
      <c r="AR240" s="378" t="str">
        <f ca="1">IF(Table_NFI[[#This Row],[Pcode]]="","",OFFSET(CampList[Priority],MATCH(Table_NFI[[#This Row],[Pcode]],CampList[CP_Pcode],0)-1,0,1,1))</f>
        <v>P4</v>
      </c>
      <c r="AS240" s="377" t="str">
        <f>IFERROR(Table_NFI[[#This Row],[Kitchen Set]]/VLOOKUP(Table_NFI[[#This Row],[Camp Name]],CL,4,0),"")</f>
        <v/>
      </c>
      <c r="AT240" s="572" t="s">
        <v>1095</v>
      </c>
      <c r="AU240" s="575"/>
    </row>
    <row r="241" spans="1:47" s="576" customFormat="1" x14ac:dyDescent="0.25">
      <c r="A241" s="381">
        <f t="shared" si="3"/>
        <v>30.6</v>
      </c>
      <c r="B241" s="571">
        <v>41604</v>
      </c>
      <c r="C241" s="572" t="s">
        <v>908</v>
      </c>
      <c r="D241" s="572" t="s">
        <v>908</v>
      </c>
      <c r="E241" s="572" t="s">
        <v>380</v>
      </c>
      <c r="F241" s="572" t="s">
        <v>151</v>
      </c>
      <c r="G241" s="572" t="s">
        <v>518</v>
      </c>
      <c r="H241" s="375"/>
      <c r="I241" s="375"/>
      <c r="J241" s="375"/>
      <c r="K241" s="375"/>
      <c r="L241" s="376"/>
      <c r="M241" s="376"/>
      <c r="N241" s="376"/>
      <c r="O241" s="376"/>
      <c r="P241" s="378"/>
      <c r="Q241" s="378"/>
      <c r="R241" s="378">
        <v>80</v>
      </c>
      <c r="S241" s="378">
        <v>160</v>
      </c>
      <c r="T241" s="378">
        <v>480</v>
      </c>
      <c r="U241" s="378">
        <v>240</v>
      </c>
      <c r="V241" s="533"/>
      <c r="W241" s="378"/>
      <c r="X241" s="378"/>
      <c r="Y241" s="378">
        <f>IF(NFI_Expiration=1,IF($A241&lt;VLOOKUP(H$5,NFI,5,0),1,0)*Table_NFI[[#This Row],[Hygiene Kit]],Table_NFI[Hygiene Kit])</f>
        <v>0</v>
      </c>
      <c r="Z241" s="378">
        <f>IF(NFI_Expiration=1,IF($A241&lt;VLOOKUP(I$5,NFI,5,0),1,0)*Table_NFI[[#This Row],[NFI Core Kit]],Table_NFI[NFI Core Kit])</f>
        <v>0</v>
      </c>
      <c r="AA241" s="378">
        <f>IF(NFI_Expiration=1,IF($A241&lt;VLOOKUP(J$5,NFI,5,0),1,0)*Table_NFI[[#This Row],[Sanitary Kit]],Table_NFI[Sanitary Kit])</f>
        <v>0</v>
      </c>
      <c r="AB241" s="378">
        <f>IF(NFI_Expiration=1,IF($A241&lt;VLOOKUP(K$5,NFI,5,0),1,0)*Table_NFI[[#This Row],[Mosquito net]],Table_NFI[Mosquito net])</f>
        <v>0</v>
      </c>
      <c r="AC241" s="378">
        <f>IF(NFI_Expiration=1,IF($A241&lt;VLOOKUP(L$5,NFI,5,0),1,0)*Table_NFI[[#This Row],[Tarpaulin]],Table_NFI[[#This Row],[Tarpaulin]])</f>
        <v>0</v>
      </c>
      <c r="AD241" s="378">
        <f>IF(NFI_Expiration=1,IF($A241&lt;VLOOKUP(M$5,NFI,5,0),1,0)*Table_NFI[[#This Row],[Blanket]],Table_NFI[[#This Row],[Blanket]])</f>
        <v>0</v>
      </c>
      <c r="AE241" s="378">
        <f>IF(NFI_Expiration=1,IF($A241&lt;VLOOKUP(N$5,NFI,5,0),1,0)*Table_NFI[[#This Row],[Kitchen Set]],Table_NFI[Kitchen Set])</f>
        <v>0</v>
      </c>
      <c r="AF241" s="378">
        <f>IF(NFI_Expiration=1,IF($A241&lt;VLOOKUP(O$5,NFI,5,0),1,0)*Table_NFI[[#This Row],[Clothes Kit]],Table_NFI[Clothes Kit])</f>
        <v>0</v>
      </c>
      <c r="AG241" s="378">
        <f>IF(NFI_Expiration=1,IF($A241&lt;VLOOKUP(P$5,NFI,5,0),1,0)*Table_NFI[[#This Row],[Plastic Bucket]],Table_NFI[Plastic Bucket])</f>
        <v>0</v>
      </c>
      <c r="AH241" s="378">
        <f>IF(NFI_Expiration=1,IF($A241&lt;VLOOKUP(Q$5,NFI,5,0),1,0)*Table_NFI[[#This Row],[Plastic Mat]],Table_NFI[Plastic Mat])*IF(Table_NFI[[#This Row],[Distribution Date]]&gt;"2014-04-01",1,2.5)</f>
        <v>0</v>
      </c>
      <c r="AI241" s="378">
        <f>IF(NFI_Expiration=1,IF($A241&lt;VLOOKUP(R$5,NFI,5,0),1,0)*Table_NFI[[#This Row],[Winter Clothes Adult]],Table_NFI[Winter Clothes Adult])</f>
        <v>0</v>
      </c>
      <c r="AJ241" s="378">
        <f>IF(NFI_Expiration=1,IF($A241&lt;VLOOKUP(S$5,NFI,5,0),1,0)*Table_NFI[[#This Row],[Winter Clothes Children]],Table_NFI[Winter Clothes Children])</f>
        <v>0</v>
      </c>
      <c r="AK241" s="378">
        <f>IF(NFI_Expiration=1,IF($A241&lt;VLOOKUP(T$5,NFI,5,0),1,0)*Table_NFI[[#This Row],[Winter Items Other]],Table_NFI[Winter Items Other])</f>
        <v>0</v>
      </c>
      <c r="AL241" s="378">
        <f>IF(NFI_Expiration=1,IF($A241&lt;VLOOKUP(M$5,NFI,5,0),1,0)*Table_NFI[[#This Row],[Winter Blanket]],Table_NFI[[#This Row],[Winter Blanket]])</f>
        <v>0</v>
      </c>
      <c r="AM241" s="378">
        <f>IF(Table_NFI[[#This Row],[Winter Clothes Adult]]+Table_NFI[[#This Row],[Winter Clothes Children]]+Table_NFI[[#This Row],[Winter Items Other]]+Table_NFI[[#This Row],[Winter Blanket]]&gt;0,1,0)</f>
        <v>1</v>
      </c>
      <c r="AN241" s="418">
        <f>IF(NFI_Expiration=1,IF($A241&lt;VLOOKUP(V$5,NFI,5,0),1,0)*Table_NFI[[#This Row],[Jerry Can]],Table_NFI[Jerry Can])</f>
        <v>0</v>
      </c>
      <c r="AO241" s="579" t="str">
        <f>IFERROR(VLOOKUP(Table_NFI[[#This Row],[Camp Name]],CL,2,0),"")</f>
        <v>MMR001CMP202</v>
      </c>
      <c r="AP241" s="574">
        <f ca="1">IF(Table_NFI[[#This Row],[Pcode]]="","",IF(OFFSET(CampList[Opening Date],MATCH(Table_NFI[[#This Row],[Pcode]],CampList[CP_Pcode],0)-1,0,1,1)&gt;=NFI_Monitor_Date,1,0))</f>
        <v>0</v>
      </c>
      <c r="AQ241" s="579" t="str">
        <f>IFERROR(VLOOKUP(Table_NFI[[#This Row],[Camp Name]],CL,3,0),"")</f>
        <v>Closed</v>
      </c>
      <c r="AR241" s="378" t="str">
        <f ca="1">IF(Table_NFI[[#This Row],[Pcode]]="","",OFFSET(CampList[Priority],MATCH(Table_NFI[[#This Row],[Pcode]],CampList[CP_Pcode],0)-1,0,1,1))</f>
        <v>P4</v>
      </c>
      <c r="AS241" s="377" t="str">
        <f>IFERROR(Table_NFI[[#This Row],[Kitchen Set]]/VLOOKUP(Table_NFI[[#This Row],[Camp Name]],CL,4,0),"")</f>
        <v/>
      </c>
      <c r="AT241" s="572"/>
      <c r="AU241" s="575"/>
    </row>
    <row r="242" spans="1:47" s="576" customFormat="1" x14ac:dyDescent="0.25">
      <c r="A242" s="381">
        <f t="shared" si="3"/>
        <v>31</v>
      </c>
      <c r="B242" s="571">
        <v>41592</v>
      </c>
      <c r="C242" s="572" t="s">
        <v>908</v>
      </c>
      <c r="D242" s="572" t="s">
        <v>908</v>
      </c>
      <c r="E242" s="572" t="s">
        <v>380</v>
      </c>
      <c r="F242" s="572" t="s">
        <v>151</v>
      </c>
      <c r="G242" s="572" t="s">
        <v>518</v>
      </c>
      <c r="H242" s="375"/>
      <c r="I242" s="375"/>
      <c r="J242" s="375"/>
      <c r="K242" s="375"/>
      <c r="L242" s="376"/>
      <c r="M242" s="376"/>
      <c r="N242" s="376"/>
      <c r="O242" s="376"/>
      <c r="P242" s="378"/>
      <c r="Q242" s="378"/>
      <c r="R242" s="378">
        <v>120</v>
      </c>
      <c r="S242" s="378">
        <v>207</v>
      </c>
      <c r="T242" s="378">
        <v>654</v>
      </c>
      <c r="U242" s="378">
        <v>327</v>
      </c>
      <c r="V242" s="533"/>
      <c r="W242" s="378"/>
      <c r="X242" s="378"/>
      <c r="Y242" s="378">
        <f>IF(NFI_Expiration=1,IF($A242&lt;VLOOKUP(H$5,NFI,5,0),1,0)*Table_NFI[[#This Row],[Hygiene Kit]],Table_NFI[Hygiene Kit])</f>
        <v>0</v>
      </c>
      <c r="Z242" s="378">
        <f>IF(NFI_Expiration=1,IF($A242&lt;VLOOKUP(I$5,NFI,5,0),1,0)*Table_NFI[[#This Row],[NFI Core Kit]],Table_NFI[NFI Core Kit])</f>
        <v>0</v>
      </c>
      <c r="AA242" s="378">
        <f>IF(NFI_Expiration=1,IF($A242&lt;VLOOKUP(J$5,NFI,5,0),1,0)*Table_NFI[[#This Row],[Sanitary Kit]],Table_NFI[Sanitary Kit])</f>
        <v>0</v>
      </c>
      <c r="AB242" s="378">
        <f>IF(NFI_Expiration=1,IF($A242&lt;VLOOKUP(K$5,NFI,5,0),1,0)*Table_NFI[[#This Row],[Mosquito net]],Table_NFI[Mosquito net])</f>
        <v>0</v>
      </c>
      <c r="AC242" s="378">
        <f>IF(NFI_Expiration=1,IF($A242&lt;VLOOKUP(L$5,NFI,5,0),1,0)*Table_NFI[[#This Row],[Tarpaulin]],Table_NFI[[#This Row],[Tarpaulin]])</f>
        <v>0</v>
      </c>
      <c r="AD242" s="378">
        <f>IF(NFI_Expiration=1,IF($A242&lt;VLOOKUP(M$5,NFI,5,0),1,0)*Table_NFI[[#This Row],[Blanket]],Table_NFI[[#This Row],[Blanket]])</f>
        <v>0</v>
      </c>
      <c r="AE242" s="378">
        <f>IF(NFI_Expiration=1,IF($A242&lt;VLOOKUP(N$5,NFI,5,0),1,0)*Table_NFI[[#This Row],[Kitchen Set]],Table_NFI[Kitchen Set])</f>
        <v>0</v>
      </c>
      <c r="AF242" s="378">
        <f>IF(NFI_Expiration=1,IF($A242&lt;VLOOKUP(O$5,NFI,5,0),1,0)*Table_NFI[[#This Row],[Clothes Kit]],Table_NFI[Clothes Kit])</f>
        <v>0</v>
      </c>
      <c r="AG242" s="378">
        <f>IF(NFI_Expiration=1,IF($A242&lt;VLOOKUP(P$5,NFI,5,0),1,0)*Table_NFI[[#This Row],[Plastic Bucket]],Table_NFI[Plastic Bucket])</f>
        <v>0</v>
      </c>
      <c r="AH242" s="378">
        <f>IF(NFI_Expiration=1,IF($A242&lt;VLOOKUP(Q$5,NFI,5,0),1,0)*Table_NFI[[#This Row],[Plastic Mat]],Table_NFI[Plastic Mat])*IF(Table_NFI[[#This Row],[Distribution Date]]&gt;"2014-04-01",1,2.5)</f>
        <v>0</v>
      </c>
      <c r="AI242" s="378">
        <f>IF(NFI_Expiration=1,IF($A242&lt;VLOOKUP(R$5,NFI,5,0),1,0)*Table_NFI[[#This Row],[Winter Clothes Adult]],Table_NFI[Winter Clothes Adult])</f>
        <v>0</v>
      </c>
      <c r="AJ242" s="378">
        <f>IF(NFI_Expiration=1,IF($A242&lt;VLOOKUP(S$5,NFI,5,0),1,0)*Table_NFI[[#This Row],[Winter Clothes Children]],Table_NFI[Winter Clothes Children])</f>
        <v>0</v>
      </c>
      <c r="AK242" s="378">
        <f>IF(NFI_Expiration=1,IF($A242&lt;VLOOKUP(T$5,NFI,5,0),1,0)*Table_NFI[[#This Row],[Winter Items Other]],Table_NFI[Winter Items Other])</f>
        <v>0</v>
      </c>
      <c r="AL242" s="378">
        <f>IF(NFI_Expiration=1,IF($A242&lt;VLOOKUP(M$5,NFI,5,0),1,0)*Table_NFI[[#This Row],[Winter Blanket]],Table_NFI[[#This Row],[Winter Blanket]])</f>
        <v>0</v>
      </c>
      <c r="AM242" s="378">
        <f>IF(Table_NFI[[#This Row],[Winter Clothes Adult]]+Table_NFI[[#This Row],[Winter Clothes Children]]+Table_NFI[[#This Row],[Winter Items Other]]+Table_NFI[[#This Row],[Winter Blanket]]&gt;0,1,0)</f>
        <v>1</v>
      </c>
      <c r="AN242" s="418">
        <f>IF(NFI_Expiration=1,IF($A242&lt;VLOOKUP(V$5,NFI,5,0),1,0)*Table_NFI[[#This Row],[Jerry Can]],Table_NFI[Jerry Can])</f>
        <v>0</v>
      </c>
      <c r="AO242" s="579" t="str">
        <f>IFERROR(VLOOKUP(Table_NFI[[#This Row],[Camp Name]],CL,2,0),"")</f>
        <v>MMR001CMP202</v>
      </c>
      <c r="AP242" s="574">
        <f ca="1">IF(Table_NFI[[#This Row],[Pcode]]="","",IF(OFFSET(CampList[Opening Date],MATCH(Table_NFI[[#This Row],[Pcode]],CampList[CP_Pcode],0)-1,0,1,1)&gt;=NFI_Monitor_Date,1,0))</f>
        <v>0</v>
      </c>
      <c r="AQ242" s="579" t="str">
        <f>IFERROR(VLOOKUP(Table_NFI[[#This Row],[Camp Name]],CL,3,0),"")</f>
        <v>Closed</v>
      </c>
      <c r="AR242" s="378" t="str">
        <f ca="1">IF(Table_NFI[[#This Row],[Pcode]]="","",OFFSET(CampList[Priority],MATCH(Table_NFI[[#This Row],[Pcode]],CampList[CP_Pcode],0)-1,0,1,1))</f>
        <v>P4</v>
      </c>
      <c r="AS242" s="377" t="str">
        <f>IFERROR(Table_NFI[[#This Row],[Kitchen Set]]/VLOOKUP(Table_NFI[[#This Row],[Camp Name]],CL,4,0),"")</f>
        <v/>
      </c>
      <c r="AT242" s="572"/>
      <c r="AU242" s="575"/>
    </row>
    <row r="243" spans="1:47" s="576" customFormat="1" x14ac:dyDescent="0.25">
      <c r="A243" s="381">
        <f t="shared" si="3"/>
        <v>15.7</v>
      </c>
      <c r="B243" s="571">
        <v>42051</v>
      </c>
      <c r="C243" s="577" t="s">
        <v>454</v>
      </c>
      <c r="D243" s="577" t="s">
        <v>508</v>
      </c>
      <c r="E243" s="577" t="s">
        <v>380</v>
      </c>
      <c r="F243" s="577" t="s">
        <v>310</v>
      </c>
      <c r="G243" s="577" t="s">
        <v>1252</v>
      </c>
      <c r="H243" s="376"/>
      <c r="I243" s="376"/>
      <c r="J243" s="376"/>
      <c r="K243" s="376"/>
      <c r="L243" s="376"/>
      <c r="M243" s="376"/>
      <c r="N243" s="376"/>
      <c r="O243" s="376"/>
      <c r="P243" s="378"/>
      <c r="Q243" s="378"/>
      <c r="R243" s="378">
        <v>1119</v>
      </c>
      <c r="S243" s="378">
        <v>1455</v>
      </c>
      <c r="T243" s="378"/>
      <c r="U243" s="378">
        <v>1080</v>
      </c>
      <c r="V243" s="533"/>
      <c r="W243" s="378"/>
      <c r="X243" s="378"/>
      <c r="Y243" s="378">
        <f>IF(NFI_Expiration=1,IF($A243&lt;VLOOKUP(H$5,NFI,5,0),1,0)*Table_NFI[[#This Row],[Hygiene Kit]],Table_NFI[Hygiene Kit])</f>
        <v>0</v>
      </c>
      <c r="Z243" s="378">
        <f>IF(NFI_Expiration=1,IF($A243&lt;VLOOKUP(I$5,NFI,5,0),1,0)*Table_NFI[[#This Row],[NFI Core Kit]],Table_NFI[NFI Core Kit])</f>
        <v>0</v>
      </c>
      <c r="AA243" s="378">
        <f>IF(NFI_Expiration=1,IF($A243&lt;VLOOKUP(J$5,NFI,5,0),1,0)*Table_NFI[[#This Row],[Sanitary Kit]],Table_NFI[Sanitary Kit])</f>
        <v>0</v>
      </c>
      <c r="AB243" s="378">
        <f>IF(NFI_Expiration=1,IF($A243&lt;VLOOKUP(K$5,NFI,5,0),1,0)*Table_NFI[[#This Row],[Mosquito net]],Table_NFI[Mosquito net])</f>
        <v>0</v>
      </c>
      <c r="AC243" s="378">
        <f>IF(NFI_Expiration=1,IF($A243&lt;VLOOKUP(L$5,NFI,5,0),1,0)*Table_NFI[[#This Row],[Tarpaulin]],Table_NFI[[#This Row],[Tarpaulin]])</f>
        <v>0</v>
      </c>
      <c r="AD243" s="378">
        <f>IF(NFI_Expiration=1,IF($A243&lt;VLOOKUP(M$5,NFI,5,0),1,0)*Table_NFI[[#This Row],[Blanket]],Table_NFI[[#This Row],[Blanket]])</f>
        <v>0</v>
      </c>
      <c r="AE243" s="378">
        <f>IF(NFI_Expiration=1,IF($A243&lt;VLOOKUP(N$5,NFI,5,0),1,0)*Table_NFI[[#This Row],[Kitchen Set]],Table_NFI[Kitchen Set])</f>
        <v>0</v>
      </c>
      <c r="AF243" s="378">
        <f>IF(NFI_Expiration=1,IF($A243&lt;VLOOKUP(O$5,NFI,5,0),1,0)*Table_NFI[[#This Row],[Clothes Kit]],Table_NFI[Clothes Kit])</f>
        <v>0</v>
      </c>
      <c r="AG243" s="378">
        <f>IF(NFI_Expiration=1,IF($A243&lt;VLOOKUP(P$5,NFI,5,0),1,0)*Table_NFI[[#This Row],[Plastic Bucket]],Table_NFI[Plastic Bucket])</f>
        <v>0</v>
      </c>
      <c r="AH243" s="378">
        <f>IF(NFI_Expiration=1,IF($A243&lt;VLOOKUP(Q$5,NFI,5,0),1,0)*Table_NFI[[#This Row],[Plastic Mat]],Table_NFI[Plastic Mat])*IF(Table_NFI[[#This Row],[Distribution Date]]&gt;"2014-04-01",1,2.5)</f>
        <v>0</v>
      </c>
      <c r="AI243" s="378">
        <f>IF(NFI_Expiration=1,IF($A243&lt;VLOOKUP(R$5,NFI,5,0),1,0)*Table_NFI[[#This Row],[Winter Clothes Adult]],Table_NFI[Winter Clothes Adult])</f>
        <v>0</v>
      </c>
      <c r="AJ243" s="378">
        <f>IF(NFI_Expiration=1,IF($A243&lt;VLOOKUP(S$5,NFI,5,0),1,0)*Table_NFI[[#This Row],[Winter Clothes Children]],Table_NFI[Winter Clothes Children])</f>
        <v>0</v>
      </c>
      <c r="AK243" s="378">
        <f>IF(NFI_Expiration=1,IF($A243&lt;VLOOKUP(T$5,NFI,5,0),1,0)*Table_NFI[[#This Row],[Winter Items Other]],Table_NFI[Winter Items Other])</f>
        <v>0</v>
      </c>
      <c r="AL243" s="378">
        <f>IF(NFI_Expiration=1,IF($A243&lt;VLOOKUP(M$5,NFI,5,0),1,0)*Table_NFI[[#This Row],[Winter Blanket]],Table_NFI[[#This Row],[Winter Blanket]])</f>
        <v>0</v>
      </c>
      <c r="AM243" s="378">
        <f>IF(Table_NFI[[#This Row],[Winter Clothes Adult]]+Table_NFI[[#This Row],[Winter Clothes Children]]+Table_NFI[[#This Row],[Winter Items Other]]+Table_NFI[[#This Row],[Winter Blanket]]&gt;0,1,0)</f>
        <v>1</v>
      </c>
      <c r="AN243" s="418">
        <f>IF(NFI_Expiration=1,IF($A243&lt;VLOOKUP(V$5,NFI,5,0),1,0)*Table_NFI[[#This Row],[Jerry Can]],Table_NFI[Jerry Can])</f>
        <v>0</v>
      </c>
      <c r="AO243" s="579" t="str">
        <f>IFERROR(VLOOKUP(Table_NFI[[#This Row],[Camp Name]],CL,2,0),"")</f>
        <v>MMR001CMP117</v>
      </c>
      <c r="AP243" s="574">
        <f ca="1">IF(Table_NFI[[#This Row],[Pcode]]="","",IF(OFFSET(CampList[Opening Date],MATCH(Table_NFI[[#This Row],[Pcode]],CampList[CP_Pcode],0)-1,0,1,1)&gt;=NFI_Monitor_Date,1,0))</f>
        <v>0</v>
      </c>
      <c r="AQ243" s="579" t="str">
        <f>IFERROR(VLOOKUP(Table_NFI[[#This Row],[Camp Name]],CL,3,0),"")</f>
        <v>Closed</v>
      </c>
      <c r="AR243" s="378" t="str">
        <f ca="1">IF(Table_NFI[[#This Row],[Pcode]]="","",OFFSET(CampList[Priority],MATCH(Table_NFI[[#This Row],[Pcode]],CampList[CP_Pcode],0)-1,0,1,1))</f>
        <v>P2</v>
      </c>
      <c r="AS243" s="377" t="str">
        <f>IFERROR(Table_NFI[[#This Row],[Kitchen Set]]/VLOOKUP(Table_NFI[[#This Row],[Camp Name]],CL,4,0),"")</f>
        <v/>
      </c>
      <c r="AT243" s="572" t="s">
        <v>1095</v>
      </c>
      <c r="AU243" s="580"/>
    </row>
    <row r="244" spans="1:47" s="576" customFormat="1" x14ac:dyDescent="0.25">
      <c r="A244" s="381">
        <f t="shared" si="3"/>
        <v>30.466666666666665</v>
      </c>
      <c r="B244" s="571">
        <v>41608</v>
      </c>
      <c r="C244" s="572" t="s">
        <v>908</v>
      </c>
      <c r="D244" s="572" t="s">
        <v>462</v>
      </c>
      <c r="E244" s="572" t="s">
        <v>380</v>
      </c>
      <c r="F244" s="374" t="s">
        <v>310</v>
      </c>
      <c r="G244" s="374" t="s">
        <v>1252</v>
      </c>
      <c r="H244" s="375"/>
      <c r="I244" s="375"/>
      <c r="J244" s="375"/>
      <c r="K244" s="375"/>
      <c r="L244" s="376"/>
      <c r="M244" s="376"/>
      <c r="N244" s="376"/>
      <c r="O244" s="376"/>
      <c r="P244" s="378"/>
      <c r="Q244" s="378">
        <v>729</v>
      </c>
      <c r="R244" s="378"/>
      <c r="S244" s="378"/>
      <c r="T244" s="378"/>
      <c r="U244" s="378"/>
      <c r="V244" s="533"/>
      <c r="W244" s="378"/>
      <c r="X244" s="378"/>
      <c r="Y244" s="378">
        <f>IF(NFI_Expiration=1,IF($A244&lt;VLOOKUP(H$5,NFI,5,0),1,0)*Table_NFI[[#This Row],[Hygiene Kit]],Table_NFI[Hygiene Kit])</f>
        <v>0</v>
      </c>
      <c r="Z244" s="378">
        <f>IF(NFI_Expiration=1,IF($A244&lt;VLOOKUP(I$5,NFI,5,0),1,0)*Table_NFI[[#This Row],[NFI Core Kit]],Table_NFI[NFI Core Kit])</f>
        <v>0</v>
      </c>
      <c r="AA244" s="378">
        <f>IF(NFI_Expiration=1,IF($A244&lt;VLOOKUP(J$5,NFI,5,0),1,0)*Table_NFI[[#This Row],[Sanitary Kit]],Table_NFI[Sanitary Kit])</f>
        <v>0</v>
      </c>
      <c r="AB244" s="378">
        <f>IF(NFI_Expiration=1,IF($A244&lt;VLOOKUP(K$5,NFI,5,0),1,0)*Table_NFI[[#This Row],[Mosquito net]],Table_NFI[Mosquito net])</f>
        <v>0</v>
      </c>
      <c r="AC244" s="378">
        <f>IF(NFI_Expiration=1,IF($A244&lt;VLOOKUP(L$5,NFI,5,0),1,0)*Table_NFI[[#This Row],[Tarpaulin]],Table_NFI[[#This Row],[Tarpaulin]])</f>
        <v>0</v>
      </c>
      <c r="AD244" s="378">
        <f>IF(NFI_Expiration=1,IF($A244&lt;VLOOKUP(M$5,NFI,5,0),1,0)*Table_NFI[[#This Row],[Blanket]],Table_NFI[[#This Row],[Blanket]])</f>
        <v>0</v>
      </c>
      <c r="AE244" s="378">
        <f>IF(NFI_Expiration=1,IF($A244&lt;VLOOKUP(N$5,NFI,5,0),1,0)*Table_NFI[[#This Row],[Kitchen Set]],Table_NFI[Kitchen Set])</f>
        <v>0</v>
      </c>
      <c r="AF244" s="378">
        <f>IF(NFI_Expiration=1,IF($A244&lt;VLOOKUP(O$5,NFI,5,0),1,0)*Table_NFI[[#This Row],[Clothes Kit]],Table_NFI[Clothes Kit])</f>
        <v>0</v>
      </c>
      <c r="AG244" s="378">
        <f>IF(NFI_Expiration=1,IF($A244&lt;VLOOKUP(P$5,NFI,5,0),1,0)*Table_NFI[[#This Row],[Plastic Bucket]],Table_NFI[Plastic Bucket])</f>
        <v>0</v>
      </c>
      <c r="AH244" s="378">
        <f>IF(NFI_Expiration=1,IF($A244&lt;VLOOKUP(Q$5,NFI,5,0),1,0)*Table_NFI[[#This Row],[Plastic Mat]],Table_NFI[Plastic Mat])*IF(Table_NFI[[#This Row],[Distribution Date]]&gt;"2014-04-01",1,2.5)</f>
        <v>0</v>
      </c>
      <c r="AI244" s="378">
        <f>IF(NFI_Expiration=1,IF($A244&lt;VLOOKUP(R$5,NFI,5,0),1,0)*Table_NFI[[#This Row],[Winter Clothes Adult]],Table_NFI[Winter Clothes Adult])</f>
        <v>0</v>
      </c>
      <c r="AJ244" s="378">
        <f>IF(NFI_Expiration=1,IF($A244&lt;VLOOKUP(S$5,NFI,5,0),1,0)*Table_NFI[[#This Row],[Winter Clothes Children]],Table_NFI[Winter Clothes Children])</f>
        <v>0</v>
      </c>
      <c r="AK244" s="378">
        <f>IF(NFI_Expiration=1,IF($A244&lt;VLOOKUP(T$5,NFI,5,0),1,0)*Table_NFI[[#This Row],[Winter Items Other]],Table_NFI[Winter Items Other])</f>
        <v>0</v>
      </c>
      <c r="AL244" s="378">
        <f>IF(NFI_Expiration=1,IF($A244&lt;VLOOKUP(M$5,NFI,5,0),1,0)*Table_NFI[[#This Row],[Winter Blanket]],Table_NFI[[#This Row],[Winter Blanket]])</f>
        <v>0</v>
      </c>
      <c r="AM244" s="378">
        <f>IF(Table_NFI[[#This Row],[Winter Clothes Adult]]+Table_NFI[[#This Row],[Winter Clothes Children]]+Table_NFI[[#This Row],[Winter Items Other]]+Table_NFI[[#This Row],[Winter Blanket]]&gt;0,1,0)</f>
        <v>0</v>
      </c>
      <c r="AN244" s="418">
        <f>IF(NFI_Expiration=1,IF($A244&lt;VLOOKUP(V$5,NFI,5,0),1,0)*Table_NFI[[#This Row],[Jerry Can]],Table_NFI[Jerry Can])</f>
        <v>0</v>
      </c>
      <c r="AO244" s="579" t="str">
        <f>IFERROR(VLOOKUP(Table_NFI[[#This Row],[Camp Name]],CL,2,0),"")</f>
        <v>MMR001CMP117</v>
      </c>
      <c r="AP244" s="574">
        <f ca="1">IF(Table_NFI[[#This Row],[Pcode]]="","",IF(OFFSET(CampList[Opening Date],MATCH(Table_NFI[[#This Row],[Pcode]],CampList[CP_Pcode],0)-1,0,1,1)&gt;=NFI_Monitor_Date,1,0))</f>
        <v>0</v>
      </c>
      <c r="AQ244" s="579" t="str">
        <f>IFERROR(VLOOKUP(Table_NFI[[#This Row],[Camp Name]],CL,3,0),"")</f>
        <v>Closed</v>
      </c>
      <c r="AR244" s="378" t="str">
        <f ca="1">IF(Table_NFI[[#This Row],[Pcode]]="","",OFFSET(CampList[Priority],MATCH(Table_NFI[[#This Row],[Pcode]],CampList[CP_Pcode],0)-1,0,1,1))</f>
        <v>P2</v>
      </c>
      <c r="AS244" s="377" t="str">
        <f>IFERROR(Table_NFI[[#This Row],[Kitchen Set]]/VLOOKUP(Table_NFI[[#This Row],[Camp Name]],CL,4,0),"")</f>
        <v/>
      </c>
      <c r="AT244" s="572" t="s">
        <v>1095</v>
      </c>
      <c r="AU244" s="575"/>
    </row>
    <row r="245" spans="1:47" s="576" customFormat="1" x14ac:dyDescent="0.25">
      <c r="A245" s="381">
        <f t="shared" si="3"/>
        <v>32.633333333333333</v>
      </c>
      <c r="B245" s="571">
        <v>41543</v>
      </c>
      <c r="C245" s="572" t="s">
        <v>454</v>
      </c>
      <c r="D245" s="572" t="s">
        <v>454</v>
      </c>
      <c r="E245" s="572" t="s">
        <v>380</v>
      </c>
      <c r="F245" s="374" t="s">
        <v>310</v>
      </c>
      <c r="G245" s="374" t="s">
        <v>1252</v>
      </c>
      <c r="H245" s="375"/>
      <c r="I245" s="375"/>
      <c r="J245" s="375">
        <v>437</v>
      </c>
      <c r="K245" s="375">
        <v>874</v>
      </c>
      <c r="L245" s="376">
        <v>437</v>
      </c>
      <c r="M245" s="376">
        <v>874</v>
      </c>
      <c r="N245" s="376">
        <v>437</v>
      </c>
      <c r="O245" s="376">
        <v>54</v>
      </c>
      <c r="P245" s="378">
        <v>383</v>
      </c>
      <c r="Q245" s="378">
        <v>766</v>
      </c>
      <c r="R245" s="378"/>
      <c r="S245" s="378"/>
      <c r="T245" s="378"/>
      <c r="U245" s="378"/>
      <c r="V245" s="533"/>
      <c r="W245" s="378"/>
      <c r="X245" s="378"/>
      <c r="Y245" s="378">
        <f>IF(NFI_Expiration=1,IF($A245&lt;VLOOKUP(H$5,NFI,5,0),1,0)*Table_NFI[[#This Row],[Hygiene Kit]],Table_NFI[Hygiene Kit])</f>
        <v>0</v>
      </c>
      <c r="Z245" s="378">
        <f>IF(NFI_Expiration=1,IF($A245&lt;VLOOKUP(I$5,NFI,5,0),1,0)*Table_NFI[[#This Row],[NFI Core Kit]],Table_NFI[NFI Core Kit])</f>
        <v>0</v>
      </c>
      <c r="AA245" s="378">
        <f>IF(NFI_Expiration=1,IF($A245&lt;VLOOKUP(J$5,NFI,5,0),1,0)*Table_NFI[[#This Row],[Sanitary Kit]],Table_NFI[Sanitary Kit])</f>
        <v>0</v>
      </c>
      <c r="AB245" s="378">
        <f>IF(NFI_Expiration=1,IF($A245&lt;VLOOKUP(K$5,NFI,5,0),1,0)*Table_NFI[[#This Row],[Mosquito net]],Table_NFI[Mosquito net])</f>
        <v>0</v>
      </c>
      <c r="AC245" s="378">
        <f>IF(NFI_Expiration=1,IF($A245&lt;VLOOKUP(L$5,NFI,5,0),1,0)*Table_NFI[[#This Row],[Tarpaulin]],Table_NFI[[#This Row],[Tarpaulin]])</f>
        <v>0</v>
      </c>
      <c r="AD245" s="378">
        <f>IF(NFI_Expiration=1,IF($A245&lt;VLOOKUP(M$5,NFI,5,0),1,0)*Table_NFI[[#This Row],[Blanket]],Table_NFI[[#This Row],[Blanket]])</f>
        <v>0</v>
      </c>
      <c r="AE245" s="378">
        <f>IF(NFI_Expiration=1,IF($A245&lt;VLOOKUP(N$5,NFI,5,0),1,0)*Table_NFI[[#This Row],[Kitchen Set]],Table_NFI[Kitchen Set])</f>
        <v>0</v>
      </c>
      <c r="AF245" s="378">
        <f>IF(NFI_Expiration=1,IF($A245&lt;VLOOKUP(O$5,NFI,5,0),1,0)*Table_NFI[[#This Row],[Clothes Kit]],Table_NFI[Clothes Kit])</f>
        <v>0</v>
      </c>
      <c r="AG245" s="378">
        <f>IF(NFI_Expiration=1,IF($A245&lt;VLOOKUP(P$5,NFI,5,0),1,0)*Table_NFI[[#This Row],[Plastic Bucket]],Table_NFI[Plastic Bucket])</f>
        <v>0</v>
      </c>
      <c r="AH245" s="378">
        <f>IF(NFI_Expiration=1,IF($A245&lt;VLOOKUP(Q$5,NFI,5,0),1,0)*Table_NFI[[#This Row],[Plastic Mat]],Table_NFI[Plastic Mat])*IF(Table_NFI[[#This Row],[Distribution Date]]&gt;"2014-04-01",1,2.5)</f>
        <v>0</v>
      </c>
      <c r="AI245" s="378">
        <f>IF(NFI_Expiration=1,IF($A245&lt;VLOOKUP(R$5,NFI,5,0),1,0)*Table_NFI[[#This Row],[Winter Clothes Adult]],Table_NFI[Winter Clothes Adult])</f>
        <v>0</v>
      </c>
      <c r="AJ245" s="378">
        <f>IF(NFI_Expiration=1,IF($A245&lt;VLOOKUP(S$5,NFI,5,0),1,0)*Table_NFI[[#This Row],[Winter Clothes Children]],Table_NFI[Winter Clothes Children])</f>
        <v>0</v>
      </c>
      <c r="AK245" s="378">
        <f>IF(NFI_Expiration=1,IF($A245&lt;VLOOKUP(T$5,NFI,5,0),1,0)*Table_NFI[[#This Row],[Winter Items Other]],Table_NFI[Winter Items Other])</f>
        <v>0</v>
      </c>
      <c r="AL245" s="378">
        <f>IF(NFI_Expiration=1,IF($A245&lt;VLOOKUP(M$5,NFI,5,0),1,0)*Table_NFI[[#This Row],[Winter Blanket]],Table_NFI[[#This Row],[Winter Blanket]])</f>
        <v>0</v>
      </c>
      <c r="AM245" s="378">
        <f>IF(Table_NFI[[#This Row],[Winter Clothes Adult]]+Table_NFI[[#This Row],[Winter Clothes Children]]+Table_NFI[[#This Row],[Winter Items Other]]+Table_NFI[[#This Row],[Winter Blanket]]&gt;0,1,0)</f>
        <v>0</v>
      </c>
      <c r="AN245" s="418">
        <f>IF(NFI_Expiration=1,IF($A245&lt;VLOOKUP(V$5,NFI,5,0),1,0)*Table_NFI[[#This Row],[Jerry Can]],Table_NFI[Jerry Can])</f>
        <v>0</v>
      </c>
      <c r="AO245" s="579" t="str">
        <f>IFERROR(VLOOKUP(Table_NFI[[#This Row],[Camp Name]],CL,2,0),"")</f>
        <v>MMR001CMP117</v>
      </c>
      <c r="AP245" s="574">
        <f ca="1">IF(Table_NFI[[#This Row],[Pcode]]="","",IF(OFFSET(CampList[Opening Date],MATCH(Table_NFI[[#This Row],[Pcode]],CampList[CP_Pcode],0)-1,0,1,1)&gt;=NFI_Monitor_Date,1,0))</f>
        <v>0</v>
      </c>
      <c r="AQ245" s="579" t="str">
        <f>IFERROR(VLOOKUP(Table_NFI[[#This Row],[Camp Name]],CL,3,0),"")</f>
        <v>Closed</v>
      </c>
      <c r="AR245" s="378" t="str">
        <f ca="1">IF(Table_NFI[[#This Row],[Pcode]]="","",OFFSET(CampList[Priority],MATCH(Table_NFI[[#This Row],[Pcode]],CampList[CP_Pcode],0)-1,0,1,1))</f>
        <v>P2</v>
      </c>
      <c r="AS245" s="377" t="str">
        <f>IFERROR(Table_NFI[[#This Row],[Kitchen Set]]/VLOOKUP(Table_NFI[[#This Row],[Camp Name]],CL,4,0),"")</f>
        <v/>
      </c>
      <c r="AT245" s="572" t="s">
        <v>1095</v>
      </c>
      <c r="AU245" s="575"/>
    </row>
    <row r="246" spans="1:47" s="576" customFormat="1" x14ac:dyDescent="0.25">
      <c r="A246" s="381">
        <f t="shared" si="3"/>
        <v>42.366666666666667</v>
      </c>
      <c r="B246" s="571">
        <v>41251</v>
      </c>
      <c r="C246" s="572" t="s">
        <v>908</v>
      </c>
      <c r="D246" s="573" t="s">
        <v>908</v>
      </c>
      <c r="E246" s="572" t="s">
        <v>380</v>
      </c>
      <c r="F246" s="374" t="s">
        <v>310</v>
      </c>
      <c r="G246" s="374" t="s">
        <v>1252</v>
      </c>
      <c r="H246" s="375">
        <v>1690</v>
      </c>
      <c r="I246" s="375"/>
      <c r="J246" s="375">
        <v>2245</v>
      </c>
      <c r="K246" s="375"/>
      <c r="L246" s="376"/>
      <c r="M246" s="376"/>
      <c r="N246" s="376"/>
      <c r="O246" s="376"/>
      <c r="P246" s="378">
        <v>0</v>
      </c>
      <c r="Q246" s="378">
        <v>0</v>
      </c>
      <c r="R246" s="378"/>
      <c r="S246" s="378"/>
      <c r="T246" s="378"/>
      <c r="U246" s="378"/>
      <c r="V246" s="533"/>
      <c r="W246" s="378"/>
      <c r="X246" s="378"/>
      <c r="Y246" s="378">
        <f>IF(NFI_Expiration=1,IF($A246&lt;VLOOKUP(H$5,NFI,5,0),1,0)*Table_NFI[[#This Row],[Hygiene Kit]],Table_NFI[Hygiene Kit])</f>
        <v>0</v>
      </c>
      <c r="Z246" s="378">
        <f>IF(NFI_Expiration=1,IF($A246&lt;VLOOKUP(I$5,NFI,5,0),1,0)*Table_NFI[[#This Row],[NFI Core Kit]],Table_NFI[NFI Core Kit])</f>
        <v>0</v>
      </c>
      <c r="AA246" s="378">
        <f>IF(NFI_Expiration=1,IF($A246&lt;VLOOKUP(J$5,NFI,5,0),1,0)*Table_NFI[[#This Row],[Sanitary Kit]],Table_NFI[Sanitary Kit])</f>
        <v>0</v>
      </c>
      <c r="AB246" s="378">
        <f>IF(NFI_Expiration=1,IF($A246&lt;VLOOKUP(K$5,NFI,5,0),1,0)*Table_NFI[[#This Row],[Mosquito net]],Table_NFI[Mosquito net])</f>
        <v>0</v>
      </c>
      <c r="AC246" s="378">
        <f>IF(NFI_Expiration=1,IF($A246&lt;VLOOKUP(L$5,NFI,5,0),1,0)*Table_NFI[[#This Row],[Tarpaulin]],Table_NFI[[#This Row],[Tarpaulin]])</f>
        <v>0</v>
      </c>
      <c r="AD246" s="378">
        <f>IF(NFI_Expiration=1,IF($A246&lt;VLOOKUP(M$5,NFI,5,0),1,0)*Table_NFI[[#This Row],[Blanket]],Table_NFI[[#This Row],[Blanket]])</f>
        <v>0</v>
      </c>
      <c r="AE246" s="378">
        <f>IF(NFI_Expiration=1,IF($A246&lt;VLOOKUP(N$5,NFI,5,0),1,0)*Table_NFI[[#This Row],[Kitchen Set]],Table_NFI[Kitchen Set])</f>
        <v>0</v>
      </c>
      <c r="AF246" s="378">
        <f>IF(NFI_Expiration=1,IF($A246&lt;VLOOKUP(O$5,NFI,5,0),1,0)*Table_NFI[[#This Row],[Clothes Kit]],Table_NFI[Clothes Kit])</f>
        <v>0</v>
      </c>
      <c r="AG246" s="378">
        <f>IF(NFI_Expiration=1,IF($A246&lt;VLOOKUP(P$5,NFI,5,0),1,0)*Table_NFI[[#This Row],[Plastic Bucket]],Table_NFI[Plastic Bucket])</f>
        <v>0</v>
      </c>
      <c r="AH246" s="378">
        <f>IF(NFI_Expiration=1,IF($A246&lt;VLOOKUP(Q$5,NFI,5,0),1,0)*Table_NFI[[#This Row],[Plastic Mat]],Table_NFI[Plastic Mat])*IF(Table_NFI[[#This Row],[Distribution Date]]&gt;"2014-04-01",1,2.5)</f>
        <v>0</v>
      </c>
      <c r="AI246" s="378">
        <f>IF(NFI_Expiration=1,IF($A246&lt;VLOOKUP(R$5,NFI,5,0),1,0)*Table_NFI[[#This Row],[Winter Clothes Adult]],Table_NFI[Winter Clothes Adult])</f>
        <v>0</v>
      </c>
      <c r="AJ246" s="378">
        <f>IF(NFI_Expiration=1,IF($A246&lt;VLOOKUP(S$5,NFI,5,0),1,0)*Table_NFI[[#This Row],[Winter Clothes Children]],Table_NFI[Winter Clothes Children])</f>
        <v>0</v>
      </c>
      <c r="AK246" s="378">
        <f>IF(NFI_Expiration=1,IF($A246&lt;VLOOKUP(T$5,NFI,5,0),1,0)*Table_NFI[[#This Row],[Winter Items Other]],Table_NFI[Winter Items Other])</f>
        <v>0</v>
      </c>
      <c r="AL246" s="378">
        <f>IF(NFI_Expiration=1,IF($A246&lt;VLOOKUP(M$5,NFI,5,0),1,0)*Table_NFI[[#This Row],[Winter Blanket]],Table_NFI[[#This Row],[Winter Blanket]])</f>
        <v>0</v>
      </c>
      <c r="AM246" s="378">
        <f>IF(Table_NFI[[#This Row],[Winter Clothes Adult]]+Table_NFI[[#This Row],[Winter Clothes Children]]+Table_NFI[[#This Row],[Winter Items Other]]+Table_NFI[[#This Row],[Winter Blanket]]&gt;0,1,0)</f>
        <v>0</v>
      </c>
      <c r="AN246" s="418">
        <f>IF(NFI_Expiration=1,IF($A246&lt;VLOOKUP(V$5,NFI,5,0),1,0)*Table_NFI[[#This Row],[Jerry Can]],Table_NFI[Jerry Can])</f>
        <v>0</v>
      </c>
      <c r="AO246" s="579" t="str">
        <f>IFERROR(VLOOKUP(Table_NFI[[#This Row],[Camp Name]],CL,2,0),"")</f>
        <v>MMR001CMP117</v>
      </c>
      <c r="AP246" s="574">
        <f ca="1">IF(Table_NFI[[#This Row],[Pcode]]="","",IF(OFFSET(CampList[Opening Date],MATCH(Table_NFI[[#This Row],[Pcode]],CampList[CP_Pcode],0)-1,0,1,1)&gt;=NFI_Monitor_Date,1,0))</f>
        <v>0</v>
      </c>
      <c r="AQ246" s="579" t="str">
        <f>IFERROR(VLOOKUP(Table_NFI[[#This Row],[Camp Name]],CL,3,0),"")</f>
        <v>Closed</v>
      </c>
      <c r="AR246" s="378" t="str">
        <f ca="1">IF(Table_NFI[[#This Row],[Pcode]]="","",OFFSET(CampList[Priority],MATCH(Table_NFI[[#This Row],[Pcode]],CampList[CP_Pcode],0)-1,0,1,1))</f>
        <v>P2</v>
      </c>
      <c r="AS246" s="377" t="str">
        <f>IFERROR(Table_NFI[[#This Row],[Kitchen Set]]/VLOOKUP(Table_NFI[[#This Row],[Camp Name]],CL,4,0),"")</f>
        <v/>
      </c>
      <c r="AT246" s="572" t="s">
        <v>1095</v>
      </c>
      <c r="AU246" s="575"/>
    </row>
    <row r="247" spans="1:47" s="576" customFormat="1" x14ac:dyDescent="0.25">
      <c r="A247" s="381">
        <f t="shared" si="3"/>
        <v>39.733333333333334</v>
      </c>
      <c r="B247" s="571">
        <v>41330</v>
      </c>
      <c r="C247" s="572" t="s">
        <v>454</v>
      </c>
      <c r="D247" s="573" t="s">
        <v>907</v>
      </c>
      <c r="E247" s="572" t="s">
        <v>380</v>
      </c>
      <c r="F247" s="374" t="s">
        <v>27</v>
      </c>
      <c r="G247" s="374" t="s">
        <v>34</v>
      </c>
      <c r="H247" s="375"/>
      <c r="I247" s="375"/>
      <c r="J247" s="375">
        <v>11</v>
      </c>
      <c r="K247" s="375">
        <v>17</v>
      </c>
      <c r="L247" s="376">
        <v>7</v>
      </c>
      <c r="M247" s="376">
        <v>17</v>
      </c>
      <c r="N247" s="376">
        <v>7</v>
      </c>
      <c r="O247" s="376">
        <v>7</v>
      </c>
      <c r="P247" s="378">
        <v>7</v>
      </c>
      <c r="Q247" s="378">
        <v>7</v>
      </c>
      <c r="R247" s="378"/>
      <c r="S247" s="378"/>
      <c r="T247" s="378"/>
      <c r="U247" s="378"/>
      <c r="V247" s="533"/>
      <c r="W247" s="378"/>
      <c r="X247" s="378"/>
      <c r="Y247" s="378">
        <f>IF(NFI_Expiration=1,IF($A247&lt;VLOOKUP(H$5,NFI,5,0),1,0)*Table_NFI[[#This Row],[Hygiene Kit]],Table_NFI[Hygiene Kit])</f>
        <v>0</v>
      </c>
      <c r="Z247" s="378">
        <f>IF(NFI_Expiration=1,IF($A247&lt;VLOOKUP(I$5,NFI,5,0),1,0)*Table_NFI[[#This Row],[NFI Core Kit]],Table_NFI[NFI Core Kit])</f>
        <v>0</v>
      </c>
      <c r="AA247" s="378">
        <f>IF(NFI_Expiration=1,IF($A247&lt;VLOOKUP(J$5,NFI,5,0),1,0)*Table_NFI[[#This Row],[Sanitary Kit]],Table_NFI[Sanitary Kit])</f>
        <v>0</v>
      </c>
      <c r="AB247" s="378">
        <f>IF(NFI_Expiration=1,IF($A247&lt;VLOOKUP(K$5,NFI,5,0),1,0)*Table_NFI[[#This Row],[Mosquito net]],Table_NFI[Mosquito net])</f>
        <v>0</v>
      </c>
      <c r="AC247" s="378">
        <f>IF(NFI_Expiration=1,IF($A247&lt;VLOOKUP(L$5,NFI,5,0),1,0)*Table_NFI[[#This Row],[Tarpaulin]],Table_NFI[[#This Row],[Tarpaulin]])</f>
        <v>0</v>
      </c>
      <c r="AD247" s="378">
        <f>IF(NFI_Expiration=1,IF($A247&lt;VLOOKUP(M$5,NFI,5,0),1,0)*Table_NFI[[#This Row],[Blanket]],Table_NFI[[#This Row],[Blanket]])</f>
        <v>0</v>
      </c>
      <c r="AE247" s="378">
        <f>IF(NFI_Expiration=1,IF($A247&lt;VLOOKUP(N$5,NFI,5,0),1,0)*Table_NFI[[#This Row],[Kitchen Set]],Table_NFI[Kitchen Set])</f>
        <v>0</v>
      </c>
      <c r="AF247" s="378">
        <f>IF(NFI_Expiration=1,IF($A247&lt;VLOOKUP(O$5,NFI,5,0),1,0)*Table_NFI[[#This Row],[Clothes Kit]],Table_NFI[Clothes Kit])</f>
        <v>0</v>
      </c>
      <c r="AG247" s="378">
        <f>IF(NFI_Expiration=1,IF($A247&lt;VLOOKUP(P$5,NFI,5,0),1,0)*Table_NFI[[#This Row],[Plastic Bucket]],Table_NFI[Plastic Bucket])</f>
        <v>0</v>
      </c>
      <c r="AH247" s="378">
        <f>IF(NFI_Expiration=1,IF($A247&lt;VLOOKUP(Q$5,NFI,5,0),1,0)*Table_NFI[[#This Row],[Plastic Mat]],Table_NFI[Plastic Mat])*IF(Table_NFI[[#This Row],[Distribution Date]]&gt;"2014-04-01",1,2.5)</f>
        <v>0</v>
      </c>
      <c r="AI247" s="378">
        <f>IF(NFI_Expiration=1,IF($A247&lt;VLOOKUP(R$5,NFI,5,0),1,0)*Table_NFI[[#This Row],[Winter Clothes Adult]],Table_NFI[Winter Clothes Adult])</f>
        <v>0</v>
      </c>
      <c r="AJ247" s="378">
        <f>IF(NFI_Expiration=1,IF($A247&lt;VLOOKUP(S$5,NFI,5,0),1,0)*Table_NFI[[#This Row],[Winter Clothes Children]],Table_NFI[Winter Clothes Children])</f>
        <v>0</v>
      </c>
      <c r="AK247" s="378">
        <f>IF(NFI_Expiration=1,IF($A247&lt;VLOOKUP(T$5,NFI,5,0),1,0)*Table_NFI[[#This Row],[Winter Items Other]],Table_NFI[Winter Items Other])</f>
        <v>0</v>
      </c>
      <c r="AL247" s="378">
        <f>IF(NFI_Expiration=1,IF($A247&lt;VLOOKUP(M$5,NFI,5,0),1,0)*Table_NFI[[#This Row],[Winter Blanket]],Table_NFI[[#This Row],[Winter Blanket]])</f>
        <v>0</v>
      </c>
      <c r="AM247" s="378">
        <f>IF(Table_NFI[[#This Row],[Winter Clothes Adult]]+Table_NFI[[#This Row],[Winter Clothes Children]]+Table_NFI[[#This Row],[Winter Items Other]]+Table_NFI[[#This Row],[Winter Blanket]]&gt;0,1,0)</f>
        <v>0</v>
      </c>
      <c r="AN247" s="418">
        <f>IF(NFI_Expiration=1,IF($A247&lt;VLOOKUP(V$5,NFI,5,0),1,0)*Table_NFI[[#This Row],[Jerry Can]],Table_NFI[Jerry Can])</f>
        <v>0</v>
      </c>
      <c r="AO247" s="579" t="str">
        <f>IFERROR(VLOOKUP(Table_NFI[[#This Row],[Camp Name]],CL,2,0),"")</f>
        <v>MMR001CMP045</v>
      </c>
      <c r="AP247" s="574">
        <f ca="1">IF(Table_NFI[[#This Row],[Pcode]]="","",IF(OFFSET(CampList[Opening Date],MATCH(Table_NFI[[#This Row],[Pcode]],CampList[CP_Pcode],0)-1,0,1,1)&gt;=NFI_Monitor_Date,1,0))</f>
        <v>0</v>
      </c>
      <c r="AQ247" s="579" t="str">
        <f>IFERROR(VLOOKUP(Table_NFI[[#This Row],[Camp Name]],CL,3,0),"")</f>
        <v>Open</v>
      </c>
      <c r="AR247" s="378" t="str">
        <f ca="1">IF(Table_NFI[[#This Row],[Pcode]]="","",OFFSET(CampList[Priority],MATCH(Table_NFI[[#This Row],[Pcode]],CampList[CP_Pcode],0)-1,0,1,1))</f>
        <v>P1</v>
      </c>
      <c r="AS247" s="377" t="str">
        <f>IFERROR(Table_NFI[[#This Row],[Kitchen Set]]/VLOOKUP(Table_NFI[[#This Row],[Camp Name]],CL,4,0),"")</f>
        <v/>
      </c>
      <c r="AT247" s="572" t="s">
        <v>1095</v>
      </c>
      <c r="AU247" s="575"/>
    </row>
    <row r="248" spans="1:47" s="576" customFormat="1" x14ac:dyDescent="0.25">
      <c r="A248" s="381">
        <f t="shared" si="3"/>
        <v>44.733333333333334</v>
      </c>
      <c r="B248" s="571">
        <v>41180</v>
      </c>
      <c r="C248" s="572" t="s">
        <v>454</v>
      </c>
      <c r="D248" s="573" t="s">
        <v>907</v>
      </c>
      <c r="E248" s="572" t="s">
        <v>380</v>
      </c>
      <c r="F248" s="374" t="s">
        <v>27</v>
      </c>
      <c r="G248" s="374" t="s">
        <v>34</v>
      </c>
      <c r="H248" s="375"/>
      <c r="I248" s="375"/>
      <c r="J248" s="375"/>
      <c r="K248" s="375">
        <v>33</v>
      </c>
      <c r="L248" s="376">
        <v>11</v>
      </c>
      <c r="M248" s="376">
        <v>33</v>
      </c>
      <c r="N248" s="376">
        <v>11</v>
      </c>
      <c r="O248" s="376">
        <v>11</v>
      </c>
      <c r="P248" s="378">
        <v>11</v>
      </c>
      <c r="Q248" s="378">
        <v>11</v>
      </c>
      <c r="R248" s="378"/>
      <c r="S248" s="378"/>
      <c r="T248" s="378"/>
      <c r="U248" s="378"/>
      <c r="V248" s="533"/>
      <c r="W248" s="378"/>
      <c r="X248" s="378"/>
      <c r="Y248" s="378">
        <f>IF(NFI_Expiration=1,IF($A248&lt;VLOOKUP(H$5,NFI,5,0),1,0)*Table_NFI[[#This Row],[Hygiene Kit]],Table_NFI[Hygiene Kit])</f>
        <v>0</v>
      </c>
      <c r="Z248" s="378">
        <f>IF(NFI_Expiration=1,IF($A248&lt;VLOOKUP(I$5,NFI,5,0),1,0)*Table_NFI[[#This Row],[NFI Core Kit]],Table_NFI[NFI Core Kit])</f>
        <v>0</v>
      </c>
      <c r="AA248" s="378">
        <f>IF(NFI_Expiration=1,IF($A248&lt;VLOOKUP(J$5,NFI,5,0),1,0)*Table_NFI[[#This Row],[Sanitary Kit]],Table_NFI[Sanitary Kit])</f>
        <v>0</v>
      </c>
      <c r="AB248" s="378">
        <f>IF(NFI_Expiration=1,IF($A248&lt;VLOOKUP(K$5,NFI,5,0),1,0)*Table_NFI[[#This Row],[Mosquito net]],Table_NFI[Mosquito net])</f>
        <v>0</v>
      </c>
      <c r="AC248" s="378">
        <f>IF(NFI_Expiration=1,IF($A248&lt;VLOOKUP(L$5,NFI,5,0),1,0)*Table_NFI[[#This Row],[Tarpaulin]],Table_NFI[[#This Row],[Tarpaulin]])</f>
        <v>0</v>
      </c>
      <c r="AD248" s="378">
        <f>IF(NFI_Expiration=1,IF($A248&lt;VLOOKUP(M$5,NFI,5,0),1,0)*Table_NFI[[#This Row],[Blanket]],Table_NFI[[#This Row],[Blanket]])</f>
        <v>0</v>
      </c>
      <c r="AE248" s="378">
        <f>IF(NFI_Expiration=1,IF($A248&lt;VLOOKUP(N$5,NFI,5,0),1,0)*Table_NFI[[#This Row],[Kitchen Set]],Table_NFI[Kitchen Set])</f>
        <v>0</v>
      </c>
      <c r="AF248" s="378">
        <f>IF(NFI_Expiration=1,IF($A248&lt;VLOOKUP(O$5,NFI,5,0),1,0)*Table_NFI[[#This Row],[Clothes Kit]],Table_NFI[Clothes Kit])</f>
        <v>0</v>
      </c>
      <c r="AG248" s="378">
        <f>IF(NFI_Expiration=1,IF($A248&lt;VLOOKUP(P$5,NFI,5,0),1,0)*Table_NFI[[#This Row],[Plastic Bucket]],Table_NFI[Plastic Bucket])</f>
        <v>0</v>
      </c>
      <c r="AH248" s="378">
        <f>IF(NFI_Expiration=1,IF($A248&lt;VLOOKUP(Q$5,NFI,5,0),1,0)*Table_NFI[[#This Row],[Plastic Mat]],Table_NFI[Plastic Mat])*IF(Table_NFI[[#This Row],[Distribution Date]]&gt;"2014-04-01",1,2.5)</f>
        <v>0</v>
      </c>
      <c r="AI248" s="378">
        <f>IF(NFI_Expiration=1,IF($A248&lt;VLOOKUP(R$5,NFI,5,0),1,0)*Table_NFI[[#This Row],[Winter Clothes Adult]],Table_NFI[Winter Clothes Adult])</f>
        <v>0</v>
      </c>
      <c r="AJ248" s="378">
        <f>IF(NFI_Expiration=1,IF($A248&lt;VLOOKUP(S$5,NFI,5,0),1,0)*Table_NFI[[#This Row],[Winter Clothes Children]],Table_NFI[Winter Clothes Children])</f>
        <v>0</v>
      </c>
      <c r="AK248" s="378">
        <f>IF(NFI_Expiration=1,IF($A248&lt;VLOOKUP(T$5,NFI,5,0),1,0)*Table_NFI[[#This Row],[Winter Items Other]],Table_NFI[Winter Items Other])</f>
        <v>0</v>
      </c>
      <c r="AL248" s="378">
        <f>IF(NFI_Expiration=1,IF($A248&lt;VLOOKUP(M$5,NFI,5,0),1,0)*Table_NFI[[#This Row],[Winter Blanket]],Table_NFI[[#This Row],[Winter Blanket]])</f>
        <v>0</v>
      </c>
      <c r="AM248" s="378">
        <f>IF(Table_NFI[[#This Row],[Winter Clothes Adult]]+Table_NFI[[#This Row],[Winter Clothes Children]]+Table_NFI[[#This Row],[Winter Items Other]]+Table_NFI[[#This Row],[Winter Blanket]]&gt;0,1,0)</f>
        <v>0</v>
      </c>
      <c r="AN248" s="418">
        <f>IF(NFI_Expiration=1,IF($A248&lt;VLOOKUP(V$5,NFI,5,0),1,0)*Table_NFI[[#This Row],[Jerry Can]],Table_NFI[Jerry Can])</f>
        <v>0</v>
      </c>
      <c r="AO248" s="579" t="str">
        <f>IFERROR(VLOOKUP(Table_NFI[[#This Row],[Camp Name]],CL,2,0),"")</f>
        <v>MMR001CMP045</v>
      </c>
      <c r="AP248" s="574">
        <f ca="1">IF(Table_NFI[[#This Row],[Pcode]]="","",IF(OFFSET(CampList[Opening Date],MATCH(Table_NFI[[#This Row],[Pcode]],CampList[CP_Pcode],0)-1,0,1,1)&gt;=NFI_Monitor_Date,1,0))</f>
        <v>0</v>
      </c>
      <c r="AQ248" s="579" t="str">
        <f>IFERROR(VLOOKUP(Table_NFI[[#This Row],[Camp Name]],CL,3,0),"")</f>
        <v>Open</v>
      </c>
      <c r="AR248" s="378" t="str">
        <f ca="1">IF(Table_NFI[[#This Row],[Pcode]]="","",OFFSET(CampList[Priority],MATCH(Table_NFI[[#This Row],[Pcode]],CampList[CP_Pcode],0)-1,0,1,1))</f>
        <v>P1</v>
      </c>
      <c r="AS248" s="377" t="str">
        <f>IFERROR(Table_NFI[[#This Row],[Kitchen Set]]/VLOOKUP(Table_NFI[[#This Row],[Camp Name]],CL,4,0),"")</f>
        <v/>
      </c>
      <c r="AT248" s="572" t="s">
        <v>1095</v>
      </c>
      <c r="AU248" s="575"/>
    </row>
    <row r="249" spans="1:47" s="576" customFormat="1" x14ac:dyDescent="0.25">
      <c r="A249" s="381">
        <f t="shared" si="3"/>
        <v>14.4</v>
      </c>
      <c r="B249" s="571">
        <v>42090</v>
      </c>
      <c r="C249" s="572" t="s">
        <v>454</v>
      </c>
      <c r="D249" s="572" t="s">
        <v>1092</v>
      </c>
      <c r="E249" s="572" t="s">
        <v>380</v>
      </c>
      <c r="F249" s="572" t="s">
        <v>151</v>
      </c>
      <c r="G249" s="572" t="s">
        <v>198</v>
      </c>
      <c r="H249" s="375"/>
      <c r="I249" s="375"/>
      <c r="J249" s="375"/>
      <c r="K249" s="375"/>
      <c r="L249" s="376"/>
      <c r="M249" s="376">
        <v>357</v>
      </c>
      <c r="N249" s="376"/>
      <c r="O249" s="376"/>
      <c r="P249" s="378"/>
      <c r="Q249" s="378"/>
      <c r="R249" s="378"/>
      <c r="S249" s="378"/>
      <c r="T249" s="378"/>
      <c r="U249" s="378"/>
      <c r="V249" s="533"/>
      <c r="W249" s="378"/>
      <c r="X249" s="378"/>
      <c r="Y249" s="378">
        <f>IF(NFI_Expiration=1,IF($A249&lt;VLOOKUP(H$5,NFI,5,0),1,0)*Table_NFI[[#This Row],[Hygiene Kit]],Table_NFI[Hygiene Kit])</f>
        <v>0</v>
      </c>
      <c r="Z249" s="378">
        <f>IF(NFI_Expiration=1,IF($A249&lt;VLOOKUP(I$5,NFI,5,0),1,0)*Table_NFI[[#This Row],[NFI Core Kit]],Table_NFI[NFI Core Kit])</f>
        <v>0</v>
      </c>
      <c r="AA249" s="378">
        <f>IF(NFI_Expiration=1,IF($A249&lt;VLOOKUP(J$5,NFI,5,0),1,0)*Table_NFI[[#This Row],[Sanitary Kit]],Table_NFI[Sanitary Kit])</f>
        <v>0</v>
      </c>
      <c r="AB249" s="378">
        <f>IF(NFI_Expiration=1,IF($A249&lt;VLOOKUP(K$5,NFI,5,0),1,0)*Table_NFI[[#This Row],[Mosquito net]],Table_NFI[Mosquito net])</f>
        <v>0</v>
      </c>
      <c r="AC249" s="378">
        <f>IF(NFI_Expiration=1,IF($A249&lt;VLOOKUP(L$5,NFI,5,0),1,0)*Table_NFI[[#This Row],[Tarpaulin]],Table_NFI[[#This Row],[Tarpaulin]])</f>
        <v>0</v>
      </c>
      <c r="AD249" s="378">
        <f>IF(NFI_Expiration=1,IF($A249&lt;VLOOKUP(M$5,NFI,5,0),1,0)*Table_NFI[[#This Row],[Blanket]],Table_NFI[[#This Row],[Blanket]])</f>
        <v>0</v>
      </c>
      <c r="AE249" s="378">
        <f>IF(NFI_Expiration=1,IF($A249&lt;VLOOKUP(N$5,NFI,5,0),1,0)*Table_NFI[[#This Row],[Kitchen Set]],Table_NFI[Kitchen Set])</f>
        <v>0</v>
      </c>
      <c r="AF249" s="378">
        <f>IF(NFI_Expiration=1,IF($A249&lt;VLOOKUP(O$5,NFI,5,0),1,0)*Table_NFI[[#This Row],[Clothes Kit]],Table_NFI[Clothes Kit])</f>
        <v>0</v>
      </c>
      <c r="AG249" s="378">
        <f>IF(NFI_Expiration=1,IF($A249&lt;VLOOKUP(P$5,NFI,5,0),1,0)*Table_NFI[[#This Row],[Plastic Bucket]],Table_NFI[Plastic Bucket])</f>
        <v>0</v>
      </c>
      <c r="AH249" s="378">
        <f>IF(NFI_Expiration=1,IF($A249&lt;VLOOKUP(Q$5,NFI,5,0),1,0)*Table_NFI[[#This Row],[Plastic Mat]],Table_NFI[Plastic Mat])*IF(Table_NFI[[#This Row],[Distribution Date]]&gt;"2014-04-01",1,2.5)</f>
        <v>0</v>
      </c>
      <c r="AI249" s="378">
        <f>IF(NFI_Expiration=1,IF($A249&lt;VLOOKUP(R$5,NFI,5,0),1,0)*Table_NFI[[#This Row],[Winter Clothes Adult]],Table_NFI[Winter Clothes Adult])</f>
        <v>0</v>
      </c>
      <c r="AJ249" s="378">
        <f>IF(NFI_Expiration=1,IF($A249&lt;VLOOKUP(S$5,NFI,5,0),1,0)*Table_NFI[[#This Row],[Winter Clothes Children]],Table_NFI[Winter Clothes Children])</f>
        <v>0</v>
      </c>
      <c r="AK249" s="378">
        <f>IF(NFI_Expiration=1,IF($A249&lt;VLOOKUP(T$5,NFI,5,0),1,0)*Table_NFI[[#This Row],[Winter Items Other]],Table_NFI[Winter Items Other])</f>
        <v>0</v>
      </c>
      <c r="AL249" s="378">
        <f>IF(NFI_Expiration=1,IF($A249&lt;VLOOKUP(M$5,NFI,5,0),1,0)*Table_NFI[[#This Row],[Winter Blanket]],Table_NFI[[#This Row],[Winter Blanket]])</f>
        <v>0</v>
      </c>
      <c r="AM249" s="378">
        <f>IF(Table_NFI[[#This Row],[Winter Clothes Adult]]+Table_NFI[[#This Row],[Winter Clothes Children]]+Table_NFI[[#This Row],[Winter Items Other]]+Table_NFI[[#This Row],[Winter Blanket]]&gt;0,1,0)</f>
        <v>0</v>
      </c>
      <c r="AN249" s="418">
        <f>IF(NFI_Expiration=1,IF($A249&lt;VLOOKUP(V$5,NFI,5,0),1,0)*Table_NFI[[#This Row],[Jerry Can]],Table_NFI[Jerry Can])</f>
        <v>0</v>
      </c>
      <c r="AO249" s="579" t="str">
        <f>IFERROR(VLOOKUP(Table_NFI[[#This Row],[Camp Name]],CL,2,0),"")</f>
        <v>MMR001CMP128</v>
      </c>
      <c r="AP249" s="574">
        <f ca="1">IF(Table_NFI[[#This Row],[Pcode]]="","",IF(OFFSET(CampList[Opening Date],MATCH(Table_NFI[[#This Row],[Pcode]],CampList[CP_Pcode],0)-1,0,1,1)&gt;=NFI_Monitor_Date,1,0))</f>
        <v>0</v>
      </c>
      <c r="AQ249" s="579" t="str">
        <f>IFERROR(VLOOKUP(Table_NFI[[#This Row],[Camp Name]],CL,3,0),"")</f>
        <v>Open</v>
      </c>
      <c r="AR249" s="378" t="str">
        <f ca="1">IF(Table_NFI[[#This Row],[Pcode]]="","",OFFSET(CampList[Priority],MATCH(Table_NFI[[#This Row],[Pcode]],CampList[CP_Pcode],0)-1,0,1,1))</f>
        <v>P2</v>
      </c>
      <c r="AS249" s="377">
        <f>IFERROR(Table_NFI[[#This Row],[Kitchen Set]]/VLOOKUP(Table_NFI[[#This Row],[Camp Name]],CL,4,0),"")</f>
        <v>0</v>
      </c>
      <c r="AT249" s="572" t="s">
        <v>1095</v>
      </c>
      <c r="AU249" s="575"/>
    </row>
    <row r="250" spans="1:47" s="576" customFormat="1" x14ac:dyDescent="0.25">
      <c r="A250" s="381">
        <f t="shared" si="3"/>
        <v>28.966666666666665</v>
      </c>
      <c r="B250" s="571">
        <v>41653</v>
      </c>
      <c r="C250" s="572" t="s">
        <v>454</v>
      </c>
      <c r="D250" s="573" t="s">
        <v>454</v>
      </c>
      <c r="E250" s="572" t="s">
        <v>380</v>
      </c>
      <c r="F250" s="374" t="s">
        <v>151</v>
      </c>
      <c r="G250" s="374" t="s">
        <v>198</v>
      </c>
      <c r="H250" s="375"/>
      <c r="I250" s="375"/>
      <c r="J250" s="375"/>
      <c r="K250" s="375">
        <v>140</v>
      </c>
      <c r="L250" s="376">
        <v>70</v>
      </c>
      <c r="M250" s="376">
        <v>140</v>
      </c>
      <c r="N250" s="376">
        <v>70</v>
      </c>
      <c r="O250" s="376"/>
      <c r="P250" s="378">
        <v>70</v>
      </c>
      <c r="Q250" s="378">
        <v>350</v>
      </c>
      <c r="R250" s="378"/>
      <c r="S250" s="378"/>
      <c r="T250" s="378"/>
      <c r="U250" s="378"/>
      <c r="V250" s="533"/>
      <c r="W250" s="378"/>
      <c r="X250" s="378"/>
      <c r="Y250" s="378">
        <f>IF(NFI_Expiration=1,IF($A250&lt;VLOOKUP(H$5,NFI,5,0),1,0)*Table_NFI[[#This Row],[Hygiene Kit]],Table_NFI[Hygiene Kit])</f>
        <v>0</v>
      </c>
      <c r="Z250" s="378">
        <f>IF(NFI_Expiration=1,IF($A250&lt;VLOOKUP(I$5,NFI,5,0),1,0)*Table_NFI[[#This Row],[NFI Core Kit]],Table_NFI[NFI Core Kit])</f>
        <v>0</v>
      </c>
      <c r="AA250" s="378">
        <f>IF(NFI_Expiration=1,IF($A250&lt;VLOOKUP(J$5,NFI,5,0),1,0)*Table_NFI[[#This Row],[Sanitary Kit]],Table_NFI[Sanitary Kit])</f>
        <v>0</v>
      </c>
      <c r="AB250" s="378">
        <f>IF(NFI_Expiration=1,IF($A250&lt;VLOOKUP(K$5,NFI,5,0),1,0)*Table_NFI[[#This Row],[Mosquito net]],Table_NFI[Mosquito net])</f>
        <v>0</v>
      </c>
      <c r="AC250" s="378">
        <f>IF(NFI_Expiration=1,IF($A250&lt;VLOOKUP(L$5,NFI,5,0),1,0)*Table_NFI[[#This Row],[Tarpaulin]],Table_NFI[[#This Row],[Tarpaulin]])</f>
        <v>0</v>
      </c>
      <c r="AD250" s="378">
        <f>IF(NFI_Expiration=1,IF($A250&lt;VLOOKUP(M$5,NFI,5,0),1,0)*Table_NFI[[#This Row],[Blanket]],Table_NFI[[#This Row],[Blanket]])</f>
        <v>0</v>
      </c>
      <c r="AE250" s="378">
        <f>IF(NFI_Expiration=1,IF($A250&lt;VLOOKUP(N$5,NFI,5,0),1,0)*Table_NFI[[#This Row],[Kitchen Set]],Table_NFI[Kitchen Set])</f>
        <v>0</v>
      </c>
      <c r="AF250" s="378">
        <f>IF(NFI_Expiration=1,IF($A250&lt;VLOOKUP(O$5,NFI,5,0),1,0)*Table_NFI[[#This Row],[Clothes Kit]],Table_NFI[Clothes Kit])</f>
        <v>0</v>
      </c>
      <c r="AG250" s="378">
        <f>IF(NFI_Expiration=1,IF($A250&lt;VLOOKUP(P$5,NFI,5,0),1,0)*Table_NFI[[#This Row],[Plastic Bucket]],Table_NFI[Plastic Bucket])</f>
        <v>0</v>
      </c>
      <c r="AH250" s="378">
        <f>IF(NFI_Expiration=1,IF($A250&lt;VLOOKUP(Q$5,NFI,5,0),1,0)*Table_NFI[[#This Row],[Plastic Mat]],Table_NFI[Plastic Mat])*IF(Table_NFI[[#This Row],[Distribution Date]]&gt;"2014-04-01",1,2.5)</f>
        <v>0</v>
      </c>
      <c r="AI250" s="378">
        <f>IF(NFI_Expiration=1,IF($A250&lt;VLOOKUP(R$5,NFI,5,0),1,0)*Table_NFI[[#This Row],[Winter Clothes Adult]],Table_NFI[Winter Clothes Adult])</f>
        <v>0</v>
      </c>
      <c r="AJ250" s="378">
        <f>IF(NFI_Expiration=1,IF($A250&lt;VLOOKUP(S$5,NFI,5,0),1,0)*Table_NFI[[#This Row],[Winter Clothes Children]],Table_NFI[Winter Clothes Children])</f>
        <v>0</v>
      </c>
      <c r="AK250" s="378">
        <f>IF(NFI_Expiration=1,IF($A250&lt;VLOOKUP(T$5,NFI,5,0),1,0)*Table_NFI[[#This Row],[Winter Items Other]],Table_NFI[Winter Items Other])</f>
        <v>0</v>
      </c>
      <c r="AL250" s="378">
        <f>IF(NFI_Expiration=1,IF($A250&lt;VLOOKUP(M$5,NFI,5,0),1,0)*Table_NFI[[#This Row],[Winter Blanket]],Table_NFI[[#This Row],[Winter Blanket]])</f>
        <v>0</v>
      </c>
      <c r="AM250" s="378">
        <f>IF(Table_NFI[[#This Row],[Winter Clothes Adult]]+Table_NFI[[#This Row],[Winter Clothes Children]]+Table_NFI[[#This Row],[Winter Items Other]]+Table_NFI[[#This Row],[Winter Blanket]]&gt;0,1,0)</f>
        <v>0</v>
      </c>
      <c r="AN250" s="418">
        <f>IF(NFI_Expiration=1,IF($A250&lt;VLOOKUP(V$5,NFI,5,0),1,0)*Table_NFI[[#This Row],[Jerry Can]],Table_NFI[Jerry Can])</f>
        <v>0</v>
      </c>
      <c r="AO250" s="579" t="str">
        <f>IFERROR(VLOOKUP(Table_NFI[[#This Row],[Camp Name]],CL,2,0),"")</f>
        <v>MMR001CMP128</v>
      </c>
      <c r="AP250" s="574">
        <f ca="1">IF(Table_NFI[[#This Row],[Pcode]]="","",IF(OFFSET(CampList[Opening Date],MATCH(Table_NFI[[#This Row],[Pcode]],CampList[CP_Pcode],0)-1,0,1,1)&gt;=NFI_Monitor_Date,1,0))</f>
        <v>0</v>
      </c>
      <c r="AQ250" s="579" t="str">
        <f>IFERROR(VLOOKUP(Table_NFI[[#This Row],[Camp Name]],CL,3,0),"")</f>
        <v>Open</v>
      </c>
      <c r="AR250" s="378" t="str">
        <f ca="1">IF(Table_NFI[[#This Row],[Pcode]]="","",OFFSET(CampList[Priority],MATCH(Table_NFI[[#This Row],[Pcode]],CampList[CP_Pcode],0)-1,0,1,1))</f>
        <v>P2</v>
      </c>
      <c r="AS250" s="377">
        <f>IFERROR(Table_NFI[[#This Row],[Kitchen Set]]/VLOOKUP(Table_NFI[[#This Row],[Camp Name]],CL,4,0),"")</f>
        <v>0.12844036697247707</v>
      </c>
      <c r="AT250" s="572" t="s">
        <v>1095</v>
      </c>
      <c r="AU250" s="575"/>
    </row>
    <row r="251" spans="1:47" s="576" customFormat="1" x14ac:dyDescent="0.25">
      <c r="A251" s="381">
        <f t="shared" si="3"/>
        <v>30.1</v>
      </c>
      <c r="B251" s="571">
        <v>41619</v>
      </c>
      <c r="C251" s="572" t="s">
        <v>1030</v>
      </c>
      <c r="D251" s="572" t="s">
        <v>1031</v>
      </c>
      <c r="E251" s="572" t="s">
        <v>380</v>
      </c>
      <c r="F251" s="374" t="s">
        <v>151</v>
      </c>
      <c r="G251" s="572" t="s">
        <v>198</v>
      </c>
      <c r="H251" s="375"/>
      <c r="I251" s="375"/>
      <c r="J251" s="375"/>
      <c r="K251" s="375"/>
      <c r="L251" s="376"/>
      <c r="M251" s="376">
        <v>543</v>
      </c>
      <c r="N251" s="376"/>
      <c r="O251" s="376"/>
      <c r="P251" s="378"/>
      <c r="Q251" s="378"/>
      <c r="R251" s="378"/>
      <c r="S251" s="378"/>
      <c r="T251" s="378"/>
      <c r="U251" s="378"/>
      <c r="V251" s="533"/>
      <c r="W251" s="378"/>
      <c r="X251" s="378"/>
      <c r="Y251" s="378">
        <f>IF(NFI_Expiration=1,IF($A251&lt;VLOOKUP(H$5,NFI,5,0),1,0)*Table_NFI[[#This Row],[Hygiene Kit]],Table_NFI[Hygiene Kit])</f>
        <v>0</v>
      </c>
      <c r="Z251" s="378">
        <f>IF(NFI_Expiration=1,IF($A251&lt;VLOOKUP(I$5,NFI,5,0),1,0)*Table_NFI[[#This Row],[NFI Core Kit]],Table_NFI[NFI Core Kit])</f>
        <v>0</v>
      </c>
      <c r="AA251" s="378">
        <f>IF(NFI_Expiration=1,IF($A251&lt;VLOOKUP(J$5,NFI,5,0),1,0)*Table_NFI[[#This Row],[Sanitary Kit]],Table_NFI[Sanitary Kit])</f>
        <v>0</v>
      </c>
      <c r="AB251" s="378">
        <f>IF(NFI_Expiration=1,IF($A251&lt;VLOOKUP(K$5,NFI,5,0),1,0)*Table_NFI[[#This Row],[Mosquito net]],Table_NFI[Mosquito net])</f>
        <v>0</v>
      </c>
      <c r="AC251" s="378">
        <f>IF(NFI_Expiration=1,IF($A251&lt;VLOOKUP(L$5,NFI,5,0),1,0)*Table_NFI[[#This Row],[Tarpaulin]],Table_NFI[[#This Row],[Tarpaulin]])</f>
        <v>0</v>
      </c>
      <c r="AD251" s="378">
        <f>IF(NFI_Expiration=1,IF($A251&lt;VLOOKUP(M$5,NFI,5,0),1,0)*Table_NFI[[#This Row],[Blanket]],Table_NFI[[#This Row],[Blanket]])</f>
        <v>0</v>
      </c>
      <c r="AE251" s="378">
        <f>IF(NFI_Expiration=1,IF($A251&lt;VLOOKUP(N$5,NFI,5,0),1,0)*Table_NFI[[#This Row],[Kitchen Set]],Table_NFI[Kitchen Set])</f>
        <v>0</v>
      </c>
      <c r="AF251" s="378">
        <f>IF(NFI_Expiration=1,IF($A251&lt;VLOOKUP(O$5,NFI,5,0),1,0)*Table_NFI[[#This Row],[Clothes Kit]],Table_NFI[Clothes Kit])</f>
        <v>0</v>
      </c>
      <c r="AG251" s="378">
        <f>IF(NFI_Expiration=1,IF($A251&lt;VLOOKUP(P$5,NFI,5,0),1,0)*Table_NFI[[#This Row],[Plastic Bucket]],Table_NFI[Plastic Bucket])</f>
        <v>0</v>
      </c>
      <c r="AH251" s="378">
        <f>IF(NFI_Expiration=1,IF($A251&lt;VLOOKUP(Q$5,NFI,5,0),1,0)*Table_NFI[[#This Row],[Plastic Mat]],Table_NFI[Plastic Mat])*IF(Table_NFI[[#This Row],[Distribution Date]]&gt;"2014-04-01",1,2.5)</f>
        <v>0</v>
      </c>
      <c r="AI251" s="378">
        <f>IF(NFI_Expiration=1,IF($A251&lt;VLOOKUP(R$5,NFI,5,0),1,0)*Table_NFI[[#This Row],[Winter Clothes Adult]],Table_NFI[Winter Clothes Adult])</f>
        <v>0</v>
      </c>
      <c r="AJ251" s="378">
        <f>IF(NFI_Expiration=1,IF($A251&lt;VLOOKUP(S$5,NFI,5,0),1,0)*Table_NFI[[#This Row],[Winter Clothes Children]],Table_NFI[Winter Clothes Children])</f>
        <v>0</v>
      </c>
      <c r="AK251" s="378">
        <f>IF(NFI_Expiration=1,IF($A251&lt;VLOOKUP(T$5,NFI,5,0),1,0)*Table_NFI[[#This Row],[Winter Items Other]],Table_NFI[Winter Items Other])</f>
        <v>0</v>
      </c>
      <c r="AL251" s="378">
        <f>IF(NFI_Expiration=1,IF($A251&lt;VLOOKUP(M$5,NFI,5,0),1,0)*Table_NFI[[#This Row],[Winter Blanket]],Table_NFI[[#This Row],[Winter Blanket]])</f>
        <v>0</v>
      </c>
      <c r="AM251" s="378">
        <f>IF(Table_NFI[[#This Row],[Winter Clothes Adult]]+Table_NFI[[#This Row],[Winter Clothes Children]]+Table_NFI[[#This Row],[Winter Items Other]]+Table_NFI[[#This Row],[Winter Blanket]]&gt;0,1,0)</f>
        <v>0</v>
      </c>
      <c r="AN251" s="418">
        <f>IF(NFI_Expiration=1,IF($A251&lt;VLOOKUP(V$5,NFI,5,0),1,0)*Table_NFI[[#This Row],[Jerry Can]],Table_NFI[Jerry Can])</f>
        <v>0</v>
      </c>
      <c r="AO251" s="579" t="str">
        <f>IFERROR(VLOOKUP(Table_NFI[[#This Row],[Camp Name]],CL,2,0),"")</f>
        <v>MMR001CMP128</v>
      </c>
      <c r="AP251" s="574">
        <f ca="1">IF(Table_NFI[[#This Row],[Pcode]]="","",IF(OFFSET(CampList[Opening Date],MATCH(Table_NFI[[#This Row],[Pcode]],CampList[CP_Pcode],0)-1,0,1,1)&gt;=NFI_Monitor_Date,1,0))</f>
        <v>0</v>
      </c>
      <c r="AQ251" s="579" t="str">
        <f>IFERROR(VLOOKUP(Table_NFI[[#This Row],[Camp Name]],CL,3,0),"")</f>
        <v>Open</v>
      </c>
      <c r="AR251" s="378" t="str">
        <f ca="1">IF(Table_NFI[[#This Row],[Pcode]]="","",OFFSET(CampList[Priority],MATCH(Table_NFI[[#This Row],[Pcode]],CampList[CP_Pcode],0)-1,0,1,1))</f>
        <v>P2</v>
      </c>
      <c r="AS251" s="377">
        <f>IFERROR(Table_NFI[[#This Row],[Kitchen Set]]/VLOOKUP(Table_NFI[[#This Row],[Camp Name]],CL,4,0),"")</f>
        <v>0</v>
      </c>
      <c r="AT251" s="572" t="s">
        <v>1095</v>
      </c>
      <c r="AU251" s="575"/>
    </row>
    <row r="252" spans="1:47" s="576" customFormat="1" x14ac:dyDescent="0.25">
      <c r="A252" s="381">
        <f t="shared" si="3"/>
        <v>30.466666666666665</v>
      </c>
      <c r="B252" s="571">
        <v>41608</v>
      </c>
      <c r="C252" s="572" t="s">
        <v>908</v>
      </c>
      <c r="D252" s="572" t="s">
        <v>1005</v>
      </c>
      <c r="E252" s="572" t="s">
        <v>380</v>
      </c>
      <c r="F252" s="374" t="s">
        <v>151</v>
      </c>
      <c r="G252" s="374" t="s">
        <v>198</v>
      </c>
      <c r="H252" s="375"/>
      <c r="I252" s="375"/>
      <c r="J252" s="375"/>
      <c r="K252" s="375"/>
      <c r="L252" s="376"/>
      <c r="M252" s="376"/>
      <c r="N252" s="376"/>
      <c r="O252" s="376"/>
      <c r="P252" s="378"/>
      <c r="Q252" s="378"/>
      <c r="R252" s="378"/>
      <c r="S252" s="378"/>
      <c r="T252" s="378"/>
      <c r="U252" s="378"/>
      <c r="V252" s="533"/>
      <c r="W252" s="378"/>
      <c r="X252" s="378"/>
      <c r="Y252" s="378">
        <f>IF(NFI_Expiration=1,IF($A252&lt;VLOOKUP(H$5,NFI,5,0),1,0)*Table_NFI[[#This Row],[Hygiene Kit]],Table_NFI[Hygiene Kit])</f>
        <v>0</v>
      </c>
      <c r="Z252" s="378">
        <f>IF(NFI_Expiration=1,IF($A252&lt;VLOOKUP(I$5,NFI,5,0),1,0)*Table_NFI[[#This Row],[NFI Core Kit]],Table_NFI[NFI Core Kit])</f>
        <v>0</v>
      </c>
      <c r="AA252" s="378">
        <f>IF(NFI_Expiration=1,IF($A252&lt;VLOOKUP(J$5,NFI,5,0),1,0)*Table_NFI[[#This Row],[Sanitary Kit]],Table_NFI[Sanitary Kit])</f>
        <v>0</v>
      </c>
      <c r="AB252" s="378">
        <f>IF(NFI_Expiration=1,IF($A252&lt;VLOOKUP(K$5,NFI,5,0),1,0)*Table_NFI[[#This Row],[Mosquito net]],Table_NFI[Mosquito net])</f>
        <v>0</v>
      </c>
      <c r="AC252" s="378">
        <f>IF(NFI_Expiration=1,IF($A252&lt;VLOOKUP(L$5,NFI,5,0),1,0)*Table_NFI[[#This Row],[Tarpaulin]],Table_NFI[[#This Row],[Tarpaulin]])</f>
        <v>0</v>
      </c>
      <c r="AD252" s="378">
        <f>IF(NFI_Expiration=1,IF($A252&lt;VLOOKUP(M$5,NFI,5,0),1,0)*Table_NFI[[#This Row],[Blanket]],Table_NFI[[#This Row],[Blanket]])</f>
        <v>0</v>
      </c>
      <c r="AE252" s="378">
        <f>IF(NFI_Expiration=1,IF($A252&lt;VLOOKUP(N$5,NFI,5,0),1,0)*Table_NFI[[#This Row],[Kitchen Set]],Table_NFI[Kitchen Set])</f>
        <v>0</v>
      </c>
      <c r="AF252" s="378">
        <f>IF(NFI_Expiration=1,IF($A252&lt;VLOOKUP(O$5,NFI,5,0),1,0)*Table_NFI[[#This Row],[Clothes Kit]],Table_NFI[Clothes Kit])</f>
        <v>0</v>
      </c>
      <c r="AG252" s="378">
        <f>IF(NFI_Expiration=1,IF($A252&lt;VLOOKUP(P$5,NFI,5,0),1,0)*Table_NFI[[#This Row],[Plastic Bucket]],Table_NFI[Plastic Bucket])</f>
        <v>0</v>
      </c>
      <c r="AH252" s="378">
        <f>IF(NFI_Expiration=1,IF($A252&lt;VLOOKUP(Q$5,NFI,5,0),1,0)*Table_NFI[[#This Row],[Plastic Mat]],Table_NFI[Plastic Mat])*IF(Table_NFI[[#This Row],[Distribution Date]]&gt;"2014-04-01",1,2.5)</f>
        <v>0</v>
      </c>
      <c r="AI252" s="378">
        <f>IF(NFI_Expiration=1,IF($A252&lt;VLOOKUP(R$5,NFI,5,0),1,0)*Table_NFI[[#This Row],[Winter Clothes Adult]],Table_NFI[Winter Clothes Adult])</f>
        <v>0</v>
      </c>
      <c r="AJ252" s="378">
        <f>IF(NFI_Expiration=1,IF($A252&lt;VLOOKUP(S$5,NFI,5,0),1,0)*Table_NFI[[#This Row],[Winter Clothes Children]],Table_NFI[Winter Clothes Children])</f>
        <v>0</v>
      </c>
      <c r="AK252" s="378">
        <f>IF(NFI_Expiration=1,IF($A252&lt;VLOOKUP(T$5,NFI,5,0),1,0)*Table_NFI[[#This Row],[Winter Items Other]],Table_NFI[Winter Items Other])</f>
        <v>0</v>
      </c>
      <c r="AL252" s="378">
        <f>IF(NFI_Expiration=1,IF($A252&lt;VLOOKUP(M$5,NFI,5,0),1,0)*Table_NFI[[#This Row],[Winter Blanket]],Table_NFI[[#This Row],[Winter Blanket]])</f>
        <v>0</v>
      </c>
      <c r="AM252" s="378">
        <f>IF(Table_NFI[[#This Row],[Winter Clothes Adult]]+Table_NFI[[#This Row],[Winter Clothes Children]]+Table_NFI[[#This Row],[Winter Items Other]]+Table_NFI[[#This Row],[Winter Blanket]]&gt;0,1,0)</f>
        <v>0</v>
      </c>
      <c r="AN252" s="418">
        <f>IF(NFI_Expiration=1,IF($A252&lt;VLOOKUP(V$5,NFI,5,0),1,0)*Table_NFI[[#This Row],[Jerry Can]],Table_NFI[Jerry Can])</f>
        <v>0</v>
      </c>
      <c r="AO252" s="579" t="str">
        <f>IFERROR(VLOOKUP(Table_NFI[[#This Row],[Camp Name]],CL,2,0),"")</f>
        <v>MMR001CMP128</v>
      </c>
      <c r="AP252" s="574">
        <f ca="1">IF(Table_NFI[[#This Row],[Pcode]]="","",IF(OFFSET(CampList[Opening Date],MATCH(Table_NFI[[#This Row],[Pcode]],CampList[CP_Pcode],0)-1,0,1,1)&gt;=NFI_Monitor_Date,1,0))</f>
        <v>0</v>
      </c>
      <c r="AQ252" s="579" t="str">
        <f>IFERROR(VLOOKUP(Table_NFI[[#This Row],[Camp Name]],CL,3,0),"")</f>
        <v>Open</v>
      </c>
      <c r="AR252" s="378" t="str">
        <f ca="1">IF(Table_NFI[[#This Row],[Pcode]]="","",OFFSET(CampList[Priority],MATCH(Table_NFI[[#This Row],[Pcode]],CampList[CP_Pcode],0)-1,0,1,1))</f>
        <v>P2</v>
      </c>
      <c r="AS252" s="377">
        <f>IFERROR(Table_NFI[[#This Row],[Kitchen Set]]/VLOOKUP(Table_NFI[[#This Row],[Camp Name]],CL,4,0),"")</f>
        <v>0</v>
      </c>
      <c r="AT252" s="572" t="s">
        <v>1095</v>
      </c>
      <c r="AU252" s="575"/>
    </row>
    <row r="253" spans="1:47" s="576" customFormat="1" x14ac:dyDescent="0.25">
      <c r="A253" s="381">
        <f t="shared" si="3"/>
        <v>30.466666666666665</v>
      </c>
      <c r="B253" s="571">
        <v>41608</v>
      </c>
      <c r="C253" s="572" t="s">
        <v>454</v>
      </c>
      <c r="D253" s="573" t="s">
        <v>454</v>
      </c>
      <c r="E253" s="572" t="s">
        <v>380</v>
      </c>
      <c r="F253" s="374" t="s">
        <v>151</v>
      </c>
      <c r="G253" s="374" t="s">
        <v>198</v>
      </c>
      <c r="H253" s="375"/>
      <c r="I253" s="375"/>
      <c r="J253" s="375"/>
      <c r="K253" s="375"/>
      <c r="L253" s="376"/>
      <c r="M253" s="376"/>
      <c r="N253" s="376"/>
      <c r="O253" s="376"/>
      <c r="P253" s="378"/>
      <c r="Q253" s="378"/>
      <c r="R253" s="378"/>
      <c r="S253" s="378"/>
      <c r="T253" s="378"/>
      <c r="U253" s="378"/>
      <c r="V253" s="533"/>
      <c r="W253" s="378"/>
      <c r="X253" s="378"/>
      <c r="Y253" s="378">
        <f>IF(NFI_Expiration=1,IF($A253&lt;VLOOKUP(H$5,NFI,5,0),1,0)*Table_NFI[[#This Row],[Hygiene Kit]],Table_NFI[Hygiene Kit])</f>
        <v>0</v>
      </c>
      <c r="Z253" s="378">
        <f>IF(NFI_Expiration=1,IF($A253&lt;VLOOKUP(I$5,NFI,5,0),1,0)*Table_NFI[[#This Row],[NFI Core Kit]],Table_NFI[NFI Core Kit])</f>
        <v>0</v>
      </c>
      <c r="AA253" s="378">
        <f>IF(NFI_Expiration=1,IF($A253&lt;VLOOKUP(J$5,NFI,5,0),1,0)*Table_NFI[[#This Row],[Sanitary Kit]],Table_NFI[Sanitary Kit])</f>
        <v>0</v>
      </c>
      <c r="AB253" s="378">
        <f>IF(NFI_Expiration=1,IF($A253&lt;VLOOKUP(K$5,NFI,5,0),1,0)*Table_NFI[[#This Row],[Mosquito net]],Table_NFI[Mosquito net])</f>
        <v>0</v>
      </c>
      <c r="AC253" s="378">
        <f>IF(NFI_Expiration=1,IF($A253&lt;VLOOKUP(L$5,NFI,5,0),1,0)*Table_NFI[[#This Row],[Tarpaulin]],Table_NFI[[#This Row],[Tarpaulin]])</f>
        <v>0</v>
      </c>
      <c r="AD253" s="378">
        <f>IF(NFI_Expiration=1,IF($A253&lt;VLOOKUP(M$5,NFI,5,0),1,0)*Table_NFI[[#This Row],[Blanket]],Table_NFI[[#This Row],[Blanket]])</f>
        <v>0</v>
      </c>
      <c r="AE253" s="378">
        <f>IF(NFI_Expiration=1,IF($A253&lt;VLOOKUP(N$5,NFI,5,0),1,0)*Table_NFI[[#This Row],[Kitchen Set]],Table_NFI[Kitchen Set])</f>
        <v>0</v>
      </c>
      <c r="AF253" s="378">
        <f>IF(NFI_Expiration=1,IF($A253&lt;VLOOKUP(O$5,NFI,5,0),1,0)*Table_NFI[[#This Row],[Clothes Kit]],Table_NFI[Clothes Kit])</f>
        <v>0</v>
      </c>
      <c r="AG253" s="378">
        <f>IF(NFI_Expiration=1,IF($A253&lt;VLOOKUP(P$5,NFI,5,0),1,0)*Table_NFI[[#This Row],[Plastic Bucket]],Table_NFI[Plastic Bucket])</f>
        <v>0</v>
      </c>
      <c r="AH253" s="378">
        <f>IF(NFI_Expiration=1,IF($A253&lt;VLOOKUP(Q$5,NFI,5,0),1,0)*Table_NFI[[#This Row],[Plastic Mat]],Table_NFI[Plastic Mat])*IF(Table_NFI[[#This Row],[Distribution Date]]&gt;"2014-04-01",1,2.5)</f>
        <v>0</v>
      </c>
      <c r="AI253" s="378">
        <f>IF(NFI_Expiration=1,IF($A253&lt;VLOOKUP(R$5,NFI,5,0),1,0)*Table_NFI[[#This Row],[Winter Clothes Adult]],Table_NFI[Winter Clothes Adult])</f>
        <v>0</v>
      </c>
      <c r="AJ253" s="378">
        <f>IF(NFI_Expiration=1,IF($A253&lt;VLOOKUP(S$5,NFI,5,0),1,0)*Table_NFI[[#This Row],[Winter Clothes Children]],Table_NFI[Winter Clothes Children])</f>
        <v>0</v>
      </c>
      <c r="AK253" s="378">
        <f>IF(NFI_Expiration=1,IF($A253&lt;VLOOKUP(T$5,NFI,5,0),1,0)*Table_NFI[[#This Row],[Winter Items Other]],Table_NFI[Winter Items Other])</f>
        <v>0</v>
      </c>
      <c r="AL253" s="378">
        <f>IF(NFI_Expiration=1,IF($A253&lt;VLOOKUP(M$5,NFI,5,0),1,0)*Table_NFI[[#This Row],[Winter Blanket]],Table_NFI[[#This Row],[Winter Blanket]])</f>
        <v>0</v>
      </c>
      <c r="AM253" s="378">
        <f>IF(Table_NFI[[#This Row],[Winter Clothes Adult]]+Table_NFI[[#This Row],[Winter Clothes Children]]+Table_NFI[[#This Row],[Winter Items Other]]+Table_NFI[[#This Row],[Winter Blanket]]&gt;0,1,0)</f>
        <v>0</v>
      </c>
      <c r="AN253" s="418">
        <f>IF(NFI_Expiration=1,IF($A253&lt;VLOOKUP(V$5,NFI,5,0),1,0)*Table_NFI[[#This Row],[Jerry Can]],Table_NFI[Jerry Can])</f>
        <v>0</v>
      </c>
      <c r="AO253" s="579" t="str">
        <f>IFERROR(VLOOKUP(Table_NFI[[#This Row],[Camp Name]],CL,2,0),"")</f>
        <v>MMR001CMP128</v>
      </c>
      <c r="AP253" s="574">
        <f ca="1">IF(Table_NFI[[#This Row],[Pcode]]="","",IF(OFFSET(CampList[Opening Date],MATCH(Table_NFI[[#This Row],[Pcode]],CampList[CP_Pcode],0)-1,0,1,1)&gt;=NFI_Monitor_Date,1,0))</f>
        <v>0</v>
      </c>
      <c r="AQ253" s="579" t="str">
        <f>IFERROR(VLOOKUP(Table_NFI[[#This Row],[Camp Name]],CL,3,0),"")</f>
        <v>Open</v>
      </c>
      <c r="AR253" s="378" t="str">
        <f ca="1">IF(Table_NFI[[#This Row],[Pcode]]="","",OFFSET(CampList[Priority],MATCH(Table_NFI[[#This Row],[Pcode]],CampList[CP_Pcode],0)-1,0,1,1))</f>
        <v>P2</v>
      </c>
      <c r="AS253" s="377">
        <f>IFERROR(Table_NFI[[#This Row],[Kitchen Set]]/VLOOKUP(Table_NFI[[#This Row],[Camp Name]],CL,4,0),"")</f>
        <v>0</v>
      </c>
      <c r="AT253" s="572" t="s">
        <v>1095</v>
      </c>
      <c r="AU253" s="575"/>
    </row>
    <row r="254" spans="1:47" s="576" customFormat="1" x14ac:dyDescent="0.25">
      <c r="A254" s="381">
        <f t="shared" si="3"/>
        <v>31</v>
      </c>
      <c r="B254" s="571">
        <v>41592</v>
      </c>
      <c r="C254" s="572" t="s">
        <v>908</v>
      </c>
      <c r="D254" s="572" t="s">
        <v>1005</v>
      </c>
      <c r="E254" s="572" t="s">
        <v>380</v>
      </c>
      <c r="F254" s="374" t="s">
        <v>151</v>
      </c>
      <c r="G254" s="572" t="s">
        <v>198</v>
      </c>
      <c r="H254" s="375"/>
      <c r="I254" s="375"/>
      <c r="J254" s="375"/>
      <c r="K254" s="375"/>
      <c r="L254" s="376"/>
      <c r="M254" s="376"/>
      <c r="N254" s="376"/>
      <c r="O254" s="376"/>
      <c r="P254" s="378"/>
      <c r="Q254" s="378"/>
      <c r="R254" s="378">
        <v>550</v>
      </c>
      <c r="S254" s="378">
        <v>1101</v>
      </c>
      <c r="T254" s="378">
        <v>3302</v>
      </c>
      <c r="U254" s="378">
        <v>1651</v>
      </c>
      <c r="V254" s="533"/>
      <c r="W254" s="378"/>
      <c r="X254" s="378"/>
      <c r="Y254" s="378">
        <f>IF(NFI_Expiration=1,IF($A254&lt;VLOOKUP(H$5,NFI,5,0),1,0)*Table_NFI[[#This Row],[Hygiene Kit]],Table_NFI[Hygiene Kit])</f>
        <v>0</v>
      </c>
      <c r="Z254" s="378">
        <f>IF(NFI_Expiration=1,IF($A254&lt;VLOOKUP(I$5,NFI,5,0),1,0)*Table_NFI[[#This Row],[NFI Core Kit]],Table_NFI[NFI Core Kit])</f>
        <v>0</v>
      </c>
      <c r="AA254" s="378">
        <f>IF(NFI_Expiration=1,IF($A254&lt;VLOOKUP(J$5,NFI,5,0),1,0)*Table_NFI[[#This Row],[Sanitary Kit]],Table_NFI[Sanitary Kit])</f>
        <v>0</v>
      </c>
      <c r="AB254" s="378">
        <f>IF(NFI_Expiration=1,IF($A254&lt;VLOOKUP(K$5,NFI,5,0),1,0)*Table_NFI[[#This Row],[Mosquito net]],Table_NFI[Mosquito net])</f>
        <v>0</v>
      </c>
      <c r="AC254" s="378">
        <f>IF(NFI_Expiration=1,IF($A254&lt;VLOOKUP(L$5,NFI,5,0),1,0)*Table_NFI[[#This Row],[Tarpaulin]],Table_NFI[[#This Row],[Tarpaulin]])</f>
        <v>0</v>
      </c>
      <c r="AD254" s="378">
        <f>IF(NFI_Expiration=1,IF($A254&lt;VLOOKUP(M$5,NFI,5,0),1,0)*Table_NFI[[#This Row],[Blanket]],Table_NFI[[#This Row],[Blanket]])</f>
        <v>0</v>
      </c>
      <c r="AE254" s="378">
        <f>IF(NFI_Expiration=1,IF($A254&lt;VLOOKUP(N$5,NFI,5,0),1,0)*Table_NFI[[#This Row],[Kitchen Set]],Table_NFI[Kitchen Set])</f>
        <v>0</v>
      </c>
      <c r="AF254" s="378">
        <f>IF(NFI_Expiration=1,IF($A254&lt;VLOOKUP(O$5,NFI,5,0),1,0)*Table_NFI[[#This Row],[Clothes Kit]],Table_NFI[Clothes Kit])</f>
        <v>0</v>
      </c>
      <c r="AG254" s="378">
        <f>IF(NFI_Expiration=1,IF($A254&lt;VLOOKUP(P$5,NFI,5,0),1,0)*Table_NFI[[#This Row],[Plastic Bucket]],Table_NFI[Plastic Bucket])</f>
        <v>0</v>
      </c>
      <c r="AH254" s="378">
        <f>IF(NFI_Expiration=1,IF($A254&lt;VLOOKUP(Q$5,NFI,5,0),1,0)*Table_NFI[[#This Row],[Plastic Mat]],Table_NFI[Plastic Mat])*IF(Table_NFI[[#This Row],[Distribution Date]]&gt;"2014-04-01",1,2.5)</f>
        <v>0</v>
      </c>
      <c r="AI254" s="378">
        <f>IF(NFI_Expiration=1,IF($A254&lt;VLOOKUP(R$5,NFI,5,0),1,0)*Table_NFI[[#This Row],[Winter Clothes Adult]],Table_NFI[Winter Clothes Adult])</f>
        <v>0</v>
      </c>
      <c r="AJ254" s="378">
        <f>IF(NFI_Expiration=1,IF($A254&lt;VLOOKUP(S$5,NFI,5,0),1,0)*Table_NFI[[#This Row],[Winter Clothes Children]],Table_NFI[Winter Clothes Children])</f>
        <v>0</v>
      </c>
      <c r="AK254" s="378">
        <f>IF(NFI_Expiration=1,IF($A254&lt;VLOOKUP(T$5,NFI,5,0),1,0)*Table_NFI[[#This Row],[Winter Items Other]],Table_NFI[Winter Items Other])</f>
        <v>0</v>
      </c>
      <c r="AL254" s="378">
        <f>IF(NFI_Expiration=1,IF($A254&lt;VLOOKUP(M$5,NFI,5,0),1,0)*Table_NFI[[#This Row],[Winter Blanket]],Table_NFI[[#This Row],[Winter Blanket]])</f>
        <v>0</v>
      </c>
      <c r="AM254" s="378">
        <f>IF(Table_NFI[[#This Row],[Winter Clothes Adult]]+Table_NFI[[#This Row],[Winter Clothes Children]]+Table_NFI[[#This Row],[Winter Items Other]]+Table_NFI[[#This Row],[Winter Blanket]]&gt;0,1,0)</f>
        <v>1</v>
      </c>
      <c r="AN254" s="418">
        <f>IF(NFI_Expiration=1,IF($A254&lt;VLOOKUP(V$5,NFI,5,0),1,0)*Table_NFI[[#This Row],[Jerry Can]],Table_NFI[Jerry Can])</f>
        <v>0</v>
      </c>
      <c r="AO254" s="579" t="str">
        <f>IFERROR(VLOOKUP(Table_NFI[[#This Row],[Camp Name]],CL,2,0),"")</f>
        <v>MMR001CMP128</v>
      </c>
      <c r="AP254" s="574">
        <f ca="1">IF(Table_NFI[[#This Row],[Pcode]]="","",IF(OFFSET(CampList[Opening Date],MATCH(Table_NFI[[#This Row],[Pcode]],CampList[CP_Pcode],0)-1,0,1,1)&gt;=NFI_Monitor_Date,1,0))</f>
        <v>0</v>
      </c>
      <c r="AQ254" s="579" t="str">
        <f>IFERROR(VLOOKUP(Table_NFI[[#This Row],[Camp Name]],CL,3,0),"")</f>
        <v>Open</v>
      </c>
      <c r="AR254" s="378" t="str">
        <f ca="1">IF(Table_NFI[[#This Row],[Pcode]]="","",OFFSET(CampList[Priority],MATCH(Table_NFI[[#This Row],[Pcode]],CampList[CP_Pcode],0)-1,0,1,1))</f>
        <v>P2</v>
      </c>
      <c r="AS254" s="377">
        <f>IFERROR(Table_NFI[[#This Row],[Kitchen Set]]/VLOOKUP(Table_NFI[[#This Row],[Camp Name]],CL,4,0),"")</f>
        <v>0</v>
      </c>
      <c r="AT254" s="572"/>
      <c r="AU254" s="575"/>
    </row>
    <row r="255" spans="1:47" s="576" customFormat="1" x14ac:dyDescent="0.25">
      <c r="A255" s="381">
        <f t="shared" si="3"/>
        <v>31.366666666666667</v>
      </c>
      <c r="B255" s="571">
        <v>41581</v>
      </c>
      <c r="C255" s="572" t="s">
        <v>454</v>
      </c>
      <c r="D255" s="572" t="s">
        <v>575</v>
      </c>
      <c r="E255" s="572" t="s">
        <v>380</v>
      </c>
      <c r="F255" s="374" t="s">
        <v>151</v>
      </c>
      <c r="G255" s="374" t="s">
        <v>198</v>
      </c>
      <c r="H255" s="375"/>
      <c r="I255" s="375"/>
      <c r="J255" s="375">
        <v>592</v>
      </c>
      <c r="K255" s="375">
        <v>592</v>
      </c>
      <c r="L255" s="376">
        <v>296</v>
      </c>
      <c r="M255" s="376">
        <v>296</v>
      </c>
      <c r="N255" s="376">
        <v>296</v>
      </c>
      <c r="O255" s="376">
        <v>296</v>
      </c>
      <c r="P255" s="378"/>
      <c r="Q255" s="378"/>
      <c r="R255" s="378"/>
      <c r="S255" s="378"/>
      <c r="T255" s="378"/>
      <c r="U255" s="378"/>
      <c r="V255" s="533"/>
      <c r="W255" s="378"/>
      <c r="X255" s="378"/>
      <c r="Y255" s="378">
        <f>IF(NFI_Expiration=1,IF($A255&lt;VLOOKUP(H$5,NFI,5,0),1,0)*Table_NFI[[#This Row],[Hygiene Kit]],Table_NFI[Hygiene Kit])</f>
        <v>0</v>
      </c>
      <c r="Z255" s="378">
        <f>IF(NFI_Expiration=1,IF($A255&lt;VLOOKUP(I$5,NFI,5,0),1,0)*Table_NFI[[#This Row],[NFI Core Kit]],Table_NFI[NFI Core Kit])</f>
        <v>0</v>
      </c>
      <c r="AA255" s="378">
        <f>IF(NFI_Expiration=1,IF($A255&lt;VLOOKUP(J$5,NFI,5,0),1,0)*Table_NFI[[#This Row],[Sanitary Kit]],Table_NFI[Sanitary Kit])</f>
        <v>0</v>
      </c>
      <c r="AB255" s="378">
        <f>IF(NFI_Expiration=1,IF($A255&lt;VLOOKUP(K$5,NFI,5,0),1,0)*Table_NFI[[#This Row],[Mosquito net]],Table_NFI[Mosquito net])</f>
        <v>0</v>
      </c>
      <c r="AC255" s="378">
        <f>IF(NFI_Expiration=1,IF($A255&lt;VLOOKUP(L$5,NFI,5,0),1,0)*Table_NFI[[#This Row],[Tarpaulin]],Table_NFI[[#This Row],[Tarpaulin]])</f>
        <v>0</v>
      </c>
      <c r="AD255" s="378">
        <f>IF(NFI_Expiration=1,IF($A255&lt;VLOOKUP(M$5,NFI,5,0),1,0)*Table_NFI[[#This Row],[Blanket]],Table_NFI[[#This Row],[Blanket]])</f>
        <v>0</v>
      </c>
      <c r="AE255" s="378">
        <f>IF(NFI_Expiration=1,IF($A255&lt;VLOOKUP(N$5,NFI,5,0),1,0)*Table_NFI[[#This Row],[Kitchen Set]],Table_NFI[Kitchen Set])</f>
        <v>0</v>
      </c>
      <c r="AF255" s="378">
        <f>IF(NFI_Expiration=1,IF($A255&lt;VLOOKUP(O$5,NFI,5,0),1,0)*Table_NFI[[#This Row],[Clothes Kit]],Table_NFI[Clothes Kit])</f>
        <v>0</v>
      </c>
      <c r="AG255" s="378">
        <f>IF(NFI_Expiration=1,IF($A255&lt;VLOOKUP(P$5,NFI,5,0),1,0)*Table_NFI[[#This Row],[Plastic Bucket]],Table_NFI[Plastic Bucket])</f>
        <v>0</v>
      </c>
      <c r="AH255" s="378">
        <f>IF(NFI_Expiration=1,IF($A255&lt;VLOOKUP(Q$5,NFI,5,0),1,0)*Table_NFI[[#This Row],[Plastic Mat]],Table_NFI[Plastic Mat])*IF(Table_NFI[[#This Row],[Distribution Date]]&gt;"2014-04-01",1,2.5)</f>
        <v>0</v>
      </c>
      <c r="AI255" s="378">
        <f>IF(NFI_Expiration=1,IF($A255&lt;VLOOKUP(R$5,NFI,5,0),1,0)*Table_NFI[[#This Row],[Winter Clothes Adult]],Table_NFI[Winter Clothes Adult])</f>
        <v>0</v>
      </c>
      <c r="AJ255" s="378">
        <f>IF(NFI_Expiration=1,IF($A255&lt;VLOOKUP(S$5,NFI,5,0),1,0)*Table_NFI[[#This Row],[Winter Clothes Children]],Table_NFI[Winter Clothes Children])</f>
        <v>0</v>
      </c>
      <c r="AK255" s="378">
        <f>IF(NFI_Expiration=1,IF($A255&lt;VLOOKUP(T$5,NFI,5,0),1,0)*Table_NFI[[#This Row],[Winter Items Other]],Table_NFI[Winter Items Other])</f>
        <v>0</v>
      </c>
      <c r="AL255" s="378">
        <f>IF(NFI_Expiration=1,IF($A255&lt;VLOOKUP(M$5,NFI,5,0),1,0)*Table_NFI[[#This Row],[Winter Blanket]],Table_NFI[[#This Row],[Winter Blanket]])</f>
        <v>0</v>
      </c>
      <c r="AM255" s="378">
        <f>IF(Table_NFI[[#This Row],[Winter Clothes Adult]]+Table_NFI[[#This Row],[Winter Clothes Children]]+Table_NFI[[#This Row],[Winter Items Other]]+Table_NFI[[#This Row],[Winter Blanket]]&gt;0,1,0)</f>
        <v>0</v>
      </c>
      <c r="AN255" s="418">
        <f>IF(NFI_Expiration=1,IF($A255&lt;VLOOKUP(V$5,NFI,5,0),1,0)*Table_NFI[[#This Row],[Jerry Can]],Table_NFI[Jerry Can])</f>
        <v>0</v>
      </c>
      <c r="AO255" s="579" t="str">
        <f>IFERROR(VLOOKUP(Table_NFI[[#This Row],[Camp Name]],CL,2,0),"")</f>
        <v>MMR001CMP128</v>
      </c>
      <c r="AP255" s="574">
        <f ca="1">IF(Table_NFI[[#This Row],[Pcode]]="","",IF(OFFSET(CampList[Opening Date],MATCH(Table_NFI[[#This Row],[Pcode]],CampList[CP_Pcode],0)-1,0,1,1)&gt;=NFI_Monitor_Date,1,0))</f>
        <v>0</v>
      </c>
      <c r="AQ255" s="579" t="str">
        <f>IFERROR(VLOOKUP(Table_NFI[[#This Row],[Camp Name]],CL,3,0),"")</f>
        <v>Open</v>
      </c>
      <c r="AR255" s="378" t="str">
        <f ca="1">IF(Table_NFI[[#This Row],[Pcode]]="","",OFFSET(CampList[Priority],MATCH(Table_NFI[[#This Row],[Pcode]],CampList[CP_Pcode],0)-1,0,1,1))</f>
        <v>P2</v>
      </c>
      <c r="AS255" s="377">
        <f>IFERROR(Table_NFI[[#This Row],[Kitchen Set]]/VLOOKUP(Table_NFI[[#This Row],[Camp Name]],CL,4,0),"")</f>
        <v>0.5431192660550459</v>
      </c>
      <c r="AT255" s="572" t="s">
        <v>1095</v>
      </c>
      <c r="AU255" s="575"/>
    </row>
    <row r="256" spans="1:47" s="576" customFormat="1" x14ac:dyDescent="0.25">
      <c r="A256" s="381">
        <f t="shared" si="3"/>
        <v>50.666666666666664</v>
      </c>
      <c r="B256" s="571">
        <v>41002</v>
      </c>
      <c r="C256" s="572" t="s">
        <v>454</v>
      </c>
      <c r="D256" s="572" t="s">
        <v>454</v>
      </c>
      <c r="E256" s="572" t="s">
        <v>380</v>
      </c>
      <c r="F256" s="374" t="s">
        <v>151</v>
      </c>
      <c r="G256" s="374" t="s">
        <v>198</v>
      </c>
      <c r="H256" s="375"/>
      <c r="I256" s="375"/>
      <c r="J256" s="375"/>
      <c r="K256" s="375">
        <v>510</v>
      </c>
      <c r="L256" s="376">
        <v>0</v>
      </c>
      <c r="M256" s="376">
        <v>510</v>
      </c>
      <c r="N256" s="376">
        <v>255</v>
      </c>
      <c r="O256" s="376">
        <v>255</v>
      </c>
      <c r="P256" s="378">
        <v>255</v>
      </c>
      <c r="Q256" s="378">
        <v>255</v>
      </c>
      <c r="R256" s="378"/>
      <c r="S256" s="378"/>
      <c r="T256" s="378"/>
      <c r="U256" s="378"/>
      <c r="V256" s="533"/>
      <c r="W256" s="378"/>
      <c r="X256" s="378"/>
      <c r="Y256" s="378">
        <f>IF(NFI_Expiration=1,IF($A256&lt;VLOOKUP(H$5,NFI,5,0),1,0)*Table_NFI[[#This Row],[Hygiene Kit]],Table_NFI[Hygiene Kit])</f>
        <v>0</v>
      </c>
      <c r="Z256" s="378">
        <f>IF(NFI_Expiration=1,IF($A256&lt;VLOOKUP(I$5,NFI,5,0),1,0)*Table_NFI[[#This Row],[NFI Core Kit]],Table_NFI[NFI Core Kit])</f>
        <v>0</v>
      </c>
      <c r="AA256" s="378">
        <f>IF(NFI_Expiration=1,IF($A256&lt;VLOOKUP(J$5,NFI,5,0),1,0)*Table_NFI[[#This Row],[Sanitary Kit]],Table_NFI[Sanitary Kit])</f>
        <v>0</v>
      </c>
      <c r="AB256" s="378">
        <f>IF(NFI_Expiration=1,IF($A256&lt;VLOOKUP(K$5,NFI,5,0),1,0)*Table_NFI[[#This Row],[Mosquito net]],Table_NFI[Mosquito net])</f>
        <v>0</v>
      </c>
      <c r="AC256" s="378">
        <f>IF(NFI_Expiration=1,IF($A256&lt;VLOOKUP(L$5,NFI,5,0),1,0)*Table_NFI[[#This Row],[Tarpaulin]],Table_NFI[[#This Row],[Tarpaulin]])</f>
        <v>0</v>
      </c>
      <c r="AD256" s="378">
        <f>IF(NFI_Expiration=1,IF($A256&lt;VLOOKUP(M$5,NFI,5,0),1,0)*Table_NFI[[#This Row],[Blanket]],Table_NFI[[#This Row],[Blanket]])</f>
        <v>0</v>
      </c>
      <c r="AE256" s="378">
        <f>IF(NFI_Expiration=1,IF($A256&lt;VLOOKUP(N$5,NFI,5,0),1,0)*Table_NFI[[#This Row],[Kitchen Set]],Table_NFI[Kitchen Set])</f>
        <v>0</v>
      </c>
      <c r="AF256" s="378">
        <f>IF(NFI_Expiration=1,IF($A256&lt;VLOOKUP(O$5,NFI,5,0),1,0)*Table_NFI[[#This Row],[Clothes Kit]],Table_NFI[Clothes Kit])</f>
        <v>0</v>
      </c>
      <c r="AG256" s="378">
        <f>IF(NFI_Expiration=1,IF($A256&lt;VLOOKUP(P$5,NFI,5,0),1,0)*Table_NFI[[#This Row],[Plastic Bucket]],Table_NFI[Plastic Bucket])</f>
        <v>0</v>
      </c>
      <c r="AH256" s="378">
        <f>IF(NFI_Expiration=1,IF($A256&lt;VLOOKUP(Q$5,NFI,5,0),1,0)*Table_NFI[[#This Row],[Plastic Mat]],Table_NFI[Plastic Mat])*IF(Table_NFI[[#This Row],[Distribution Date]]&gt;"2014-04-01",1,2.5)</f>
        <v>0</v>
      </c>
      <c r="AI256" s="378">
        <f>IF(NFI_Expiration=1,IF($A256&lt;VLOOKUP(R$5,NFI,5,0),1,0)*Table_NFI[[#This Row],[Winter Clothes Adult]],Table_NFI[Winter Clothes Adult])</f>
        <v>0</v>
      </c>
      <c r="AJ256" s="378">
        <f>IF(NFI_Expiration=1,IF($A256&lt;VLOOKUP(S$5,NFI,5,0),1,0)*Table_NFI[[#This Row],[Winter Clothes Children]],Table_NFI[Winter Clothes Children])</f>
        <v>0</v>
      </c>
      <c r="AK256" s="378">
        <f>IF(NFI_Expiration=1,IF($A256&lt;VLOOKUP(T$5,NFI,5,0),1,0)*Table_NFI[[#This Row],[Winter Items Other]],Table_NFI[Winter Items Other])</f>
        <v>0</v>
      </c>
      <c r="AL256" s="378">
        <f>IF(NFI_Expiration=1,IF($A256&lt;VLOOKUP(M$5,NFI,5,0),1,0)*Table_NFI[[#This Row],[Winter Blanket]],Table_NFI[[#This Row],[Winter Blanket]])</f>
        <v>0</v>
      </c>
      <c r="AM256" s="378">
        <f>IF(Table_NFI[[#This Row],[Winter Clothes Adult]]+Table_NFI[[#This Row],[Winter Clothes Children]]+Table_NFI[[#This Row],[Winter Items Other]]+Table_NFI[[#This Row],[Winter Blanket]]&gt;0,1,0)</f>
        <v>0</v>
      </c>
      <c r="AN256" s="418">
        <f>IF(NFI_Expiration=1,IF($A256&lt;VLOOKUP(V$5,NFI,5,0),1,0)*Table_NFI[[#This Row],[Jerry Can]],Table_NFI[Jerry Can])</f>
        <v>0</v>
      </c>
      <c r="AO256" s="579" t="str">
        <f>IFERROR(VLOOKUP(Table_NFI[[#This Row],[Camp Name]],CL,2,0),"")</f>
        <v>MMR001CMP128</v>
      </c>
      <c r="AP256" s="574">
        <f ca="1">IF(Table_NFI[[#This Row],[Pcode]]="","",IF(OFFSET(CampList[Opening Date],MATCH(Table_NFI[[#This Row],[Pcode]],CampList[CP_Pcode],0)-1,0,1,1)&gt;=NFI_Monitor_Date,1,0))</f>
        <v>0</v>
      </c>
      <c r="AQ256" s="579" t="str">
        <f>IFERROR(VLOOKUP(Table_NFI[[#This Row],[Camp Name]],CL,3,0),"")</f>
        <v>Open</v>
      </c>
      <c r="AR256" s="378" t="str">
        <f ca="1">IF(Table_NFI[[#This Row],[Pcode]]="","",OFFSET(CampList[Priority],MATCH(Table_NFI[[#This Row],[Pcode]],CampList[CP_Pcode],0)-1,0,1,1))</f>
        <v>P2</v>
      </c>
      <c r="AS256" s="377">
        <f>IFERROR(Table_NFI[[#This Row],[Kitchen Set]]/VLOOKUP(Table_NFI[[#This Row],[Camp Name]],CL,4,0),"")</f>
        <v>0.46788990825688076</v>
      </c>
      <c r="AT256" s="572" t="s">
        <v>1095</v>
      </c>
      <c r="AU256" s="575"/>
    </row>
    <row r="257" spans="1:47" s="576" customFormat="1" x14ac:dyDescent="0.25">
      <c r="A257" s="381">
        <f t="shared" si="3"/>
        <v>14.466666666666667</v>
      </c>
      <c r="B257" s="571">
        <v>42088</v>
      </c>
      <c r="C257" s="572" t="s">
        <v>454</v>
      </c>
      <c r="D257" s="572" t="s">
        <v>454</v>
      </c>
      <c r="E257" s="572" t="s">
        <v>380</v>
      </c>
      <c r="F257" s="572" t="s">
        <v>151</v>
      </c>
      <c r="G257" s="572" t="s">
        <v>1355</v>
      </c>
      <c r="H257" s="375"/>
      <c r="I257" s="378"/>
      <c r="J257" s="378"/>
      <c r="K257" s="378">
        <v>1621</v>
      </c>
      <c r="L257" s="376"/>
      <c r="M257" s="376"/>
      <c r="N257" s="376"/>
      <c r="O257" s="376"/>
      <c r="P257" s="378"/>
      <c r="Q257" s="378"/>
      <c r="R257" s="378"/>
      <c r="S257" s="378"/>
      <c r="T257" s="378"/>
      <c r="U257" s="378"/>
      <c r="V257" s="533"/>
      <c r="W257" s="378"/>
      <c r="X257" s="378"/>
      <c r="Y257" s="378">
        <f>IF(NFI_Expiration=1,IF($A257&lt;VLOOKUP(H$5,NFI,5,0),1,0)*Table_NFI[[#This Row],[Hygiene Kit]],Table_NFI[Hygiene Kit])</f>
        <v>0</v>
      </c>
      <c r="Z257" s="378">
        <f>IF(NFI_Expiration=1,IF($A257&lt;VLOOKUP(I$5,NFI,5,0),1,0)*Table_NFI[[#This Row],[NFI Core Kit]],Table_NFI[NFI Core Kit])</f>
        <v>0</v>
      </c>
      <c r="AA257" s="378">
        <f>IF(NFI_Expiration=1,IF($A257&lt;VLOOKUP(J$5,NFI,5,0),1,0)*Table_NFI[[#This Row],[Sanitary Kit]],Table_NFI[Sanitary Kit])</f>
        <v>0</v>
      </c>
      <c r="AB257" s="378">
        <f>IF(NFI_Expiration=1,IF($A257&lt;VLOOKUP(K$5,NFI,5,0),1,0)*Table_NFI[[#This Row],[Mosquito net]],Table_NFI[Mosquito net])</f>
        <v>0</v>
      </c>
      <c r="AC257" s="378">
        <f>IF(NFI_Expiration=1,IF($A257&lt;VLOOKUP(L$5,NFI,5,0),1,0)*Table_NFI[[#This Row],[Tarpaulin]],Table_NFI[[#This Row],[Tarpaulin]])</f>
        <v>0</v>
      </c>
      <c r="AD257" s="378">
        <f>IF(NFI_Expiration=1,IF($A257&lt;VLOOKUP(M$5,NFI,5,0),1,0)*Table_NFI[[#This Row],[Blanket]],Table_NFI[[#This Row],[Blanket]])</f>
        <v>0</v>
      </c>
      <c r="AE257" s="378">
        <f>IF(NFI_Expiration=1,IF($A257&lt;VLOOKUP(N$5,NFI,5,0),1,0)*Table_NFI[[#This Row],[Kitchen Set]],Table_NFI[Kitchen Set])</f>
        <v>0</v>
      </c>
      <c r="AF257" s="378">
        <f>IF(NFI_Expiration=1,IF($A257&lt;VLOOKUP(O$5,NFI,5,0),1,0)*Table_NFI[[#This Row],[Clothes Kit]],Table_NFI[Clothes Kit])</f>
        <v>0</v>
      </c>
      <c r="AG257" s="378">
        <f>IF(NFI_Expiration=1,IF($A257&lt;VLOOKUP(P$5,NFI,5,0),1,0)*Table_NFI[[#This Row],[Plastic Bucket]],Table_NFI[Plastic Bucket])</f>
        <v>0</v>
      </c>
      <c r="AH257" s="378">
        <f>IF(NFI_Expiration=1,IF($A257&lt;VLOOKUP(Q$5,NFI,5,0),1,0)*Table_NFI[[#This Row],[Plastic Mat]],Table_NFI[Plastic Mat])*IF(Table_NFI[[#This Row],[Distribution Date]]&gt;"2014-04-01",1,2.5)</f>
        <v>0</v>
      </c>
      <c r="AI257" s="378">
        <f>IF(NFI_Expiration=1,IF($A257&lt;VLOOKUP(R$5,NFI,5,0),1,0)*Table_NFI[[#This Row],[Winter Clothes Adult]],Table_NFI[Winter Clothes Adult])</f>
        <v>0</v>
      </c>
      <c r="AJ257" s="378">
        <f>IF(NFI_Expiration=1,IF($A257&lt;VLOOKUP(S$5,NFI,5,0),1,0)*Table_NFI[[#This Row],[Winter Clothes Children]],Table_NFI[Winter Clothes Children])</f>
        <v>0</v>
      </c>
      <c r="AK257" s="378">
        <f>IF(NFI_Expiration=1,IF($A257&lt;VLOOKUP(T$5,NFI,5,0),1,0)*Table_NFI[[#This Row],[Winter Items Other]],Table_NFI[Winter Items Other])</f>
        <v>0</v>
      </c>
      <c r="AL257" s="378">
        <f>IF(NFI_Expiration=1,IF($A257&lt;VLOOKUP(M$5,NFI,5,0),1,0)*Table_NFI[[#This Row],[Winter Blanket]],Table_NFI[[#This Row],[Winter Blanket]])</f>
        <v>0</v>
      </c>
      <c r="AM257" s="378">
        <f>IF(Table_NFI[[#This Row],[Winter Clothes Adult]]+Table_NFI[[#This Row],[Winter Clothes Children]]+Table_NFI[[#This Row],[Winter Items Other]]+Table_NFI[[#This Row],[Winter Blanket]]&gt;0,1,0)</f>
        <v>0</v>
      </c>
      <c r="AN257" s="418">
        <f>IF(NFI_Expiration=1,IF($A257&lt;VLOOKUP(V$5,NFI,5,0),1,0)*Table_NFI[[#This Row],[Jerry Can]],Table_NFI[Jerry Can])</f>
        <v>0</v>
      </c>
      <c r="AO257" s="579" t="str">
        <f>IFERROR(VLOOKUP(Table_NFI[[#This Row],[Camp Name]],CL,2,0),"")</f>
        <v/>
      </c>
      <c r="AP257" s="574" t="str">
        <f ca="1">IF(Table_NFI[[#This Row],[Pcode]]="","",IF(OFFSET(CampList[Opening Date],MATCH(Table_NFI[[#This Row],[Pcode]],CampList[CP_Pcode],0)-1,0,1,1)&gt;=NFI_Monitor_Date,1,0))</f>
        <v/>
      </c>
      <c r="AQ257" s="579" t="str">
        <f>IFERROR(VLOOKUP(Table_NFI[[#This Row],[Camp Name]],CL,3,0),"")</f>
        <v/>
      </c>
      <c r="AR257" s="378" t="str">
        <f ca="1">IF(Table_NFI[[#This Row],[Pcode]]="","",OFFSET(CampList[Priority],MATCH(Table_NFI[[#This Row],[Pcode]],CampList[CP_Pcode],0)-1,0,1,1))</f>
        <v/>
      </c>
      <c r="AS257" s="377" t="str">
        <f>IFERROR(Table_NFI[[#This Row],[Kitchen Set]]/VLOOKUP(Table_NFI[[#This Row],[Camp Name]],CL,4,0),"")</f>
        <v/>
      </c>
      <c r="AT257" s="572" t="s">
        <v>1095</v>
      </c>
      <c r="AU257" s="601"/>
    </row>
    <row r="258" spans="1:47" s="576" customFormat="1" x14ac:dyDescent="0.25">
      <c r="A258" s="381">
        <f t="shared" si="3"/>
        <v>30.666666666666668</v>
      </c>
      <c r="B258" s="571">
        <v>41602</v>
      </c>
      <c r="C258" s="572" t="s">
        <v>908</v>
      </c>
      <c r="D258" s="572" t="s">
        <v>908</v>
      </c>
      <c r="E258" s="572" t="s">
        <v>380</v>
      </c>
      <c r="F258" s="572" t="s">
        <v>302</v>
      </c>
      <c r="G258" s="572" t="s">
        <v>304</v>
      </c>
      <c r="H258" s="375"/>
      <c r="I258" s="375"/>
      <c r="J258" s="375"/>
      <c r="K258" s="375"/>
      <c r="L258" s="376"/>
      <c r="M258" s="376"/>
      <c r="N258" s="376"/>
      <c r="O258" s="376"/>
      <c r="P258" s="378"/>
      <c r="Q258" s="378"/>
      <c r="R258" s="378">
        <v>45</v>
      </c>
      <c r="S258" s="378">
        <v>90</v>
      </c>
      <c r="T258" s="378">
        <v>270</v>
      </c>
      <c r="U258" s="378">
        <v>135</v>
      </c>
      <c r="V258" s="533"/>
      <c r="W258" s="378"/>
      <c r="X258" s="378"/>
      <c r="Y258" s="378">
        <f>IF(NFI_Expiration=1,IF($A258&lt;VLOOKUP(H$5,NFI,5,0),1,0)*Table_NFI[[#This Row],[Hygiene Kit]],Table_NFI[Hygiene Kit])</f>
        <v>0</v>
      </c>
      <c r="Z258" s="378">
        <f>IF(NFI_Expiration=1,IF($A258&lt;VLOOKUP(I$5,NFI,5,0),1,0)*Table_NFI[[#This Row],[NFI Core Kit]],Table_NFI[NFI Core Kit])</f>
        <v>0</v>
      </c>
      <c r="AA258" s="378">
        <f>IF(NFI_Expiration=1,IF($A258&lt;VLOOKUP(J$5,NFI,5,0),1,0)*Table_NFI[[#This Row],[Sanitary Kit]],Table_NFI[Sanitary Kit])</f>
        <v>0</v>
      </c>
      <c r="AB258" s="378">
        <f>IF(NFI_Expiration=1,IF($A258&lt;VLOOKUP(K$5,NFI,5,0),1,0)*Table_NFI[[#This Row],[Mosquito net]],Table_NFI[Mosquito net])</f>
        <v>0</v>
      </c>
      <c r="AC258" s="378">
        <f>IF(NFI_Expiration=1,IF($A258&lt;VLOOKUP(L$5,NFI,5,0),1,0)*Table_NFI[[#This Row],[Tarpaulin]],Table_NFI[[#This Row],[Tarpaulin]])</f>
        <v>0</v>
      </c>
      <c r="AD258" s="378">
        <f>IF(NFI_Expiration=1,IF($A258&lt;VLOOKUP(M$5,NFI,5,0),1,0)*Table_NFI[[#This Row],[Blanket]],Table_NFI[[#This Row],[Blanket]])</f>
        <v>0</v>
      </c>
      <c r="AE258" s="378">
        <f>IF(NFI_Expiration=1,IF($A258&lt;VLOOKUP(N$5,NFI,5,0),1,0)*Table_NFI[[#This Row],[Kitchen Set]],Table_NFI[Kitchen Set])</f>
        <v>0</v>
      </c>
      <c r="AF258" s="378">
        <f>IF(NFI_Expiration=1,IF($A258&lt;VLOOKUP(O$5,NFI,5,0),1,0)*Table_NFI[[#This Row],[Clothes Kit]],Table_NFI[Clothes Kit])</f>
        <v>0</v>
      </c>
      <c r="AG258" s="378">
        <f>IF(NFI_Expiration=1,IF($A258&lt;VLOOKUP(P$5,NFI,5,0),1,0)*Table_NFI[[#This Row],[Plastic Bucket]],Table_NFI[Plastic Bucket])</f>
        <v>0</v>
      </c>
      <c r="AH258" s="378">
        <f>IF(NFI_Expiration=1,IF($A258&lt;VLOOKUP(Q$5,NFI,5,0),1,0)*Table_NFI[[#This Row],[Plastic Mat]],Table_NFI[Plastic Mat])*IF(Table_NFI[[#This Row],[Distribution Date]]&gt;"2014-04-01",1,2.5)</f>
        <v>0</v>
      </c>
      <c r="AI258" s="378">
        <f>IF(NFI_Expiration=1,IF($A258&lt;VLOOKUP(R$5,NFI,5,0),1,0)*Table_NFI[[#This Row],[Winter Clothes Adult]],Table_NFI[Winter Clothes Adult])</f>
        <v>0</v>
      </c>
      <c r="AJ258" s="378">
        <f>IF(NFI_Expiration=1,IF($A258&lt;VLOOKUP(S$5,NFI,5,0),1,0)*Table_NFI[[#This Row],[Winter Clothes Children]],Table_NFI[Winter Clothes Children])</f>
        <v>0</v>
      </c>
      <c r="AK258" s="378">
        <f>IF(NFI_Expiration=1,IF($A258&lt;VLOOKUP(T$5,NFI,5,0),1,0)*Table_NFI[[#This Row],[Winter Items Other]],Table_NFI[Winter Items Other])</f>
        <v>0</v>
      </c>
      <c r="AL258" s="378">
        <f>IF(NFI_Expiration=1,IF($A258&lt;VLOOKUP(M$5,NFI,5,0),1,0)*Table_NFI[[#This Row],[Winter Blanket]],Table_NFI[[#This Row],[Winter Blanket]])</f>
        <v>0</v>
      </c>
      <c r="AM258" s="378">
        <f>IF(Table_NFI[[#This Row],[Winter Clothes Adult]]+Table_NFI[[#This Row],[Winter Clothes Children]]+Table_NFI[[#This Row],[Winter Items Other]]+Table_NFI[[#This Row],[Winter Blanket]]&gt;0,1,0)</f>
        <v>1</v>
      </c>
      <c r="AN258" s="418">
        <f>IF(NFI_Expiration=1,IF($A258&lt;VLOOKUP(V$5,NFI,5,0),1,0)*Table_NFI[[#This Row],[Jerry Can]],Table_NFI[Jerry Can])</f>
        <v>0</v>
      </c>
      <c r="AO258" s="579" t="str">
        <f>IFERROR(VLOOKUP(Table_NFI[[#This Row],[Camp Name]],CL,2,0),"")</f>
        <v>MMR001CMP147</v>
      </c>
      <c r="AP258" s="574">
        <f ca="1">IF(Table_NFI[[#This Row],[Pcode]]="","",IF(OFFSET(CampList[Opening Date],MATCH(Table_NFI[[#This Row],[Pcode]],CampList[CP_Pcode],0)-1,0,1,1)&gt;=NFI_Monitor_Date,1,0))</f>
        <v>1</v>
      </c>
      <c r="AQ258" s="579" t="str">
        <f>IFERROR(VLOOKUP(Table_NFI[[#This Row],[Camp Name]],CL,3,0),"")</f>
        <v>Open</v>
      </c>
      <c r="AR258" s="378" t="str">
        <f ca="1">IF(Table_NFI[[#This Row],[Pcode]]="","",OFFSET(CampList[Priority],MATCH(Table_NFI[[#This Row],[Pcode]],CampList[CP_Pcode],0)-1,0,1,1))</f>
        <v>P4</v>
      </c>
      <c r="AS258" s="377">
        <f>IFERROR(Table_NFI[[#This Row],[Kitchen Set]]/VLOOKUP(Table_NFI[[#This Row],[Camp Name]],CL,4,0),"")</f>
        <v>0</v>
      </c>
      <c r="AT258" s="572"/>
      <c r="AU258" s="575"/>
    </row>
    <row r="259" spans="1:47" s="576" customFormat="1" x14ac:dyDescent="0.25">
      <c r="A259" s="381">
        <f t="shared" si="3"/>
        <v>48.9</v>
      </c>
      <c r="B259" s="571">
        <v>41055</v>
      </c>
      <c r="C259" s="572" t="s">
        <v>454</v>
      </c>
      <c r="D259" s="573" t="s">
        <v>462</v>
      </c>
      <c r="E259" s="572" t="s">
        <v>380</v>
      </c>
      <c r="F259" s="374" t="s">
        <v>302</v>
      </c>
      <c r="G259" s="374" t="s">
        <v>304</v>
      </c>
      <c r="H259" s="375"/>
      <c r="I259" s="375"/>
      <c r="J259" s="375"/>
      <c r="K259" s="375">
        <v>200</v>
      </c>
      <c r="L259" s="376">
        <v>200</v>
      </c>
      <c r="M259" s="376">
        <v>0</v>
      </c>
      <c r="N259" s="376">
        <v>0</v>
      </c>
      <c r="O259" s="376">
        <v>0</v>
      </c>
      <c r="P259" s="378"/>
      <c r="Q259" s="378"/>
      <c r="R259" s="378"/>
      <c r="S259" s="378"/>
      <c r="T259" s="378"/>
      <c r="U259" s="378"/>
      <c r="V259" s="533"/>
      <c r="W259" s="378"/>
      <c r="X259" s="378"/>
      <c r="Y259" s="378">
        <f>IF(NFI_Expiration=1,IF($A259&lt;VLOOKUP(H$5,NFI,5,0),1,0)*Table_NFI[[#This Row],[Hygiene Kit]],Table_NFI[Hygiene Kit])</f>
        <v>0</v>
      </c>
      <c r="Z259" s="378">
        <f>IF(NFI_Expiration=1,IF($A259&lt;VLOOKUP(I$5,NFI,5,0),1,0)*Table_NFI[[#This Row],[NFI Core Kit]],Table_NFI[NFI Core Kit])</f>
        <v>0</v>
      </c>
      <c r="AA259" s="378">
        <f>IF(NFI_Expiration=1,IF($A259&lt;VLOOKUP(J$5,NFI,5,0),1,0)*Table_NFI[[#This Row],[Sanitary Kit]],Table_NFI[Sanitary Kit])</f>
        <v>0</v>
      </c>
      <c r="AB259" s="378">
        <f>IF(NFI_Expiration=1,IF($A259&lt;VLOOKUP(K$5,NFI,5,0),1,0)*Table_NFI[[#This Row],[Mosquito net]],Table_NFI[Mosquito net])</f>
        <v>0</v>
      </c>
      <c r="AC259" s="378">
        <f>IF(NFI_Expiration=1,IF($A259&lt;VLOOKUP(L$5,NFI,5,0),1,0)*Table_NFI[[#This Row],[Tarpaulin]],Table_NFI[[#This Row],[Tarpaulin]])</f>
        <v>0</v>
      </c>
      <c r="AD259" s="378">
        <f>IF(NFI_Expiration=1,IF($A259&lt;VLOOKUP(M$5,NFI,5,0),1,0)*Table_NFI[[#This Row],[Blanket]],Table_NFI[[#This Row],[Blanket]])</f>
        <v>0</v>
      </c>
      <c r="AE259" s="378">
        <f>IF(NFI_Expiration=1,IF($A259&lt;VLOOKUP(N$5,NFI,5,0),1,0)*Table_NFI[[#This Row],[Kitchen Set]],Table_NFI[Kitchen Set])</f>
        <v>0</v>
      </c>
      <c r="AF259" s="378">
        <f>IF(NFI_Expiration=1,IF($A259&lt;VLOOKUP(O$5,NFI,5,0),1,0)*Table_NFI[[#This Row],[Clothes Kit]],Table_NFI[Clothes Kit])</f>
        <v>0</v>
      </c>
      <c r="AG259" s="378">
        <f>IF(NFI_Expiration=1,IF($A259&lt;VLOOKUP(P$5,NFI,5,0),1,0)*Table_NFI[[#This Row],[Plastic Bucket]],Table_NFI[Plastic Bucket])</f>
        <v>0</v>
      </c>
      <c r="AH259" s="378">
        <f>IF(NFI_Expiration=1,IF($A259&lt;VLOOKUP(Q$5,NFI,5,0),1,0)*Table_NFI[[#This Row],[Plastic Mat]],Table_NFI[Plastic Mat])*IF(Table_NFI[[#This Row],[Distribution Date]]&gt;"2014-04-01",1,2.5)</f>
        <v>0</v>
      </c>
      <c r="AI259" s="378">
        <f>IF(NFI_Expiration=1,IF($A259&lt;VLOOKUP(R$5,NFI,5,0),1,0)*Table_NFI[[#This Row],[Winter Clothes Adult]],Table_NFI[Winter Clothes Adult])</f>
        <v>0</v>
      </c>
      <c r="AJ259" s="378">
        <f>IF(NFI_Expiration=1,IF($A259&lt;VLOOKUP(S$5,NFI,5,0),1,0)*Table_NFI[[#This Row],[Winter Clothes Children]],Table_NFI[Winter Clothes Children])</f>
        <v>0</v>
      </c>
      <c r="AK259" s="378">
        <f>IF(NFI_Expiration=1,IF($A259&lt;VLOOKUP(T$5,NFI,5,0),1,0)*Table_NFI[[#This Row],[Winter Items Other]],Table_NFI[Winter Items Other])</f>
        <v>0</v>
      </c>
      <c r="AL259" s="378">
        <f>IF(NFI_Expiration=1,IF($A259&lt;VLOOKUP(M$5,NFI,5,0),1,0)*Table_NFI[[#This Row],[Winter Blanket]],Table_NFI[[#This Row],[Winter Blanket]])</f>
        <v>0</v>
      </c>
      <c r="AM259" s="378">
        <f>IF(Table_NFI[[#This Row],[Winter Clothes Adult]]+Table_NFI[[#This Row],[Winter Clothes Children]]+Table_NFI[[#This Row],[Winter Items Other]]+Table_NFI[[#This Row],[Winter Blanket]]&gt;0,1,0)</f>
        <v>0</v>
      </c>
      <c r="AN259" s="418">
        <f>IF(NFI_Expiration=1,IF($A259&lt;VLOOKUP(V$5,NFI,5,0),1,0)*Table_NFI[[#This Row],[Jerry Can]],Table_NFI[Jerry Can])</f>
        <v>0</v>
      </c>
      <c r="AO259" s="579" t="str">
        <f>IFERROR(VLOOKUP(Table_NFI[[#This Row],[Camp Name]],CL,2,0),"")</f>
        <v>MMR001CMP147</v>
      </c>
      <c r="AP259" s="574">
        <f ca="1">IF(Table_NFI[[#This Row],[Pcode]]="","",IF(OFFSET(CampList[Opening Date],MATCH(Table_NFI[[#This Row],[Pcode]],CampList[CP_Pcode],0)-1,0,1,1)&gt;=NFI_Monitor_Date,1,0))</f>
        <v>1</v>
      </c>
      <c r="AQ259" s="579" t="str">
        <f>IFERROR(VLOOKUP(Table_NFI[[#This Row],[Camp Name]],CL,3,0),"")</f>
        <v>Open</v>
      </c>
      <c r="AR259" s="378" t="str">
        <f ca="1">IF(Table_NFI[[#This Row],[Pcode]]="","",OFFSET(CampList[Priority],MATCH(Table_NFI[[#This Row],[Pcode]],CampList[CP_Pcode],0)-1,0,1,1))</f>
        <v>P4</v>
      </c>
      <c r="AS259" s="377">
        <f>IFERROR(Table_NFI[[#This Row],[Kitchen Set]]/VLOOKUP(Table_NFI[[#This Row],[Camp Name]],CL,4,0),"")</f>
        <v>0</v>
      </c>
      <c r="AT259" s="572" t="s">
        <v>1095</v>
      </c>
      <c r="AU259" s="575"/>
    </row>
    <row r="260" spans="1:47" s="576" customFormat="1" x14ac:dyDescent="0.25">
      <c r="A260" s="381">
        <f t="shared" si="3"/>
        <v>37.06666666666667</v>
      </c>
      <c r="B260" s="571">
        <v>41410</v>
      </c>
      <c r="C260" s="572" t="s">
        <v>904</v>
      </c>
      <c r="D260" s="572" t="s">
        <v>508</v>
      </c>
      <c r="E260" s="572" t="s">
        <v>380</v>
      </c>
      <c r="F260" s="572" t="s">
        <v>529</v>
      </c>
      <c r="G260" s="374" t="s">
        <v>912</v>
      </c>
      <c r="H260" s="375">
        <v>394</v>
      </c>
      <c r="I260" s="375"/>
      <c r="J260" s="375"/>
      <c r="K260" s="375"/>
      <c r="L260" s="376"/>
      <c r="M260" s="376"/>
      <c r="N260" s="376"/>
      <c r="O260" s="376"/>
      <c r="P260" s="378"/>
      <c r="Q260" s="378"/>
      <c r="R260" s="378"/>
      <c r="S260" s="378"/>
      <c r="T260" s="378"/>
      <c r="U260" s="378"/>
      <c r="V260" s="533"/>
      <c r="W260" s="378"/>
      <c r="X260" s="378"/>
      <c r="Y260" s="378">
        <f>IF(NFI_Expiration=1,IF($A260&lt;VLOOKUP(H$5,NFI,5,0),1,0)*Table_NFI[[#This Row],[Hygiene Kit]],Table_NFI[Hygiene Kit])</f>
        <v>0</v>
      </c>
      <c r="Z260" s="378">
        <f>IF(NFI_Expiration=1,IF($A260&lt;VLOOKUP(I$5,NFI,5,0),1,0)*Table_NFI[[#This Row],[NFI Core Kit]],Table_NFI[NFI Core Kit])</f>
        <v>0</v>
      </c>
      <c r="AA260" s="378">
        <f>IF(NFI_Expiration=1,IF($A260&lt;VLOOKUP(J$5,NFI,5,0),1,0)*Table_NFI[[#This Row],[Sanitary Kit]],Table_NFI[Sanitary Kit])</f>
        <v>0</v>
      </c>
      <c r="AB260" s="378">
        <f>IF(NFI_Expiration=1,IF($A260&lt;VLOOKUP(K$5,NFI,5,0),1,0)*Table_NFI[[#This Row],[Mosquito net]],Table_NFI[Mosquito net])</f>
        <v>0</v>
      </c>
      <c r="AC260" s="378">
        <f>IF(NFI_Expiration=1,IF($A260&lt;VLOOKUP(L$5,NFI,5,0),1,0)*Table_NFI[[#This Row],[Tarpaulin]],Table_NFI[[#This Row],[Tarpaulin]])</f>
        <v>0</v>
      </c>
      <c r="AD260" s="378">
        <f>IF(NFI_Expiration=1,IF($A260&lt;VLOOKUP(M$5,NFI,5,0),1,0)*Table_NFI[[#This Row],[Blanket]],Table_NFI[[#This Row],[Blanket]])</f>
        <v>0</v>
      </c>
      <c r="AE260" s="378">
        <f>IF(NFI_Expiration=1,IF($A260&lt;VLOOKUP(N$5,NFI,5,0),1,0)*Table_NFI[[#This Row],[Kitchen Set]],Table_NFI[Kitchen Set])</f>
        <v>0</v>
      </c>
      <c r="AF260" s="378">
        <f>IF(NFI_Expiration=1,IF($A260&lt;VLOOKUP(O$5,NFI,5,0),1,0)*Table_NFI[[#This Row],[Clothes Kit]],Table_NFI[Clothes Kit])</f>
        <v>0</v>
      </c>
      <c r="AG260" s="378">
        <f>IF(NFI_Expiration=1,IF($A260&lt;VLOOKUP(P$5,NFI,5,0),1,0)*Table_NFI[[#This Row],[Plastic Bucket]],Table_NFI[Plastic Bucket])</f>
        <v>0</v>
      </c>
      <c r="AH260" s="378">
        <f>IF(NFI_Expiration=1,IF($A260&lt;VLOOKUP(Q$5,NFI,5,0),1,0)*Table_NFI[[#This Row],[Plastic Mat]],Table_NFI[Plastic Mat])*IF(Table_NFI[[#This Row],[Distribution Date]]&gt;"2014-04-01",1,2.5)</f>
        <v>0</v>
      </c>
      <c r="AI260" s="378">
        <f>IF(NFI_Expiration=1,IF($A260&lt;VLOOKUP(R$5,NFI,5,0),1,0)*Table_NFI[[#This Row],[Winter Clothes Adult]],Table_NFI[Winter Clothes Adult])</f>
        <v>0</v>
      </c>
      <c r="AJ260" s="378">
        <f>IF(NFI_Expiration=1,IF($A260&lt;VLOOKUP(S$5,NFI,5,0),1,0)*Table_NFI[[#This Row],[Winter Clothes Children]],Table_NFI[Winter Clothes Children])</f>
        <v>0</v>
      </c>
      <c r="AK260" s="378">
        <f>IF(NFI_Expiration=1,IF($A260&lt;VLOOKUP(T$5,NFI,5,0),1,0)*Table_NFI[[#This Row],[Winter Items Other]],Table_NFI[Winter Items Other])</f>
        <v>0</v>
      </c>
      <c r="AL260" s="378">
        <f>IF(NFI_Expiration=1,IF($A260&lt;VLOOKUP(M$5,NFI,5,0),1,0)*Table_NFI[[#This Row],[Winter Blanket]],Table_NFI[[#This Row],[Winter Blanket]])</f>
        <v>0</v>
      </c>
      <c r="AM260" s="378">
        <f>IF(Table_NFI[[#This Row],[Winter Clothes Adult]]+Table_NFI[[#This Row],[Winter Clothes Children]]+Table_NFI[[#This Row],[Winter Items Other]]+Table_NFI[[#This Row],[Winter Blanket]]&gt;0,1,0)</f>
        <v>0</v>
      </c>
      <c r="AN260" s="418">
        <f>IF(NFI_Expiration=1,IF($A260&lt;VLOOKUP(V$5,NFI,5,0),1,0)*Table_NFI[[#This Row],[Jerry Can]],Table_NFI[Jerry Can])</f>
        <v>0</v>
      </c>
      <c r="AO260" s="579" t="str">
        <f>IFERROR(VLOOKUP(Table_NFI[[#This Row],[Camp Name]],CL,2,0),"")</f>
        <v/>
      </c>
      <c r="AP260" s="574" t="str">
        <f ca="1">IF(Table_NFI[[#This Row],[Pcode]]="","",IF(OFFSET(CampList[Opening Date],MATCH(Table_NFI[[#This Row],[Pcode]],CampList[CP_Pcode],0)-1,0,1,1)&gt;=NFI_Monitor_Date,1,0))</f>
        <v/>
      </c>
      <c r="AQ260" s="579" t="str">
        <f>IFERROR(VLOOKUP(Table_NFI[[#This Row],[Camp Name]],CL,3,0),"")</f>
        <v/>
      </c>
      <c r="AR260" s="378" t="str">
        <f ca="1">IF(Table_NFI[[#This Row],[Pcode]]="","",OFFSET(CampList[Priority],MATCH(Table_NFI[[#This Row],[Pcode]],CampList[CP_Pcode],0)-1,0,1,1))</f>
        <v/>
      </c>
      <c r="AS260" s="377" t="str">
        <f>IFERROR(Table_NFI[[#This Row],[Kitchen Set]]/VLOOKUP(Table_NFI[[#This Row],[Camp Name]],CL,4,0),"")</f>
        <v/>
      </c>
      <c r="AT260" s="572" t="s">
        <v>1095</v>
      </c>
      <c r="AU260" s="575"/>
    </row>
    <row r="261" spans="1:47" s="576" customFormat="1" x14ac:dyDescent="0.25">
      <c r="A261" s="381">
        <f t="shared" si="3"/>
        <v>24.766666666666666</v>
      </c>
      <c r="B261" s="571">
        <v>41779</v>
      </c>
      <c r="C261" s="572" t="s">
        <v>1107</v>
      </c>
      <c r="D261" s="572" t="s">
        <v>903</v>
      </c>
      <c r="E261" s="572" t="s">
        <v>380</v>
      </c>
      <c r="F261" s="572" t="s">
        <v>237</v>
      </c>
      <c r="G261" s="572" t="s">
        <v>240</v>
      </c>
      <c r="H261" s="375"/>
      <c r="I261" s="375"/>
      <c r="J261" s="375"/>
      <c r="K261" s="375"/>
      <c r="L261" s="376"/>
      <c r="M261" s="376"/>
      <c r="N261" s="376"/>
      <c r="O261" s="376"/>
      <c r="P261" s="378"/>
      <c r="Q261" s="378"/>
      <c r="R261" s="378"/>
      <c r="S261" s="378"/>
      <c r="T261" s="378"/>
      <c r="U261" s="378">
        <v>188</v>
      </c>
      <c r="V261" s="533"/>
      <c r="W261" s="378"/>
      <c r="X261" s="378"/>
      <c r="Y261" s="378">
        <f>IF(NFI_Expiration=1,IF($A261&lt;VLOOKUP(H$5,NFI,5,0),1,0)*Table_NFI[[#This Row],[Hygiene Kit]],Table_NFI[Hygiene Kit])</f>
        <v>0</v>
      </c>
      <c r="Z261" s="378">
        <f>IF(NFI_Expiration=1,IF($A261&lt;VLOOKUP(I$5,NFI,5,0),1,0)*Table_NFI[[#This Row],[NFI Core Kit]],Table_NFI[NFI Core Kit])</f>
        <v>0</v>
      </c>
      <c r="AA261" s="378">
        <f>IF(NFI_Expiration=1,IF($A261&lt;VLOOKUP(J$5,NFI,5,0),1,0)*Table_NFI[[#This Row],[Sanitary Kit]],Table_NFI[Sanitary Kit])</f>
        <v>0</v>
      </c>
      <c r="AB261" s="378">
        <f>IF(NFI_Expiration=1,IF($A261&lt;VLOOKUP(K$5,NFI,5,0),1,0)*Table_NFI[[#This Row],[Mosquito net]],Table_NFI[Mosquito net])</f>
        <v>0</v>
      </c>
      <c r="AC261" s="378">
        <f>IF(NFI_Expiration=1,IF($A261&lt;VLOOKUP(L$5,NFI,5,0),1,0)*Table_NFI[[#This Row],[Tarpaulin]],Table_NFI[[#This Row],[Tarpaulin]])</f>
        <v>0</v>
      </c>
      <c r="AD261" s="378">
        <f>IF(NFI_Expiration=1,IF($A261&lt;VLOOKUP(M$5,NFI,5,0),1,0)*Table_NFI[[#This Row],[Blanket]],Table_NFI[[#This Row],[Blanket]])</f>
        <v>0</v>
      </c>
      <c r="AE261" s="378">
        <f>IF(NFI_Expiration=1,IF($A261&lt;VLOOKUP(N$5,NFI,5,0),1,0)*Table_NFI[[#This Row],[Kitchen Set]],Table_NFI[Kitchen Set])</f>
        <v>0</v>
      </c>
      <c r="AF261" s="378">
        <f>IF(NFI_Expiration=1,IF($A261&lt;VLOOKUP(O$5,NFI,5,0),1,0)*Table_NFI[[#This Row],[Clothes Kit]],Table_NFI[Clothes Kit])</f>
        <v>0</v>
      </c>
      <c r="AG261" s="378">
        <f>IF(NFI_Expiration=1,IF($A261&lt;VLOOKUP(P$5,NFI,5,0),1,0)*Table_NFI[[#This Row],[Plastic Bucket]],Table_NFI[Plastic Bucket])</f>
        <v>0</v>
      </c>
      <c r="AH261" s="378">
        <f>IF(NFI_Expiration=1,IF($A261&lt;VLOOKUP(Q$5,NFI,5,0),1,0)*Table_NFI[[#This Row],[Plastic Mat]],Table_NFI[Plastic Mat])*IF(Table_NFI[[#This Row],[Distribution Date]]&gt;"2014-04-01",1,2.5)</f>
        <v>0</v>
      </c>
      <c r="AI261" s="378">
        <f>IF(NFI_Expiration=1,IF($A261&lt;VLOOKUP(R$5,NFI,5,0),1,0)*Table_NFI[[#This Row],[Winter Clothes Adult]],Table_NFI[Winter Clothes Adult])</f>
        <v>0</v>
      </c>
      <c r="AJ261" s="378">
        <f>IF(NFI_Expiration=1,IF($A261&lt;VLOOKUP(S$5,NFI,5,0),1,0)*Table_NFI[[#This Row],[Winter Clothes Children]],Table_NFI[Winter Clothes Children])</f>
        <v>0</v>
      </c>
      <c r="AK261" s="378">
        <f>IF(NFI_Expiration=1,IF($A261&lt;VLOOKUP(T$5,NFI,5,0),1,0)*Table_NFI[[#This Row],[Winter Items Other]],Table_NFI[Winter Items Other])</f>
        <v>0</v>
      </c>
      <c r="AL261" s="378">
        <f>IF(NFI_Expiration=1,IF($A261&lt;VLOOKUP(M$5,NFI,5,0),1,0)*Table_NFI[[#This Row],[Winter Blanket]],Table_NFI[[#This Row],[Winter Blanket]])</f>
        <v>0</v>
      </c>
      <c r="AM261" s="378">
        <f>IF(Table_NFI[[#This Row],[Winter Clothes Adult]]+Table_NFI[[#This Row],[Winter Clothes Children]]+Table_NFI[[#This Row],[Winter Items Other]]+Table_NFI[[#This Row],[Winter Blanket]]&gt;0,1,0)</f>
        <v>1</v>
      </c>
      <c r="AN261" s="418">
        <f>IF(NFI_Expiration=1,IF($A261&lt;VLOOKUP(V$5,NFI,5,0),1,0)*Table_NFI[[#This Row],[Jerry Can]],Table_NFI[Jerry Can])</f>
        <v>0</v>
      </c>
      <c r="AO261" s="579" t="str">
        <f>IFERROR(VLOOKUP(Table_NFI[[#This Row],[Camp Name]],CL,2,0),"")</f>
        <v>MMR001CMP015</v>
      </c>
      <c r="AP261" s="574">
        <f ca="1">IF(Table_NFI[[#This Row],[Pcode]]="","",IF(OFFSET(CampList[Opening Date],MATCH(Table_NFI[[#This Row],[Pcode]],CampList[CP_Pcode],0)-1,0,1,1)&gt;=NFI_Monitor_Date,1,0))</f>
        <v>0</v>
      </c>
      <c r="AQ261" s="579" t="str">
        <f>IFERROR(VLOOKUP(Table_NFI[[#This Row],[Camp Name]],CL,3,0),"")</f>
        <v>Open</v>
      </c>
      <c r="AR261" s="378" t="str">
        <f ca="1">IF(Table_NFI[[#This Row],[Pcode]]="","",OFFSET(CampList[Priority],MATCH(Table_NFI[[#This Row],[Pcode]],CampList[CP_Pcode],0)-1,0,1,1))</f>
        <v>P4</v>
      </c>
      <c r="AS261" s="377">
        <f>IFERROR(Table_NFI[[#This Row],[Kitchen Set]]/VLOOKUP(Table_NFI[[#This Row],[Camp Name]],CL,4,0),"")</f>
        <v>0</v>
      </c>
      <c r="AT261" s="572"/>
      <c r="AU261" s="575"/>
    </row>
    <row r="262" spans="1:47" s="576" customFormat="1" x14ac:dyDescent="0.25">
      <c r="A262" s="381">
        <f t="shared" ref="A262:A325" si="4">IF(ISBLANK(B262),"",(Report_Date-B262)/30)</f>
        <v>34.766666666666666</v>
      </c>
      <c r="B262" s="571">
        <v>41479</v>
      </c>
      <c r="C262" s="572" t="s">
        <v>454</v>
      </c>
      <c r="D262" s="572" t="s">
        <v>462</v>
      </c>
      <c r="E262" s="572" t="s">
        <v>380</v>
      </c>
      <c r="F262" s="374" t="s">
        <v>237</v>
      </c>
      <c r="G262" s="374" t="s">
        <v>240</v>
      </c>
      <c r="H262" s="375"/>
      <c r="I262" s="375"/>
      <c r="J262" s="375">
        <v>66</v>
      </c>
      <c r="K262" s="375">
        <v>98</v>
      </c>
      <c r="L262" s="376">
        <v>45</v>
      </c>
      <c r="M262" s="376">
        <v>98</v>
      </c>
      <c r="N262" s="376">
        <v>45</v>
      </c>
      <c r="O262" s="376">
        <v>45</v>
      </c>
      <c r="P262" s="378">
        <v>45</v>
      </c>
      <c r="Q262" s="378">
        <v>45</v>
      </c>
      <c r="R262" s="378"/>
      <c r="S262" s="378"/>
      <c r="T262" s="378"/>
      <c r="U262" s="378"/>
      <c r="V262" s="533"/>
      <c r="W262" s="378"/>
      <c r="X262" s="378"/>
      <c r="Y262" s="378">
        <f>IF(NFI_Expiration=1,IF($A262&lt;VLOOKUP(H$5,NFI,5,0),1,0)*Table_NFI[[#This Row],[Hygiene Kit]],Table_NFI[Hygiene Kit])</f>
        <v>0</v>
      </c>
      <c r="Z262" s="378">
        <f>IF(NFI_Expiration=1,IF($A262&lt;VLOOKUP(I$5,NFI,5,0),1,0)*Table_NFI[[#This Row],[NFI Core Kit]],Table_NFI[NFI Core Kit])</f>
        <v>0</v>
      </c>
      <c r="AA262" s="378">
        <f>IF(NFI_Expiration=1,IF($A262&lt;VLOOKUP(J$5,NFI,5,0),1,0)*Table_NFI[[#This Row],[Sanitary Kit]],Table_NFI[Sanitary Kit])</f>
        <v>0</v>
      </c>
      <c r="AB262" s="378">
        <f>IF(NFI_Expiration=1,IF($A262&lt;VLOOKUP(K$5,NFI,5,0),1,0)*Table_NFI[[#This Row],[Mosquito net]],Table_NFI[Mosquito net])</f>
        <v>0</v>
      </c>
      <c r="AC262" s="378">
        <f>IF(NFI_Expiration=1,IF($A262&lt;VLOOKUP(L$5,NFI,5,0),1,0)*Table_NFI[[#This Row],[Tarpaulin]],Table_NFI[[#This Row],[Tarpaulin]])</f>
        <v>0</v>
      </c>
      <c r="AD262" s="378">
        <f>IF(NFI_Expiration=1,IF($A262&lt;VLOOKUP(M$5,NFI,5,0),1,0)*Table_NFI[[#This Row],[Blanket]],Table_NFI[[#This Row],[Blanket]])</f>
        <v>0</v>
      </c>
      <c r="AE262" s="378">
        <f>IF(NFI_Expiration=1,IF($A262&lt;VLOOKUP(N$5,NFI,5,0),1,0)*Table_NFI[[#This Row],[Kitchen Set]],Table_NFI[Kitchen Set])</f>
        <v>0</v>
      </c>
      <c r="AF262" s="378">
        <f>IF(NFI_Expiration=1,IF($A262&lt;VLOOKUP(O$5,NFI,5,0),1,0)*Table_NFI[[#This Row],[Clothes Kit]],Table_NFI[Clothes Kit])</f>
        <v>0</v>
      </c>
      <c r="AG262" s="378">
        <f>IF(NFI_Expiration=1,IF($A262&lt;VLOOKUP(P$5,NFI,5,0),1,0)*Table_NFI[[#This Row],[Plastic Bucket]],Table_NFI[Plastic Bucket])</f>
        <v>0</v>
      </c>
      <c r="AH262" s="378">
        <f>IF(NFI_Expiration=1,IF($A262&lt;VLOOKUP(Q$5,NFI,5,0),1,0)*Table_NFI[[#This Row],[Plastic Mat]],Table_NFI[Plastic Mat])*IF(Table_NFI[[#This Row],[Distribution Date]]&gt;"2014-04-01",1,2.5)</f>
        <v>0</v>
      </c>
      <c r="AI262" s="378">
        <f>IF(NFI_Expiration=1,IF($A262&lt;VLOOKUP(R$5,NFI,5,0),1,0)*Table_NFI[[#This Row],[Winter Clothes Adult]],Table_NFI[Winter Clothes Adult])</f>
        <v>0</v>
      </c>
      <c r="AJ262" s="378">
        <f>IF(NFI_Expiration=1,IF($A262&lt;VLOOKUP(S$5,NFI,5,0),1,0)*Table_NFI[[#This Row],[Winter Clothes Children]],Table_NFI[Winter Clothes Children])</f>
        <v>0</v>
      </c>
      <c r="AK262" s="378">
        <f>IF(NFI_Expiration=1,IF($A262&lt;VLOOKUP(T$5,NFI,5,0),1,0)*Table_NFI[[#This Row],[Winter Items Other]],Table_NFI[Winter Items Other])</f>
        <v>0</v>
      </c>
      <c r="AL262" s="378">
        <f>IF(NFI_Expiration=1,IF($A262&lt;VLOOKUP(M$5,NFI,5,0),1,0)*Table_NFI[[#This Row],[Winter Blanket]],Table_NFI[[#This Row],[Winter Blanket]])</f>
        <v>0</v>
      </c>
      <c r="AM262" s="378">
        <f>IF(Table_NFI[[#This Row],[Winter Clothes Adult]]+Table_NFI[[#This Row],[Winter Clothes Children]]+Table_NFI[[#This Row],[Winter Items Other]]+Table_NFI[[#This Row],[Winter Blanket]]&gt;0,1,0)</f>
        <v>0</v>
      </c>
      <c r="AN262" s="418">
        <f>IF(NFI_Expiration=1,IF($A262&lt;VLOOKUP(V$5,NFI,5,0),1,0)*Table_NFI[[#This Row],[Jerry Can]],Table_NFI[Jerry Can])</f>
        <v>0</v>
      </c>
      <c r="AO262" s="579" t="str">
        <f>IFERROR(VLOOKUP(Table_NFI[[#This Row],[Camp Name]],CL,2,0),"")</f>
        <v>MMR001CMP015</v>
      </c>
      <c r="AP262" s="574">
        <f ca="1">IF(Table_NFI[[#This Row],[Pcode]]="","",IF(OFFSET(CampList[Opening Date],MATCH(Table_NFI[[#This Row],[Pcode]],CampList[CP_Pcode],0)-1,0,1,1)&gt;=NFI_Monitor_Date,1,0))</f>
        <v>0</v>
      </c>
      <c r="AQ262" s="579" t="str">
        <f>IFERROR(VLOOKUP(Table_NFI[[#This Row],[Camp Name]],CL,3,0),"")</f>
        <v>Open</v>
      </c>
      <c r="AR262" s="378" t="str">
        <f ca="1">IF(Table_NFI[[#This Row],[Pcode]]="","",OFFSET(CampList[Priority],MATCH(Table_NFI[[#This Row],[Pcode]],CampList[CP_Pcode],0)-1,0,1,1))</f>
        <v>P4</v>
      </c>
      <c r="AS262" s="377">
        <f>IFERROR(Table_NFI[[#This Row],[Kitchen Set]]/VLOOKUP(Table_NFI[[#This Row],[Camp Name]],CL,4,0),"")</f>
        <v>0.46875</v>
      </c>
      <c r="AT262" s="572" t="s">
        <v>1095</v>
      </c>
      <c r="AU262" s="575"/>
    </row>
    <row r="263" spans="1:47" s="576" customFormat="1" x14ac:dyDescent="0.25">
      <c r="A263" s="381">
        <f t="shared" si="4"/>
        <v>47.2</v>
      </c>
      <c r="B263" s="571">
        <v>41106</v>
      </c>
      <c r="C263" s="572" t="s">
        <v>454</v>
      </c>
      <c r="D263" s="573" t="s">
        <v>454</v>
      </c>
      <c r="E263" s="572" t="s">
        <v>380</v>
      </c>
      <c r="F263" s="374" t="s">
        <v>237</v>
      </c>
      <c r="G263" s="374" t="s">
        <v>240</v>
      </c>
      <c r="H263" s="375"/>
      <c r="I263" s="375"/>
      <c r="J263" s="375"/>
      <c r="K263" s="375">
        <v>6</v>
      </c>
      <c r="L263" s="376">
        <v>6</v>
      </c>
      <c r="M263" s="376">
        <v>6</v>
      </c>
      <c r="N263" s="376">
        <v>6</v>
      </c>
      <c r="O263" s="376">
        <v>6</v>
      </c>
      <c r="P263" s="378">
        <v>6</v>
      </c>
      <c r="Q263" s="378">
        <v>6</v>
      </c>
      <c r="R263" s="378"/>
      <c r="S263" s="378"/>
      <c r="T263" s="378"/>
      <c r="U263" s="378"/>
      <c r="V263" s="533"/>
      <c r="W263" s="378"/>
      <c r="X263" s="378"/>
      <c r="Y263" s="378">
        <f>IF(NFI_Expiration=1,IF($A263&lt;VLOOKUP(H$5,NFI,5,0),1,0)*Table_NFI[[#This Row],[Hygiene Kit]],Table_NFI[Hygiene Kit])</f>
        <v>0</v>
      </c>
      <c r="Z263" s="378">
        <f>IF(NFI_Expiration=1,IF($A263&lt;VLOOKUP(I$5,NFI,5,0),1,0)*Table_NFI[[#This Row],[NFI Core Kit]],Table_NFI[NFI Core Kit])</f>
        <v>0</v>
      </c>
      <c r="AA263" s="378">
        <f>IF(NFI_Expiration=1,IF($A263&lt;VLOOKUP(J$5,NFI,5,0),1,0)*Table_NFI[[#This Row],[Sanitary Kit]],Table_NFI[Sanitary Kit])</f>
        <v>0</v>
      </c>
      <c r="AB263" s="378">
        <f>IF(NFI_Expiration=1,IF($A263&lt;VLOOKUP(K$5,NFI,5,0),1,0)*Table_NFI[[#This Row],[Mosquito net]],Table_NFI[Mosquito net])</f>
        <v>0</v>
      </c>
      <c r="AC263" s="378">
        <f>IF(NFI_Expiration=1,IF($A263&lt;VLOOKUP(L$5,NFI,5,0),1,0)*Table_NFI[[#This Row],[Tarpaulin]],Table_NFI[[#This Row],[Tarpaulin]])</f>
        <v>0</v>
      </c>
      <c r="AD263" s="378">
        <f>IF(NFI_Expiration=1,IF($A263&lt;VLOOKUP(M$5,NFI,5,0),1,0)*Table_NFI[[#This Row],[Blanket]],Table_NFI[[#This Row],[Blanket]])</f>
        <v>0</v>
      </c>
      <c r="AE263" s="378">
        <f>IF(NFI_Expiration=1,IF($A263&lt;VLOOKUP(N$5,NFI,5,0),1,0)*Table_NFI[[#This Row],[Kitchen Set]],Table_NFI[Kitchen Set])</f>
        <v>0</v>
      </c>
      <c r="AF263" s="378">
        <f>IF(NFI_Expiration=1,IF($A263&lt;VLOOKUP(O$5,NFI,5,0),1,0)*Table_NFI[[#This Row],[Clothes Kit]],Table_NFI[Clothes Kit])</f>
        <v>0</v>
      </c>
      <c r="AG263" s="378">
        <f>IF(NFI_Expiration=1,IF($A263&lt;VLOOKUP(P$5,NFI,5,0),1,0)*Table_NFI[[#This Row],[Plastic Bucket]],Table_NFI[Plastic Bucket])</f>
        <v>0</v>
      </c>
      <c r="AH263" s="378">
        <f>IF(NFI_Expiration=1,IF($A263&lt;VLOOKUP(Q$5,NFI,5,0),1,0)*Table_NFI[[#This Row],[Plastic Mat]],Table_NFI[Plastic Mat])*IF(Table_NFI[[#This Row],[Distribution Date]]&gt;"2014-04-01",1,2.5)</f>
        <v>0</v>
      </c>
      <c r="AI263" s="378">
        <f>IF(NFI_Expiration=1,IF($A263&lt;VLOOKUP(R$5,NFI,5,0),1,0)*Table_NFI[[#This Row],[Winter Clothes Adult]],Table_NFI[Winter Clothes Adult])</f>
        <v>0</v>
      </c>
      <c r="AJ263" s="378">
        <f>IF(NFI_Expiration=1,IF($A263&lt;VLOOKUP(S$5,NFI,5,0),1,0)*Table_NFI[[#This Row],[Winter Clothes Children]],Table_NFI[Winter Clothes Children])</f>
        <v>0</v>
      </c>
      <c r="AK263" s="378">
        <f>IF(NFI_Expiration=1,IF($A263&lt;VLOOKUP(T$5,NFI,5,0),1,0)*Table_NFI[[#This Row],[Winter Items Other]],Table_NFI[Winter Items Other])</f>
        <v>0</v>
      </c>
      <c r="AL263" s="378">
        <f>IF(NFI_Expiration=1,IF($A263&lt;VLOOKUP(M$5,NFI,5,0),1,0)*Table_NFI[[#This Row],[Winter Blanket]],Table_NFI[[#This Row],[Winter Blanket]])</f>
        <v>0</v>
      </c>
      <c r="AM263" s="378">
        <f>IF(Table_NFI[[#This Row],[Winter Clothes Adult]]+Table_NFI[[#This Row],[Winter Clothes Children]]+Table_NFI[[#This Row],[Winter Items Other]]+Table_NFI[[#This Row],[Winter Blanket]]&gt;0,1,0)</f>
        <v>0</v>
      </c>
      <c r="AN263" s="418">
        <f>IF(NFI_Expiration=1,IF($A263&lt;VLOOKUP(V$5,NFI,5,0),1,0)*Table_NFI[[#This Row],[Jerry Can]],Table_NFI[Jerry Can])</f>
        <v>0</v>
      </c>
      <c r="AO263" s="579" t="str">
        <f>IFERROR(VLOOKUP(Table_NFI[[#This Row],[Camp Name]],CL,2,0),"")</f>
        <v>MMR001CMP015</v>
      </c>
      <c r="AP263" s="574">
        <f ca="1">IF(Table_NFI[[#This Row],[Pcode]]="","",IF(OFFSET(CampList[Opening Date],MATCH(Table_NFI[[#This Row],[Pcode]],CampList[CP_Pcode],0)-1,0,1,1)&gt;=NFI_Monitor_Date,1,0))</f>
        <v>0</v>
      </c>
      <c r="AQ263" s="579" t="str">
        <f>IFERROR(VLOOKUP(Table_NFI[[#This Row],[Camp Name]],CL,3,0),"")</f>
        <v>Open</v>
      </c>
      <c r="AR263" s="378" t="str">
        <f ca="1">IF(Table_NFI[[#This Row],[Pcode]]="","",OFFSET(CampList[Priority],MATCH(Table_NFI[[#This Row],[Pcode]],CampList[CP_Pcode],0)-1,0,1,1))</f>
        <v>P4</v>
      </c>
      <c r="AS263" s="377">
        <f>IFERROR(Table_NFI[[#This Row],[Kitchen Set]]/VLOOKUP(Table_NFI[[#This Row],[Camp Name]],CL,4,0),"")</f>
        <v>6.25E-2</v>
      </c>
      <c r="AT263" s="572" t="s">
        <v>1095</v>
      </c>
      <c r="AU263" s="575"/>
    </row>
    <row r="264" spans="1:47" s="576" customFormat="1" x14ac:dyDescent="0.25">
      <c r="A264" s="381">
        <f t="shared" si="4"/>
        <v>47.2</v>
      </c>
      <c r="B264" s="571">
        <v>41106</v>
      </c>
      <c r="C264" s="572" t="s">
        <v>454</v>
      </c>
      <c r="D264" s="572" t="s">
        <v>454</v>
      </c>
      <c r="E264" s="572" t="s">
        <v>380</v>
      </c>
      <c r="F264" s="374" t="s">
        <v>237</v>
      </c>
      <c r="G264" s="374" t="s">
        <v>240</v>
      </c>
      <c r="H264" s="375"/>
      <c r="I264" s="375"/>
      <c r="J264" s="375"/>
      <c r="K264" s="375">
        <v>13</v>
      </c>
      <c r="L264" s="376">
        <v>13</v>
      </c>
      <c r="M264" s="376">
        <v>13</v>
      </c>
      <c r="N264" s="376">
        <v>13</v>
      </c>
      <c r="O264" s="376">
        <v>13</v>
      </c>
      <c r="P264" s="378">
        <v>13</v>
      </c>
      <c r="Q264" s="378">
        <v>13</v>
      </c>
      <c r="R264" s="378"/>
      <c r="S264" s="378"/>
      <c r="T264" s="378"/>
      <c r="U264" s="378"/>
      <c r="V264" s="533"/>
      <c r="W264" s="378"/>
      <c r="X264" s="378"/>
      <c r="Y264" s="378">
        <f>IF(NFI_Expiration=1,IF($A264&lt;VLOOKUP(H$5,NFI,5,0),1,0)*Table_NFI[[#This Row],[Hygiene Kit]],Table_NFI[Hygiene Kit])</f>
        <v>0</v>
      </c>
      <c r="Z264" s="378">
        <f>IF(NFI_Expiration=1,IF($A264&lt;VLOOKUP(I$5,NFI,5,0),1,0)*Table_NFI[[#This Row],[NFI Core Kit]],Table_NFI[NFI Core Kit])</f>
        <v>0</v>
      </c>
      <c r="AA264" s="378">
        <f>IF(NFI_Expiration=1,IF($A264&lt;VLOOKUP(J$5,NFI,5,0),1,0)*Table_NFI[[#This Row],[Sanitary Kit]],Table_NFI[Sanitary Kit])</f>
        <v>0</v>
      </c>
      <c r="AB264" s="378">
        <f>IF(NFI_Expiration=1,IF($A264&lt;VLOOKUP(K$5,NFI,5,0),1,0)*Table_NFI[[#This Row],[Mosquito net]],Table_NFI[Mosquito net])</f>
        <v>0</v>
      </c>
      <c r="AC264" s="378">
        <f>IF(NFI_Expiration=1,IF($A264&lt;VLOOKUP(L$5,NFI,5,0),1,0)*Table_NFI[[#This Row],[Tarpaulin]],Table_NFI[[#This Row],[Tarpaulin]])</f>
        <v>0</v>
      </c>
      <c r="AD264" s="378">
        <f>IF(NFI_Expiration=1,IF($A264&lt;VLOOKUP(M$5,NFI,5,0),1,0)*Table_NFI[[#This Row],[Blanket]],Table_NFI[[#This Row],[Blanket]])</f>
        <v>0</v>
      </c>
      <c r="AE264" s="378">
        <f>IF(NFI_Expiration=1,IF($A264&lt;VLOOKUP(N$5,NFI,5,0),1,0)*Table_NFI[[#This Row],[Kitchen Set]],Table_NFI[Kitchen Set])</f>
        <v>0</v>
      </c>
      <c r="AF264" s="378">
        <f>IF(NFI_Expiration=1,IF($A264&lt;VLOOKUP(O$5,NFI,5,0),1,0)*Table_NFI[[#This Row],[Clothes Kit]],Table_NFI[Clothes Kit])</f>
        <v>0</v>
      </c>
      <c r="AG264" s="378">
        <f>IF(NFI_Expiration=1,IF($A264&lt;VLOOKUP(P$5,NFI,5,0),1,0)*Table_NFI[[#This Row],[Plastic Bucket]],Table_NFI[Plastic Bucket])</f>
        <v>0</v>
      </c>
      <c r="AH264" s="378">
        <f>IF(NFI_Expiration=1,IF($A264&lt;VLOOKUP(Q$5,NFI,5,0),1,0)*Table_NFI[[#This Row],[Plastic Mat]],Table_NFI[Plastic Mat])*IF(Table_NFI[[#This Row],[Distribution Date]]&gt;"2014-04-01",1,2.5)</f>
        <v>0</v>
      </c>
      <c r="AI264" s="378">
        <f>IF(NFI_Expiration=1,IF($A264&lt;VLOOKUP(R$5,NFI,5,0),1,0)*Table_NFI[[#This Row],[Winter Clothes Adult]],Table_NFI[Winter Clothes Adult])</f>
        <v>0</v>
      </c>
      <c r="AJ264" s="378">
        <f>IF(NFI_Expiration=1,IF($A264&lt;VLOOKUP(S$5,NFI,5,0),1,0)*Table_NFI[[#This Row],[Winter Clothes Children]],Table_NFI[Winter Clothes Children])</f>
        <v>0</v>
      </c>
      <c r="AK264" s="378">
        <f>IF(NFI_Expiration=1,IF($A264&lt;VLOOKUP(T$5,NFI,5,0),1,0)*Table_NFI[[#This Row],[Winter Items Other]],Table_NFI[Winter Items Other])</f>
        <v>0</v>
      </c>
      <c r="AL264" s="378">
        <f>IF(NFI_Expiration=1,IF($A264&lt;VLOOKUP(M$5,NFI,5,0),1,0)*Table_NFI[[#This Row],[Winter Blanket]],Table_NFI[[#This Row],[Winter Blanket]])</f>
        <v>0</v>
      </c>
      <c r="AM264" s="378">
        <f>IF(Table_NFI[[#This Row],[Winter Clothes Adult]]+Table_NFI[[#This Row],[Winter Clothes Children]]+Table_NFI[[#This Row],[Winter Items Other]]+Table_NFI[[#This Row],[Winter Blanket]]&gt;0,1,0)</f>
        <v>0</v>
      </c>
      <c r="AN264" s="418">
        <f>IF(NFI_Expiration=1,IF($A264&lt;VLOOKUP(V$5,NFI,5,0),1,0)*Table_NFI[[#This Row],[Jerry Can]],Table_NFI[Jerry Can])</f>
        <v>0</v>
      </c>
      <c r="AO264" s="579" t="str">
        <f>IFERROR(VLOOKUP(Table_NFI[[#This Row],[Camp Name]],CL,2,0),"")</f>
        <v>MMR001CMP015</v>
      </c>
      <c r="AP264" s="574">
        <f ca="1">IF(Table_NFI[[#This Row],[Pcode]]="","",IF(OFFSET(CampList[Opening Date],MATCH(Table_NFI[[#This Row],[Pcode]],CampList[CP_Pcode],0)-1,0,1,1)&gt;=NFI_Monitor_Date,1,0))</f>
        <v>0</v>
      </c>
      <c r="AQ264" s="579" t="str">
        <f>IFERROR(VLOOKUP(Table_NFI[[#This Row],[Camp Name]],CL,3,0),"")</f>
        <v>Open</v>
      </c>
      <c r="AR264" s="378" t="str">
        <f ca="1">IF(Table_NFI[[#This Row],[Pcode]]="","",OFFSET(CampList[Priority],MATCH(Table_NFI[[#This Row],[Pcode]],CampList[CP_Pcode],0)-1,0,1,1))</f>
        <v>P4</v>
      </c>
      <c r="AS264" s="377">
        <f>IFERROR(Table_NFI[[#This Row],[Kitchen Set]]/VLOOKUP(Table_NFI[[#This Row],[Camp Name]],CL,4,0),"")</f>
        <v>0.13541666666666666</v>
      </c>
      <c r="AT264" s="572" t="s">
        <v>1095</v>
      </c>
      <c r="AU264" s="575"/>
    </row>
    <row r="265" spans="1:47" s="576" customFormat="1" x14ac:dyDescent="0.25">
      <c r="A265" s="381">
        <f t="shared" si="4"/>
        <v>54.533333333333331</v>
      </c>
      <c r="B265" s="571">
        <v>40886</v>
      </c>
      <c r="C265" s="572" t="s">
        <v>454</v>
      </c>
      <c r="D265" s="573" t="s">
        <v>462</v>
      </c>
      <c r="E265" s="572" t="s">
        <v>380</v>
      </c>
      <c r="F265" s="374" t="s">
        <v>237</v>
      </c>
      <c r="G265" s="374" t="s">
        <v>240</v>
      </c>
      <c r="H265" s="375"/>
      <c r="I265" s="375"/>
      <c r="J265" s="375"/>
      <c r="K265" s="375">
        <v>13</v>
      </c>
      <c r="L265" s="376">
        <v>6</v>
      </c>
      <c r="M265" s="376">
        <v>13</v>
      </c>
      <c r="N265" s="376">
        <v>6</v>
      </c>
      <c r="O265" s="376">
        <v>6</v>
      </c>
      <c r="P265" s="378">
        <v>6</v>
      </c>
      <c r="Q265" s="378">
        <v>6</v>
      </c>
      <c r="R265" s="378"/>
      <c r="S265" s="378"/>
      <c r="T265" s="378"/>
      <c r="U265" s="378"/>
      <c r="V265" s="533"/>
      <c r="W265" s="378"/>
      <c r="X265" s="378"/>
      <c r="Y265" s="378">
        <f>IF(NFI_Expiration=1,IF($A265&lt;VLOOKUP(H$5,NFI,5,0),1,0)*Table_NFI[[#This Row],[Hygiene Kit]],Table_NFI[Hygiene Kit])</f>
        <v>0</v>
      </c>
      <c r="Z265" s="378">
        <f>IF(NFI_Expiration=1,IF($A265&lt;VLOOKUP(I$5,NFI,5,0),1,0)*Table_NFI[[#This Row],[NFI Core Kit]],Table_NFI[NFI Core Kit])</f>
        <v>0</v>
      </c>
      <c r="AA265" s="378">
        <f>IF(NFI_Expiration=1,IF($A265&lt;VLOOKUP(J$5,NFI,5,0),1,0)*Table_NFI[[#This Row],[Sanitary Kit]],Table_NFI[Sanitary Kit])</f>
        <v>0</v>
      </c>
      <c r="AB265" s="378">
        <f>IF(NFI_Expiration=1,IF($A265&lt;VLOOKUP(K$5,NFI,5,0),1,0)*Table_NFI[[#This Row],[Mosquito net]],Table_NFI[Mosquito net])</f>
        <v>0</v>
      </c>
      <c r="AC265" s="378">
        <f>IF(NFI_Expiration=1,IF($A265&lt;VLOOKUP(L$5,NFI,5,0),1,0)*Table_NFI[[#This Row],[Tarpaulin]],Table_NFI[[#This Row],[Tarpaulin]])</f>
        <v>0</v>
      </c>
      <c r="AD265" s="378">
        <f>IF(NFI_Expiration=1,IF($A265&lt;VLOOKUP(M$5,NFI,5,0),1,0)*Table_NFI[[#This Row],[Blanket]],Table_NFI[[#This Row],[Blanket]])</f>
        <v>0</v>
      </c>
      <c r="AE265" s="378">
        <f>IF(NFI_Expiration=1,IF($A265&lt;VLOOKUP(N$5,NFI,5,0),1,0)*Table_NFI[[#This Row],[Kitchen Set]],Table_NFI[Kitchen Set])</f>
        <v>0</v>
      </c>
      <c r="AF265" s="378">
        <f>IF(NFI_Expiration=1,IF($A265&lt;VLOOKUP(O$5,NFI,5,0),1,0)*Table_NFI[[#This Row],[Clothes Kit]],Table_NFI[Clothes Kit])</f>
        <v>0</v>
      </c>
      <c r="AG265" s="378">
        <f>IF(NFI_Expiration=1,IF($A265&lt;VLOOKUP(P$5,NFI,5,0),1,0)*Table_NFI[[#This Row],[Plastic Bucket]],Table_NFI[Plastic Bucket])</f>
        <v>0</v>
      </c>
      <c r="AH265" s="378">
        <f>IF(NFI_Expiration=1,IF($A265&lt;VLOOKUP(Q$5,NFI,5,0),1,0)*Table_NFI[[#This Row],[Plastic Mat]],Table_NFI[Plastic Mat])*IF(Table_NFI[[#This Row],[Distribution Date]]&gt;"2014-04-01",1,2.5)</f>
        <v>0</v>
      </c>
      <c r="AI265" s="378">
        <f>IF(NFI_Expiration=1,IF($A265&lt;VLOOKUP(R$5,NFI,5,0),1,0)*Table_NFI[[#This Row],[Winter Clothes Adult]],Table_NFI[Winter Clothes Adult])</f>
        <v>0</v>
      </c>
      <c r="AJ265" s="378">
        <f>IF(NFI_Expiration=1,IF($A265&lt;VLOOKUP(S$5,NFI,5,0),1,0)*Table_NFI[[#This Row],[Winter Clothes Children]],Table_NFI[Winter Clothes Children])</f>
        <v>0</v>
      </c>
      <c r="AK265" s="378">
        <f>IF(NFI_Expiration=1,IF($A265&lt;VLOOKUP(T$5,NFI,5,0),1,0)*Table_NFI[[#This Row],[Winter Items Other]],Table_NFI[Winter Items Other])</f>
        <v>0</v>
      </c>
      <c r="AL265" s="378">
        <f>IF(NFI_Expiration=1,IF($A265&lt;VLOOKUP(M$5,NFI,5,0),1,0)*Table_NFI[[#This Row],[Winter Blanket]],Table_NFI[[#This Row],[Winter Blanket]])</f>
        <v>0</v>
      </c>
      <c r="AM265" s="378">
        <f>IF(Table_NFI[[#This Row],[Winter Clothes Adult]]+Table_NFI[[#This Row],[Winter Clothes Children]]+Table_NFI[[#This Row],[Winter Items Other]]+Table_NFI[[#This Row],[Winter Blanket]]&gt;0,1,0)</f>
        <v>0</v>
      </c>
      <c r="AN265" s="418">
        <f>IF(NFI_Expiration=1,IF($A265&lt;VLOOKUP(V$5,NFI,5,0),1,0)*Table_NFI[[#This Row],[Jerry Can]],Table_NFI[Jerry Can])</f>
        <v>0</v>
      </c>
      <c r="AO265" s="579" t="str">
        <f>IFERROR(VLOOKUP(Table_NFI[[#This Row],[Camp Name]],CL,2,0),"")</f>
        <v>MMR001CMP015</v>
      </c>
      <c r="AP265" s="574">
        <f ca="1">IF(Table_NFI[[#This Row],[Pcode]]="","",IF(OFFSET(CampList[Opening Date],MATCH(Table_NFI[[#This Row],[Pcode]],CampList[CP_Pcode],0)-1,0,1,1)&gt;=NFI_Monitor_Date,1,0))</f>
        <v>0</v>
      </c>
      <c r="AQ265" s="579" t="str">
        <f>IFERROR(VLOOKUP(Table_NFI[[#This Row],[Camp Name]],CL,3,0),"")</f>
        <v>Open</v>
      </c>
      <c r="AR265" s="378" t="str">
        <f ca="1">IF(Table_NFI[[#This Row],[Pcode]]="","",OFFSET(CampList[Priority],MATCH(Table_NFI[[#This Row],[Pcode]],CampList[CP_Pcode],0)-1,0,1,1))</f>
        <v>P4</v>
      </c>
      <c r="AS265" s="377">
        <f>IFERROR(Table_NFI[[#This Row],[Kitchen Set]]/VLOOKUP(Table_NFI[[#This Row],[Camp Name]],CL,4,0),"")</f>
        <v>6.25E-2</v>
      </c>
      <c r="AT265" s="572" t="s">
        <v>1095</v>
      </c>
      <c r="AU265" s="575"/>
    </row>
    <row r="266" spans="1:47" s="576" customFormat="1" x14ac:dyDescent="0.25">
      <c r="A266" s="381">
        <f t="shared" si="4"/>
        <v>55.366666666666667</v>
      </c>
      <c r="B266" s="571">
        <v>40861</v>
      </c>
      <c r="C266" s="572" t="s">
        <v>454</v>
      </c>
      <c r="D266" s="573" t="s">
        <v>462</v>
      </c>
      <c r="E266" s="572" t="s">
        <v>380</v>
      </c>
      <c r="F266" s="374" t="s">
        <v>237</v>
      </c>
      <c r="G266" s="374" t="s">
        <v>240</v>
      </c>
      <c r="H266" s="375"/>
      <c r="I266" s="375"/>
      <c r="J266" s="375"/>
      <c r="K266" s="375">
        <v>52</v>
      </c>
      <c r="L266" s="376">
        <v>25</v>
      </c>
      <c r="M266" s="376">
        <v>52</v>
      </c>
      <c r="N266" s="376">
        <v>25</v>
      </c>
      <c r="O266" s="376">
        <v>25</v>
      </c>
      <c r="P266" s="378">
        <v>25</v>
      </c>
      <c r="Q266" s="378">
        <v>25</v>
      </c>
      <c r="R266" s="378"/>
      <c r="S266" s="378"/>
      <c r="T266" s="378"/>
      <c r="U266" s="378"/>
      <c r="V266" s="533"/>
      <c r="W266" s="378"/>
      <c r="X266" s="378"/>
      <c r="Y266" s="378">
        <f>IF(NFI_Expiration=1,IF($A266&lt;VLOOKUP(H$5,NFI,5,0),1,0)*Table_NFI[[#This Row],[Hygiene Kit]],Table_NFI[Hygiene Kit])</f>
        <v>0</v>
      </c>
      <c r="Z266" s="378">
        <f>IF(NFI_Expiration=1,IF($A266&lt;VLOOKUP(I$5,NFI,5,0),1,0)*Table_NFI[[#This Row],[NFI Core Kit]],Table_NFI[NFI Core Kit])</f>
        <v>0</v>
      </c>
      <c r="AA266" s="378">
        <f>IF(NFI_Expiration=1,IF($A266&lt;VLOOKUP(J$5,NFI,5,0),1,0)*Table_NFI[[#This Row],[Sanitary Kit]],Table_NFI[Sanitary Kit])</f>
        <v>0</v>
      </c>
      <c r="AB266" s="378">
        <f>IF(NFI_Expiration=1,IF($A266&lt;VLOOKUP(K$5,NFI,5,0),1,0)*Table_NFI[[#This Row],[Mosquito net]],Table_NFI[Mosquito net])</f>
        <v>0</v>
      </c>
      <c r="AC266" s="378">
        <f>IF(NFI_Expiration=1,IF($A266&lt;VLOOKUP(L$5,NFI,5,0),1,0)*Table_NFI[[#This Row],[Tarpaulin]],Table_NFI[[#This Row],[Tarpaulin]])</f>
        <v>0</v>
      </c>
      <c r="AD266" s="378">
        <f>IF(NFI_Expiration=1,IF($A266&lt;VLOOKUP(M$5,NFI,5,0),1,0)*Table_NFI[[#This Row],[Blanket]],Table_NFI[[#This Row],[Blanket]])</f>
        <v>0</v>
      </c>
      <c r="AE266" s="378">
        <f>IF(NFI_Expiration=1,IF($A266&lt;VLOOKUP(N$5,NFI,5,0),1,0)*Table_NFI[[#This Row],[Kitchen Set]],Table_NFI[Kitchen Set])</f>
        <v>0</v>
      </c>
      <c r="AF266" s="378">
        <f>IF(NFI_Expiration=1,IF($A266&lt;VLOOKUP(O$5,NFI,5,0),1,0)*Table_NFI[[#This Row],[Clothes Kit]],Table_NFI[Clothes Kit])</f>
        <v>0</v>
      </c>
      <c r="AG266" s="378">
        <f>IF(NFI_Expiration=1,IF($A266&lt;VLOOKUP(P$5,NFI,5,0),1,0)*Table_NFI[[#This Row],[Plastic Bucket]],Table_NFI[Plastic Bucket])</f>
        <v>0</v>
      </c>
      <c r="AH266" s="378">
        <f>IF(NFI_Expiration=1,IF($A266&lt;VLOOKUP(Q$5,NFI,5,0),1,0)*Table_NFI[[#This Row],[Plastic Mat]],Table_NFI[Plastic Mat])*IF(Table_NFI[[#This Row],[Distribution Date]]&gt;"2014-04-01",1,2.5)</f>
        <v>0</v>
      </c>
      <c r="AI266" s="378">
        <f>IF(NFI_Expiration=1,IF($A266&lt;VLOOKUP(R$5,NFI,5,0),1,0)*Table_NFI[[#This Row],[Winter Clothes Adult]],Table_NFI[Winter Clothes Adult])</f>
        <v>0</v>
      </c>
      <c r="AJ266" s="378">
        <f>IF(NFI_Expiration=1,IF($A266&lt;VLOOKUP(S$5,NFI,5,0),1,0)*Table_NFI[[#This Row],[Winter Clothes Children]],Table_NFI[Winter Clothes Children])</f>
        <v>0</v>
      </c>
      <c r="AK266" s="378">
        <f>IF(NFI_Expiration=1,IF($A266&lt;VLOOKUP(T$5,NFI,5,0),1,0)*Table_NFI[[#This Row],[Winter Items Other]],Table_NFI[Winter Items Other])</f>
        <v>0</v>
      </c>
      <c r="AL266" s="378">
        <f>IF(NFI_Expiration=1,IF($A266&lt;VLOOKUP(M$5,NFI,5,0),1,0)*Table_NFI[[#This Row],[Winter Blanket]],Table_NFI[[#This Row],[Winter Blanket]])</f>
        <v>0</v>
      </c>
      <c r="AM266" s="378">
        <f>IF(Table_NFI[[#This Row],[Winter Clothes Adult]]+Table_NFI[[#This Row],[Winter Clothes Children]]+Table_NFI[[#This Row],[Winter Items Other]]+Table_NFI[[#This Row],[Winter Blanket]]&gt;0,1,0)</f>
        <v>0</v>
      </c>
      <c r="AN266" s="418">
        <f>IF(NFI_Expiration=1,IF($A266&lt;VLOOKUP(V$5,NFI,5,0),1,0)*Table_NFI[[#This Row],[Jerry Can]],Table_NFI[Jerry Can])</f>
        <v>0</v>
      </c>
      <c r="AO266" s="579" t="str">
        <f>IFERROR(VLOOKUP(Table_NFI[[#This Row],[Camp Name]],CL,2,0),"")</f>
        <v>MMR001CMP015</v>
      </c>
      <c r="AP266" s="574">
        <f ca="1">IF(Table_NFI[[#This Row],[Pcode]]="","",IF(OFFSET(CampList[Opening Date],MATCH(Table_NFI[[#This Row],[Pcode]],CampList[CP_Pcode],0)-1,0,1,1)&gt;=NFI_Monitor_Date,1,0))</f>
        <v>0</v>
      </c>
      <c r="AQ266" s="579" t="str">
        <f>IFERROR(VLOOKUP(Table_NFI[[#This Row],[Camp Name]],CL,3,0),"")</f>
        <v>Open</v>
      </c>
      <c r="AR266" s="378" t="str">
        <f ca="1">IF(Table_NFI[[#This Row],[Pcode]]="","",OFFSET(CampList[Priority],MATCH(Table_NFI[[#This Row],[Pcode]],CampList[CP_Pcode],0)-1,0,1,1))</f>
        <v>P4</v>
      </c>
      <c r="AS266" s="377">
        <f>IFERROR(Table_NFI[[#This Row],[Kitchen Set]]/VLOOKUP(Table_NFI[[#This Row],[Camp Name]],CL,4,0),"")</f>
        <v>0.26041666666666669</v>
      </c>
      <c r="AT266" s="572" t="s">
        <v>1095</v>
      </c>
      <c r="AU266" s="575"/>
    </row>
    <row r="267" spans="1:47" s="576" customFormat="1" x14ac:dyDescent="0.25">
      <c r="A267" s="381">
        <f t="shared" si="4"/>
        <v>24.766666666666666</v>
      </c>
      <c r="B267" s="571">
        <v>41779</v>
      </c>
      <c r="C267" s="572" t="s">
        <v>1107</v>
      </c>
      <c r="D267" s="572" t="s">
        <v>903</v>
      </c>
      <c r="E267" s="572" t="s">
        <v>380</v>
      </c>
      <c r="F267" s="572" t="s">
        <v>237</v>
      </c>
      <c r="G267" s="572" t="s">
        <v>285</v>
      </c>
      <c r="H267" s="375"/>
      <c r="I267" s="375"/>
      <c r="J267" s="375"/>
      <c r="K267" s="375"/>
      <c r="L267" s="376"/>
      <c r="M267" s="376"/>
      <c r="N267" s="376"/>
      <c r="O267" s="376"/>
      <c r="P267" s="378"/>
      <c r="Q267" s="378"/>
      <c r="R267" s="378"/>
      <c r="S267" s="378"/>
      <c r="T267" s="378"/>
      <c r="U267" s="378">
        <v>278</v>
      </c>
      <c r="V267" s="533"/>
      <c r="W267" s="378"/>
      <c r="X267" s="378"/>
      <c r="Y267" s="378">
        <f>IF(NFI_Expiration=1,IF($A267&lt;VLOOKUP(H$5,NFI,5,0),1,0)*Table_NFI[[#This Row],[Hygiene Kit]],Table_NFI[Hygiene Kit])</f>
        <v>0</v>
      </c>
      <c r="Z267" s="378">
        <f>IF(NFI_Expiration=1,IF($A267&lt;VLOOKUP(I$5,NFI,5,0),1,0)*Table_NFI[[#This Row],[NFI Core Kit]],Table_NFI[NFI Core Kit])</f>
        <v>0</v>
      </c>
      <c r="AA267" s="378">
        <f>IF(NFI_Expiration=1,IF($A267&lt;VLOOKUP(J$5,NFI,5,0),1,0)*Table_NFI[[#This Row],[Sanitary Kit]],Table_NFI[Sanitary Kit])</f>
        <v>0</v>
      </c>
      <c r="AB267" s="378">
        <f>IF(NFI_Expiration=1,IF($A267&lt;VLOOKUP(K$5,NFI,5,0),1,0)*Table_NFI[[#This Row],[Mosquito net]],Table_NFI[Mosquito net])</f>
        <v>0</v>
      </c>
      <c r="AC267" s="378">
        <f>IF(NFI_Expiration=1,IF($A267&lt;VLOOKUP(L$5,NFI,5,0),1,0)*Table_NFI[[#This Row],[Tarpaulin]],Table_NFI[[#This Row],[Tarpaulin]])</f>
        <v>0</v>
      </c>
      <c r="AD267" s="378">
        <f>IF(NFI_Expiration=1,IF($A267&lt;VLOOKUP(M$5,NFI,5,0),1,0)*Table_NFI[[#This Row],[Blanket]],Table_NFI[[#This Row],[Blanket]])</f>
        <v>0</v>
      </c>
      <c r="AE267" s="378">
        <f>IF(NFI_Expiration=1,IF($A267&lt;VLOOKUP(N$5,NFI,5,0),1,0)*Table_NFI[[#This Row],[Kitchen Set]],Table_NFI[Kitchen Set])</f>
        <v>0</v>
      </c>
      <c r="AF267" s="378">
        <f>IF(NFI_Expiration=1,IF($A267&lt;VLOOKUP(O$5,NFI,5,0),1,0)*Table_NFI[[#This Row],[Clothes Kit]],Table_NFI[Clothes Kit])</f>
        <v>0</v>
      </c>
      <c r="AG267" s="378">
        <f>IF(NFI_Expiration=1,IF($A267&lt;VLOOKUP(P$5,NFI,5,0),1,0)*Table_NFI[[#This Row],[Plastic Bucket]],Table_NFI[Plastic Bucket])</f>
        <v>0</v>
      </c>
      <c r="AH267" s="378">
        <f>IF(NFI_Expiration=1,IF($A267&lt;VLOOKUP(Q$5,NFI,5,0),1,0)*Table_NFI[[#This Row],[Plastic Mat]],Table_NFI[Plastic Mat])*IF(Table_NFI[[#This Row],[Distribution Date]]&gt;"2014-04-01",1,2.5)</f>
        <v>0</v>
      </c>
      <c r="AI267" s="378">
        <f>IF(NFI_Expiration=1,IF($A267&lt;VLOOKUP(R$5,NFI,5,0),1,0)*Table_NFI[[#This Row],[Winter Clothes Adult]],Table_NFI[Winter Clothes Adult])</f>
        <v>0</v>
      </c>
      <c r="AJ267" s="378">
        <f>IF(NFI_Expiration=1,IF($A267&lt;VLOOKUP(S$5,NFI,5,0),1,0)*Table_NFI[[#This Row],[Winter Clothes Children]],Table_NFI[Winter Clothes Children])</f>
        <v>0</v>
      </c>
      <c r="AK267" s="378">
        <f>IF(NFI_Expiration=1,IF($A267&lt;VLOOKUP(T$5,NFI,5,0),1,0)*Table_NFI[[#This Row],[Winter Items Other]],Table_NFI[Winter Items Other])</f>
        <v>0</v>
      </c>
      <c r="AL267" s="378">
        <f>IF(NFI_Expiration=1,IF($A267&lt;VLOOKUP(M$5,NFI,5,0),1,0)*Table_NFI[[#This Row],[Winter Blanket]],Table_NFI[[#This Row],[Winter Blanket]])</f>
        <v>0</v>
      </c>
      <c r="AM267" s="378">
        <f>IF(Table_NFI[[#This Row],[Winter Clothes Adult]]+Table_NFI[[#This Row],[Winter Clothes Children]]+Table_NFI[[#This Row],[Winter Items Other]]+Table_NFI[[#This Row],[Winter Blanket]]&gt;0,1,0)</f>
        <v>1</v>
      </c>
      <c r="AN267" s="418">
        <f>IF(NFI_Expiration=1,IF($A267&lt;VLOOKUP(V$5,NFI,5,0),1,0)*Table_NFI[[#This Row],[Jerry Can]],Table_NFI[Jerry Can])</f>
        <v>0</v>
      </c>
      <c r="AO267" s="579" t="str">
        <f>IFERROR(VLOOKUP(Table_NFI[[#This Row],[Camp Name]],CL,2,0),"")</f>
        <v>MMR001CMP014</v>
      </c>
      <c r="AP267" s="574">
        <f ca="1">IF(Table_NFI[[#This Row],[Pcode]]="","",IF(OFFSET(CampList[Opening Date],MATCH(Table_NFI[[#This Row],[Pcode]],CampList[CP_Pcode],0)-1,0,1,1)&gt;=NFI_Monitor_Date,1,0))</f>
        <v>0</v>
      </c>
      <c r="AQ267" s="579" t="str">
        <f>IFERROR(VLOOKUP(Table_NFI[[#This Row],[Camp Name]],CL,3,0),"")</f>
        <v>Open</v>
      </c>
      <c r="AR267" s="378" t="str">
        <f ca="1">IF(Table_NFI[[#This Row],[Pcode]]="","",OFFSET(CampList[Priority],MATCH(Table_NFI[[#This Row],[Pcode]],CampList[CP_Pcode],0)-1,0,1,1))</f>
        <v>P4</v>
      </c>
      <c r="AS267" s="377">
        <f>IFERROR(Table_NFI[[#This Row],[Kitchen Set]]/VLOOKUP(Table_NFI[[#This Row],[Camp Name]],CL,4,0),"")</f>
        <v>0</v>
      </c>
      <c r="AT267" s="572"/>
      <c r="AU267" s="575"/>
    </row>
    <row r="268" spans="1:47" s="576" customFormat="1" x14ac:dyDescent="0.25">
      <c r="A268" s="381">
        <f t="shared" si="4"/>
        <v>34.766666666666666</v>
      </c>
      <c r="B268" s="571">
        <v>41479</v>
      </c>
      <c r="C268" s="572" t="s">
        <v>454</v>
      </c>
      <c r="D268" s="573" t="s">
        <v>462</v>
      </c>
      <c r="E268" s="572" t="s">
        <v>380</v>
      </c>
      <c r="F268" s="374" t="s">
        <v>237</v>
      </c>
      <c r="G268" s="374" t="s">
        <v>285</v>
      </c>
      <c r="H268" s="375"/>
      <c r="I268" s="375"/>
      <c r="J268" s="375">
        <v>100</v>
      </c>
      <c r="K268" s="375">
        <v>158</v>
      </c>
      <c r="L268" s="376">
        <v>65</v>
      </c>
      <c r="M268" s="376">
        <v>158</v>
      </c>
      <c r="N268" s="376">
        <v>65</v>
      </c>
      <c r="O268" s="376">
        <v>65</v>
      </c>
      <c r="P268" s="378">
        <v>65</v>
      </c>
      <c r="Q268" s="378">
        <v>65</v>
      </c>
      <c r="R268" s="378"/>
      <c r="S268" s="378"/>
      <c r="T268" s="378"/>
      <c r="U268" s="378"/>
      <c r="V268" s="533"/>
      <c r="W268" s="378"/>
      <c r="X268" s="378"/>
      <c r="Y268" s="378">
        <f>IF(NFI_Expiration=1,IF($A268&lt;VLOOKUP(H$5,NFI,5,0),1,0)*Table_NFI[[#This Row],[Hygiene Kit]],Table_NFI[Hygiene Kit])</f>
        <v>0</v>
      </c>
      <c r="Z268" s="378">
        <f>IF(NFI_Expiration=1,IF($A268&lt;VLOOKUP(I$5,NFI,5,0),1,0)*Table_NFI[[#This Row],[NFI Core Kit]],Table_NFI[NFI Core Kit])</f>
        <v>0</v>
      </c>
      <c r="AA268" s="378">
        <f>IF(NFI_Expiration=1,IF($A268&lt;VLOOKUP(J$5,NFI,5,0),1,0)*Table_NFI[[#This Row],[Sanitary Kit]],Table_NFI[Sanitary Kit])</f>
        <v>0</v>
      </c>
      <c r="AB268" s="378">
        <f>IF(NFI_Expiration=1,IF($A268&lt;VLOOKUP(K$5,NFI,5,0),1,0)*Table_NFI[[#This Row],[Mosquito net]],Table_NFI[Mosquito net])</f>
        <v>0</v>
      </c>
      <c r="AC268" s="378">
        <f>IF(NFI_Expiration=1,IF($A268&lt;VLOOKUP(L$5,NFI,5,0),1,0)*Table_NFI[[#This Row],[Tarpaulin]],Table_NFI[[#This Row],[Tarpaulin]])</f>
        <v>0</v>
      </c>
      <c r="AD268" s="378">
        <f>IF(NFI_Expiration=1,IF($A268&lt;VLOOKUP(M$5,NFI,5,0),1,0)*Table_NFI[[#This Row],[Blanket]],Table_NFI[[#This Row],[Blanket]])</f>
        <v>0</v>
      </c>
      <c r="AE268" s="378">
        <f>IF(NFI_Expiration=1,IF($A268&lt;VLOOKUP(N$5,NFI,5,0),1,0)*Table_NFI[[#This Row],[Kitchen Set]],Table_NFI[Kitchen Set])</f>
        <v>0</v>
      </c>
      <c r="AF268" s="378">
        <f>IF(NFI_Expiration=1,IF($A268&lt;VLOOKUP(O$5,NFI,5,0),1,0)*Table_NFI[[#This Row],[Clothes Kit]],Table_NFI[Clothes Kit])</f>
        <v>0</v>
      </c>
      <c r="AG268" s="378">
        <f>IF(NFI_Expiration=1,IF($A268&lt;VLOOKUP(P$5,NFI,5,0),1,0)*Table_NFI[[#This Row],[Plastic Bucket]],Table_NFI[Plastic Bucket])</f>
        <v>0</v>
      </c>
      <c r="AH268" s="378">
        <f>IF(NFI_Expiration=1,IF($A268&lt;VLOOKUP(Q$5,NFI,5,0),1,0)*Table_NFI[[#This Row],[Plastic Mat]],Table_NFI[Plastic Mat])*IF(Table_NFI[[#This Row],[Distribution Date]]&gt;"2014-04-01",1,2.5)</f>
        <v>0</v>
      </c>
      <c r="AI268" s="378">
        <f>IF(NFI_Expiration=1,IF($A268&lt;VLOOKUP(R$5,NFI,5,0),1,0)*Table_NFI[[#This Row],[Winter Clothes Adult]],Table_NFI[Winter Clothes Adult])</f>
        <v>0</v>
      </c>
      <c r="AJ268" s="378">
        <f>IF(NFI_Expiration=1,IF($A268&lt;VLOOKUP(S$5,NFI,5,0),1,0)*Table_NFI[[#This Row],[Winter Clothes Children]],Table_NFI[Winter Clothes Children])</f>
        <v>0</v>
      </c>
      <c r="AK268" s="378">
        <f>IF(NFI_Expiration=1,IF($A268&lt;VLOOKUP(T$5,NFI,5,0),1,0)*Table_NFI[[#This Row],[Winter Items Other]],Table_NFI[Winter Items Other])</f>
        <v>0</v>
      </c>
      <c r="AL268" s="378">
        <f>IF(NFI_Expiration=1,IF($A268&lt;VLOOKUP(M$5,NFI,5,0),1,0)*Table_NFI[[#This Row],[Winter Blanket]],Table_NFI[[#This Row],[Winter Blanket]])</f>
        <v>0</v>
      </c>
      <c r="AM268" s="378">
        <f>IF(Table_NFI[[#This Row],[Winter Clothes Adult]]+Table_NFI[[#This Row],[Winter Clothes Children]]+Table_NFI[[#This Row],[Winter Items Other]]+Table_NFI[[#This Row],[Winter Blanket]]&gt;0,1,0)</f>
        <v>0</v>
      </c>
      <c r="AN268" s="418">
        <f>IF(NFI_Expiration=1,IF($A268&lt;VLOOKUP(V$5,NFI,5,0),1,0)*Table_NFI[[#This Row],[Jerry Can]],Table_NFI[Jerry Can])</f>
        <v>0</v>
      </c>
      <c r="AO268" s="579" t="str">
        <f>IFERROR(VLOOKUP(Table_NFI[[#This Row],[Camp Name]],CL,2,0),"")</f>
        <v>MMR001CMP014</v>
      </c>
      <c r="AP268" s="574">
        <f ca="1">IF(Table_NFI[[#This Row],[Pcode]]="","",IF(OFFSET(CampList[Opening Date],MATCH(Table_NFI[[#This Row],[Pcode]],CampList[CP_Pcode],0)-1,0,1,1)&gt;=NFI_Monitor_Date,1,0))</f>
        <v>0</v>
      </c>
      <c r="AQ268" s="579" t="str">
        <f>IFERROR(VLOOKUP(Table_NFI[[#This Row],[Camp Name]],CL,3,0),"")</f>
        <v>Open</v>
      </c>
      <c r="AR268" s="378" t="str">
        <f ca="1">IF(Table_NFI[[#This Row],[Pcode]]="","",OFFSET(CampList[Priority],MATCH(Table_NFI[[#This Row],[Pcode]],CampList[CP_Pcode],0)-1,0,1,1))</f>
        <v>P4</v>
      </c>
      <c r="AS268" s="377">
        <f>IFERROR(Table_NFI[[#This Row],[Kitchen Set]]/VLOOKUP(Table_NFI[[#This Row],[Camp Name]],CL,4,0),"")</f>
        <v>0.47101449275362317</v>
      </c>
      <c r="AT268" s="572" t="s">
        <v>1095</v>
      </c>
      <c r="AU268" s="575"/>
    </row>
    <row r="269" spans="1:47" s="576" customFormat="1" x14ac:dyDescent="0.25">
      <c r="A269" s="381">
        <f t="shared" si="4"/>
        <v>47.2</v>
      </c>
      <c r="B269" s="571">
        <v>41106</v>
      </c>
      <c r="C269" s="572" t="s">
        <v>454</v>
      </c>
      <c r="D269" s="573" t="s">
        <v>454</v>
      </c>
      <c r="E269" s="572" t="s">
        <v>380</v>
      </c>
      <c r="F269" s="374" t="s">
        <v>237</v>
      </c>
      <c r="G269" s="374" t="s">
        <v>285</v>
      </c>
      <c r="H269" s="375"/>
      <c r="I269" s="375"/>
      <c r="J269" s="375"/>
      <c r="K269" s="375">
        <v>50</v>
      </c>
      <c r="L269" s="376">
        <v>50</v>
      </c>
      <c r="M269" s="376">
        <v>50</v>
      </c>
      <c r="N269" s="376">
        <v>50</v>
      </c>
      <c r="O269" s="376">
        <v>50</v>
      </c>
      <c r="P269" s="378">
        <v>50</v>
      </c>
      <c r="Q269" s="378">
        <v>50</v>
      </c>
      <c r="R269" s="378"/>
      <c r="S269" s="378"/>
      <c r="T269" s="378"/>
      <c r="U269" s="378"/>
      <c r="V269" s="533"/>
      <c r="W269" s="378"/>
      <c r="X269" s="378"/>
      <c r="Y269" s="378">
        <f>IF(NFI_Expiration=1,IF($A269&lt;VLOOKUP(H$5,NFI,5,0),1,0)*Table_NFI[[#This Row],[Hygiene Kit]],Table_NFI[Hygiene Kit])</f>
        <v>0</v>
      </c>
      <c r="Z269" s="378">
        <f>IF(NFI_Expiration=1,IF($A269&lt;VLOOKUP(I$5,NFI,5,0),1,0)*Table_NFI[[#This Row],[NFI Core Kit]],Table_NFI[NFI Core Kit])</f>
        <v>0</v>
      </c>
      <c r="AA269" s="378">
        <f>IF(NFI_Expiration=1,IF($A269&lt;VLOOKUP(J$5,NFI,5,0),1,0)*Table_NFI[[#This Row],[Sanitary Kit]],Table_NFI[Sanitary Kit])</f>
        <v>0</v>
      </c>
      <c r="AB269" s="378">
        <f>IF(NFI_Expiration=1,IF($A269&lt;VLOOKUP(K$5,NFI,5,0),1,0)*Table_NFI[[#This Row],[Mosquito net]],Table_NFI[Mosquito net])</f>
        <v>0</v>
      </c>
      <c r="AC269" s="378">
        <f>IF(NFI_Expiration=1,IF($A269&lt;VLOOKUP(L$5,NFI,5,0),1,0)*Table_NFI[[#This Row],[Tarpaulin]],Table_NFI[[#This Row],[Tarpaulin]])</f>
        <v>0</v>
      </c>
      <c r="AD269" s="378">
        <f>IF(NFI_Expiration=1,IF($A269&lt;VLOOKUP(M$5,NFI,5,0),1,0)*Table_NFI[[#This Row],[Blanket]],Table_NFI[[#This Row],[Blanket]])</f>
        <v>0</v>
      </c>
      <c r="AE269" s="378">
        <f>IF(NFI_Expiration=1,IF($A269&lt;VLOOKUP(N$5,NFI,5,0),1,0)*Table_NFI[[#This Row],[Kitchen Set]],Table_NFI[Kitchen Set])</f>
        <v>0</v>
      </c>
      <c r="AF269" s="378">
        <f>IF(NFI_Expiration=1,IF($A269&lt;VLOOKUP(O$5,NFI,5,0),1,0)*Table_NFI[[#This Row],[Clothes Kit]],Table_NFI[Clothes Kit])</f>
        <v>0</v>
      </c>
      <c r="AG269" s="378">
        <f>IF(NFI_Expiration=1,IF($A269&lt;VLOOKUP(P$5,NFI,5,0),1,0)*Table_NFI[[#This Row],[Plastic Bucket]],Table_NFI[Plastic Bucket])</f>
        <v>0</v>
      </c>
      <c r="AH269" s="378">
        <f>IF(NFI_Expiration=1,IF($A269&lt;VLOOKUP(Q$5,NFI,5,0),1,0)*Table_NFI[[#This Row],[Plastic Mat]],Table_NFI[Plastic Mat])*IF(Table_NFI[[#This Row],[Distribution Date]]&gt;"2014-04-01",1,2.5)</f>
        <v>0</v>
      </c>
      <c r="AI269" s="378">
        <f>IF(NFI_Expiration=1,IF($A269&lt;VLOOKUP(R$5,NFI,5,0),1,0)*Table_NFI[[#This Row],[Winter Clothes Adult]],Table_NFI[Winter Clothes Adult])</f>
        <v>0</v>
      </c>
      <c r="AJ269" s="378">
        <f>IF(NFI_Expiration=1,IF($A269&lt;VLOOKUP(S$5,NFI,5,0),1,0)*Table_NFI[[#This Row],[Winter Clothes Children]],Table_NFI[Winter Clothes Children])</f>
        <v>0</v>
      </c>
      <c r="AK269" s="378">
        <f>IF(NFI_Expiration=1,IF($A269&lt;VLOOKUP(T$5,NFI,5,0),1,0)*Table_NFI[[#This Row],[Winter Items Other]],Table_NFI[Winter Items Other])</f>
        <v>0</v>
      </c>
      <c r="AL269" s="378">
        <f>IF(NFI_Expiration=1,IF($A269&lt;VLOOKUP(M$5,NFI,5,0),1,0)*Table_NFI[[#This Row],[Winter Blanket]],Table_NFI[[#This Row],[Winter Blanket]])</f>
        <v>0</v>
      </c>
      <c r="AM269" s="378">
        <f>IF(Table_NFI[[#This Row],[Winter Clothes Adult]]+Table_NFI[[#This Row],[Winter Clothes Children]]+Table_NFI[[#This Row],[Winter Items Other]]+Table_NFI[[#This Row],[Winter Blanket]]&gt;0,1,0)</f>
        <v>0</v>
      </c>
      <c r="AN269" s="418">
        <f>IF(NFI_Expiration=1,IF($A269&lt;VLOOKUP(V$5,NFI,5,0),1,0)*Table_NFI[[#This Row],[Jerry Can]],Table_NFI[Jerry Can])</f>
        <v>0</v>
      </c>
      <c r="AO269" s="579" t="str">
        <f>IFERROR(VLOOKUP(Table_NFI[[#This Row],[Camp Name]],CL,2,0),"")</f>
        <v>MMR001CMP014</v>
      </c>
      <c r="AP269" s="574">
        <f ca="1">IF(Table_NFI[[#This Row],[Pcode]]="","",IF(OFFSET(CampList[Opening Date],MATCH(Table_NFI[[#This Row],[Pcode]],CampList[CP_Pcode],0)-1,0,1,1)&gt;=NFI_Monitor_Date,1,0))</f>
        <v>0</v>
      </c>
      <c r="AQ269" s="579" t="str">
        <f>IFERROR(VLOOKUP(Table_NFI[[#This Row],[Camp Name]],CL,3,0),"")</f>
        <v>Open</v>
      </c>
      <c r="AR269" s="378" t="str">
        <f ca="1">IF(Table_NFI[[#This Row],[Pcode]]="","",OFFSET(CampList[Priority],MATCH(Table_NFI[[#This Row],[Pcode]],CampList[CP_Pcode],0)-1,0,1,1))</f>
        <v>P4</v>
      </c>
      <c r="AS269" s="377">
        <f>IFERROR(Table_NFI[[#This Row],[Kitchen Set]]/VLOOKUP(Table_NFI[[#This Row],[Camp Name]],CL,4,0),"")</f>
        <v>0.36231884057971014</v>
      </c>
      <c r="AT269" s="572" t="s">
        <v>1095</v>
      </c>
      <c r="AU269" s="575"/>
    </row>
    <row r="270" spans="1:47" s="576" customFormat="1" x14ac:dyDescent="0.25">
      <c r="A270" s="381">
        <f t="shared" si="4"/>
        <v>55.733333333333334</v>
      </c>
      <c r="B270" s="571">
        <v>40850</v>
      </c>
      <c r="C270" s="572" t="s">
        <v>454</v>
      </c>
      <c r="D270" s="573" t="s">
        <v>462</v>
      </c>
      <c r="E270" s="572" t="s">
        <v>380</v>
      </c>
      <c r="F270" s="374" t="s">
        <v>237</v>
      </c>
      <c r="G270" s="374" t="s">
        <v>285</v>
      </c>
      <c r="H270" s="375"/>
      <c r="I270" s="375"/>
      <c r="J270" s="375"/>
      <c r="K270" s="375">
        <v>116</v>
      </c>
      <c r="L270" s="376">
        <v>49</v>
      </c>
      <c r="M270" s="376">
        <v>116</v>
      </c>
      <c r="N270" s="376">
        <v>49</v>
      </c>
      <c r="O270" s="376">
        <v>49</v>
      </c>
      <c r="P270" s="378">
        <v>49</v>
      </c>
      <c r="Q270" s="378">
        <v>49</v>
      </c>
      <c r="R270" s="378"/>
      <c r="S270" s="378"/>
      <c r="T270" s="378"/>
      <c r="U270" s="378"/>
      <c r="V270" s="533"/>
      <c r="W270" s="378"/>
      <c r="X270" s="378"/>
      <c r="Y270" s="378">
        <f>IF(NFI_Expiration=1,IF($A270&lt;VLOOKUP(H$5,NFI,5,0),1,0)*Table_NFI[[#This Row],[Hygiene Kit]],Table_NFI[Hygiene Kit])</f>
        <v>0</v>
      </c>
      <c r="Z270" s="378">
        <f>IF(NFI_Expiration=1,IF($A270&lt;VLOOKUP(I$5,NFI,5,0),1,0)*Table_NFI[[#This Row],[NFI Core Kit]],Table_NFI[NFI Core Kit])</f>
        <v>0</v>
      </c>
      <c r="AA270" s="378">
        <f>IF(NFI_Expiration=1,IF($A270&lt;VLOOKUP(J$5,NFI,5,0),1,0)*Table_NFI[[#This Row],[Sanitary Kit]],Table_NFI[Sanitary Kit])</f>
        <v>0</v>
      </c>
      <c r="AB270" s="378">
        <f>IF(NFI_Expiration=1,IF($A270&lt;VLOOKUP(K$5,NFI,5,0),1,0)*Table_NFI[[#This Row],[Mosquito net]],Table_NFI[Mosquito net])</f>
        <v>0</v>
      </c>
      <c r="AC270" s="378">
        <f>IF(NFI_Expiration=1,IF($A270&lt;VLOOKUP(L$5,NFI,5,0),1,0)*Table_NFI[[#This Row],[Tarpaulin]],Table_NFI[[#This Row],[Tarpaulin]])</f>
        <v>0</v>
      </c>
      <c r="AD270" s="378">
        <f>IF(NFI_Expiration=1,IF($A270&lt;VLOOKUP(M$5,NFI,5,0),1,0)*Table_NFI[[#This Row],[Blanket]],Table_NFI[[#This Row],[Blanket]])</f>
        <v>0</v>
      </c>
      <c r="AE270" s="378">
        <f>IF(NFI_Expiration=1,IF($A270&lt;VLOOKUP(N$5,NFI,5,0),1,0)*Table_NFI[[#This Row],[Kitchen Set]],Table_NFI[Kitchen Set])</f>
        <v>0</v>
      </c>
      <c r="AF270" s="378">
        <f>IF(NFI_Expiration=1,IF($A270&lt;VLOOKUP(O$5,NFI,5,0),1,0)*Table_NFI[[#This Row],[Clothes Kit]],Table_NFI[Clothes Kit])</f>
        <v>0</v>
      </c>
      <c r="AG270" s="378">
        <f>IF(NFI_Expiration=1,IF($A270&lt;VLOOKUP(P$5,NFI,5,0),1,0)*Table_NFI[[#This Row],[Plastic Bucket]],Table_NFI[Plastic Bucket])</f>
        <v>0</v>
      </c>
      <c r="AH270" s="378">
        <f>IF(NFI_Expiration=1,IF($A270&lt;VLOOKUP(Q$5,NFI,5,0),1,0)*Table_NFI[[#This Row],[Plastic Mat]],Table_NFI[Plastic Mat])*IF(Table_NFI[[#This Row],[Distribution Date]]&gt;"2014-04-01",1,2.5)</f>
        <v>0</v>
      </c>
      <c r="AI270" s="378">
        <f>IF(NFI_Expiration=1,IF($A270&lt;VLOOKUP(R$5,NFI,5,0),1,0)*Table_NFI[[#This Row],[Winter Clothes Adult]],Table_NFI[Winter Clothes Adult])</f>
        <v>0</v>
      </c>
      <c r="AJ270" s="378">
        <f>IF(NFI_Expiration=1,IF($A270&lt;VLOOKUP(S$5,NFI,5,0),1,0)*Table_NFI[[#This Row],[Winter Clothes Children]],Table_NFI[Winter Clothes Children])</f>
        <v>0</v>
      </c>
      <c r="AK270" s="378">
        <f>IF(NFI_Expiration=1,IF($A270&lt;VLOOKUP(T$5,NFI,5,0),1,0)*Table_NFI[[#This Row],[Winter Items Other]],Table_NFI[Winter Items Other])</f>
        <v>0</v>
      </c>
      <c r="AL270" s="378">
        <f>IF(NFI_Expiration=1,IF($A270&lt;VLOOKUP(M$5,NFI,5,0),1,0)*Table_NFI[[#This Row],[Winter Blanket]],Table_NFI[[#This Row],[Winter Blanket]])</f>
        <v>0</v>
      </c>
      <c r="AM270" s="378">
        <f>IF(Table_NFI[[#This Row],[Winter Clothes Adult]]+Table_NFI[[#This Row],[Winter Clothes Children]]+Table_NFI[[#This Row],[Winter Items Other]]+Table_NFI[[#This Row],[Winter Blanket]]&gt;0,1,0)</f>
        <v>0</v>
      </c>
      <c r="AN270" s="418">
        <f>IF(NFI_Expiration=1,IF($A270&lt;VLOOKUP(V$5,NFI,5,0),1,0)*Table_NFI[[#This Row],[Jerry Can]],Table_NFI[Jerry Can])</f>
        <v>0</v>
      </c>
      <c r="AO270" s="579" t="str">
        <f>IFERROR(VLOOKUP(Table_NFI[[#This Row],[Camp Name]],CL,2,0),"")</f>
        <v>MMR001CMP014</v>
      </c>
      <c r="AP270" s="574">
        <f ca="1">IF(Table_NFI[[#This Row],[Pcode]]="","",IF(OFFSET(CampList[Opening Date],MATCH(Table_NFI[[#This Row],[Pcode]],CampList[CP_Pcode],0)-1,0,1,1)&gt;=NFI_Monitor_Date,1,0))</f>
        <v>0</v>
      </c>
      <c r="AQ270" s="579" t="str">
        <f>IFERROR(VLOOKUP(Table_NFI[[#This Row],[Camp Name]],CL,3,0),"")</f>
        <v>Open</v>
      </c>
      <c r="AR270" s="378" t="str">
        <f ca="1">IF(Table_NFI[[#This Row],[Pcode]]="","",OFFSET(CampList[Priority],MATCH(Table_NFI[[#This Row],[Pcode]],CampList[CP_Pcode],0)-1,0,1,1))</f>
        <v>P4</v>
      </c>
      <c r="AS270" s="377">
        <f>IFERROR(Table_NFI[[#This Row],[Kitchen Set]]/VLOOKUP(Table_NFI[[#This Row],[Camp Name]],CL,4,0),"")</f>
        <v>0.35507246376811596</v>
      </c>
      <c r="AT270" s="572" t="s">
        <v>1095</v>
      </c>
      <c r="AU270" s="575"/>
    </row>
    <row r="271" spans="1:47" s="576" customFormat="1" x14ac:dyDescent="0.25">
      <c r="A271" s="381">
        <f t="shared" si="4"/>
        <v>53.366666666666667</v>
      </c>
      <c r="B271" s="571">
        <v>40921</v>
      </c>
      <c r="C271" s="572" t="s">
        <v>454</v>
      </c>
      <c r="D271" s="573" t="s">
        <v>462</v>
      </c>
      <c r="E271" s="572" t="s">
        <v>380</v>
      </c>
      <c r="F271" s="374"/>
      <c r="G271" s="374" t="s">
        <v>913</v>
      </c>
      <c r="H271" s="375"/>
      <c r="I271" s="375"/>
      <c r="J271" s="375"/>
      <c r="K271" s="375">
        <v>18</v>
      </c>
      <c r="L271" s="376">
        <v>9</v>
      </c>
      <c r="M271" s="376">
        <v>9</v>
      </c>
      <c r="N271" s="376">
        <v>0</v>
      </c>
      <c r="O271" s="376">
        <v>9</v>
      </c>
      <c r="P271" s="378">
        <v>9</v>
      </c>
      <c r="Q271" s="378">
        <v>9</v>
      </c>
      <c r="R271" s="378"/>
      <c r="S271" s="378"/>
      <c r="T271" s="378"/>
      <c r="U271" s="378"/>
      <c r="V271" s="533"/>
      <c r="W271" s="378"/>
      <c r="X271" s="378"/>
      <c r="Y271" s="378">
        <f>IF(NFI_Expiration=1,IF($A271&lt;VLOOKUP(H$5,NFI,5,0),1,0)*Table_NFI[[#This Row],[Hygiene Kit]],Table_NFI[Hygiene Kit])</f>
        <v>0</v>
      </c>
      <c r="Z271" s="378">
        <f>IF(NFI_Expiration=1,IF($A271&lt;VLOOKUP(I$5,NFI,5,0),1,0)*Table_NFI[[#This Row],[NFI Core Kit]],Table_NFI[NFI Core Kit])</f>
        <v>0</v>
      </c>
      <c r="AA271" s="378">
        <f>IF(NFI_Expiration=1,IF($A271&lt;VLOOKUP(J$5,NFI,5,0),1,0)*Table_NFI[[#This Row],[Sanitary Kit]],Table_NFI[Sanitary Kit])</f>
        <v>0</v>
      </c>
      <c r="AB271" s="378">
        <f>IF(NFI_Expiration=1,IF($A271&lt;VLOOKUP(K$5,NFI,5,0),1,0)*Table_NFI[[#This Row],[Mosquito net]],Table_NFI[Mosquito net])</f>
        <v>0</v>
      </c>
      <c r="AC271" s="378">
        <f>IF(NFI_Expiration=1,IF($A271&lt;VLOOKUP(L$5,NFI,5,0),1,0)*Table_NFI[[#This Row],[Tarpaulin]],Table_NFI[[#This Row],[Tarpaulin]])</f>
        <v>0</v>
      </c>
      <c r="AD271" s="378">
        <f>IF(NFI_Expiration=1,IF($A271&lt;VLOOKUP(M$5,NFI,5,0),1,0)*Table_NFI[[#This Row],[Blanket]],Table_NFI[[#This Row],[Blanket]])</f>
        <v>0</v>
      </c>
      <c r="AE271" s="378">
        <f>IF(NFI_Expiration=1,IF($A271&lt;VLOOKUP(N$5,NFI,5,0),1,0)*Table_NFI[[#This Row],[Kitchen Set]],Table_NFI[Kitchen Set])</f>
        <v>0</v>
      </c>
      <c r="AF271" s="378">
        <f>IF(NFI_Expiration=1,IF($A271&lt;VLOOKUP(O$5,NFI,5,0),1,0)*Table_NFI[[#This Row],[Clothes Kit]],Table_NFI[Clothes Kit])</f>
        <v>0</v>
      </c>
      <c r="AG271" s="378">
        <f>IF(NFI_Expiration=1,IF($A271&lt;VLOOKUP(P$5,NFI,5,0),1,0)*Table_NFI[[#This Row],[Plastic Bucket]],Table_NFI[Plastic Bucket])</f>
        <v>0</v>
      </c>
      <c r="AH271" s="378">
        <f>IF(NFI_Expiration=1,IF($A271&lt;VLOOKUP(Q$5,NFI,5,0),1,0)*Table_NFI[[#This Row],[Plastic Mat]],Table_NFI[Plastic Mat])*IF(Table_NFI[[#This Row],[Distribution Date]]&gt;"2014-04-01",1,2.5)</f>
        <v>0</v>
      </c>
      <c r="AI271" s="378">
        <f>IF(NFI_Expiration=1,IF($A271&lt;VLOOKUP(R$5,NFI,5,0),1,0)*Table_NFI[[#This Row],[Winter Clothes Adult]],Table_NFI[Winter Clothes Adult])</f>
        <v>0</v>
      </c>
      <c r="AJ271" s="378">
        <f>IF(NFI_Expiration=1,IF($A271&lt;VLOOKUP(S$5,NFI,5,0),1,0)*Table_NFI[[#This Row],[Winter Clothes Children]],Table_NFI[Winter Clothes Children])</f>
        <v>0</v>
      </c>
      <c r="AK271" s="378">
        <f>IF(NFI_Expiration=1,IF($A271&lt;VLOOKUP(T$5,NFI,5,0),1,0)*Table_NFI[[#This Row],[Winter Items Other]],Table_NFI[Winter Items Other])</f>
        <v>0</v>
      </c>
      <c r="AL271" s="378">
        <f>IF(NFI_Expiration=1,IF($A271&lt;VLOOKUP(M$5,NFI,5,0),1,0)*Table_NFI[[#This Row],[Winter Blanket]],Table_NFI[[#This Row],[Winter Blanket]])</f>
        <v>0</v>
      </c>
      <c r="AM271" s="378">
        <f>IF(Table_NFI[[#This Row],[Winter Clothes Adult]]+Table_NFI[[#This Row],[Winter Clothes Children]]+Table_NFI[[#This Row],[Winter Items Other]]+Table_NFI[[#This Row],[Winter Blanket]]&gt;0,1,0)</f>
        <v>0</v>
      </c>
      <c r="AN271" s="418">
        <f>IF(NFI_Expiration=1,IF($A271&lt;VLOOKUP(V$5,NFI,5,0),1,0)*Table_NFI[[#This Row],[Jerry Can]],Table_NFI[Jerry Can])</f>
        <v>0</v>
      </c>
      <c r="AO271" s="579" t="str">
        <f>IFERROR(VLOOKUP(Table_NFI[[#This Row],[Camp Name]],CL,2,0),"")</f>
        <v/>
      </c>
      <c r="AP271" s="574" t="str">
        <f ca="1">IF(Table_NFI[[#This Row],[Pcode]]="","",IF(OFFSET(CampList[Opening Date],MATCH(Table_NFI[[#This Row],[Pcode]],CampList[CP_Pcode],0)-1,0,1,1)&gt;=NFI_Monitor_Date,1,0))</f>
        <v/>
      </c>
      <c r="AQ271" s="579" t="str">
        <f>IFERROR(VLOOKUP(Table_NFI[[#This Row],[Camp Name]],CL,3,0),"")</f>
        <v/>
      </c>
      <c r="AR271" s="378" t="str">
        <f ca="1">IF(Table_NFI[[#This Row],[Pcode]]="","",OFFSET(CampList[Priority],MATCH(Table_NFI[[#This Row],[Pcode]],CampList[CP_Pcode],0)-1,0,1,1))</f>
        <v/>
      </c>
      <c r="AS271" s="377" t="str">
        <f>IFERROR(Table_NFI[[#This Row],[Kitchen Set]]/VLOOKUP(Table_NFI[[#This Row],[Camp Name]],CL,4,0),"")</f>
        <v/>
      </c>
      <c r="AT271" s="572" t="s">
        <v>1095</v>
      </c>
      <c r="AU271" s="575" t="s">
        <v>1165</v>
      </c>
    </row>
    <row r="272" spans="1:47" s="576" customFormat="1" x14ac:dyDescent="0.25">
      <c r="A272" s="381">
        <f t="shared" si="4"/>
        <v>53.366666666666667</v>
      </c>
      <c r="B272" s="571">
        <v>40921</v>
      </c>
      <c r="C272" s="572" t="s">
        <v>454</v>
      </c>
      <c r="D272" s="573" t="s">
        <v>462</v>
      </c>
      <c r="E272" s="572" t="s">
        <v>380</v>
      </c>
      <c r="F272" s="374"/>
      <c r="G272" s="374" t="s">
        <v>914</v>
      </c>
      <c r="H272" s="375"/>
      <c r="I272" s="375"/>
      <c r="J272" s="375"/>
      <c r="K272" s="375">
        <v>10</v>
      </c>
      <c r="L272" s="376">
        <v>5</v>
      </c>
      <c r="M272" s="376">
        <v>5</v>
      </c>
      <c r="N272" s="376">
        <v>0</v>
      </c>
      <c r="O272" s="376">
        <v>5</v>
      </c>
      <c r="P272" s="378">
        <v>5</v>
      </c>
      <c r="Q272" s="378">
        <v>5</v>
      </c>
      <c r="R272" s="378"/>
      <c r="S272" s="378"/>
      <c r="T272" s="378"/>
      <c r="U272" s="378"/>
      <c r="V272" s="533"/>
      <c r="W272" s="378"/>
      <c r="X272" s="378"/>
      <c r="Y272" s="378">
        <f>IF(NFI_Expiration=1,IF($A272&lt;VLOOKUP(H$5,NFI,5,0),1,0)*Table_NFI[[#This Row],[Hygiene Kit]],Table_NFI[Hygiene Kit])</f>
        <v>0</v>
      </c>
      <c r="Z272" s="378">
        <f>IF(NFI_Expiration=1,IF($A272&lt;VLOOKUP(I$5,NFI,5,0),1,0)*Table_NFI[[#This Row],[NFI Core Kit]],Table_NFI[NFI Core Kit])</f>
        <v>0</v>
      </c>
      <c r="AA272" s="378">
        <f>IF(NFI_Expiration=1,IF($A272&lt;VLOOKUP(J$5,NFI,5,0),1,0)*Table_NFI[[#This Row],[Sanitary Kit]],Table_NFI[Sanitary Kit])</f>
        <v>0</v>
      </c>
      <c r="AB272" s="378">
        <f>IF(NFI_Expiration=1,IF($A272&lt;VLOOKUP(K$5,NFI,5,0),1,0)*Table_NFI[[#This Row],[Mosquito net]],Table_NFI[Mosquito net])</f>
        <v>0</v>
      </c>
      <c r="AC272" s="378">
        <f>IF(NFI_Expiration=1,IF($A272&lt;VLOOKUP(L$5,NFI,5,0),1,0)*Table_NFI[[#This Row],[Tarpaulin]],Table_NFI[[#This Row],[Tarpaulin]])</f>
        <v>0</v>
      </c>
      <c r="AD272" s="378">
        <f>IF(NFI_Expiration=1,IF($A272&lt;VLOOKUP(M$5,NFI,5,0),1,0)*Table_NFI[[#This Row],[Blanket]],Table_NFI[[#This Row],[Blanket]])</f>
        <v>0</v>
      </c>
      <c r="AE272" s="378">
        <f>IF(NFI_Expiration=1,IF($A272&lt;VLOOKUP(N$5,NFI,5,0),1,0)*Table_NFI[[#This Row],[Kitchen Set]],Table_NFI[Kitchen Set])</f>
        <v>0</v>
      </c>
      <c r="AF272" s="378">
        <f>IF(NFI_Expiration=1,IF($A272&lt;VLOOKUP(O$5,NFI,5,0),1,0)*Table_NFI[[#This Row],[Clothes Kit]],Table_NFI[Clothes Kit])</f>
        <v>0</v>
      </c>
      <c r="AG272" s="378">
        <f>IF(NFI_Expiration=1,IF($A272&lt;VLOOKUP(P$5,NFI,5,0),1,0)*Table_NFI[[#This Row],[Plastic Bucket]],Table_NFI[Plastic Bucket])</f>
        <v>0</v>
      </c>
      <c r="AH272" s="378">
        <f>IF(NFI_Expiration=1,IF($A272&lt;VLOOKUP(Q$5,NFI,5,0),1,0)*Table_NFI[[#This Row],[Plastic Mat]],Table_NFI[Plastic Mat])*IF(Table_NFI[[#This Row],[Distribution Date]]&gt;"2014-04-01",1,2.5)</f>
        <v>0</v>
      </c>
      <c r="AI272" s="378">
        <f>IF(NFI_Expiration=1,IF($A272&lt;VLOOKUP(R$5,NFI,5,0),1,0)*Table_NFI[[#This Row],[Winter Clothes Adult]],Table_NFI[Winter Clothes Adult])</f>
        <v>0</v>
      </c>
      <c r="AJ272" s="378">
        <f>IF(NFI_Expiration=1,IF($A272&lt;VLOOKUP(S$5,NFI,5,0),1,0)*Table_NFI[[#This Row],[Winter Clothes Children]],Table_NFI[Winter Clothes Children])</f>
        <v>0</v>
      </c>
      <c r="AK272" s="378">
        <f>IF(NFI_Expiration=1,IF($A272&lt;VLOOKUP(T$5,NFI,5,0),1,0)*Table_NFI[[#This Row],[Winter Items Other]],Table_NFI[Winter Items Other])</f>
        <v>0</v>
      </c>
      <c r="AL272" s="378">
        <f>IF(NFI_Expiration=1,IF($A272&lt;VLOOKUP(M$5,NFI,5,0),1,0)*Table_NFI[[#This Row],[Winter Blanket]],Table_NFI[[#This Row],[Winter Blanket]])</f>
        <v>0</v>
      </c>
      <c r="AM272" s="378">
        <f>IF(Table_NFI[[#This Row],[Winter Clothes Adult]]+Table_NFI[[#This Row],[Winter Clothes Children]]+Table_NFI[[#This Row],[Winter Items Other]]+Table_NFI[[#This Row],[Winter Blanket]]&gt;0,1,0)</f>
        <v>0</v>
      </c>
      <c r="AN272" s="418">
        <f>IF(NFI_Expiration=1,IF($A272&lt;VLOOKUP(V$5,NFI,5,0),1,0)*Table_NFI[[#This Row],[Jerry Can]],Table_NFI[Jerry Can])</f>
        <v>0</v>
      </c>
      <c r="AO272" s="579" t="str">
        <f>IFERROR(VLOOKUP(Table_NFI[[#This Row],[Camp Name]],CL,2,0),"")</f>
        <v/>
      </c>
      <c r="AP272" s="574" t="str">
        <f ca="1">IF(Table_NFI[[#This Row],[Pcode]]="","",IF(OFFSET(CampList[Opening Date],MATCH(Table_NFI[[#This Row],[Pcode]],CampList[CP_Pcode],0)-1,0,1,1)&gt;=NFI_Monitor_Date,1,0))</f>
        <v/>
      </c>
      <c r="AQ272" s="579" t="str">
        <f>IFERROR(VLOOKUP(Table_NFI[[#This Row],[Camp Name]],CL,3,0),"")</f>
        <v/>
      </c>
      <c r="AR272" s="378" t="str">
        <f ca="1">IF(Table_NFI[[#This Row],[Pcode]]="","",OFFSET(CampList[Priority],MATCH(Table_NFI[[#This Row],[Pcode]],CampList[CP_Pcode],0)-1,0,1,1))</f>
        <v/>
      </c>
      <c r="AS272" s="377" t="str">
        <f>IFERROR(Table_NFI[[#This Row],[Kitchen Set]]/VLOOKUP(Table_NFI[[#This Row],[Camp Name]],CL,4,0),"")</f>
        <v/>
      </c>
      <c r="AT272" s="572" t="s">
        <v>1095</v>
      </c>
      <c r="AU272" s="575" t="s">
        <v>1166</v>
      </c>
    </row>
    <row r="273" spans="1:47" s="576" customFormat="1" x14ac:dyDescent="0.25">
      <c r="A273" s="381">
        <f t="shared" si="4"/>
        <v>16.833333333333332</v>
      </c>
      <c r="B273" s="571">
        <v>42017</v>
      </c>
      <c r="C273" s="572" t="s">
        <v>1097</v>
      </c>
      <c r="D273" s="572" t="s">
        <v>903</v>
      </c>
      <c r="E273" s="572" t="s">
        <v>380</v>
      </c>
      <c r="F273" s="572" t="s">
        <v>27</v>
      </c>
      <c r="G273" s="572" t="s">
        <v>365</v>
      </c>
      <c r="H273" s="375"/>
      <c r="I273" s="378"/>
      <c r="J273" s="378"/>
      <c r="K273" s="378"/>
      <c r="L273" s="376"/>
      <c r="M273" s="376"/>
      <c r="N273" s="376"/>
      <c r="O273" s="376"/>
      <c r="P273" s="378"/>
      <c r="Q273" s="378"/>
      <c r="R273" s="378">
        <v>350</v>
      </c>
      <c r="S273" s="378">
        <v>236</v>
      </c>
      <c r="T273" s="378"/>
      <c r="U273" s="378">
        <v>203</v>
      </c>
      <c r="V273" s="533"/>
      <c r="W273" s="378"/>
      <c r="X273" s="378"/>
      <c r="Y273" s="378">
        <f>IF(NFI_Expiration=1,IF($A273&lt;VLOOKUP(H$5,NFI,5,0),1,0)*Table_NFI[[#This Row],[Hygiene Kit]],Table_NFI[Hygiene Kit])</f>
        <v>0</v>
      </c>
      <c r="Z273" s="378">
        <f>IF(NFI_Expiration=1,IF($A273&lt;VLOOKUP(I$5,NFI,5,0),1,0)*Table_NFI[[#This Row],[NFI Core Kit]],Table_NFI[NFI Core Kit])</f>
        <v>0</v>
      </c>
      <c r="AA273" s="378">
        <f>IF(NFI_Expiration=1,IF($A273&lt;VLOOKUP(J$5,NFI,5,0),1,0)*Table_NFI[[#This Row],[Sanitary Kit]],Table_NFI[Sanitary Kit])</f>
        <v>0</v>
      </c>
      <c r="AB273" s="378">
        <f>IF(NFI_Expiration=1,IF($A273&lt;VLOOKUP(K$5,NFI,5,0),1,0)*Table_NFI[[#This Row],[Mosquito net]],Table_NFI[Mosquito net])</f>
        <v>0</v>
      </c>
      <c r="AC273" s="378">
        <f>IF(NFI_Expiration=1,IF($A273&lt;VLOOKUP(L$5,NFI,5,0),1,0)*Table_NFI[[#This Row],[Tarpaulin]],Table_NFI[[#This Row],[Tarpaulin]])</f>
        <v>0</v>
      </c>
      <c r="AD273" s="378">
        <f>IF(NFI_Expiration=1,IF($A273&lt;VLOOKUP(M$5,NFI,5,0),1,0)*Table_NFI[[#This Row],[Blanket]],Table_NFI[[#This Row],[Blanket]])</f>
        <v>0</v>
      </c>
      <c r="AE273" s="378">
        <f>IF(NFI_Expiration=1,IF($A273&lt;VLOOKUP(N$5,NFI,5,0),1,0)*Table_NFI[[#This Row],[Kitchen Set]],Table_NFI[Kitchen Set])</f>
        <v>0</v>
      </c>
      <c r="AF273" s="378">
        <f>IF(NFI_Expiration=1,IF($A273&lt;VLOOKUP(O$5,NFI,5,0),1,0)*Table_NFI[[#This Row],[Clothes Kit]],Table_NFI[Clothes Kit])</f>
        <v>0</v>
      </c>
      <c r="AG273" s="378">
        <f>IF(NFI_Expiration=1,IF($A273&lt;VLOOKUP(P$5,NFI,5,0),1,0)*Table_NFI[[#This Row],[Plastic Bucket]],Table_NFI[Plastic Bucket])</f>
        <v>0</v>
      </c>
      <c r="AH273" s="378">
        <f>IF(NFI_Expiration=1,IF($A273&lt;VLOOKUP(Q$5,NFI,5,0),1,0)*Table_NFI[[#This Row],[Plastic Mat]],Table_NFI[Plastic Mat])*IF(Table_NFI[[#This Row],[Distribution Date]]&gt;"2014-04-01",1,2.5)</f>
        <v>0</v>
      </c>
      <c r="AI273" s="378">
        <f>IF(NFI_Expiration=1,IF($A273&lt;VLOOKUP(R$5,NFI,5,0),1,0)*Table_NFI[[#This Row],[Winter Clothes Adult]],Table_NFI[Winter Clothes Adult])</f>
        <v>0</v>
      </c>
      <c r="AJ273" s="378">
        <f>IF(NFI_Expiration=1,IF($A273&lt;VLOOKUP(S$5,NFI,5,0),1,0)*Table_NFI[[#This Row],[Winter Clothes Children]],Table_NFI[Winter Clothes Children])</f>
        <v>0</v>
      </c>
      <c r="AK273" s="378">
        <f>IF(NFI_Expiration=1,IF($A273&lt;VLOOKUP(T$5,NFI,5,0),1,0)*Table_NFI[[#This Row],[Winter Items Other]],Table_NFI[Winter Items Other])</f>
        <v>0</v>
      </c>
      <c r="AL273" s="378">
        <f>IF(NFI_Expiration=1,IF($A273&lt;VLOOKUP(M$5,NFI,5,0),1,0)*Table_NFI[[#This Row],[Winter Blanket]],Table_NFI[[#This Row],[Winter Blanket]])</f>
        <v>0</v>
      </c>
      <c r="AM273" s="378">
        <f>IF(Table_NFI[[#This Row],[Winter Clothes Adult]]+Table_NFI[[#This Row],[Winter Clothes Children]]+Table_NFI[[#This Row],[Winter Items Other]]+Table_NFI[[#This Row],[Winter Blanket]]&gt;0,1,0)</f>
        <v>1</v>
      </c>
      <c r="AN273" s="418">
        <f>IF(NFI_Expiration=1,IF($A273&lt;VLOOKUP(V$5,NFI,5,0),1,0)*Table_NFI[[#This Row],[Jerry Can]],Table_NFI[Jerry Can])</f>
        <v>0</v>
      </c>
      <c r="AO273" s="579" t="str">
        <f>IFERROR(VLOOKUP(Table_NFI[[#This Row],[Camp Name]],CL,2,0),"")</f>
        <v>MMR001CMP195</v>
      </c>
      <c r="AP273" s="574">
        <f ca="1">IF(Table_NFI[[#This Row],[Pcode]]="","",IF(OFFSET(CampList[Opening Date],MATCH(Table_NFI[[#This Row],[Pcode]],CampList[CP_Pcode],0)-1,0,1,1)&gt;=NFI_Monitor_Date,1,0))</f>
        <v>0</v>
      </c>
      <c r="AQ273" s="579" t="str">
        <f>IFERROR(VLOOKUP(Table_NFI[[#This Row],[Camp Name]],CL,3,0),"")</f>
        <v>Open</v>
      </c>
      <c r="AR273" s="378" t="str">
        <f ca="1">IF(Table_NFI[[#This Row],[Pcode]]="","",OFFSET(CampList[Priority],MATCH(Table_NFI[[#This Row],[Pcode]],CampList[CP_Pcode],0)-1,0,1,1))</f>
        <v>P1</v>
      </c>
      <c r="AS273" s="377">
        <f>IFERROR(Table_NFI[[#This Row],[Kitchen Set]]/VLOOKUP(Table_NFI[[#This Row],[Camp Name]],CL,4,0),"")</f>
        <v>0</v>
      </c>
      <c r="AT273" s="572"/>
      <c r="AU273" s="601"/>
    </row>
    <row r="274" spans="1:47" s="576" customFormat="1" x14ac:dyDescent="0.25">
      <c r="A274" s="381">
        <f t="shared" si="4"/>
        <v>20.3</v>
      </c>
      <c r="B274" s="571">
        <v>41913</v>
      </c>
      <c r="C274" s="572" t="s">
        <v>454</v>
      </c>
      <c r="D274" s="577" t="s">
        <v>507</v>
      </c>
      <c r="E274" s="577" t="s">
        <v>380</v>
      </c>
      <c r="F274" s="577" t="s">
        <v>27</v>
      </c>
      <c r="G274" s="577" t="s">
        <v>365</v>
      </c>
      <c r="H274" s="376"/>
      <c r="I274" s="376"/>
      <c r="J274" s="376"/>
      <c r="K274" s="376">
        <v>278</v>
      </c>
      <c r="L274" s="376"/>
      <c r="M274" s="376"/>
      <c r="N274" s="376"/>
      <c r="O274" s="376"/>
      <c r="P274" s="378"/>
      <c r="Q274" s="378"/>
      <c r="R274" s="378"/>
      <c r="S274" s="378"/>
      <c r="T274" s="378"/>
      <c r="U274" s="378">
        <v>278</v>
      </c>
      <c r="V274" s="533"/>
      <c r="W274" s="378"/>
      <c r="X274" s="378"/>
      <c r="Y274" s="378">
        <f>IF(NFI_Expiration=1,IF($A274&lt;VLOOKUP(H$5,NFI,5,0),1,0)*Table_NFI[[#This Row],[Hygiene Kit]],Table_NFI[Hygiene Kit])</f>
        <v>0</v>
      </c>
      <c r="Z274" s="378">
        <f>IF(NFI_Expiration=1,IF($A274&lt;VLOOKUP(I$5,NFI,5,0),1,0)*Table_NFI[[#This Row],[NFI Core Kit]],Table_NFI[NFI Core Kit])</f>
        <v>0</v>
      </c>
      <c r="AA274" s="378">
        <f>IF(NFI_Expiration=1,IF($A274&lt;VLOOKUP(J$5,NFI,5,0),1,0)*Table_NFI[[#This Row],[Sanitary Kit]],Table_NFI[Sanitary Kit])</f>
        <v>0</v>
      </c>
      <c r="AB274" s="378">
        <f>IF(NFI_Expiration=1,IF($A274&lt;VLOOKUP(K$5,NFI,5,0),1,0)*Table_NFI[[#This Row],[Mosquito net]],Table_NFI[Mosquito net])</f>
        <v>0</v>
      </c>
      <c r="AC274" s="378">
        <f>IF(NFI_Expiration=1,IF($A274&lt;VLOOKUP(L$5,NFI,5,0),1,0)*Table_NFI[[#This Row],[Tarpaulin]],Table_NFI[[#This Row],[Tarpaulin]])</f>
        <v>0</v>
      </c>
      <c r="AD274" s="378">
        <f>IF(NFI_Expiration=1,IF($A274&lt;VLOOKUP(M$5,NFI,5,0),1,0)*Table_NFI[[#This Row],[Blanket]],Table_NFI[[#This Row],[Blanket]])</f>
        <v>0</v>
      </c>
      <c r="AE274" s="378">
        <f>IF(NFI_Expiration=1,IF($A274&lt;VLOOKUP(N$5,NFI,5,0),1,0)*Table_NFI[[#This Row],[Kitchen Set]],Table_NFI[Kitchen Set])</f>
        <v>0</v>
      </c>
      <c r="AF274" s="378">
        <f>IF(NFI_Expiration=1,IF($A274&lt;VLOOKUP(O$5,NFI,5,0),1,0)*Table_NFI[[#This Row],[Clothes Kit]],Table_NFI[Clothes Kit])</f>
        <v>0</v>
      </c>
      <c r="AG274" s="378">
        <f>IF(NFI_Expiration=1,IF($A274&lt;VLOOKUP(P$5,NFI,5,0),1,0)*Table_NFI[[#This Row],[Plastic Bucket]],Table_NFI[Plastic Bucket])</f>
        <v>0</v>
      </c>
      <c r="AH274" s="378">
        <f>IF(NFI_Expiration=1,IF($A274&lt;VLOOKUP(Q$5,NFI,5,0),1,0)*Table_NFI[[#This Row],[Plastic Mat]],Table_NFI[Plastic Mat])*IF(Table_NFI[[#This Row],[Distribution Date]]&gt;"2014-04-01",1,2.5)</f>
        <v>0</v>
      </c>
      <c r="AI274" s="378">
        <f>IF(NFI_Expiration=1,IF($A274&lt;VLOOKUP(R$5,NFI,5,0),1,0)*Table_NFI[[#This Row],[Winter Clothes Adult]],Table_NFI[Winter Clothes Adult])</f>
        <v>0</v>
      </c>
      <c r="AJ274" s="378">
        <f>IF(NFI_Expiration=1,IF($A274&lt;VLOOKUP(S$5,NFI,5,0),1,0)*Table_NFI[[#This Row],[Winter Clothes Children]],Table_NFI[Winter Clothes Children])</f>
        <v>0</v>
      </c>
      <c r="AK274" s="378">
        <f>IF(NFI_Expiration=1,IF($A274&lt;VLOOKUP(T$5,NFI,5,0),1,0)*Table_NFI[[#This Row],[Winter Items Other]],Table_NFI[Winter Items Other])</f>
        <v>0</v>
      </c>
      <c r="AL274" s="378">
        <f>IF(NFI_Expiration=1,IF($A274&lt;VLOOKUP(M$5,NFI,5,0),1,0)*Table_NFI[[#This Row],[Winter Blanket]],Table_NFI[[#This Row],[Winter Blanket]])</f>
        <v>0</v>
      </c>
      <c r="AM274" s="378">
        <f>IF(Table_NFI[[#This Row],[Winter Clothes Adult]]+Table_NFI[[#This Row],[Winter Clothes Children]]+Table_NFI[[#This Row],[Winter Items Other]]+Table_NFI[[#This Row],[Winter Blanket]]&gt;0,1,0)</f>
        <v>1</v>
      </c>
      <c r="AN274" s="418">
        <f>IF(NFI_Expiration=1,IF($A274&lt;VLOOKUP(V$5,NFI,5,0),1,0)*Table_NFI[[#This Row],[Jerry Can]],Table_NFI[Jerry Can])</f>
        <v>0</v>
      </c>
      <c r="AO274" s="579" t="str">
        <f>IFERROR(VLOOKUP(Table_NFI[[#This Row],[Camp Name]],CL,2,0),"")</f>
        <v>MMR001CMP195</v>
      </c>
      <c r="AP274" s="574">
        <f ca="1">IF(Table_NFI[[#This Row],[Pcode]]="","",IF(OFFSET(CampList[Opening Date],MATCH(Table_NFI[[#This Row],[Pcode]],CampList[CP_Pcode],0)-1,0,1,1)&gt;=NFI_Monitor_Date,1,0))</f>
        <v>0</v>
      </c>
      <c r="AQ274" s="579" t="str">
        <f>IFERROR(VLOOKUP(Table_NFI[[#This Row],[Camp Name]],CL,3,0),"")</f>
        <v>Open</v>
      </c>
      <c r="AR274" s="378" t="str">
        <f ca="1">IF(Table_NFI[[#This Row],[Pcode]]="","",OFFSET(CampList[Priority],MATCH(Table_NFI[[#This Row],[Pcode]],CampList[CP_Pcode],0)-1,0,1,1))</f>
        <v>P1</v>
      </c>
      <c r="AS274" s="377">
        <f>IFERROR(Table_NFI[[#This Row],[Kitchen Set]]/VLOOKUP(Table_NFI[[#This Row],[Camp Name]],CL,4,0),"")</f>
        <v>0</v>
      </c>
      <c r="AT274" s="577"/>
      <c r="AU274" s="580"/>
    </row>
    <row r="275" spans="1:47" s="576" customFormat="1" x14ac:dyDescent="0.25">
      <c r="A275" s="381">
        <f t="shared" si="4"/>
        <v>22.133333333333333</v>
      </c>
      <c r="B275" s="571">
        <v>41858</v>
      </c>
      <c r="C275" s="572" t="s">
        <v>454</v>
      </c>
      <c r="D275" s="572" t="s">
        <v>507</v>
      </c>
      <c r="E275" s="572" t="s">
        <v>380</v>
      </c>
      <c r="F275" s="572" t="s">
        <v>27</v>
      </c>
      <c r="G275" s="572" t="s">
        <v>365</v>
      </c>
      <c r="H275" s="375"/>
      <c r="I275" s="375"/>
      <c r="J275" s="375">
        <v>50</v>
      </c>
      <c r="K275" s="375">
        <v>25</v>
      </c>
      <c r="L275" s="376">
        <v>50</v>
      </c>
      <c r="M275" s="376">
        <v>25</v>
      </c>
      <c r="N275" s="376"/>
      <c r="O275" s="376">
        <v>25</v>
      </c>
      <c r="P275" s="378">
        <v>125</v>
      </c>
      <c r="Q275" s="378"/>
      <c r="R275" s="378"/>
      <c r="S275" s="378"/>
      <c r="T275" s="378"/>
      <c r="U275" s="378"/>
      <c r="V275" s="533"/>
      <c r="W275" s="378"/>
      <c r="X275" s="378"/>
      <c r="Y275" s="378">
        <f>IF(NFI_Expiration=1,IF($A275&lt;VLOOKUP(H$5,NFI,5,0),1,0)*Table_NFI[[#This Row],[Hygiene Kit]],Table_NFI[Hygiene Kit])</f>
        <v>0</v>
      </c>
      <c r="Z275" s="378">
        <f>IF(NFI_Expiration=1,IF($A275&lt;VLOOKUP(I$5,NFI,5,0),1,0)*Table_NFI[[#This Row],[NFI Core Kit]],Table_NFI[NFI Core Kit])</f>
        <v>0</v>
      </c>
      <c r="AA275" s="378">
        <f>IF(NFI_Expiration=1,IF($A275&lt;VLOOKUP(J$5,NFI,5,0),1,0)*Table_NFI[[#This Row],[Sanitary Kit]],Table_NFI[Sanitary Kit])</f>
        <v>0</v>
      </c>
      <c r="AB275" s="378">
        <f>IF(NFI_Expiration=1,IF($A275&lt;VLOOKUP(K$5,NFI,5,0),1,0)*Table_NFI[[#This Row],[Mosquito net]],Table_NFI[Mosquito net])</f>
        <v>0</v>
      </c>
      <c r="AC275" s="378">
        <f>IF(NFI_Expiration=1,IF($A275&lt;VLOOKUP(L$5,NFI,5,0),1,0)*Table_NFI[[#This Row],[Tarpaulin]],Table_NFI[[#This Row],[Tarpaulin]])</f>
        <v>0</v>
      </c>
      <c r="AD275" s="378">
        <f>IF(NFI_Expiration=1,IF($A275&lt;VLOOKUP(M$5,NFI,5,0),1,0)*Table_NFI[[#This Row],[Blanket]],Table_NFI[[#This Row],[Blanket]])</f>
        <v>0</v>
      </c>
      <c r="AE275" s="378">
        <f>IF(NFI_Expiration=1,IF($A275&lt;VLOOKUP(N$5,NFI,5,0),1,0)*Table_NFI[[#This Row],[Kitchen Set]],Table_NFI[Kitchen Set])</f>
        <v>0</v>
      </c>
      <c r="AF275" s="378">
        <f>IF(NFI_Expiration=1,IF($A275&lt;VLOOKUP(O$5,NFI,5,0),1,0)*Table_NFI[[#This Row],[Clothes Kit]],Table_NFI[Clothes Kit])</f>
        <v>0</v>
      </c>
      <c r="AG275" s="378">
        <f>IF(NFI_Expiration=1,IF($A275&lt;VLOOKUP(P$5,NFI,5,0),1,0)*Table_NFI[[#This Row],[Plastic Bucket]],Table_NFI[Plastic Bucket])</f>
        <v>0</v>
      </c>
      <c r="AH275" s="378">
        <f>IF(NFI_Expiration=1,IF($A275&lt;VLOOKUP(Q$5,NFI,5,0),1,0)*Table_NFI[[#This Row],[Plastic Mat]],Table_NFI[Plastic Mat])*IF(Table_NFI[[#This Row],[Distribution Date]]&gt;"2014-04-01",1,2.5)</f>
        <v>0</v>
      </c>
      <c r="AI275" s="378">
        <f>IF(NFI_Expiration=1,IF($A275&lt;VLOOKUP(R$5,NFI,5,0),1,0)*Table_NFI[[#This Row],[Winter Clothes Adult]],Table_NFI[Winter Clothes Adult])</f>
        <v>0</v>
      </c>
      <c r="AJ275" s="378">
        <f>IF(NFI_Expiration=1,IF($A275&lt;VLOOKUP(S$5,NFI,5,0),1,0)*Table_NFI[[#This Row],[Winter Clothes Children]],Table_NFI[Winter Clothes Children])</f>
        <v>0</v>
      </c>
      <c r="AK275" s="378">
        <f>IF(NFI_Expiration=1,IF($A275&lt;VLOOKUP(T$5,NFI,5,0),1,0)*Table_NFI[[#This Row],[Winter Items Other]],Table_NFI[Winter Items Other])</f>
        <v>0</v>
      </c>
      <c r="AL275" s="378">
        <f>IF(NFI_Expiration=1,IF($A275&lt;VLOOKUP(M$5,NFI,5,0),1,0)*Table_NFI[[#This Row],[Winter Blanket]],Table_NFI[[#This Row],[Winter Blanket]])</f>
        <v>0</v>
      </c>
      <c r="AM275" s="378">
        <f>IF(Table_NFI[[#This Row],[Winter Clothes Adult]]+Table_NFI[[#This Row],[Winter Clothes Children]]+Table_NFI[[#This Row],[Winter Items Other]]+Table_NFI[[#This Row],[Winter Blanket]]&gt;0,1,0)</f>
        <v>0</v>
      </c>
      <c r="AN275" s="418">
        <f>IF(NFI_Expiration=1,IF($A275&lt;VLOOKUP(V$5,NFI,5,0),1,0)*Table_NFI[[#This Row],[Jerry Can]],Table_NFI[Jerry Can])</f>
        <v>0</v>
      </c>
      <c r="AO275" s="579" t="str">
        <f>IFERROR(VLOOKUP(Table_NFI[[#This Row],[Camp Name]],CL,2,0),"")</f>
        <v>MMR001CMP195</v>
      </c>
      <c r="AP275" s="574">
        <f ca="1">IF(Table_NFI[[#This Row],[Pcode]]="","",IF(OFFSET(CampList[Opening Date],MATCH(Table_NFI[[#This Row],[Pcode]],CampList[CP_Pcode],0)-1,0,1,1)&gt;=NFI_Monitor_Date,1,0))</f>
        <v>0</v>
      </c>
      <c r="AQ275" s="579" t="str">
        <f>IFERROR(VLOOKUP(Table_NFI[[#This Row],[Camp Name]],CL,3,0),"")</f>
        <v>Open</v>
      </c>
      <c r="AR275" s="378" t="str">
        <f ca="1">IF(Table_NFI[[#This Row],[Pcode]]="","",OFFSET(CampList[Priority],MATCH(Table_NFI[[#This Row],[Pcode]],CampList[CP_Pcode],0)-1,0,1,1))</f>
        <v>P1</v>
      </c>
      <c r="AS275" s="377">
        <f>IFERROR(Table_NFI[[#This Row],[Kitchen Set]]/VLOOKUP(Table_NFI[[#This Row],[Camp Name]],CL,4,0),"")</f>
        <v>0</v>
      </c>
      <c r="AT275" s="572"/>
      <c r="AU275" s="575"/>
    </row>
    <row r="276" spans="1:47" s="576" customFormat="1" x14ac:dyDescent="0.25">
      <c r="A276" s="381">
        <f t="shared" si="4"/>
        <v>27.633333333333333</v>
      </c>
      <c r="B276" s="571">
        <v>41693</v>
      </c>
      <c r="C276" s="572" t="s">
        <v>1107</v>
      </c>
      <c r="D276" s="572" t="s">
        <v>903</v>
      </c>
      <c r="E276" s="572" t="s">
        <v>380</v>
      </c>
      <c r="F276" s="572" t="s">
        <v>27</v>
      </c>
      <c r="G276" s="572" t="s">
        <v>365</v>
      </c>
      <c r="H276" s="375"/>
      <c r="I276" s="375"/>
      <c r="J276" s="375"/>
      <c r="K276" s="375"/>
      <c r="L276" s="376"/>
      <c r="M276" s="376"/>
      <c r="N276" s="376"/>
      <c r="O276" s="376"/>
      <c r="P276" s="378"/>
      <c r="Q276" s="378"/>
      <c r="R276" s="378"/>
      <c r="S276" s="378"/>
      <c r="T276" s="378"/>
      <c r="U276" s="378">
        <v>278</v>
      </c>
      <c r="V276" s="533"/>
      <c r="W276" s="378"/>
      <c r="X276" s="378"/>
      <c r="Y276" s="378">
        <f>IF(NFI_Expiration=1,IF($A276&lt;VLOOKUP(H$5,NFI,5,0),1,0)*Table_NFI[[#This Row],[Hygiene Kit]],Table_NFI[Hygiene Kit])</f>
        <v>0</v>
      </c>
      <c r="Z276" s="378">
        <f>IF(NFI_Expiration=1,IF($A276&lt;VLOOKUP(I$5,NFI,5,0),1,0)*Table_NFI[[#This Row],[NFI Core Kit]],Table_NFI[NFI Core Kit])</f>
        <v>0</v>
      </c>
      <c r="AA276" s="378">
        <f>IF(NFI_Expiration=1,IF($A276&lt;VLOOKUP(J$5,NFI,5,0),1,0)*Table_NFI[[#This Row],[Sanitary Kit]],Table_NFI[Sanitary Kit])</f>
        <v>0</v>
      </c>
      <c r="AB276" s="378">
        <f>IF(NFI_Expiration=1,IF($A276&lt;VLOOKUP(K$5,NFI,5,0),1,0)*Table_NFI[[#This Row],[Mosquito net]],Table_NFI[Mosquito net])</f>
        <v>0</v>
      </c>
      <c r="AC276" s="378">
        <f>IF(NFI_Expiration=1,IF($A276&lt;VLOOKUP(L$5,NFI,5,0),1,0)*Table_NFI[[#This Row],[Tarpaulin]],Table_NFI[[#This Row],[Tarpaulin]])</f>
        <v>0</v>
      </c>
      <c r="AD276" s="378">
        <f>IF(NFI_Expiration=1,IF($A276&lt;VLOOKUP(M$5,NFI,5,0),1,0)*Table_NFI[[#This Row],[Blanket]],Table_NFI[[#This Row],[Blanket]])</f>
        <v>0</v>
      </c>
      <c r="AE276" s="378">
        <f>IF(NFI_Expiration=1,IF($A276&lt;VLOOKUP(N$5,NFI,5,0),1,0)*Table_NFI[[#This Row],[Kitchen Set]],Table_NFI[Kitchen Set])</f>
        <v>0</v>
      </c>
      <c r="AF276" s="378">
        <f>IF(NFI_Expiration=1,IF($A276&lt;VLOOKUP(O$5,NFI,5,0),1,0)*Table_NFI[[#This Row],[Clothes Kit]],Table_NFI[Clothes Kit])</f>
        <v>0</v>
      </c>
      <c r="AG276" s="378">
        <f>IF(NFI_Expiration=1,IF($A276&lt;VLOOKUP(P$5,NFI,5,0),1,0)*Table_NFI[[#This Row],[Plastic Bucket]],Table_NFI[Plastic Bucket])</f>
        <v>0</v>
      </c>
      <c r="AH276" s="378">
        <f>IF(NFI_Expiration=1,IF($A276&lt;VLOOKUP(Q$5,NFI,5,0),1,0)*Table_NFI[[#This Row],[Plastic Mat]],Table_NFI[Plastic Mat])*IF(Table_NFI[[#This Row],[Distribution Date]]&gt;"2014-04-01",1,2.5)</f>
        <v>0</v>
      </c>
      <c r="AI276" s="378">
        <f>IF(NFI_Expiration=1,IF($A276&lt;VLOOKUP(R$5,NFI,5,0),1,0)*Table_NFI[[#This Row],[Winter Clothes Adult]],Table_NFI[Winter Clothes Adult])</f>
        <v>0</v>
      </c>
      <c r="AJ276" s="378">
        <f>IF(NFI_Expiration=1,IF($A276&lt;VLOOKUP(S$5,NFI,5,0),1,0)*Table_NFI[[#This Row],[Winter Clothes Children]],Table_NFI[Winter Clothes Children])</f>
        <v>0</v>
      </c>
      <c r="AK276" s="378">
        <f>IF(NFI_Expiration=1,IF($A276&lt;VLOOKUP(T$5,NFI,5,0),1,0)*Table_NFI[[#This Row],[Winter Items Other]],Table_NFI[Winter Items Other])</f>
        <v>0</v>
      </c>
      <c r="AL276" s="378">
        <f>IF(NFI_Expiration=1,IF($A276&lt;VLOOKUP(M$5,NFI,5,0),1,0)*Table_NFI[[#This Row],[Winter Blanket]],Table_NFI[[#This Row],[Winter Blanket]])</f>
        <v>0</v>
      </c>
      <c r="AM276" s="378">
        <f>IF(Table_NFI[[#This Row],[Winter Clothes Adult]]+Table_NFI[[#This Row],[Winter Clothes Children]]+Table_NFI[[#This Row],[Winter Items Other]]+Table_NFI[[#This Row],[Winter Blanket]]&gt;0,1,0)</f>
        <v>1</v>
      </c>
      <c r="AN276" s="418">
        <f>IF(NFI_Expiration=1,IF($A276&lt;VLOOKUP(V$5,NFI,5,0),1,0)*Table_NFI[[#This Row],[Jerry Can]],Table_NFI[Jerry Can])</f>
        <v>0</v>
      </c>
      <c r="AO276" s="579" t="str">
        <f>IFERROR(VLOOKUP(Table_NFI[[#This Row],[Camp Name]],CL,2,0),"")</f>
        <v>MMR001CMP195</v>
      </c>
      <c r="AP276" s="574">
        <f ca="1">IF(Table_NFI[[#This Row],[Pcode]]="","",IF(OFFSET(CampList[Opening Date],MATCH(Table_NFI[[#This Row],[Pcode]],CampList[CP_Pcode],0)-1,0,1,1)&gt;=NFI_Monitor_Date,1,0))</f>
        <v>0</v>
      </c>
      <c r="AQ276" s="579" t="str">
        <f>IFERROR(VLOOKUP(Table_NFI[[#This Row],[Camp Name]],CL,3,0),"")</f>
        <v>Open</v>
      </c>
      <c r="AR276" s="378" t="str">
        <f ca="1">IF(Table_NFI[[#This Row],[Pcode]]="","",OFFSET(CampList[Priority],MATCH(Table_NFI[[#This Row],[Pcode]],CampList[CP_Pcode],0)-1,0,1,1))</f>
        <v>P1</v>
      </c>
      <c r="AS276" s="377">
        <f>IFERROR(Table_NFI[[#This Row],[Kitchen Set]]/VLOOKUP(Table_NFI[[#This Row],[Camp Name]],CL,4,0),"")</f>
        <v>0</v>
      </c>
      <c r="AT276" s="572"/>
      <c r="AU276" s="575"/>
    </row>
    <row r="277" spans="1:47" s="576" customFormat="1" x14ac:dyDescent="0.25">
      <c r="A277" s="381">
        <f t="shared" si="4"/>
        <v>30.466666666666665</v>
      </c>
      <c r="B277" s="571">
        <v>41608</v>
      </c>
      <c r="C277" s="572" t="s">
        <v>908</v>
      </c>
      <c r="D277" s="572" t="s">
        <v>462</v>
      </c>
      <c r="E277" s="572" t="s">
        <v>380</v>
      </c>
      <c r="F277" s="374" t="s">
        <v>27</v>
      </c>
      <c r="G277" s="374" t="s">
        <v>365</v>
      </c>
      <c r="H277" s="375"/>
      <c r="I277" s="375"/>
      <c r="J277" s="375"/>
      <c r="K277" s="375"/>
      <c r="L277" s="376"/>
      <c r="M277" s="376"/>
      <c r="N277" s="376"/>
      <c r="O277" s="376"/>
      <c r="P277" s="378"/>
      <c r="Q277" s="378"/>
      <c r="R277" s="378"/>
      <c r="S277" s="378"/>
      <c r="T277" s="378"/>
      <c r="U277" s="378"/>
      <c r="V277" s="533"/>
      <c r="W277" s="378"/>
      <c r="X277" s="378"/>
      <c r="Y277" s="378">
        <f>IF(NFI_Expiration=1,IF($A277&lt;VLOOKUP(H$5,NFI,5,0),1,0)*Table_NFI[[#This Row],[Hygiene Kit]],Table_NFI[Hygiene Kit])</f>
        <v>0</v>
      </c>
      <c r="Z277" s="378">
        <f>IF(NFI_Expiration=1,IF($A277&lt;VLOOKUP(I$5,NFI,5,0),1,0)*Table_NFI[[#This Row],[NFI Core Kit]],Table_NFI[NFI Core Kit])</f>
        <v>0</v>
      </c>
      <c r="AA277" s="378">
        <f>IF(NFI_Expiration=1,IF($A277&lt;VLOOKUP(J$5,NFI,5,0),1,0)*Table_NFI[[#This Row],[Sanitary Kit]],Table_NFI[Sanitary Kit])</f>
        <v>0</v>
      </c>
      <c r="AB277" s="378">
        <f>IF(NFI_Expiration=1,IF($A277&lt;VLOOKUP(K$5,NFI,5,0),1,0)*Table_NFI[[#This Row],[Mosquito net]],Table_NFI[Mosquito net])</f>
        <v>0</v>
      </c>
      <c r="AC277" s="378">
        <f>IF(NFI_Expiration=1,IF($A277&lt;VLOOKUP(L$5,NFI,5,0),1,0)*Table_NFI[[#This Row],[Tarpaulin]],Table_NFI[[#This Row],[Tarpaulin]])</f>
        <v>0</v>
      </c>
      <c r="AD277" s="378">
        <f>IF(NFI_Expiration=1,IF($A277&lt;VLOOKUP(M$5,NFI,5,0),1,0)*Table_NFI[[#This Row],[Blanket]],Table_NFI[[#This Row],[Blanket]])</f>
        <v>0</v>
      </c>
      <c r="AE277" s="378">
        <f>IF(NFI_Expiration=1,IF($A277&lt;VLOOKUP(N$5,NFI,5,0),1,0)*Table_NFI[[#This Row],[Kitchen Set]],Table_NFI[Kitchen Set])</f>
        <v>0</v>
      </c>
      <c r="AF277" s="378">
        <f>IF(NFI_Expiration=1,IF($A277&lt;VLOOKUP(O$5,NFI,5,0),1,0)*Table_NFI[[#This Row],[Clothes Kit]],Table_NFI[Clothes Kit])</f>
        <v>0</v>
      </c>
      <c r="AG277" s="378">
        <f>IF(NFI_Expiration=1,IF($A277&lt;VLOOKUP(P$5,NFI,5,0),1,0)*Table_NFI[[#This Row],[Plastic Bucket]],Table_NFI[Plastic Bucket])</f>
        <v>0</v>
      </c>
      <c r="AH277" s="378">
        <f>IF(NFI_Expiration=1,IF($A277&lt;VLOOKUP(Q$5,NFI,5,0),1,0)*Table_NFI[[#This Row],[Plastic Mat]],Table_NFI[Plastic Mat])*IF(Table_NFI[[#This Row],[Distribution Date]]&gt;"2014-04-01",1,2.5)</f>
        <v>0</v>
      </c>
      <c r="AI277" s="378">
        <f>IF(NFI_Expiration=1,IF($A277&lt;VLOOKUP(R$5,NFI,5,0),1,0)*Table_NFI[[#This Row],[Winter Clothes Adult]],Table_NFI[Winter Clothes Adult])</f>
        <v>0</v>
      </c>
      <c r="AJ277" s="378">
        <f>IF(NFI_Expiration=1,IF($A277&lt;VLOOKUP(S$5,NFI,5,0),1,0)*Table_NFI[[#This Row],[Winter Clothes Children]],Table_NFI[Winter Clothes Children])</f>
        <v>0</v>
      </c>
      <c r="AK277" s="378">
        <f>IF(NFI_Expiration=1,IF($A277&lt;VLOOKUP(T$5,NFI,5,0),1,0)*Table_NFI[[#This Row],[Winter Items Other]],Table_NFI[Winter Items Other])</f>
        <v>0</v>
      </c>
      <c r="AL277" s="378">
        <f>IF(NFI_Expiration=1,IF($A277&lt;VLOOKUP(M$5,NFI,5,0),1,0)*Table_NFI[[#This Row],[Winter Blanket]],Table_NFI[[#This Row],[Winter Blanket]])</f>
        <v>0</v>
      </c>
      <c r="AM277" s="378">
        <f>IF(Table_NFI[[#This Row],[Winter Clothes Adult]]+Table_NFI[[#This Row],[Winter Clothes Children]]+Table_NFI[[#This Row],[Winter Items Other]]+Table_NFI[[#This Row],[Winter Blanket]]&gt;0,1,0)</f>
        <v>0</v>
      </c>
      <c r="AN277" s="418">
        <f>IF(NFI_Expiration=1,IF($A277&lt;VLOOKUP(V$5,NFI,5,0),1,0)*Table_NFI[[#This Row],[Jerry Can]],Table_NFI[Jerry Can])</f>
        <v>0</v>
      </c>
      <c r="AO277" s="579" t="str">
        <f>IFERROR(VLOOKUP(Table_NFI[[#This Row],[Camp Name]],CL,2,0),"")</f>
        <v>MMR001CMP195</v>
      </c>
      <c r="AP277" s="574">
        <f ca="1">IF(Table_NFI[[#This Row],[Pcode]]="","",IF(OFFSET(CampList[Opening Date],MATCH(Table_NFI[[#This Row],[Pcode]],CampList[CP_Pcode],0)-1,0,1,1)&gt;=NFI_Monitor_Date,1,0))</f>
        <v>0</v>
      </c>
      <c r="AQ277" s="579" t="str">
        <f>IFERROR(VLOOKUP(Table_NFI[[#This Row],[Camp Name]],CL,3,0),"")</f>
        <v>Open</v>
      </c>
      <c r="AR277" s="378" t="str">
        <f ca="1">IF(Table_NFI[[#This Row],[Pcode]]="","",OFFSET(CampList[Priority],MATCH(Table_NFI[[#This Row],[Pcode]],CampList[CP_Pcode],0)-1,0,1,1))</f>
        <v>P1</v>
      </c>
      <c r="AS277" s="377">
        <f>IFERROR(Table_NFI[[#This Row],[Kitchen Set]]/VLOOKUP(Table_NFI[[#This Row],[Camp Name]],CL,4,0),"")</f>
        <v>0</v>
      </c>
      <c r="AT277" s="572" t="s">
        <v>1095</v>
      </c>
      <c r="AU277" s="575"/>
    </row>
    <row r="278" spans="1:47" s="576" customFormat="1" x14ac:dyDescent="0.25">
      <c r="A278" s="381">
        <f t="shared" si="4"/>
        <v>36.866666666666667</v>
      </c>
      <c r="B278" s="571">
        <v>41416</v>
      </c>
      <c r="C278" s="572" t="s">
        <v>904</v>
      </c>
      <c r="D278" s="573" t="s">
        <v>508</v>
      </c>
      <c r="E278" s="572" t="s">
        <v>380</v>
      </c>
      <c r="F278" s="374" t="s">
        <v>27</v>
      </c>
      <c r="G278" s="374" t="s">
        <v>365</v>
      </c>
      <c r="H278" s="375">
        <v>35</v>
      </c>
      <c r="I278" s="375"/>
      <c r="J278" s="375"/>
      <c r="K278" s="375"/>
      <c r="L278" s="376"/>
      <c r="M278" s="376"/>
      <c r="N278" s="376"/>
      <c r="O278" s="376"/>
      <c r="P278" s="378"/>
      <c r="Q278" s="378"/>
      <c r="R278" s="378"/>
      <c r="S278" s="378"/>
      <c r="T278" s="378"/>
      <c r="U278" s="378"/>
      <c r="V278" s="533"/>
      <c r="W278" s="378"/>
      <c r="X278" s="378"/>
      <c r="Y278" s="378">
        <f>IF(NFI_Expiration=1,IF($A278&lt;VLOOKUP(H$5,NFI,5,0),1,0)*Table_NFI[[#This Row],[Hygiene Kit]],Table_NFI[Hygiene Kit])</f>
        <v>0</v>
      </c>
      <c r="Z278" s="378">
        <f>IF(NFI_Expiration=1,IF($A278&lt;VLOOKUP(I$5,NFI,5,0),1,0)*Table_NFI[[#This Row],[NFI Core Kit]],Table_NFI[NFI Core Kit])</f>
        <v>0</v>
      </c>
      <c r="AA278" s="378">
        <f>IF(NFI_Expiration=1,IF($A278&lt;VLOOKUP(J$5,NFI,5,0),1,0)*Table_NFI[[#This Row],[Sanitary Kit]],Table_NFI[Sanitary Kit])</f>
        <v>0</v>
      </c>
      <c r="AB278" s="378">
        <f>IF(NFI_Expiration=1,IF($A278&lt;VLOOKUP(K$5,NFI,5,0),1,0)*Table_NFI[[#This Row],[Mosquito net]],Table_NFI[Mosquito net])</f>
        <v>0</v>
      </c>
      <c r="AC278" s="378">
        <f>IF(NFI_Expiration=1,IF($A278&lt;VLOOKUP(L$5,NFI,5,0),1,0)*Table_NFI[[#This Row],[Tarpaulin]],Table_NFI[[#This Row],[Tarpaulin]])</f>
        <v>0</v>
      </c>
      <c r="AD278" s="378">
        <f>IF(NFI_Expiration=1,IF($A278&lt;VLOOKUP(M$5,NFI,5,0),1,0)*Table_NFI[[#This Row],[Blanket]],Table_NFI[[#This Row],[Blanket]])</f>
        <v>0</v>
      </c>
      <c r="AE278" s="378">
        <f>IF(NFI_Expiration=1,IF($A278&lt;VLOOKUP(N$5,NFI,5,0),1,0)*Table_NFI[[#This Row],[Kitchen Set]],Table_NFI[Kitchen Set])</f>
        <v>0</v>
      </c>
      <c r="AF278" s="378">
        <f>IF(NFI_Expiration=1,IF($A278&lt;VLOOKUP(O$5,NFI,5,0),1,0)*Table_NFI[[#This Row],[Clothes Kit]],Table_NFI[Clothes Kit])</f>
        <v>0</v>
      </c>
      <c r="AG278" s="378">
        <f>IF(NFI_Expiration=1,IF($A278&lt;VLOOKUP(P$5,NFI,5,0),1,0)*Table_NFI[[#This Row],[Plastic Bucket]],Table_NFI[Plastic Bucket])</f>
        <v>0</v>
      </c>
      <c r="AH278" s="378">
        <f>IF(NFI_Expiration=1,IF($A278&lt;VLOOKUP(Q$5,NFI,5,0),1,0)*Table_NFI[[#This Row],[Plastic Mat]],Table_NFI[Plastic Mat])*IF(Table_NFI[[#This Row],[Distribution Date]]&gt;"2014-04-01",1,2.5)</f>
        <v>0</v>
      </c>
      <c r="AI278" s="378">
        <f>IF(NFI_Expiration=1,IF($A278&lt;VLOOKUP(R$5,NFI,5,0),1,0)*Table_NFI[[#This Row],[Winter Clothes Adult]],Table_NFI[Winter Clothes Adult])</f>
        <v>0</v>
      </c>
      <c r="AJ278" s="378">
        <f>IF(NFI_Expiration=1,IF($A278&lt;VLOOKUP(S$5,NFI,5,0),1,0)*Table_NFI[[#This Row],[Winter Clothes Children]],Table_NFI[Winter Clothes Children])</f>
        <v>0</v>
      </c>
      <c r="AK278" s="378">
        <f>IF(NFI_Expiration=1,IF($A278&lt;VLOOKUP(T$5,NFI,5,0),1,0)*Table_NFI[[#This Row],[Winter Items Other]],Table_NFI[Winter Items Other])</f>
        <v>0</v>
      </c>
      <c r="AL278" s="378">
        <f>IF(NFI_Expiration=1,IF($A278&lt;VLOOKUP(M$5,NFI,5,0),1,0)*Table_NFI[[#This Row],[Winter Blanket]],Table_NFI[[#This Row],[Winter Blanket]])</f>
        <v>0</v>
      </c>
      <c r="AM278" s="378">
        <f>IF(Table_NFI[[#This Row],[Winter Clothes Adult]]+Table_NFI[[#This Row],[Winter Clothes Children]]+Table_NFI[[#This Row],[Winter Items Other]]+Table_NFI[[#This Row],[Winter Blanket]]&gt;0,1,0)</f>
        <v>0</v>
      </c>
      <c r="AN278" s="418">
        <f>IF(NFI_Expiration=1,IF($A278&lt;VLOOKUP(V$5,NFI,5,0),1,0)*Table_NFI[[#This Row],[Jerry Can]],Table_NFI[Jerry Can])</f>
        <v>0</v>
      </c>
      <c r="AO278" s="579" t="str">
        <f>IFERROR(VLOOKUP(Table_NFI[[#This Row],[Camp Name]],CL,2,0),"")</f>
        <v>MMR001CMP195</v>
      </c>
      <c r="AP278" s="574">
        <f ca="1">IF(Table_NFI[[#This Row],[Pcode]]="","",IF(OFFSET(CampList[Opening Date],MATCH(Table_NFI[[#This Row],[Pcode]],CampList[CP_Pcode],0)-1,0,1,1)&gt;=NFI_Monitor_Date,1,0))</f>
        <v>0</v>
      </c>
      <c r="AQ278" s="579" t="str">
        <f>IFERROR(VLOOKUP(Table_NFI[[#This Row],[Camp Name]],CL,3,0),"")</f>
        <v>Open</v>
      </c>
      <c r="AR278" s="378" t="str">
        <f ca="1">IF(Table_NFI[[#This Row],[Pcode]]="","",OFFSET(CampList[Priority],MATCH(Table_NFI[[#This Row],[Pcode]],CampList[CP_Pcode],0)-1,0,1,1))</f>
        <v>P1</v>
      </c>
      <c r="AS278" s="377">
        <f>IFERROR(Table_NFI[[#This Row],[Kitchen Set]]/VLOOKUP(Table_NFI[[#This Row],[Camp Name]],CL,4,0),"")</f>
        <v>0</v>
      </c>
      <c r="AT278" s="572" t="s">
        <v>1095</v>
      </c>
      <c r="AU278" s="575"/>
    </row>
    <row r="279" spans="1:47" s="576" customFormat="1" x14ac:dyDescent="0.25">
      <c r="A279" s="381">
        <f t="shared" si="4"/>
        <v>39.733333333333334</v>
      </c>
      <c r="B279" s="571">
        <v>41330</v>
      </c>
      <c r="C279" s="572" t="s">
        <v>454</v>
      </c>
      <c r="D279" s="572" t="s">
        <v>907</v>
      </c>
      <c r="E279" s="572" t="s">
        <v>380</v>
      </c>
      <c r="F279" s="374" t="s">
        <v>27</v>
      </c>
      <c r="G279" s="374" t="s">
        <v>365</v>
      </c>
      <c r="H279" s="375"/>
      <c r="I279" s="375"/>
      <c r="J279" s="375">
        <v>12</v>
      </c>
      <c r="K279" s="375">
        <v>17</v>
      </c>
      <c r="L279" s="376">
        <v>7</v>
      </c>
      <c r="M279" s="376">
        <v>17</v>
      </c>
      <c r="N279" s="376">
        <v>7</v>
      </c>
      <c r="O279" s="376">
        <v>7</v>
      </c>
      <c r="P279" s="378">
        <v>7</v>
      </c>
      <c r="Q279" s="378">
        <v>7</v>
      </c>
      <c r="R279" s="378"/>
      <c r="S279" s="378"/>
      <c r="T279" s="378"/>
      <c r="U279" s="378"/>
      <c r="V279" s="533"/>
      <c r="W279" s="378"/>
      <c r="X279" s="378"/>
      <c r="Y279" s="378">
        <f>IF(NFI_Expiration=1,IF($A279&lt;VLOOKUP(H$5,NFI,5,0),1,0)*Table_NFI[[#This Row],[Hygiene Kit]],Table_NFI[Hygiene Kit])</f>
        <v>0</v>
      </c>
      <c r="Z279" s="378">
        <f>IF(NFI_Expiration=1,IF($A279&lt;VLOOKUP(I$5,NFI,5,0),1,0)*Table_NFI[[#This Row],[NFI Core Kit]],Table_NFI[NFI Core Kit])</f>
        <v>0</v>
      </c>
      <c r="AA279" s="378">
        <f>IF(NFI_Expiration=1,IF($A279&lt;VLOOKUP(J$5,NFI,5,0),1,0)*Table_NFI[[#This Row],[Sanitary Kit]],Table_NFI[Sanitary Kit])</f>
        <v>0</v>
      </c>
      <c r="AB279" s="378">
        <f>IF(NFI_Expiration=1,IF($A279&lt;VLOOKUP(K$5,NFI,5,0),1,0)*Table_NFI[[#This Row],[Mosquito net]],Table_NFI[Mosquito net])</f>
        <v>0</v>
      </c>
      <c r="AC279" s="378">
        <f>IF(NFI_Expiration=1,IF($A279&lt;VLOOKUP(L$5,NFI,5,0),1,0)*Table_NFI[[#This Row],[Tarpaulin]],Table_NFI[[#This Row],[Tarpaulin]])</f>
        <v>0</v>
      </c>
      <c r="AD279" s="378">
        <f>IF(NFI_Expiration=1,IF($A279&lt;VLOOKUP(M$5,NFI,5,0),1,0)*Table_NFI[[#This Row],[Blanket]],Table_NFI[[#This Row],[Blanket]])</f>
        <v>0</v>
      </c>
      <c r="AE279" s="378">
        <f>IF(NFI_Expiration=1,IF($A279&lt;VLOOKUP(N$5,NFI,5,0),1,0)*Table_NFI[[#This Row],[Kitchen Set]],Table_NFI[Kitchen Set])</f>
        <v>0</v>
      </c>
      <c r="AF279" s="378">
        <f>IF(NFI_Expiration=1,IF($A279&lt;VLOOKUP(O$5,NFI,5,0),1,0)*Table_NFI[[#This Row],[Clothes Kit]],Table_NFI[Clothes Kit])</f>
        <v>0</v>
      </c>
      <c r="AG279" s="378">
        <f>IF(NFI_Expiration=1,IF($A279&lt;VLOOKUP(P$5,NFI,5,0),1,0)*Table_NFI[[#This Row],[Plastic Bucket]],Table_NFI[Plastic Bucket])</f>
        <v>0</v>
      </c>
      <c r="AH279" s="378">
        <f>IF(NFI_Expiration=1,IF($A279&lt;VLOOKUP(Q$5,NFI,5,0),1,0)*Table_NFI[[#This Row],[Plastic Mat]],Table_NFI[Plastic Mat])*IF(Table_NFI[[#This Row],[Distribution Date]]&gt;"2014-04-01",1,2.5)</f>
        <v>0</v>
      </c>
      <c r="AI279" s="378">
        <f>IF(NFI_Expiration=1,IF($A279&lt;VLOOKUP(R$5,NFI,5,0),1,0)*Table_NFI[[#This Row],[Winter Clothes Adult]],Table_NFI[Winter Clothes Adult])</f>
        <v>0</v>
      </c>
      <c r="AJ279" s="378">
        <f>IF(NFI_Expiration=1,IF($A279&lt;VLOOKUP(S$5,NFI,5,0),1,0)*Table_NFI[[#This Row],[Winter Clothes Children]],Table_NFI[Winter Clothes Children])</f>
        <v>0</v>
      </c>
      <c r="AK279" s="378">
        <f>IF(NFI_Expiration=1,IF($A279&lt;VLOOKUP(T$5,NFI,5,0),1,0)*Table_NFI[[#This Row],[Winter Items Other]],Table_NFI[Winter Items Other])</f>
        <v>0</v>
      </c>
      <c r="AL279" s="378">
        <f>IF(NFI_Expiration=1,IF($A279&lt;VLOOKUP(M$5,NFI,5,0),1,0)*Table_NFI[[#This Row],[Winter Blanket]],Table_NFI[[#This Row],[Winter Blanket]])</f>
        <v>0</v>
      </c>
      <c r="AM279" s="378">
        <f>IF(Table_NFI[[#This Row],[Winter Clothes Adult]]+Table_NFI[[#This Row],[Winter Clothes Children]]+Table_NFI[[#This Row],[Winter Items Other]]+Table_NFI[[#This Row],[Winter Blanket]]&gt;0,1,0)</f>
        <v>0</v>
      </c>
      <c r="AN279" s="418">
        <f>IF(NFI_Expiration=1,IF($A279&lt;VLOOKUP(V$5,NFI,5,0),1,0)*Table_NFI[[#This Row],[Jerry Can]],Table_NFI[Jerry Can])</f>
        <v>0</v>
      </c>
      <c r="AO279" s="579" t="str">
        <f>IFERROR(VLOOKUP(Table_NFI[[#This Row],[Camp Name]],CL,2,0),"")</f>
        <v>MMR001CMP195</v>
      </c>
      <c r="AP279" s="574">
        <f ca="1">IF(Table_NFI[[#This Row],[Pcode]]="","",IF(OFFSET(CampList[Opening Date],MATCH(Table_NFI[[#This Row],[Pcode]],CampList[CP_Pcode],0)-1,0,1,1)&gt;=NFI_Monitor_Date,1,0))</f>
        <v>0</v>
      </c>
      <c r="AQ279" s="579" t="str">
        <f>IFERROR(VLOOKUP(Table_NFI[[#This Row],[Camp Name]],CL,3,0),"")</f>
        <v>Open</v>
      </c>
      <c r="AR279" s="378" t="str">
        <f ca="1">IF(Table_NFI[[#This Row],[Pcode]]="","",OFFSET(CampList[Priority],MATCH(Table_NFI[[#This Row],[Pcode]],CampList[CP_Pcode],0)-1,0,1,1))</f>
        <v>P1</v>
      </c>
      <c r="AS279" s="377">
        <f>IFERROR(Table_NFI[[#This Row],[Kitchen Set]]/VLOOKUP(Table_NFI[[#This Row],[Camp Name]],CL,4,0),"")</f>
        <v>4.8951048951048952E-2</v>
      </c>
      <c r="AT279" s="572" t="s">
        <v>1095</v>
      </c>
      <c r="AU279" s="575"/>
    </row>
    <row r="280" spans="1:47" s="576" customFormat="1" x14ac:dyDescent="0.25">
      <c r="A280" s="381">
        <f t="shared" si="4"/>
        <v>44.7</v>
      </c>
      <c r="B280" s="571">
        <v>41181</v>
      </c>
      <c r="C280" s="572" t="s">
        <v>454</v>
      </c>
      <c r="D280" s="572" t="s">
        <v>907</v>
      </c>
      <c r="E280" s="572" t="s">
        <v>380</v>
      </c>
      <c r="F280" s="572" t="s">
        <v>27</v>
      </c>
      <c r="G280" s="374" t="s">
        <v>365</v>
      </c>
      <c r="H280" s="375"/>
      <c r="I280" s="375"/>
      <c r="J280" s="375"/>
      <c r="K280" s="375">
        <v>34</v>
      </c>
      <c r="L280" s="376">
        <v>12</v>
      </c>
      <c r="M280" s="376">
        <v>34</v>
      </c>
      <c r="N280" s="376">
        <v>12</v>
      </c>
      <c r="O280" s="376">
        <v>12</v>
      </c>
      <c r="P280" s="378">
        <v>12</v>
      </c>
      <c r="Q280" s="378">
        <v>12</v>
      </c>
      <c r="R280" s="378"/>
      <c r="S280" s="378"/>
      <c r="T280" s="378"/>
      <c r="U280" s="378"/>
      <c r="V280" s="533"/>
      <c r="W280" s="378"/>
      <c r="X280" s="378"/>
      <c r="Y280" s="378">
        <f>IF(NFI_Expiration=1,IF($A280&lt;VLOOKUP(H$5,NFI,5,0),1,0)*Table_NFI[[#This Row],[Hygiene Kit]],Table_NFI[Hygiene Kit])</f>
        <v>0</v>
      </c>
      <c r="Z280" s="378">
        <f>IF(NFI_Expiration=1,IF($A280&lt;VLOOKUP(I$5,NFI,5,0),1,0)*Table_NFI[[#This Row],[NFI Core Kit]],Table_NFI[NFI Core Kit])</f>
        <v>0</v>
      </c>
      <c r="AA280" s="378">
        <f>IF(NFI_Expiration=1,IF($A280&lt;VLOOKUP(J$5,NFI,5,0),1,0)*Table_NFI[[#This Row],[Sanitary Kit]],Table_NFI[Sanitary Kit])</f>
        <v>0</v>
      </c>
      <c r="AB280" s="378">
        <f>IF(NFI_Expiration=1,IF($A280&lt;VLOOKUP(K$5,NFI,5,0),1,0)*Table_NFI[[#This Row],[Mosquito net]],Table_NFI[Mosquito net])</f>
        <v>0</v>
      </c>
      <c r="AC280" s="378">
        <f>IF(NFI_Expiration=1,IF($A280&lt;VLOOKUP(L$5,NFI,5,0),1,0)*Table_NFI[[#This Row],[Tarpaulin]],Table_NFI[[#This Row],[Tarpaulin]])</f>
        <v>0</v>
      </c>
      <c r="AD280" s="378">
        <f>IF(NFI_Expiration=1,IF($A280&lt;VLOOKUP(M$5,NFI,5,0),1,0)*Table_NFI[[#This Row],[Blanket]],Table_NFI[[#This Row],[Blanket]])</f>
        <v>0</v>
      </c>
      <c r="AE280" s="378">
        <f>IF(NFI_Expiration=1,IF($A280&lt;VLOOKUP(N$5,NFI,5,0),1,0)*Table_NFI[[#This Row],[Kitchen Set]],Table_NFI[Kitchen Set])</f>
        <v>0</v>
      </c>
      <c r="AF280" s="378">
        <f>IF(NFI_Expiration=1,IF($A280&lt;VLOOKUP(O$5,NFI,5,0),1,0)*Table_NFI[[#This Row],[Clothes Kit]],Table_NFI[Clothes Kit])</f>
        <v>0</v>
      </c>
      <c r="AG280" s="378">
        <f>IF(NFI_Expiration=1,IF($A280&lt;VLOOKUP(P$5,NFI,5,0),1,0)*Table_NFI[[#This Row],[Plastic Bucket]],Table_NFI[Plastic Bucket])</f>
        <v>0</v>
      </c>
      <c r="AH280" s="378">
        <f>IF(NFI_Expiration=1,IF($A280&lt;VLOOKUP(Q$5,NFI,5,0),1,0)*Table_NFI[[#This Row],[Plastic Mat]],Table_NFI[Plastic Mat])*IF(Table_NFI[[#This Row],[Distribution Date]]&gt;"2014-04-01",1,2.5)</f>
        <v>0</v>
      </c>
      <c r="AI280" s="378">
        <f>IF(NFI_Expiration=1,IF($A280&lt;VLOOKUP(R$5,NFI,5,0),1,0)*Table_NFI[[#This Row],[Winter Clothes Adult]],Table_NFI[Winter Clothes Adult])</f>
        <v>0</v>
      </c>
      <c r="AJ280" s="378">
        <f>IF(NFI_Expiration=1,IF($A280&lt;VLOOKUP(S$5,NFI,5,0),1,0)*Table_NFI[[#This Row],[Winter Clothes Children]],Table_NFI[Winter Clothes Children])</f>
        <v>0</v>
      </c>
      <c r="AK280" s="378">
        <f>IF(NFI_Expiration=1,IF($A280&lt;VLOOKUP(T$5,NFI,5,0),1,0)*Table_NFI[[#This Row],[Winter Items Other]],Table_NFI[Winter Items Other])</f>
        <v>0</v>
      </c>
      <c r="AL280" s="378">
        <f>IF(NFI_Expiration=1,IF($A280&lt;VLOOKUP(M$5,NFI,5,0),1,0)*Table_NFI[[#This Row],[Winter Blanket]],Table_NFI[[#This Row],[Winter Blanket]])</f>
        <v>0</v>
      </c>
      <c r="AM280" s="378">
        <f>IF(Table_NFI[[#This Row],[Winter Clothes Adult]]+Table_NFI[[#This Row],[Winter Clothes Children]]+Table_NFI[[#This Row],[Winter Items Other]]+Table_NFI[[#This Row],[Winter Blanket]]&gt;0,1,0)</f>
        <v>0</v>
      </c>
      <c r="AN280" s="418">
        <f>IF(NFI_Expiration=1,IF($A280&lt;VLOOKUP(V$5,NFI,5,0),1,0)*Table_NFI[[#This Row],[Jerry Can]],Table_NFI[Jerry Can])</f>
        <v>0</v>
      </c>
      <c r="AO280" s="579" t="str">
        <f>IFERROR(VLOOKUP(Table_NFI[[#This Row],[Camp Name]],CL,2,0),"")</f>
        <v>MMR001CMP195</v>
      </c>
      <c r="AP280" s="574">
        <f ca="1">IF(Table_NFI[[#This Row],[Pcode]]="","",IF(OFFSET(CampList[Opening Date],MATCH(Table_NFI[[#This Row],[Pcode]],CampList[CP_Pcode],0)-1,0,1,1)&gt;=NFI_Monitor_Date,1,0))</f>
        <v>0</v>
      </c>
      <c r="AQ280" s="579" t="str">
        <f>IFERROR(VLOOKUP(Table_NFI[[#This Row],[Camp Name]],CL,3,0),"")</f>
        <v>Open</v>
      </c>
      <c r="AR280" s="378" t="str">
        <f ca="1">IF(Table_NFI[[#This Row],[Pcode]]="","",OFFSET(CampList[Priority],MATCH(Table_NFI[[#This Row],[Pcode]],CampList[CP_Pcode],0)-1,0,1,1))</f>
        <v>P1</v>
      </c>
      <c r="AS280" s="377">
        <f>IFERROR(Table_NFI[[#This Row],[Kitchen Set]]/VLOOKUP(Table_NFI[[#This Row],[Camp Name]],CL,4,0),"")</f>
        <v>8.3916083916083919E-2</v>
      </c>
      <c r="AT280" s="572" t="s">
        <v>1095</v>
      </c>
      <c r="AU280" s="575"/>
    </row>
    <row r="281" spans="1:47" s="576" customFormat="1" x14ac:dyDescent="0.25">
      <c r="A281" s="381">
        <f t="shared" si="4"/>
        <v>48.4</v>
      </c>
      <c r="B281" s="571">
        <v>41070</v>
      </c>
      <c r="C281" s="572" t="s">
        <v>454</v>
      </c>
      <c r="D281" s="573" t="s">
        <v>454</v>
      </c>
      <c r="E281" s="572" t="s">
        <v>380</v>
      </c>
      <c r="F281" s="374" t="s">
        <v>27</v>
      </c>
      <c r="G281" s="374" t="s">
        <v>365</v>
      </c>
      <c r="H281" s="375"/>
      <c r="I281" s="375"/>
      <c r="J281" s="375"/>
      <c r="K281" s="375">
        <v>200</v>
      </c>
      <c r="L281" s="376">
        <v>100</v>
      </c>
      <c r="M281" s="376">
        <v>150</v>
      </c>
      <c r="N281" s="376">
        <v>100</v>
      </c>
      <c r="O281" s="376">
        <v>100</v>
      </c>
      <c r="P281" s="378">
        <v>100</v>
      </c>
      <c r="Q281" s="378">
        <v>100</v>
      </c>
      <c r="R281" s="378"/>
      <c r="S281" s="378"/>
      <c r="T281" s="378"/>
      <c r="U281" s="378"/>
      <c r="V281" s="533"/>
      <c r="W281" s="378"/>
      <c r="X281" s="378"/>
      <c r="Y281" s="378">
        <f>IF(NFI_Expiration=1,IF($A281&lt;VLOOKUP(H$5,NFI,5,0),1,0)*Table_NFI[[#This Row],[Hygiene Kit]],Table_NFI[Hygiene Kit])</f>
        <v>0</v>
      </c>
      <c r="Z281" s="378">
        <f>IF(NFI_Expiration=1,IF($A281&lt;VLOOKUP(I$5,NFI,5,0),1,0)*Table_NFI[[#This Row],[NFI Core Kit]],Table_NFI[NFI Core Kit])</f>
        <v>0</v>
      </c>
      <c r="AA281" s="378">
        <f>IF(NFI_Expiration=1,IF($A281&lt;VLOOKUP(J$5,NFI,5,0),1,0)*Table_NFI[[#This Row],[Sanitary Kit]],Table_NFI[Sanitary Kit])</f>
        <v>0</v>
      </c>
      <c r="AB281" s="378">
        <f>IF(NFI_Expiration=1,IF($A281&lt;VLOOKUP(K$5,NFI,5,0),1,0)*Table_NFI[[#This Row],[Mosquito net]],Table_NFI[Mosquito net])</f>
        <v>0</v>
      </c>
      <c r="AC281" s="378">
        <f>IF(NFI_Expiration=1,IF($A281&lt;VLOOKUP(L$5,NFI,5,0),1,0)*Table_NFI[[#This Row],[Tarpaulin]],Table_NFI[[#This Row],[Tarpaulin]])</f>
        <v>0</v>
      </c>
      <c r="AD281" s="378">
        <f>IF(NFI_Expiration=1,IF($A281&lt;VLOOKUP(M$5,NFI,5,0),1,0)*Table_NFI[[#This Row],[Blanket]],Table_NFI[[#This Row],[Blanket]])</f>
        <v>0</v>
      </c>
      <c r="AE281" s="378">
        <f>IF(NFI_Expiration=1,IF($A281&lt;VLOOKUP(N$5,NFI,5,0),1,0)*Table_NFI[[#This Row],[Kitchen Set]],Table_NFI[Kitchen Set])</f>
        <v>0</v>
      </c>
      <c r="AF281" s="378">
        <f>IF(NFI_Expiration=1,IF($A281&lt;VLOOKUP(O$5,NFI,5,0),1,0)*Table_NFI[[#This Row],[Clothes Kit]],Table_NFI[Clothes Kit])</f>
        <v>0</v>
      </c>
      <c r="AG281" s="378">
        <f>IF(NFI_Expiration=1,IF($A281&lt;VLOOKUP(P$5,NFI,5,0),1,0)*Table_NFI[[#This Row],[Plastic Bucket]],Table_NFI[Plastic Bucket])</f>
        <v>0</v>
      </c>
      <c r="AH281" s="378">
        <f>IF(NFI_Expiration=1,IF($A281&lt;VLOOKUP(Q$5,NFI,5,0),1,0)*Table_NFI[[#This Row],[Plastic Mat]],Table_NFI[Plastic Mat])*IF(Table_NFI[[#This Row],[Distribution Date]]&gt;"2014-04-01",1,2.5)</f>
        <v>0</v>
      </c>
      <c r="AI281" s="378">
        <f>IF(NFI_Expiration=1,IF($A281&lt;VLOOKUP(R$5,NFI,5,0),1,0)*Table_NFI[[#This Row],[Winter Clothes Adult]],Table_NFI[Winter Clothes Adult])</f>
        <v>0</v>
      </c>
      <c r="AJ281" s="378">
        <f>IF(NFI_Expiration=1,IF($A281&lt;VLOOKUP(S$5,NFI,5,0),1,0)*Table_NFI[[#This Row],[Winter Clothes Children]],Table_NFI[Winter Clothes Children])</f>
        <v>0</v>
      </c>
      <c r="AK281" s="378">
        <f>IF(NFI_Expiration=1,IF($A281&lt;VLOOKUP(T$5,NFI,5,0),1,0)*Table_NFI[[#This Row],[Winter Items Other]],Table_NFI[Winter Items Other])</f>
        <v>0</v>
      </c>
      <c r="AL281" s="378">
        <f>IF(NFI_Expiration=1,IF($A281&lt;VLOOKUP(M$5,NFI,5,0),1,0)*Table_NFI[[#This Row],[Winter Blanket]],Table_NFI[[#This Row],[Winter Blanket]])</f>
        <v>0</v>
      </c>
      <c r="AM281" s="378">
        <f>IF(Table_NFI[[#This Row],[Winter Clothes Adult]]+Table_NFI[[#This Row],[Winter Clothes Children]]+Table_NFI[[#This Row],[Winter Items Other]]+Table_NFI[[#This Row],[Winter Blanket]]&gt;0,1,0)</f>
        <v>0</v>
      </c>
      <c r="AN281" s="418">
        <f>IF(NFI_Expiration=1,IF($A281&lt;VLOOKUP(V$5,NFI,5,0),1,0)*Table_NFI[[#This Row],[Jerry Can]],Table_NFI[Jerry Can])</f>
        <v>0</v>
      </c>
      <c r="AO281" s="579" t="str">
        <f>IFERROR(VLOOKUP(Table_NFI[[#This Row],[Camp Name]],CL,2,0),"")</f>
        <v>MMR001CMP195</v>
      </c>
      <c r="AP281" s="574">
        <f ca="1">IF(Table_NFI[[#This Row],[Pcode]]="","",IF(OFFSET(CampList[Opening Date],MATCH(Table_NFI[[#This Row],[Pcode]],CampList[CP_Pcode],0)-1,0,1,1)&gt;=NFI_Monitor_Date,1,0))</f>
        <v>0</v>
      </c>
      <c r="AQ281" s="579" t="str">
        <f>IFERROR(VLOOKUP(Table_NFI[[#This Row],[Camp Name]],CL,3,0),"")</f>
        <v>Open</v>
      </c>
      <c r="AR281" s="378" t="str">
        <f ca="1">IF(Table_NFI[[#This Row],[Pcode]]="","",OFFSET(CampList[Priority],MATCH(Table_NFI[[#This Row],[Pcode]],CampList[CP_Pcode],0)-1,0,1,1))</f>
        <v>P1</v>
      </c>
      <c r="AS281" s="377">
        <f>IFERROR(Table_NFI[[#This Row],[Kitchen Set]]/VLOOKUP(Table_NFI[[#This Row],[Camp Name]],CL,4,0),"")</f>
        <v>0.69930069930069927</v>
      </c>
      <c r="AT281" s="572" t="s">
        <v>1095</v>
      </c>
      <c r="AU281" s="575"/>
    </row>
    <row r="282" spans="1:47" s="576" customFormat="1" x14ac:dyDescent="0.25">
      <c r="A282" s="381">
        <f t="shared" si="4"/>
        <v>14.166666666666666</v>
      </c>
      <c r="B282" s="571">
        <v>42097</v>
      </c>
      <c r="C282" s="572" t="s">
        <v>454</v>
      </c>
      <c r="D282" s="572" t="s">
        <v>1364</v>
      </c>
      <c r="E282" s="572" t="s">
        <v>380</v>
      </c>
      <c r="F282" s="572" t="s">
        <v>5</v>
      </c>
      <c r="G282" s="572" t="s">
        <v>1365</v>
      </c>
      <c r="H282" s="375"/>
      <c r="I282" s="375"/>
      <c r="J282" s="375"/>
      <c r="K282" s="375"/>
      <c r="L282" s="376"/>
      <c r="M282" s="376">
        <v>15</v>
      </c>
      <c r="N282" s="376"/>
      <c r="O282" s="376"/>
      <c r="P282" s="378">
        <v>26</v>
      </c>
      <c r="Q282" s="378">
        <v>720</v>
      </c>
      <c r="R282" s="378"/>
      <c r="S282" s="378"/>
      <c r="T282" s="378"/>
      <c r="U282" s="378"/>
      <c r="V282" s="533">
        <v>26</v>
      </c>
      <c r="W282" s="378"/>
      <c r="X282" s="378"/>
      <c r="Y282" s="378">
        <f>IF(NFI_Expiration=1,IF($A282&lt;VLOOKUP(H$5,NFI,5,0),1,0)*Table_NFI[[#This Row],[Hygiene Kit]],Table_NFI[Hygiene Kit])</f>
        <v>0</v>
      </c>
      <c r="Z282" s="378">
        <f>IF(NFI_Expiration=1,IF($A282&lt;VLOOKUP(I$5,NFI,5,0),1,0)*Table_NFI[[#This Row],[NFI Core Kit]],Table_NFI[NFI Core Kit])</f>
        <v>0</v>
      </c>
      <c r="AA282" s="378">
        <f>IF(NFI_Expiration=1,IF($A282&lt;VLOOKUP(J$5,NFI,5,0),1,0)*Table_NFI[[#This Row],[Sanitary Kit]],Table_NFI[Sanitary Kit])</f>
        <v>0</v>
      </c>
      <c r="AB282" s="378">
        <f>IF(NFI_Expiration=1,IF($A282&lt;VLOOKUP(K$5,NFI,5,0),1,0)*Table_NFI[[#This Row],[Mosquito net]],Table_NFI[Mosquito net])</f>
        <v>0</v>
      </c>
      <c r="AC282" s="378">
        <f>IF(NFI_Expiration=1,IF($A282&lt;VLOOKUP(L$5,NFI,5,0),1,0)*Table_NFI[[#This Row],[Tarpaulin]],Table_NFI[[#This Row],[Tarpaulin]])</f>
        <v>0</v>
      </c>
      <c r="AD282" s="378">
        <f>IF(NFI_Expiration=1,IF($A282&lt;VLOOKUP(M$5,NFI,5,0),1,0)*Table_NFI[[#This Row],[Blanket]],Table_NFI[[#This Row],[Blanket]])</f>
        <v>0</v>
      </c>
      <c r="AE282" s="378">
        <f>IF(NFI_Expiration=1,IF($A282&lt;VLOOKUP(N$5,NFI,5,0),1,0)*Table_NFI[[#This Row],[Kitchen Set]],Table_NFI[Kitchen Set])</f>
        <v>0</v>
      </c>
      <c r="AF282" s="378">
        <f>IF(NFI_Expiration=1,IF($A282&lt;VLOOKUP(O$5,NFI,5,0),1,0)*Table_NFI[[#This Row],[Clothes Kit]],Table_NFI[Clothes Kit])</f>
        <v>0</v>
      </c>
      <c r="AG282" s="378">
        <f>IF(NFI_Expiration=1,IF($A282&lt;VLOOKUP(P$5,NFI,5,0),1,0)*Table_NFI[[#This Row],[Plastic Bucket]],Table_NFI[Plastic Bucket])</f>
        <v>0</v>
      </c>
      <c r="AH282" s="378">
        <f>IF(NFI_Expiration=1,IF($A282&lt;VLOOKUP(Q$5,NFI,5,0),1,0)*Table_NFI[[#This Row],[Plastic Mat]],Table_NFI[Plastic Mat])*IF(Table_NFI[[#This Row],[Distribution Date]]&gt;"2014-04-01",1,2.5)</f>
        <v>0</v>
      </c>
      <c r="AI282" s="378">
        <f>IF(NFI_Expiration=1,IF($A282&lt;VLOOKUP(R$5,NFI,5,0),1,0)*Table_NFI[[#This Row],[Winter Clothes Adult]],Table_NFI[Winter Clothes Adult])</f>
        <v>0</v>
      </c>
      <c r="AJ282" s="378">
        <f>IF(NFI_Expiration=1,IF($A282&lt;VLOOKUP(S$5,NFI,5,0),1,0)*Table_NFI[[#This Row],[Winter Clothes Children]],Table_NFI[Winter Clothes Children])</f>
        <v>0</v>
      </c>
      <c r="AK282" s="378">
        <f>IF(NFI_Expiration=1,IF($A282&lt;VLOOKUP(T$5,NFI,5,0),1,0)*Table_NFI[[#This Row],[Winter Items Other]],Table_NFI[Winter Items Other])</f>
        <v>0</v>
      </c>
      <c r="AL282" s="378">
        <f>IF(NFI_Expiration=1,IF($A282&lt;VLOOKUP(M$5,NFI,5,0),1,0)*Table_NFI[[#This Row],[Winter Blanket]],Table_NFI[[#This Row],[Winter Blanket]])</f>
        <v>0</v>
      </c>
      <c r="AM282" s="378">
        <f>IF(Table_NFI[[#This Row],[Winter Clothes Adult]]+Table_NFI[[#This Row],[Winter Clothes Children]]+Table_NFI[[#This Row],[Winter Items Other]]+Table_NFI[[#This Row],[Winter Blanket]]&gt;0,1,0)</f>
        <v>0</v>
      </c>
      <c r="AN282" s="418">
        <f>IF(NFI_Expiration=1,IF($A282&lt;VLOOKUP(V$5,NFI,5,0),1,0)*Table_NFI[[#This Row],[Jerry Can]],Table_NFI[Jerry Can])</f>
        <v>0</v>
      </c>
      <c r="AO282" s="579" t="str">
        <f>IFERROR(VLOOKUP(Table_NFI[[#This Row],[Camp Name]],CL,2,0),"")</f>
        <v/>
      </c>
      <c r="AP282" s="574" t="str">
        <f ca="1">IF(Table_NFI[[#This Row],[Pcode]]="","",IF(OFFSET(CampList[Opening Date],MATCH(Table_NFI[[#This Row],[Pcode]],CampList[CP_Pcode],0)-1,0,1,1)&gt;=NFI_Monitor_Date,1,0))</f>
        <v/>
      </c>
      <c r="AQ282" s="579" t="str">
        <f>IFERROR(VLOOKUP(Table_NFI[[#This Row],[Camp Name]],CL,3,0),"")</f>
        <v/>
      </c>
      <c r="AR282" s="378" t="str">
        <f ca="1">IF(Table_NFI[[#This Row],[Pcode]]="","",OFFSET(CampList[Priority],MATCH(Table_NFI[[#This Row],[Pcode]],CampList[CP_Pcode],0)-1,0,1,1))</f>
        <v/>
      </c>
      <c r="AS282" s="377" t="str">
        <f>IFERROR(Table_NFI[[#This Row],[Kitchen Set]]/VLOOKUP(Table_NFI[[#This Row],[Camp Name]],CL,4,0),"")</f>
        <v/>
      </c>
      <c r="AT282" s="572" t="s">
        <v>1095</v>
      </c>
      <c r="AU282" s="575"/>
    </row>
    <row r="283" spans="1:47" s="588" customFormat="1" x14ac:dyDescent="0.25">
      <c r="A283" s="381">
        <f t="shared" si="4"/>
        <v>19.3</v>
      </c>
      <c r="B283" s="571">
        <v>41943</v>
      </c>
      <c r="C283" s="572" t="s">
        <v>454</v>
      </c>
      <c r="D283" s="572"/>
      <c r="E283" s="572" t="s">
        <v>380</v>
      </c>
      <c r="F283" s="572" t="s">
        <v>529</v>
      </c>
      <c r="G283" s="572" t="s">
        <v>90</v>
      </c>
      <c r="H283" s="375"/>
      <c r="I283" s="375"/>
      <c r="J283" s="375">
        <v>25</v>
      </c>
      <c r="K283" s="375">
        <v>50</v>
      </c>
      <c r="L283" s="376">
        <v>25</v>
      </c>
      <c r="M283" s="376">
        <v>50</v>
      </c>
      <c r="N283" s="376">
        <v>25</v>
      </c>
      <c r="O283" s="376"/>
      <c r="P283" s="378">
        <v>25</v>
      </c>
      <c r="Q283" s="378">
        <v>125</v>
      </c>
      <c r="R283" s="378"/>
      <c r="S283" s="378"/>
      <c r="T283" s="378"/>
      <c r="U283" s="378"/>
      <c r="V283" s="533"/>
      <c r="W283" s="418"/>
      <c r="X283" s="418"/>
      <c r="Y283" s="378">
        <f>IF(NFI_Expiration=1,IF($A283&lt;VLOOKUP(H$5,NFI,5,0),1,0)*Table_NFI[[#This Row],[Hygiene Kit]],Table_NFI[Hygiene Kit])</f>
        <v>0</v>
      </c>
      <c r="Z283" s="378">
        <f>IF(NFI_Expiration=1,IF($A283&lt;VLOOKUP(I$5,NFI,5,0),1,0)*Table_NFI[[#This Row],[NFI Core Kit]],Table_NFI[NFI Core Kit])</f>
        <v>0</v>
      </c>
      <c r="AA283" s="378">
        <f>IF(NFI_Expiration=1,IF($A283&lt;VLOOKUP(J$5,NFI,5,0),1,0)*Table_NFI[[#This Row],[Sanitary Kit]],Table_NFI[Sanitary Kit])</f>
        <v>0</v>
      </c>
      <c r="AB283" s="378">
        <f>IF(NFI_Expiration=1,IF($A283&lt;VLOOKUP(K$5,NFI,5,0),1,0)*Table_NFI[[#This Row],[Mosquito net]],Table_NFI[Mosquito net])</f>
        <v>0</v>
      </c>
      <c r="AC283" s="378">
        <f>IF(NFI_Expiration=1,IF($A283&lt;VLOOKUP(L$5,NFI,5,0),1,0)*Table_NFI[[#This Row],[Tarpaulin]],Table_NFI[[#This Row],[Tarpaulin]])</f>
        <v>0</v>
      </c>
      <c r="AD283" s="378">
        <f>IF(NFI_Expiration=1,IF($A283&lt;VLOOKUP(M$5,NFI,5,0),1,0)*Table_NFI[[#This Row],[Blanket]],Table_NFI[[#This Row],[Blanket]])</f>
        <v>0</v>
      </c>
      <c r="AE283" s="378">
        <f>IF(NFI_Expiration=1,IF($A283&lt;VLOOKUP(N$5,NFI,5,0),1,0)*Table_NFI[[#This Row],[Kitchen Set]],Table_NFI[Kitchen Set])</f>
        <v>0</v>
      </c>
      <c r="AF283" s="378">
        <f>IF(NFI_Expiration=1,IF($A283&lt;VLOOKUP(O$5,NFI,5,0),1,0)*Table_NFI[[#This Row],[Clothes Kit]],Table_NFI[Clothes Kit])</f>
        <v>0</v>
      </c>
      <c r="AG283" s="378">
        <f>IF(NFI_Expiration=1,IF($A283&lt;VLOOKUP(P$5,NFI,5,0),1,0)*Table_NFI[[#This Row],[Plastic Bucket]],Table_NFI[Plastic Bucket])</f>
        <v>0</v>
      </c>
      <c r="AH283" s="378">
        <f>IF(NFI_Expiration=1,IF($A283&lt;VLOOKUP(Q$5,NFI,5,0),1,0)*Table_NFI[[#This Row],[Plastic Mat]],Table_NFI[Plastic Mat])*IF(Table_NFI[[#This Row],[Distribution Date]]&gt;"2014-04-01",1,2.5)</f>
        <v>0</v>
      </c>
      <c r="AI283" s="378">
        <f>IF(NFI_Expiration=1,IF($A283&lt;VLOOKUP(R$5,NFI,5,0),1,0)*Table_NFI[[#This Row],[Winter Clothes Adult]],Table_NFI[Winter Clothes Adult])</f>
        <v>0</v>
      </c>
      <c r="AJ283" s="378">
        <f>IF(NFI_Expiration=1,IF($A283&lt;VLOOKUP(S$5,NFI,5,0),1,0)*Table_NFI[[#This Row],[Winter Clothes Children]],Table_NFI[Winter Clothes Children])</f>
        <v>0</v>
      </c>
      <c r="AK283" s="378">
        <f>IF(NFI_Expiration=1,IF($A283&lt;VLOOKUP(T$5,NFI,5,0),1,0)*Table_NFI[[#This Row],[Winter Items Other]],Table_NFI[Winter Items Other])</f>
        <v>0</v>
      </c>
      <c r="AL283" s="378">
        <f>IF(NFI_Expiration=1,IF($A283&lt;VLOOKUP(M$5,NFI,5,0),1,0)*Table_NFI[[#This Row],[Winter Blanket]],Table_NFI[[#This Row],[Winter Blanket]])</f>
        <v>0</v>
      </c>
      <c r="AM283" s="378">
        <f>IF(Table_NFI[[#This Row],[Winter Clothes Adult]]+Table_NFI[[#This Row],[Winter Clothes Children]]+Table_NFI[[#This Row],[Winter Items Other]]+Table_NFI[[#This Row],[Winter Blanket]]&gt;0,1,0)</f>
        <v>0</v>
      </c>
      <c r="AN283" s="418">
        <f>IF(NFI_Expiration=1,IF($A283&lt;VLOOKUP(V$5,NFI,5,0),1,0)*Table_NFI[[#This Row],[Jerry Can]],Table_NFI[Jerry Can])</f>
        <v>0</v>
      </c>
      <c r="AO283" s="579" t="str">
        <f>IFERROR(VLOOKUP(Table_NFI[[#This Row],[Camp Name]],CL,2,0),"")</f>
        <v>MMR001CMP181</v>
      </c>
      <c r="AP283" s="574">
        <f ca="1">IF(Table_NFI[[#This Row],[Pcode]]="","",IF(OFFSET(CampList[Opening Date],MATCH(Table_NFI[[#This Row],[Pcode]],CampList[CP_Pcode],0)-1,0,1,1)&gt;=NFI_Monitor_Date,1,0))</f>
        <v>0</v>
      </c>
      <c r="AQ283" s="579" t="str">
        <f>IFERROR(VLOOKUP(Table_NFI[[#This Row],[Camp Name]],CL,3,0),"")</f>
        <v>Open</v>
      </c>
      <c r="AR283" s="378" t="str">
        <f ca="1">IF(Table_NFI[[#This Row],[Pcode]]="","",OFFSET(CampList[Priority],MATCH(Table_NFI[[#This Row],[Pcode]],CampList[CP_Pcode],0)-1,0,1,1))</f>
        <v>P4</v>
      </c>
      <c r="AS283" s="377">
        <f>IFERROR(Table_NFI[[#This Row],[Kitchen Set]]/VLOOKUP(Table_NFI[[#This Row],[Camp Name]],CL,4,0),"")</f>
        <v>1</v>
      </c>
      <c r="AT283" s="572"/>
      <c r="AU283" s="575"/>
    </row>
    <row r="284" spans="1:47" s="576" customFormat="1" x14ac:dyDescent="0.25">
      <c r="A284" s="381">
        <f t="shared" si="4"/>
        <v>19.5</v>
      </c>
      <c r="B284" s="571">
        <v>41937</v>
      </c>
      <c r="C284" s="572" t="s">
        <v>1097</v>
      </c>
      <c r="D284" s="572" t="s">
        <v>903</v>
      </c>
      <c r="E284" s="572" t="s">
        <v>380</v>
      </c>
      <c r="F284" s="572" t="s">
        <v>529</v>
      </c>
      <c r="G284" s="572" t="s">
        <v>90</v>
      </c>
      <c r="H284" s="375"/>
      <c r="I284" s="375"/>
      <c r="J284" s="375"/>
      <c r="K284" s="375"/>
      <c r="L284" s="376"/>
      <c r="M284" s="376"/>
      <c r="N284" s="376"/>
      <c r="O284" s="376"/>
      <c r="P284" s="378"/>
      <c r="Q284" s="378"/>
      <c r="R284" s="378">
        <v>90</v>
      </c>
      <c r="S284" s="378">
        <v>39</v>
      </c>
      <c r="T284" s="378"/>
      <c r="U284" s="378"/>
      <c r="V284" s="533"/>
      <c r="W284" s="378"/>
      <c r="X284" s="378"/>
      <c r="Y284" s="378">
        <f>IF(NFI_Expiration=1,IF($A284&lt;VLOOKUP(H$5,NFI,5,0),1,0)*Table_NFI[[#This Row],[Hygiene Kit]],Table_NFI[Hygiene Kit])</f>
        <v>0</v>
      </c>
      <c r="Z284" s="378">
        <f>IF(NFI_Expiration=1,IF($A284&lt;VLOOKUP(I$5,NFI,5,0),1,0)*Table_NFI[[#This Row],[NFI Core Kit]],Table_NFI[NFI Core Kit])</f>
        <v>0</v>
      </c>
      <c r="AA284" s="378">
        <f>IF(NFI_Expiration=1,IF($A284&lt;VLOOKUP(J$5,NFI,5,0),1,0)*Table_NFI[[#This Row],[Sanitary Kit]],Table_NFI[Sanitary Kit])</f>
        <v>0</v>
      </c>
      <c r="AB284" s="378">
        <f>IF(NFI_Expiration=1,IF($A284&lt;VLOOKUP(K$5,NFI,5,0),1,0)*Table_NFI[[#This Row],[Mosquito net]],Table_NFI[Mosquito net])</f>
        <v>0</v>
      </c>
      <c r="AC284" s="378">
        <f>IF(NFI_Expiration=1,IF($A284&lt;VLOOKUP(L$5,NFI,5,0),1,0)*Table_NFI[[#This Row],[Tarpaulin]],Table_NFI[[#This Row],[Tarpaulin]])</f>
        <v>0</v>
      </c>
      <c r="AD284" s="378">
        <f>IF(NFI_Expiration=1,IF($A284&lt;VLOOKUP(M$5,NFI,5,0),1,0)*Table_NFI[[#This Row],[Blanket]],Table_NFI[[#This Row],[Blanket]])</f>
        <v>0</v>
      </c>
      <c r="AE284" s="378">
        <f>IF(NFI_Expiration=1,IF($A284&lt;VLOOKUP(N$5,NFI,5,0),1,0)*Table_NFI[[#This Row],[Kitchen Set]],Table_NFI[Kitchen Set])</f>
        <v>0</v>
      </c>
      <c r="AF284" s="378">
        <f>IF(NFI_Expiration=1,IF($A284&lt;VLOOKUP(O$5,NFI,5,0),1,0)*Table_NFI[[#This Row],[Clothes Kit]],Table_NFI[Clothes Kit])</f>
        <v>0</v>
      </c>
      <c r="AG284" s="378">
        <f>IF(NFI_Expiration=1,IF($A284&lt;VLOOKUP(P$5,NFI,5,0),1,0)*Table_NFI[[#This Row],[Plastic Bucket]],Table_NFI[Plastic Bucket])</f>
        <v>0</v>
      </c>
      <c r="AH284" s="378">
        <f>IF(NFI_Expiration=1,IF($A284&lt;VLOOKUP(Q$5,NFI,5,0),1,0)*Table_NFI[[#This Row],[Plastic Mat]],Table_NFI[Plastic Mat])*IF(Table_NFI[[#This Row],[Distribution Date]]&gt;"2014-04-01",1,2.5)</f>
        <v>0</v>
      </c>
      <c r="AI284" s="378">
        <f>IF(NFI_Expiration=1,IF($A284&lt;VLOOKUP(R$5,NFI,5,0),1,0)*Table_NFI[[#This Row],[Winter Clothes Adult]],Table_NFI[Winter Clothes Adult])</f>
        <v>0</v>
      </c>
      <c r="AJ284" s="378">
        <f>IF(NFI_Expiration=1,IF($A284&lt;VLOOKUP(S$5,NFI,5,0),1,0)*Table_NFI[[#This Row],[Winter Clothes Children]],Table_NFI[Winter Clothes Children])</f>
        <v>0</v>
      </c>
      <c r="AK284" s="378">
        <f>IF(NFI_Expiration=1,IF($A284&lt;VLOOKUP(T$5,NFI,5,0),1,0)*Table_NFI[[#This Row],[Winter Items Other]],Table_NFI[Winter Items Other])</f>
        <v>0</v>
      </c>
      <c r="AL284" s="378">
        <f>IF(NFI_Expiration=1,IF($A284&lt;VLOOKUP(M$5,NFI,5,0),1,0)*Table_NFI[[#This Row],[Winter Blanket]],Table_NFI[[#This Row],[Winter Blanket]])</f>
        <v>0</v>
      </c>
      <c r="AM284" s="378">
        <f>IF(Table_NFI[[#This Row],[Winter Clothes Adult]]+Table_NFI[[#This Row],[Winter Clothes Children]]+Table_NFI[[#This Row],[Winter Items Other]]+Table_NFI[[#This Row],[Winter Blanket]]&gt;0,1,0)</f>
        <v>1</v>
      </c>
      <c r="AN284" s="418">
        <f>IF(NFI_Expiration=1,IF($A284&lt;VLOOKUP(V$5,NFI,5,0),1,0)*Table_NFI[[#This Row],[Jerry Can]],Table_NFI[Jerry Can])</f>
        <v>0</v>
      </c>
      <c r="AO284" s="579" t="str">
        <f>IFERROR(VLOOKUP(Table_NFI[[#This Row],[Camp Name]],CL,2,0),"")</f>
        <v>MMR001CMP181</v>
      </c>
      <c r="AP284" s="574">
        <f ca="1">IF(Table_NFI[[#This Row],[Pcode]]="","",IF(OFFSET(CampList[Opening Date],MATCH(Table_NFI[[#This Row],[Pcode]],CampList[CP_Pcode],0)-1,0,1,1)&gt;=NFI_Monitor_Date,1,0))</f>
        <v>0</v>
      </c>
      <c r="AQ284" s="579" t="str">
        <f>IFERROR(VLOOKUP(Table_NFI[[#This Row],[Camp Name]],CL,3,0),"")</f>
        <v>Open</v>
      </c>
      <c r="AR284" s="378" t="str">
        <f ca="1">IF(Table_NFI[[#This Row],[Pcode]]="","",OFFSET(CampList[Priority],MATCH(Table_NFI[[#This Row],[Pcode]],CampList[CP_Pcode],0)-1,0,1,1))</f>
        <v>P4</v>
      </c>
      <c r="AS284" s="377">
        <f>IFERROR(Table_NFI[[#This Row],[Kitchen Set]]/VLOOKUP(Table_NFI[[#This Row],[Camp Name]],CL,4,0),"")</f>
        <v>0</v>
      </c>
      <c r="AT284" s="572"/>
      <c r="AU284" s="575"/>
    </row>
    <row r="285" spans="1:47" s="576" customFormat="1" x14ac:dyDescent="0.25">
      <c r="A285" s="381">
        <f t="shared" si="4"/>
        <v>20.3</v>
      </c>
      <c r="B285" s="571">
        <v>41913</v>
      </c>
      <c r="C285" s="572" t="s">
        <v>454</v>
      </c>
      <c r="D285" s="577" t="s">
        <v>507</v>
      </c>
      <c r="E285" s="577" t="s">
        <v>380</v>
      </c>
      <c r="F285" s="577" t="s">
        <v>529</v>
      </c>
      <c r="G285" s="577" t="s">
        <v>90</v>
      </c>
      <c r="H285" s="376"/>
      <c r="I285" s="376"/>
      <c r="J285" s="376"/>
      <c r="K285" s="376">
        <v>40</v>
      </c>
      <c r="L285" s="376"/>
      <c r="M285" s="376"/>
      <c r="N285" s="376"/>
      <c r="O285" s="376"/>
      <c r="P285" s="378"/>
      <c r="Q285" s="378"/>
      <c r="R285" s="378"/>
      <c r="S285" s="378"/>
      <c r="T285" s="378"/>
      <c r="U285" s="378"/>
      <c r="V285" s="533"/>
      <c r="W285" s="378"/>
      <c r="X285" s="378"/>
      <c r="Y285" s="378">
        <f>IF(NFI_Expiration=1,IF($A285&lt;VLOOKUP(H$5,NFI,5,0),1,0)*Table_NFI[[#This Row],[Hygiene Kit]],Table_NFI[Hygiene Kit])</f>
        <v>0</v>
      </c>
      <c r="Z285" s="378">
        <f>IF(NFI_Expiration=1,IF($A285&lt;VLOOKUP(I$5,NFI,5,0),1,0)*Table_NFI[[#This Row],[NFI Core Kit]],Table_NFI[NFI Core Kit])</f>
        <v>0</v>
      </c>
      <c r="AA285" s="378">
        <f>IF(NFI_Expiration=1,IF($A285&lt;VLOOKUP(J$5,NFI,5,0),1,0)*Table_NFI[[#This Row],[Sanitary Kit]],Table_NFI[Sanitary Kit])</f>
        <v>0</v>
      </c>
      <c r="AB285" s="378">
        <f>IF(NFI_Expiration=1,IF($A285&lt;VLOOKUP(K$5,NFI,5,0),1,0)*Table_NFI[[#This Row],[Mosquito net]],Table_NFI[Mosquito net])</f>
        <v>0</v>
      </c>
      <c r="AC285" s="378">
        <f>IF(NFI_Expiration=1,IF($A285&lt;VLOOKUP(L$5,NFI,5,0),1,0)*Table_NFI[[#This Row],[Tarpaulin]],Table_NFI[[#This Row],[Tarpaulin]])</f>
        <v>0</v>
      </c>
      <c r="AD285" s="378">
        <f>IF(NFI_Expiration=1,IF($A285&lt;VLOOKUP(M$5,NFI,5,0),1,0)*Table_NFI[[#This Row],[Blanket]],Table_NFI[[#This Row],[Blanket]])</f>
        <v>0</v>
      </c>
      <c r="AE285" s="378">
        <f>IF(NFI_Expiration=1,IF($A285&lt;VLOOKUP(N$5,NFI,5,0),1,0)*Table_NFI[[#This Row],[Kitchen Set]],Table_NFI[Kitchen Set])</f>
        <v>0</v>
      </c>
      <c r="AF285" s="378">
        <f>IF(NFI_Expiration=1,IF($A285&lt;VLOOKUP(O$5,NFI,5,0),1,0)*Table_NFI[[#This Row],[Clothes Kit]],Table_NFI[Clothes Kit])</f>
        <v>0</v>
      </c>
      <c r="AG285" s="378">
        <f>IF(NFI_Expiration=1,IF($A285&lt;VLOOKUP(P$5,NFI,5,0),1,0)*Table_NFI[[#This Row],[Plastic Bucket]],Table_NFI[Plastic Bucket])</f>
        <v>0</v>
      </c>
      <c r="AH285" s="378">
        <f>IF(NFI_Expiration=1,IF($A285&lt;VLOOKUP(Q$5,NFI,5,0),1,0)*Table_NFI[[#This Row],[Plastic Mat]],Table_NFI[Plastic Mat])*IF(Table_NFI[[#This Row],[Distribution Date]]&gt;"2014-04-01",1,2.5)</f>
        <v>0</v>
      </c>
      <c r="AI285" s="378">
        <f>IF(NFI_Expiration=1,IF($A285&lt;VLOOKUP(R$5,NFI,5,0),1,0)*Table_NFI[[#This Row],[Winter Clothes Adult]],Table_NFI[Winter Clothes Adult])</f>
        <v>0</v>
      </c>
      <c r="AJ285" s="378">
        <f>IF(NFI_Expiration=1,IF($A285&lt;VLOOKUP(S$5,NFI,5,0),1,0)*Table_NFI[[#This Row],[Winter Clothes Children]],Table_NFI[Winter Clothes Children])</f>
        <v>0</v>
      </c>
      <c r="AK285" s="378">
        <f>IF(NFI_Expiration=1,IF($A285&lt;VLOOKUP(T$5,NFI,5,0),1,0)*Table_NFI[[#This Row],[Winter Items Other]],Table_NFI[Winter Items Other])</f>
        <v>0</v>
      </c>
      <c r="AL285" s="378">
        <f>IF(NFI_Expiration=1,IF($A285&lt;VLOOKUP(M$5,NFI,5,0),1,0)*Table_NFI[[#This Row],[Winter Blanket]],Table_NFI[[#This Row],[Winter Blanket]])</f>
        <v>0</v>
      </c>
      <c r="AM285" s="378">
        <f>IF(Table_NFI[[#This Row],[Winter Clothes Adult]]+Table_NFI[[#This Row],[Winter Clothes Children]]+Table_NFI[[#This Row],[Winter Items Other]]+Table_NFI[[#This Row],[Winter Blanket]]&gt;0,1,0)</f>
        <v>0</v>
      </c>
      <c r="AN285" s="418">
        <f>IF(NFI_Expiration=1,IF($A285&lt;VLOOKUP(V$5,NFI,5,0),1,0)*Table_NFI[[#This Row],[Jerry Can]],Table_NFI[Jerry Can])</f>
        <v>0</v>
      </c>
      <c r="AO285" s="579" t="str">
        <f>IFERROR(VLOOKUP(Table_NFI[[#This Row],[Camp Name]],CL,2,0),"")</f>
        <v>MMR001CMP181</v>
      </c>
      <c r="AP285" s="574">
        <f ca="1">IF(Table_NFI[[#This Row],[Pcode]]="","",IF(OFFSET(CampList[Opening Date],MATCH(Table_NFI[[#This Row],[Pcode]],CampList[CP_Pcode],0)-1,0,1,1)&gt;=NFI_Monitor_Date,1,0))</f>
        <v>0</v>
      </c>
      <c r="AQ285" s="579" t="str">
        <f>IFERROR(VLOOKUP(Table_NFI[[#This Row],[Camp Name]],CL,3,0),"")</f>
        <v>Open</v>
      </c>
      <c r="AR285" s="378" t="str">
        <f ca="1">IF(Table_NFI[[#This Row],[Pcode]]="","",OFFSET(CampList[Priority],MATCH(Table_NFI[[#This Row],[Pcode]],CampList[CP_Pcode],0)-1,0,1,1))</f>
        <v>P4</v>
      </c>
      <c r="AS285" s="377">
        <f>IFERROR(Table_NFI[[#This Row],[Kitchen Set]]/VLOOKUP(Table_NFI[[#This Row],[Camp Name]],CL,4,0),"")</f>
        <v>0</v>
      </c>
      <c r="AT285" s="577"/>
      <c r="AU285" s="580"/>
    </row>
    <row r="286" spans="1:47" s="576" customFormat="1" x14ac:dyDescent="0.25">
      <c r="A286" s="381">
        <f t="shared" si="4"/>
        <v>38.93333333333333</v>
      </c>
      <c r="B286" s="571">
        <v>41354</v>
      </c>
      <c r="C286" s="572" t="s">
        <v>454</v>
      </c>
      <c r="D286" s="573" t="s">
        <v>454</v>
      </c>
      <c r="E286" s="572" t="s">
        <v>380</v>
      </c>
      <c r="F286" s="374" t="s">
        <v>529</v>
      </c>
      <c r="G286" s="374" t="s">
        <v>90</v>
      </c>
      <c r="H286" s="375"/>
      <c r="I286" s="375"/>
      <c r="J286" s="375">
        <v>34</v>
      </c>
      <c r="K286" s="375">
        <v>40</v>
      </c>
      <c r="L286" s="376">
        <v>40</v>
      </c>
      <c r="M286" s="376">
        <v>75</v>
      </c>
      <c r="N286" s="376">
        <v>40</v>
      </c>
      <c r="O286" s="376">
        <v>75</v>
      </c>
      <c r="P286" s="378">
        <v>75</v>
      </c>
      <c r="Q286" s="378">
        <v>75</v>
      </c>
      <c r="R286" s="378"/>
      <c r="S286" s="378"/>
      <c r="T286" s="378"/>
      <c r="U286" s="378"/>
      <c r="V286" s="533"/>
      <c r="W286" s="378"/>
      <c r="X286" s="378"/>
      <c r="Y286" s="378">
        <f>IF(NFI_Expiration=1,IF($A286&lt;VLOOKUP(H$5,NFI,5,0),1,0)*Table_NFI[[#This Row],[Hygiene Kit]],Table_NFI[Hygiene Kit])</f>
        <v>0</v>
      </c>
      <c r="Z286" s="378">
        <f>IF(NFI_Expiration=1,IF($A286&lt;VLOOKUP(I$5,NFI,5,0),1,0)*Table_NFI[[#This Row],[NFI Core Kit]],Table_NFI[NFI Core Kit])</f>
        <v>0</v>
      </c>
      <c r="AA286" s="378">
        <f>IF(NFI_Expiration=1,IF($A286&lt;VLOOKUP(J$5,NFI,5,0),1,0)*Table_NFI[[#This Row],[Sanitary Kit]],Table_NFI[Sanitary Kit])</f>
        <v>0</v>
      </c>
      <c r="AB286" s="378">
        <f>IF(NFI_Expiration=1,IF($A286&lt;VLOOKUP(K$5,NFI,5,0),1,0)*Table_NFI[[#This Row],[Mosquito net]],Table_NFI[Mosquito net])</f>
        <v>0</v>
      </c>
      <c r="AC286" s="378">
        <f>IF(NFI_Expiration=1,IF($A286&lt;VLOOKUP(L$5,NFI,5,0),1,0)*Table_NFI[[#This Row],[Tarpaulin]],Table_NFI[[#This Row],[Tarpaulin]])</f>
        <v>0</v>
      </c>
      <c r="AD286" s="378">
        <f>IF(NFI_Expiration=1,IF($A286&lt;VLOOKUP(M$5,NFI,5,0),1,0)*Table_NFI[[#This Row],[Blanket]],Table_NFI[[#This Row],[Blanket]])</f>
        <v>0</v>
      </c>
      <c r="AE286" s="378">
        <f>IF(NFI_Expiration=1,IF($A286&lt;VLOOKUP(N$5,NFI,5,0),1,0)*Table_NFI[[#This Row],[Kitchen Set]],Table_NFI[Kitchen Set])</f>
        <v>0</v>
      </c>
      <c r="AF286" s="378">
        <f>IF(NFI_Expiration=1,IF($A286&lt;VLOOKUP(O$5,NFI,5,0),1,0)*Table_NFI[[#This Row],[Clothes Kit]],Table_NFI[Clothes Kit])</f>
        <v>0</v>
      </c>
      <c r="AG286" s="378">
        <f>IF(NFI_Expiration=1,IF($A286&lt;VLOOKUP(P$5,NFI,5,0),1,0)*Table_NFI[[#This Row],[Plastic Bucket]],Table_NFI[Plastic Bucket])</f>
        <v>0</v>
      </c>
      <c r="AH286" s="378">
        <f>IF(NFI_Expiration=1,IF($A286&lt;VLOOKUP(Q$5,NFI,5,0),1,0)*Table_NFI[[#This Row],[Plastic Mat]],Table_NFI[Plastic Mat])*IF(Table_NFI[[#This Row],[Distribution Date]]&gt;"2014-04-01",1,2.5)</f>
        <v>0</v>
      </c>
      <c r="AI286" s="378">
        <f>IF(NFI_Expiration=1,IF($A286&lt;VLOOKUP(R$5,NFI,5,0),1,0)*Table_NFI[[#This Row],[Winter Clothes Adult]],Table_NFI[Winter Clothes Adult])</f>
        <v>0</v>
      </c>
      <c r="AJ286" s="378">
        <f>IF(NFI_Expiration=1,IF($A286&lt;VLOOKUP(S$5,NFI,5,0),1,0)*Table_NFI[[#This Row],[Winter Clothes Children]],Table_NFI[Winter Clothes Children])</f>
        <v>0</v>
      </c>
      <c r="AK286" s="378">
        <f>IF(NFI_Expiration=1,IF($A286&lt;VLOOKUP(T$5,NFI,5,0),1,0)*Table_NFI[[#This Row],[Winter Items Other]],Table_NFI[Winter Items Other])</f>
        <v>0</v>
      </c>
      <c r="AL286" s="378">
        <f>IF(NFI_Expiration=1,IF($A286&lt;VLOOKUP(M$5,NFI,5,0),1,0)*Table_NFI[[#This Row],[Winter Blanket]],Table_NFI[[#This Row],[Winter Blanket]])</f>
        <v>0</v>
      </c>
      <c r="AM286" s="378">
        <f>IF(Table_NFI[[#This Row],[Winter Clothes Adult]]+Table_NFI[[#This Row],[Winter Clothes Children]]+Table_NFI[[#This Row],[Winter Items Other]]+Table_NFI[[#This Row],[Winter Blanket]]&gt;0,1,0)</f>
        <v>0</v>
      </c>
      <c r="AN286" s="418">
        <f>IF(NFI_Expiration=1,IF($A286&lt;VLOOKUP(V$5,NFI,5,0),1,0)*Table_NFI[[#This Row],[Jerry Can]],Table_NFI[Jerry Can])</f>
        <v>0</v>
      </c>
      <c r="AO286" s="579" t="str">
        <f>IFERROR(VLOOKUP(Table_NFI[[#This Row],[Camp Name]],CL,2,0),"")</f>
        <v>MMR001CMP181</v>
      </c>
      <c r="AP286" s="574">
        <f ca="1">IF(Table_NFI[[#This Row],[Pcode]]="","",IF(OFFSET(CampList[Opening Date],MATCH(Table_NFI[[#This Row],[Pcode]],CampList[CP_Pcode],0)-1,0,1,1)&gt;=NFI_Monitor_Date,1,0))</f>
        <v>0</v>
      </c>
      <c r="AQ286" s="579" t="str">
        <f>IFERROR(VLOOKUP(Table_NFI[[#This Row],[Camp Name]],CL,3,0),"")</f>
        <v>Open</v>
      </c>
      <c r="AR286" s="378" t="str">
        <f ca="1">IF(Table_NFI[[#This Row],[Pcode]]="","",OFFSET(CampList[Priority],MATCH(Table_NFI[[#This Row],[Pcode]],CampList[CP_Pcode],0)-1,0,1,1))</f>
        <v>P4</v>
      </c>
      <c r="AS286" s="377">
        <f>IFERROR(Table_NFI[[#This Row],[Kitchen Set]]/VLOOKUP(Table_NFI[[#This Row],[Camp Name]],CL,4,0),"")</f>
        <v>1.6</v>
      </c>
      <c r="AT286" s="572" t="s">
        <v>1095</v>
      </c>
      <c r="AU286" s="575"/>
    </row>
    <row r="287" spans="1:47" s="576" customFormat="1" x14ac:dyDescent="0.25">
      <c r="A287" s="381">
        <f t="shared" si="4"/>
        <v>19.3</v>
      </c>
      <c r="B287" s="571">
        <v>41943</v>
      </c>
      <c r="C287" s="572" t="s">
        <v>454</v>
      </c>
      <c r="D287" s="572"/>
      <c r="E287" s="572" t="s">
        <v>380</v>
      </c>
      <c r="F287" s="572" t="s">
        <v>529</v>
      </c>
      <c r="G287" s="572" t="s">
        <v>92</v>
      </c>
      <c r="H287" s="375"/>
      <c r="I287" s="375"/>
      <c r="J287" s="375">
        <v>15</v>
      </c>
      <c r="K287" s="375">
        <v>30</v>
      </c>
      <c r="L287" s="376">
        <v>15</v>
      </c>
      <c r="M287" s="376">
        <v>30</v>
      </c>
      <c r="N287" s="376">
        <v>15</v>
      </c>
      <c r="O287" s="376"/>
      <c r="P287" s="378">
        <v>15</v>
      </c>
      <c r="Q287" s="378">
        <v>75</v>
      </c>
      <c r="R287" s="378"/>
      <c r="S287" s="378"/>
      <c r="T287" s="378"/>
      <c r="U287" s="378"/>
      <c r="V287" s="533"/>
      <c r="W287" s="378"/>
      <c r="X287" s="378"/>
      <c r="Y287" s="378">
        <f>IF(NFI_Expiration=1,IF($A287&lt;VLOOKUP(H$5,NFI,5,0),1,0)*Table_NFI[[#This Row],[Hygiene Kit]],Table_NFI[Hygiene Kit])</f>
        <v>0</v>
      </c>
      <c r="Z287" s="378">
        <f>IF(NFI_Expiration=1,IF($A287&lt;VLOOKUP(I$5,NFI,5,0),1,0)*Table_NFI[[#This Row],[NFI Core Kit]],Table_NFI[NFI Core Kit])</f>
        <v>0</v>
      </c>
      <c r="AA287" s="378">
        <f>IF(NFI_Expiration=1,IF($A287&lt;VLOOKUP(J$5,NFI,5,0),1,0)*Table_NFI[[#This Row],[Sanitary Kit]],Table_NFI[Sanitary Kit])</f>
        <v>0</v>
      </c>
      <c r="AB287" s="378">
        <f>IF(NFI_Expiration=1,IF($A287&lt;VLOOKUP(K$5,NFI,5,0),1,0)*Table_NFI[[#This Row],[Mosquito net]],Table_NFI[Mosquito net])</f>
        <v>0</v>
      </c>
      <c r="AC287" s="378">
        <f>IF(NFI_Expiration=1,IF($A287&lt;VLOOKUP(L$5,NFI,5,0),1,0)*Table_NFI[[#This Row],[Tarpaulin]],Table_NFI[[#This Row],[Tarpaulin]])</f>
        <v>0</v>
      </c>
      <c r="AD287" s="378">
        <f>IF(NFI_Expiration=1,IF($A287&lt;VLOOKUP(M$5,NFI,5,0),1,0)*Table_NFI[[#This Row],[Blanket]],Table_NFI[[#This Row],[Blanket]])</f>
        <v>0</v>
      </c>
      <c r="AE287" s="378">
        <f>IF(NFI_Expiration=1,IF($A287&lt;VLOOKUP(N$5,NFI,5,0),1,0)*Table_NFI[[#This Row],[Kitchen Set]],Table_NFI[Kitchen Set])</f>
        <v>0</v>
      </c>
      <c r="AF287" s="378">
        <f>IF(NFI_Expiration=1,IF($A287&lt;VLOOKUP(O$5,NFI,5,0),1,0)*Table_NFI[[#This Row],[Clothes Kit]],Table_NFI[Clothes Kit])</f>
        <v>0</v>
      </c>
      <c r="AG287" s="378">
        <f>IF(NFI_Expiration=1,IF($A287&lt;VLOOKUP(P$5,NFI,5,0),1,0)*Table_NFI[[#This Row],[Plastic Bucket]],Table_NFI[Plastic Bucket])</f>
        <v>0</v>
      </c>
      <c r="AH287" s="378">
        <f>IF(NFI_Expiration=1,IF($A287&lt;VLOOKUP(Q$5,NFI,5,0),1,0)*Table_NFI[[#This Row],[Plastic Mat]],Table_NFI[Plastic Mat])*IF(Table_NFI[[#This Row],[Distribution Date]]&gt;"2014-04-01",1,2.5)</f>
        <v>0</v>
      </c>
      <c r="AI287" s="378">
        <f>IF(NFI_Expiration=1,IF($A287&lt;VLOOKUP(R$5,NFI,5,0),1,0)*Table_NFI[[#This Row],[Winter Clothes Adult]],Table_NFI[Winter Clothes Adult])</f>
        <v>0</v>
      </c>
      <c r="AJ287" s="378">
        <f>IF(NFI_Expiration=1,IF($A287&lt;VLOOKUP(S$5,NFI,5,0),1,0)*Table_NFI[[#This Row],[Winter Clothes Children]],Table_NFI[Winter Clothes Children])</f>
        <v>0</v>
      </c>
      <c r="AK287" s="378">
        <f>IF(NFI_Expiration=1,IF($A287&lt;VLOOKUP(T$5,NFI,5,0),1,0)*Table_NFI[[#This Row],[Winter Items Other]],Table_NFI[Winter Items Other])</f>
        <v>0</v>
      </c>
      <c r="AL287" s="378">
        <f>IF(NFI_Expiration=1,IF($A287&lt;VLOOKUP(M$5,NFI,5,0),1,0)*Table_NFI[[#This Row],[Winter Blanket]],Table_NFI[[#This Row],[Winter Blanket]])</f>
        <v>0</v>
      </c>
      <c r="AM287" s="378">
        <f>IF(Table_NFI[[#This Row],[Winter Clothes Adult]]+Table_NFI[[#This Row],[Winter Clothes Children]]+Table_NFI[[#This Row],[Winter Items Other]]+Table_NFI[[#This Row],[Winter Blanket]]&gt;0,1,0)</f>
        <v>0</v>
      </c>
      <c r="AN287" s="418">
        <f>IF(NFI_Expiration=1,IF($A287&lt;VLOOKUP(V$5,NFI,5,0),1,0)*Table_NFI[[#This Row],[Jerry Can]],Table_NFI[Jerry Can])</f>
        <v>0</v>
      </c>
      <c r="AO287" s="579" t="str">
        <f>IFERROR(VLOOKUP(Table_NFI[[#This Row],[Camp Name]],CL,2,0),"")</f>
        <v>MMR001CMP167</v>
      </c>
      <c r="AP287" s="574">
        <f ca="1">IF(Table_NFI[[#This Row],[Pcode]]="","",IF(OFFSET(CampList[Opening Date],MATCH(Table_NFI[[#This Row],[Pcode]],CampList[CP_Pcode],0)-1,0,1,1)&gt;=NFI_Monitor_Date,1,0))</f>
        <v>0</v>
      </c>
      <c r="AQ287" s="579" t="str">
        <f>IFERROR(VLOOKUP(Table_NFI[[#This Row],[Camp Name]],CL,3,0),"")</f>
        <v>Open</v>
      </c>
      <c r="AR287" s="378" t="str">
        <f ca="1">IF(Table_NFI[[#This Row],[Pcode]]="","",OFFSET(CampList[Priority],MATCH(Table_NFI[[#This Row],[Pcode]],CampList[CP_Pcode],0)-1,0,1,1))</f>
        <v>P4</v>
      </c>
      <c r="AS287" s="377">
        <f>IFERROR(Table_NFI[[#This Row],[Kitchen Set]]/VLOOKUP(Table_NFI[[#This Row],[Camp Name]],CL,4,0),"")</f>
        <v>1</v>
      </c>
      <c r="AT287" s="572"/>
      <c r="AU287" s="575"/>
    </row>
    <row r="288" spans="1:47" s="576" customFormat="1" x14ac:dyDescent="0.25">
      <c r="A288" s="381">
        <f t="shared" si="4"/>
        <v>19.5</v>
      </c>
      <c r="B288" s="571">
        <v>41937</v>
      </c>
      <c r="C288" s="572" t="s">
        <v>1097</v>
      </c>
      <c r="D288" s="572" t="s">
        <v>903</v>
      </c>
      <c r="E288" s="572" t="s">
        <v>380</v>
      </c>
      <c r="F288" s="572" t="s">
        <v>529</v>
      </c>
      <c r="G288" s="572" t="s">
        <v>92</v>
      </c>
      <c r="H288" s="375"/>
      <c r="I288" s="375"/>
      <c r="J288" s="375"/>
      <c r="K288" s="375"/>
      <c r="L288" s="376"/>
      <c r="M288" s="376"/>
      <c r="N288" s="376"/>
      <c r="O288" s="376"/>
      <c r="P288" s="378"/>
      <c r="Q288" s="378"/>
      <c r="R288" s="378">
        <v>48</v>
      </c>
      <c r="S288" s="378">
        <v>23</v>
      </c>
      <c r="T288" s="378"/>
      <c r="U288" s="378"/>
      <c r="V288" s="533"/>
      <c r="W288" s="378"/>
      <c r="X288" s="378"/>
      <c r="Y288" s="378">
        <f>IF(NFI_Expiration=1,IF($A288&lt;VLOOKUP(H$5,NFI,5,0),1,0)*Table_NFI[[#This Row],[Hygiene Kit]],Table_NFI[Hygiene Kit])</f>
        <v>0</v>
      </c>
      <c r="Z288" s="378">
        <f>IF(NFI_Expiration=1,IF($A288&lt;VLOOKUP(I$5,NFI,5,0),1,0)*Table_NFI[[#This Row],[NFI Core Kit]],Table_NFI[NFI Core Kit])</f>
        <v>0</v>
      </c>
      <c r="AA288" s="378">
        <f>IF(NFI_Expiration=1,IF($A288&lt;VLOOKUP(J$5,NFI,5,0),1,0)*Table_NFI[[#This Row],[Sanitary Kit]],Table_NFI[Sanitary Kit])</f>
        <v>0</v>
      </c>
      <c r="AB288" s="378">
        <f>IF(NFI_Expiration=1,IF($A288&lt;VLOOKUP(K$5,NFI,5,0),1,0)*Table_NFI[[#This Row],[Mosquito net]],Table_NFI[Mosquito net])</f>
        <v>0</v>
      </c>
      <c r="AC288" s="378">
        <f>IF(NFI_Expiration=1,IF($A288&lt;VLOOKUP(L$5,NFI,5,0),1,0)*Table_NFI[[#This Row],[Tarpaulin]],Table_NFI[[#This Row],[Tarpaulin]])</f>
        <v>0</v>
      </c>
      <c r="AD288" s="378">
        <f>IF(NFI_Expiration=1,IF($A288&lt;VLOOKUP(M$5,NFI,5,0),1,0)*Table_NFI[[#This Row],[Blanket]],Table_NFI[[#This Row],[Blanket]])</f>
        <v>0</v>
      </c>
      <c r="AE288" s="378">
        <f>IF(NFI_Expiration=1,IF($A288&lt;VLOOKUP(N$5,NFI,5,0),1,0)*Table_NFI[[#This Row],[Kitchen Set]],Table_NFI[Kitchen Set])</f>
        <v>0</v>
      </c>
      <c r="AF288" s="378">
        <f>IF(NFI_Expiration=1,IF($A288&lt;VLOOKUP(O$5,NFI,5,0),1,0)*Table_NFI[[#This Row],[Clothes Kit]],Table_NFI[Clothes Kit])</f>
        <v>0</v>
      </c>
      <c r="AG288" s="378">
        <f>IF(NFI_Expiration=1,IF($A288&lt;VLOOKUP(P$5,NFI,5,0),1,0)*Table_NFI[[#This Row],[Plastic Bucket]],Table_NFI[Plastic Bucket])</f>
        <v>0</v>
      </c>
      <c r="AH288" s="378">
        <f>IF(NFI_Expiration=1,IF($A288&lt;VLOOKUP(Q$5,NFI,5,0),1,0)*Table_NFI[[#This Row],[Plastic Mat]],Table_NFI[Plastic Mat])*IF(Table_NFI[[#This Row],[Distribution Date]]&gt;"2014-04-01",1,2.5)</f>
        <v>0</v>
      </c>
      <c r="AI288" s="378">
        <f>IF(NFI_Expiration=1,IF($A288&lt;VLOOKUP(R$5,NFI,5,0),1,0)*Table_NFI[[#This Row],[Winter Clothes Adult]],Table_NFI[Winter Clothes Adult])</f>
        <v>0</v>
      </c>
      <c r="AJ288" s="378">
        <f>IF(NFI_Expiration=1,IF($A288&lt;VLOOKUP(S$5,NFI,5,0),1,0)*Table_NFI[[#This Row],[Winter Clothes Children]],Table_NFI[Winter Clothes Children])</f>
        <v>0</v>
      </c>
      <c r="AK288" s="378">
        <f>IF(NFI_Expiration=1,IF($A288&lt;VLOOKUP(T$5,NFI,5,0),1,0)*Table_NFI[[#This Row],[Winter Items Other]],Table_NFI[Winter Items Other])</f>
        <v>0</v>
      </c>
      <c r="AL288" s="378">
        <f>IF(NFI_Expiration=1,IF($A288&lt;VLOOKUP(M$5,NFI,5,0),1,0)*Table_NFI[[#This Row],[Winter Blanket]],Table_NFI[[#This Row],[Winter Blanket]])</f>
        <v>0</v>
      </c>
      <c r="AM288" s="378">
        <f>IF(Table_NFI[[#This Row],[Winter Clothes Adult]]+Table_NFI[[#This Row],[Winter Clothes Children]]+Table_NFI[[#This Row],[Winter Items Other]]+Table_NFI[[#This Row],[Winter Blanket]]&gt;0,1,0)</f>
        <v>1</v>
      </c>
      <c r="AN288" s="418">
        <f>IF(NFI_Expiration=1,IF($A288&lt;VLOOKUP(V$5,NFI,5,0),1,0)*Table_NFI[[#This Row],[Jerry Can]],Table_NFI[Jerry Can])</f>
        <v>0</v>
      </c>
      <c r="AO288" s="579" t="str">
        <f>IFERROR(VLOOKUP(Table_NFI[[#This Row],[Camp Name]],CL,2,0),"")</f>
        <v>MMR001CMP167</v>
      </c>
      <c r="AP288" s="574">
        <f ca="1">IF(Table_NFI[[#This Row],[Pcode]]="","",IF(OFFSET(CampList[Opening Date],MATCH(Table_NFI[[#This Row],[Pcode]],CampList[CP_Pcode],0)-1,0,1,1)&gt;=NFI_Monitor_Date,1,0))</f>
        <v>0</v>
      </c>
      <c r="AQ288" s="579" t="str">
        <f>IFERROR(VLOOKUP(Table_NFI[[#This Row],[Camp Name]],CL,3,0),"")</f>
        <v>Open</v>
      </c>
      <c r="AR288" s="378" t="str">
        <f ca="1">IF(Table_NFI[[#This Row],[Pcode]]="","",OFFSET(CampList[Priority],MATCH(Table_NFI[[#This Row],[Pcode]],CampList[CP_Pcode],0)-1,0,1,1))</f>
        <v>P4</v>
      </c>
      <c r="AS288" s="377">
        <f>IFERROR(Table_NFI[[#This Row],[Kitchen Set]]/VLOOKUP(Table_NFI[[#This Row],[Camp Name]],CL,4,0),"")</f>
        <v>0</v>
      </c>
      <c r="AT288" s="572"/>
      <c r="AU288" s="575"/>
    </row>
    <row r="289" spans="1:47" s="576" customFormat="1" x14ac:dyDescent="0.25">
      <c r="A289" s="381">
        <f t="shared" si="4"/>
        <v>20.3</v>
      </c>
      <c r="B289" s="571">
        <v>41913</v>
      </c>
      <c r="C289" s="572" t="s">
        <v>454</v>
      </c>
      <c r="D289" s="577" t="s">
        <v>507</v>
      </c>
      <c r="E289" s="577" t="s">
        <v>380</v>
      </c>
      <c r="F289" s="577" t="s">
        <v>529</v>
      </c>
      <c r="G289" s="577" t="s">
        <v>92</v>
      </c>
      <c r="H289" s="376"/>
      <c r="I289" s="376"/>
      <c r="J289" s="376"/>
      <c r="K289" s="376">
        <v>16</v>
      </c>
      <c r="L289" s="376"/>
      <c r="M289" s="376"/>
      <c r="N289" s="376"/>
      <c r="O289" s="376"/>
      <c r="P289" s="378"/>
      <c r="Q289" s="378"/>
      <c r="R289" s="378"/>
      <c r="S289" s="378"/>
      <c r="T289" s="378"/>
      <c r="U289" s="378"/>
      <c r="V289" s="533"/>
      <c r="W289" s="378"/>
      <c r="X289" s="378"/>
      <c r="Y289" s="378">
        <f>IF(NFI_Expiration=1,IF($A289&lt;VLOOKUP(H$5,NFI,5,0),1,0)*Table_NFI[[#This Row],[Hygiene Kit]],Table_NFI[Hygiene Kit])</f>
        <v>0</v>
      </c>
      <c r="Z289" s="378">
        <f>IF(NFI_Expiration=1,IF($A289&lt;VLOOKUP(I$5,NFI,5,0),1,0)*Table_NFI[[#This Row],[NFI Core Kit]],Table_NFI[NFI Core Kit])</f>
        <v>0</v>
      </c>
      <c r="AA289" s="378">
        <f>IF(NFI_Expiration=1,IF($A289&lt;VLOOKUP(J$5,NFI,5,0),1,0)*Table_NFI[[#This Row],[Sanitary Kit]],Table_NFI[Sanitary Kit])</f>
        <v>0</v>
      </c>
      <c r="AB289" s="378">
        <f>IF(NFI_Expiration=1,IF($A289&lt;VLOOKUP(K$5,NFI,5,0),1,0)*Table_NFI[[#This Row],[Mosquito net]],Table_NFI[Mosquito net])</f>
        <v>0</v>
      </c>
      <c r="AC289" s="378">
        <f>IF(NFI_Expiration=1,IF($A289&lt;VLOOKUP(L$5,NFI,5,0),1,0)*Table_NFI[[#This Row],[Tarpaulin]],Table_NFI[[#This Row],[Tarpaulin]])</f>
        <v>0</v>
      </c>
      <c r="AD289" s="378">
        <f>IF(NFI_Expiration=1,IF($A289&lt;VLOOKUP(M$5,NFI,5,0),1,0)*Table_NFI[[#This Row],[Blanket]],Table_NFI[[#This Row],[Blanket]])</f>
        <v>0</v>
      </c>
      <c r="AE289" s="378">
        <f>IF(NFI_Expiration=1,IF($A289&lt;VLOOKUP(N$5,NFI,5,0),1,0)*Table_NFI[[#This Row],[Kitchen Set]],Table_NFI[Kitchen Set])</f>
        <v>0</v>
      </c>
      <c r="AF289" s="378">
        <f>IF(NFI_Expiration=1,IF($A289&lt;VLOOKUP(O$5,NFI,5,0),1,0)*Table_NFI[[#This Row],[Clothes Kit]],Table_NFI[Clothes Kit])</f>
        <v>0</v>
      </c>
      <c r="AG289" s="378">
        <f>IF(NFI_Expiration=1,IF($A289&lt;VLOOKUP(P$5,NFI,5,0),1,0)*Table_NFI[[#This Row],[Plastic Bucket]],Table_NFI[Plastic Bucket])</f>
        <v>0</v>
      </c>
      <c r="AH289" s="378">
        <f>IF(NFI_Expiration=1,IF($A289&lt;VLOOKUP(Q$5,NFI,5,0),1,0)*Table_NFI[[#This Row],[Plastic Mat]],Table_NFI[Plastic Mat])*IF(Table_NFI[[#This Row],[Distribution Date]]&gt;"2014-04-01",1,2.5)</f>
        <v>0</v>
      </c>
      <c r="AI289" s="378">
        <f>IF(NFI_Expiration=1,IF($A289&lt;VLOOKUP(R$5,NFI,5,0),1,0)*Table_NFI[[#This Row],[Winter Clothes Adult]],Table_NFI[Winter Clothes Adult])</f>
        <v>0</v>
      </c>
      <c r="AJ289" s="378">
        <f>IF(NFI_Expiration=1,IF($A289&lt;VLOOKUP(S$5,NFI,5,0),1,0)*Table_NFI[[#This Row],[Winter Clothes Children]],Table_NFI[Winter Clothes Children])</f>
        <v>0</v>
      </c>
      <c r="AK289" s="378">
        <f>IF(NFI_Expiration=1,IF($A289&lt;VLOOKUP(T$5,NFI,5,0),1,0)*Table_NFI[[#This Row],[Winter Items Other]],Table_NFI[Winter Items Other])</f>
        <v>0</v>
      </c>
      <c r="AL289" s="378">
        <f>IF(NFI_Expiration=1,IF($A289&lt;VLOOKUP(M$5,NFI,5,0),1,0)*Table_NFI[[#This Row],[Winter Blanket]],Table_NFI[[#This Row],[Winter Blanket]])</f>
        <v>0</v>
      </c>
      <c r="AM289" s="378">
        <f>IF(Table_NFI[[#This Row],[Winter Clothes Adult]]+Table_NFI[[#This Row],[Winter Clothes Children]]+Table_NFI[[#This Row],[Winter Items Other]]+Table_NFI[[#This Row],[Winter Blanket]]&gt;0,1,0)</f>
        <v>0</v>
      </c>
      <c r="AN289" s="418">
        <f>IF(NFI_Expiration=1,IF($A289&lt;VLOOKUP(V$5,NFI,5,0),1,0)*Table_NFI[[#This Row],[Jerry Can]],Table_NFI[Jerry Can])</f>
        <v>0</v>
      </c>
      <c r="AO289" s="579" t="str">
        <f>IFERROR(VLOOKUP(Table_NFI[[#This Row],[Camp Name]],CL,2,0),"")</f>
        <v>MMR001CMP167</v>
      </c>
      <c r="AP289" s="574">
        <f ca="1">IF(Table_NFI[[#This Row],[Pcode]]="","",IF(OFFSET(CampList[Opening Date],MATCH(Table_NFI[[#This Row],[Pcode]],CampList[CP_Pcode],0)-1,0,1,1)&gt;=NFI_Monitor_Date,1,0))</f>
        <v>0</v>
      </c>
      <c r="AQ289" s="579" t="str">
        <f>IFERROR(VLOOKUP(Table_NFI[[#This Row],[Camp Name]],CL,3,0),"")</f>
        <v>Open</v>
      </c>
      <c r="AR289" s="378" t="str">
        <f ca="1">IF(Table_NFI[[#This Row],[Pcode]]="","",OFFSET(CampList[Priority],MATCH(Table_NFI[[#This Row],[Pcode]],CampList[CP_Pcode],0)-1,0,1,1))</f>
        <v>P4</v>
      </c>
      <c r="AS289" s="377">
        <f>IFERROR(Table_NFI[[#This Row],[Kitchen Set]]/VLOOKUP(Table_NFI[[#This Row],[Camp Name]],CL,4,0),"")</f>
        <v>0</v>
      </c>
      <c r="AT289" s="577"/>
      <c r="AU289" s="580"/>
    </row>
    <row r="290" spans="1:47" s="576" customFormat="1" x14ac:dyDescent="0.25">
      <c r="A290" s="381">
        <f t="shared" si="4"/>
        <v>38.966666666666669</v>
      </c>
      <c r="B290" s="571">
        <v>41353</v>
      </c>
      <c r="C290" s="572" t="s">
        <v>454</v>
      </c>
      <c r="D290" s="573" t="s">
        <v>454</v>
      </c>
      <c r="E290" s="572" t="s">
        <v>380</v>
      </c>
      <c r="F290" s="374" t="s">
        <v>529</v>
      </c>
      <c r="G290" s="374" t="s">
        <v>92</v>
      </c>
      <c r="H290" s="375"/>
      <c r="I290" s="375"/>
      <c r="J290" s="375">
        <v>32</v>
      </c>
      <c r="K290" s="375">
        <v>27</v>
      </c>
      <c r="L290" s="376">
        <v>27</v>
      </c>
      <c r="M290" s="376">
        <v>66</v>
      </c>
      <c r="N290" s="376">
        <v>27</v>
      </c>
      <c r="O290" s="376">
        <v>66</v>
      </c>
      <c r="P290" s="378">
        <v>66</v>
      </c>
      <c r="Q290" s="378">
        <v>66</v>
      </c>
      <c r="R290" s="378"/>
      <c r="S290" s="378"/>
      <c r="T290" s="378"/>
      <c r="U290" s="378"/>
      <c r="V290" s="533"/>
      <c r="W290" s="378"/>
      <c r="X290" s="378"/>
      <c r="Y290" s="378">
        <f>IF(NFI_Expiration=1,IF($A290&lt;VLOOKUP(H$5,NFI,5,0),1,0)*Table_NFI[[#This Row],[Hygiene Kit]],Table_NFI[Hygiene Kit])</f>
        <v>0</v>
      </c>
      <c r="Z290" s="378">
        <f>IF(NFI_Expiration=1,IF($A290&lt;VLOOKUP(I$5,NFI,5,0),1,0)*Table_NFI[[#This Row],[NFI Core Kit]],Table_NFI[NFI Core Kit])</f>
        <v>0</v>
      </c>
      <c r="AA290" s="378">
        <f>IF(NFI_Expiration=1,IF($A290&lt;VLOOKUP(J$5,NFI,5,0),1,0)*Table_NFI[[#This Row],[Sanitary Kit]],Table_NFI[Sanitary Kit])</f>
        <v>0</v>
      </c>
      <c r="AB290" s="378">
        <f>IF(NFI_Expiration=1,IF($A290&lt;VLOOKUP(K$5,NFI,5,0),1,0)*Table_NFI[[#This Row],[Mosquito net]],Table_NFI[Mosquito net])</f>
        <v>0</v>
      </c>
      <c r="AC290" s="378">
        <f>IF(NFI_Expiration=1,IF($A290&lt;VLOOKUP(L$5,NFI,5,0),1,0)*Table_NFI[[#This Row],[Tarpaulin]],Table_NFI[[#This Row],[Tarpaulin]])</f>
        <v>0</v>
      </c>
      <c r="AD290" s="378">
        <f>IF(NFI_Expiration=1,IF($A290&lt;VLOOKUP(M$5,NFI,5,0),1,0)*Table_NFI[[#This Row],[Blanket]],Table_NFI[[#This Row],[Blanket]])</f>
        <v>0</v>
      </c>
      <c r="AE290" s="378">
        <f>IF(NFI_Expiration=1,IF($A290&lt;VLOOKUP(N$5,NFI,5,0),1,0)*Table_NFI[[#This Row],[Kitchen Set]],Table_NFI[Kitchen Set])</f>
        <v>0</v>
      </c>
      <c r="AF290" s="378">
        <f>IF(NFI_Expiration=1,IF($A290&lt;VLOOKUP(O$5,NFI,5,0),1,0)*Table_NFI[[#This Row],[Clothes Kit]],Table_NFI[Clothes Kit])</f>
        <v>0</v>
      </c>
      <c r="AG290" s="378">
        <f>IF(NFI_Expiration=1,IF($A290&lt;VLOOKUP(P$5,NFI,5,0),1,0)*Table_NFI[[#This Row],[Plastic Bucket]],Table_NFI[Plastic Bucket])</f>
        <v>0</v>
      </c>
      <c r="AH290" s="378">
        <f>IF(NFI_Expiration=1,IF($A290&lt;VLOOKUP(Q$5,NFI,5,0),1,0)*Table_NFI[[#This Row],[Plastic Mat]],Table_NFI[Plastic Mat])*IF(Table_NFI[[#This Row],[Distribution Date]]&gt;"2014-04-01",1,2.5)</f>
        <v>0</v>
      </c>
      <c r="AI290" s="378">
        <f>IF(NFI_Expiration=1,IF($A290&lt;VLOOKUP(R$5,NFI,5,0),1,0)*Table_NFI[[#This Row],[Winter Clothes Adult]],Table_NFI[Winter Clothes Adult])</f>
        <v>0</v>
      </c>
      <c r="AJ290" s="378">
        <f>IF(NFI_Expiration=1,IF($A290&lt;VLOOKUP(S$5,NFI,5,0),1,0)*Table_NFI[[#This Row],[Winter Clothes Children]],Table_NFI[Winter Clothes Children])</f>
        <v>0</v>
      </c>
      <c r="AK290" s="378">
        <f>IF(NFI_Expiration=1,IF($A290&lt;VLOOKUP(T$5,NFI,5,0),1,0)*Table_NFI[[#This Row],[Winter Items Other]],Table_NFI[Winter Items Other])</f>
        <v>0</v>
      </c>
      <c r="AL290" s="378">
        <f>IF(NFI_Expiration=1,IF($A290&lt;VLOOKUP(M$5,NFI,5,0),1,0)*Table_NFI[[#This Row],[Winter Blanket]],Table_NFI[[#This Row],[Winter Blanket]])</f>
        <v>0</v>
      </c>
      <c r="AM290" s="378">
        <f>IF(Table_NFI[[#This Row],[Winter Clothes Adult]]+Table_NFI[[#This Row],[Winter Clothes Children]]+Table_NFI[[#This Row],[Winter Items Other]]+Table_NFI[[#This Row],[Winter Blanket]]&gt;0,1,0)</f>
        <v>0</v>
      </c>
      <c r="AN290" s="418">
        <f>IF(NFI_Expiration=1,IF($A290&lt;VLOOKUP(V$5,NFI,5,0),1,0)*Table_NFI[[#This Row],[Jerry Can]],Table_NFI[Jerry Can])</f>
        <v>0</v>
      </c>
      <c r="AO290" s="579" t="str">
        <f>IFERROR(VLOOKUP(Table_NFI[[#This Row],[Camp Name]],CL,2,0),"")</f>
        <v>MMR001CMP167</v>
      </c>
      <c r="AP290" s="574">
        <f ca="1">IF(Table_NFI[[#This Row],[Pcode]]="","",IF(OFFSET(CampList[Opening Date],MATCH(Table_NFI[[#This Row],[Pcode]],CampList[CP_Pcode],0)-1,0,1,1)&gt;=NFI_Monitor_Date,1,0))</f>
        <v>0</v>
      </c>
      <c r="AQ290" s="579" t="str">
        <f>IFERROR(VLOOKUP(Table_NFI[[#This Row],[Camp Name]],CL,3,0),"")</f>
        <v>Open</v>
      </c>
      <c r="AR290" s="378" t="str">
        <f ca="1">IF(Table_NFI[[#This Row],[Pcode]]="","",OFFSET(CampList[Priority],MATCH(Table_NFI[[#This Row],[Pcode]],CampList[CP_Pcode],0)-1,0,1,1))</f>
        <v>P4</v>
      </c>
      <c r="AS290" s="377">
        <f>IFERROR(Table_NFI[[#This Row],[Kitchen Set]]/VLOOKUP(Table_NFI[[#This Row],[Camp Name]],CL,4,0),"")</f>
        <v>1.8</v>
      </c>
      <c r="AT290" s="572" t="s">
        <v>1095</v>
      </c>
      <c r="AU290" s="575"/>
    </row>
    <row r="291" spans="1:47" s="576" customFormat="1" x14ac:dyDescent="0.25">
      <c r="A291" s="381">
        <f t="shared" si="4"/>
        <v>39.9</v>
      </c>
      <c r="B291" s="571">
        <v>41325</v>
      </c>
      <c r="C291" s="572" t="s">
        <v>454</v>
      </c>
      <c r="D291" s="572" t="s">
        <v>454</v>
      </c>
      <c r="E291" s="572" t="s">
        <v>380</v>
      </c>
      <c r="F291" s="374" t="s">
        <v>529</v>
      </c>
      <c r="G291" s="374" t="s">
        <v>92</v>
      </c>
      <c r="H291" s="375"/>
      <c r="I291" s="375"/>
      <c r="J291" s="375">
        <v>12</v>
      </c>
      <c r="K291" s="375">
        <v>20</v>
      </c>
      <c r="L291" s="376">
        <v>8</v>
      </c>
      <c r="M291" s="376">
        <v>20</v>
      </c>
      <c r="N291" s="376">
        <v>8</v>
      </c>
      <c r="O291" s="376">
        <v>8</v>
      </c>
      <c r="P291" s="378">
        <v>8</v>
      </c>
      <c r="Q291" s="378">
        <v>8</v>
      </c>
      <c r="R291" s="378"/>
      <c r="S291" s="378"/>
      <c r="T291" s="378"/>
      <c r="U291" s="378"/>
      <c r="V291" s="533"/>
      <c r="W291" s="378"/>
      <c r="X291" s="378"/>
      <c r="Y291" s="378">
        <f>IF(NFI_Expiration=1,IF($A291&lt;VLOOKUP(H$5,NFI,5,0),1,0)*Table_NFI[[#This Row],[Hygiene Kit]],Table_NFI[Hygiene Kit])</f>
        <v>0</v>
      </c>
      <c r="Z291" s="378">
        <f>IF(NFI_Expiration=1,IF($A291&lt;VLOOKUP(I$5,NFI,5,0),1,0)*Table_NFI[[#This Row],[NFI Core Kit]],Table_NFI[NFI Core Kit])</f>
        <v>0</v>
      </c>
      <c r="AA291" s="378">
        <f>IF(NFI_Expiration=1,IF($A291&lt;VLOOKUP(J$5,NFI,5,0),1,0)*Table_NFI[[#This Row],[Sanitary Kit]],Table_NFI[Sanitary Kit])</f>
        <v>0</v>
      </c>
      <c r="AB291" s="378">
        <f>IF(NFI_Expiration=1,IF($A291&lt;VLOOKUP(K$5,NFI,5,0),1,0)*Table_NFI[[#This Row],[Mosquito net]],Table_NFI[Mosquito net])</f>
        <v>0</v>
      </c>
      <c r="AC291" s="378">
        <f>IF(NFI_Expiration=1,IF($A291&lt;VLOOKUP(L$5,NFI,5,0),1,0)*Table_NFI[[#This Row],[Tarpaulin]],Table_NFI[[#This Row],[Tarpaulin]])</f>
        <v>0</v>
      </c>
      <c r="AD291" s="378">
        <f>IF(NFI_Expiration=1,IF($A291&lt;VLOOKUP(M$5,NFI,5,0),1,0)*Table_NFI[[#This Row],[Blanket]],Table_NFI[[#This Row],[Blanket]])</f>
        <v>0</v>
      </c>
      <c r="AE291" s="378">
        <f>IF(NFI_Expiration=1,IF($A291&lt;VLOOKUP(N$5,NFI,5,0),1,0)*Table_NFI[[#This Row],[Kitchen Set]],Table_NFI[Kitchen Set])</f>
        <v>0</v>
      </c>
      <c r="AF291" s="378">
        <f>IF(NFI_Expiration=1,IF($A291&lt;VLOOKUP(O$5,NFI,5,0),1,0)*Table_NFI[[#This Row],[Clothes Kit]],Table_NFI[Clothes Kit])</f>
        <v>0</v>
      </c>
      <c r="AG291" s="378">
        <f>IF(NFI_Expiration=1,IF($A291&lt;VLOOKUP(P$5,NFI,5,0),1,0)*Table_NFI[[#This Row],[Plastic Bucket]],Table_NFI[Plastic Bucket])</f>
        <v>0</v>
      </c>
      <c r="AH291" s="378">
        <f>IF(NFI_Expiration=1,IF($A291&lt;VLOOKUP(Q$5,NFI,5,0),1,0)*Table_NFI[[#This Row],[Plastic Mat]],Table_NFI[Plastic Mat])*IF(Table_NFI[[#This Row],[Distribution Date]]&gt;"2014-04-01",1,2.5)</f>
        <v>0</v>
      </c>
      <c r="AI291" s="378">
        <f>IF(NFI_Expiration=1,IF($A291&lt;VLOOKUP(R$5,NFI,5,0),1,0)*Table_NFI[[#This Row],[Winter Clothes Adult]],Table_NFI[Winter Clothes Adult])</f>
        <v>0</v>
      </c>
      <c r="AJ291" s="378">
        <f>IF(NFI_Expiration=1,IF($A291&lt;VLOOKUP(S$5,NFI,5,0),1,0)*Table_NFI[[#This Row],[Winter Clothes Children]],Table_NFI[Winter Clothes Children])</f>
        <v>0</v>
      </c>
      <c r="AK291" s="378">
        <f>IF(NFI_Expiration=1,IF($A291&lt;VLOOKUP(T$5,NFI,5,0),1,0)*Table_NFI[[#This Row],[Winter Items Other]],Table_NFI[Winter Items Other])</f>
        <v>0</v>
      </c>
      <c r="AL291" s="378">
        <f>IF(NFI_Expiration=1,IF($A291&lt;VLOOKUP(M$5,NFI,5,0),1,0)*Table_NFI[[#This Row],[Winter Blanket]],Table_NFI[[#This Row],[Winter Blanket]])</f>
        <v>0</v>
      </c>
      <c r="AM291" s="378">
        <f>IF(Table_NFI[[#This Row],[Winter Clothes Adult]]+Table_NFI[[#This Row],[Winter Clothes Children]]+Table_NFI[[#This Row],[Winter Items Other]]+Table_NFI[[#This Row],[Winter Blanket]]&gt;0,1,0)</f>
        <v>0</v>
      </c>
      <c r="AN291" s="418">
        <f>IF(NFI_Expiration=1,IF($A291&lt;VLOOKUP(V$5,NFI,5,0),1,0)*Table_NFI[[#This Row],[Jerry Can]],Table_NFI[Jerry Can])</f>
        <v>0</v>
      </c>
      <c r="AO291" s="579" t="str">
        <f>IFERROR(VLOOKUP(Table_NFI[[#This Row],[Camp Name]],CL,2,0),"")</f>
        <v>MMR001CMP167</v>
      </c>
      <c r="AP291" s="574">
        <f ca="1">IF(Table_NFI[[#This Row],[Pcode]]="","",IF(OFFSET(CampList[Opening Date],MATCH(Table_NFI[[#This Row],[Pcode]],CampList[CP_Pcode],0)-1,0,1,1)&gt;=NFI_Monitor_Date,1,0))</f>
        <v>0</v>
      </c>
      <c r="AQ291" s="579" t="str">
        <f>IFERROR(VLOOKUP(Table_NFI[[#This Row],[Camp Name]],CL,3,0),"")</f>
        <v>Open</v>
      </c>
      <c r="AR291" s="378" t="str">
        <f ca="1">IF(Table_NFI[[#This Row],[Pcode]]="","",OFFSET(CampList[Priority],MATCH(Table_NFI[[#This Row],[Pcode]],CampList[CP_Pcode],0)-1,0,1,1))</f>
        <v>P4</v>
      </c>
      <c r="AS291" s="377">
        <f>IFERROR(Table_NFI[[#This Row],[Kitchen Set]]/VLOOKUP(Table_NFI[[#This Row],[Camp Name]],CL,4,0),"")</f>
        <v>0.53333333333333333</v>
      </c>
      <c r="AT291" s="572" t="s">
        <v>1095</v>
      </c>
      <c r="AU291" s="575"/>
    </row>
    <row r="292" spans="1:47" s="576" customFormat="1" x14ac:dyDescent="0.25">
      <c r="A292" s="381">
        <f t="shared" si="4"/>
        <v>41.6</v>
      </c>
      <c r="B292" s="571">
        <v>41274</v>
      </c>
      <c r="C292" s="572" t="s">
        <v>455</v>
      </c>
      <c r="D292" s="573" t="s">
        <v>455</v>
      </c>
      <c r="E292" s="572" t="s">
        <v>380</v>
      </c>
      <c r="F292" s="374" t="s">
        <v>529</v>
      </c>
      <c r="G292" s="374" t="s">
        <v>92</v>
      </c>
      <c r="H292" s="375">
        <v>1</v>
      </c>
      <c r="I292" s="375"/>
      <c r="J292" s="375"/>
      <c r="K292" s="375"/>
      <c r="L292" s="376"/>
      <c r="M292" s="376"/>
      <c r="N292" s="376"/>
      <c r="O292" s="376"/>
      <c r="P292" s="378">
        <v>0</v>
      </c>
      <c r="Q292" s="378">
        <v>0</v>
      </c>
      <c r="R292" s="378"/>
      <c r="S292" s="378"/>
      <c r="T292" s="378"/>
      <c r="U292" s="378"/>
      <c r="V292" s="533"/>
      <c r="W292" s="378"/>
      <c r="X292" s="378"/>
      <c r="Y292" s="378">
        <f>IF(NFI_Expiration=1,IF($A292&lt;VLOOKUP(H$5,NFI,5,0),1,0)*Table_NFI[[#This Row],[Hygiene Kit]],Table_NFI[Hygiene Kit])</f>
        <v>0</v>
      </c>
      <c r="Z292" s="378">
        <f>IF(NFI_Expiration=1,IF($A292&lt;VLOOKUP(I$5,NFI,5,0),1,0)*Table_NFI[[#This Row],[NFI Core Kit]],Table_NFI[NFI Core Kit])</f>
        <v>0</v>
      </c>
      <c r="AA292" s="378">
        <f>IF(NFI_Expiration=1,IF($A292&lt;VLOOKUP(J$5,NFI,5,0),1,0)*Table_NFI[[#This Row],[Sanitary Kit]],Table_NFI[Sanitary Kit])</f>
        <v>0</v>
      </c>
      <c r="AB292" s="378">
        <f>IF(NFI_Expiration=1,IF($A292&lt;VLOOKUP(K$5,NFI,5,0),1,0)*Table_NFI[[#This Row],[Mosquito net]],Table_NFI[Mosquito net])</f>
        <v>0</v>
      </c>
      <c r="AC292" s="378">
        <f>IF(NFI_Expiration=1,IF($A292&lt;VLOOKUP(L$5,NFI,5,0),1,0)*Table_NFI[[#This Row],[Tarpaulin]],Table_NFI[[#This Row],[Tarpaulin]])</f>
        <v>0</v>
      </c>
      <c r="AD292" s="378">
        <f>IF(NFI_Expiration=1,IF($A292&lt;VLOOKUP(M$5,NFI,5,0),1,0)*Table_NFI[[#This Row],[Blanket]],Table_NFI[[#This Row],[Blanket]])</f>
        <v>0</v>
      </c>
      <c r="AE292" s="378">
        <f>IF(NFI_Expiration=1,IF($A292&lt;VLOOKUP(N$5,NFI,5,0),1,0)*Table_NFI[[#This Row],[Kitchen Set]],Table_NFI[Kitchen Set])</f>
        <v>0</v>
      </c>
      <c r="AF292" s="378">
        <f>IF(NFI_Expiration=1,IF($A292&lt;VLOOKUP(O$5,NFI,5,0),1,0)*Table_NFI[[#This Row],[Clothes Kit]],Table_NFI[Clothes Kit])</f>
        <v>0</v>
      </c>
      <c r="AG292" s="378">
        <f>IF(NFI_Expiration=1,IF($A292&lt;VLOOKUP(P$5,NFI,5,0),1,0)*Table_NFI[[#This Row],[Plastic Bucket]],Table_NFI[Plastic Bucket])</f>
        <v>0</v>
      </c>
      <c r="AH292" s="378">
        <f>IF(NFI_Expiration=1,IF($A292&lt;VLOOKUP(Q$5,NFI,5,0),1,0)*Table_NFI[[#This Row],[Plastic Mat]],Table_NFI[Plastic Mat])*IF(Table_NFI[[#This Row],[Distribution Date]]&gt;"2014-04-01",1,2.5)</f>
        <v>0</v>
      </c>
      <c r="AI292" s="378">
        <f>IF(NFI_Expiration=1,IF($A292&lt;VLOOKUP(R$5,NFI,5,0),1,0)*Table_NFI[[#This Row],[Winter Clothes Adult]],Table_NFI[Winter Clothes Adult])</f>
        <v>0</v>
      </c>
      <c r="AJ292" s="378">
        <f>IF(NFI_Expiration=1,IF($A292&lt;VLOOKUP(S$5,NFI,5,0),1,0)*Table_NFI[[#This Row],[Winter Clothes Children]],Table_NFI[Winter Clothes Children])</f>
        <v>0</v>
      </c>
      <c r="AK292" s="378">
        <f>IF(NFI_Expiration=1,IF($A292&lt;VLOOKUP(T$5,NFI,5,0),1,0)*Table_NFI[[#This Row],[Winter Items Other]],Table_NFI[Winter Items Other])</f>
        <v>0</v>
      </c>
      <c r="AL292" s="378">
        <f>IF(NFI_Expiration=1,IF($A292&lt;VLOOKUP(M$5,NFI,5,0),1,0)*Table_NFI[[#This Row],[Winter Blanket]],Table_NFI[[#This Row],[Winter Blanket]])</f>
        <v>0</v>
      </c>
      <c r="AM292" s="378">
        <f>IF(Table_NFI[[#This Row],[Winter Clothes Adult]]+Table_NFI[[#This Row],[Winter Clothes Children]]+Table_NFI[[#This Row],[Winter Items Other]]+Table_NFI[[#This Row],[Winter Blanket]]&gt;0,1,0)</f>
        <v>0</v>
      </c>
      <c r="AN292" s="418">
        <f>IF(NFI_Expiration=1,IF($A292&lt;VLOOKUP(V$5,NFI,5,0),1,0)*Table_NFI[[#This Row],[Jerry Can]],Table_NFI[Jerry Can])</f>
        <v>0</v>
      </c>
      <c r="AO292" s="579" t="str">
        <f>IFERROR(VLOOKUP(Table_NFI[[#This Row],[Camp Name]],CL,2,0),"")</f>
        <v>MMR001CMP167</v>
      </c>
      <c r="AP292" s="574">
        <f ca="1">IF(Table_NFI[[#This Row],[Pcode]]="","",IF(OFFSET(CampList[Opening Date],MATCH(Table_NFI[[#This Row],[Pcode]],CampList[CP_Pcode],0)-1,0,1,1)&gt;=NFI_Monitor_Date,1,0))</f>
        <v>0</v>
      </c>
      <c r="AQ292" s="579" t="str">
        <f>IFERROR(VLOOKUP(Table_NFI[[#This Row],[Camp Name]],CL,3,0),"")</f>
        <v>Open</v>
      </c>
      <c r="AR292" s="378" t="str">
        <f ca="1">IF(Table_NFI[[#This Row],[Pcode]]="","",OFFSET(CampList[Priority],MATCH(Table_NFI[[#This Row],[Pcode]],CampList[CP_Pcode],0)-1,0,1,1))</f>
        <v>P4</v>
      </c>
      <c r="AS292" s="377">
        <f>IFERROR(Table_NFI[[#This Row],[Kitchen Set]]/VLOOKUP(Table_NFI[[#This Row],[Camp Name]],CL,4,0),"")</f>
        <v>0</v>
      </c>
      <c r="AT292" s="572" t="s">
        <v>1095</v>
      </c>
      <c r="AU292" s="575"/>
    </row>
    <row r="293" spans="1:47" s="576" customFormat="1" x14ac:dyDescent="0.25">
      <c r="A293" s="615">
        <f t="shared" si="4"/>
        <v>1.8</v>
      </c>
      <c r="B293" s="571">
        <v>42468</v>
      </c>
      <c r="C293" s="572" t="s">
        <v>454</v>
      </c>
      <c r="D293" s="572" t="s">
        <v>462</v>
      </c>
      <c r="E293" s="572" t="s">
        <v>380</v>
      </c>
      <c r="F293" s="572" t="s">
        <v>5</v>
      </c>
      <c r="G293" s="572" t="s">
        <v>18</v>
      </c>
      <c r="H293" s="617"/>
      <c r="I293" s="617"/>
      <c r="J293" s="617"/>
      <c r="K293" s="617"/>
      <c r="L293" s="617">
        <v>10</v>
      </c>
      <c r="M293" s="617"/>
      <c r="N293" s="617"/>
      <c r="O293" s="617"/>
      <c r="P293" s="618"/>
      <c r="Q293" s="618"/>
      <c r="R293" s="618"/>
      <c r="S293" s="618"/>
      <c r="T293" s="618"/>
      <c r="U293" s="618"/>
      <c r="V293" s="619"/>
      <c r="W293" s="618"/>
      <c r="X293" s="618"/>
      <c r="Y293" s="618">
        <f>IF(NFI_Expiration=1,IF($A293&lt;VLOOKUP(H$5,NFI,5,0),1,0)*Table_NFI[[#This Row],[Hygiene Kit]],Table_NFI[Hygiene Kit])</f>
        <v>0</v>
      </c>
      <c r="Z293" s="618">
        <f>IF(NFI_Expiration=1,IF($A293&lt;VLOOKUP(I$5,NFI,5,0),1,0)*Table_NFI[[#This Row],[NFI Core Kit]],Table_NFI[NFI Core Kit])</f>
        <v>0</v>
      </c>
      <c r="AA293" s="618">
        <f>IF(NFI_Expiration=1,IF($A293&lt;VLOOKUP(J$5,NFI,5,0),1,0)*Table_NFI[[#This Row],[Sanitary Kit]],Table_NFI[Sanitary Kit])</f>
        <v>0</v>
      </c>
      <c r="AB293" s="618">
        <f>IF(NFI_Expiration=1,IF($A293&lt;VLOOKUP(K$5,NFI,5,0),1,0)*Table_NFI[[#This Row],[Mosquito net]],Table_NFI[Mosquito net])</f>
        <v>0</v>
      </c>
      <c r="AC293" s="618">
        <f>IF(NFI_Expiration=1,IF($A293&lt;VLOOKUP(L$5,NFI,5,0),1,0)*Table_NFI[[#This Row],[Tarpaulin]],Table_NFI[[#This Row],[Tarpaulin]])</f>
        <v>10</v>
      </c>
      <c r="AD293" s="618">
        <f>IF(NFI_Expiration=1,IF($A293&lt;VLOOKUP(M$5,NFI,5,0),1,0)*Table_NFI[[#This Row],[Blanket]],Table_NFI[[#This Row],[Blanket]])</f>
        <v>0</v>
      </c>
      <c r="AE293" s="618">
        <f>IF(NFI_Expiration=1,IF($A293&lt;VLOOKUP(N$5,NFI,5,0),1,0)*Table_NFI[[#This Row],[Kitchen Set]],Table_NFI[Kitchen Set])</f>
        <v>0</v>
      </c>
      <c r="AF293" s="618">
        <f>IF(NFI_Expiration=1,IF($A293&lt;VLOOKUP(O$5,NFI,5,0),1,0)*Table_NFI[[#This Row],[Clothes Kit]],Table_NFI[Clothes Kit])</f>
        <v>0</v>
      </c>
      <c r="AG293" s="618">
        <f>IF(NFI_Expiration=1,IF($A293&lt;VLOOKUP(P$5,NFI,5,0),1,0)*Table_NFI[[#This Row],[Plastic Bucket]],Table_NFI[Plastic Bucket])</f>
        <v>0</v>
      </c>
      <c r="AH293" s="618">
        <f>IF(NFI_Expiration=1,IF($A293&lt;VLOOKUP(Q$5,NFI,5,0),1,0)*Table_NFI[[#This Row],[Plastic Mat]],Table_NFI[Plastic Mat])*IF(Table_NFI[[#This Row],[Distribution Date]]&gt;"2014-04-01",1,2.5)</f>
        <v>0</v>
      </c>
      <c r="AI293" s="618">
        <f>IF(NFI_Expiration=1,IF($A293&lt;VLOOKUP(R$5,NFI,5,0),1,0)*Table_NFI[[#This Row],[Winter Clothes Adult]],Table_NFI[Winter Clothes Adult])</f>
        <v>0</v>
      </c>
      <c r="AJ293" s="618">
        <f>IF(NFI_Expiration=1,IF($A293&lt;VLOOKUP(S$5,NFI,5,0),1,0)*Table_NFI[[#This Row],[Winter Clothes Children]],Table_NFI[Winter Clothes Children])</f>
        <v>0</v>
      </c>
      <c r="AK293" s="618">
        <f>IF(NFI_Expiration=1,IF($A293&lt;VLOOKUP(T$5,NFI,5,0),1,0)*Table_NFI[[#This Row],[Winter Items Other]],Table_NFI[Winter Items Other])</f>
        <v>0</v>
      </c>
      <c r="AL293" s="618">
        <f>IF(NFI_Expiration=1,IF($A293&lt;VLOOKUP(M$5,NFI,5,0),1,0)*Table_NFI[[#This Row],[Winter Blanket]],Table_NFI[[#This Row],[Winter Blanket]])</f>
        <v>0</v>
      </c>
      <c r="AM293" s="618">
        <f>IF(Table_NFI[[#This Row],[Winter Clothes Adult]]+Table_NFI[[#This Row],[Winter Clothes Children]]+Table_NFI[[#This Row],[Winter Items Other]]+Table_NFI[[#This Row],[Winter Blanket]]&gt;0,1,0)</f>
        <v>0</v>
      </c>
      <c r="AN293" s="620">
        <f>IF(NFI_Expiration=1,IF($A293&lt;VLOOKUP(V$5,NFI,5,0),1,0)*Table_NFI[[#This Row],[Jerry Can]],Table_NFI[Jerry Can])</f>
        <v>0</v>
      </c>
      <c r="AO293" s="621" t="str">
        <f>IFERROR(VLOOKUP(Table_NFI[[#This Row],[Camp Name]],CL,2,0),"")</f>
        <v>MMR001CMP049</v>
      </c>
      <c r="AP293" s="622">
        <f ca="1">IF(Table_NFI[[#This Row],[Pcode]]="","",IF(OFFSET(CampList[Opening Date],MATCH(Table_NFI[[#This Row],[Pcode]],CampList[CP_Pcode],0)-1,0,1,1)&gt;=NFI_Monitor_Date,1,0))</f>
        <v>0</v>
      </c>
      <c r="AQ293" s="621" t="str">
        <f>IFERROR(VLOOKUP(Table_NFI[[#This Row],[Camp Name]],CL,3,0),"")</f>
        <v>Open</v>
      </c>
      <c r="AR293" s="618" t="str">
        <f ca="1">IF(Table_NFI[[#This Row],[Pcode]]="","",OFFSET(CampList[Priority],MATCH(Table_NFI[[#This Row],[Pcode]],CampList[CP_Pcode],0)-1,0,1,1))</f>
        <v>P4</v>
      </c>
      <c r="AS293" s="623">
        <f>IFERROR(Table_NFI[[#This Row],[Kitchen Set]]/VLOOKUP(Table_NFI[[#This Row],[Camp Name]],CL,4,0),"")</f>
        <v>0</v>
      </c>
      <c r="AT293" s="616"/>
      <c r="AU293" s="624"/>
    </row>
    <row r="294" spans="1:47" s="576" customFormat="1" x14ac:dyDescent="0.25">
      <c r="A294" s="381">
        <f t="shared" si="4"/>
        <v>22.566666666666666</v>
      </c>
      <c r="B294" s="571">
        <v>41845</v>
      </c>
      <c r="C294" s="572" t="s">
        <v>454</v>
      </c>
      <c r="D294" s="572"/>
      <c r="E294" s="572" t="s">
        <v>380</v>
      </c>
      <c r="F294" s="572" t="s">
        <v>5</v>
      </c>
      <c r="G294" s="572" t="s">
        <v>18</v>
      </c>
      <c r="H294" s="375"/>
      <c r="I294" s="375"/>
      <c r="J294" s="375"/>
      <c r="K294" s="375"/>
      <c r="L294" s="376">
        <v>7</v>
      </c>
      <c r="M294" s="376">
        <v>3</v>
      </c>
      <c r="N294" s="376"/>
      <c r="O294" s="376"/>
      <c r="P294" s="378">
        <v>4</v>
      </c>
      <c r="Q294" s="378">
        <v>9</v>
      </c>
      <c r="R294" s="378"/>
      <c r="S294" s="378"/>
      <c r="T294" s="378"/>
      <c r="U294" s="378"/>
      <c r="V294" s="533"/>
      <c r="W294" s="378"/>
      <c r="X294" s="378"/>
      <c r="Y294" s="378">
        <f>IF(NFI_Expiration=1,IF($A294&lt;VLOOKUP(H$5,NFI,5,0),1,0)*Table_NFI[[#This Row],[Hygiene Kit]],Table_NFI[Hygiene Kit])</f>
        <v>0</v>
      </c>
      <c r="Z294" s="378">
        <f>IF(NFI_Expiration=1,IF($A294&lt;VLOOKUP(I$5,NFI,5,0),1,0)*Table_NFI[[#This Row],[NFI Core Kit]],Table_NFI[NFI Core Kit])</f>
        <v>0</v>
      </c>
      <c r="AA294" s="378">
        <f>IF(NFI_Expiration=1,IF($A294&lt;VLOOKUP(J$5,NFI,5,0),1,0)*Table_NFI[[#This Row],[Sanitary Kit]],Table_NFI[Sanitary Kit])</f>
        <v>0</v>
      </c>
      <c r="AB294" s="378">
        <f>IF(NFI_Expiration=1,IF($A294&lt;VLOOKUP(K$5,NFI,5,0),1,0)*Table_NFI[[#This Row],[Mosquito net]],Table_NFI[Mosquito net])</f>
        <v>0</v>
      </c>
      <c r="AC294" s="378">
        <f>IF(NFI_Expiration=1,IF($A294&lt;VLOOKUP(L$5,NFI,5,0),1,0)*Table_NFI[[#This Row],[Tarpaulin]],Table_NFI[[#This Row],[Tarpaulin]])</f>
        <v>0</v>
      </c>
      <c r="AD294" s="378">
        <f>IF(NFI_Expiration=1,IF($A294&lt;VLOOKUP(M$5,NFI,5,0),1,0)*Table_NFI[[#This Row],[Blanket]],Table_NFI[[#This Row],[Blanket]])</f>
        <v>0</v>
      </c>
      <c r="AE294" s="378">
        <f>IF(NFI_Expiration=1,IF($A294&lt;VLOOKUP(N$5,NFI,5,0),1,0)*Table_NFI[[#This Row],[Kitchen Set]],Table_NFI[Kitchen Set])</f>
        <v>0</v>
      </c>
      <c r="AF294" s="378">
        <f>IF(NFI_Expiration=1,IF($A294&lt;VLOOKUP(O$5,NFI,5,0),1,0)*Table_NFI[[#This Row],[Clothes Kit]],Table_NFI[Clothes Kit])</f>
        <v>0</v>
      </c>
      <c r="AG294" s="378">
        <f>IF(NFI_Expiration=1,IF($A294&lt;VLOOKUP(P$5,NFI,5,0),1,0)*Table_NFI[[#This Row],[Plastic Bucket]],Table_NFI[Plastic Bucket])</f>
        <v>0</v>
      </c>
      <c r="AH294" s="378">
        <f>IF(NFI_Expiration=1,IF($A294&lt;VLOOKUP(Q$5,NFI,5,0),1,0)*Table_NFI[[#This Row],[Plastic Mat]],Table_NFI[Plastic Mat])*IF(Table_NFI[[#This Row],[Distribution Date]]&gt;"2014-04-01",1,2.5)</f>
        <v>0</v>
      </c>
      <c r="AI294" s="378">
        <f>IF(NFI_Expiration=1,IF($A294&lt;VLOOKUP(R$5,NFI,5,0),1,0)*Table_NFI[[#This Row],[Winter Clothes Adult]],Table_NFI[Winter Clothes Adult])</f>
        <v>0</v>
      </c>
      <c r="AJ294" s="378">
        <f>IF(NFI_Expiration=1,IF($A294&lt;VLOOKUP(S$5,NFI,5,0),1,0)*Table_NFI[[#This Row],[Winter Clothes Children]],Table_NFI[Winter Clothes Children])</f>
        <v>0</v>
      </c>
      <c r="AK294" s="378">
        <f>IF(NFI_Expiration=1,IF($A294&lt;VLOOKUP(T$5,NFI,5,0),1,0)*Table_NFI[[#This Row],[Winter Items Other]],Table_NFI[Winter Items Other])</f>
        <v>0</v>
      </c>
      <c r="AL294" s="378">
        <f>IF(NFI_Expiration=1,IF($A294&lt;VLOOKUP(M$5,NFI,5,0),1,0)*Table_NFI[[#This Row],[Winter Blanket]],Table_NFI[[#This Row],[Winter Blanket]])</f>
        <v>0</v>
      </c>
      <c r="AM294" s="378">
        <f>IF(Table_NFI[[#This Row],[Winter Clothes Adult]]+Table_NFI[[#This Row],[Winter Clothes Children]]+Table_NFI[[#This Row],[Winter Items Other]]+Table_NFI[[#This Row],[Winter Blanket]]&gt;0,1,0)</f>
        <v>0</v>
      </c>
      <c r="AN294" s="418">
        <f>IF(NFI_Expiration=1,IF($A294&lt;VLOOKUP(V$5,NFI,5,0),1,0)*Table_NFI[[#This Row],[Jerry Can]],Table_NFI[Jerry Can])</f>
        <v>0</v>
      </c>
      <c r="AO294" s="579" t="str">
        <f>IFERROR(VLOOKUP(Table_NFI[[#This Row],[Camp Name]],CL,2,0),"")</f>
        <v>MMR001CMP049</v>
      </c>
      <c r="AP294" s="574">
        <f ca="1">IF(Table_NFI[[#This Row],[Pcode]]="","",IF(OFFSET(CampList[Opening Date],MATCH(Table_NFI[[#This Row],[Pcode]],CampList[CP_Pcode],0)-1,0,1,1)&gt;=NFI_Monitor_Date,1,0))</f>
        <v>0</v>
      </c>
      <c r="AQ294" s="579" t="str">
        <f>IFERROR(VLOOKUP(Table_NFI[[#This Row],[Camp Name]],CL,3,0),"")</f>
        <v>Open</v>
      </c>
      <c r="AR294" s="378" t="str">
        <f ca="1">IF(Table_NFI[[#This Row],[Pcode]]="","",OFFSET(CampList[Priority],MATCH(Table_NFI[[#This Row],[Pcode]],CampList[CP_Pcode],0)-1,0,1,1))</f>
        <v>P4</v>
      </c>
      <c r="AS294" s="377">
        <f>IFERROR(Table_NFI[[#This Row],[Kitchen Set]]/VLOOKUP(Table_NFI[[#This Row],[Camp Name]],CL,4,0),"")</f>
        <v>0</v>
      </c>
      <c r="AT294" s="572"/>
      <c r="AU294" s="575"/>
    </row>
    <row r="295" spans="1:47" s="576" customFormat="1" x14ac:dyDescent="0.25">
      <c r="A295" s="381">
        <f t="shared" si="4"/>
        <v>22.7</v>
      </c>
      <c r="B295" s="571">
        <v>41841</v>
      </c>
      <c r="C295" s="572" t="s">
        <v>454</v>
      </c>
      <c r="D295" s="572"/>
      <c r="E295" s="572" t="s">
        <v>380</v>
      </c>
      <c r="F295" s="572" t="s">
        <v>5</v>
      </c>
      <c r="G295" s="572" t="s">
        <v>18</v>
      </c>
      <c r="H295" s="375"/>
      <c r="I295" s="375"/>
      <c r="J295" s="375"/>
      <c r="K295" s="375">
        <v>10</v>
      </c>
      <c r="L295" s="376">
        <v>36</v>
      </c>
      <c r="M295" s="376">
        <v>10</v>
      </c>
      <c r="N295" s="376">
        <v>5</v>
      </c>
      <c r="O295" s="376"/>
      <c r="P295" s="378">
        <v>33</v>
      </c>
      <c r="Q295" s="378">
        <v>117</v>
      </c>
      <c r="R295" s="378"/>
      <c r="S295" s="378"/>
      <c r="T295" s="378"/>
      <c r="U295" s="378"/>
      <c r="V295" s="533"/>
      <c r="W295" s="378"/>
      <c r="X295" s="378"/>
      <c r="Y295" s="378">
        <f>IF(NFI_Expiration=1,IF($A295&lt;VLOOKUP(H$5,NFI,5,0),1,0)*Table_NFI[[#This Row],[Hygiene Kit]],Table_NFI[Hygiene Kit])</f>
        <v>0</v>
      </c>
      <c r="Z295" s="378">
        <f>IF(NFI_Expiration=1,IF($A295&lt;VLOOKUP(I$5,NFI,5,0),1,0)*Table_NFI[[#This Row],[NFI Core Kit]],Table_NFI[NFI Core Kit])</f>
        <v>0</v>
      </c>
      <c r="AA295" s="378">
        <f>IF(NFI_Expiration=1,IF($A295&lt;VLOOKUP(J$5,NFI,5,0),1,0)*Table_NFI[[#This Row],[Sanitary Kit]],Table_NFI[Sanitary Kit])</f>
        <v>0</v>
      </c>
      <c r="AB295" s="378">
        <f>IF(NFI_Expiration=1,IF($A295&lt;VLOOKUP(K$5,NFI,5,0),1,0)*Table_NFI[[#This Row],[Mosquito net]],Table_NFI[Mosquito net])</f>
        <v>0</v>
      </c>
      <c r="AC295" s="378">
        <f>IF(NFI_Expiration=1,IF($A295&lt;VLOOKUP(L$5,NFI,5,0),1,0)*Table_NFI[[#This Row],[Tarpaulin]],Table_NFI[[#This Row],[Tarpaulin]])</f>
        <v>0</v>
      </c>
      <c r="AD295" s="378">
        <f>IF(NFI_Expiration=1,IF($A295&lt;VLOOKUP(M$5,NFI,5,0),1,0)*Table_NFI[[#This Row],[Blanket]],Table_NFI[[#This Row],[Blanket]])</f>
        <v>0</v>
      </c>
      <c r="AE295" s="378">
        <f>IF(NFI_Expiration=1,IF($A295&lt;VLOOKUP(N$5,NFI,5,0),1,0)*Table_NFI[[#This Row],[Kitchen Set]],Table_NFI[Kitchen Set])</f>
        <v>0</v>
      </c>
      <c r="AF295" s="378">
        <f>IF(NFI_Expiration=1,IF($A295&lt;VLOOKUP(O$5,NFI,5,0),1,0)*Table_NFI[[#This Row],[Clothes Kit]],Table_NFI[Clothes Kit])</f>
        <v>0</v>
      </c>
      <c r="AG295" s="378">
        <f>IF(NFI_Expiration=1,IF($A295&lt;VLOOKUP(P$5,NFI,5,0),1,0)*Table_NFI[[#This Row],[Plastic Bucket]],Table_NFI[Plastic Bucket])</f>
        <v>0</v>
      </c>
      <c r="AH295" s="378">
        <f>IF(NFI_Expiration=1,IF($A295&lt;VLOOKUP(Q$5,NFI,5,0),1,0)*Table_NFI[[#This Row],[Plastic Mat]],Table_NFI[Plastic Mat])*IF(Table_NFI[[#This Row],[Distribution Date]]&gt;"2014-04-01",1,2.5)</f>
        <v>0</v>
      </c>
      <c r="AI295" s="378">
        <f>IF(NFI_Expiration=1,IF($A295&lt;VLOOKUP(R$5,NFI,5,0),1,0)*Table_NFI[[#This Row],[Winter Clothes Adult]],Table_NFI[Winter Clothes Adult])</f>
        <v>0</v>
      </c>
      <c r="AJ295" s="378">
        <f>IF(NFI_Expiration=1,IF($A295&lt;VLOOKUP(S$5,NFI,5,0),1,0)*Table_NFI[[#This Row],[Winter Clothes Children]],Table_NFI[Winter Clothes Children])</f>
        <v>0</v>
      </c>
      <c r="AK295" s="378">
        <f>IF(NFI_Expiration=1,IF($A295&lt;VLOOKUP(T$5,NFI,5,0),1,0)*Table_NFI[[#This Row],[Winter Items Other]],Table_NFI[Winter Items Other])</f>
        <v>0</v>
      </c>
      <c r="AL295" s="378">
        <f>IF(NFI_Expiration=1,IF($A295&lt;VLOOKUP(M$5,NFI,5,0),1,0)*Table_NFI[[#This Row],[Winter Blanket]],Table_NFI[[#This Row],[Winter Blanket]])</f>
        <v>0</v>
      </c>
      <c r="AM295" s="378">
        <f>IF(Table_NFI[[#This Row],[Winter Clothes Adult]]+Table_NFI[[#This Row],[Winter Clothes Children]]+Table_NFI[[#This Row],[Winter Items Other]]+Table_NFI[[#This Row],[Winter Blanket]]&gt;0,1,0)</f>
        <v>0</v>
      </c>
      <c r="AN295" s="418">
        <f>IF(NFI_Expiration=1,IF($A295&lt;VLOOKUP(V$5,NFI,5,0),1,0)*Table_NFI[[#This Row],[Jerry Can]],Table_NFI[Jerry Can])</f>
        <v>0</v>
      </c>
      <c r="AO295" s="579" t="str">
        <f>IFERROR(VLOOKUP(Table_NFI[[#This Row],[Camp Name]],CL,2,0),"")</f>
        <v>MMR001CMP049</v>
      </c>
      <c r="AP295" s="574">
        <f ca="1">IF(Table_NFI[[#This Row],[Pcode]]="","",IF(OFFSET(CampList[Opening Date],MATCH(Table_NFI[[#This Row],[Pcode]],CampList[CP_Pcode],0)-1,0,1,1)&gt;=NFI_Monitor_Date,1,0))</f>
        <v>0</v>
      </c>
      <c r="AQ295" s="579" t="str">
        <f>IFERROR(VLOOKUP(Table_NFI[[#This Row],[Camp Name]],CL,3,0),"")</f>
        <v>Open</v>
      </c>
      <c r="AR295" s="378" t="str">
        <f ca="1">IF(Table_NFI[[#This Row],[Pcode]]="","",OFFSET(CampList[Priority],MATCH(Table_NFI[[#This Row],[Pcode]],CampList[CP_Pcode],0)-1,0,1,1))</f>
        <v>P4</v>
      </c>
      <c r="AS295" s="377">
        <f>IFERROR(Table_NFI[[#This Row],[Kitchen Set]]/VLOOKUP(Table_NFI[[#This Row],[Camp Name]],CL,4,0),"")</f>
        <v>4.3103448275862072E-2</v>
      </c>
      <c r="AT295" s="572"/>
      <c r="AU295" s="575"/>
    </row>
    <row r="296" spans="1:47" s="576" customFormat="1" x14ac:dyDescent="0.25">
      <c r="A296" s="381">
        <f t="shared" si="4"/>
        <v>30.466666666666665</v>
      </c>
      <c r="B296" s="571">
        <v>41608</v>
      </c>
      <c r="C296" s="572" t="s">
        <v>1100</v>
      </c>
      <c r="D296" s="573" t="s">
        <v>947</v>
      </c>
      <c r="E296" s="572" t="s">
        <v>380</v>
      </c>
      <c r="F296" s="374" t="s">
        <v>5</v>
      </c>
      <c r="G296" s="374" t="s">
        <v>18</v>
      </c>
      <c r="H296" s="375"/>
      <c r="I296" s="375"/>
      <c r="J296" s="375"/>
      <c r="K296" s="375"/>
      <c r="L296" s="376"/>
      <c r="M296" s="376">
        <v>206</v>
      </c>
      <c r="N296" s="376"/>
      <c r="O296" s="376"/>
      <c r="P296" s="378"/>
      <c r="Q296" s="378"/>
      <c r="R296" s="378">
        <v>242</v>
      </c>
      <c r="S296" s="378">
        <v>156</v>
      </c>
      <c r="T296" s="378">
        <v>0</v>
      </c>
      <c r="U296" s="378"/>
      <c r="V296" s="533"/>
      <c r="W296" s="378"/>
      <c r="X296" s="378"/>
      <c r="Y296" s="378">
        <f>IF(NFI_Expiration=1,IF($A296&lt;VLOOKUP(H$5,NFI,5,0),1,0)*Table_NFI[[#This Row],[Hygiene Kit]],Table_NFI[Hygiene Kit])</f>
        <v>0</v>
      </c>
      <c r="Z296" s="378">
        <f>IF(NFI_Expiration=1,IF($A296&lt;VLOOKUP(I$5,NFI,5,0),1,0)*Table_NFI[[#This Row],[NFI Core Kit]],Table_NFI[NFI Core Kit])</f>
        <v>0</v>
      </c>
      <c r="AA296" s="378">
        <f>IF(NFI_Expiration=1,IF($A296&lt;VLOOKUP(J$5,NFI,5,0),1,0)*Table_NFI[[#This Row],[Sanitary Kit]],Table_NFI[Sanitary Kit])</f>
        <v>0</v>
      </c>
      <c r="AB296" s="378">
        <f>IF(NFI_Expiration=1,IF($A296&lt;VLOOKUP(K$5,NFI,5,0),1,0)*Table_NFI[[#This Row],[Mosquito net]],Table_NFI[Mosquito net])</f>
        <v>0</v>
      </c>
      <c r="AC296" s="378">
        <f>IF(NFI_Expiration=1,IF($A296&lt;VLOOKUP(L$5,NFI,5,0),1,0)*Table_NFI[[#This Row],[Tarpaulin]],Table_NFI[[#This Row],[Tarpaulin]])</f>
        <v>0</v>
      </c>
      <c r="AD296" s="378">
        <f>IF(NFI_Expiration=1,IF($A296&lt;VLOOKUP(M$5,NFI,5,0),1,0)*Table_NFI[[#This Row],[Blanket]],Table_NFI[[#This Row],[Blanket]])</f>
        <v>0</v>
      </c>
      <c r="AE296" s="378">
        <f>IF(NFI_Expiration=1,IF($A296&lt;VLOOKUP(N$5,NFI,5,0),1,0)*Table_NFI[[#This Row],[Kitchen Set]],Table_NFI[Kitchen Set])</f>
        <v>0</v>
      </c>
      <c r="AF296" s="378">
        <f>IF(NFI_Expiration=1,IF($A296&lt;VLOOKUP(O$5,NFI,5,0),1,0)*Table_NFI[[#This Row],[Clothes Kit]],Table_NFI[Clothes Kit])</f>
        <v>0</v>
      </c>
      <c r="AG296" s="378">
        <f>IF(NFI_Expiration=1,IF($A296&lt;VLOOKUP(P$5,NFI,5,0),1,0)*Table_NFI[[#This Row],[Plastic Bucket]],Table_NFI[Plastic Bucket])</f>
        <v>0</v>
      </c>
      <c r="AH296" s="378">
        <f>IF(NFI_Expiration=1,IF($A296&lt;VLOOKUP(Q$5,NFI,5,0),1,0)*Table_NFI[[#This Row],[Plastic Mat]],Table_NFI[Plastic Mat])*IF(Table_NFI[[#This Row],[Distribution Date]]&gt;"2014-04-01",1,2.5)</f>
        <v>0</v>
      </c>
      <c r="AI296" s="378">
        <f>IF(NFI_Expiration=1,IF($A296&lt;VLOOKUP(R$5,NFI,5,0),1,0)*Table_NFI[[#This Row],[Winter Clothes Adult]],Table_NFI[Winter Clothes Adult])</f>
        <v>0</v>
      </c>
      <c r="AJ296" s="378">
        <f>IF(NFI_Expiration=1,IF($A296&lt;VLOOKUP(S$5,NFI,5,0),1,0)*Table_NFI[[#This Row],[Winter Clothes Children]],Table_NFI[Winter Clothes Children])</f>
        <v>0</v>
      </c>
      <c r="AK296" s="378">
        <f>IF(NFI_Expiration=1,IF($A296&lt;VLOOKUP(T$5,NFI,5,0),1,0)*Table_NFI[[#This Row],[Winter Items Other]],Table_NFI[Winter Items Other])</f>
        <v>0</v>
      </c>
      <c r="AL296" s="378">
        <f>IF(NFI_Expiration=1,IF($A296&lt;VLOOKUP(M$5,NFI,5,0),1,0)*Table_NFI[[#This Row],[Winter Blanket]],Table_NFI[[#This Row],[Winter Blanket]])</f>
        <v>0</v>
      </c>
      <c r="AM296" s="378">
        <f>IF(Table_NFI[[#This Row],[Winter Clothes Adult]]+Table_NFI[[#This Row],[Winter Clothes Children]]+Table_NFI[[#This Row],[Winter Items Other]]+Table_NFI[[#This Row],[Winter Blanket]]&gt;0,1,0)</f>
        <v>1</v>
      </c>
      <c r="AN296" s="418">
        <f>IF(NFI_Expiration=1,IF($A296&lt;VLOOKUP(V$5,NFI,5,0),1,0)*Table_NFI[[#This Row],[Jerry Can]],Table_NFI[Jerry Can])</f>
        <v>0</v>
      </c>
      <c r="AO296" s="579" t="str">
        <f>IFERROR(VLOOKUP(Table_NFI[[#This Row],[Camp Name]],CL,2,0),"")</f>
        <v>MMR001CMP049</v>
      </c>
      <c r="AP296" s="574">
        <f ca="1">IF(Table_NFI[[#This Row],[Pcode]]="","",IF(OFFSET(CampList[Opening Date],MATCH(Table_NFI[[#This Row],[Pcode]],CampList[CP_Pcode],0)-1,0,1,1)&gt;=NFI_Monitor_Date,1,0))</f>
        <v>0</v>
      </c>
      <c r="AQ296" s="579" t="str">
        <f>IFERROR(VLOOKUP(Table_NFI[[#This Row],[Camp Name]],CL,3,0),"")</f>
        <v>Open</v>
      </c>
      <c r="AR296" s="378" t="str">
        <f ca="1">IF(Table_NFI[[#This Row],[Pcode]]="","",OFFSET(CampList[Priority],MATCH(Table_NFI[[#This Row],[Pcode]],CampList[CP_Pcode],0)-1,0,1,1))</f>
        <v>P4</v>
      </c>
      <c r="AS296" s="377">
        <f>IFERROR(Table_NFI[[#This Row],[Kitchen Set]]/VLOOKUP(Table_NFI[[#This Row],[Camp Name]],CL,4,0),"")</f>
        <v>0</v>
      </c>
      <c r="AT296" s="572" t="s">
        <v>1095</v>
      </c>
      <c r="AU296" s="575"/>
    </row>
    <row r="297" spans="1:47" s="576" customFormat="1" x14ac:dyDescent="0.25">
      <c r="A297" s="381">
        <f t="shared" si="4"/>
        <v>30.466666666666665</v>
      </c>
      <c r="B297" s="571">
        <v>41608</v>
      </c>
      <c r="C297" s="572" t="s">
        <v>908</v>
      </c>
      <c r="D297" s="572"/>
      <c r="E297" s="572" t="s">
        <v>380</v>
      </c>
      <c r="F297" s="374" t="s">
        <v>5</v>
      </c>
      <c r="G297" s="374" t="s">
        <v>18</v>
      </c>
      <c r="H297" s="375"/>
      <c r="I297" s="375"/>
      <c r="J297" s="375"/>
      <c r="K297" s="375"/>
      <c r="L297" s="376"/>
      <c r="M297" s="376"/>
      <c r="N297" s="376"/>
      <c r="O297" s="376"/>
      <c r="P297" s="378"/>
      <c r="Q297" s="378">
        <v>120</v>
      </c>
      <c r="R297" s="378"/>
      <c r="S297" s="378"/>
      <c r="T297" s="378"/>
      <c r="U297" s="378"/>
      <c r="V297" s="533"/>
      <c r="W297" s="378"/>
      <c r="X297" s="378"/>
      <c r="Y297" s="378">
        <f>IF(NFI_Expiration=1,IF($A297&lt;VLOOKUP(H$5,NFI,5,0),1,0)*Table_NFI[[#This Row],[Hygiene Kit]],Table_NFI[Hygiene Kit])</f>
        <v>0</v>
      </c>
      <c r="Z297" s="378">
        <f>IF(NFI_Expiration=1,IF($A297&lt;VLOOKUP(I$5,NFI,5,0),1,0)*Table_NFI[[#This Row],[NFI Core Kit]],Table_NFI[NFI Core Kit])</f>
        <v>0</v>
      </c>
      <c r="AA297" s="378">
        <f>IF(NFI_Expiration=1,IF($A297&lt;VLOOKUP(J$5,NFI,5,0),1,0)*Table_NFI[[#This Row],[Sanitary Kit]],Table_NFI[Sanitary Kit])</f>
        <v>0</v>
      </c>
      <c r="AB297" s="378">
        <f>IF(NFI_Expiration=1,IF($A297&lt;VLOOKUP(K$5,NFI,5,0),1,0)*Table_NFI[[#This Row],[Mosquito net]],Table_NFI[Mosquito net])</f>
        <v>0</v>
      </c>
      <c r="AC297" s="378">
        <f>IF(NFI_Expiration=1,IF($A297&lt;VLOOKUP(L$5,NFI,5,0),1,0)*Table_NFI[[#This Row],[Tarpaulin]],Table_NFI[[#This Row],[Tarpaulin]])</f>
        <v>0</v>
      </c>
      <c r="AD297" s="378">
        <f>IF(NFI_Expiration=1,IF($A297&lt;VLOOKUP(M$5,NFI,5,0),1,0)*Table_NFI[[#This Row],[Blanket]],Table_NFI[[#This Row],[Blanket]])</f>
        <v>0</v>
      </c>
      <c r="AE297" s="378">
        <f>IF(NFI_Expiration=1,IF($A297&lt;VLOOKUP(N$5,NFI,5,0),1,0)*Table_NFI[[#This Row],[Kitchen Set]],Table_NFI[Kitchen Set])</f>
        <v>0</v>
      </c>
      <c r="AF297" s="378">
        <f>IF(NFI_Expiration=1,IF($A297&lt;VLOOKUP(O$5,NFI,5,0),1,0)*Table_NFI[[#This Row],[Clothes Kit]],Table_NFI[Clothes Kit])</f>
        <v>0</v>
      </c>
      <c r="AG297" s="378">
        <f>IF(NFI_Expiration=1,IF($A297&lt;VLOOKUP(P$5,NFI,5,0),1,0)*Table_NFI[[#This Row],[Plastic Bucket]],Table_NFI[Plastic Bucket])</f>
        <v>0</v>
      </c>
      <c r="AH297" s="378">
        <f>IF(NFI_Expiration=1,IF($A297&lt;VLOOKUP(Q$5,NFI,5,0),1,0)*Table_NFI[[#This Row],[Plastic Mat]],Table_NFI[Plastic Mat])*IF(Table_NFI[[#This Row],[Distribution Date]]&gt;"2014-04-01",1,2.5)</f>
        <v>0</v>
      </c>
      <c r="AI297" s="378">
        <f>IF(NFI_Expiration=1,IF($A297&lt;VLOOKUP(R$5,NFI,5,0),1,0)*Table_NFI[[#This Row],[Winter Clothes Adult]],Table_NFI[Winter Clothes Adult])</f>
        <v>0</v>
      </c>
      <c r="AJ297" s="378">
        <f>IF(NFI_Expiration=1,IF($A297&lt;VLOOKUP(S$5,NFI,5,0),1,0)*Table_NFI[[#This Row],[Winter Clothes Children]],Table_NFI[Winter Clothes Children])</f>
        <v>0</v>
      </c>
      <c r="AK297" s="378">
        <f>IF(NFI_Expiration=1,IF($A297&lt;VLOOKUP(T$5,NFI,5,0),1,0)*Table_NFI[[#This Row],[Winter Items Other]],Table_NFI[Winter Items Other])</f>
        <v>0</v>
      </c>
      <c r="AL297" s="378">
        <f>IF(NFI_Expiration=1,IF($A297&lt;VLOOKUP(M$5,NFI,5,0),1,0)*Table_NFI[[#This Row],[Winter Blanket]],Table_NFI[[#This Row],[Winter Blanket]])</f>
        <v>0</v>
      </c>
      <c r="AM297" s="378">
        <f>IF(Table_NFI[[#This Row],[Winter Clothes Adult]]+Table_NFI[[#This Row],[Winter Clothes Children]]+Table_NFI[[#This Row],[Winter Items Other]]+Table_NFI[[#This Row],[Winter Blanket]]&gt;0,1,0)</f>
        <v>0</v>
      </c>
      <c r="AN297" s="418">
        <f>IF(NFI_Expiration=1,IF($A297&lt;VLOOKUP(V$5,NFI,5,0),1,0)*Table_NFI[[#This Row],[Jerry Can]],Table_NFI[Jerry Can])</f>
        <v>0</v>
      </c>
      <c r="AO297" s="579" t="str">
        <f>IFERROR(VLOOKUP(Table_NFI[[#This Row],[Camp Name]],CL,2,0),"")</f>
        <v>MMR001CMP049</v>
      </c>
      <c r="AP297" s="574">
        <f ca="1">IF(Table_NFI[[#This Row],[Pcode]]="","",IF(OFFSET(CampList[Opening Date],MATCH(Table_NFI[[#This Row],[Pcode]],CampList[CP_Pcode],0)-1,0,1,1)&gt;=NFI_Monitor_Date,1,0))</f>
        <v>0</v>
      </c>
      <c r="AQ297" s="579" t="str">
        <f>IFERROR(VLOOKUP(Table_NFI[[#This Row],[Camp Name]],CL,3,0),"")</f>
        <v>Open</v>
      </c>
      <c r="AR297" s="378" t="str">
        <f ca="1">IF(Table_NFI[[#This Row],[Pcode]]="","",OFFSET(CampList[Priority],MATCH(Table_NFI[[#This Row],[Pcode]],CampList[CP_Pcode],0)-1,0,1,1))</f>
        <v>P4</v>
      </c>
      <c r="AS297" s="377">
        <f>IFERROR(Table_NFI[[#This Row],[Kitchen Set]]/VLOOKUP(Table_NFI[[#This Row],[Camp Name]],CL,4,0),"")</f>
        <v>0</v>
      </c>
      <c r="AT297" s="572" t="s">
        <v>1095</v>
      </c>
      <c r="AU297" s="575"/>
    </row>
    <row r="298" spans="1:47" s="576" customFormat="1" x14ac:dyDescent="0.25">
      <c r="A298" s="381">
        <f t="shared" si="4"/>
        <v>30.6</v>
      </c>
      <c r="B298" s="571">
        <v>41604</v>
      </c>
      <c r="C298" s="573" t="s">
        <v>454</v>
      </c>
      <c r="D298" s="573" t="s">
        <v>454</v>
      </c>
      <c r="E298" s="572" t="s">
        <v>380</v>
      </c>
      <c r="F298" s="572" t="s">
        <v>5</v>
      </c>
      <c r="G298" s="374" t="s">
        <v>18</v>
      </c>
      <c r="H298" s="375"/>
      <c r="I298" s="375"/>
      <c r="J298" s="375"/>
      <c r="K298" s="375">
        <v>31</v>
      </c>
      <c r="L298" s="376">
        <v>13</v>
      </c>
      <c r="M298" s="376">
        <v>31</v>
      </c>
      <c r="N298" s="376">
        <v>13</v>
      </c>
      <c r="O298" s="376">
        <v>13</v>
      </c>
      <c r="P298" s="378"/>
      <c r="Q298" s="378"/>
      <c r="R298" s="378"/>
      <c r="S298" s="378"/>
      <c r="T298" s="378"/>
      <c r="U298" s="378"/>
      <c r="V298" s="533"/>
      <c r="W298" s="378"/>
      <c r="X298" s="378"/>
      <c r="Y298" s="378">
        <f>IF(NFI_Expiration=1,IF($A298&lt;VLOOKUP(H$5,NFI,5,0),1,0)*Table_NFI[[#This Row],[Hygiene Kit]],Table_NFI[Hygiene Kit])</f>
        <v>0</v>
      </c>
      <c r="Z298" s="378">
        <f>IF(NFI_Expiration=1,IF($A298&lt;VLOOKUP(I$5,NFI,5,0),1,0)*Table_NFI[[#This Row],[NFI Core Kit]],Table_NFI[NFI Core Kit])</f>
        <v>0</v>
      </c>
      <c r="AA298" s="378">
        <f>IF(NFI_Expiration=1,IF($A298&lt;VLOOKUP(J$5,NFI,5,0),1,0)*Table_NFI[[#This Row],[Sanitary Kit]],Table_NFI[Sanitary Kit])</f>
        <v>0</v>
      </c>
      <c r="AB298" s="378">
        <f>IF(NFI_Expiration=1,IF($A298&lt;VLOOKUP(K$5,NFI,5,0),1,0)*Table_NFI[[#This Row],[Mosquito net]],Table_NFI[Mosquito net])</f>
        <v>0</v>
      </c>
      <c r="AC298" s="378">
        <f>IF(NFI_Expiration=1,IF($A298&lt;VLOOKUP(L$5,NFI,5,0),1,0)*Table_NFI[[#This Row],[Tarpaulin]],Table_NFI[[#This Row],[Tarpaulin]])</f>
        <v>0</v>
      </c>
      <c r="AD298" s="378">
        <f>IF(NFI_Expiration=1,IF($A298&lt;VLOOKUP(M$5,NFI,5,0),1,0)*Table_NFI[[#This Row],[Blanket]],Table_NFI[[#This Row],[Blanket]])</f>
        <v>0</v>
      </c>
      <c r="AE298" s="378">
        <f>IF(NFI_Expiration=1,IF($A298&lt;VLOOKUP(N$5,NFI,5,0),1,0)*Table_NFI[[#This Row],[Kitchen Set]],Table_NFI[Kitchen Set])</f>
        <v>0</v>
      </c>
      <c r="AF298" s="378">
        <f>IF(NFI_Expiration=1,IF($A298&lt;VLOOKUP(O$5,NFI,5,0),1,0)*Table_NFI[[#This Row],[Clothes Kit]],Table_NFI[Clothes Kit])</f>
        <v>0</v>
      </c>
      <c r="AG298" s="378">
        <f>IF(NFI_Expiration=1,IF($A298&lt;VLOOKUP(P$5,NFI,5,0),1,0)*Table_NFI[[#This Row],[Plastic Bucket]],Table_NFI[Plastic Bucket])</f>
        <v>0</v>
      </c>
      <c r="AH298" s="378">
        <f>IF(NFI_Expiration=1,IF($A298&lt;VLOOKUP(Q$5,NFI,5,0),1,0)*Table_NFI[[#This Row],[Plastic Mat]],Table_NFI[Plastic Mat])*IF(Table_NFI[[#This Row],[Distribution Date]]&gt;"2014-04-01",1,2.5)</f>
        <v>0</v>
      </c>
      <c r="AI298" s="378">
        <f>IF(NFI_Expiration=1,IF($A298&lt;VLOOKUP(R$5,NFI,5,0),1,0)*Table_NFI[[#This Row],[Winter Clothes Adult]],Table_NFI[Winter Clothes Adult])</f>
        <v>0</v>
      </c>
      <c r="AJ298" s="378">
        <f>IF(NFI_Expiration=1,IF($A298&lt;VLOOKUP(S$5,NFI,5,0),1,0)*Table_NFI[[#This Row],[Winter Clothes Children]],Table_NFI[Winter Clothes Children])</f>
        <v>0</v>
      </c>
      <c r="AK298" s="378">
        <f>IF(NFI_Expiration=1,IF($A298&lt;VLOOKUP(T$5,NFI,5,0),1,0)*Table_NFI[[#This Row],[Winter Items Other]],Table_NFI[Winter Items Other])</f>
        <v>0</v>
      </c>
      <c r="AL298" s="378">
        <f>IF(NFI_Expiration=1,IF($A298&lt;VLOOKUP(M$5,NFI,5,0),1,0)*Table_NFI[[#This Row],[Winter Blanket]],Table_NFI[[#This Row],[Winter Blanket]])</f>
        <v>0</v>
      </c>
      <c r="AM298" s="378">
        <f>IF(Table_NFI[[#This Row],[Winter Clothes Adult]]+Table_NFI[[#This Row],[Winter Clothes Children]]+Table_NFI[[#This Row],[Winter Items Other]]+Table_NFI[[#This Row],[Winter Blanket]]&gt;0,1,0)</f>
        <v>0</v>
      </c>
      <c r="AN298" s="418">
        <f>IF(NFI_Expiration=1,IF($A298&lt;VLOOKUP(V$5,NFI,5,0),1,0)*Table_NFI[[#This Row],[Jerry Can]],Table_NFI[Jerry Can])</f>
        <v>0</v>
      </c>
      <c r="AO298" s="579" t="str">
        <f>IFERROR(VLOOKUP(Table_NFI[[#This Row],[Camp Name]],CL,2,0),"")</f>
        <v>MMR001CMP049</v>
      </c>
      <c r="AP298" s="574">
        <f ca="1">IF(Table_NFI[[#This Row],[Pcode]]="","",IF(OFFSET(CampList[Opening Date],MATCH(Table_NFI[[#This Row],[Pcode]],CampList[CP_Pcode],0)-1,0,1,1)&gt;=NFI_Monitor_Date,1,0))</f>
        <v>0</v>
      </c>
      <c r="AQ298" s="579" t="str">
        <f>IFERROR(VLOOKUP(Table_NFI[[#This Row],[Camp Name]],CL,3,0),"")</f>
        <v>Open</v>
      </c>
      <c r="AR298" s="378" t="str">
        <f ca="1">IF(Table_NFI[[#This Row],[Pcode]]="","",OFFSET(CampList[Priority],MATCH(Table_NFI[[#This Row],[Pcode]],CampList[CP_Pcode],0)-1,0,1,1))</f>
        <v>P4</v>
      </c>
      <c r="AS298" s="377">
        <f>IFERROR(Table_NFI[[#This Row],[Kitchen Set]]/VLOOKUP(Table_NFI[[#This Row],[Camp Name]],CL,4,0),"")</f>
        <v>0.11206896551724138</v>
      </c>
      <c r="AT298" s="572" t="s">
        <v>1095</v>
      </c>
      <c r="AU298" s="575"/>
    </row>
    <row r="299" spans="1:47" s="576" customFormat="1" x14ac:dyDescent="0.25">
      <c r="A299" s="381">
        <f t="shared" si="4"/>
        <v>41.3</v>
      </c>
      <c r="B299" s="571">
        <v>41283</v>
      </c>
      <c r="C299" s="572" t="s">
        <v>908</v>
      </c>
      <c r="D299" s="573" t="s">
        <v>908</v>
      </c>
      <c r="E299" s="572" t="s">
        <v>380</v>
      </c>
      <c r="F299" s="374" t="s">
        <v>5</v>
      </c>
      <c r="G299" s="374" t="s">
        <v>18</v>
      </c>
      <c r="H299" s="375">
        <v>205</v>
      </c>
      <c r="I299" s="375"/>
      <c r="J299" s="375">
        <v>200</v>
      </c>
      <c r="K299" s="375"/>
      <c r="L299" s="376"/>
      <c r="M299" s="376"/>
      <c r="N299" s="376"/>
      <c r="O299" s="376"/>
      <c r="P299" s="378">
        <v>0</v>
      </c>
      <c r="Q299" s="378">
        <v>0</v>
      </c>
      <c r="R299" s="378"/>
      <c r="S299" s="378"/>
      <c r="T299" s="378"/>
      <c r="U299" s="378"/>
      <c r="V299" s="533"/>
      <c r="W299" s="378"/>
      <c r="X299" s="378"/>
      <c r="Y299" s="378">
        <f>IF(NFI_Expiration=1,IF($A299&lt;VLOOKUP(H$5,NFI,5,0),1,0)*Table_NFI[[#This Row],[Hygiene Kit]],Table_NFI[Hygiene Kit])</f>
        <v>0</v>
      </c>
      <c r="Z299" s="378">
        <f>IF(NFI_Expiration=1,IF($A299&lt;VLOOKUP(I$5,NFI,5,0),1,0)*Table_NFI[[#This Row],[NFI Core Kit]],Table_NFI[NFI Core Kit])</f>
        <v>0</v>
      </c>
      <c r="AA299" s="378">
        <f>IF(NFI_Expiration=1,IF($A299&lt;VLOOKUP(J$5,NFI,5,0),1,0)*Table_NFI[[#This Row],[Sanitary Kit]],Table_NFI[Sanitary Kit])</f>
        <v>0</v>
      </c>
      <c r="AB299" s="378">
        <f>IF(NFI_Expiration=1,IF($A299&lt;VLOOKUP(K$5,NFI,5,0),1,0)*Table_NFI[[#This Row],[Mosquito net]],Table_NFI[Mosquito net])</f>
        <v>0</v>
      </c>
      <c r="AC299" s="378">
        <f>IF(NFI_Expiration=1,IF($A299&lt;VLOOKUP(L$5,NFI,5,0),1,0)*Table_NFI[[#This Row],[Tarpaulin]],Table_NFI[[#This Row],[Tarpaulin]])</f>
        <v>0</v>
      </c>
      <c r="AD299" s="378">
        <f>IF(NFI_Expiration=1,IF($A299&lt;VLOOKUP(M$5,NFI,5,0),1,0)*Table_NFI[[#This Row],[Blanket]],Table_NFI[[#This Row],[Blanket]])</f>
        <v>0</v>
      </c>
      <c r="AE299" s="378">
        <f>IF(NFI_Expiration=1,IF($A299&lt;VLOOKUP(N$5,NFI,5,0),1,0)*Table_NFI[[#This Row],[Kitchen Set]],Table_NFI[Kitchen Set])</f>
        <v>0</v>
      </c>
      <c r="AF299" s="378">
        <f>IF(NFI_Expiration=1,IF($A299&lt;VLOOKUP(O$5,NFI,5,0),1,0)*Table_NFI[[#This Row],[Clothes Kit]],Table_NFI[Clothes Kit])</f>
        <v>0</v>
      </c>
      <c r="AG299" s="378">
        <f>IF(NFI_Expiration=1,IF($A299&lt;VLOOKUP(P$5,NFI,5,0),1,0)*Table_NFI[[#This Row],[Plastic Bucket]],Table_NFI[Plastic Bucket])</f>
        <v>0</v>
      </c>
      <c r="AH299" s="378">
        <f>IF(NFI_Expiration=1,IF($A299&lt;VLOOKUP(Q$5,NFI,5,0),1,0)*Table_NFI[[#This Row],[Plastic Mat]],Table_NFI[Plastic Mat])*IF(Table_NFI[[#This Row],[Distribution Date]]&gt;"2014-04-01",1,2.5)</f>
        <v>0</v>
      </c>
      <c r="AI299" s="378">
        <f>IF(NFI_Expiration=1,IF($A299&lt;VLOOKUP(R$5,NFI,5,0),1,0)*Table_NFI[[#This Row],[Winter Clothes Adult]],Table_NFI[Winter Clothes Adult])</f>
        <v>0</v>
      </c>
      <c r="AJ299" s="378">
        <f>IF(NFI_Expiration=1,IF($A299&lt;VLOOKUP(S$5,NFI,5,0),1,0)*Table_NFI[[#This Row],[Winter Clothes Children]],Table_NFI[Winter Clothes Children])</f>
        <v>0</v>
      </c>
      <c r="AK299" s="378">
        <f>IF(NFI_Expiration=1,IF($A299&lt;VLOOKUP(T$5,NFI,5,0),1,0)*Table_NFI[[#This Row],[Winter Items Other]],Table_NFI[Winter Items Other])</f>
        <v>0</v>
      </c>
      <c r="AL299" s="378">
        <f>IF(NFI_Expiration=1,IF($A299&lt;VLOOKUP(M$5,NFI,5,0),1,0)*Table_NFI[[#This Row],[Winter Blanket]],Table_NFI[[#This Row],[Winter Blanket]])</f>
        <v>0</v>
      </c>
      <c r="AM299" s="378">
        <f>IF(Table_NFI[[#This Row],[Winter Clothes Adult]]+Table_NFI[[#This Row],[Winter Clothes Children]]+Table_NFI[[#This Row],[Winter Items Other]]+Table_NFI[[#This Row],[Winter Blanket]]&gt;0,1,0)</f>
        <v>0</v>
      </c>
      <c r="AN299" s="418">
        <f>IF(NFI_Expiration=1,IF($A299&lt;VLOOKUP(V$5,NFI,5,0),1,0)*Table_NFI[[#This Row],[Jerry Can]],Table_NFI[Jerry Can])</f>
        <v>0</v>
      </c>
      <c r="AO299" s="579" t="str">
        <f>IFERROR(VLOOKUP(Table_NFI[[#This Row],[Camp Name]],CL,2,0),"")</f>
        <v>MMR001CMP049</v>
      </c>
      <c r="AP299" s="574">
        <f ca="1">IF(Table_NFI[[#This Row],[Pcode]]="","",IF(OFFSET(CampList[Opening Date],MATCH(Table_NFI[[#This Row],[Pcode]],CampList[CP_Pcode],0)-1,0,1,1)&gt;=NFI_Monitor_Date,1,0))</f>
        <v>0</v>
      </c>
      <c r="AQ299" s="579" t="str">
        <f>IFERROR(VLOOKUP(Table_NFI[[#This Row],[Camp Name]],CL,3,0),"")</f>
        <v>Open</v>
      </c>
      <c r="AR299" s="378" t="str">
        <f ca="1">IF(Table_NFI[[#This Row],[Pcode]]="","",OFFSET(CampList[Priority],MATCH(Table_NFI[[#This Row],[Pcode]],CampList[CP_Pcode],0)-1,0,1,1))</f>
        <v>P4</v>
      </c>
      <c r="AS299" s="377">
        <f>IFERROR(Table_NFI[[#This Row],[Kitchen Set]]/VLOOKUP(Table_NFI[[#This Row],[Camp Name]],CL,4,0),"")</f>
        <v>0</v>
      </c>
      <c r="AT299" s="572" t="s">
        <v>1095</v>
      </c>
      <c r="AU299" s="575"/>
    </row>
    <row r="300" spans="1:47" s="576" customFormat="1" x14ac:dyDescent="0.25">
      <c r="A300" s="381">
        <f t="shared" si="4"/>
        <v>41.93333333333333</v>
      </c>
      <c r="B300" s="571">
        <v>41264</v>
      </c>
      <c r="C300" s="572" t="s">
        <v>454</v>
      </c>
      <c r="D300" s="572" t="s">
        <v>454</v>
      </c>
      <c r="E300" s="572" t="s">
        <v>380</v>
      </c>
      <c r="F300" s="572" t="s">
        <v>5</v>
      </c>
      <c r="G300" s="374" t="s">
        <v>18</v>
      </c>
      <c r="H300" s="375"/>
      <c r="I300" s="375"/>
      <c r="J300" s="375"/>
      <c r="K300" s="375">
        <v>0</v>
      </c>
      <c r="L300" s="376">
        <v>12</v>
      </c>
      <c r="M300" s="376">
        <v>0</v>
      </c>
      <c r="N300" s="376">
        <v>12</v>
      </c>
      <c r="O300" s="376">
        <v>12</v>
      </c>
      <c r="P300" s="378">
        <v>12</v>
      </c>
      <c r="Q300" s="378">
        <v>12</v>
      </c>
      <c r="R300" s="378"/>
      <c r="S300" s="378"/>
      <c r="T300" s="378"/>
      <c r="U300" s="378"/>
      <c r="V300" s="533"/>
      <c r="W300" s="378"/>
      <c r="X300" s="378"/>
      <c r="Y300" s="378">
        <f>IF(NFI_Expiration=1,IF($A300&lt;VLOOKUP(H$5,NFI,5,0),1,0)*Table_NFI[[#This Row],[Hygiene Kit]],Table_NFI[Hygiene Kit])</f>
        <v>0</v>
      </c>
      <c r="Z300" s="378">
        <f>IF(NFI_Expiration=1,IF($A300&lt;VLOOKUP(I$5,NFI,5,0),1,0)*Table_NFI[[#This Row],[NFI Core Kit]],Table_NFI[NFI Core Kit])</f>
        <v>0</v>
      </c>
      <c r="AA300" s="378">
        <f>IF(NFI_Expiration=1,IF($A300&lt;VLOOKUP(J$5,NFI,5,0),1,0)*Table_NFI[[#This Row],[Sanitary Kit]],Table_NFI[Sanitary Kit])</f>
        <v>0</v>
      </c>
      <c r="AB300" s="378">
        <f>IF(NFI_Expiration=1,IF($A300&lt;VLOOKUP(K$5,NFI,5,0),1,0)*Table_NFI[[#This Row],[Mosquito net]],Table_NFI[Mosquito net])</f>
        <v>0</v>
      </c>
      <c r="AC300" s="378">
        <f>IF(NFI_Expiration=1,IF($A300&lt;VLOOKUP(L$5,NFI,5,0),1,0)*Table_NFI[[#This Row],[Tarpaulin]],Table_NFI[[#This Row],[Tarpaulin]])</f>
        <v>0</v>
      </c>
      <c r="AD300" s="378">
        <f>IF(NFI_Expiration=1,IF($A300&lt;VLOOKUP(M$5,NFI,5,0),1,0)*Table_NFI[[#This Row],[Blanket]],Table_NFI[[#This Row],[Blanket]])</f>
        <v>0</v>
      </c>
      <c r="AE300" s="378">
        <f>IF(NFI_Expiration=1,IF($A300&lt;VLOOKUP(N$5,NFI,5,0),1,0)*Table_NFI[[#This Row],[Kitchen Set]],Table_NFI[Kitchen Set])</f>
        <v>0</v>
      </c>
      <c r="AF300" s="378">
        <f>IF(NFI_Expiration=1,IF($A300&lt;VLOOKUP(O$5,NFI,5,0),1,0)*Table_NFI[[#This Row],[Clothes Kit]],Table_NFI[Clothes Kit])</f>
        <v>0</v>
      </c>
      <c r="AG300" s="378">
        <f>IF(NFI_Expiration=1,IF($A300&lt;VLOOKUP(P$5,NFI,5,0),1,0)*Table_NFI[[#This Row],[Plastic Bucket]],Table_NFI[Plastic Bucket])</f>
        <v>0</v>
      </c>
      <c r="AH300" s="378">
        <f>IF(NFI_Expiration=1,IF($A300&lt;VLOOKUP(Q$5,NFI,5,0),1,0)*Table_NFI[[#This Row],[Plastic Mat]],Table_NFI[Plastic Mat])*IF(Table_NFI[[#This Row],[Distribution Date]]&gt;"2014-04-01",1,2.5)</f>
        <v>0</v>
      </c>
      <c r="AI300" s="378">
        <f>IF(NFI_Expiration=1,IF($A300&lt;VLOOKUP(R$5,NFI,5,0),1,0)*Table_NFI[[#This Row],[Winter Clothes Adult]],Table_NFI[Winter Clothes Adult])</f>
        <v>0</v>
      </c>
      <c r="AJ300" s="378">
        <f>IF(NFI_Expiration=1,IF($A300&lt;VLOOKUP(S$5,NFI,5,0),1,0)*Table_NFI[[#This Row],[Winter Clothes Children]],Table_NFI[Winter Clothes Children])</f>
        <v>0</v>
      </c>
      <c r="AK300" s="378">
        <f>IF(NFI_Expiration=1,IF($A300&lt;VLOOKUP(T$5,NFI,5,0),1,0)*Table_NFI[[#This Row],[Winter Items Other]],Table_NFI[Winter Items Other])</f>
        <v>0</v>
      </c>
      <c r="AL300" s="378">
        <f>IF(NFI_Expiration=1,IF($A300&lt;VLOOKUP(M$5,NFI,5,0),1,0)*Table_NFI[[#This Row],[Winter Blanket]],Table_NFI[[#This Row],[Winter Blanket]])</f>
        <v>0</v>
      </c>
      <c r="AM300" s="378">
        <f>IF(Table_NFI[[#This Row],[Winter Clothes Adult]]+Table_NFI[[#This Row],[Winter Clothes Children]]+Table_NFI[[#This Row],[Winter Items Other]]+Table_NFI[[#This Row],[Winter Blanket]]&gt;0,1,0)</f>
        <v>0</v>
      </c>
      <c r="AN300" s="418">
        <f>IF(NFI_Expiration=1,IF($A300&lt;VLOOKUP(V$5,NFI,5,0),1,0)*Table_NFI[[#This Row],[Jerry Can]],Table_NFI[Jerry Can])</f>
        <v>0</v>
      </c>
      <c r="AO300" s="579" t="str">
        <f>IFERROR(VLOOKUP(Table_NFI[[#This Row],[Camp Name]],CL,2,0),"")</f>
        <v>MMR001CMP049</v>
      </c>
      <c r="AP300" s="574">
        <f ca="1">IF(Table_NFI[[#This Row],[Pcode]]="","",IF(OFFSET(CampList[Opening Date],MATCH(Table_NFI[[#This Row],[Pcode]],CampList[CP_Pcode],0)-1,0,1,1)&gt;=NFI_Monitor_Date,1,0))</f>
        <v>0</v>
      </c>
      <c r="AQ300" s="579" t="str">
        <f>IFERROR(VLOOKUP(Table_NFI[[#This Row],[Camp Name]],CL,3,0),"")</f>
        <v>Open</v>
      </c>
      <c r="AR300" s="378" t="str">
        <f ca="1">IF(Table_NFI[[#This Row],[Pcode]]="","",OFFSET(CampList[Priority],MATCH(Table_NFI[[#This Row],[Pcode]],CampList[CP_Pcode],0)-1,0,1,1))</f>
        <v>P4</v>
      </c>
      <c r="AS300" s="377">
        <f>IFERROR(Table_NFI[[#This Row],[Kitchen Set]]/VLOOKUP(Table_NFI[[#This Row],[Camp Name]],CL,4,0),"")</f>
        <v>0.10344827586206896</v>
      </c>
      <c r="AT300" s="572" t="s">
        <v>1095</v>
      </c>
      <c r="AU300" s="575"/>
    </row>
    <row r="301" spans="1:47" s="576" customFormat="1" x14ac:dyDescent="0.25">
      <c r="A301" s="381">
        <f t="shared" si="4"/>
        <v>19.5</v>
      </c>
      <c r="B301" s="571">
        <v>41937</v>
      </c>
      <c r="C301" s="572" t="s">
        <v>1097</v>
      </c>
      <c r="D301" s="572" t="s">
        <v>903</v>
      </c>
      <c r="E301" s="572" t="s">
        <v>380</v>
      </c>
      <c r="F301" s="572" t="s">
        <v>185</v>
      </c>
      <c r="G301" s="572" t="s">
        <v>186</v>
      </c>
      <c r="H301" s="375"/>
      <c r="I301" s="375"/>
      <c r="J301" s="375"/>
      <c r="K301" s="375"/>
      <c r="L301" s="376"/>
      <c r="M301" s="376"/>
      <c r="N301" s="376"/>
      <c r="O301" s="376"/>
      <c r="P301" s="378"/>
      <c r="Q301" s="378"/>
      <c r="R301" s="378">
        <v>112</v>
      </c>
      <c r="S301" s="378">
        <v>59</v>
      </c>
      <c r="T301" s="378"/>
      <c r="U301" s="378">
        <v>74</v>
      </c>
      <c r="V301" s="533"/>
      <c r="W301" s="378"/>
      <c r="X301" s="378"/>
      <c r="Y301" s="378">
        <f>IF(NFI_Expiration=1,IF($A301&lt;VLOOKUP(H$5,NFI,5,0),1,0)*Table_NFI[[#This Row],[Hygiene Kit]],Table_NFI[Hygiene Kit])</f>
        <v>0</v>
      </c>
      <c r="Z301" s="378">
        <f>IF(NFI_Expiration=1,IF($A301&lt;VLOOKUP(I$5,NFI,5,0),1,0)*Table_NFI[[#This Row],[NFI Core Kit]],Table_NFI[NFI Core Kit])</f>
        <v>0</v>
      </c>
      <c r="AA301" s="378">
        <f>IF(NFI_Expiration=1,IF($A301&lt;VLOOKUP(J$5,NFI,5,0),1,0)*Table_NFI[[#This Row],[Sanitary Kit]],Table_NFI[Sanitary Kit])</f>
        <v>0</v>
      </c>
      <c r="AB301" s="378">
        <f>IF(NFI_Expiration=1,IF($A301&lt;VLOOKUP(K$5,NFI,5,0),1,0)*Table_NFI[[#This Row],[Mosquito net]],Table_NFI[Mosquito net])</f>
        <v>0</v>
      </c>
      <c r="AC301" s="378">
        <f>IF(NFI_Expiration=1,IF($A301&lt;VLOOKUP(L$5,NFI,5,0),1,0)*Table_NFI[[#This Row],[Tarpaulin]],Table_NFI[[#This Row],[Tarpaulin]])</f>
        <v>0</v>
      </c>
      <c r="AD301" s="378">
        <f>IF(NFI_Expiration=1,IF($A301&lt;VLOOKUP(M$5,NFI,5,0),1,0)*Table_NFI[[#This Row],[Blanket]],Table_NFI[[#This Row],[Blanket]])</f>
        <v>0</v>
      </c>
      <c r="AE301" s="378">
        <f>IF(NFI_Expiration=1,IF($A301&lt;VLOOKUP(N$5,NFI,5,0),1,0)*Table_NFI[[#This Row],[Kitchen Set]],Table_NFI[Kitchen Set])</f>
        <v>0</v>
      </c>
      <c r="AF301" s="378">
        <f>IF(NFI_Expiration=1,IF($A301&lt;VLOOKUP(O$5,NFI,5,0),1,0)*Table_NFI[[#This Row],[Clothes Kit]],Table_NFI[Clothes Kit])</f>
        <v>0</v>
      </c>
      <c r="AG301" s="378">
        <f>IF(NFI_Expiration=1,IF($A301&lt;VLOOKUP(P$5,NFI,5,0),1,0)*Table_NFI[[#This Row],[Plastic Bucket]],Table_NFI[Plastic Bucket])</f>
        <v>0</v>
      </c>
      <c r="AH301" s="378">
        <f>IF(NFI_Expiration=1,IF($A301&lt;VLOOKUP(Q$5,NFI,5,0),1,0)*Table_NFI[[#This Row],[Plastic Mat]],Table_NFI[Plastic Mat])*IF(Table_NFI[[#This Row],[Distribution Date]]&gt;"2014-04-01",1,2.5)</f>
        <v>0</v>
      </c>
      <c r="AI301" s="378">
        <f>IF(NFI_Expiration=1,IF($A301&lt;VLOOKUP(R$5,NFI,5,0),1,0)*Table_NFI[[#This Row],[Winter Clothes Adult]],Table_NFI[Winter Clothes Adult])</f>
        <v>0</v>
      </c>
      <c r="AJ301" s="378">
        <f>IF(NFI_Expiration=1,IF($A301&lt;VLOOKUP(S$5,NFI,5,0),1,0)*Table_NFI[[#This Row],[Winter Clothes Children]],Table_NFI[Winter Clothes Children])</f>
        <v>0</v>
      </c>
      <c r="AK301" s="378">
        <f>IF(NFI_Expiration=1,IF($A301&lt;VLOOKUP(T$5,NFI,5,0),1,0)*Table_NFI[[#This Row],[Winter Items Other]],Table_NFI[Winter Items Other])</f>
        <v>0</v>
      </c>
      <c r="AL301" s="378">
        <f>IF(NFI_Expiration=1,IF($A301&lt;VLOOKUP(M$5,NFI,5,0),1,0)*Table_NFI[[#This Row],[Winter Blanket]],Table_NFI[[#This Row],[Winter Blanket]])</f>
        <v>0</v>
      </c>
      <c r="AM301" s="378">
        <f>IF(Table_NFI[[#This Row],[Winter Clothes Adult]]+Table_NFI[[#This Row],[Winter Clothes Children]]+Table_NFI[[#This Row],[Winter Items Other]]+Table_NFI[[#This Row],[Winter Blanket]]&gt;0,1,0)</f>
        <v>1</v>
      </c>
      <c r="AN301" s="418">
        <f>IF(NFI_Expiration=1,IF($A301&lt;VLOOKUP(V$5,NFI,5,0),1,0)*Table_NFI[[#This Row],[Jerry Can]],Table_NFI[Jerry Can])</f>
        <v>0</v>
      </c>
      <c r="AO301" s="579" t="str">
        <f>IFERROR(VLOOKUP(Table_NFI[[#This Row],[Camp Name]],CL,2,0),"")</f>
        <v>MMR001CMP071</v>
      </c>
      <c r="AP301" s="574">
        <f ca="1">IF(Table_NFI[[#This Row],[Pcode]]="","",IF(OFFSET(CampList[Opening Date],MATCH(Table_NFI[[#This Row],[Pcode]],CampList[CP_Pcode],0)-1,0,1,1)&gt;=NFI_Monitor_Date,1,0))</f>
        <v>0</v>
      </c>
      <c r="AQ301" s="579" t="str">
        <f>IFERROR(VLOOKUP(Table_NFI[[#This Row],[Camp Name]],CL,3,0),"")</f>
        <v>Open</v>
      </c>
      <c r="AR301" s="378" t="str">
        <f ca="1">IF(Table_NFI[[#This Row],[Pcode]]="","",OFFSET(CampList[Priority],MATCH(Table_NFI[[#This Row],[Pcode]],CampList[CP_Pcode],0)-1,0,1,1))</f>
        <v>P3</v>
      </c>
      <c r="AS301" s="377">
        <f>IFERROR(Table_NFI[[#This Row],[Kitchen Set]]/VLOOKUP(Table_NFI[[#This Row],[Camp Name]],CL,4,0),"")</f>
        <v>0</v>
      </c>
      <c r="AT301" s="572"/>
      <c r="AU301" s="575"/>
    </row>
    <row r="302" spans="1:47" s="576" customFormat="1" x14ac:dyDescent="0.25">
      <c r="A302" s="381">
        <f t="shared" si="4"/>
        <v>20</v>
      </c>
      <c r="B302" s="571">
        <v>41922</v>
      </c>
      <c r="C302" s="572" t="s">
        <v>454</v>
      </c>
      <c r="D302" s="572"/>
      <c r="E302" s="572" t="s">
        <v>380</v>
      </c>
      <c r="F302" s="572" t="s">
        <v>185</v>
      </c>
      <c r="G302" s="572" t="s">
        <v>186</v>
      </c>
      <c r="H302" s="375"/>
      <c r="I302" s="375"/>
      <c r="J302" s="375"/>
      <c r="K302" s="375"/>
      <c r="L302" s="376">
        <v>60</v>
      </c>
      <c r="M302" s="376"/>
      <c r="N302" s="376"/>
      <c r="O302" s="376"/>
      <c r="P302" s="378"/>
      <c r="Q302" s="378"/>
      <c r="R302" s="378"/>
      <c r="S302" s="378"/>
      <c r="T302" s="378"/>
      <c r="U302" s="378"/>
      <c r="V302" s="533"/>
      <c r="W302" s="378"/>
      <c r="X302" s="378"/>
      <c r="Y302" s="378">
        <f>IF(NFI_Expiration=1,IF($A302&lt;VLOOKUP(H$5,NFI,5,0),1,0)*Table_NFI[[#This Row],[Hygiene Kit]],Table_NFI[Hygiene Kit])</f>
        <v>0</v>
      </c>
      <c r="Z302" s="378">
        <f>IF(NFI_Expiration=1,IF($A302&lt;VLOOKUP(I$5,NFI,5,0),1,0)*Table_NFI[[#This Row],[NFI Core Kit]],Table_NFI[NFI Core Kit])</f>
        <v>0</v>
      </c>
      <c r="AA302" s="378">
        <f>IF(NFI_Expiration=1,IF($A302&lt;VLOOKUP(J$5,NFI,5,0),1,0)*Table_NFI[[#This Row],[Sanitary Kit]],Table_NFI[Sanitary Kit])</f>
        <v>0</v>
      </c>
      <c r="AB302" s="378">
        <f>IF(NFI_Expiration=1,IF($A302&lt;VLOOKUP(K$5,NFI,5,0),1,0)*Table_NFI[[#This Row],[Mosquito net]],Table_NFI[Mosquito net])</f>
        <v>0</v>
      </c>
      <c r="AC302" s="378">
        <f>IF(NFI_Expiration=1,IF($A302&lt;VLOOKUP(L$5,NFI,5,0),1,0)*Table_NFI[[#This Row],[Tarpaulin]],Table_NFI[[#This Row],[Tarpaulin]])</f>
        <v>0</v>
      </c>
      <c r="AD302" s="378">
        <f>IF(NFI_Expiration=1,IF($A302&lt;VLOOKUP(M$5,NFI,5,0),1,0)*Table_NFI[[#This Row],[Blanket]],Table_NFI[[#This Row],[Blanket]])</f>
        <v>0</v>
      </c>
      <c r="AE302" s="378">
        <f>IF(NFI_Expiration=1,IF($A302&lt;VLOOKUP(N$5,NFI,5,0),1,0)*Table_NFI[[#This Row],[Kitchen Set]],Table_NFI[Kitchen Set])</f>
        <v>0</v>
      </c>
      <c r="AF302" s="378">
        <f>IF(NFI_Expiration=1,IF($A302&lt;VLOOKUP(O$5,NFI,5,0),1,0)*Table_NFI[[#This Row],[Clothes Kit]],Table_NFI[Clothes Kit])</f>
        <v>0</v>
      </c>
      <c r="AG302" s="378">
        <f>IF(NFI_Expiration=1,IF($A302&lt;VLOOKUP(P$5,NFI,5,0),1,0)*Table_NFI[[#This Row],[Plastic Bucket]],Table_NFI[Plastic Bucket])</f>
        <v>0</v>
      </c>
      <c r="AH302" s="378">
        <f>IF(NFI_Expiration=1,IF($A302&lt;VLOOKUP(Q$5,NFI,5,0),1,0)*Table_NFI[[#This Row],[Plastic Mat]],Table_NFI[Plastic Mat])*IF(Table_NFI[[#This Row],[Distribution Date]]&gt;"2014-04-01",1,2.5)</f>
        <v>0</v>
      </c>
      <c r="AI302" s="378">
        <f>IF(NFI_Expiration=1,IF($A302&lt;VLOOKUP(R$5,NFI,5,0),1,0)*Table_NFI[[#This Row],[Winter Clothes Adult]],Table_NFI[Winter Clothes Adult])</f>
        <v>0</v>
      </c>
      <c r="AJ302" s="378">
        <f>IF(NFI_Expiration=1,IF($A302&lt;VLOOKUP(S$5,NFI,5,0),1,0)*Table_NFI[[#This Row],[Winter Clothes Children]],Table_NFI[Winter Clothes Children])</f>
        <v>0</v>
      </c>
      <c r="AK302" s="378">
        <f>IF(NFI_Expiration=1,IF($A302&lt;VLOOKUP(T$5,NFI,5,0),1,0)*Table_NFI[[#This Row],[Winter Items Other]],Table_NFI[Winter Items Other])</f>
        <v>0</v>
      </c>
      <c r="AL302" s="378">
        <f>IF(NFI_Expiration=1,IF($A302&lt;VLOOKUP(M$5,NFI,5,0),1,0)*Table_NFI[[#This Row],[Winter Blanket]],Table_NFI[[#This Row],[Winter Blanket]])</f>
        <v>0</v>
      </c>
      <c r="AM302" s="378">
        <f>IF(Table_NFI[[#This Row],[Winter Clothes Adult]]+Table_NFI[[#This Row],[Winter Clothes Children]]+Table_NFI[[#This Row],[Winter Items Other]]+Table_NFI[[#This Row],[Winter Blanket]]&gt;0,1,0)</f>
        <v>0</v>
      </c>
      <c r="AN302" s="418">
        <f>IF(NFI_Expiration=1,IF($A302&lt;VLOOKUP(V$5,NFI,5,0),1,0)*Table_NFI[[#This Row],[Jerry Can]],Table_NFI[Jerry Can])</f>
        <v>0</v>
      </c>
      <c r="AO302" s="579" t="str">
        <f>IFERROR(VLOOKUP(Table_NFI[[#This Row],[Camp Name]],CL,2,0),"")</f>
        <v>MMR001CMP071</v>
      </c>
      <c r="AP302" s="574">
        <f ca="1">IF(Table_NFI[[#This Row],[Pcode]]="","",IF(OFFSET(CampList[Opening Date],MATCH(Table_NFI[[#This Row],[Pcode]],CampList[CP_Pcode],0)-1,0,1,1)&gt;=NFI_Monitor_Date,1,0))</f>
        <v>0</v>
      </c>
      <c r="AQ302" s="579" t="str">
        <f>IFERROR(VLOOKUP(Table_NFI[[#This Row],[Camp Name]],CL,3,0),"")</f>
        <v>Open</v>
      </c>
      <c r="AR302" s="378" t="str">
        <f ca="1">IF(Table_NFI[[#This Row],[Pcode]]="","",OFFSET(CampList[Priority],MATCH(Table_NFI[[#This Row],[Pcode]],CampList[CP_Pcode],0)-1,0,1,1))</f>
        <v>P3</v>
      </c>
      <c r="AS302" s="377">
        <f>IFERROR(Table_NFI[[#This Row],[Kitchen Set]]/VLOOKUP(Table_NFI[[#This Row],[Camp Name]],CL,4,0),"")</f>
        <v>0</v>
      </c>
      <c r="AT302" s="572"/>
      <c r="AU302" s="575"/>
    </row>
    <row r="303" spans="1:47" s="576" customFormat="1" x14ac:dyDescent="0.25">
      <c r="A303" s="381">
        <f t="shared" si="4"/>
        <v>30.466666666666665</v>
      </c>
      <c r="B303" s="571">
        <v>41608</v>
      </c>
      <c r="C303" s="572" t="s">
        <v>908</v>
      </c>
      <c r="D303" s="572"/>
      <c r="E303" s="572" t="s">
        <v>380</v>
      </c>
      <c r="F303" s="374" t="s">
        <v>185</v>
      </c>
      <c r="G303" s="374" t="s">
        <v>186</v>
      </c>
      <c r="H303" s="375"/>
      <c r="I303" s="375"/>
      <c r="J303" s="375"/>
      <c r="K303" s="375"/>
      <c r="L303" s="376"/>
      <c r="M303" s="376"/>
      <c r="N303" s="376"/>
      <c r="O303" s="376"/>
      <c r="P303" s="378"/>
      <c r="Q303" s="378">
        <v>105</v>
      </c>
      <c r="R303" s="378"/>
      <c r="S303" s="378"/>
      <c r="T303" s="378"/>
      <c r="U303" s="378"/>
      <c r="V303" s="533"/>
      <c r="W303" s="378"/>
      <c r="X303" s="378"/>
      <c r="Y303" s="378">
        <f>IF(NFI_Expiration=1,IF($A303&lt;VLOOKUP(H$5,NFI,5,0),1,0)*Table_NFI[[#This Row],[Hygiene Kit]],Table_NFI[Hygiene Kit])</f>
        <v>0</v>
      </c>
      <c r="Z303" s="378">
        <f>IF(NFI_Expiration=1,IF($A303&lt;VLOOKUP(I$5,NFI,5,0),1,0)*Table_NFI[[#This Row],[NFI Core Kit]],Table_NFI[NFI Core Kit])</f>
        <v>0</v>
      </c>
      <c r="AA303" s="378">
        <f>IF(NFI_Expiration=1,IF($A303&lt;VLOOKUP(J$5,NFI,5,0),1,0)*Table_NFI[[#This Row],[Sanitary Kit]],Table_NFI[Sanitary Kit])</f>
        <v>0</v>
      </c>
      <c r="AB303" s="378">
        <f>IF(NFI_Expiration=1,IF($A303&lt;VLOOKUP(K$5,NFI,5,0),1,0)*Table_NFI[[#This Row],[Mosquito net]],Table_NFI[Mosquito net])</f>
        <v>0</v>
      </c>
      <c r="AC303" s="378">
        <f>IF(NFI_Expiration=1,IF($A303&lt;VLOOKUP(L$5,NFI,5,0),1,0)*Table_NFI[[#This Row],[Tarpaulin]],Table_NFI[[#This Row],[Tarpaulin]])</f>
        <v>0</v>
      </c>
      <c r="AD303" s="378">
        <f>IF(NFI_Expiration=1,IF($A303&lt;VLOOKUP(M$5,NFI,5,0),1,0)*Table_NFI[[#This Row],[Blanket]],Table_NFI[[#This Row],[Blanket]])</f>
        <v>0</v>
      </c>
      <c r="AE303" s="378">
        <f>IF(NFI_Expiration=1,IF($A303&lt;VLOOKUP(N$5,NFI,5,0),1,0)*Table_NFI[[#This Row],[Kitchen Set]],Table_NFI[Kitchen Set])</f>
        <v>0</v>
      </c>
      <c r="AF303" s="378">
        <f>IF(NFI_Expiration=1,IF($A303&lt;VLOOKUP(O$5,NFI,5,0),1,0)*Table_NFI[[#This Row],[Clothes Kit]],Table_NFI[Clothes Kit])</f>
        <v>0</v>
      </c>
      <c r="AG303" s="378">
        <f>IF(NFI_Expiration=1,IF($A303&lt;VLOOKUP(P$5,NFI,5,0),1,0)*Table_NFI[[#This Row],[Plastic Bucket]],Table_NFI[Plastic Bucket])</f>
        <v>0</v>
      </c>
      <c r="AH303" s="378">
        <f>IF(NFI_Expiration=1,IF($A303&lt;VLOOKUP(Q$5,NFI,5,0),1,0)*Table_NFI[[#This Row],[Plastic Mat]],Table_NFI[Plastic Mat])*IF(Table_NFI[[#This Row],[Distribution Date]]&gt;"2014-04-01",1,2.5)</f>
        <v>0</v>
      </c>
      <c r="AI303" s="378">
        <f>IF(NFI_Expiration=1,IF($A303&lt;VLOOKUP(R$5,NFI,5,0),1,0)*Table_NFI[[#This Row],[Winter Clothes Adult]],Table_NFI[Winter Clothes Adult])</f>
        <v>0</v>
      </c>
      <c r="AJ303" s="378">
        <f>IF(NFI_Expiration=1,IF($A303&lt;VLOOKUP(S$5,NFI,5,0),1,0)*Table_NFI[[#This Row],[Winter Clothes Children]],Table_NFI[Winter Clothes Children])</f>
        <v>0</v>
      </c>
      <c r="AK303" s="378">
        <f>IF(NFI_Expiration=1,IF($A303&lt;VLOOKUP(T$5,NFI,5,0),1,0)*Table_NFI[[#This Row],[Winter Items Other]],Table_NFI[Winter Items Other])</f>
        <v>0</v>
      </c>
      <c r="AL303" s="378">
        <f>IF(NFI_Expiration=1,IF($A303&lt;VLOOKUP(M$5,NFI,5,0),1,0)*Table_NFI[[#This Row],[Winter Blanket]],Table_NFI[[#This Row],[Winter Blanket]])</f>
        <v>0</v>
      </c>
      <c r="AM303" s="378">
        <f>IF(Table_NFI[[#This Row],[Winter Clothes Adult]]+Table_NFI[[#This Row],[Winter Clothes Children]]+Table_NFI[[#This Row],[Winter Items Other]]+Table_NFI[[#This Row],[Winter Blanket]]&gt;0,1,0)</f>
        <v>0</v>
      </c>
      <c r="AN303" s="418">
        <f>IF(NFI_Expiration=1,IF($A303&lt;VLOOKUP(V$5,NFI,5,0),1,0)*Table_NFI[[#This Row],[Jerry Can]],Table_NFI[Jerry Can])</f>
        <v>0</v>
      </c>
      <c r="AO303" s="579" t="str">
        <f>IFERROR(VLOOKUP(Table_NFI[[#This Row],[Camp Name]],CL,2,0),"")</f>
        <v>MMR001CMP071</v>
      </c>
      <c r="AP303" s="574">
        <f ca="1">IF(Table_NFI[[#This Row],[Pcode]]="","",IF(OFFSET(CampList[Opening Date],MATCH(Table_NFI[[#This Row],[Pcode]],CampList[CP_Pcode],0)-1,0,1,1)&gt;=NFI_Monitor_Date,1,0))</f>
        <v>0</v>
      </c>
      <c r="AQ303" s="579" t="str">
        <f>IFERROR(VLOOKUP(Table_NFI[[#This Row],[Camp Name]],CL,3,0),"")</f>
        <v>Open</v>
      </c>
      <c r="AR303" s="378" t="str">
        <f ca="1">IF(Table_NFI[[#This Row],[Pcode]]="","",OFFSET(CampList[Priority],MATCH(Table_NFI[[#This Row],[Pcode]],CampList[CP_Pcode],0)-1,0,1,1))</f>
        <v>P3</v>
      </c>
      <c r="AS303" s="377">
        <f>IFERROR(Table_NFI[[#This Row],[Kitchen Set]]/VLOOKUP(Table_NFI[[#This Row],[Camp Name]],CL,4,0),"")</f>
        <v>0</v>
      </c>
      <c r="AT303" s="572" t="s">
        <v>1095</v>
      </c>
      <c r="AU303" s="575"/>
    </row>
    <row r="304" spans="1:47" s="576" customFormat="1" x14ac:dyDescent="0.25">
      <c r="A304" s="381">
        <f t="shared" si="4"/>
        <v>31</v>
      </c>
      <c r="B304" s="571">
        <v>41592</v>
      </c>
      <c r="C304" s="572" t="s">
        <v>455</v>
      </c>
      <c r="D304" s="572"/>
      <c r="E304" s="572" t="s">
        <v>380</v>
      </c>
      <c r="F304" s="572" t="s">
        <v>185</v>
      </c>
      <c r="G304" s="572" t="s">
        <v>186</v>
      </c>
      <c r="H304" s="375"/>
      <c r="I304" s="375"/>
      <c r="J304" s="375"/>
      <c r="K304" s="375"/>
      <c r="L304" s="376"/>
      <c r="M304" s="376">
        <v>75</v>
      </c>
      <c r="N304" s="376"/>
      <c r="O304" s="376"/>
      <c r="P304" s="378"/>
      <c r="Q304" s="378"/>
      <c r="R304" s="378"/>
      <c r="S304" s="378"/>
      <c r="T304" s="378"/>
      <c r="U304" s="378"/>
      <c r="V304" s="533"/>
      <c r="W304" s="378"/>
      <c r="X304" s="378"/>
      <c r="Y304" s="378">
        <f>IF(NFI_Expiration=1,IF($A304&lt;VLOOKUP(H$5,NFI,5,0),1,0)*Table_NFI[[#This Row],[Hygiene Kit]],Table_NFI[Hygiene Kit])</f>
        <v>0</v>
      </c>
      <c r="Z304" s="378">
        <f>IF(NFI_Expiration=1,IF($A304&lt;VLOOKUP(I$5,NFI,5,0),1,0)*Table_NFI[[#This Row],[NFI Core Kit]],Table_NFI[NFI Core Kit])</f>
        <v>0</v>
      </c>
      <c r="AA304" s="378">
        <f>IF(NFI_Expiration=1,IF($A304&lt;VLOOKUP(J$5,NFI,5,0),1,0)*Table_NFI[[#This Row],[Sanitary Kit]],Table_NFI[Sanitary Kit])</f>
        <v>0</v>
      </c>
      <c r="AB304" s="378">
        <f>IF(NFI_Expiration=1,IF($A304&lt;VLOOKUP(K$5,NFI,5,0),1,0)*Table_NFI[[#This Row],[Mosquito net]],Table_NFI[Mosquito net])</f>
        <v>0</v>
      </c>
      <c r="AC304" s="378">
        <f>IF(NFI_Expiration=1,IF($A304&lt;VLOOKUP(L$5,NFI,5,0),1,0)*Table_NFI[[#This Row],[Tarpaulin]],Table_NFI[[#This Row],[Tarpaulin]])</f>
        <v>0</v>
      </c>
      <c r="AD304" s="378">
        <f>IF(NFI_Expiration=1,IF($A304&lt;VLOOKUP(M$5,NFI,5,0),1,0)*Table_NFI[[#This Row],[Blanket]],Table_NFI[[#This Row],[Blanket]])</f>
        <v>0</v>
      </c>
      <c r="AE304" s="378">
        <f>IF(NFI_Expiration=1,IF($A304&lt;VLOOKUP(N$5,NFI,5,0),1,0)*Table_NFI[[#This Row],[Kitchen Set]],Table_NFI[Kitchen Set])</f>
        <v>0</v>
      </c>
      <c r="AF304" s="378">
        <f>IF(NFI_Expiration=1,IF($A304&lt;VLOOKUP(O$5,NFI,5,0),1,0)*Table_NFI[[#This Row],[Clothes Kit]],Table_NFI[Clothes Kit])</f>
        <v>0</v>
      </c>
      <c r="AG304" s="378">
        <f>IF(NFI_Expiration=1,IF($A304&lt;VLOOKUP(P$5,NFI,5,0),1,0)*Table_NFI[[#This Row],[Plastic Bucket]],Table_NFI[Plastic Bucket])</f>
        <v>0</v>
      </c>
      <c r="AH304" s="378">
        <f>IF(NFI_Expiration=1,IF($A304&lt;VLOOKUP(Q$5,NFI,5,0),1,0)*Table_NFI[[#This Row],[Plastic Mat]],Table_NFI[Plastic Mat])*IF(Table_NFI[[#This Row],[Distribution Date]]&gt;"2014-04-01",1,2.5)</f>
        <v>0</v>
      </c>
      <c r="AI304" s="378">
        <f>IF(NFI_Expiration=1,IF($A304&lt;VLOOKUP(R$5,NFI,5,0),1,0)*Table_NFI[[#This Row],[Winter Clothes Adult]],Table_NFI[Winter Clothes Adult])</f>
        <v>0</v>
      </c>
      <c r="AJ304" s="378">
        <f>IF(NFI_Expiration=1,IF($A304&lt;VLOOKUP(S$5,NFI,5,0),1,0)*Table_NFI[[#This Row],[Winter Clothes Children]],Table_NFI[Winter Clothes Children])</f>
        <v>0</v>
      </c>
      <c r="AK304" s="378">
        <f>IF(NFI_Expiration=1,IF($A304&lt;VLOOKUP(T$5,NFI,5,0),1,0)*Table_NFI[[#This Row],[Winter Items Other]],Table_NFI[Winter Items Other])</f>
        <v>0</v>
      </c>
      <c r="AL304" s="378">
        <f>IF(NFI_Expiration=1,IF($A304&lt;VLOOKUP(M$5,NFI,5,0),1,0)*Table_NFI[[#This Row],[Winter Blanket]],Table_NFI[[#This Row],[Winter Blanket]])</f>
        <v>0</v>
      </c>
      <c r="AM304" s="378">
        <f>IF(Table_NFI[[#This Row],[Winter Clothes Adult]]+Table_NFI[[#This Row],[Winter Clothes Children]]+Table_NFI[[#This Row],[Winter Items Other]]+Table_NFI[[#This Row],[Winter Blanket]]&gt;0,1,0)</f>
        <v>0</v>
      </c>
      <c r="AN304" s="418">
        <f>IF(NFI_Expiration=1,IF($A304&lt;VLOOKUP(V$5,NFI,5,0),1,0)*Table_NFI[[#This Row],[Jerry Can]],Table_NFI[Jerry Can])</f>
        <v>0</v>
      </c>
      <c r="AO304" s="579" t="str">
        <f>IFERROR(VLOOKUP(Table_NFI[[#This Row],[Camp Name]],CL,2,0),"")</f>
        <v>MMR001CMP071</v>
      </c>
      <c r="AP304" s="574">
        <f ca="1">IF(Table_NFI[[#This Row],[Pcode]]="","",IF(OFFSET(CampList[Opening Date],MATCH(Table_NFI[[#This Row],[Pcode]],CampList[CP_Pcode],0)-1,0,1,1)&gt;=NFI_Monitor_Date,1,0))</f>
        <v>0</v>
      </c>
      <c r="AQ304" s="579" t="str">
        <f>IFERROR(VLOOKUP(Table_NFI[[#This Row],[Camp Name]],CL,3,0),"")</f>
        <v>Open</v>
      </c>
      <c r="AR304" s="378" t="str">
        <f ca="1">IF(Table_NFI[[#This Row],[Pcode]]="","",OFFSET(CampList[Priority],MATCH(Table_NFI[[#This Row],[Pcode]],CampList[CP_Pcode],0)-1,0,1,1))</f>
        <v>P3</v>
      </c>
      <c r="AS304" s="377">
        <f>IFERROR(Table_NFI[[#This Row],[Kitchen Set]]/VLOOKUP(Table_NFI[[#This Row],[Camp Name]],CL,4,0),"")</f>
        <v>0</v>
      </c>
      <c r="AT304" s="572" t="s">
        <v>1095</v>
      </c>
      <c r="AU304" s="575"/>
    </row>
    <row r="305" spans="1:47" s="576" customFormat="1" x14ac:dyDescent="0.25">
      <c r="A305" s="381">
        <f t="shared" si="4"/>
        <v>36.133333333333333</v>
      </c>
      <c r="B305" s="571">
        <v>41438</v>
      </c>
      <c r="C305" s="572" t="s">
        <v>454</v>
      </c>
      <c r="D305" s="573" t="s">
        <v>454</v>
      </c>
      <c r="E305" s="572" t="s">
        <v>380</v>
      </c>
      <c r="F305" s="374" t="s">
        <v>185</v>
      </c>
      <c r="G305" s="374" t="s">
        <v>186</v>
      </c>
      <c r="H305" s="375"/>
      <c r="I305" s="375"/>
      <c r="J305" s="375">
        <v>152</v>
      </c>
      <c r="K305" s="375">
        <v>11</v>
      </c>
      <c r="L305" s="376">
        <v>4</v>
      </c>
      <c r="M305" s="376">
        <v>11</v>
      </c>
      <c r="N305" s="376">
        <v>4</v>
      </c>
      <c r="O305" s="376">
        <v>4</v>
      </c>
      <c r="P305" s="378">
        <v>4</v>
      </c>
      <c r="Q305" s="378">
        <v>4</v>
      </c>
      <c r="R305" s="378"/>
      <c r="S305" s="378"/>
      <c r="T305" s="378"/>
      <c r="U305" s="378"/>
      <c r="V305" s="533"/>
      <c r="W305" s="378"/>
      <c r="X305" s="378"/>
      <c r="Y305" s="378">
        <f>IF(NFI_Expiration=1,IF($A305&lt;VLOOKUP(H$5,NFI,5,0),1,0)*Table_NFI[[#This Row],[Hygiene Kit]],Table_NFI[Hygiene Kit])</f>
        <v>0</v>
      </c>
      <c r="Z305" s="378">
        <f>IF(NFI_Expiration=1,IF($A305&lt;VLOOKUP(I$5,NFI,5,0),1,0)*Table_NFI[[#This Row],[NFI Core Kit]],Table_NFI[NFI Core Kit])</f>
        <v>0</v>
      </c>
      <c r="AA305" s="378">
        <f>IF(NFI_Expiration=1,IF($A305&lt;VLOOKUP(J$5,NFI,5,0),1,0)*Table_NFI[[#This Row],[Sanitary Kit]],Table_NFI[Sanitary Kit])</f>
        <v>0</v>
      </c>
      <c r="AB305" s="378">
        <f>IF(NFI_Expiration=1,IF($A305&lt;VLOOKUP(K$5,NFI,5,0),1,0)*Table_NFI[[#This Row],[Mosquito net]],Table_NFI[Mosquito net])</f>
        <v>0</v>
      </c>
      <c r="AC305" s="378">
        <f>IF(NFI_Expiration=1,IF($A305&lt;VLOOKUP(L$5,NFI,5,0),1,0)*Table_NFI[[#This Row],[Tarpaulin]],Table_NFI[[#This Row],[Tarpaulin]])</f>
        <v>0</v>
      </c>
      <c r="AD305" s="378">
        <f>IF(NFI_Expiration=1,IF($A305&lt;VLOOKUP(M$5,NFI,5,0),1,0)*Table_NFI[[#This Row],[Blanket]],Table_NFI[[#This Row],[Blanket]])</f>
        <v>0</v>
      </c>
      <c r="AE305" s="378">
        <f>IF(NFI_Expiration=1,IF($A305&lt;VLOOKUP(N$5,NFI,5,0),1,0)*Table_NFI[[#This Row],[Kitchen Set]],Table_NFI[Kitchen Set])</f>
        <v>0</v>
      </c>
      <c r="AF305" s="378">
        <f>IF(NFI_Expiration=1,IF($A305&lt;VLOOKUP(O$5,NFI,5,0),1,0)*Table_NFI[[#This Row],[Clothes Kit]],Table_NFI[Clothes Kit])</f>
        <v>0</v>
      </c>
      <c r="AG305" s="378">
        <f>IF(NFI_Expiration=1,IF($A305&lt;VLOOKUP(P$5,NFI,5,0),1,0)*Table_NFI[[#This Row],[Plastic Bucket]],Table_NFI[Plastic Bucket])</f>
        <v>0</v>
      </c>
      <c r="AH305" s="378">
        <f>IF(NFI_Expiration=1,IF($A305&lt;VLOOKUP(Q$5,NFI,5,0),1,0)*Table_NFI[[#This Row],[Plastic Mat]],Table_NFI[Plastic Mat])*IF(Table_NFI[[#This Row],[Distribution Date]]&gt;"2014-04-01",1,2.5)</f>
        <v>0</v>
      </c>
      <c r="AI305" s="378">
        <f>IF(NFI_Expiration=1,IF($A305&lt;VLOOKUP(R$5,NFI,5,0),1,0)*Table_NFI[[#This Row],[Winter Clothes Adult]],Table_NFI[Winter Clothes Adult])</f>
        <v>0</v>
      </c>
      <c r="AJ305" s="378">
        <f>IF(NFI_Expiration=1,IF($A305&lt;VLOOKUP(S$5,NFI,5,0),1,0)*Table_NFI[[#This Row],[Winter Clothes Children]],Table_NFI[Winter Clothes Children])</f>
        <v>0</v>
      </c>
      <c r="AK305" s="378">
        <f>IF(NFI_Expiration=1,IF($A305&lt;VLOOKUP(T$5,NFI,5,0),1,0)*Table_NFI[[#This Row],[Winter Items Other]],Table_NFI[Winter Items Other])</f>
        <v>0</v>
      </c>
      <c r="AL305" s="378">
        <f>IF(NFI_Expiration=1,IF($A305&lt;VLOOKUP(M$5,NFI,5,0),1,0)*Table_NFI[[#This Row],[Winter Blanket]],Table_NFI[[#This Row],[Winter Blanket]])</f>
        <v>0</v>
      </c>
      <c r="AM305" s="378">
        <f>IF(Table_NFI[[#This Row],[Winter Clothes Adult]]+Table_NFI[[#This Row],[Winter Clothes Children]]+Table_NFI[[#This Row],[Winter Items Other]]+Table_NFI[[#This Row],[Winter Blanket]]&gt;0,1,0)</f>
        <v>0</v>
      </c>
      <c r="AN305" s="418">
        <f>IF(NFI_Expiration=1,IF($A305&lt;VLOOKUP(V$5,NFI,5,0),1,0)*Table_NFI[[#This Row],[Jerry Can]],Table_NFI[Jerry Can])</f>
        <v>0</v>
      </c>
      <c r="AO305" s="579" t="str">
        <f>IFERROR(VLOOKUP(Table_NFI[[#This Row],[Camp Name]],CL,2,0),"")</f>
        <v>MMR001CMP071</v>
      </c>
      <c r="AP305" s="574">
        <f ca="1">IF(Table_NFI[[#This Row],[Pcode]]="","",IF(OFFSET(CampList[Opening Date],MATCH(Table_NFI[[#This Row],[Pcode]],CampList[CP_Pcode],0)-1,0,1,1)&gt;=NFI_Monitor_Date,1,0))</f>
        <v>0</v>
      </c>
      <c r="AQ305" s="579" t="str">
        <f>IFERROR(VLOOKUP(Table_NFI[[#This Row],[Camp Name]],CL,3,0),"")</f>
        <v>Open</v>
      </c>
      <c r="AR305" s="378" t="str">
        <f ca="1">IF(Table_NFI[[#This Row],[Pcode]]="","",OFFSET(CampList[Priority],MATCH(Table_NFI[[#This Row],[Pcode]],CampList[CP_Pcode],0)-1,0,1,1))</f>
        <v>P3</v>
      </c>
      <c r="AS305" s="377">
        <f>IFERROR(Table_NFI[[#This Row],[Kitchen Set]]/VLOOKUP(Table_NFI[[#This Row],[Camp Name]],CL,4,0),"")</f>
        <v>0.1111111111111111</v>
      </c>
      <c r="AT305" s="572" t="s">
        <v>1095</v>
      </c>
      <c r="AU305" s="575"/>
    </row>
    <row r="306" spans="1:47" s="576" customFormat="1" x14ac:dyDescent="0.25">
      <c r="A306" s="381">
        <f t="shared" si="4"/>
        <v>39.56666666666667</v>
      </c>
      <c r="B306" s="571">
        <v>41335</v>
      </c>
      <c r="C306" s="572" t="s">
        <v>908</v>
      </c>
      <c r="D306" s="573" t="s">
        <v>908</v>
      </c>
      <c r="E306" s="572" t="s">
        <v>380</v>
      </c>
      <c r="F306" s="374" t="s">
        <v>185</v>
      </c>
      <c r="G306" s="374" t="s">
        <v>186</v>
      </c>
      <c r="H306" s="375">
        <v>3</v>
      </c>
      <c r="I306" s="375"/>
      <c r="J306" s="375"/>
      <c r="K306" s="375"/>
      <c r="L306" s="376"/>
      <c r="M306" s="376"/>
      <c r="N306" s="376"/>
      <c r="O306" s="376"/>
      <c r="P306" s="378">
        <v>0</v>
      </c>
      <c r="Q306" s="378">
        <v>0</v>
      </c>
      <c r="R306" s="378"/>
      <c r="S306" s="378"/>
      <c r="T306" s="378"/>
      <c r="U306" s="378"/>
      <c r="V306" s="533"/>
      <c r="W306" s="378"/>
      <c r="X306" s="378"/>
      <c r="Y306" s="378">
        <f>IF(NFI_Expiration=1,IF($A306&lt;VLOOKUP(H$5,NFI,5,0),1,0)*Table_NFI[[#This Row],[Hygiene Kit]],Table_NFI[Hygiene Kit])</f>
        <v>0</v>
      </c>
      <c r="Z306" s="378">
        <f>IF(NFI_Expiration=1,IF($A306&lt;VLOOKUP(I$5,NFI,5,0),1,0)*Table_NFI[[#This Row],[NFI Core Kit]],Table_NFI[NFI Core Kit])</f>
        <v>0</v>
      </c>
      <c r="AA306" s="378">
        <f>IF(NFI_Expiration=1,IF($A306&lt;VLOOKUP(J$5,NFI,5,0),1,0)*Table_NFI[[#This Row],[Sanitary Kit]],Table_NFI[Sanitary Kit])</f>
        <v>0</v>
      </c>
      <c r="AB306" s="378">
        <f>IF(NFI_Expiration=1,IF($A306&lt;VLOOKUP(K$5,NFI,5,0),1,0)*Table_NFI[[#This Row],[Mosquito net]],Table_NFI[Mosquito net])</f>
        <v>0</v>
      </c>
      <c r="AC306" s="378">
        <f>IF(NFI_Expiration=1,IF($A306&lt;VLOOKUP(L$5,NFI,5,0),1,0)*Table_NFI[[#This Row],[Tarpaulin]],Table_NFI[[#This Row],[Tarpaulin]])</f>
        <v>0</v>
      </c>
      <c r="AD306" s="378">
        <f>IF(NFI_Expiration=1,IF($A306&lt;VLOOKUP(M$5,NFI,5,0),1,0)*Table_NFI[[#This Row],[Blanket]],Table_NFI[[#This Row],[Blanket]])</f>
        <v>0</v>
      </c>
      <c r="AE306" s="378">
        <f>IF(NFI_Expiration=1,IF($A306&lt;VLOOKUP(N$5,NFI,5,0),1,0)*Table_NFI[[#This Row],[Kitchen Set]],Table_NFI[Kitchen Set])</f>
        <v>0</v>
      </c>
      <c r="AF306" s="378">
        <f>IF(NFI_Expiration=1,IF($A306&lt;VLOOKUP(O$5,NFI,5,0),1,0)*Table_NFI[[#This Row],[Clothes Kit]],Table_NFI[Clothes Kit])</f>
        <v>0</v>
      </c>
      <c r="AG306" s="378">
        <f>IF(NFI_Expiration=1,IF($A306&lt;VLOOKUP(P$5,NFI,5,0),1,0)*Table_NFI[[#This Row],[Plastic Bucket]],Table_NFI[Plastic Bucket])</f>
        <v>0</v>
      </c>
      <c r="AH306" s="378">
        <f>IF(NFI_Expiration=1,IF($A306&lt;VLOOKUP(Q$5,NFI,5,0),1,0)*Table_NFI[[#This Row],[Plastic Mat]],Table_NFI[Plastic Mat])*IF(Table_NFI[[#This Row],[Distribution Date]]&gt;"2014-04-01",1,2.5)</f>
        <v>0</v>
      </c>
      <c r="AI306" s="378">
        <f>IF(NFI_Expiration=1,IF($A306&lt;VLOOKUP(R$5,NFI,5,0),1,0)*Table_NFI[[#This Row],[Winter Clothes Adult]],Table_NFI[Winter Clothes Adult])</f>
        <v>0</v>
      </c>
      <c r="AJ306" s="378">
        <f>IF(NFI_Expiration=1,IF($A306&lt;VLOOKUP(S$5,NFI,5,0),1,0)*Table_NFI[[#This Row],[Winter Clothes Children]],Table_NFI[Winter Clothes Children])</f>
        <v>0</v>
      </c>
      <c r="AK306" s="378">
        <f>IF(NFI_Expiration=1,IF($A306&lt;VLOOKUP(T$5,NFI,5,0),1,0)*Table_NFI[[#This Row],[Winter Items Other]],Table_NFI[Winter Items Other])</f>
        <v>0</v>
      </c>
      <c r="AL306" s="378">
        <f>IF(NFI_Expiration=1,IF($A306&lt;VLOOKUP(M$5,NFI,5,0),1,0)*Table_NFI[[#This Row],[Winter Blanket]],Table_NFI[[#This Row],[Winter Blanket]])</f>
        <v>0</v>
      </c>
      <c r="AM306" s="378">
        <f>IF(Table_NFI[[#This Row],[Winter Clothes Adult]]+Table_NFI[[#This Row],[Winter Clothes Children]]+Table_NFI[[#This Row],[Winter Items Other]]+Table_NFI[[#This Row],[Winter Blanket]]&gt;0,1,0)</f>
        <v>0</v>
      </c>
      <c r="AN306" s="418">
        <f>IF(NFI_Expiration=1,IF($A306&lt;VLOOKUP(V$5,NFI,5,0),1,0)*Table_NFI[[#This Row],[Jerry Can]],Table_NFI[Jerry Can])</f>
        <v>0</v>
      </c>
      <c r="AO306" s="579" t="str">
        <f>IFERROR(VLOOKUP(Table_NFI[[#This Row],[Camp Name]],CL,2,0),"")</f>
        <v>MMR001CMP071</v>
      </c>
      <c r="AP306" s="574">
        <f ca="1">IF(Table_NFI[[#This Row],[Pcode]]="","",IF(OFFSET(CampList[Opening Date],MATCH(Table_NFI[[#This Row],[Pcode]],CampList[CP_Pcode],0)-1,0,1,1)&gt;=NFI_Monitor_Date,1,0))</f>
        <v>0</v>
      </c>
      <c r="AQ306" s="579" t="str">
        <f>IFERROR(VLOOKUP(Table_NFI[[#This Row],[Camp Name]],CL,3,0),"")</f>
        <v>Open</v>
      </c>
      <c r="AR306" s="378" t="str">
        <f ca="1">IF(Table_NFI[[#This Row],[Pcode]]="","",OFFSET(CampList[Priority],MATCH(Table_NFI[[#This Row],[Pcode]],CampList[CP_Pcode],0)-1,0,1,1))</f>
        <v>P3</v>
      </c>
      <c r="AS306" s="377">
        <f>IFERROR(Table_NFI[[#This Row],[Kitchen Set]]/VLOOKUP(Table_NFI[[#This Row],[Camp Name]],CL,4,0),"")</f>
        <v>0</v>
      </c>
      <c r="AT306" s="572" t="s">
        <v>1095</v>
      </c>
      <c r="AU306" s="575"/>
    </row>
    <row r="307" spans="1:47" s="576" customFormat="1" x14ac:dyDescent="0.25">
      <c r="A307" s="381">
        <f t="shared" si="4"/>
        <v>45.5</v>
      </c>
      <c r="B307" s="571">
        <v>41157</v>
      </c>
      <c r="C307" s="572" t="s">
        <v>454</v>
      </c>
      <c r="D307" s="572" t="s">
        <v>454</v>
      </c>
      <c r="E307" s="572" t="s">
        <v>380</v>
      </c>
      <c r="F307" s="374" t="s">
        <v>185</v>
      </c>
      <c r="G307" s="374" t="s">
        <v>186</v>
      </c>
      <c r="H307" s="375"/>
      <c r="I307" s="375"/>
      <c r="J307" s="375"/>
      <c r="K307" s="375">
        <v>40</v>
      </c>
      <c r="L307" s="376">
        <v>17</v>
      </c>
      <c r="M307" s="376">
        <v>40</v>
      </c>
      <c r="N307" s="376">
        <v>17</v>
      </c>
      <c r="O307" s="376">
        <v>17</v>
      </c>
      <c r="P307" s="378">
        <v>17</v>
      </c>
      <c r="Q307" s="378">
        <v>17</v>
      </c>
      <c r="R307" s="378"/>
      <c r="S307" s="378"/>
      <c r="T307" s="378"/>
      <c r="U307" s="378"/>
      <c r="V307" s="533"/>
      <c r="W307" s="378"/>
      <c r="X307" s="378"/>
      <c r="Y307" s="378">
        <f>IF(NFI_Expiration=1,IF($A307&lt;VLOOKUP(H$5,NFI,5,0),1,0)*Table_NFI[[#This Row],[Hygiene Kit]],Table_NFI[Hygiene Kit])</f>
        <v>0</v>
      </c>
      <c r="Z307" s="378">
        <f>IF(NFI_Expiration=1,IF($A307&lt;VLOOKUP(I$5,NFI,5,0),1,0)*Table_NFI[[#This Row],[NFI Core Kit]],Table_NFI[NFI Core Kit])</f>
        <v>0</v>
      </c>
      <c r="AA307" s="378">
        <f>IF(NFI_Expiration=1,IF($A307&lt;VLOOKUP(J$5,NFI,5,0),1,0)*Table_NFI[[#This Row],[Sanitary Kit]],Table_NFI[Sanitary Kit])</f>
        <v>0</v>
      </c>
      <c r="AB307" s="378">
        <f>IF(NFI_Expiration=1,IF($A307&lt;VLOOKUP(K$5,NFI,5,0),1,0)*Table_NFI[[#This Row],[Mosquito net]],Table_NFI[Mosquito net])</f>
        <v>0</v>
      </c>
      <c r="AC307" s="378">
        <f>IF(NFI_Expiration=1,IF($A307&lt;VLOOKUP(L$5,NFI,5,0),1,0)*Table_NFI[[#This Row],[Tarpaulin]],Table_NFI[[#This Row],[Tarpaulin]])</f>
        <v>0</v>
      </c>
      <c r="AD307" s="378">
        <f>IF(NFI_Expiration=1,IF($A307&lt;VLOOKUP(M$5,NFI,5,0),1,0)*Table_NFI[[#This Row],[Blanket]],Table_NFI[[#This Row],[Blanket]])</f>
        <v>0</v>
      </c>
      <c r="AE307" s="378">
        <f>IF(NFI_Expiration=1,IF($A307&lt;VLOOKUP(N$5,NFI,5,0),1,0)*Table_NFI[[#This Row],[Kitchen Set]],Table_NFI[Kitchen Set])</f>
        <v>0</v>
      </c>
      <c r="AF307" s="378">
        <f>IF(NFI_Expiration=1,IF($A307&lt;VLOOKUP(O$5,NFI,5,0),1,0)*Table_NFI[[#This Row],[Clothes Kit]],Table_NFI[Clothes Kit])</f>
        <v>0</v>
      </c>
      <c r="AG307" s="378">
        <f>IF(NFI_Expiration=1,IF($A307&lt;VLOOKUP(P$5,NFI,5,0),1,0)*Table_NFI[[#This Row],[Plastic Bucket]],Table_NFI[Plastic Bucket])</f>
        <v>0</v>
      </c>
      <c r="AH307" s="378">
        <f>IF(NFI_Expiration=1,IF($A307&lt;VLOOKUP(Q$5,NFI,5,0),1,0)*Table_NFI[[#This Row],[Plastic Mat]],Table_NFI[Plastic Mat])*IF(Table_NFI[[#This Row],[Distribution Date]]&gt;"2014-04-01",1,2.5)</f>
        <v>0</v>
      </c>
      <c r="AI307" s="378">
        <f>IF(NFI_Expiration=1,IF($A307&lt;VLOOKUP(R$5,NFI,5,0),1,0)*Table_NFI[[#This Row],[Winter Clothes Adult]],Table_NFI[Winter Clothes Adult])</f>
        <v>0</v>
      </c>
      <c r="AJ307" s="378">
        <f>IF(NFI_Expiration=1,IF($A307&lt;VLOOKUP(S$5,NFI,5,0),1,0)*Table_NFI[[#This Row],[Winter Clothes Children]],Table_NFI[Winter Clothes Children])</f>
        <v>0</v>
      </c>
      <c r="AK307" s="378">
        <f>IF(NFI_Expiration=1,IF($A307&lt;VLOOKUP(T$5,NFI,5,0),1,0)*Table_NFI[[#This Row],[Winter Items Other]],Table_NFI[Winter Items Other])</f>
        <v>0</v>
      </c>
      <c r="AL307" s="378">
        <f>IF(NFI_Expiration=1,IF($A307&lt;VLOOKUP(M$5,NFI,5,0),1,0)*Table_NFI[[#This Row],[Winter Blanket]],Table_NFI[[#This Row],[Winter Blanket]])</f>
        <v>0</v>
      </c>
      <c r="AM307" s="378">
        <f>IF(Table_NFI[[#This Row],[Winter Clothes Adult]]+Table_NFI[[#This Row],[Winter Clothes Children]]+Table_NFI[[#This Row],[Winter Items Other]]+Table_NFI[[#This Row],[Winter Blanket]]&gt;0,1,0)</f>
        <v>0</v>
      </c>
      <c r="AN307" s="418">
        <f>IF(NFI_Expiration=1,IF($A307&lt;VLOOKUP(V$5,NFI,5,0),1,0)*Table_NFI[[#This Row],[Jerry Can]],Table_NFI[Jerry Can])</f>
        <v>0</v>
      </c>
      <c r="AO307" s="579" t="str">
        <f>IFERROR(VLOOKUP(Table_NFI[[#This Row],[Camp Name]],CL,2,0),"")</f>
        <v>MMR001CMP071</v>
      </c>
      <c r="AP307" s="574">
        <f ca="1">IF(Table_NFI[[#This Row],[Pcode]]="","",IF(OFFSET(CampList[Opening Date],MATCH(Table_NFI[[#This Row],[Pcode]],CampList[CP_Pcode],0)-1,0,1,1)&gt;=NFI_Monitor_Date,1,0))</f>
        <v>0</v>
      </c>
      <c r="AQ307" s="579" t="str">
        <f>IFERROR(VLOOKUP(Table_NFI[[#This Row],[Camp Name]],CL,3,0),"")</f>
        <v>Open</v>
      </c>
      <c r="AR307" s="378" t="str">
        <f ca="1">IF(Table_NFI[[#This Row],[Pcode]]="","",OFFSET(CampList[Priority],MATCH(Table_NFI[[#This Row],[Pcode]],CampList[CP_Pcode],0)-1,0,1,1))</f>
        <v>P3</v>
      </c>
      <c r="AS307" s="377">
        <f>IFERROR(Table_NFI[[#This Row],[Kitchen Set]]/VLOOKUP(Table_NFI[[#This Row],[Camp Name]],CL,4,0),"")</f>
        <v>0.47222222222222221</v>
      </c>
      <c r="AT307" s="572" t="s">
        <v>1095</v>
      </c>
      <c r="AU307" s="575"/>
    </row>
    <row r="308" spans="1:47" s="576" customFormat="1" x14ac:dyDescent="0.25">
      <c r="A308" s="381">
        <f t="shared" si="4"/>
        <v>19.5</v>
      </c>
      <c r="B308" s="571">
        <v>41937</v>
      </c>
      <c r="C308" s="572" t="s">
        <v>1097</v>
      </c>
      <c r="D308" s="572" t="s">
        <v>903</v>
      </c>
      <c r="E308" s="572" t="s">
        <v>380</v>
      </c>
      <c r="F308" s="572" t="s">
        <v>185</v>
      </c>
      <c r="G308" s="572" t="s">
        <v>223</v>
      </c>
      <c r="H308" s="375"/>
      <c r="I308" s="375"/>
      <c r="J308" s="375"/>
      <c r="K308" s="375"/>
      <c r="L308" s="376"/>
      <c r="M308" s="376"/>
      <c r="N308" s="376"/>
      <c r="O308" s="376"/>
      <c r="P308" s="378"/>
      <c r="Q308" s="378"/>
      <c r="R308" s="378">
        <v>203</v>
      </c>
      <c r="S308" s="378">
        <v>102</v>
      </c>
      <c r="T308" s="378"/>
      <c r="U308" s="378">
        <v>138</v>
      </c>
      <c r="V308" s="533"/>
      <c r="W308" s="378"/>
      <c r="X308" s="378"/>
      <c r="Y308" s="378">
        <f>IF(NFI_Expiration=1,IF($A308&lt;VLOOKUP(H$5,NFI,5,0),1,0)*Table_NFI[[#This Row],[Hygiene Kit]],Table_NFI[Hygiene Kit])</f>
        <v>0</v>
      </c>
      <c r="Z308" s="378">
        <f>IF(NFI_Expiration=1,IF($A308&lt;VLOOKUP(I$5,NFI,5,0),1,0)*Table_NFI[[#This Row],[NFI Core Kit]],Table_NFI[NFI Core Kit])</f>
        <v>0</v>
      </c>
      <c r="AA308" s="378">
        <f>IF(NFI_Expiration=1,IF($A308&lt;VLOOKUP(J$5,NFI,5,0),1,0)*Table_NFI[[#This Row],[Sanitary Kit]],Table_NFI[Sanitary Kit])</f>
        <v>0</v>
      </c>
      <c r="AB308" s="378">
        <f>IF(NFI_Expiration=1,IF($A308&lt;VLOOKUP(K$5,NFI,5,0),1,0)*Table_NFI[[#This Row],[Mosquito net]],Table_NFI[Mosquito net])</f>
        <v>0</v>
      </c>
      <c r="AC308" s="378">
        <f>IF(NFI_Expiration=1,IF($A308&lt;VLOOKUP(L$5,NFI,5,0),1,0)*Table_NFI[[#This Row],[Tarpaulin]],Table_NFI[[#This Row],[Tarpaulin]])</f>
        <v>0</v>
      </c>
      <c r="AD308" s="378">
        <f>IF(NFI_Expiration=1,IF($A308&lt;VLOOKUP(M$5,NFI,5,0),1,0)*Table_NFI[[#This Row],[Blanket]],Table_NFI[[#This Row],[Blanket]])</f>
        <v>0</v>
      </c>
      <c r="AE308" s="378">
        <f>IF(NFI_Expiration=1,IF($A308&lt;VLOOKUP(N$5,NFI,5,0),1,0)*Table_NFI[[#This Row],[Kitchen Set]],Table_NFI[Kitchen Set])</f>
        <v>0</v>
      </c>
      <c r="AF308" s="378">
        <f>IF(NFI_Expiration=1,IF($A308&lt;VLOOKUP(O$5,NFI,5,0),1,0)*Table_NFI[[#This Row],[Clothes Kit]],Table_NFI[Clothes Kit])</f>
        <v>0</v>
      </c>
      <c r="AG308" s="378">
        <f>IF(NFI_Expiration=1,IF($A308&lt;VLOOKUP(P$5,NFI,5,0),1,0)*Table_NFI[[#This Row],[Plastic Bucket]],Table_NFI[Plastic Bucket])</f>
        <v>0</v>
      </c>
      <c r="AH308" s="378">
        <f>IF(NFI_Expiration=1,IF($A308&lt;VLOOKUP(Q$5,NFI,5,0),1,0)*Table_NFI[[#This Row],[Plastic Mat]],Table_NFI[Plastic Mat])*IF(Table_NFI[[#This Row],[Distribution Date]]&gt;"2014-04-01",1,2.5)</f>
        <v>0</v>
      </c>
      <c r="AI308" s="378">
        <f>IF(NFI_Expiration=1,IF($A308&lt;VLOOKUP(R$5,NFI,5,0),1,0)*Table_NFI[[#This Row],[Winter Clothes Adult]],Table_NFI[Winter Clothes Adult])</f>
        <v>0</v>
      </c>
      <c r="AJ308" s="378">
        <f>IF(NFI_Expiration=1,IF($A308&lt;VLOOKUP(S$5,NFI,5,0),1,0)*Table_NFI[[#This Row],[Winter Clothes Children]],Table_NFI[Winter Clothes Children])</f>
        <v>0</v>
      </c>
      <c r="AK308" s="378">
        <f>IF(NFI_Expiration=1,IF($A308&lt;VLOOKUP(T$5,NFI,5,0),1,0)*Table_NFI[[#This Row],[Winter Items Other]],Table_NFI[Winter Items Other])</f>
        <v>0</v>
      </c>
      <c r="AL308" s="378">
        <f>IF(NFI_Expiration=1,IF($A308&lt;VLOOKUP(M$5,NFI,5,0),1,0)*Table_NFI[[#This Row],[Winter Blanket]],Table_NFI[[#This Row],[Winter Blanket]])</f>
        <v>0</v>
      </c>
      <c r="AM308" s="378">
        <f>IF(Table_NFI[[#This Row],[Winter Clothes Adult]]+Table_NFI[[#This Row],[Winter Clothes Children]]+Table_NFI[[#This Row],[Winter Items Other]]+Table_NFI[[#This Row],[Winter Blanket]]&gt;0,1,0)</f>
        <v>1</v>
      </c>
      <c r="AN308" s="418">
        <f>IF(NFI_Expiration=1,IF($A308&lt;VLOOKUP(V$5,NFI,5,0),1,0)*Table_NFI[[#This Row],[Jerry Can]],Table_NFI[Jerry Can])</f>
        <v>0</v>
      </c>
      <c r="AO308" s="579" t="str">
        <f>IFERROR(VLOOKUP(Table_NFI[[#This Row],[Camp Name]],CL,2,0),"")</f>
        <v>MMR001CMP069</v>
      </c>
      <c r="AP308" s="574">
        <f ca="1">IF(Table_NFI[[#This Row],[Pcode]]="","",IF(OFFSET(CampList[Opening Date],MATCH(Table_NFI[[#This Row],[Pcode]],CampList[CP_Pcode],0)-1,0,1,1)&gt;=NFI_Monitor_Date,1,0))</f>
        <v>0</v>
      </c>
      <c r="AQ308" s="579" t="str">
        <f>IFERROR(VLOOKUP(Table_NFI[[#This Row],[Camp Name]],CL,3,0),"")</f>
        <v>Open</v>
      </c>
      <c r="AR308" s="378" t="str">
        <f ca="1">IF(Table_NFI[[#This Row],[Pcode]]="","",OFFSET(CampList[Priority],MATCH(Table_NFI[[#This Row],[Pcode]],CampList[CP_Pcode],0)-1,0,1,1))</f>
        <v>P3</v>
      </c>
      <c r="AS308" s="377">
        <f>IFERROR(Table_NFI[[#This Row],[Kitchen Set]]/VLOOKUP(Table_NFI[[#This Row],[Camp Name]],CL,4,0),"")</f>
        <v>0</v>
      </c>
      <c r="AT308" s="572"/>
      <c r="AU308" s="575"/>
    </row>
    <row r="309" spans="1:47" s="576" customFormat="1" x14ac:dyDescent="0.25">
      <c r="A309" s="381">
        <f t="shared" si="4"/>
        <v>22.233333333333334</v>
      </c>
      <c r="B309" s="571">
        <v>41855</v>
      </c>
      <c r="C309" s="572" t="s">
        <v>454</v>
      </c>
      <c r="D309" s="572"/>
      <c r="E309" s="572" t="s">
        <v>380</v>
      </c>
      <c r="F309" s="572" t="s">
        <v>185</v>
      </c>
      <c r="G309" s="572" t="s">
        <v>223</v>
      </c>
      <c r="H309" s="375"/>
      <c r="I309" s="375"/>
      <c r="J309" s="375"/>
      <c r="K309" s="375"/>
      <c r="L309" s="376">
        <v>116</v>
      </c>
      <c r="M309" s="376"/>
      <c r="N309" s="376"/>
      <c r="O309" s="376"/>
      <c r="P309" s="378"/>
      <c r="Q309" s="378"/>
      <c r="R309" s="378"/>
      <c r="S309" s="378"/>
      <c r="T309" s="378"/>
      <c r="U309" s="378"/>
      <c r="V309" s="533"/>
      <c r="W309" s="378"/>
      <c r="X309" s="378"/>
      <c r="Y309" s="378">
        <f>IF(NFI_Expiration=1,IF($A309&lt;VLOOKUP(H$5,NFI,5,0),1,0)*Table_NFI[[#This Row],[Hygiene Kit]],Table_NFI[Hygiene Kit])</f>
        <v>0</v>
      </c>
      <c r="Z309" s="378">
        <f>IF(NFI_Expiration=1,IF($A309&lt;VLOOKUP(I$5,NFI,5,0),1,0)*Table_NFI[[#This Row],[NFI Core Kit]],Table_NFI[NFI Core Kit])</f>
        <v>0</v>
      </c>
      <c r="AA309" s="378">
        <f>IF(NFI_Expiration=1,IF($A309&lt;VLOOKUP(J$5,NFI,5,0),1,0)*Table_NFI[[#This Row],[Sanitary Kit]],Table_NFI[Sanitary Kit])</f>
        <v>0</v>
      </c>
      <c r="AB309" s="378">
        <f>IF(NFI_Expiration=1,IF($A309&lt;VLOOKUP(K$5,NFI,5,0),1,0)*Table_NFI[[#This Row],[Mosquito net]],Table_NFI[Mosquito net])</f>
        <v>0</v>
      </c>
      <c r="AC309" s="378">
        <f>IF(NFI_Expiration=1,IF($A309&lt;VLOOKUP(L$5,NFI,5,0),1,0)*Table_NFI[[#This Row],[Tarpaulin]],Table_NFI[[#This Row],[Tarpaulin]])</f>
        <v>0</v>
      </c>
      <c r="AD309" s="378">
        <f>IF(NFI_Expiration=1,IF($A309&lt;VLOOKUP(M$5,NFI,5,0),1,0)*Table_NFI[[#This Row],[Blanket]],Table_NFI[[#This Row],[Blanket]])</f>
        <v>0</v>
      </c>
      <c r="AE309" s="378">
        <f>IF(NFI_Expiration=1,IF($A309&lt;VLOOKUP(N$5,NFI,5,0),1,0)*Table_NFI[[#This Row],[Kitchen Set]],Table_NFI[Kitchen Set])</f>
        <v>0</v>
      </c>
      <c r="AF309" s="378">
        <f>IF(NFI_Expiration=1,IF($A309&lt;VLOOKUP(O$5,NFI,5,0),1,0)*Table_NFI[[#This Row],[Clothes Kit]],Table_NFI[Clothes Kit])</f>
        <v>0</v>
      </c>
      <c r="AG309" s="378">
        <f>IF(NFI_Expiration=1,IF($A309&lt;VLOOKUP(P$5,NFI,5,0),1,0)*Table_NFI[[#This Row],[Plastic Bucket]],Table_NFI[Plastic Bucket])</f>
        <v>0</v>
      </c>
      <c r="AH309" s="378">
        <f>IF(NFI_Expiration=1,IF($A309&lt;VLOOKUP(Q$5,NFI,5,0),1,0)*Table_NFI[[#This Row],[Plastic Mat]],Table_NFI[Plastic Mat])*IF(Table_NFI[[#This Row],[Distribution Date]]&gt;"2014-04-01",1,2.5)</f>
        <v>0</v>
      </c>
      <c r="AI309" s="378">
        <f>IF(NFI_Expiration=1,IF($A309&lt;VLOOKUP(R$5,NFI,5,0),1,0)*Table_NFI[[#This Row],[Winter Clothes Adult]],Table_NFI[Winter Clothes Adult])</f>
        <v>0</v>
      </c>
      <c r="AJ309" s="378">
        <f>IF(NFI_Expiration=1,IF($A309&lt;VLOOKUP(S$5,NFI,5,0),1,0)*Table_NFI[[#This Row],[Winter Clothes Children]],Table_NFI[Winter Clothes Children])</f>
        <v>0</v>
      </c>
      <c r="AK309" s="378">
        <f>IF(NFI_Expiration=1,IF($A309&lt;VLOOKUP(T$5,NFI,5,0),1,0)*Table_NFI[[#This Row],[Winter Items Other]],Table_NFI[Winter Items Other])</f>
        <v>0</v>
      </c>
      <c r="AL309" s="378">
        <f>IF(NFI_Expiration=1,IF($A309&lt;VLOOKUP(M$5,NFI,5,0),1,0)*Table_NFI[[#This Row],[Winter Blanket]],Table_NFI[[#This Row],[Winter Blanket]])</f>
        <v>0</v>
      </c>
      <c r="AM309" s="378">
        <f>IF(Table_NFI[[#This Row],[Winter Clothes Adult]]+Table_NFI[[#This Row],[Winter Clothes Children]]+Table_NFI[[#This Row],[Winter Items Other]]+Table_NFI[[#This Row],[Winter Blanket]]&gt;0,1,0)</f>
        <v>0</v>
      </c>
      <c r="AN309" s="418">
        <f>IF(NFI_Expiration=1,IF($A309&lt;VLOOKUP(V$5,NFI,5,0),1,0)*Table_NFI[[#This Row],[Jerry Can]],Table_NFI[Jerry Can])</f>
        <v>0</v>
      </c>
      <c r="AO309" s="579" t="str">
        <f>IFERROR(VLOOKUP(Table_NFI[[#This Row],[Camp Name]],CL,2,0),"")</f>
        <v>MMR001CMP069</v>
      </c>
      <c r="AP309" s="574">
        <f ca="1">IF(Table_NFI[[#This Row],[Pcode]]="","",IF(OFFSET(CampList[Opening Date],MATCH(Table_NFI[[#This Row],[Pcode]],CampList[CP_Pcode],0)-1,0,1,1)&gt;=NFI_Monitor_Date,1,0))</f>
        <v>0</v>
      </c>
      <c r="AQ309" s="579" t="str">
        <f>IFERROR(VLOOKUP(Table_NFI[[#This Row],[Camp Name]],CL,3,0),"")</f>
        <v>Open</v>
      </c>
      <c r="AR309" s="378" t="str">
        <f ca="1">IF(Table_NFI[[#This Row],[Pcode]]="","",OFFSET(CampList[Priority],MATCH(Table_NFI[[#This Row],[Pcode]],CampList[CP_Pcode],0)-1,0,1,1))</f>
        <v>P3</v>
      </c>
      <c r="AS309" s="377">
        <f>IFERROR(Table_NFI[[#This Row],[Kitchen Set]]/VLOOKUP(Table_NFI[[#This Row],[Camp Name]],CL,4,0),"")</f>
        <v>0</v>
      </c>
      <c r="AT309" s="572"/>
      <c r="AU309" s="575"/>
    </row>
    <row r="310" spans="1:47" s="576" customFormat="1" x14ac:dyDescent="0.25">
      <c r="A310" s="381">
        <f t="shared" si="4"/>
        <v>30.466666666666665</v>
      </c>
      <c r="B310" s="571">
        <v>41608</v>
      </c>
      <c r="C310" s="572" t="s">
        <v>908</v>
      </c>
      <c r="D310" s="572"/>
      <c r="E310" s="572" t="s">
        <v>380</v>
      </c>
      <c r="F310" s="374" t="s">
        <v>185</v>
      </c>
      <c r="G310" s="374" t="s">
        <v>223</v>
      </c>
      <c r="H310" s="375"/>
      <c r="I310" s="375"/>
      <c r="J310" s="375"/>
      <c r="K310" s="375"/>
      <c r="L310" s="376"/>
      <c r="M310" s="376"/>
      <c r="N310" s="376"/>
      <c r="O310" s="376"/>
      <c r="P310" s="378"/>
      <c r="Q310" s="378">
        <v>246</v>
      </c>
      <c r="R310" s="378"/>
      <c r="S310" s="378"/>
      <c r="T310" s="378"/>
      <c r="U310" s="378"/>
      <c r="V310" s="533"/>
      <c r="W310" s="378"/>
      <c r="X310" s="378"/>
      <c r="Y310" s="378">
        <f>IF(NFI_Expiration=1,IF($A310&lt;VLOOKUP(H$5,NFI,5,0),1,0)*Table_NFI[[#This Row],[Hygiene Kit]],Table_NFI[Hygiene Kit])</f>
        <v>0</v>
      </c>
      <c r="Z310" s="378">
        <f>IF(NFI_Expiration=1,IF($A310&lt;VLOOKUP(I$5,NFI,5,0),1,0)*Table_NFI[[#This Row],[NFI Core Kit]],Table_NFI[NFI Core Kit])</f>
        <v>0</v>
      </c>
      <c r="AA310" s="378">
        <f>IF(NFI_Expiration=1,IF($A310&lt;VLOOKUP(J$5,NFI,5,0),1,0)*Table_NFI[[#This Row],[Sanitary Kit]],Table_NFI[Sanitary Kit])</f>
        <v>0</v>
      </c>
      <c r="AB310" s="378">
        <f>IF(NFI_Expiration=1,IF($A310&lt;VLOOKUP(K$5,NFI,5,0),1,0)*Table_NFI[[#This Row],[Mosquito net]],Table_NFI[Mosquito net])</f>
        <v>0</v>
      </c>
      <c r="AC310" s="378">
        <f>IF(NFI_Expiration=1,IF($A310&lt;VLOOKUP(L$5,NFI,5,0),1,0)*Table_NFI[[#This Row],[Tarpaulin]],Table_NFI[[#This Row],[Tarpaulin]])</f>
        <v>0</v>
      </c>
      <c r="AD310" s="378">
        <f>IF(NFI_Expiration=1,IF($A310&lt;VLOOKUP(M$5,NFI,5,0),1,0)*Table_NFI[[#This Row],[Blanket]],Table_NFI[[#This Row],[Blanket]])</f>
        <v>0</v>
      </c>
      <c r="AE310" s="378">
        <f>IF(NFI_Expiration=1,IF($A310&lt;VLOOKUP(N$5,NFI,5,0),1,0)*Table_NFI[[#This Row],[Kitchen Set]],Table_NFI[Kitchen Set])</f>
        <v>0</v>
      </c>
      <c r="AF310" s="378">
        <f>IF(NFI_Expiration=1,IF($A310&lt;VLOOKUP(O$5,NFI,5,0),1,0)*Table_NFI[[#This Row],[Clothes Kit]],Table_NFI[Clothes Kit])</f>
        <v>0</v>
      </c>
      <c r="AG310" s="378">
        <f>IF(NFI_Expiration=1,IF($A310&lt;VLOOKUP(P$5,NFI,5,0),1,0)*Table_NFI[[#This Row],[Plastic Bucket]],Table_NFI[Plastic Bucket])</f>
        <v>0</v>
      </c>
      <c r="AH310" s="378">
        <f>IF(NFI_Expiration=1,IF($A310&lt;VLOOKUP(Q$5,NFI,5,0),1,0)*Table_NFI[[#This Row],[Plastic Mat]],Table_NFI[Plastic Mat])*IF(Table_NFI[[#This Row],[Distribution Date]]&gt;"2014-04-01",1,2.5)</f>
        <v>0</v>
      </c>
      <c r="AI310" s="378">
        <f>IF(NFI_Expiration=1,IF($A310&lt;VLOOKUP(R$5,NFI,5,0),1,0)*Table_NFI[[#This Row],[Winter Clothes Adult]],Table_NFI[Winter Clothes Adult])</f>
        <v>0</v>
      </c>
      <c r="AJ310" s="378">
        <f>IF(NFI_Expiration=1,IF($A310&lt;VLOOKUP(S$5,NFI,5,0),1,0)*Table_NFI[[#This Row],[Winter Clothes Children]],Table_NFI[Winter Clothes Children])</f>
        <v>0</v>
      </c>
      <c r="AK310" s="378">
        <f>IF(NFI_Expiration=1,IF($A310&lt;VLOOKUP(T$5,NFI,5,0),1,0)*Table_NFI[[#This Row],[Winter Items Other]],Table_NFI[Winter Items Other])</f>
        <v>0</v>
      </c>
      <c r="AL310" s="378">
        <f>IF(NFI_Expiration=1,IF($A310&lt;VLOOKUP(M$5,NFI,5,0),1,0)*Table_NFI[[#This Row],[Winter Blanket]],Table_NFI[[#This Row],[Winter Blanket]])</f>
        <v>0</v>
      </c>
      <c r="AM310" s="378">
        <f>IF(Table_NFI[[#This Row],[Winter Clothes Adult]]+Table_NFI[[#This Row],[Winter Clothes Children]]+Table_NFI[[#This Row],[Winter Items Other]]+Table_NFI[[#This Row],[Winter Blanket]]&gt;0,1,0)</f>
        <v>0</v>
      </c>
      <c r="AN310" s="418">
        <f>IF(NFI_Expiration=1,IF($A310&lt;VLOOKUP(V$5,NFI,5,0),1,0)*Table_NFI[[#This Row],[Jerry Can]],Table_NFI[Jerry Can])</f>
        <v>0</v>
      </c>
      <c r="AO310" s="579" t="str">
        <f>IFERROR(VLOOKUP(Table_NFI[[#This Row],[Camp Name]],CL,2,0),"")</f>
        <v>MMR001CMP069</v>
      </c>
      <c r="AP310" s="574">
        <f ca="1">IF(Table_NFI[[#This Row],[Pcode]]="","",IF(OFFSET(CampList[Opening Date],MATCH(Table_NFI[[#This Row],[Pcode]],CampList[CP_Pcode],0)-1,0,1,1)&gt;=NFI_Monitor_Date,1,0))</f>
        <v>0</v>
      </c>
      <c r="AQ310" s="579" t="str">
        <f>IFERROR(VLOOKUP(Table_NFI[[#This Row],[Camp Name]],CL,3,0),"")</f>
        <v>Open</v>
      </c>
      <c r="AR310" s="378" t="str">
        <f ca="1">IF(Table_NFI[[#This Row],[Pcode]]="","",OFFSET(CampList[Priority],MATCH(Table_NFI[[#This Row],[Pcode]],CampList[CP_Pcode],0)-1,0,1,1))</f>
        <v>P3</v>
      </c>
      <c r="AS310" s="377">
        <f>IFERROR(Table_NFI[[#This Row],[Kitchen Set]]/VLOOKUP(Table_NFI[[#This Row],[Camp Name]],CL,4,0),"")</f>
        <v>0</v>
      </c>
      <c r="AT310" s="572" t="s">
        <v>1095</v>
      </c>
      <c r="AU310" s="575"/>
    </row>
    <row r="311" spans="1:47" s="576" customFormat="1" x14ac:dyDescent="0.25">
      <c r="A311" s="381">
        <f t="shared" si="4"/>
        <v>30.9</v>
      </c>
      <c r="B311" s="571">
        <v>41595</v>
      </c>
      <c r="C311" s="572" t="s">
        <v>455</v>
      </c>
      <c r="D311" s="572"/>
      <c r="E311" s="572" t="s">
        <v>380</v>
      </c>
      <c r="F311" s="572" t="s">
        <v>185</v>
      </c>
      <c r="G311" s="572" t="s">
        <v>223</v>
      </c>
      <c r="H311" s="375"/>
      <c r="I311" s="375"/>
      <c r="J311" s="375"/>
      <c r="K311" s="375"/>
      <c r="L311" s="376"/>
      <c r="M311" s="376">
        <v>141</v>
      </c>
      <c r="N311" s="376"/>
      <c r="O311" s="376"/>
      <c r="P311" s="378"/>
      <c r="Q311" s="378"/>
      <c r="R311" s="378"/>
      <c r="S311" s="378"/>
      <c r="T311" s="378"/>
      <c r="U311" s="378"/>
      <c r="V311" s="533"/>
      <c r="W311" s="378"/>
      <c r="X311" s="378"/>
      <c r="Y311" s="378">
        <f>IF(NFI_Expiration=1,IF($A311&lt;VLOOKUP(H$5,NFI,5,0),1,0)*Table_NFI[[#This Row],[Hygiene Kit]],Table_NFI[Hygiene Kit])</f>
        <v>0</v>
      </c>
      <c r="Z311" s="378">
        <f>IF(NFI_Expiration=1,IF($A311&lt;VLOOKUP(I$5,NFI,5,0),1,0)*Table_NFI[[#This Row],[NFI Core Kit]],Table_NFI[NFI Core Kit])</f>
        <v>0</v>
      </c>
      <c r="AA311" s="378">
        <f>IF(NFI_Expiration=1,IF($A311&lt;VLOOKUP(J$5,NFI,5,0),1,0)*Table_NFI[[#This Row],[Sanitary Kit]],Table_NFI[Sanitary Kit])</f>
        <v>0</v>
      </c>
      <c r="AB311" s="378">
        <f>IF(NFI_Expiration=1,IF($A311&lt;VLOOKUP(K$5,NFI,5,0),1,0)*Table_NFI[[#This Row],[Mosquito net]],Table_NFI[Mosquito net])</f>
        <v>0</v>
      </c>
      <c r="AC311" s="378">
        <f>IF(NFI_Expiration=1,IF($A311&lt;VLOOKUP(L$5,NFI,5,0),1,0)*Table_NFI[[#This Row],[Tarpaulin]],Table_NFI[[#This Row],[Tarpaulin]])</f>
        <v>0</v>
      </c>
      <c r="AD311" s="378">
        <f>IF(NFI_Expiration=1,IF($A311&lt;VLOOKUP(M$5,NFI,5,0),1,0)*Table_NFI[[#This Row],[Blanket]],Table_NFI[[#This Row],[Blanket]])</f>
        <v>0</v>
      </c>
      <c r="AE311" s="378">
        <f>IF(NFI_Expiration=1,IF($A311&lt;VLOOKUP(N$5,NFI,5,0),1,0)*Table_NFI[[#This Row],[Kitchen Set]],Table_NFI[Kitchen Set])</f>
        <v>0</v>
      </c>
      <c r="AF311" s="378">
        <f>IF(NFI_Expiration=1,IF($A311&lt;VLOOKUP(O$5,NFI,5,0),1,0)*Table_NFI[[#This Row],[Clothes Kit]],Table_NFI[Clothes Kit])</f>
        <v>0</v>
      </c>
      <c r="AG311" s="378">
        <f>IF(NFI_Expiration=1,IF($A311&lt;VLOOKUP(P$5,NFI,5,0),1,0)*Table_NFI[[#This Row],[Plastic Bucket]],Table_NFI[Plastic Bucket])</f>
        <v>0</v>
      </c>
      <c r="AH311" s="378">
        <f>IF(NFI_Expiration=1,IF($A311&lt;VLOOKUP(Q$5,NFI,5,0),1,0)*Table_NFI[[#This Row],[Plastic Mat]],Table_NFI[Plastic Mat])*IF(Table_NFI[[#This Row],[Distribution Date]]&gt;"2014-04-01",1,2.5)</f>
        <v>0</v>
      </c>
      <c r="AI311" s="378">
        <f>IF(NFI_Expiration=1,IF($A311&lt;VLOOKUP(R$5,NFI,5,0),1,0)*Table_NFI[[#This Row],[Winter Clothes Adult]],Table_NFI[Winter Clothes Adult])</f>
        <v>0</v>
      </c>
      <c r="AJ311" s="378">
        <f>IF(NFI_Expiration=1,IF($A311&lt;VLOOKUP(S$5,NFI,5,0),1,0)*Table_NFI[[#This Row],[Winter Clothes Children]],Table_NFI[Winter Clothes Children])</f>
        <v>0</v>
      </c>
      <c r="AK311" s="378">
        <f>IF(NFI_Expiration=1,IF($A311&lt;VLOOKUP(T$5,NFI,5,0),1,0)*Table_NFI[[#This Row],[Winter Items Other]],Table_NFI[Winter Items Other])</f>
        <v>0</v>
      </c>
      <c r="AL311" s="378">
        <f>IF(NFI_Expiration=1,IF($A311&lt;VLOOKUP(M$5,NFI,5,0),1,0)*Table_NFI[[#This Row],[Winter Blanket]],Table_NFI[[#This Row],[Winter Blanket]])</f>
        <v>0</v>
      </c>
      <c r="AM311" s="378">
        <f>IF(Table_NFI[[#This Row],[Winter Clothes Adult]]+Table_NFI[[#This Row],[Winter Clothes Children]]+Table_NFI[[#This Row],[Winter Items Other]]+Table_NFI[[#This Row],[Winter Blanket]]&gt;0,1,0)</f>
        <v>0</v>
      </c>
      <c r="AN311" s="418">
        <f>IF(NFI_Expiration=1,IF($A311&lt;VLOOKUP(V$5,NFI,5,0),1,0)*Table_NFI[[#This Row],[Jerry Can]],Table_NFI[Jerry Can])</f>
        <v>0</v>
      </c>
      <c r="AO311" s="579" t="str">
        <f>IFERROR(VLOOKUP(Table_NFI[[#This Row],[Camp Name]],CL,2,0),"")</f>
        <v>MMR001CMP069</v>
      </c>
      <c r="AP311" s="574">
        <f ca="1">IF(Table_NFI[[#This Row],[Pcode]]="","",IF(OFFSET(CampList[Opening Date],MATCH(Table_NFI[[#This Row],[Pcode]],CampList[CP_Pcode],0)-1,0,1,1)&gt;=NFI_Monitor_Date,1,0))</f>
        <v>0</v>
      </c>
      <c r="AQ311" s="579" t="str">
        <f>IFERROR(VLOOKUP(Table_NFI[[#This Row],[Camp Name]],CL,3,0),"")</f>
        <v>Open</v>
      </c>
      <c r="AR311" s="378" t="str">
        <f ca="1">IF(Table_NFI[[#This Row],[Pcode]]="","",OFFSET(CampList[Priority],MATCH(Table_NFI[[#This Row],[Pcode]],CampList[CP_Pcode],0)-1,0,1,1))</f>
        <v>P3</v>
      </c>
      <c r="AS311" s="377">
        <f>IFERROR(Table_NFI[[#This Row],[Kitchen Set]]/VLOOKUP(Table_NFI[[#This Row],[Camp Name]],CL,4,0),"")</f>
        <v>0</v>
      </c>
      <c r="AT311" s="572" t="s">
        <v>1095</v>
      </c>
      <c r="AU311" s="575"/>
    </row>
    <row r="312" spans="1:47" s="576" customFormat="1" x14ac:dyDescent="0.25">
      <c r="A312" s="381">
        <f t="shared" si="4"/>
        <v>36.133333333333333</v>
      </c>
      <c r="B312" s="571">
        <v>41438</v>
      </c>
      <c r="C312" s="572" t="s">
        <v>454</v>
      </c>
      <c r="D312" s="573" t="s">
        <v>454</v>
      </c>
      <c r="E312" s="572" t="s">
        <v>380</v>
      </c>
      <c r="F312" s="374" t="s">
        <v>185</v>
      </c>
      <c r="G312" s="374" t="s">
        <v>223</v>
      </c>
      <c r="H312" s="375"/>
      <c r="I312" s="375"/>
      <c r="J312" s="375">
        <v>425</v>
      </c>
      <c r="K312" s="375">
        <v>30</v>
      </c>
      <c r="L312" s="376">
        <v>11</v>
      </c>
      <c r="M312" s="376">
        <v>30</v>
      </c>
      <c r="N312" s="376">
        <v>11</v>
      </c>
      <c r="O312" s="376">
        <v>11</v>
      </c>
      <c r="P312" s="378">
        <v>11</v>
      </c>
      <c r="Q312" s="378">
        <v>11</v>
      </c>
      <c r="R312" s="378"/>
      <c r="S312" s="378"/>
      <c r="T312" s="378"/>
      <c r="U312" s="378"/>
      <c r="V312" s="533"/>
      <c r="W312" s="378"/>
      <c r="X312" s="378"/>
      <c r="Y312" s="378">
        <f>IF(NFI_Expiration=1,IF($A312&lt;VLOOKUP(H$5,NFI,5,0),1,0)*Table_NFI[[#This Row],[Hygiene Kit]],Table_NFI[Hygiene Kit])</f>
        <v>0</v>
      </c>
      <c r="Z312" s="378">
        <f>IF(NFI_Expiration=1,IF($A312&lt;VLOOKUP(I$5,NFI,5,0),1,0)*Table_NFI[[#This Row],[NFI Core Kit]],Table_NFI[NFI Core Kit])</f>
        <v>0</v>
      </c>
      <c r="AA312" s="378">
        <f>IF(NFI_Expiration=1,IF($A312&lt;VLOOKUP(J$5,NFI,5,0),1,0)*Table_NFI[[#This Row],[Sanitary Kit]],Table_NFI[Sanitary Kit])</f>
        <v>0</v>
      </c>
      <c r="AB312" s="378">
        <f>IF(NFI_Expiration=1,IF($A312&lt;VLOOKUP(K$5,NFI,5,0),1,0)*Table_NFI[[#This Row],[Mosquito net]],Table_NFI[Mosquito net])</f>
        <v>0</v>
      </c>
      <c r="AC312" s="378">
        <f>IF(NFI_Expiration=1,IF($A312&lt;VLOOKUP(L$5,NFI,5,0),1,0)*Table_NFI[[#This Row],[Tarpaulin]],Table_NFI[[#This Row],[Tarpaulin]])</f>
        <v>0</v>
      </c>
      <c r="AD312" s="378">
        <f>IF(NFI_Expiration=1,IF($A312&lt;VLOOKUP(M$5,NFI,5,0),1,0)*Table_NFI[[#This Row],[Blanket]],Table_NFI[[#This Row],[Blanket]])</f>
        <v>0</v>
      </c>
      <c r="AE312" s="378">
        <f>IF(NFI_Expiration=1,IF($A312&lt;VLOOKUP(N$5,NFI,5,0),1,0)*Table_NFI[[#This Row],[Kitchen Set]],Table_NFI[Kitchen Set])</f>
        <v>0</v>
      </c>
      <c r="AF312" s="378">
        <f>IF(NFI_Expiration=1,IF($A312&lt;VLOOKUP(O$5,NFI,5,0),1,0)*Table_NFI[[#This Row],[Clothes Kit]],Table_NFI[Clothes Kit])</f>
        <v>0</v>
      </c>
      <c r="AG312" s="378">
        <f>IF(NFI_Expiration=1,IF($A312&lt;VLOOKUP(P$5,NFI,5,0),1,0)*Table_NFI[[#This Row],[Plastic Bucket]],Table_NFI[Plastic Bucket])</f>
        <v>0</v>
      </c>
      <c r="AH312" s="378">
        <f>IF(NFI_Expiration=1,IF($A312&lt;VLOOKUP(Q$5,NFI,5,0),1,0)*Table_NFI[[#This Row],[Plastic Mat]],Table_NFI[Plastic Mat])*IF(Table_NFI[[#This Row],[Distribution Date]]&gt;"2014-04-01",1,2.5)</f>
        <v>0</v>
      </c>
      <c r="AI312" s="378">
        <f>IF(NFI_Expiration=1,IF($A312&lt;VLOOKUP(R$5,NFI,5,0),1,0)*Table_NFI[[#This Row],[Winter Clothes Adult]],Table_NFI[Winter Clothes Adult])</f>
        <v>0</v>
      </c>
      <c r="AJ312" s="378">
        <f>IF(NFI_Expiration=1,IF($A312&lt;VLOOKUP(S$5,NFI,5,0),1,0)*Table_NFI[[#This Row],[Winter Clothes Children]],Table_NFI[Winter Clothes Children])</f>
        <v>0</v>
      </c>
      <c r="AK312" s="378">
        <f>IF(NFI_Expiration=1,IF($A312&lt;VLOOKUP(T$5,NFI,5,0),1,0)*Table_NFI[[#This Row],[Winter Items Other]],Table_NFI[Winter Items Other])</f>
        <v>0</v>
      </c>
      <c r="AL312" s="378">
        <f>IF(NFI_Expiration=1,IF($A312&lt;VLOOKUP(M$5,NFI,5,0),1,0)*Table_NFI[[#This Row],[Winter Blanket]],Table_NFI[[#This Row],[Winter Blanket]])</f>
        <v>0</v>
      </c>
      <c r="AM312" s="378">
        <f>IF(Table_NFI[[#This Row],[Winter Clothes Adult]]+Table_NFI[[#This Row],[Winter Clothes Children]]+Table_NFI[[#This Row],[Winter Items Other]]+Table_NFI[[#This Row],[Winter Blanket]]&gt;0,1,0)</f>
        <v>0</v>
      </c>
      <c r="AN312" s="418">
        <f>IF(NFI_Expiration=1,IF($A312&lt;VLOOKUP(V$5,NFI,5,0),1,0)*Table_NFI[[#This Row],[Jerry Can]],Table_NFI[Jerry Can])</f>
        <v>0</v>
      </c>
      <c r="AO312" s="579" t="str">
        <f>IFERROR(VLOOKUP(Table_NFI[[#This Row],[Camp Name]],CL,2,0),"")</f>
        <v>MMR001CMP069</v>
      </c>
      <c r="AP312" s="574">
        <f ca="1">IF(Table_NFI[[#This Row],[Pcode]]="","",IF(OFFSET(CampList[Opening Date],MATCH(Table_NFI[[#This Row],[Pcode]],CampList[CP_Pcode],0)-1,0,1,1)&gt;=NFI_Monitor_Date,1,0))</f>
        <v>0</v>
      </c>
      <c r="AQ312" s="579" t="str">
        <f>IFERROR(VLOOKUP(Table_NFI[[#This Row],[Camp Name]],CL,3,0),"")</f>
        <v>Open</v>
      </c>
      <c r="AR312" s="378" t="str">
        <f ca="1">IF(Table_NFI[[#This Row],[Pcode]]="","",OFFSET(CampList[Priority],MATCH(Table_NFI[[#This Row],[Pcode]],CampList[CP_Pcode],0)-1,0,1,1))</f>
        <v>P3</v>
      </c>
      <c r="AS312" s="377">
        <f>IFERROR(Table_NFI[[#This Row],[Kitchen Set]]/VLOOKUP(Table_NFI[[#This Row],[Camp Name]],CL,4,0),"")</f>
        <v>8.8709677419354843E-2</v>
      </c>
      <c r="AT312" s="572" t="s">
        <v>1095</v>
      </c>
      <c r="AU312" s="575"/>
    </row>
    <row r="313" spans="1:47" s="576" customFormat="1" x14ac:dyDescent="0.25">
      <c r="A313" s="381">
        <f t="shared" si="4"/>
        <v>41.333333333333336</v>
      </c>
      <c r="B313" s="571">
        <v>41282</v>
      </c>
      <c r="C313" s="572" t="s">
        <v>908</v>
      </c>
      <c r="D313" s="572" t="s">
        <v>908</v>
      </c>
      <c r="E313" s="572" t="s">
        <v>380</v>
      </c>
      <c r="F313" s="572" t="s">
        <v>185</v>
      </c>
      <c r="G313" s="374" t="s">
        <v>223</v>
      </c>
      <c r="H313" s="375">
        <v>353</v>
      </c>
      <c r="I313" s="375"/>
      <c r="J313" s="375">
        <v>435</v>
      </c>
      <c r="K313" s="375"/>
      <c r="L313" s="376"/>
      <c r="M313" s="376"/>
      <c r="N313" s="376"/>
      <c r="O313" s="376"/>
      <c r="P313" s="378">
        <v>0</v>
      </c>
      <c r="Q313" s="378">
        <v>0</v>
      </c>
      <c r="R313" s="378"/>
      <c r="S313" s="378"/>
      <c r="T313" s="378"/>
      <c r="U313" s="378"/>
      <c r="V313" s="533"/>
      <c r="W313" s="378"/>
      <c r="X313" s="378"/>
      <c r="Y313" s="378">
        <f>IF(NFI_Expiration=1,IF($A313&lt;VLOOKUP(H$5,NFI,5,0),1,0)*Table_NFI[[#This Row],[Hygiene Kit]],Table_NFI[Hygiene Kit])</f>
        <v>0</v>
      </c>
      <c r="Z313" s="378">
        <f>IF(NFI_Expiration=1,IF($A313&lt;VLOOKUP(I$5,NFI,5,0),1,0)*Table_NFI[[#This Row],[NFI Core Kit]],Table_NFI[NFI Core Kit])</f>
        <v>0</v>
      </c>
      <c r="AA313" s="378">
        <f>IF(NFI_Expiration=1,IF($A313&lt;VLOOKUP(J$5,NFI,5,0),1,0)*Table_NFI[[#This Row],[Sanitary Kit]],Table_NFI[Sanitary Kit])</f>
        <v>0</v>
      </c>
      <c r="AB313" s="378">
        <f>IF(NFI_Expiration=1,IF($A313&lt;VLOOKUP(K$5,NFI,5,0),1,0)*Table_NFI[[#This Row],[Mosquito net]],Table_NFI[Mosquito net])</f>
        <v>0</v>
      </c>
      <c r="AC313" s="378">
        <f>IF(NFI_Expiration=1,IF($A313&lt;VLOOKUP(L$5,NFI,5,0),1,0)*Table_NFI[[#This Row],[Tarpaulin]],Table_NFI[[#This Row],[Tarpaulin]])</f>
        <v>0</v>
      </c>
      <c r="AD313" s="378">
        <f>IF(NFI_Expiration=1,IF($A313&lt;VLOOKUP(M$5,NFI,5,0),1,0)*Table_NFI[[#This Row],[Blanket]],Table_NFI[[#This Row],[Blanket]])</f>
        <v>0</v>
      </c>
      <c r="AE313" s="378">
        <f>IF(NFI_Expiration=1,IF($A313&lt;VLOOKUP(N$5,NFI,5,0),1,0)*Table_NFI[[#This Row],[Kitchen Set]],Table_NFI[Kitchen Set])</f>
        <v>0</v>
      </c>
      <c r="AF313" s="378">
        <f>IF(NFI_Expiration=1,IF($A313&lt;VLOOKUP(O$5,NFI,5,0),1,0)*Table_NFI[[#This Row],[Clothes Kit]],Table_NFI[Clothes Kit])</f>
        <v>0</v>
      </c>
      <c r="AG313" s="378">
        <f>IF(NFI_Expiration=1,IF($A313&lt;VLOOKUP(P$5,NFI,5,0),1,0)*Table_NFI[[#This Row],[Plastic Bucket]],Table_NFI[Plastic Bucket])</f>
        <v>0</v>
      </c>
      <c r="AH313" s="378">
        <f>IF(NFI_Expiration=1,IF($A313&lt;VLOOKUP(Q$5,NFI,5,0),1,0)*Table_NFI[[#This Row],[Plastic Mat]],Table_NFI[Plastic Mat])*IF(Table_NFI[[#This Row],[Distribution Date]]&gt;"2014-04-01",1,2.5)</f>
        <v>0</v>
      </c>
      <c r="AI313" s="378">
        <f>IF(NFI_Expiration=1,IF($A313&lt;VLOOKUP(R$5,NFI,5,0),1,0)*Table_NFI[[#This Row],[Winter Clothes Adult]],Table_NFI[Winter Clothes Adult])</f>
        <v>0</v>
      </c>
      <c r="AJ313" s="378">
        <f>IF(NFI_Expiration=1,IF($A313&lt;VLOOKUP(S$5,NFI,5,0),1,0)*Table_NFI[[#This Row],[Winter Clothes Children]],Table_NFI[Winter Clothes Children])</f>
        <v>0</v>
      </c>
      <c r="AK313" s="378">
        <f>IF(NFI_Expiration=1,IF($A313&lt;VLOOKUP(T$5,NFI,5,0),1,0)*Table_NFI[[#This Row],[Winter Items Other]],Table_NFI[Winter Items Other])</f>
        <v>0</v>
      </c>
      <c r="AL313" s="378">
        <f>IF(NFI_Expiration=1,IF($A313&lt;VLOOKUP(M$5,NFI,5,0),1,0)*Table_NFI[[#This Row],[Winter Blanket]],Table_NFI[[#This Row],[Winter Blanket]])</f>
        <v>0</v>
      </c>
      <c r="AM313" s="378">
        <f>IF(Table_NFI[[#This Row],[Winter Clothes Adult]]+Table_NFI[[#This Row],[Winter Clothes Children]]+Table_NFI[[#This Row],[Winter Items Other]]+Table_NFI[[#This Row],[Winter Blanket]]&gt;0,1,0)</f>
        <v>0</v>
      </c>
      <c r="AN313" s="418">
        <f>IF(NFI_Expiration=1,IF($A313&lt;VLOOKUP(V$5,NFI,5,0),1,0)*Table_NFI[[#This Row],[Jerry Can]],Table_NFI[Jerry Can])</f>
        <v>0</v>
      </c>
      <c r="AO313" s="579" t="str">
        <f>IFERROR(VLOOKUP(Table_NFI[[#This Row],[Camp Name]],CL,2,0),"")</f>
        <v>MMR001CMP069</v>
      </c>
      <c r="AP313" s="574">
        <f ca="1">IF(Table_NFI[[#This Row],[Pcode]]="","",IF(OFFSET(CampList[Opening Date],MATCH(Table_NFI[[#This Row],[Pcode]],CampList[CP_Pcode],0)-1,0,1,1)&gt;=NFI_Monitor_Date,1,0))</f>
        <v>0</v>
      </c>
      <c r="AQ313" s="579" t="str">
        <f>IFERROR(VLOOKUP(Table_NFI[[#This Row],[Camp Name]],CL,3,0),"")</f>
        <v>Open</v>
      </c>
      <c r="AR313" s="378" t="str">
        <f ca="1">IF(Table_NFI[[#This Row],[Pcode]]="","",OFFSET(CampList[Priority],MATCH(Table_NFI[[#This Row],[Pcode]],CampList[CP_Pcode],0)-1,0,1,1))</f>
        <v>P3</v>
      </c>
      <c r="AS313" s="377">
        <f>IFERROR(Table_NFI[[#This Row],[Kitchen Set]]/VLOOKUP(Table_NFI[[#This Row],[Camp Name]],CL,4,0),"")</f>
        <v>0</v>
      </c>
      <c r="AT313" s="572" t="s">
        <v>1095</v>
      </c>
      <c r="AU313" s="575"/>
    </row>
    <row r="314" spans="1:47" s="576" customFormat="1" x14ac:dyDescent="0.25">
      <c r="A314" s="381">
        <f t="shared" si="4"/>
        <v>45.5</v>
      </c>
      <c r="B314" s="571">
        <v>41157</v>
      </c>
      <c r="C314" s="572" t="s">
        <v>454</v>
      </c>
      <c r="D314" s="573" t="s">
        <v>454</v>
      </c>
      <c r="E314" s="572" t="s">
        <v>380</v>
      </c>
      <c r="F314" s="374" t="s">
        <v>185</v>
      </c>
      <c r="G314" s="374" t="s">
        <v>223</v>
      </c>
      <c r="H314" s="375"/>
      <c r="I314" s="375"/>
      <c r="J314" s="375"/>
      <c r="K314" s="375">
        <v>21</v>
      </c>
      <c r="L314" s="376">
        <v>10</v>
      </c>
      <c r="M314" s="376">
        <v>21</v>
      </c>
      <c r="N314" s="376">
        <v>10</v>
      </c>
      <c r="O314" s="376">
        <v>10</v>
      </c>
      <c r="P314" s="378">
        <v>10</v>
      </c>
      <c r="Q314" s="378">
        <v>10</v>
      </c>
      <c r="R314" s="378"/>
      <c r="S314" s="378"/>
      <c r="T314" s="378"/>
      <c r="U314" s="378"/>
      <c r="V314" s="533"/>
      <c r="W314" s="378"/>
      <c r="X314" s="378"/>
      <c r="Y314" s="378">
        <f>IF(NFI_Expiration=1,IF($A314&lt;VLOOKUP(H$5,NFI,5,0),1,0)*Table_NFI[[#This Row],[Hygiene Kit]],Table_NFI[Hygiene Kit])</f>
        <v>0</v>
      </c>
      <c r="Z314" s="378">
        <f>IF(NFI_Expiration=1,IF($A314&lt;VLOOKUP(I$5,NFI,5,0),1,0)*Table_NFI[[#This Row],[NFI Core Kit]],Table_NFI[NFI Core Kit])</f>
        <v>0</v>
      </c>
      <c r="AA314" s="378">
        <f>IF(NFI_Expiration=1,IF($A314&lt;VLOOKUP(J$5,NFI,5,0),1,0)*Table_NFI[[#This Row],[Sanitary Kit]],Table_NFI[Sanitary Kit])</f>
        <v>0</v>
      </c>
      <c r="AB314" s="378">
        <f>IF(NFI_Expiration=1,IF($A314&lt;VLOOKUP(K$5,NFI,5,0),1,0)*Table_NFI[[#This Row],[Mosquito net]],Table_NFI[Mosquito net])</f>
        <v>0</v>
      </c>
      <c r="AC314" s="378">
        <f>IF(NFI_Expiration=1,IF($A314&lt;VLOOKUP(L$5,NFI,5,0),1,0)*Table_NFI[[#This Row],[Tarpaulin]],Table_NFI[[#This Row],[Tarpaulin]])</f>
        <v>0</v>
      </c>
      <c r="AD314" s="378">
        <f>IF(NFI_Expiration=1,IF($A314&lt;VLOOKUP(M$5,NFI,5,0),1,0)*Table_NFI[[#This Row],[Blanket]],Table_NFI[[#This Row],[Blanket]])</f>
        <v>0</v>
      </c>
      <c r="AE314" s="378">
        <f>IF(NFI_Expiration=1,IF($A314&lt;VLOOKUP(N$5,NFI,5,0),1,0)*Table_NFI[[#This Row],[Kitchen Set]],Table_NFI[Kitchen Set])</f>
        <v>0</v>
      </c>
      <c r="AF314" s="378">
        <f>IF(NFI_Expiration=1,IF($A314&lt;VLOOKUP(O$5,NFI,5,0),1,0)*Table_NFI[[#This Row],[Clothes Kit]],Table_NFI[Clothes Kit])</f>
        <v>0</v>
      </c>
      <c r="AG314" s="378">
        <f>IF(NFI_Expiration=1,IF($A314&lt;VLOOKUP(P$5,NFI,5,0),1,0)*Table_NFI[[#This Row],[Plastic Bucket]],Table_NFI[Plastic Bucket])</f>
        <v>0</v>
      </c>
      <c r="AH314" s="378">
        <f>IF(NFI_Expiration=1,IF($A314&lt;VLOOKUP(Q$5,NFI,5,0),1,0)*Table_NFI[[#This Row],[Plastic Mat]],Table_NFI[Plastic Mat])*IF(Table_NFI[[#This Row],[Distribution Date]]&gt;"2014-04-01",1,2.5)</f>
        <v>0</v>
      </c>
      <c r="AI314" s="378">
        <f>IF(NFI_Expiration=1,IF($A314&lt;VLOOKUP(R$5,NFI,5,0),1,0)*Table_NFI[[#This Row],[Winter Clothes Adult]],Table_NFI[Winter Clothes Adult])</f>
        <v>0</v>
      </c>
      <c r="AJ314" s="378">
        <f>IF(NFI_Expiration=1,IF($A314&lt;VLOOKUP(S$5,NFI,5,0),1,0)*Table_NFI[[#This Row],[Winter Clothes Children]],Table_NFI[Winter Clothes Children])</f>
        <v>0</v>
      </c>
      <c r="AK314" s="378">
        <f>IF(NFI_Expiration=1,IF($A314&lt;VLOOKUP(T$5,NFI,5,0),1,0)*Table_NFI[[#This Row],[Winter Items Other]],Table_NFI[Winter Items Other])</f>
        <v>0</v>
      </c>
      <c r="AL314" s="378">
        <f>IF(NFI_Expiration=1,IF($A314&lt;VLOOKUP(M$5,NFI,5,0),1,0)*Table_NFI[[#This Row],[Winter Blanket]],Table_NFI[[#This Row],[Winter Blanket]])</f>
        <v>0</v>
      </c>
      <c r="AM314" s="378">
        <f>IF(Table_NFI[[#This Row],[Winter Clothes Adult]]+Table_NFI[[#This Row],[Winter Clothes Children]]+Table_NFI[[#This Row],[Winter Items Other]]+Table_NFI[[#This Row],[Winter Blanket]]&gt;0,1,0)</f>
        <v>0</v>
      </c>
      <c r="AN314" s="418">
        <f>IF(NFI_Expiration=1,IF($A314&lt;VLOOKUP(V$5,NFI,5,0),1,0)*Table_NFI[[#This Row],[Jerry Can]],Table_NFI[Jerry Can])</f>
        <v>0</v>
      </c>
      <c r="AO314" s="579" t="str">
        <f>IFERROR(VLOOKUP(Table_NFI[[#This Row],[Camp Name]],CL,2,0),"")</f>
        <v>MMR001CMP069</v>
      </c>
      <c r="AP314" s="574">
        <f ca="1">IF(Table_NFI[[#This Row],[Pcode]]="","",IF(OFFSET(CampList[Opening Date],MATCH(Table_NFI[[#This Row],[Pcode]],CampList[CP_Pcode],0)-1,0,1,1)&gt;=NFI_Monitor_Date,1,0))</f>
        <v>0</v>
      </c>
      <c r="AQ314" s="579" t="str">
        <f>IFERROR(VLOOKUP(Table_NFI[[#This Row],[Camp Name]],CL,3,0),"")</f>
        <v>Open</v>
      </c>
      <c r="AR314" s="378" t="str">
        <f ca="1">IF(Table_NFI[[#This Row],[Pcode]]="","",OFFSET(CampList[Priority],MATCH(Table_NFI[[#This Row],[Pcode]],CampList[CP_Pcode],0)-1,0,1,1))</f>
        <v>P3</v>
      </c>
      <c r="AS314" s="377">
        <f>IFERROR(Table_NFI[[#This Row],[Kitchen Set]]/VLOOKUP(Table_NFI[[#This Row],[Camp Name]],CL,4,0),"")</f>
        <v>8.0645161290322578E-2</v>
      </c>
      <c r="AT314" s="572" t="s">
        <v>1095</v>
      </c>
      <c r="AU314" s="575"/>
    </row>
    <row r="315" spans="1:47" s="576" customFormat="1" x14ac:dyDescent="0.25">
      <c r="A315" s="381">
        <f t="shared" si="4"/>
        <v>12.1</v>
      </c>
      <c r="B315" s="571">
        <v>42159</v>
      </c>
      <c r="C315" s="572" t="s">
        <v>454</v>
      </c>
      <c r="D315" s="572" t="s">
        <v>462</v>
      </c>
      <c r="E315" s="572" t="s">
        <v>380</v>
      </c>
      <c r="F315" s="572" t="s">
        <v>185</v>
      </c>
      <c r="G315" s="572" t="s">
        <v>190</v>
      </c>
      <c r="H315" s="375"/>
      <c r="I315" s="378"/>
      <c r="J315" s="378"/>
      <c r="K315" s="378"/>
      <c r="L315" s="376">
        <v>88</v>
      </c>
      <c r="M315" s="376">
        <v>27</v>
      </c>
      <c r="N315" s="376">
        <v>9</v>
      </c>
      <c r="O315" s="376"/>
      <c r="P315" s="378">
        <v>9</v>
      </c>
      <c r="Q315" s="378">
        <v>48</v>
      </c>
      <c r="R315" s="378"/>
      <c r="S315" s="378"/>
      <c r="T315" s="378"/>
      <c r="U315" s="378"/>
      <c r="V315" s="533">
        <v>9</v>
      </c>
      <c r="W315" s="378"/>
      <c r="X315" s="378"/>
      <c r="Y315" s="378">
        <f>IF(NFI_Expiration=1,IF($A315&lt;VLOOKUP(H$5,NFI,5,0),1,0)*Table_NFI[[#This Row],[Hygiene Kit]],Table_NFI[Hygiene Kit])</f>
        <v>0</v>
      </c>
      <c r="Z315" s="378">
        <f>IF(NFI_Expiration=1,IF($A315&lt;VLOOKUP(I$5,NFI,5,0),1,0)*Table_NFI[[#This Row],[NFI Core Kit]],Table_NFI[NFI Core Kit])</f>
        <v>0</v>
      </c>
      <c r="AA315" s="378">
        <f>IF(NFI_Expiration=1,IF($A315&lt;VLOOKUP(J$5,NFI,5,0),1,0)*Table_NFI[[#This Row],[Sanitary Kit]],Table_NFI[Sanitary Kit])</f>
        <v>0</v>
      </c>
      <c r="AB315" s="378">
        <f>IF(NFI_Expiration=1,IF($A315&lt;VLOOKUP(K$5,NFI,5,0),1,0)*Table_NFI[[#This Row],[Mosquito net]],Table_NFI[Mosquito net])</f>
        <v>0</v>
      </c>
      <c r="AC315" s="378">
        <f>IF(NFI_Expiration=1,IF($A315&lt;VLOOKUP(L$5,NFI,5,0),1,0)*Table_NFI[[#This Row],[Tarpaulin]],Table_NFI[[#This Row],[Tarpaulin]])</f>
        <v>0</v>
      </c>
      <c r="AD315" s="378">
        <f>IF(NFI_Expiration=1,IF($A315&lt;VLOOKUP(M$5,NFI,5,0),1,0)*Table_NFI[[#This Row],[Blanket]],Table_NFI[[#This Row],[Blanket]])</f>
        <v>0</v>
      </c>
      <c r="AE315" s="378">
        <f>IF(NFI_Expiration=1,IF($A315&lt;VLOOKUP(N$5,NFI,5,0),1,0)*Table_NFI[[#This Row],[Kitchen Set]],Table_NFI[Kitchen Set])</f>
        <v>0</v>
      </c>
      <c r="AF315" s="378">
        <f>IF(NFI_Expiration=1,IF($A315&lt;VLOOKUP(O$5,NFI,5,0),1,0)*Table_NFI[[#This Row],[Clothes Kit]],Table_NFI[Clothes Kit])</f>
        <v>0</v>
      </c>
      <c r="AG315" s="378">
        <f>IF(NFI_Expiration=1,IF($A315&lt;VLOOKUP(P$5,NFI,5,0),1,0)*Table_NFI[[#This Row],[Plastic Bucket]],Table_NFI[Plastic Bucket])</f>
        <v>0</v>
      </c>
      <c r="AH315" s="378">
        <f>IF(NFI_Expiration=1,IF($A315&lt;VLOOKUP(Q$5,NFI,5,0),1,0)*Table_NFI[[#This Row],[Plastic Mat]],Table_NFI[Plastic Mat])*IF(Table_NFI[[#This Row],[Distribution Date]]&gt;"2014-04-01",1,2.5)</f>
        <v>0</v>
      </c>
      <c r="AI315" s="378">
        <f>IF(NFI_Expiration=1,IF($A315&lt;VLOOKUP(R$5,NFI,5,0),1,0)*Table_NFI[[#This Row],[Winter Clothes Adult]],Table_NFI[Winter Clothes Adult])</f>
        <v>0</v>
      </c>
      <c r="AJ315" s="378">
        <f>IF(NFI_Expiration=1,IF($A315&lt;VLOOKUP(S$5,NFI,5,0),1,0)*Table_NFI[[#This Row],[Winter Clothes Children]],Table_NFI[Winter Clothes Children])</f>
        <v>0</v>
      </c>
      <c r="AK315" s="378">
        <f>IF(NFI_Expiration=1,IF($A315&lt;VLOOKUP(T$5,NFI,5,0),1,0)*Table_NFI[[#This Row],[Winter Items Other]],Table_NFI[Winter Items Other])</f>
        <v>0</v>
      </c>
      <c r="AL315" s="378">
        <f>IF(NFI_Expiration=1,IF($A315&lt;VLOOKUP(M$5,NFI,5,0),1,0)*Table_NFI[[#This Row],[Winter Blanket]],Table_NFI[[#This Row],[Winter Blanket]])</f>
        <v>0</v>
      </c>
      <c r="AM315" s="378">
        <f>IF(Table_NFI[[#This Row],[Winter Clothes Adult]]+Table_NFI[[#This Row],[Winter Clothes Children]]+Table_NFI[[#This Row],[Winter Items Other]]+Table_NFI[[#This Row],[Winter Blanket]]&gt;0,1,0)</f>
        <v>0</v>
      </c>
      <c r="AN315" s="418">
        <f>IF(NFI_Expiration=1,IF($A315&lt;VLOOKUP(V$5,NFI,5,0),1,0)*Table_NFI[[#This Row],[Jerry Can]],Table_NFI[Jerry Can])</f>
        <v>0</v>
      </c>
      <c r="AO315" s="579" t="str">
        <f>IFERROR(VLOOKUP(Table_NFI[[#This Row],[Camp Name]],CL,2,0),"")</f>
        <v>MMR001CMP070</v>
      </c>
      <c r="AP315" s="574">
        <f ca="1">IF(Table_NFI[[#This Row],[Pcode]]="","",IF(OFFSET(CampList[Opening Date],MATCH(Table_NFI[[#This Row],[Pcode]],CampList[CP_Pcode],0)-1,0,1,1)&gt;=NFI_Monitor_Date,1,0))</f>
        <v>0</v>
      </c>
      <c r="AQ315" s="579" t="str">
        <f>IFERROR(VLOOKUP(Table_NFI[[#This Row],[Camp Name]],CL,3,0),"")</f>
        <v>Open</v>
      </c>
      <c r="AR315" s="378" t="str">
        <f ca="1">IF(Table_NFI[[#This Row],[Pcode]]="","",OFFSET(CampList[Priority],MATCH(Table_NFI[[#This Row],[Pcode]],CampList[CP_Pcode],0)-1,0,1,1))</f>
        <v>P3</v>
      </c>
      <c r="AS315" s="377">
        <f>IFERROR(Table_NFI[[#This Row],[Kitchen Set]]/VLOOKUP(Table_NFI[[#This Row],[Camp Name]],CL,4,0),"")</f>
        <v>4.736842105263158E-2</v>
      </c>
      <c r="AT315" s="572" t="s">
        <v>1095</v>
      </c>
      <c r="AU315" s="601"/>
    </row>
    <row r="316" spans="1:47" s="576" customFormat="1" x14ac:dyDescent="0.25">
      <c r="A316" s="381">
        <f t="shared" si="4"/>
        <v>13.466666666666667</v>
      </c>
      <c r="B316" s="571">
        <v>42118</v>
      </c>
      <c r="C316" s="572" t="s">
        <v>454</v>
      </c>
      <c r="D316" s="572" t="s">
        <v>462</v>
      </c>
      <c r="E316" s="572" t="s">
        <v>380</v>
      </c>
      <c r="F316" s="572" t="s">
        <v>185</v>
      </c>
      <c r="G316" s="572" t="s">
        <v>190</v>
      </c>
      <c r="H316" s="375"/>
      <c r="I316" s="378"/>
      <c r="J316" s="378"/>
      <c r="K316" s="378"/>
      <c r="L316" s="376"/>
      <c r="M316" s="376"/>
      <c r="N316" s="376"/>
      <c r="O316" s="376"/>
      <c r="P316" s="378">
        <v>9</v>
      </c>
      <c r="Q316" s="378"/>
      <c r="R316" s="378"/>
      <c r="S316" s="378"/>
      <c r="T316" s="378"/>
      <c r="U316" s="378"/>
      <c r="V316" s="533"/>
      <c r="W316" s="378"/>
      <c r="X316" s="378"/>
      <c r="Y316" s="378">
        <f>IF(NFI_Expiration=1,IF($A316&lt;VLOOKUP(H$5,NFI,5,0),1,0)*Table_NFI[[#This Row],[Hygiene Kit]],Table_NFI[Hygiene Kit])</f>
        <v>0</v>
      </c>
      <c r="Z316" s="378">
        <f>IF(NFI_Expiration=1,IF($A316&lt;VLOOKUP(I$5,NFI,5,0),1,0)*Table_NFI[[#This Row],[NFI Core Kit]],Table_NFI[NFI Core Kit])</f>
        <v>0</v>
      </c>
      <c r="AA316" s="378">
        <f>IF(NFI_Expiration=1,IF($A316&lt;VLOOKUP(J$5,NFI,5,0),1,0)*Table_NFI[[#This Row],[Sanitary Kit]],Table_NFI[Sanitary Kit])</f>
        <v>0</v>
      </c>
      <c r="AB316" s="378">
        <f>IF(NFI_Expiration=1,IF($A316&lt;VLOOKUP(K$5,NFI,5,0),1,0)*Table_NFI[[#This Row],[Mosquito net]],Table_NFI[Mosquito net])</f>
        <v>0</v>
      </c>
      <c r="AC316" s="378">
        <f>IF(NFI_Expiration=1,IF($A316&lt;VLOOKUP(L$5,NFI,5,0),1,0)*Table_NFI[[#This Row],[Tarpaulin]],Table_NFI[[#This Row],[Tarpaulin]])</f>
        <v>0</v>
      </c>
      <c r="AD316" s="378">
        <f>IF(NFI_Expiration=1,IF($A316&lt;VLOOKUP(M$5,NFI,5,0),1,0)*Table_NFI[[#This Row],[Blanket]],Table_NFI[[#This Row],[Blanket]])</f>
        <v>0</v>
      </c>
      <c r="AE316" s="378">
        <f>IF(NFI_Expiration=1,IF($A316&lt;VLOOKUP(N$5,NFI,5,0),1,0)*Table_NFI[[#This Row],[Kitchen Set]],Table_NFI[Kitchen Set])</f>
        <v>0</v>
      </c>
      <c r="AF316" s="378">
        <f>IF(NFI_Expiration=1,IF($A316&lt;VLOOKUP(O$5,NFI,5,0),1,0)*Table_NFI[[#This Row],[Clothes Kit]],Table_NFI[Clothes Kit])</f>
        <v>0</v>
      </c>
      <c r="AG316" s="378">
        <f>IF(NFI_Expiration=1,IF($A316&lt;VLOOKUP(P$5,NFI,5,0),1,0)*Table_NFI[[#This Row],[Plastic Bucket]],Table_NFI[Plastic Bucket])</f>
        <v>0</v>
      </c>
      <c r="AH316" s="378">
        <f>IF(NFI_Expiration=1,IF($A316&lt;VLOOKUP(Q$5,NFI,5,0),1,0)*Table_NFI[[#This Row],[Plastic Mat]],Table_NFI[Plastic Mat])*IF(Table_NFI[[#This Row],[Distribution Date]]&gt;"2014-04-01",1,2.5)</f>
        <v>0</v>
      </c>
      <c r="AI316" s="378">
        <f>IF(NFI_Expiration=1,IF($A316&lt;VLOOKUP(R$5,NFI,5,0),1,0)*Table_NFI[[#This Row],[Winter Clothes Adult]],Table_NFI[Winter Clothes Adult])</f>
        <v>0</v>
      </c>
      <c r="AJ316" s="378">
        <f>IF(NFI_Expiration=1,IF($A316&lt;VLOOKUP(S$5,NFI,5,0),1,0)*Table_NFI[[#This Row],[Winter Clothes Children]],Table_NFI[Winter Clothes Children])</f>
        <v>0</v>
      </c>
      <c r="AK316" s="378">
        <f>IF(NFI_Expiration=1,IF($A316&lt;VLOOKUP(T$5,NFI,5,0),1,0)*Table_NFI[[#This Row],[Winter Items Other]],Table_NFI[Winter Items Other])</f>
        <v>0</v>
      </c>
      <c r="AL316" s="378">
        <f>IF(NFI_Expiration=1,IF($A316&lt;VLOOKUP(M$5,NFI,5,0),1,0)*Table_NFI[[#This Row],[Winter Blanket]],Table_NFI[[#This Row],[Winter Blanket]])</f>
        <v>0</v>
      </c>
      <c r="AM316" s="378">
        <f>IF(Table_NFI[[#This Row],[Winter Clothes Adult]]+Table_NFI[[#This Row],[Winter Clothes Children]]+Table_NFI[[#This Row],[Winter Items Other]]+Table_NFI[[#This Row],[Winter Blanket]]&gt;0,1,0)</f>
        <v>0</v>
      </c>
      <c r="AN316" s="418">
        <f>IF(NFI_Expiration=1,IF($A316&lt;VLOOKUP(V$5,NFI,5,0),1,0)*Table_NFI[[#This Row],[Jerry Can]],Table_NFI[Jerry Can])</f>
        <v>0</v>
      </c>
      <c r="AO316" s="579" t="str">
        <f>IFERROR(VLOOKUP(Table_NFI[[#This Row],[Camp Name]],CL,2,0),"")</f>
        <v>MMR001CMP070</v>
      </c>
      <c r="AP316" s="574">
        <f ca="1">IF(Table_NFI[[#This Row],[Pcode]]="","",IF(OFFSET(CampList[Opening Date],MATCH(Table_NFI[[#This Row],[Pcode]],CampList[CP_Pcode],0)-1,0,1,1)&gt;=NFI_Monitor_Date,1,0))</f>
        <v>0</v>
      </c>
      <c r="AQ316" s="579" t="str">
        <f>IFERROR(VLOOKUP(Table_NFI[[#This Row],[Camp Name]],CL,3,0),"")</f>
        <v>Open</v>
      </c>
      <c r="AR316" s="378" t="str">
        <f ca="1">IF(Table_NFI[[#This Row],[Pcode]]="","",OFFSET(CampList[Priority],MATCH(Table_NFI[[#This Row],[Pcode]],CampList[CP_Pcode],0)-1,0,1,1))</f>
        <v>P3</v>
      </c>
      <c r="AS316" s="377">
        <f>IFERROR(Table_NFI[[#This Row],[Kitchen Set]]/VLOOKUP(Table_NFI[[#This Row],[Camp Name]],CL,4,0),"")</f>
        <v>0</v>
      </c>
      <c r="AT316" s="572" t="s">
        <v>1095</v>
      </c>
      <c r="AU316" s="601"/>
    </row>
    <row r="317" spans="1:47" s="576" customFormat="1" x14ac:dyDescent="0.25">
      <c r="A317" s="381">
        <f t="shared" si="4"/>
        <v>19.5</v>
      </c>
      <c r="B317" s="571">
        <v>41937</v>
      </c>
      <c r="C317" s="572" t="s">
        <v>1097</v>
      </c>
      <c r="D317" s="572" t="s">
        <v>903</v>
      </c>
      <c r="E317" s="572" t="s">
        <v>380</v>
      </c>
      <c r="F317" s="572" t="s">
        <v>185</v>
      </c>
      <c r="G317" s="572" t="s">
        <v>190</v>
      </c>
      <c r="H317" s="375"/>
      <c r="I317" s="375"/>
      <c r="J317" s="375"/>
      <c r="K317" s="375"/>
      <c r="L317" s="376"/>
      <c r="M317" s="376"/>
      <c r="N317" s="376"/>
      <c r="O317" s="376"/>
      <c r="P317" s="378"/>
      <c r="Q317" s="378"/>
      <c r="R317" s="378">
        <v>591</v>
      </c>
      <c r="S317" s="378">
        <v>347</v>
      </c>
      <c r="T317" s="378"/>
      <c r="U317" s="378">
        <v>311</v>
      </c>
      <c r="V317" s="533"/>
      <c r="W317" s="378"/>
      <c r="X317" s="378"/>
      <c r="Y317" s="378">
        <f>IF(NFI_Expiration=1,IF($A317&lt;VLOOKUP(H$5,NFI,5,0),1,0)*Table_NFI[[#This Row],[Hygiene Kit]],Table_NFI[Hygiene Kit])</f>
        <v>0</v>
      </c>
      <c r="Z317" s="378">
        <f>IF(NFI_Expiration=1,IF($A317&lt;VLOOKUP(I$5,NFI,5,0),1,0)*Table_NFI[[#This Row],[NFI Core Kit]],Table_NFI[NFI Core Kit])</f>
        <v>0</v>
      </c>
      <c r="AA317" s="378">
        <f>IF(NFI_Expiration=1,IF($A317&lt;VLOOKUP(J$5,NFI,5,0),1,0)*Table_NFI[[#This Row],[Sanitary Kit]],Table_NFI[Sanitary Kit])</f>
        <v>0</v>
      </c>
      <c r="AB317" s="378">
        <f>IF(NFI_Expiration=1,IF($A317&lt;VLOOKUP(K$5,NFI,5,0),1,0)*Table_NFI[[#This Row],[Mosquito net]],Table_NFI[Mosquito net])</f>
        <v>0</v>
      </c>
      <c r="AC317" s="378">
        <f>IF(NFI_Expiration=1,IF($A317&lt;VLOOKUP(L$5,NFI,5,0),1,0)*Table_NFI[[#This Row],[Tarpaulin]],Table_NFI[[#This Row],[Tarpaulin]])</f>
        <v>0</v>
      </c>
      <c r="AD317" s="378">
        <f>IF(NFI_Expiration=1,IF($A317&lt;VLOOKUP(M$5,NFI,5,0),1,0)*Table_NFI[[#This Row],[Blanket]],Table_NFI[[#This Row],[Blanket]])</f>
        <v>0</v>
      </c>
      <c r="AE317" s="378">
        <f>IF(NFI_Expiration=1,IF($A317&lt;VLOOKUP(N$5,NFI,5,0),1,0)*Table_NFI[[#This Row],[Kitchen Set]],Table_NFI[Kitchen Set])</f>
        <v>0</v>
      </c>
      <c r="AF317" s="378">
        <f>IF(NFI_Expiration=1,IF($A317&lt;VLOOKUP(O$5,NFI,5,0),1,0)*Table_NFI[[#This Row],[Clothes Kit]],Table_NFI[Clothes Kit])</f>
        <v>0</v>
      </c>
      <c r="AG317" s="378">
        <f>IF(NFI_Expiration=1,IF($A317&lt;VLOOKUP(P$5,NFI,5,0),1,0)*Table_NFI[[#This Row],[Plastic Bucket]],Table_NFI[Plastic Bucket])</f>
        <v>0</v>
      </c>
      <c r="AH317" s="378">
        <f>IF(NFI_Expiration=1,IF($A317&lt;VLOOKUP(Q$5,NFI,5,0),1,0)*Table_NFI[[#This Row],[Plastic Mat]],Table_NFI[Plastic Mat])*IF(Table_NFI[[#This Row],[Distribution Date]]&gt;"2014-04-01",1,2.5)</f>
        <v>0</v>
      </c>
      <c r="AI317" s="378">
        <f>IF(NFI_Expiration=1,IF($A317&lt;VLOOKUP(R$5,NFI,5,0),1,0)*Table_NFI[[#This Row],[Winter Clothes Adult]],Table_NFI[Winter Clothes Adult])</f>
        <v>0</v>
      </c>
      <c r="AJ317" s="378">
        <f>IF(NFI_Expiration=1,IF($A317&lt;VLOOKUP(S$5,NFI,5,0),1,0)*Table_NFI[[#This Row],[Winter Clothes Children]],Table_NFI[Winter Clothes Children])</f>
        <v>0</v>
      </c>
      <c r="AK317" s="378">
        <f>IF(NFI_Expiration=1,IF($A317&lt;VLOOKUP(T$5,NFI,5,0),1,0)*Table_NFI[[#This Row],[Winter Items Other]],Table_NFI[Winter Items Other])</f>
        <v>0</v>
      </c>
      <c r="AL317" s="378">
        <f>IF(NFI_Expiration=1,IF($A317&lt;VLOOKUP(M$5,NFI,5,0),1,0)*Table_NFI[[#This Row],[Winter Blanket]],Table_NFI[[#This Row],[Winter Blanket]])</f>
        <v>0</v>
      </c>
      <c r="AM317" s="378">
        <f>IF(Table_NFI[[#This Row],[Winter Clothes Adult]]+Table_NFI[[#This Row],[Winter Clothes Children]]+Table_NFI[[#This Row],[Winter Items Other]]+Table_NFI[[#This Row],[Winter Blanket]]&gt;0,1,0)</f>
        <v>1</v>
      </c>
      <c r="AN317" s="418">
        <f>IF(NFI_Expiration=1,IF($A317&lt;VLOOKUP(V$5,NFI,5,0),1,0)*Table_NFI[[#This Row],[Jerry Can]],Table_NFI[Jerry Can])</f>
        <v>0</v>
      </c>
      <c r="AO317" s="579" t="str">
        <f>IFERROR(VLOOKUP(Table_NFI[[#This Row],[Camp Name]],CL,2,0),"")</f>
        <v>MMR001CMP070</v>
      </c>
      <c r="AP317" s="574">
        <f ca="1">IF(Table_NFI[[#This Row],[Pcode]]="","",IF(OFFSET(CampList[Opening Date],MATCH(Table_NFI[[#This Row],[Pcode]],CampList[CP_Pcode],0)-1,0,1,1)&gt;=NFI_Monitor_Date,1,0))</f>
        <v>0</v>
      </c>
      <c r="AQ317" s="579" t="str">
        <f>IFERROR(VLOOKUP(Table_NFI[[#This Row],[Camp Name]],CL,3,0),"")</f>
        <v>Open</v>
      </c>
      <c r="AR317" s="378" t="str">
        <f ca="1">IF(Table_NFI[[#This Row],[Pcode]]="","",OFFSET(CampList[Priority],MATCH(Table_NFI[[#This Row],[Pcode]],CampList[CP_Pcode],0)-1,0,1,1))</f>
        <v>P3</v>
      </c>
      <c r="AS317" s="377">
        <f>IFERROR(Table_NFI[[#This Row],[Kitchen Set]]/VLOOKUP(Table_NFI[[#This Row],[Camp Name]],CL,4,0),"")</f>
        <v>0</v>
      </c>
      <c r="AT317" s="572"/>
      <c r="AU317" s="575"/>
    </row>
    <row r="318" spans="1:47" s="576" customFormat="1" x14ac:dyDescent="0.25">
      <c r="A318" s="381">
        <f t="shared" si="4"/>
        <v>20</v>
      </c>
      <c r="B318" s="571">
        <v>41922</v>
      </c>
      <c r="C318" s="572" t="s">
        <v>454</v>
      </c>
      <c r="D318" s="572"/>
      <c r="E318" s="572" t="s">
        <v>380</v>
      </c>
      <c r="F318" s="572" t="s">
        <v>185</v>
      </c>
      <c r="G318" s="572" t="s">
        <v>190</v>
      </c>
      <c r="H318" s="375"/>
      <c r="I318" s="375"/>
      <c r="J318" s="375"/>
      <c r="K318" s="375"/>
      <c r="L318" s="376">
        <v>30</v>
      </c>
      <c r="M318" s="376"/>
      <c r="N318" s="376"/>
      <c r="O318" s="376"/>
      <c r="P318" s="378"/>
      <c r="Q318" s="378"/>
      <c r="R318" s="378"/>
      <c r="S318" s="378"/>
      <c r="T318" s="378"/>
      <c r="U318" s="378"/>
      <c r="V318" s="533"/>
      <c r="W318" s="378"/>
      <c r="X318" s="378"/>
      <c r="Y318" s="378">
        <f>IF(NFI_Expiration=1,IF($A318&lt;VLOOKUP(H$5,NFI,5,0),1,0)*Table_NFI[[#This Row],[Hygiene Kit]],Table_NFI[Hygiene Kit])</f>
        <v>0</v>
      </c>
      <c r="Z318" s="378">
        <f>IF(NFI_Expiration=1,IF($A318&lt;VLOOKUP(I$5,NFI,5,0),1,0)*Table_NFI[[#This Row],[NFI Core Kit]],Table_NFI[NFI Core Kit])</f>
        <v>0</v>
      </c>
      <c r="AA318" s="378">
        <f>IF(NFI_Expiration=1,IF($A318&lt;VLOOKUP(J$5,NFI,5,0),1,0)*Table_NFI[[#This Row],[Sanitary Kit]],Table_NFI[Sanitary Kit])</f>
        <v>0</v>
      </c>
      <c r="AB318" s="378">
        <f>IF(NFI_Expiration=1,IF($A318&lt;VLOOKUP(K$5,NFI,5,0),1,0)*Table_NFI[[#This Row],[Mosquito net]],Table_NFI[Mosquito net])</f>
        <v>0</v>
      </c>
      <c r="AC318" s="378">
        <f>IF(NFI_Expiration=1,IF($A318&lt;VLOOKUP(L$5,NFI,5,0),1,0)*Table_NFI[[#This Row],[Tarpaulin]],Table_NFI[[#This Row],[Tarpaulin]])</f>
        <v>0</v>
      </c>
      <c r="AD318" s="378">
        <f>IF(NFI_Expiration=1,IF($A318&lt;VLOOKUP(M$5,NFI,5,0),1,0)*Table_NFI[[#This Row],[Blanket]],Table_NFI[[#This Row],[Blanket]])</f>
        <v>0</v>
      </c>
      <c r="AE318" s="378">
        <f>IF(NFI_Expiration=1,IF($A318&lt;VLOOKUP(N$5,NFI,5,0),1,0)*Table_NFI[[#This Row],[Kitchen Set]],Table_NFI[Kitchen Set])</f>
        <v>0</v>
      </c>
      <c r="AF318" s="378">
        <f>IF(NFI_Expiration=1,IF($A318&lt;VLOOKUP(O$5,NFI,5,0),1,0)*Table_NFI[[#This Row],[Clothes Kit]],Table_NFI[Clothes Kit])</f>
        <v>0</v>
      </c>
      <c r="AG318" s="378">
        <f>IF(NFI_Expiration=1,IF($A318&lt;VLOOKUP(P$5,NFI,5,0),1,0)*Table_NFI[[#This Row],[Plastic Bucket]],Table_NFI[Plastic Bucket])</f>
        <v>0</v>
      </c>
      <c r="AH318" s="378">
        <f>IF(NFI_Expiration=1,IF($A318&lt;VLOOKUP(Q$5,NFI,5,0),1,0)*Table_NFI[[#This Row],[Plastic Mat]],Table_NFI[Plastic Mat])*IF(Table_NFI[[#This Row],[Distribution Date]]&gt;"2014-04-01",1,2.5)</f>
        <v>0</v>
      </c>
      <c r="AI318" s="378">
        <f>IF(NFI_Expiration=1,IF($A318&lt;VLOOKUP(R$5,NFI,5,0),1,0)*Table_NFI[[#This Row],[Winter Clothes Adult]],Table_NFI[Winter Clothes Adult])</f>
        <v>0</v>
      </c>
      <c r="AJ318" s="378">
        <f>IF(NFI_Expiration=1,IF($A318&lt;VLOOKUP(S$5,NFI,5,0),1,0)*Table_NFI[[#This Row],[Winter Clothes Children]],Table_NFI[Winter Clothes Children])</f>
        <v>0</v>
      </c>
      <c r="AK318" s="378">
        <f>IF(NFI_Expiration=1,IF($A318&lt;VLOOKUP(T$5,NFI,5,0),1,0)*Table_NFI[[#This Row],[Winter Items Other]],Table_NFI[Winter Items Other])</f>
        <v>0</v>
      </c>
      <c r="AL318" s="378">
        <f>IF(NFI_Expiration=1,IF($A318&lt;VLOOKUP(M$5,NFI,5,0),1,0)*Table_NFI[[#This Row],[Winter Blanket]],Table_NFI[[#This Row],[Winter Blanket]])</f>
        <v>0</v>
      </c>
      <c r="AM318" s="378">
        <f>IF(Table_NFI[[#This Row],[Winter Clothes Adult]]+Table_NFI[[#This Row],[Winter Clothes Children]]+Table_NFI[[#This Row],[Winter Items Other]]+Table_NFI[[#This Row],[Winter Blanket]]&gt;0,1,0)</f>
        <v>0</v>
      </c>
      <c r="AN318" s="418">
        <f>IF(NFI_Expiration=1,IF($A318&lt;VLOOKUP(V$5,NFI,5,0),1,0)*Table_NFI[[#This Row],[Jerry Can]],Table_NFI[Jerry Can])</f>
        <v>0</v>
      </c>
      <c r="AO318" s="579" t="str">
        <f>IFERROR(VLOOKUP(Table_NFI[[#This Row],[Camp Name]],CL,2,0),"")</f>
        <v>MMR001CMP070</v>
      </c>
      <c r="AP318" s="574">
        <f ca="1">IF(Table_NFI[[#This Row],[Pcode]]="","",IF(OFFSET(CampList[Opening Date],MATCH(Table_NFI[[#This Row],[Pcode]],CampList[CP_Pcode],0)-1,0,1,1)&gt;=NFI_Monitor_Date,1,0))</f>
        <v>0</v>
      </c>
      <c r="AQ318" s="579" t="str">
        <f>IFERROR(VLOOKUP(Table_NFI[[#This Row],[Camp Name]],CL,3,0),"")</f>
        <v>Open</v>
      </c>
      <c r="AR318" s="378" t="str">
        <f ca="1">IF(Table_NFI[[#This Row],[Pcode]]="","",OFFSET(CampList[Priority],MATCH(Table_NFI[[#This Row],[Pcode]],CampList[CP_Pcode],0)-1,0,1,1))</f>
        <v>P3</v>
      </c>
      <c r="AS318" s="377">
        <f>IFERROR(Table_NFI[[#This Row],[Kitchen Set]]/VLOOKUP(Table_NFI[[#This Row],[Camp Name]],CL,4,0),"")</f>
        <v>0</v>
      </c>
      <c r="AT318" s="572"/>
      <c r="AU318" s="575"/>
    </row>
    <row r="319" spans="1:47" s="576" customFormat="1" x14ac:dyDescent="0.25">
      <c r="A319" s="381">
        <f t="shared" si="4"/>
        <v>22.233333333333334</v>
      </c>
      <c r="B319" s="571">
        <v>41855</v>
      </c>
      <c r="C319" s="572" t="s">
        <v>454</v>
      </c>
      <c r="D319" s="572"/>
      <c r="E319" s="572" t="s">
        <v>380</v>
      </c>
      <c r="F319" s="572" t="s">
        <v>185</v>
      </c>
      <c r="G319" s="572" t="s">
        <v>190</v>
      </c>
      <c r="H319" s="375"/>
      <c r="I319" s="375"/>
      <c r="J319" s="375"/>
      <c r="K319" s="375">
        <v>84</v>
      </c>
      <c r="L319" s="376">
        <v>36</v>
      </c>
      <c r="M319" s="376">
        <v>84</v>
      </c>
      <c r="N319" s="376">
        <v>36</v>
      </c>
      <c r="O319" s="376"/>
      <c r="P319" s="378">
        <v>36</v>
      </c>
      <c r="Q319" s="378">
        <v>180</v>
      </c>
      <c r="R319" s="378"/>
      <c r="S319" s="378"/>
      <c r="T319" s="378"/>
      <c r="U319" s="378"/>
      <c r="V319" s="533"/>
      <c r="W319" s="378"/>
      <c r="X319" s="378"/>
      <c r="Y319" s="378">
        <f>IF(NFI_Expiration=1,IF($A319&lt;VLOOKUP(H$5,NFI,5,0),1,0)*Table_NFI[[#This Row],[Hygiene Kit]],Table_NFI[Hygiene Kit])</f>
        <v>0</v>
      </c>
      <c r="Z319" s="378">
        <f>IF(NFI_Expiration=1,IF($A319&lt;VLOOKUP(I$5,NFI,5,0),1,0)*Table_NFI[[#This Row],[NFI Core Kit]],Table_NFI[NFI Core Kit])</f>
        <v>0</v>
      </c>
      <c r="AA319" s="378">
        <f>IF(NFI_Expiration=1,IF($A319&lt;VLOOKUP(J$5,NFI,5,0),1,0)*Table_NFI[[#This Row],[Sanitary Kit]],Table_NFI[Sanitary Kit])</f>
        <v>0</v>
      </c>
      <c r="AB319" s="378">
        <f>IF(NFI_Expiration=1,IF($A319&lt;VLOOKUP(K$5,NFI,5,0),1,0)*Table_NFI[[#This Row],[Mosquito net]],Table_NFI[Mosquito net])</f>
        <v>0</v>
      </c>
      <c r="AC319" s="378">
        <f>IF(NFI_Expiration=1,IF($A319&lt;VLOOKUP(L$5,NFI,5,0),1,0)*Table_NFI[[#This Row],[Tarpaulin]],Table_NFI[[#This Row],[Tarpaulin]])</f>
        <v>0</v>
      </c>
      <c r="AD319" s="378">
        <f>IF(NFI_Expiration=1,IF($A319&lt;VLOOKUP(M$5,NFI,5,0),1,0)*Table_NFI[[#This Row],[Blanket]],Table_NFI[[#This Row],[Blanket]])</f>
        <v>0</v>
      </c>
      <c r="AE319" s="378">
        <f>IF(NFI_Expiration=1,IF($A319&lt;VLOOKUP(N$5,NFI,5,0),1,0)*Table_NFI[[#This Row],[Kitchen Set]],Table_NFI[Kitchen Set])</f>
        <v>0</v>
      </c>
      <c r="AF319" s="378">
        <f>IF(NFI_Expiration=1,IF($A319&lt;VLOOKUP(O$5,NFI,5,0),1,0)*Table_NFI[[#This Row],[Clothes Kit]],Table_NFI[Clothes Kit])</f>
        <v>0</v>
      </c>
      <c r="AG319" s="378">
        <f>IF(NFI_Expiration=1,IF($A319&lt;VLOOKUP(P$5,NFI,5,0),1,0)*Table_NFI[[#This Row],[Plastic Bucket]],Table_NFI[Plastic Bucket])</f>
        <v>0</v>
      </c>
      <c r="AH319" s="378">
        <f>IF(NFI_Expiration=1,IF($A319&lt;VLOOKUP(Q$5,NFI,5,0),1,0)*Table_NFI[[#This Row],[Plastic Mat]],Table_NFI[Plastic Mat])*IF(Table_NFI[[#This Row],[Distribution Date]]&gt;"2014-04-01",1,2.5)</f>
        <v>0</v>
      </c>
      <c r="AI319" s="378">
        <f>IF(NFI_Expiration=1,IF($A319&lt;VLOOKUP(R$5,NFI,5,0),1,0)*Table_NFI[[#This Row],[Winter Clothes Adult]],Table_NFI[Winter Clothes Adult])</f>
        <v>0</v>
      </c>
      <c r="AJ319" s="378">
        <f>IF(NFI_Expiration=1,IF($A319&lt;VLOOKUP(S$5,NFI,5,0),1,0)*Table_NFI[[#This Row],[Winter Clothes Children]],Table_NFI[Winter Clothes Children])</f>
        <v>0</v>
      </c>
      <c r="AK319" s="378">
        <f>IF(NFI_Expiration=1,IF($A319&lt;VLOOKUP(T$5,NFI,5,0),1,0)*Table_NFI[[#This Row],[Winter Items Other]],Table_NFI[Winter Items Other])</f>
        <v>0</v>
      </c>
      <c r="AL319" s="378">
        <f>IF(NFI_Expiration=1,IF($A319&lt;VLOOKUP(M$5,NFI,5,0),1,0)*Table_NFI[[#This Row],[Winter Blanket]],Table_NFI[[#This Row],[Winter Blanket]])</f>
        <v>0</v>
      </c>
      <c r="AM319" s="378">
        <f>IF(Table_NFI[[#This Row],[Winter Clothes Adult]]+Table_NFI[[#This Row],[Winter Clothes Children]]+Table_NFI[[#This Row],[Winter Items Other]]+Table_NFI[[#This Row],[Winter Blanket]]&gt;0,1,0)</f>
        <v>0</v>
      </c>
      <c r="AN319" s="418">
        <f>IF(NFI_Expiration=1,IF($A319&lt;VLOOKUP(V$5,NFI,5,0),1,0)*Table_NFI[[#This Row],[Jerry Can]],Table_NFI[Jerry Can])</f>
        <v>0</v>
      </c>
      <c r="AO319" s="579" t="str">
        <f>IFERROR(VLOOKUP(Table_NFI[[#This Row],[Camp Name]],CL,2,0),"")</f>
        <v>MMR001CMP070</v>
      </c>
      <c r="AP319" s="574">
        <f ca="1">IF(Table_NFI[[#This Row],[Pcode]]="","",IF(OFFSET(CampList[Opening Date],MATCH(Table_NFI[[#This Row],[Pcode]],CampList[CP_Pcode],0)-1,0,1,1)&gt;=NFI_Monitor_Date,1,0))</f>
        <v>0</v>
      </c>
      <c r="AQ319" s="579" t="str">
        <f>IFERROR(VLOOKUP(Table_NFI[[#This Row],[Camp Name]],CL,3,0),"")</f>
        <v>Open</v>
      </c>
      <c r="AR319" s="378" t="str">
        <f ca="1">IF(Table_NFI[[#This Row],[Pcode]]="","",OFFSET(CampList[Priority],MATCH(Table_NFI[[#This Row],[Pcode]],CampList[CP_Pcode],0)-1,0,1,1))</f>
        <v>P3</v>
      </c>
      <c r="AS319" s="377">
        <f>IFERROR(Table_NFI[[#This Row],[Kitchen Set]]/VLOOKUP(Table_NFI[[#This Row],[Camp Name]],CL,4,0),"")</f>
        <v>0.18947368421052632</v>
      </c>
      <c r="AT319" s="572"/>
      <c r="AU319" s="575"/>
    </row>
    <row r="320" spans="1:47" s="576" customFormat="1" x14ac:dyDescent="0.25">
      <c r="A320" s="381">
        <f t="shared" si="4"/>
        <v>30.466666666666665</v>
      </c>
      <c r="B320" s="571">
        <v>41608</v>
      </c>
      <c r="C320" s="572" t="s">
        <v>908</v>
      </c>
      <c r="D320" s="572"/>
      <c r="E320" s="572" t="s">
        <v>380</v>
      </c>
      <c r="F320" s="374" t="s">
        <v>185</v>
      </c>
      <c r="G320" s="374" t="s">
        <v>190</v>
      </c>
      <c r="H320" s="375"/>
      <c r="I320" s="375"/>
      <c r="J320" s="375"/>
      <c r="K320" s="375"/>
      <c r="L320" s="376"/>
      <c r="M320" s="376"/>
      <c r="N320" s="376"/>
      <c r="O320" s="376"/>
      <c r="P320" s="378"/>
      <c r="Q320" s="378">
        <v>369</v>
      </c>
      <c r="R320" s="378"/>
      <c r="S320" s="378"/>
      <c r="T320" s="378"/>
      <c r="U320" s="378"/>
      <c r="V320" s="533"/>
      <c r="W320" s="378"/>
      <c r="X320" s="378"/>
      <c r="Y320" s="378">
        <f>IF(NFI_Expiration=1,IF($A320&lt;VLOOKUP(H$5,NFI,5,0),1,0)*Table_NFI[[#This Row],[Hygiene Kit]],Table_NFI[Hygiene Kit])</f>
        <v>0</v>
      </c>
      <c r="Z320" s="378">
        <f>IF(NFI_Expiration=1,IF($A320&lt;VLOOKUP(I$5,NFI,5,0),1,0)*Table_NFI[[#This Row],[NFI Core Kit]],Table_NFI[NFI Core Kit])</f>
        <v>0</v>
      </c>
      <c r="AA320" s="378">
        <f>IF(NFI_Expiration=1,IF($A320&lt;VLOOKUP(J$5,NFI,5,0),1,0)*Table_NFI[[#This Row],[Sanitary Kit]],Table_NFI[Sanitary Kit])</f>
        <v>0</v>
      </c>
      <c r="AB320" s="378">
        <f>IF(NFI_Expiration=1,IF($A320&lt;VLOOKUP(K$5,NFI,5,0),1,0)*Table_NFI[[#This Row],[Mosquito net]],Table_NFI[Mosquito net])</f>
        <v>0</v>
      </c>
      <c r="AC320" s="378">
        <f>IF(NFI_Expiration=1,IF($A320&lt;VLOOKUP(L$5,NFI,5,0),1,0)*Table_NFI[[#This Row],[Tarpaulin]],Table_NFI[[#This Row],[Tarpaulin]])</f>
        <v>0</v>
      </c>
      <c r="AD320" s="378">
        <f>IF(NFI_Expiration=1,IF($A320&lt;VLOOKUP(M$5,NFI,5,0),1,0)*Table_NFI[[#This Row],[Blanket]],Table_NFI[[#This Row],[Blanket]])</f>
        <v>0</v>
      </c>
      <c r="AE320" s="378">
        <f>IF(NFI_Expiration=1,IF($A320&lt;VLOOKUP(N$5,NFI,5,0),1,0)*Table_NFI[[#This Row],[Kitchen Set]],Table_NFI[Kitchen Set])</f>
        <v>0</v>
      </c>
      <c r="AF320" s="378">
        <f>IF(NFI_Expiration=1,IF($A320&lt;VLOOKUP(O$5,NFI,5,0),1,0)*Table_NFI[[#This Row],[Clothes Kit]],Table_NFI[Clothes Kit])</f>
        <v>0</v>
      </c>
      <c r="AG320" s="378">
        <f>IF(NFI_Expiration=1,IF($A320&lt;VLOOKUP(P$5,NFI,5,0),1,0)*Table_NFI[[#This Row],[Plastic Bucket]],Table_NFI[Plastic Bucket])</f>
        <v>0</v>
      </c>
      <c r="AH320" s="378">
        <f>IF(NFI_Expiration=1,IF($A320&lt;VLOOKUP(Q$5,NFI,5,0),1,0)*Table_NFI[[#This Row],[Plastic Mat]],Table_NFI[Plastic Mat])*IF(Table_NFI[[#This Row],[Distribution Date]]&gt;"2014-04-01",1,2.5)</f>
        <v>0</v>
      </c>
      <c r="AI320" s="378">
        <f>IF(NFI_Expiration=1,IF($A320&lt;VLOOKUP(R$5,NFI,5,0),1,0)*Table_NFI[[#This Row],[Winter Clothes Adult]],Table_NFI[Winter Clothes Adult])</f>
        <v>0</v>
      </c>
      <c r="AJ320" s="378">
        <f>IF(NFI_Expiration=1,IF($A320&lt;VLOOKUP(S$5,NFI,5,0),1,0)*Table_NFI[[#This Row],[Winter Clothes Children]],Table_NFI[Winter Clothes Children])</f>
        <v>0</v>
      </c>
      <c r="AK320" s="378">
        <f>IF(NFI_Expiration=1,IF($A320&lt;VLOOKUP(T$5,NFI,5,0),1,0)*Table_NFI[[#This Row],[Winter Items Other]],Table_NFI[Winter Items Other])</f>
        <v>0</v>
      </c>
      <c r="AL320" s="378">
        <f>IF(NFI_Expiration=1,IF($A320&lt;VLOOKUP(M$5,NFI,5,0),1,0)*Table_NFI[[#This Row],[Winter Blanket]],Table_NFI[[#This Row],[Winter Blanket]])</f>
        <v>0</v>
      </c>
      <c r="AM320" s="378">
        <f>IF(Table_NFI[[#This Row],[Winter Clothes Adult]]+Table_NFI[[#This Row],[Winter Clothes Children]]+Table_NFI[[#This Row],[Winter Items Other]]+Table_NFI[[#This Row],[Winter Blanket]]&gt;0,1,0)</f>
        <v>0</v>
      </c>
      <c r="AN320" s="418">
        <f>IF(NFI_Expiration=1,IF($A320&lt;VLOOKUP(V$5,NFI,5,0),1,0)*Table_NFI[[#This Row],[Jerry Can]],Table_NFI[Jerry Can])</f>
        <v>0</v>
      </c>
      <c r="AO320" s="579" t="str">
        <f>IFERROR(VLOOKUP(Table_NFI[[#This Row],[Camp Name]],CL,2,0),"")</f>
        <v>MMR001CMP070</v>
      </c>
      <c r="AP320" s="574">
        <f ca="1">IF(Table_NFI[[#This Row],[Pcode]]="","",IF(OFFSET(CampList[Opening Date],MATCH(Table_NFI[[#This Row],[Pcode]],CampList[CP_Pcode],0)-1,0,1,1)&gt;=NFI_Monitor_Date,1,0))</f>
        <v>0</v>
      </c>
      <c r="AQ320" s="579" t="str">
        <f>IFERROR(VLOOKUP(Table_NFI[[#This Row],[Camp Name]],CL,3,0),"")</f>
        <v>Open</v>
      </c>
      <c r="AR320" s="378" t="str">
        <f ca="1">IF(Table_NFI[[#This Row],[Pcode]]="","",OFFSET(CampList[Priority],MATCH(Table_NFI[[#This Row],[Pcode]],CampList[CP_Pcode],0)-1,0,1,1))</f>
        <v>P3</v>
      </c>
      <c r="AS320" s="377">
        <f>IFERROR(Table_NFI[[#This Row],[Kitchen Set]]/VLOOKUP(Table_NFI[[#This Row],[Camp Name]],CL,4,0),"")</f>
        <v>0</v>
      </c>
      <c r="AT320" s="572" t="s">
        <v>1095</v>
      </c>
      <c r="AU320" s="575"/>
    </row>
    <row r="321" spans="1:47" s="576" customFormat="1" x14ac:dyDescent="0.25">
      <c r="A321" s="381">
        <f t="shared" si="4"/>
        <v>30.866666666666667</v>
      </c>
      <c r="B321" s="571">
        <v>41596</v>
      </c>
      <c r="C321" s="572" t="s">
        <v>455</v>
      </c>
      <c r="D321" s="572"/>
      <c r="E321" s="572" t="s">
        <v>380</v>
      </c>
      <c r="F321" s="572" t="s">
        <v>185</v>
      </c>
      <c r="G321" s="572" t="s">
        <v>190</v>
      </c>
      <c r="H321" s="375"/>
      <c r="I321" s="375"/>
      <c r="J321" s="375"/>
      <c r="K321" s="375"/>
      <c r="L321" s="376"/>
      <c r="M321" s="376">
        <v>395</v>
      </c>
      <c r="N321" s="376"/>
      <c r="O321" s="376"/>
      <c r="P321" s="378"/>
      <c r="Q321" s="378"/>
      <c r="R321" s="378"/>
      <c r="S321" s="378"/>
      <c r="T321" s="378"/>
      <c r="U321" s="378"/>
      <c r="V321" s="533"/>
      <c r="W321" s="378"/>
      <c r="X321" s="378"/>
      <c r="Y321" s="378">
        <f>IF(NFI_Expiration=1,IF($A321&lt;VLOOKUP(H$5,NFI,5,0),1,0)*Table_NFI[[#This Row],[Hygiene Kit]],Table_NFI[Hygiene Kit])</f>
        <v>0</v>
      </c>
      <c r="Z321" s="378">
        <f>IF(NFI_Expiration=1,IF($A321&lt;VLOOKUP(I$5,NFI,5,0),1,0)*Table_NFI[[#This Row],[NFI Core Kit]],Table_NFI[NFI Core Kit])</f>
        <v>0</v>
      </c>
      <c r="AA321" s="378">
        <f>IF(NFI_Expiration=1,IF($A321&lt;VLOOKUP(J$5,NFI,5,0),1,0)*Table_NFI[[#This Row],[Sanitary Kit]],Table_NFI[Sanitary Kit])</f>
        <v>0</v>
      </c>
      <c r="AB321" s="378">
        <f>IF(NFI_Expiration=1,IF($A321&lt;VLOOKUP(K$5,NFI,5,0),1,0)*Table_NFI[[#This Row],[Mosquito net]],Table_NFI[Mosquito net])</f>
        <v>0</v>
      </c>
      <c r="AC321" s="378">
        <f>IF(NFI_Expiration=1,IF($A321&lt;VLOOKUP(L$5,NFI,5,0),1,0)*Table_NFI[[#This Row],[Tarpaulin]],Table_NFI[[#This Row],[Tarpaulin]])</f>
        <v>0</v>
      </c>
      <c r="AD321" s="378">
        <f>IF(NFI_Expiration=1,IF($A321&lt;VLOOKUP(M$5,NFI,5,0),1,0)*Table_NFI[[#This Row],[Blanket]],Table_NFI[[#This Row],[Blanket]])</f>
        <v>0</v>
      </c>
      <c r="AE321" s="378">
        <f>IF(NFI_Expiration=1,IF($A321&lt;VLOOKUP(N$5,NFI,5,0),1,0)*Table_NFI[[#This Row],[Kitchen Set]],Table_NFI[Kitchen Set])</f>
        <v>0</v>
      </c>
      <c r="AF321" s="378">
        <f>IF(NFI_Expiration=1,IF($A321&lt;VLOOKUP(O$5,NFI,5,0),1,0)*Table_NFI[[#This Row],[Clothes Kit]],Table_NFI[Clothes Kit])</f>
        <v>0</v>
      </c>
      <c r="AG321" s="378">
        <f>IF(NFI_Expiration=1,IF($A321&lt;VLOOKUP(P$5,NFI,5,0),1,0)*Table_NFI[[#This Row],[Plastic Bucket]],Table_NFI[Plastic Bucket])</f>
        <v>0</v>
      </c>
      <c r="AH321" s="378">
        <f>IF(NFI_Expiration=1,IF($A321&lt;VLOOKUP(Q$5,NFI,5,0),1,0)*Table_NFI[[#This Row],[Plastic Mat]],Table_NFI[Plastic Mat])*IF(Table_NFI[[#This Row],[Distribution Date]]&gt;"2014-04-01",1,2.5)</f>
        <v>0</v>
      </c>
      <c r="AI321" s="378">
        <f>IF(NFI_Expiration=1,IF($A321&lt;VLOOKUP(R$5,NFI,5,0),1,0)*Table_NFI[[#This Row],[Winter Clothes Adult]],Table_NFI[Winter Clothes Adult])</f>
        <v>0</v>
      </c>
      <c r="AJ321" s="378">
        <f>IF(NFI_Expiration=1,IF($A321&lt;VLOOKUP(S$5,NFI,5,0),1,0)*Table_NFI[[#This Row],[Winter Clothes Children]],Table_NFI[Winter Clothes Children])</f>
        <v>0</v>
      </c>
      <c r="AK321" s="378">
        <f>IF(NFI_Expiration=1,IF($A321&lt;VLOOKUP(T$5,NFI,5,0),1,0)*Table_NFI[[#This Row],[Winter Items Other]],Table_NFI[Winter Items Other])</f>
        <v>0</v>
      </c>
      <c r="AL321" s="378">
        <f>IF(NFI_Expiration=1,IF($A321&lt;VLOOKUP(M$5,NFI,5,0),1,0)*Table_NFI[[#This Row],[Winter Blanket]],Table_NFI[[#This Row],[Winter Blanket]])</f>
        <v>0</v>
      </c>
      <c r="AM321" s="378">
        <f>IF(Table_NFI[[#This Row],[Winter Clothes Adult]]+Table_NFI[[#This Row],[Winter Clothes Children]]+Table_NFI[[#This Row],[Winter Items Other]]+Table_NFI[[#This Row],[Winter Blanket]]&gt;0,1,0)</f>
        <v>0</v>
      </c>
      <c r="AN321" s="418">
        <f>IF(NFI_Expiration=1,IF($A321&lt;VLOOKUP(V$5,NFI,5,0),1,0)*Table_NFI[[#This Row],[Jerry Can]],Table_NFI[Jerry Can])</f>
        <v>0</v>
      </c>
      <c r="AO321" s="579" t="str">
        <f>IFERROR(VLOOKUP(Table_NFI[[#This Row],[Camp Name]],CL,2,0),"")</f>
        <v>MMR001CMP070</v>
      </c>
      <c r="AP321" s="574">
        <f ca="1">IF(Table_NFI[[#This Row],[Pcode]]="","",IF(OFFSET(CampList[Opening Date],MATCH(Table_NFI[[#This Row],[Pcode]],CampList[CP_Pcode],0)-1,0,1,1)&gt;=NFI_Monitor_Date,1,0))</f>
        <v>0</v>
      </c>
      <c r="AQ321" s="579" t="str">
        <f>IFERROR(VLOOKUP(Table_NFI[[#This Row],[Camp Name]],CL,3,0),"")</f>
        <v>Open</v>
      </c>
      <c r="AR321" s="378" t="str">
        <f ca="1">IF(Table_NFI[[#This Row],[Pcode]]="","",OFFSET(CampList[Priority],MATCH(Table_NFI[[#This Row],[Pcode]],CampList[CP_Pcode],0)-1,0,1,1))</f>
        <v>P3</v>
      </c>
      <c r="AS321" s="377">
        <f>IFERROR(Table_NFI[[#This Row],[Kitchen Set]]/VLOOKUP(Table_NFI[[#This Row],[Camp Name]],CL,4,0),"")</f>
        <v>0</v>
      </c>
      <c r="AT321" s="572" t="s">
        <v>1095</v>
      </c>
      <c r="AU321" s="575"/>
    </row>
    <row r="322" spans="1:47" s="576" customFormat="1" x14ac:dyDescent="0.25">
      <c r="A322" s="381">
        <f t="shared" si="4"/>
        <v>31.366666666666667</v>
      </c>
      <c r="B322" s="571">
        <v>41581</v>
      </c>
      <c r="C322" s="572" t="s">
        <v>454</v>
      </c>
      <c r="D322" s="572" t="s">
        <v>575</v>
      </c>
      <c r="E322" s="572" t="s">
        <v>380</v>
      </c>
      <c r="F322" s="374" t="s">
        <v>185</v>
      </c>
      <c r="G322" s="374" t="s">
        <v>190</v>
      </c>
      <c r="H322" s="375"/>
      <c r="I322" s="375"/>
      <c r="J322" s="375">
        <v>24</v>
      </c>
      <c r="K322" s="375">
        <v>24</v>
      </c>
      <c r="L322" s="376">
        <v>12</v>
      </c>
      <c r="M322" s="376">
        <v>12</v>
      </c>
      <c r="N322" s="376">
        <v>12</v>
      </c>
      <c r="O322" s="376">
        <v>12</v>
      </c>
      <c r="P322" s="378"/>
      <c r="Q322" s="378"/>
      <c r="R322" s="378"/>
      <c r="S322" s="378"/>
      <c r="T322" s="378"/>
      <c r="U322" s="378"/>
      <c r="V322" s="533"/>
      <c r="W322" s="378"/>
      <c r="X322" s="378"/>
      <c r="Y322" s="378">
        <f>IF(NFI_Expiration=1,IF($A322&lt;VLOOKUP(H$5,NFI,5,0),1,0)*Table_NFI[[#This Row],[Hygiene Kit]],Table_NFI[Hygiene Kit])</f>
        <v>0</v>
      </c>
      <c r="Z322" s="378">
        <f>IF(NFI_Expiration=1,IF($A322&lt;VLOOKUP(I$5,NFI,5,0),1,0)*Table_NFI[[#This Row],[NFI Core Kit]],Table_NFI[NFI Core Kit])</f>
        <v>0</v>
      </c>
      <c r="AA322" s="378">
        <f>IF(NFI_Expiration=1,IF($A322&lt;VLOOKUP(J$5,NFI,5,0),1,0)*Table_NFI[[#This Row],[Sanitary Kit]],Table_NFI[Sanitary Kit])</f>
        <v>0</v>
      </c>
      <c r="AB322" s="378">
        <f>IF(NFI_Expiration=1,IF($A322&lt;VLOOKUP(K$5,NFI,5,0),1,0)*Table_NFI[[#This Row],[Mosquito net]],Table_NFI[Mosquito net])</f>
        <v>0</v>
      </c>
      <c r="AC322" s="378">
        <f>IF(NFI_Expiration=1,IF($A322&lt;VLOOKUP(L$5,NFI,5,0),1,0)*Table_NFI[[#This Row],[Tarpaulin]],Table_NFI[[#This Row],[Tarpaulin]])</f>
        <v>0</v>
      </c>
      <c r="AD322" s="378">
        <f>IF(NFI_Expiration=1,IF($A322&lt;VLOOKUP(M$5,NFI,5,0),1,0)*Table_NFI[[#This Row],[Blanket]],Table_NFI[[#This Row],[Blanket]])</f>
        <v>0</v>
      </c>
      <c r="AE322" s="378">
        <f>IF(NFI_Expiration=1,IF($A322&lt;VLOOKUP(N$5,NFI,5,0),1,0)*Table_NFI[[#This Row],[Kitchen Set]],Table_NFI[Kitchen Set])</f>
        <v>0</v>
      </c>
      <c r="AF322" s="378">
        <f>IF(NFI_Expiration=1,IF($A322&lt;VLOOKUP(O$5,NFI,5,0),1,0)*Table_NFI[[#This Row],[Clothes Kit]],Table_NFI[Clothes Kit])</f>
        <v>0</v>
      </c>
      <c r="AG322" s="378">
        <f>IF(NFI_Expiration=1,IF($A322&lt;VLOOKUP(P$5,NFI,5,0),1,0)*Table_NFI[[#This Row],[Plastic Bucket]],Table_NFI[Plastic Bucket])</f>
        <v>0</v>
      </c>
      <c r="AH322" s="378">
        <f>IF(NFI_Expiration=1,IF($A322&lt;VLOOKUP(Q$5,NFI,5,0),1,0)*Table_NFI[[#This Row],[Plastic Mat]],Table_NFI[Plastic Mat])*IF(Table_NFI[[#This Row],[Distribution Date]]&gt;"2014-04-01",1,2.5)</f>
        <v>0</v>
      </c>
      <c r="AI322" s="378">
        <f>IF(NFI_Expiration=1,IF($A322&lt;VLOOKUP(R$5,NFI,5,0),1,0)*Table_NFI[[#This Row],[Winter Clothes Adult]],Table_NFI[Winter Clothes Adult])</f>
        <v>0</v>
      </c>
      <c r="AJ322" s="378">
        <f>IF(NFI_Expiration=1,IF($A322&lt;VLOOKUP(S$5,NFI,5,0),1,0)*Table_NFI[[#This Row],[Winter Clothes Children]],Table_NFI[Winter Clothes Children])</f>
        <v>0</v>
      </c>
      <c r="AK322" s="378">
        <f>IF(NFI_Expiration=1,IF($A322&lt;VLOOKUP(T$5,NFI,5,0),1,0)*Table_NFI[[#This Row],[Winter Items Other]],Table_NFI[Winter Items Other])</f>
        <v>0</v>
      </c>
      <c r="AL322" s="378">
        <f>IF(NFI_Expiration=1,IF($A322&lt;VLOOKUP(M$5,NFI,5,0),1,0)*Table_NFI[[#This Row],[Winter Blanket]],Table_NFI[[#This Row],[Winter Blanket]])</f>
        <v>0</v>
      </c>
      <c r="AM322" s="378">
        <f>IF(Table_NFI[[#This Row],[Winter Clothes Adult]]+Table_NFI[[#This Row],[Winter Clothes Children]]+Table_NFI[[#This Row],[Winter Items Other]]+Table_NFI[[#This Row],[Winter Blanket]]&gt;0,1,0)</f>
        <v>0</v>
      </c>
      <c r="AN322" s="418">
        <f>IF(NFI_Expiration=1,IF($A322&lt;VLOOKUP(V$5,NFI,5,0),1,0)*Table_NFI[[#This Row],[Jerry Can]],Table_NFI[Jerry Can])</f>
        <v>0</v>
      </c>
      <c r="AO322" s="579" t="str">
        <f>IFERROR(VLOOKUP(Table_NFI[[#This Row],[Camp Name]],CL,2,0),"")</f>
        <v>MMR001CMP070</v>
      </c>
      <c r="AP322" s="574">
        <f ca="1">IF(Table_NFI[[#This Row],[Pcode]]="","",IF(OFFSET(CampList[Opening Date],MATCH(Table_NFI[[#This Row],[Pcode]],CampList[CP_Pcode],0)-1,0,1,1)&gt;=NFI_Monitor_Date,1,0))</f>
        <v>0</v>
      </c>
      <c r="AQ322" s="579" t="str">
        <f>IFERROR(VLOOKUP(Table_NFI[[#This Row],[Camp Name]],CL,3,0),"")</f>
        <v>Open</v>
      </c>
      <c r="AR322" s="378" t="str">
        <f ca="1">IF(Table_NFI[[#This Row],[Pcode]]="","",OFFSET(CampList[Priority],MATCH(Table_NFI[[#This Row],[Pcode]],CampList[CP_Pcode],0)-1,0,1,1))</f>
        <v>P3</v>
      </c>
      <c r="AS322" s="377">
        <f>IFERROR(Table_NFI[[#This Row],[Kitchen Set]]/VLOOKUP(Table_NFI[[#This Row],[Camp Name]],CL,4,0),"")</f>
        <v>6.3157894736842107E-2</v>
      </c>
      <c r="AT322" s="572" t="s">
        <v>1095</v>
      </c>
      <c r="AU322" s="575"/>
    </row>
    <row r="323" spans="1:47" s="576" customFormat="1" x14ac:dyDescent="0.25">
      <c r="A323" s="381">
        <f t="shared" si="4"/>
        <v>36.133333333333333</v>
      </c>
      <c r="B323" s="571">
        <v>41438</v>
      </c>
      <c r="C323" s="572" t="s">
        <v>454</v>
      </c>
      <c r="D323" s="573" t="s">
        <v>454</v>
      </c>
      <c r="E323" s="572" t="s">
        <v>380</v>
      </c>
      <c r="F323" s="374" t="s">
        <v>185</v>
      </c>
      <c r="G323" s="374" t="s">
        <v>190</v>
      </c>
      <c r="H323" s="375"/>
      <c r="I323" s="375"/>
      <c r="J323" s="375">
        <v>941</v>
      </c>
      <c r="K323" s="375">
        <v>67</v>
      </c>
      <c r="L323" s="376">
        <v>24</v>
      </c>
      <c r="M323" s="376">
        <v>67</v>
      </c>
      <c r="N323" s="376">
        <v>24</v>
      </c>
      <c r="O323" s="376">
        <v>24</v>
      </c>
      <c r="P323" s="378">
        <v>24</v>
      </c>
      <c r="Q323" s="378">
        <v>24</v>
      </c>
      <c r="R323" s="378"/>
      <c r="S323" s="378"/>
      <c r="T323" s="378"/>
      <c r="U323" s="378"/>
      <c r="V323" s="533"/>
      <c r="W323" s="378"/>
      <c r="X323" s="378"/>
      <c r="Y323" s="378">
        <f>IF(NFI_Expiration=1,IF($A323&lt;VLOOKUP(H$5,NFI,5,0),1,0)*Table_NFI[[#This Row],[Hygiene Kit]],Table_NFI[Hygiene Kit])</f>
        <v>0</v>
      </c>
      <c r="Z323" s="378">
        <f>IF(NFI_Expiration=1,IF($A323&lt;VLOOKUP(I$5,NFI,5,0),1,0)*Table_NFI[[#This Row],[NFI Core Kit]],Table_NFI[NFI Core Kit])</f>
        <v>0</v>
      </c>
      <c r="AA323" s="378">
        <f>IF(NFI_Expiration=1,IF($A323&lt;VLOOKUP(J$5,NFI,5,0),1,0)*Table_NFI[[#This Row],[Sanitary Kit]],Table_NFI[Sanitary Kit])</f>
        <v>0</v>
      </c>
      <c r="AB323" s="378">
        <f>IF(NFI_Expiration=1,IF($A323&lt;VLOOKUP(K$5,NFI,5,0),1,0)*Table_NFI[[#This Row],[Mosquito net]],Table_NFI[Mosquito net])</f>
        <v>0</v>
      </c>
      <c r="AC323" s="378">
        <f>IF(NFI_Expiration=1,IF($A323&lt;VLOOKUP(L$5,NFI,5,0),1,0)*Table_NFI[[#This Row],[Tarpaulin]],Table_NFI[[#This Row],[Tarpaulin]])</f>
        <v>0</v>
      </c>
      <c r="AD323" s="378">
        <f>IF(NFI_Expiration=1,IF($A323&lt;VLOOKUP(M$5,NFI,5,0),1,0)*Table_NFI[[#This Row],[Blanket]],Table_NFI[[#This Row],[Blanket]])</f>
        <v>0</v>
      </c>
      <c r="AE323" s="378">
        <f>IF(NFI_Expiration=1,IF($A323&lt;VLOOKUP(N$5,NFI,5,0),1,0)*Table_NFI[[#This Row],[Kitchen Set]],Table_NFI[Kitchen Set])</f>
        <v>0</v>
      </c>
      <c r="AF323" s="378">
        <f>IF(NFI_Expiration=1,IF($A323&lt;VLOOKUP(O$5,NFI,5,0),1,0)*Table_NFI[[#This Row],[Clothes Kit]],Table_NFI[Clothes Kit])</f>
        <v>0</v>
      </c>
      <c r="AG323" s="378">
        <f>IF(NFI_Expiration=1,IF($A323&lt;VLOOKUP(P$5,NFI,5,0),1,0)*Table_NFI[[#This Row],[Plastic Bucket]],Table_NFI[Plastic Bucket])</f>
        <v>0</v>
      </c>
      <c r="AH323" s="378">
        <f>IF(NFI_Expiration=1,IF($A323&lt;VLOOKUP(Q$5,NFI,5,0),1,0)*Table_NFI[[#This Row],[Plastic Mat]],Table_NFI[Plastic Mat])*IF(Table_NFI[[#This Row],[Distribution Date]]&gt;"2014-04-01",1,2.5)</f>
        <v>0</v>
      </c>
      <c r="AI323" s="378">
        <f>IF(NFI_Expiration=1,IF($A323&lt;VLOOKUP(R$5,NFI,5,0),1,0)*Table_NFI[[#This Row],[Winter Clothes Adult]],Table_NFI[Winter Clothes Adult])</f>
        <v>0</v>
      </c>
      <c r="AJ323" s="378">
        <f>IF(NFI_Expiration=1,IF($A323&lt;VLOOKUP(S$5,NFI,5,0),1,0)*Table_NFI[[#This Row],[Winter Clothes Children]],Table_NFI[Winter Clothes Children])</f>
        <v>0</v>
      </c>
      <c r="AK323" s="378">
        <f>IF(NFI_Expiration=1,IF($A323&lt;VLOOKUP(T$5,NFI,5,0),1,0)*Table_NFI[[#This Row],[Winter Items Other]],Table_NFI[Winter Items Other])</f>
        <v>0</v>
      </c>
      <c r="AL323" s="378">
        <f>IF(NFI_Expiration=1,IF($A323&lt;VLOOKUP(M$5,NFI,5,0),1,0)*Table_NFI[[#This Row],[Winter Blanket]],Table_NFI[[#This Row],[Winter Blanket]])</f>
        <v>0</v>
      </c>
      <c r="AM323" s="378">
        <f>IF(Table_NFI[[#This Row],[Winter Clothes Adult]]+Table_NFI[[#This Row],[Winter Clothes Children]]+Table_NFI[[#This Row],[Winter Items Other]]+Table_NFI[[#This Row],[Winter Blanket]]&gt;0,1,0)</f>
        <v>0</v>
      </c>
      <c r="AN323" s="418">
        <f>IF(NFI_Expiration=1,IF($A323&lt;VLOOKUP(V$5,NFI,5,0),1,0)*Table_NFI[[#This Row],[Jerry Can]],Table_NFI[Jerry Can])</f>
        <v>0</v>
      </c>
      <c r="AO323" s="579" t="str">
        <f>IFERROR(VLOOKUP(Table_NFI[[#This Row],[Camp Name]],CL,2,0),"")</f>
        <v>MMR001CMP070</v>
      </c>
      <c r="AP323" s="574">
        <f ca="1">IF(Table_NFI[[#This Row],[Pcode]]="","",IF(OFFSET(CampList[Opening Date],MATCH(Table_NFI[[#This Row],[Pcode]],CampList[CP_Pcode],0)-1,0,1,1)&gt;=NFI_Monitor_Date,1,0))</f>
        <v>0</v>
      </c>
      <c r="AQ323" s="579" t="str">
        <f>IFERROR(VLOOKUP(Table_NFI[[#This Row],[Camp Name]],CL,3,0),"")</f>
        <v>Open</v>
      </c>
      <c r="AR323" s="378" t="str">
        <f ca="1">IF(Table_NFI[[#This Row],[Pcode]]="","",OFFSET(CampList[Priority],MATCH(Table_NFI[[#This Row],[Pcode]],CampList[CP_Pcode],0)-1,0,1,1))</f>
        <v>P3</v>
      </c>
      <c r="AS323" s="377">
        <f>IFERROR(Table_NFI[[#This Row],[Kitchen Set]]/VLOOKUP(Table_NFI[[#This Row],[Camp Name]],CL,4,0),"")</f>
        <v>0.12631578947368421</v>
      </c>
      <c r="AT323" s="572" t="s">
        <v>1095</v>
      </c>
      <c r="AU323" s="575"/>
    </row>
    <row r="324" spans="1:47" s="576" customFormat="1" x14ac:dyDescent="0.25">
      <c r="A324" s="381">
        <f t="shared" si="4"/>
        <v>39.56666666666667</v>
      </c>
      <c r="B324" s="571">
        <v>41335</v>
      </c>
      <c r="C324" s="572" t="s">
        <v>908</v>
      </c>
      <c r="D324" s="573" t="s">
        <v>908</v>
      </c>
      <c r="E324" s="572" t="s">
        <v>380</v>
      </c>
      <c r="F324" s="374" t="s">
        <v>185</v>
      </c>
      <c r="G324" s="374" t="s">
        <v>190</v>
      </c>
      <c r="H324" s="375">
        <v>368</v>
      </c>
      <c r="I324" s="375"/>
      <c r="J324" s="375"/>
      <c r="K324" s="375"/>
      <c r="L324" s="376"/>
      <c r="M324" s="376"/>
      <c r="N324" s="376"/>
      <c r="O324" s="376"/>
      <c r="P324" s="378">
        <v>0</v>
      </c>
      <c r="Q324" s="378">
        <v>0</v>
      </c>
      <c r="R324" s="378"/>
      <c r="S324" s="378"/>
      <c r="T324" s="378"/>
      <c r="U324" s="378"/>
      <c r="V324" s="533"/>
      <c r="W324" s="378"/>
      <c r="X324" s="378"/>
      <c r="Y324" s="378">
        <f>IF(NFI_Expiration=1,IF($A324&lt;VLOOKUP(H$5,NFI,5,0),1,0)*Table_NFI[[#This Row],[Hygiene Kit]],Table_NFI[Hygiene Kit])</f>
        <v>0</v>
      </c>
      <c r="Z324" s="378">
        <f>IF(NFI_Expiration=1,IF($A324&lt;VLOOKUP(I$5,NFI,5,0),1,0)*Table_NFI[[#This Row],[NFI Core Kit]],Table_NFI[NFI Core Kit])</f>
        <v>0</v>
      </c>
      <c r="AA324" s="378">
        <f>IF(NFI_Expiration=1,IF($A324&lt;VLOOKUP(J$5,NFI,5,0),1,0)*Table_NFI[[#This Row],[Sanitary Kit]],Table_NFI[Sanitary Kit])</f>
        <v>0</v>
      </c>
      <c r="AB324" s="378">
        <f>IF(NFI_Expiration=1,IF($A324&lt;VLOOKUP(K$5,NFI,5,0),1,0)*Table_NFI[[#This Row],[Mosquito net]],Table_NFI[Mosquito net])</f>
        <v>0</v>
      </c>
      <c r="AC324" s="378">
        <f>IF(NFI_Expiration=1,IF($A324&lt;VLOOKUP(L$5,NFI,5,0),1,0)*Table_NFI[[#This Row],[Tarpaulin]],Table_NFI[[#This Row],[Tarpaulin]])</f>
        <v>0</v>
      </c>
      <c r="AD324" s="378">
        <f>IF(NFI_Expiration=1,IF($A324&lt;VLOOKUP(M$5,NFI,5,0),1,0)*Table_NFI[[#This Row],[Blanket]],Table_NFI[[#This Row],[Blanket]])</f>
        <v>0</v>
      </c>
      <c r="AE324" s="378">
        <f>IF(NFI_Expiration=1,IF($A324&lt;VLOOKUP(N$5,NFI,5,0),1,0)*Table_NFI[[#This Row],[Kitchen Set]],Table_NFI[Kitchen Set])</f>
        <v>0</v>
      </c>
      <c r="AF324" s="378">
        <f>IF(NFI_Expiration=1,IF($A324&lt;VLOOKUP(O$5,NFI,5,0),1,0)*Table_NFI[[#This Row],[Clothes Kit]],Table_NFI[Clothes Kit])</f>
        <v>0</v>
      </c>
      <c r="AG324" s="378">
        <f>IF(NFI_Expiration=1,IF($A324&lt;VLOOKUP(P$5,NFI,5,0),1,0)*Table_NFI[[#This Row],[Plastic Bucket]],Table_NFI[Plastic Bucket])</f>
        <v>0</v>
      </c>
      <c r="AH324" s="378">
        <f>IF(NFI_Expiration=1,IF($A324&lt;VLOOKUP(Q$5,NFI,5,0),1,0)*Table_NFI[[#This Row],[Plastic Mat]],Table_NFI[Plastic Mat])*IF(Table_NFI[[#This Row],[Distribution Date]]&gt;"2014-04-01",1,2.5)</f>
        <v>0</v>
      </c>
      <c r="AI324" s="378">
        <f>IF(NFI_Expiration=1,IF($A324&lt;VLOOKUP(R$5,NFI,5,0),1,0)*Table_NFI[[#This Row],[Winter Clothes Adult]],Table_NFI[Winter Clothes Adult])</f>
        <v>0</v>
      </c>
      <c r="AJ324" s="378">
        <f>IF(NFI_Expiration=1,IF($A324&lt;VLOOKUP(S$5,NFI,5,0),1,0)*Table_NFI[[#This Row],[Winter Clothes Children]],Table_NFI[Winter Clothes Children])</f>
        <v>0</v>
      </c>
      <c r="AK324" s="378">
        <f>IF(NFI_Expiration=1,IF($A324&lt;VLOOKUP(T$5,NFI,5,0),1,0)*Table_NFI[[#This Row],[Winter Items Other]],Table_NFI[Winter Items Other])</f>
        <v>0</v>
      </c>
      <c r="AL324" s="378">
        <f>IF(NFI_Expiration=1,IF($A324&lt;VLOOKUP(M$5,NFI,5,0),1,0)*Table_NFI[[#This Row],[Winter Blanket]],Table_NFI[[#This Row],[Winter Blanket]])</f>
        <v>0</v>
      </c>
      <c r="AM324" s="378">
        <f>IF(Table_NFI[[#This Row],[Winter Clothes Adult]]+Table_NFI[[#This Row],[Winter Clothes Children]]+Table_NFI[[#This Row],[Winter Items Other]]+Table_NFI[[#This Row],[Winter Blanket]]&gt;0,1,0)</f>
        <v>0</v>
      </c>
      <c r="AN324" s="418">
        <f>IF(NFI_Expiration=1,IF($A324&lt;VLOOKUP(V$5,NFI,5,0),1,0)*Table_NFI[[#This Row],[Jerry Can]],Table_NFI[Jerry Can])</f>
        <v>0</v>
      </c>
      <c r="AO324" s="579" t="str">
        <f>IFERROR(VLOOKUP(Table_NFI[[#This Row],[Camp Name]],CL,2,0),"")</f>
        <v>MMR001CMP070</v>
      </c>
      <c r="AP324" s="574">
        <f ca="1">IF(Table_NFI[[#This Row],[Pcode]]="","",IF(OFFSET(CampList[Opening Date],MATCH(Table_NFI[[#This Row],[Pcode]],CampList[CP_Pcode],0)-1,0,1,1)&gt;=NFI_Monitor_Date,1,0))</f>
        <v>0</v>
      </c>
      <c r="AQ324" s="579" t="str">
        <f>IFERROR(VLOOKUP(Table_NFI[[#This Row],[Camp Name]],CL,3,0),"")</f>
        <v>Open</v>
      </c>
      <c r="AR324" s="378" t="str">
        <f ca="1">IF(Table_NFI[[#This Row],[Pcode]]="","",OFFSET(CampList[Priority],MATCH(Table_NFI[[#This Row],[Pcode]],CampList[CP_Pcode],0)-1,0,1,1))</f>
        <v>P3</v>
      </c>
      <c r="AS324" s="377">
        <f>IFERROR(Table_NFI[[#This Row],[Kitchen Set]]/VLOOKUP(Table_NFI[[#This Row],[Camp Name]],CL,4,0),"")</f>
        <v>0</v>
      </c>
      <c r="AT324" s="572" t="s">
        <v>1095</v>
      </c>
      <c r="AU324" s="575"/>
    </row>
    <row r="325" spans="1:47" s="576" customFormat="1" x14ac:dyDescent="0.25">
      <c r="A325" s="381">
        <f t="shared" si="4"/>
        <v>44.7</v>
      </c>
      <c r="B325" s="571">
        <v>41181</v>
      </c>
      <c r="C325" s="572" t="s">
        <v>454</v>
      </c>
      <c r="D325" s="572" t="s">
        <v>454</v>
      </c>
      <c r="E325" s="572" t="s">
        <v>380</v>
      </c>
      <c r="F325" s="374" t="s">
        <v>185</v>
      </c>
      <c r="G325" s="374" t="s">
        <v>190</v>
      </c>
      <c r="H325" s="375"/>
      <c r="I325" s="375"/>
      <c r="J325" s="375"/>
      <c r="K325" s="375">
        <v>151</v>
      </c>
      <c r="L325" s="378">
        <v>59</v>
      </c>
      <c r="M325" s="378">
        <v>151</v>
      </c>
      <c r="N325" s="378">
        <v>59</v>
      </c>
      <c r="O325" s="378">
        <v>59</v>
      </c>
      <c r="P325" s="378">
        <v>59</v>
      </c>
      <c r="Q325" s="378">
        <v>59</v>
      </c>
      <c r="R325" s="378"/>
      <c r="S325" s="378"/>
      <c r="T325" s="378"/>
      <c r="U325" s="378"/>
      <c r="V325" s="533"/>
      <c r="W325" s="378"/>
      <c r="X325" s="378"/>
      <c r="Y325" s="378">
        <f>IF(NFI_Expiration=1,IF($A325&lt;VLOOKUP(H$5,NFI,5,0),1,0)*Table_NFI[[#This Row],[Hygiene Kit]],Table_NFI[Hygiene Kit])</f>
        <v>0</v>
      </c>
      <c r="Z325" s="378">
        <f>IF(NFI_Expiration=1,IF($A325&lt;VLOOKUP(I$5,NFI,5,0),1,0)*Table_NFI[[#This Row],[NFI Core Kit]],Table_NFI[NFI Core Kit])</f>
        <v>0</v>
      </c>
      <c r="AA325" s="378">
        <f>IF(NFI_Expiration=1,IF($A325&lt;VLOOKUP(J$5,NFI,5,0),1,0)*Table_NFI[[#This Row],[Sanitary Kit]],Table_NFI[Sanitary Kit])</f>
        <v>0</v>
      </c>
      <c r="AB325" s="378">
        <f>IF(NFI_Expiration=1,IF($A325&lt;VLOOKUP(K$5,NFI,5,0),1,0)*Table_NFI[[#This Row],[Mosquito net]],Table_NFI[Mosquito net])</f>
        <v>0</v>
      </c>
      <c r="AC325" s="378">
        <f>IF(NFI_Expiration=1,IF($A325&lt;VLOOKUP(L$5,NFI,5,0),1,0)*Table_NFI[[#This Row],[Tarpaulin]],Table_NFI[[#This Row],[Tarpaulin]])</f>
        <v>0</v>
      </c>
      <c r="AD325" s="378">
        <f>IF(NFI_Expiration=1,IF($A325&lt;VLOOKUP(M$5,NFI,5,0),1,0)*Table_NFI[[#This Row],[Blanket]],Table_NFI[[#This Row],[Blanket]])</f>
        <v>0</v>
      </c>
      <c r="AE325" s="378">
        <f>IF(NFI_Expiration=1,IF($A325&lt;VLOOKUP(N$5,NFI,5,0),1,0)*Table_NFI[[#This Row],[Kitchen Set]],Table_NFI[Kitchen Set])</f>
        <v>0</v>
      </c>
      <c r="AF325" s="378">
        <f>IF(NFI_Expiration=1,IF($A325&lt;VLOOKUP(O$5,NFI,5,0),1,0)*Table_NFI[[#This Row],[Clothes Kit]],Table_NFI[Clothes Kit])</f>
        <v>0</v>
      </c>
      <c r="AG325" s="378">
        <f>IF(NFI_Expiration=1,IF($A325&lt;VLOOKUP(P$5,NFI,5,0),1,0)*Table_NFI[[#This Row],[Plastic Bucket]],Table_NFI[Plastic Bucket])</f>
        <v>0</v>
      </c>
      <c r="AH325" s="378">
        <f>IF(NFI_Expiration=1,IF($A325&lt;VLOOKUP(Q$5,NFI,5,0),1,0)*Table_NFI[[#This Row],[Plastic Mat]],Table_NFI[Plastic Mat])*IF(Table_NFI[[#This Row],[Distribution Date]]&gt;"2014-04-01",1,2.5)</f>
        <v>0</v>
      </c>
      <c r="AI325" s="378">
        <f>IF(NFI_Expiration=1,IF($A325&lt;VLOOKUP(R$5,NFI,5,0),1,0)*Table_NFI[[#This Row],[Winter Clothes Adult]],Table_NFI[Winter Clothes Adult])</f>
        <v>0</v>
      </c>
      <c r="AJ325" s="378">
        <f>IF(NFI_Expiration=1,IF($A325&lt;VLOOKUP(S$5,NFI,5,0),1,0)*Table_NFI[[#This Row],[Winter Clothes Children]],Table_NFI[Winter Clothes Children])</f>
        <v>0</v>
      </c>
      <c r="AK325" s="378">
        <f>IF(NFI_Expiration=1,IF($A325&lt;VLOOKUP(T$5,NFI,5,0),1,0)*Table_NFI[[#This Row],[Winter Items Other]],Table_NFI[Winter Items Other])</f>
        <v>0</v>
      </c>
      <c r="AL325" s="378">
        <f>IF(NFI_Expiration=1,IF($A325&lt;VLOOKUP(M$5,NFI,5,0),1,0)*Table_NFI[[#This Row],[Winter Blanket]],Table_NFI[[#This Row],[Winter Blanket]])</f>
        <v>0</v>
      </c>
      <c r="AM325" s="378">
        <f>IF(Table_NFI[[#This Row],[Winter Clothes Adult]]+Table_NFI[[#This Row],[Winter Clothes Children]]+Table_NFI[[#This Row],[Winter Items Other]]+Table_NFI[[#This Row],[Winter Blanket]]&gt;0,1,0)</f>
        <v>0</v>
      </c>
      <c r="AN325" s="418">
        <f>IF(NFI_Expiration=1,IF($A325&lt;VLOOKUP(V$5,NFI,5,0),1,0)*Table_NFI[[#This Row],[Jerry Can]],Table_NFI[Jerry Can])</f>
        <v>0</v>
      </c>
      <c r="AO325" s="579" t="str">
        <f>IFERROR(VLOOKUP(Table_NFI[[#This Row],[Camp Name]],CL,2,0),"")</f>
        <v>MMR001CMP070</v>
      </c>
      <c r="AP325" s="574">
        <f ca="1">IF(Table_NFI[[#This Row],[Pcode]]="","",IF(OFFSET(CampList[Opening Date],MATCH(Table_NFI[[#This Row],[Pcode]],CampList[CP_Pcode],0)-1,0,1,1)&gt;=NFI_Monitor_Date,1,0))</f>
        <v>0</v>
      </c>
      <c r="AQ325" s="579" t="str">
        <f>IFERROR(VLOOKUP(Table_NFI[[#This Row],[Camp Name]],CL,3,0),"")</f>
        <v>Open</v>
      </c>
      <c r="AR325" s="378" t="str">
        <f ca="1">IF(Table_NFI[[#This Row],[Pcode]]="","",OFFSET(CampList[Priority],MATCH(Table_NFI[[#This Row],[Pcode]],CampList[CP_Pcode],0)-1,0,1,1))</f>
        <v>P3</v>
      </c>
      <c r="AS325" s="377">
        <f>IFERROR(Table_NFI[[#This Row],[Kitchen Set]]/VLOOKUP(Table_NFI[[#This Row],[Camp Name]],CL,4,0),"")</f>
        <v>0.31052631578947371</v>
      </c>
      <c r="AT325" s="572" t="s">
        <v>1095</v>
      </c>
      <c r="AU325" s="575"/>
    </row>
    <row r="326" spans="1:47" s="576" customFormat="1" x14ac:dyDescent="0.25">
      <c r="A326" s="381">
        <f t="shared" ref="A326:A389" si="5">IF(ISBLANK(B326),"",(Report_Date-B326)/30)</f>
        <v>45.5</v>
      </c>
      <c r="B326" s="571">
        <v>41157</v>
      </c>
      <c r="C326" s="572" t="s">
        <v>454</v>
      </c>
      <c r="D326" s="572" t="s">
        <v>454</v>
      </c>
      <c r="E326" s="572" t="s">
        <v>380</v>
      </c>
      <c r="F326" s="572" t="s">
        <v>185</v>
      </c>
      <c r="G326" s="374" t="s">
        <v>190</v>
      </c>
      <c r="H326" s="375"/>
      <c r="I326" s="375"/>
      <c r="J326" s="375"/>
      <c r="K326" s="375">
        <v>133</v>
      </c>
      <c r="L326" s="376">
        <v>62</v>
      </c>
      <c r="M326" s="376">
        <v>133</v>
      </c>
      <c r="N326" s="376">
        <v>62</v>
      </c>
      <c r="O326" s="376">
        <v>62</v>
      </c>
      <c r="P326" s="378">
        <v>62</v>
      </c>
      <c r="Q326" s="378">
        <v>62</v>
      </c>
      <c r="R326" s="378"/>
      <c r="S326" s="378"/>
      <c r="T326" s="378"/>
      <c r="U326" s="378"/>
      <c r="V326" s="533"/>
      <c r="W326" s="378"/>
      <c r="X326" s="378"/>
      <c r="Y326" s="378">
        <f>IF(NFI_Expiration=1,IF($A326&lt;VLOOKUP(H$5,NFI,5,0),1,0)*Table_NFI[[#This Row],[Hygiene Kit]],Table_NFI[Hygiene Kit])</f>
        <v>0</v>
      </c>
      <c r="Z326" s="378">
        <f>IF(NFI_Expiration=1,IF($A326&lt;VLOOKUP(I$5,NFI,5,0),1,0)*Table_NFI[[#This Row],[NFI Core Kit]],Table_NFI[NFI Core Kit])</f>
        <v>0</v>
      </c>
      <c r="AA326" s="378">
        <f>IF(NFI_Expiration=1,IF($A326&lt;VLOOKUP(J$5,NFI,5,0),1,0)*Table_NFI[[#This Row],[Sanitary Kit]],Table_NFI[Sanitary Kit])</f>
        <v>0</v>
      </c>
      <c r="AB326" s="378">
        <f>IF(NFI_Expiration=1,IF($A326&lt;VLOOKUP(K$5,NFI,5,0),1,0)*Table_NFI[[#This Row],[Mosquito net]],Table_NFI[Mosquito net])</f>
        <v>0</v>
      </c>
      <c r="AC326" s="378">
        <f>IF(NFI_Expiration=1,IF($A326&lt;VLOOKUP(L$5,NFI,5,0),1,0)*Table_NFI[[#This Row],[Tarpaulin]],Table_NFI[[#This Row],[Tarpaulin]])</f>
        <v>0</v>
      </c>
      <c r="AD326" s="378">
        <f>IF(NFI_Expiration=1,IF($A326&lt;VLOOKUP(M$5,NFI,5,0),1,0)*Table_NFI[[#This Row],[Blanket]],Table_NFI[[#This Row],[Blanket]])</f>
        <v>0</v>
      </c>
      <c r="AE326" s="378">
        <f>IF(NFI_Expiration=1,IF($A326&lt;VLOOKUP(N$5,NFI,5,0),1,0)*Table_NFI[[#This Row],[Kitchen Set]],Table_NFI[Kitchen Set])</f>
        <v>0</v>
      </c>
      <c r="AF326" s="378">
        <f>IF(NFI_Expiration=1,IF($A326&lt;VLOOKUP(O$5,NFI,5,0),1,0)*Table_NFI[[#This Row],[Clothes Kit]],Table_NFI[Clothes Kit])</f>
        <v>0</v>
      </c>
      <c r="AG326" s="378">
        <f>IF(NFI_Expiration=1,IF($A326&lt;VLOOKUP(P$5,NFI,5,0),1,0)*Table_NFI[[#This Row],[Plastic Bucket]],Table_NFI[Plastic Bucket])</f>
        <v>0</v>
      </c>
      <c r="AH326" s="378">
        <f>IF(NFI_Expiration=1,IF($A326&lt;VLOOKUP(Q$5,NFI,5,0),1,0)*Table_NFI[[#This Row],[Plastic Mat]],Table_NFI[Plastic Mat])*IF(Table_NFI[[#This Row],[Distribution Date]]&gt;"2014-04-01",1,2.5)</f>
        <v>0</v>
      </c>
      <c r="AI326" s="378">
        <f>IF(NFI_Expiration=1,IF($A326&lt;VLOOKUP(R$5,NFI,5,0),1,0)*Table_NFI[[#This Row],[Winter Clothes Adult]],Table_NFI[Winter Clothes Adult])</f>
        <v>0</v>
      </c>
      <c r="AJ326" s="378">
        <f>IF(NFI_Expiration=1,IF($A326&lt;VLOOKUP(S$5,NFI,5,0),1,0)*Table_NFI[[#This Row],[Winter Clothes Children]],Table_NFI[Winter Clothes Children])</f>
        <v>0</v>
      </c>
      <c r="AK326" s="378">
        <f>IF(NFI_Expiration=1,IF($A326&lt;VLOOKUP(T$5,NFI,5,0),1,0)*Table_NFI[[#This Row],[Winter Items Other]],Table_NFI[Winter Items Other])</f>
        <v>0</v>
      </c>
      <c r="AL326" s="378">
        <f>IF(NFI_Expiration=1,IF($A326&lt;VLOOKUP(M$5,NFI,5,0),1,0)*Table_NFI[[#This Row],[Winter Blanket]],Table_NFI[[#This Row],[Winter Blanket]])</f>
        <v>0</v>
      </c>
      <c r="AM326" s="378">
        <f>IF(Table_NFI[[#This Row],[Winter Clothes Adult]]+Table_NFI[[#This Row],[Winter Clothes Children]]+Table_NFI[[#This Row],[Winter Items Other]]+Table_NFI[[#This Row],[Winter Blanket]]&gt;0,1,0)</f>
        <v>0</v>
      </c>
      <c r="AN326" s="418">
        <f>IF(NFI_Expiration=1,IF($A326&lt;VLOOKUP(V$5,NFI,5,0),1,0)*Table_NFI[[#This Row],[Jerry Can]],Table_NFI[Jerry Can])</f>
        <v>0</v>
      </c>
      <c r="AO326" s="579" t="str">
        <f>IFERROR(VLOOKUP(Table_NFI[[#This Row],[Camp Name]],CL,2,0),"")</f>
        <v>MMR001CMP070</v>
      </c>
      <c r="AP326" s="574">
        <f ca="1">IF(Table_NFI[[#This Row],[Pcode]]="","",IF(OFFSET(CampList[Opening Date],MATCH(Table_NFI[[#This Row],[Pcode]],CampList[CP_Pcode],0)-1,0,1,1)&gt;=NFI_Monitor_Date,1,0))</f>
        <v>0</v>
      </c>
      <c r="AQ326" s="579" t="str">
        <f>IFERROR(VLOOKUP(Table_NFI[[#This Row],[Camp Name]],CL,3,0),"")</f>
        <v>Open</v>
      </c>
      <c r="AR326" s="378" t="str">
        <f ca="1">IF(Table_NFI[[#This Row],[Pcode]]="","",OFFSET(CampList[Priority],MATCH(Table_NFI[[#This Row],[Pcode]],CampList[CP_Pcode],0)-1,0,1,1))</f>
        <v>P3</v>
      </c>
      <c r="AS326" s="377">
        <f>IFERROR(Table_NFI[[#This Row],[Kitchen Set]]/VLOOKUP(Table_NFI[[#This Row],[Camp Name]],CL,4,0),"")</f>
        <v>0.32631578947368423</v>
      </c>
      <c r="AT326" s="572" t="s">
        <v>1095</v>
      </c>
      <c r="AU326" s="575"/>
    </row>
    <row r="327" spans="1:47" s="576" customFormat="1" x14ac:dyDescent="0.25">
      <c r="A327" s="381">
        <f t="shared" si="5"/>
        <v>47.166666666666664</v>
      </c>
      <c r="B327" s="571">
        <v>41107</v>
      </c>
      <c r="C327" s="572" t="s">
        <v>454</v>
      </c>
      <c r="D327" s="573" t="s">
        <v>454</v>
      </c>
      <c r="E327" s="572" t="s">
        <v>380</v>
      </c>
      <c r="F327" s="374" t="s">
        <v>185</v>
      </c>
      <c r="G327" s="374" t="s">
        <v>190</v>
      </c>
      <c r="H327" s="375"/>
      <c r="I327" s="375"/>
      <c r="J327" s="375"/>
      <c r="K327" s="375">
        <v>0</v>
      </c>
      <c r="L327" s="376">
        <v>0</v>
      </c>
      <c r="M327" s="376">
        <v>0</v>
      </c>
      <c r="N327" s="376">
        <v>0</v>
      </c>
      <c r="O327" s="376">
        <v>0</v>
      </c>
      <c r="P327" s="378"/>
      <c r="Q327" s="378"/>
      <c r="R327" s="378"/>
      <c r="S327" s="378"/>
      <c r="T327" s="378"/>
      <c r="U327" s="378"/>
      <c r="V327" s="533"/>
      <c r="W327" s="378"/>
      <c r="X327" s="378"/>
      <c r="Y327" s="378">
        <f>IF(NFI_Expiration=1,IF($A327&lt;VLOOKUP(H$5,NFI,5,0),1,0)*Table_NFI[[#This Row],[Hygiene Kit]],Table_NFI[Hygiene Kit])</f>
        <v>0</v>
      </c>
      <c r="Z327" s="378">
        <f>IF(NFI_Expiration=1,IF($A327&lt;VLOOKUP(I$5,NFI,5,0),1,0)*Table_NFI[[#This Row],[NFI Core Kit]],Table_NFI[NFI Core Kit])</f>
        <v>0</v>
      </c>
      <c r="AA327" s="378">
        <f>IF(NFI_Expiration=1,IF($A327&lt;VLOOKUP(J$5,NFI,5,0),1,0)*Table_NFI[[#This Row],[Sanitary Kit]],Table_NFI[Sanitary Kit])</f>
        <v>0</v>
      </c>
      <c r="AB327" s="378">
        <f>IF(NFI_Expiration=1,IF($A327&lt;VLOOKUP(K$5,NFI,5,0),1,0)*Table_NFI[[#This Row],[Mosquito net]],Table_NFI[Mosquito net])</f>
        <v>0</v>
      </c>
      <c r="AC327" s="378">
        <f>IF(NFI_Expiration=1,IF($A327&lt;VLOOKUP(L$5,NFI,5,0),1,0)*Table_NFI[[#This Row],[Tarpaulin]],Table_NFI[[#This Row],[Tarpaulin]])</f>
        <v>0</v>
      </c>
      <c r="AD327" s="378">
        <f>IF(NFI_Expiration=1,IF($A327&lt;VLOOKUP(M$5,NFI,5,0),1,0)*Table_NFI[[#This Row],[Blanket]],Table_NFI[[#This Row],[Blanket]])</f>
        <v>0</v>
      </c>
      <c r="AE327" s="378">
        <f>IF(NFI_Expiration=1,IF($A327&lt;VLOOKUP(N$5,NFI,5,0),1,0)*Table_NFI[[#This Row],[Kitchen Set]],Table_NFI[Kitchen Set])</f>
        <v>0</v>
      </c>
      <c r="AF327" s="378">
        <f>IF(NFI_Expiration=1,IF($A327&lt;VLOOKUP(O$5,NFI,5,0),1,0)*Table_NFI[[#This Row],[Clothes Kit]],Table_NFI[Clothes Kit])</f>
        <v>0</v>
      </c>
      <c r="AG327" s="378">
        <f>IF(NFI_Expiration=1,IF($A327&lt;VLOOKUP(P$5,NFI,5,0),1,0)*Table_NFI[[#This Row],[Plastic Bucket]],Table_NFI[Plastic Bucket])</f>
        <v>0</v>
      </c>
      <c r="AH327" s="378">
        <f>IF(NFI_Expiration=1,IF($A327&lt;VLOOKUP(Q$5,NFI,5,0),1,0)*Table_NFI[[#This Row],[Plastic Mat]],Table_NFI[Plastic Mat])*IF(Table_NFI[[#This Row],[Distribution Date]]&gt;"2014-04-01",1,2.5)</f>
        <v>0</v>
      </c>
      <c r="AI327" s="378">
        <f>IF(NFI_Expiration=1,IF($A327&lt;VLOOKUP(R$5,NFI,5,0),1,0)*Table_NFI[[#This Row],[Winter Clothes Adult]],Table_NFI[Winter Clothes Adult])</f>
        <v>0</v>
      </c>
      <c r="AJ327" s="378">
        <f>IF(NFI_Expiration=1,IF($A327&lt;VLOOKUP(S$5,NFI,5,0),1,0)*Table_NFI[[#This Row],[Winter Clothes Children]],Table_NFI[Winter Clothes Children])</f>
        <v>0</v>
      </c>
      <c r="AK327" s="378">
        <f>IF(NFI_Expiration=1,IF($A327&lt;VLOOKUP(T$5,NFI,5,0),1,0)*Table_NFI[[#This Row],[Winter Items Other]],Table_NFI[Winter Items Other])</f>
        <v>0</v>
      </c>
      <c r="AL327" s="378">
        <f>IF(NFI_Expiration=1,IF($A327&lt;VLOOKUP(M$5,NFI,5,0),1,0)*Table_NFI[[#This Row],[Winter Blanket]],Table_NFI[[#This Row],[Winter Blanket]])</f>
        <v>0</v>
      </c>
      <c r="AM327" s="378">
        <f>IF(Table_NFI[[#This Row],[Winter Clothes Adult]]+Table_NFI[[#This Row],[Winter Clothes Children]]+Table_NFI[[#This Row],[Winter Items Other]]+Table_NFI[[#This Row],[Winter Blanket]]&gt;0,1,0)</f>
        <v>0</v>
      </c>
      <c r="AN327" s="418">
        <f>IF(NFI_Expiration=1,IF($A327&lt;VLOOKUP(V$5,NFI,5,0),1,0)*Table_NFI[[#This Row],[Jerry Can]],Table_NFI[Jerry Can])</f>
        <v>0</v>
      </c>
      <c r="AO327" s="579" t="str">
        <f>IFERROR(VLOOKUP(Table_NFI[[#This Row],[Camp Name]],CL,2,0),"")</f>
        <v>MMR001CMP070</v>
      </c>
      <c r="AP327" s="574">
        <f ca="1">IF(Table_NFI[[#This Row],[Pcode]]="","",IF(OFFSET(CampList[Opening Date],MATCH(Table_NFI[[#This Row],[Pcode]],CampList[CP_Pcode],0)-1,0,1,1)&gt;=NFI_Monitor_Date,1,0))</f>
        <v>0</v>
      </c>
      <c r="AQ327" s="579" t="str">
        <f>IFERROR(VLOOKUP(Table_NFI[[#This Row],[Camp Name]],CL,3,0),"")</f>
        <v>Open</v>
      </c>
      <c r="AR327" s="378" t="str">
        <f ca="1">IF(Table_NFI[[#This Row],[Pcode]]="","",OFFSET(CampList[Priority],MATCH(Table_NFI[[#This Row],[Pcode]],CampList[CP_Pcode],0)-1,0,1,1))</f>
        <v>P3</v>
      </c>
      <c r="AS327" s="377">
        <f>IFERROR(Table_NFI[[#This Row],[Kitchen Set]]/VLOOKUP(Table_NFI[[#This Row],[Camp Name]],CL,4,0),"")</f>
        <v>0</v>
      </c>
      <c r="AT327" s="572" t="s">
        <v>1095</v>
      </c>
      <c r="AU327" s="575"/>
    </row>
    <row r="328" spans="1:47" s="576" customFormat="1" x14ac:dyDescent="0.25">
      <c r="A328" s="381">
        <f t="shared" si="5"/>
        <v>13.466666666666667</v>
      </c>
      <c r="B328" s="571">
        <v>42118</v>
      </c>
      <c r="C328" s="572" t="s">
        <v>454</v>
      </c>
      <c r="D328" s="572" t="s">
        <v>1362</v>
      </c>
      <c r="E328" s="572" t="s">
        <v>380</v>
      </c>
      <c r="F328" s="572" t="s">
        <v>185</v>
      </c>
      <c r="G328" s="572" t="s">
        <v>1363</v>
      </c>
      <c r="H328" s="375"/>
      <c r="I328" s="375"/>
      <c r="J328" s="378"/>
      <c r="K328" s="378">
        <v>36</v>
      </c>
      <c r="L328" s="376">
        <v>18</v>
      </c>
      <c r="M328" s="376">
        <v>90</v>
      </c>
      <c r="N328" s="376">
        <v>18</v>
      </c>
      <c r="O328" s="376"/>
      <c r="P328" s="378"/>
      <c r="Q328" s="378">
        <v>90</v>
      </c>
      <c r="R328" s="378"/>
      <c r="S328" s="378"/>
      <c r="T328" s="378"/>
      <c r="U328" s="378"/>
      <c r="V328" s="533">
        <v>18</v>
      </c>
      <c r="W328" s="378"/>
      <c r="X328" s="378"/>
      <c r="Y328" s="378">
        <f>IF(NFI_Expiration=1,IF($A328&lt;VLOOKUP(H$5,NFI,5,0),1,0)*Table_NFI[[#This Row],[Hygiene Kit]],Table_NFI[Hygiene Kit])</f>
        <v>0</v>
      </c>
      <c r="Z328" s="378">
        <f>IF(NFI_Expiration=1,IF($A328&lt;VLOOKUP(I$5,NFI,5,0),1,0)*Table_NFI[[#This Row],[NFI Core Kit]],Table_NFI[NFI Core Kit])</f>
        <v>0</v>
      </c>
      <c r="AA328" s="378">
        <f>IF(NFI_Expiration=1,IF($A328&lt;VLOOKUP(J$5,NFI,5,0),1,0)*Table_NFI[[#This Row],[Sanitary Kit]],Table_NFI[Sanitary Kit])</f>
        <v>0</v>
      </c>
      <c r="AB328" s="378">
        <f>IF(NFI_Expiration=1,IF($A328&lt;VLOOKUP(K$5,NFI,5,0),1,0)*Table_NFI[[#This Row],[Mosquito net]],Table_NFI[Mosquito net])</f>
        <v>0</v>
      </c>
      <c r="AC328" s="378">
        <f>IF(NFI_Expiration=1,IF($A328&lt;VLOOKUP(L$5,NFI,5,0),1,0)*Table_NFI[[#This Row],[Tarpaulin]],Table_NFI[[#This Row],[Tarpaulin]])</f>
        <v>0</v>
      </c>
      <c r="AD328" s="378">
        <f>IF(NFI_Expiration=1,IF($A328&lt;VLOOKUP(M$5,NFI,5,0),1,0)*Table_NFI[[#This Row],[Blanket]],Table_NFI[[#This Row],[Blanket]])</f>
        <v>0</v>
      </c>
      <c r="AE328" s="378">
        <f>IF(NFI_Expiration=1,IF($A328&lt;VLOOKUP(N$5,NFI,5,0),1,0)*Table_NFI[[#This Row],[Kitchen Set]],Table_NFI[Kitchen Set])</f>
        <v>0</v>
      </c>
      <c r="AF328" s="378">
        <f>IF(NFI_Expiration=1,IF($A328&lt;VLOOKUP(O$5,NFI,5,0),1,0)*Table_NFI[[#This Row],[Clothes Kit]],Table_NFI[Clothes Kit])</f>
        <v>0</v>
      </c>
      <c r="AG328" s="378">
        <f>IF(NFI_Expiration=1,IF($A328&lt;VLOOKUP(P$5,NFI,5,0),1,0)*Table_NFI[[#This Row],[Plastic Bucket]],Table_NFI[Plastic Bucket])</f>
        <v>0</v>
      </c>
      <c r="AH328" s="378">
        <f>IF(NFI_Expiration=1,IF($A328&lt;VLOOKUP(Q$5,NFI,5,0),1,0)*Table_NFI[[#This Row],[Plastic Mat]],Table_NFI[Plastic Mat])*IF(Table_NFI[[#This Row],[Distribution Date]]&gt;"2014-04-01",1,2.5)</f>
        <v>0</v>
      </c>
      <c r="AI328" s="378">
        <f>IF(NFI_Expiration=1,IF($A328&lt;VLOOKUP(R$5,NFI,5,0),1,0)*Table_NFI[[#This Row],[Winter Clothes Adult]],Table_NFI[Winter Clothes Adult])</f>
        <v>0</v>
      </c>
      <c r="AJ328" s="378">
        <f>IF(NFI_Expiration=1,IF($A328&lt;VLOOKUP(S$5,NFI,5,0),1,0)*Table_NFI[[#This Row],[Winter Clothes Children]],Table_NFI[Winter Clothes Children])</f>
        <v>0</v>
      </c>
      <c r="AK328" s="378">
        <f>IF(NFI_Expiration=1,IF($A328&lt;VLOOKUP(T$5,NFI,5,0),1,0)*Table_NFI[[#This Row],[Winter Items Other]],Table_NFI[Winter Items Other])</f>
        <v>0</v>
      </c>
      <c r="AL328" s="378">
        <f>IF(NFI_Expiration=1,IF($A328&lt;VLOOKUP(M$5,NFI,5,0),1,0)*Table_NFI[[#This Row],[Winter Blanket]],Table_NFI[[#This Row],[Winter Blanket]])</f>
        <v>0</v>
      </c>
      <c r="AM328" s="378">
        <f>IF(Table_NFI[[#This Row],[Winter Clothes Adult]]+Table_NFI[[#This Row],[Winter Clothes Children]]+Table_NFI[[#This Row],[Winter Items Other]]+Table_NFI[[#This Row],[Winter Blanket]]&gt;0,1,0)</f>
        <v>0</v>
      </c>
      <c r="AN328" s="418">
        <f>IF(NFI_Expiration=1,IF($A328&lt;VLOOKUP(V$5,NFI,5,0),1,0)*Table_NFI[[#This Row],[Jerry Can]],Table_NFI[Jerry Can])</f>
        <v>0</v>
      </c>
      <c r="AO328" s="579" t="str">
        <f>IFERROR(VLOOKUP(Table_NFI[[#This Row],[Camp Name]],CL,2,0),"")</f>
        <v/>
      </c>
      <c r="AP328" s="574" t="str">
        <f ca="1">IF(Table_NFI[[#This Row],[Pcode]]="","",IF(OFFSET(CampList[Opening Date],MATCH(Table_NFI[[#This Row],[Pcode]],CampList[CP_Pcode],0)-1,0,1,1)&gt;=NFI_Monitor_Date,1,0))</f>
        <v/>
      </c>
      <c r="AQ328" s="579" t="str">
        <f>IFERROR(VLOOKUP(Table_NFI[[#This Row],[Camp Name]],CL,3,0),"")</f>
        <v/>
      </c>
      <c r="AR328" s="378" t="str">
        <f ca="1">IF(Table_NFI[[#This Row],[Pcode]]="","",OFFSET(CampList[Priority],MATCH(Table_NFI[[#This Row],[Pcode]],CampList[CP_Pcode],0)-1,0,1,1))</f>
        <v/>
      </c>
      <c r="AS328" s="377" t="str">
        <f>IFERROR(Table_NFI[[#This Row],[Kitchen Set]]/VLOOKUP(Table_NFI[[#This Row],[Camp Name]],CL,4,0),"")</f>
        <v/>
      </c>
      <c r="AT328" s="572" t="s">
        <v>1095</v>
      </c>
      <c r="AU328" s="575"/>
    </row>
    <row r="329" spans="1:47" s="576" customFormat="1" x14ac:dyDescent="0.25">
      <c r="A329" s="381">
        <f t="shared" si="5"/>
        <v>12.1</v>
      </c>
      <c r="B329" s="571">
        <v>42159</v>
      </c>
      <c r="C329" s="572" t="s">
        <v>454</v>
      </c>
      <c r="D329" s="572" t="s">
        <v>462</v>
      </c>
      <c r="E329" s="572" t="s">
        <v>380</v>
      </c>
      <c r="F329" s="572" t="s">
        <v>185</v>
      </c>
      <c r="G329" s="572" t="s">
        <v>1361</v>
      </c>
      <c r="H329" s="375"/>
      <c r="I329" s="378"/>
      <c r="J329" s="375"/>
      <c r="K329" s="378">
        <v>18</v>
      </c>
      <c r="L329" s="376">
        <v>35</v>
      </c>
      <c r="M329" s="376"/>
      <c r="N329" s="376"/>
      <c r="O329" s="376"/>
      <c r="P329" s="378"/>
      <c r="Q329" s="378"/>
      <c r="R329" s="378"/>
      <c r="S329" s="378"/>
      <c r="T329" s="378"/>
      <c r="U329" s="378"/>
      <c r="V329" s="533"/>
      <c r="W329" s="378"/>
      <c r="X329" s="378">
        <v>8</v>
      </c>
      <c r="Y329" s="378">
        <f>IF(NFI_Expiration=1,IF($A329&lt;VLOOKUP(H$5,NFI,5,0),1,0)*Table_NFI[[#This Row],[Hygiene Kit]],Table_NFI[Hygiene Kit])</f>
        <v>0</v>
      </c>
      <c r="Z329" s="378">
        <f>IF(NFI_Expiration=1,IF($A329&lt;VLOOKUP(I$5,NFI,5,0),1,0)*Table_NFI[[#This Row],[NFI Core Kit]],Table_NFI[NFI Core Kit])</f>
        <v>0</v>
      </c>
      <c r="AA329" s="378">
        <f>IF(NFI_Expiration=1,IF($A329&lt;VLOOKUP(J$5,NFI,5,0),1,0)*Table_NFI[[#This Row],[Sanitary Kit]],Table_NFI[Sanitary Kit])</f>
        <v>0</v>
      </c>
      <c r="AB329" s="378">
        <f>IF(NFI_Expiration=1,IF($A329&lt;VLOOKUP(K$5,NFI,5,0),1,0)*Table_NFI[[#This Row],[Mosquito net]],Table_NFI[Mosquito net])</f>
        <v>0</v>
      </c>
      <c r="AC329" s="378">
        <f>IF(NFI_Expiration=1,IF($A329&lt;VLOOKUP(L$5,NFI,5,0),1,0)*Table_NFI[[#This Row],[Tarpaulin]],Table_NFI[[#This Row],[Tarpaulin]])</f>
        <v>0</v>
      </c>
      <c r="AD329" s="378">
        <f>IF(NFI_Expiration=1,IF($A329&lt;VLOOKUP(M$5,NFI,5,0),1,0)*Table_NFI[[#This Row],[Blanket]],Table_NFI[[#This Row],[Blanket]])</f>
        <v>0</v>
      </c>
      <c r="AE329" s="378">
        <f>IF(NFI_Expiration=1,IF($A329&lt;VLOOKUP(N$5,NFI,5,0),1,0)*Table_NFI[[#This Row],[Kitchen Set]],Table_NFI[Kitchen Set])</f>
        <v>0</v>
      </c>
      <c r="AF329" s="378">
        <f>IF(NFI_Expiration=1,IF($A329&lt;VLOOKUP(O$5,NFI,5,0),1,0)*Table_NFI[[#This Row],[Clothes Kit]],Table_NFI[Clothes Kit])</f>
        <v>0</v>
      </c>
      <c r="AG329" s="378">
        <f>IF(NFI_Expiration=1,IF($A329&lt;VLOOKUP(P$5,NFI,5,0),1,0)*Table_NFI[[#This Row],[Plastic Bucket]],Table_NFI[Plastic Bucket])</f>
        <v>0</v>
      </c>
      <c r="AH329" s="378">
        <f>IF(NFI_Expiration=1,IF($A329&lt;VLOOKUP(Q$5,NFI,5,0),1,0)*Table_NFI[[#This Row],[Plastic Mat]],Table_NFI[Plastic Mat])*IF(Table_NFI[[#This Row],[Distribution Date]]&gt;"2014-04-01",1,2.5)</f>
        <v>0</v>
      </c>
      <c r="AI329" s="378">
        <f>IF(NFI_Expiration=1,IF($A329&lt;VLOOKUP(R$5,NFI,5,0),1,0)*Table_NFI[[#This Row],[Winter Clothes Adult]],Table_NFI[Winter Clothes Adult])</f>
        <v>0</v>
      </c>
      <c r="AJ329" s="378">
        <f>IF(NFI_Expiration=1,IF($A329&lt;VLOOKUP(S$5,NFI,5,0),1,0)*Table_NFI[[#This Row],[Winter Clothes Children]],Table_NFI[Winter Clothes Children])</f>
        <v>0</v>
      </c>
      <c r="AK329" s="378">
        <f>IF(NFI_Expiration=1,IF($A329&lt;VLOOKUP(T$5,NFI,5,0),1,0)*Table_NFI[[#This Row],[Winter Items Other]],Table_NFI[Winter Items Other])</f>
        <v>0</v>
      </c>
      <c r="AL329" s="378">
        <f>IF(NFI_Expiration=1,IF($A329&lt;VLOOKUP(M$5,NFI,5,0),1,0)*Table_NFI[[#This Row],[Winter Blanket]],Table_NFI[[#This Row],[Winter Blanket]])</f>
        <v>0</v>
      </c>
      <c r="AM329" s="378">
        <f>IF(Table_NFI[[#This Row],[Winter Clothes Adult]]+Table_NFI[[#This Row],[Winter Clothes Children]]+Table_NFI[[#This Row],[Winter Items Other]]+Table_NFI[[#This Row],[Winter Blanket]]&gt;0,1,0)</f>
        <v>0</v>
      </c>
      <c r="AN329" s="418">
        <f>IF(NFI_Expiration=1,IF($A329&lt;VLOOKUP(V$5,NFI,5,0),1,0)*Table_NFI[[#This Row],[Jerry Can]],Table_NFI[Jerry Can])</f>
        <v>0</v>
      </c>
      <c r="AO329" s="579" t="str">
        <f>IFERROR(VLOOKUP(Table_NFI[[#This Row],[Camp Name]],CL,2,0),"")</f>
        <v/>
      </c>
      <c r="AP329" s="574" t="str">
        <f ca="1">IF(Table_NFI[[#This Row],[Pcode]]="","",IF(OFFSET(CampList[Opening Date],MATCH(Table_NFI[[#This Row],[Pcode]],CampList[CP_Pcode],0)-1,0,1,1)&gt;=NFI_Monitor_Date,1,0))</f>
        <v/>
      </c>
      <c r="AQ329" s="579" t="str">
        <f>IFERROR(VLOOKUP(Table_NFI[[#This Row],[Camp Name]],CL,3,0),"")</f>
        <v/>
      </c>
      <c r="AR329" s="378" t="str">
        <f ca="1">IF(Table_NFI[[#This Row],[Pcode]]="","",OFFSET(CampList[Priority],MATCH(Table_NFI[[#This Row],[Pcode]],CampList[CP_Pcode],0)-1,0,1,1))</f>
        <v/>
      </c>
      <c r="AS329" s="377" t="str">
        <f>IFERROR(Table_NFI[[#This Row],[Kitchen Set]]/VLOOKUP(Table_NFI[[#This Row],[Camp Name]],CL,4,0),"")</f>
        <v/>
      </c>
      <c r="AT329" s="572" t="s">
        <v>1095</v>
      </c>
      <c r="AU329" s="575"/>
    </row>
    <row r="330" spans="1:47" s="576" customFormat="1" x14ac:dyDescent="0.25">
      <c r="A330" s="381">
        <f t="shared" si="5"/>
        <v>30.1</v>
      </c>
      <c r="B330" s="571">
        <v>41619</v>
      </c>
      <c r="C330" s="572" t="s">
        <v>1030</v>
      </c>
      <c r="D330" s="572" t="s">
        <v>1031</v>
      </c>
      <c r="E330" s="572" t="s">
        <v>380</v>
      </c>
      <c r="F330" s="572" t="s">
        <v>151</v>
      </c>
      <c r="G330" s="572" t="s">
        <v>158</v>
      </c>
      <c r="H330" s="375"/>
      <c r="I330" s="375"/>
      <c r="J330" s="375"/>
      <c r="K330" s="375"/>
      <c r="L330" s="376"/>
      <c r="M330" s="376">
        <v>38</v>
      </c>
      <c r="N330" s="376"/>
      <c r="O330" s="376"/>
      <c r="P330" s="378"/>
      <c r="Q330" s="378"/>
      <c r="R330" s="378"/>
      <c r="S330" s="378"/>
      <c r="T330" s="378"/>
      <c r="U330" s="378"/>
      <c r="V330" s="533"/>
      <c r="W330" s="378"/>
      <c r="X330" s="378"/>
      <c r="Y330" s="378">
        <f>IF(NFI_Expiration=1,IF($A330&lt;VLOOKUP(H$5,NFI,5,0),1,0)*Table_NFI[[#This Row],[Hygiene Kit]],Table_NFI[Hygiene Kit])</f>
        <v>0</v>
      </c>
      <c r="Z330" s="378">
        <f>IF(NFI_Expiration=1,IF($A330&lt;VLOOKUP(I$5,NFI,5,0),1,0)*Table_NFI[[#This Row],[NFI Core Kit]],Table_NFI[NFI Core Kit])</f>
        <v>0</v>
      </c>
      <c r="AA330" s="378">
        <f>IF(NFI_Expiration=1,IF($A330&lt;VLOOKUP(J$5,NFI,5,0),1,0)*Table_NFI[[#This Row],[Sanitary Kit]],Table_NFI[Sanitary Kit])</f>
        <v>0</v>
      </c>
      <c r="AB330" s="378">
        <f>IF(NFI_Expiration=1,IF($A330&lt;VLOOKUP(K$5,NFI,5,0),1,0)*Table_NFI[[#This Row],[Mosquito net]],Table_NFI[Mosquito net])</f>
        <v>0</v>
      </c>
      <c r="AC330" s="378">
        <f>IF(NFI_Expiration=1,IF($A330&lt;VLOOKUP(L$5,NFI,5,0),1,0)*Table_NFI[[#This Row],[Tarpaulin]],Table_NFI[[#This Row],[Tarpaulin]])</f>
        <v>0</v>
      </c>
      <c r="AD330" s="378">
        <f>IF(NFI_Expiration=1,IF($A330&lt;VLOOKUP(M$5,NFI,5,0),1,0)*Table_NFI[[#This Row],[Blanket]],Table_NFI[[#This Row],[Blanket]])</f>
        <v>0</v>
      </c>
      <c r="AE330" s="378">
        <f>IF(NFI_Expiration=1,IF($A330&lt;VLOOKUP(N$5,NFI,5,0),1,0)*Table_NFI[[#This Row],[Kitchen Set]],Table_NFI[Kitchen Set])</f>
        <v>0</v>
      </c>
      <c r="AF330" s="378">
        <f>IF(NFI_Expiration=1,IF($A330&lt;VLOOKUP(O$5,NFI,5,0),1,0)*Table_NFI[[#This Row],[Clothes Kit]],Table_NFI[Clothes Kit])</f>
        <v>0</v>
      </c>
      <c r="AG330" s="378">
        <f>IF(NFI_Expiration=1,IF($A330&lt;VLOOKUP(P$5,NFI,5,0),1,0)*Table_NFI[[#This Row],[Plastic Bucket]],Table_NFI[Plastic Bucket])</f>
        <v>0</v>
      </c>
      <c r="AH330" s="378">
        <f>IF(NFI_Expiration=1,IF($A330&lt;VLOOKUP(Q$5,NFI,5,0),1,0)*Table_NFI[[#This Row],[Plastic Mat]],Table_NFI[Plastic Mat])*IF(Table_NFI[[#This Row],[Distribution Date]]&gt;"2014-04-01",1,2.5)</f>
        <v>0</v>
      </c>
      <c r="AI330" s="378">
        <f>IF(NFI_Expiration=1,IF($A330&lt;VLOOKUP(R$5,NFI,5,0),1,0)*Table_NFI[[#This Row],[Winter Clothes Adult]],Table_NFI[Winter Clothes Adult])</f>
        <v>0</v>
      </c>
      <c r="AJ330" s="378">
        <f>IF(NFI_Expiration=1,IF($A330&lt;VLOOKUP(S$5,NFI,5,0),1,0)*Table_NFI[[#This Row],[Winter Clothes Children]],Table_NFI[Winter Clothes Children])</f>
        <v>0</v>
      </c>
      <c r="AK330" s="378">
        <f>IF(NFI_Expiration=1,IF($A330&lt;VLOOKUP(T$5,NFI,5,0),1,0)*Table_NFI[[#This Row],[Winter Items Other]],Table_NFI[Winter Items Other])</f>
        <v>0</v>
      </c>
      <c r="AL330" s="378">
        <f>IF(NFI_Expiration=1,IF($A330&lt;VLOOKUP(M$5,NFI,5,0),1,0)*Table_NFI[[#This Row],[Winter Blanket]],Table_NFI[[#This Row],[Winter Blanket]])</f>
        <v>0</v>
      </c>
      <c r="AM330" s="378">
        <f>IF(Table_NFI[[#This Row],[Winter Clothes Adult]]+Table_NFI[[#This Row],[Winter Clothes Children]]+Table_NFI[[#This Row],[Winter Items Other]]+Table_NFI[[#This Row],[Winter Blanket]]&gt;0,1,0)</f>
        <v>0</v>
      </c>
      <c r="AN330" s="418">
        <f>IF(NFI_Expiration=1,IF($A330&lt;VLOOKUP(V$5,NFI,5,0),1,0)*Table_NFI[[#This Row],[Jerry Can]],Table_NFI[Jerry Can])</f>
        <v>0</v>
      </c>
      <c r="AO330" s="579" t="str">
        <f>IFERROR(VLOOKUP(Table_NFI[[#This Row],[Camp Name]],CL,2,0),"")</f>
        <v>MMR001CMP135</v>
      </c>
      <c r="AP330" s="574">
        <f ca="1">IF(Table_NFI[[#This Row],[Pcode]]="","",IF(OFFSET(CampList[Opening Date],MATCH(Table_NFI[[#This Row],[Pcode]],CampList[CP_Pcode],0)-1,0,1,1)&gt;=NFI_Monitor_Date,1,0))</f>
        <v>0</v>
      </c>
      <c r="AQ330" s="579" t="str">
        <f>IFERROR(VLOOKUP(Table_NFI[[#This Row],[Camp Name]],CL,3,0),"")</f>
        <v>Closed</v>
      </c>
      <c r="AR330" s="378" t="str">
        <f ca="1">IF(Table_NFI[[#This Row],[Pcode]]="","",OFFSET(CampList[Priority],MATCH(Table_NFI[[#This Row],[Pcode]],CampList[CP_Pcode],0)-1,0,1,1))</f>
        <v>P2</v>
      </c>
      <c r="AS330" s="377" t="str">
        <f>IFERROR(Table_NFI[[#This Row],[Kitchen Set]]/VLOOKUP(Table_NFI[[#This Row],[Camp Name]],CL,4,0),"")</f>
        <v/>
      </c>
      <c r="AT330" s="572" t="s">
        <v>1095</v>
      </c>
      <c r="AU330" s="575"/>
    </row>
    <row r="331" spans="1:47" s="576" customFormat="1" x14ac:dyDescent="0.25">
      <c r="A331" s="381">
        <f t="shared" si="5"/>
        <v>30.466666666666665</v>
      </c>
      <c r="B331" s="571">
        <v>41608</v>
      </c>
      <c r="C331" s="572" t="s">
        <v>908</v>
      </c>
      <c r="D331" s="572" t="s">
        <v>1005</v>
      </c>
      <c r="E331" s="572" t="s">
        <v>380</v>
      </c>
      <c r="F331" s="374" t="s">
        <v>151</v>
      </c>
      <c r="G331" s="374" t="s">
        <v>158</v>
      </c>
      <c r="H331" s="375"/>
      <c r="I331" s="375"/>
      <c r="J331" s="375"/>
      <c r="K331" s="375"/>
      <c r="L331" s="376"/>
      <c r="M331" s="376"/>
      <c r="N331" s="376"/>
      <c r="O331" s="376"/>
      <c r="P331" s="378"/>
      <c r="Q331" s="378"/>
      <c r="R331" s="378"/>
      <c r="S331" s="378"/>
      <c r="T331" s="378"/>
      <c r="U331" s="378"/>
      <c r="V331" s="533"/>
      <c r="W331" s="378"/>
      <c r="X331" s="378"/>
      <c r="Y331" s="378">
        <f>IF(NFI_Expiration=1,IF($A331&lt;VLOOKUP(H$5,NFI,5,0),1,0)*Table_NFI[[#This Row],[Hygiene Kit]],Table_NFI[Hygiene Kit])</f>
        <v>0</v>
      </c>
      <c r="Z331" s="378">
        <f>IF(NFI_Expiration=1,IF($A331&lt;VLOOKUP(I$5,NFI,5,0),1,0)*Table_NFI[[#This Row],[NFI Core Kit]],Table_NFI[NFI Core Kit])</f>
        <v>0</v>
      </c>
      <c r="AA331" s="378">
        <f>IF(NFI_Expiration=1,IF($A331&lt;VLOOKUP(J$5,NFI,5,0),1,0)*Table_NFI[[#This Row],[Sanitary Kit]],Table_NFI[Sanitary Kit])</f>
        <v>0</v>
      </c>
      <c r="AB331" s="378">
        <f>IF(NFI_Expiration=1,IF($A331&lt;VLOOKUP(K$5,NFI,5,0),1,0)*Table_NFI[[#This Row],[Mosquito net]],Table_NFI[Mosquito net])</f>
        <v>0</v>
      </c>
      <c r="AC331" s="378">
        <f>IF(NFI_Expiration=1,IF($A331&lt;VLOOKUP(L$5,NFI,5,0),1,0)*Table_NFI[[#This Row],[Tarpaulin]],Table_NFI[[#This Row],[Tarpaulin]])</f>
        <v>0</v>
      </c>
      <c r="AD331" s="378">
        <f>IF(NFI_Expiration=1,IF($A331&lt;VLOOKUP(M$5,NFI,5,0),1,0)*Table_NFI[[#This Row],[Blanket]],Table_NFI[[#This Row],[Blanket]])</f>
        <v>0</v>
      </c>
      <c r="AE331" s="378">
        <f>IF(NFI_Expiration=1,IF($A331&lt;VLOOKUP(N$5,NFI,5,0),1,0)*Table_NFI[[#This Row],[Kitchen Set]],Table_NFI[Kitchen Set])</f>
        <v>0</v>
      </c>
      <c r="AF331" s="378">
        <f>IF(NFI_Expiration=1,IF($A331&lt;VLOOKUP(O$5,NFI,5,0),1,0)*Table_NFI[[#This Row],[Clothes Kit]],Table_NFI[Clothes Kit])</f>
        <v>0</v>
      </c>
      <c r="AG331" s="378">
        <f>IF(NFI_Expiration=1,IF($A331&lt;VLOOKUP(P$5,NFI,5,0),1,0)*Table_NFI[[#This Row],[Plastic Bucket]],Table_NFI[Plastic Bucket])</f>
        <v>0</v>
      </c>
      <c r="AH331" s="378">
        <f>IF(NFI_Expiration=1,IF($A331&lt;VLOOKUP(Q$5,NFI,5,0),1,0)*Table_NFI[[#This Row],[Plastic Mat]],Table_NFI[Plastic Mat])*IF(Table_NFI[[#This Row],[Distribution Date]]&gt;"2014-04-01",1,2.5)</f>
        <v>0</v>
      </c>
      <c r="AI331" s="378">
        <f>IF(NFI_Expiration=1,IF($A331&lt;VLOOKUP(R$5,NFI,5,0),1,0)*Table_NFI[[#This Row],[Winter Clothes Adult]],Table_NFI[Winter Clothes Adult])</f>
        <v>0</v>
      </c>
      <c r="AJ331" s="378">
        <f>IF(NFI_Expiration=1,IF($A331&lt;VLOOKUP(S$5,NFI,5,0),1,0)*Table_NFI[[#This Row],[Winter Clothes Children]],Table_NFI[Winter Clothes Children])</f>
        <v>0</v>
      </c>
      <c r="AK331" s="378">
        <f>IF(NFI_Expiration=1,IF($A331&lt;VLOOKUP(T$5,NFI,5,0),1,0)*Table_NFI[[#This Row],[Winter Items Other]],Table_NFI[Winter Items Other])</f>
        <v>0</v>
      </c>
      <c r="AL331" s="378">
        <f>IF(NFI_Expiration=1,IF($A331&lt;VLOOKUP(M$5,NFI,5,0),1,0)*Table_NFI[[#This Row],[Winter Blanket]],Table_NFI[[#This Row],[Winter Blanket]])</f>
        <v>0</v>
      </c>
      <c r="AM331" s="378">
        <f>IF(Table_NFI[[#This Row],[Winter Clothes Adult]]+Table_NFI[[#This Row],[Winter Clothes Children]]+Table_NFI[[#This Row],[Winter Items Other]]+Table_NFI[[#This Row],[Winter Blanket]]&gt;0,1,0)</f>
        <v>0</v>
      </c>
      <c r="AN331" s="418">
        <f>IF(NFI_Expiration=1,IF($A331&lt;VLOOKUP(V$5,NFI,5,0),1,0)*Table_NFI[[#This Row],[Jerry Can]],Table_NFI[Jerry Can])</f>
        <v>0</v>
      </c>
      <c r="AO331" s="579" t="str">
        <f>IFERROR(VLOOKUP(Table_NFI[[#This Row],[Camp Name]],CL,2,0),"")</f>
        <v>MMR001CMP135</v>
      </c>
      <c r="AP331" s="574">
        <f ca="1">IF(Table_NFI[[#This Row],[Pcode]]="","",IF(OFFSET(CampList[Opening Date],MATCH(Table_NFI[[#This Row],[Pcode]],CampList[CP_Pcode],0)-1,0,1,1)&gt;=NFI_Monitor_Date,1,0))</f>
        <v>0</v>
      </c>
      <c r="AQ331" s="579" t="str">
        <f>IFERROR(VLOOKUP(Table_NFI[[#This Row],[Camp Name]],CL,3,0),"")</f>
        <v>Closed</v>
      </c>
      <c r="AR331" s="378" t="str">
        <f ca="1">IF(Table_NFI[[#This Row],[Pcode]]="","",OFFSET(CampList[Priority],MATCH(Table_NFI[[#This Row],[Pcode]],CampList[CP_Pcode],0)-1,0,1,1))</f>
        <v>P2</v>
      </c>
      <c r="AS331" s="377" t="str">
        <f>IFERROR(Table_NFI[[#This Row],[Kitchen Set]]/VLOOKUP(Table_NFI[[#This Row],[Camp Name]],CL,4,0),"")</f>
        <v/>
      </c>
      <c r="AT331" s="572" t="s">
        <v>1095</v>
      </c>
      <c r="AU331" s="575"/>
    </row>
    <row r="332" spans="1:47" s="576" customFormat="1" x14ac:dyDescent="0.25">
      <c r="A332" s="381">
        <f t="shared" si="5"/>
        <v>30.966666666666665</v>
      </c>
      <c r="B332" s="571">
        <v>41593</v>
      </c>
      <c r="C332" s="572" t="s">
        <v>908</v>
      </c>
      <c r="D332" s="572" t="s">
        <v>1005</v>
      </c>
      <c r="E332" s="572" t="s">
        <v>380</v>
      </c>
      <c r="F332" s="572" t="s">
        <v>151</v>
      </c>
      <c r="G332" s="572" t="s">
        <v>158</v>
      </c>
      <c r="H332" s="375"/>
      <c r="I332" s="375"/>
      <c r="J332" s="375"/>
      <c r="K332" s="375"/>
      <c r="L332" s="376"/>
      <c r="M332" s="376"/>
      <c r="N332" s="376"/>
      <c r="O332" s="376"/>
      <c r="P332" s="378"/>
      <c r="Q332" s="378"/>
      <c r="R332" s="378">
        <v>54</v>
      </c>
      <c r="S332" s="378">
        <v>106</v>
      </c>
      <c r="T332" s="378">
        <v>320</v>
      </c>
      <c r="U332" s="378">
        <v>160</v>
      </c>
      <c r="V332" s="533"/>
      <c r="W332" s="378"/>
      <c r="X332" s="378"/>
      <c r="Y332" s="378">
        <f>IF(NFI_Expiration=1,IF($A332&lt;VLOOKUP(H$5,NFI,5,0),1,0)*Table_NFI[[#This Row],[Hygiene Kit]],Table_NFI[Hygiene Kit])</f>
        <v>0</v>
      </c>
      <c r="Z332" s="378">
        <f>IF(NFI_Expiration=1,IF($A332&lt;VLOOKUP(I$5,NFI,5,0),1,0)*Table_NFI[[#This Row],[NFI Core Kit]],Table_NFI[NFI Core Kit])</f>
        <v>0</v>
      </c>
      <c r="AA332" s="378">
        <f>IF(NFI_Expiration=1,IF($A332&lt;VLOOKUP(J$5,NFI,5,0),1,0)*Table_NFI[[#This Row],[Sanitary Kit]],Table_NFI[Sanitary Kit])</f>
        <v>0</v>
      </c>
      <c r="AB332" s="378">
        <f>IF(NFI_Expiration=1,IF($A332&lt;VLOOKUP(K$5,NFI,5,0),1,0)*Table_NFI[[#This Row],[Mosquito net]],Table_NFI[Mosquito net])</f>
        <v>0</v>
      </c>
      <c r="AC332" s="378">
        <f>IF(NFI_Expiration=1,IF($A332&lt;VLOOKUP(L$5,NFI,5,0),1,0)*Table_NFI[[#This Row],[Tarpaulin]],Table_NFI[[#This Row],[Tarpaulin]])</f>
        <v>0</v>
      </c>
      <c r="AD332" s="378">
        <f>IF(NFI_Expiration=1,IF($A332&lt;VLOOKUP(M$5,NFI,5,0),1,0)*Table_NFI[[#This Row],[Blanket]],Table_NFI[[#This Row],[Blanket]])</f>
        <v>0</v>
      </c>
      <c r="AE332" s="378">
        <f>IF(NFI_Expiration=1,IF($A332&lt;VLOOKUP(N$5,NFI,5,0),1,0)*Table_NFI[[#This Row],[Kitchen Set]],Table_NFI[Kitchen Set])</f>
        <v>0</v>
      </c>
      <c r="AF332" s="378">
        <f>IF(NFI_Expiration=1,IF($A332&lt;VLOOKUP(O$5,NFI,5,0),1,0)*Table_NFI[[#This Row],[Clothes Kit]],Table_NFI[Clothes Kit])</f>
        <v>0</v>
      </c>
      <c r="AG332" s="378">
        <f>IF(NFI_Expiration=1,IF($A332&lt;VLOOKUP(P$5,NFI,5,0),1,0)*Table_NFI[[#This Row],[Plastic Bucket]],Table_NFI[Plastic Bucket])</f>
        <v>0</v>
      </c>
      <c r="AH332" s="378">
        <f>IF(NFI_Expiration=1,IF($A332&lt;VLOOKUP(Q$5,NFI,5,0),1,0)*Table_NFI[[#This Row],[Plastic Mat]],Table_NFI[Plastic Mat])*IF(Table_NFI[[#This Row],[Distribution Date]]&gt;"2014-04-01",1,2.5)</f>
        <v>0</v>
      </c>
      <c r="AI332" s="378">
        <f>IF(NFI_Expiration=1,IF($A332&lt;VLOOKUP(R$5,NFI,5,0),1,0)*Table_NFI[[#This Row],[Winter Clothes Adult]],Table_NFI[Winter Clothes Adult])</f>
        <v>0</v>
      </c>
      <c r="AJ332" s="378">
        <f>IF(NFI_Expiration=1,IF($A332&lt;VLOOKUP(S$5,NFI,5,0),1,0)*Table_NFI[[#This Row],[Winter Clothes Children]],Table_NFI[Winter Clothes Children])</f>
        <v>0</v>
      </c>
      <c r="AK332" s="378">
        <f>IF(NFI_Expiration=1,IF($A332&lt;VLOOKUP(T$5,NFI,5,0),1,0)*Table_NFI[[#This Row],[Winter Items Other]],Table_NFI[Winter Items Other])</f>
        <v>0</v>
      </c>
      <c r="AL332" s="378">
        <f>IF(NFI_Expiration=1,IF($A332&lt;VLOOKUP(M$5,NFI,5,0),1,0)*Table_NFI[[#This Row],[Winter Blanket]],Table_NFI[[#This Row],[Winter Blanket]])</f>
        <v>0</v>
      </c>
      <c r="AM332" s="378">
        <f>IF(Table_NFI[[#This Row],[Winter Clothes Adult]]+Table_NFI[[#This Row],[Winter Clothes Children]]+Table_NFI[[#This Row],[Winter Items Other]]+Table_NFI[[#This Row],[Winter Blanket]]&gt;0,1,0)</f>
        <v>1</v>
      </c>
      <c r="AN332" s="418">
        <f>IF(NFI_Expiration=1,IF($A332&lt;VLOOKUP(V$5,NFI,5,0),1,0)*Table_NFI[[#This Row],[Jerry Can]],Table_NFI[Jerry Can])</f>
        <v>0</v>
      </c>
      <c r="AO332" s="579" t="str">
        <f>IFERROR(VLOOKUP(Table_NFI[[#This Row],[Camp Name]],CL,2,0),"")</f>
        <v>MMR001CMP135</v>
      </c>
      <c r="AP332" s="574">
        <f ca="1">IF(Table_NFI[[#This Row],[Pcode]]="","",IF(OFFSET(CampList[Opening Date],MATCH(Table_NFI[[#This Row],[Pcode]],CampList[CP_Pcode],0)-1,0,1,1)&gt;=NFI_Monitor_Date,1,0))</f>
        <v>0</v>
      </c>
      <c r="AQ332" s="579" t="str">
        <f>IFERROR(VLOOKUP(Table_NFI[[#This Row],[Camp Name]],CL,3,0),"")</f>
        <v>Closed</v>
      </c>
      <c r="AR332" s="378" t="str">
        <f ca="1">IF(Table_NFI[[#This Row],[Pcode]]="","",OFFSET(CampList[Priority],MATCH(Table_NFI[[#This Row],[Pcode]],CampList[CP_Pcode],0)-1,0,1,1))</f>
        <v>P2</v>
      </c>
      <c r="AS332" s="377" t="str">
        <f>IFERROR(Table_NFI[[#This Row],[Kitchen Set]]/VLOOKUP(Table_NFI[[#This Row],[Camp Name]],CL,4,0),"")</f>
        <v/>
      </c>
      <c r="AT332" s="572"/>
      <c r="AU332" s="575"/>
    </row>
    <row r="333" spans="1:47" s="576" customFormat="1" x14ac:dyDescent="0.25">
      <c r="A333" s="381">
        <f t="shared" si="5"/>
        <v>47.166666666666664</v>
      </c>
      <c r="B333" s="571">
        <v>41107</v>
      </c>
      <c r="C333" s="572" t="s">
        <v>454</v>
      </c>
      <c r="D333" s="573" t="s">
        <v>454</v>
      </c>
      <c r="E333" s="572" t="s">
        <v>380</v>
      </c>
      <c r="F333" s="374" t="s">
        <v>151</v>
      </c>
      <c r="G333" s="374" t="s">
        <v>158</v>
      </c>
      <c r="H333" s="375"/>
      <c r="I333" s="375"/>
      <c r="J333" s="375"/>
      <c r="K333" s="375">
        <v>0</v>
      </c>
      <c r="L333" s="376">
        <v>0</v>
      </c>
      <c r="M333" s="376">
        <v>0</v>
      </c>
      <c r="N333" s="376">
        <v>0</v>
      </c>
      <c r="O333" s="376">
        <v>0</v>
      </c>
      <c r="P333" s="378"/>
      <c r="Q333" s="378"/>
      <c r="R333" s="378"/>
      <c r="S333" s="378"/>
      <c r="T333" s="378"/>
      <c r="U333" s="378"/>
      <c r="V333" s="533"/>
      <c r="W333" s="378"/>
      <c r="X333" s="378"/>
      <c r="Y333" s="378">
        <f>IF(NFI_Expiration=1,IF($A333&lt;VLOOKUP(H$5,NFI,5,0),1,0)*Table_NFI[[#This Row],[Hygiene Kit]],Table_NFI[Hygiene Kit])</f>
        <v>0</v>
      </c>
      <c r="Z333" s="378">
        <f>IF(NFI_Expiration=1,IF($A333&lt;VLOOKUP(I$5,NFI,5,0),1,0)*Table_NFI[[#This Row],[NFI Core Kit]],Table_NFI[NFI Core Kit])</f>
        <v>0</v>
      </c>
      <c r="AA333" s="378">
        <f>IF(NFI_Expiration=1,IF($A333&lt;VLOOKUP(J$5,NFI,5,0),1,0)*Table_NFI[[#This Row],[Sanitary Kit]],Table_NFI[Sanitary Kit])</f>
        <v>0</v>
      </c>
      <c r="AB333" s="378">
        <f>IF(NFI_Expiration=1,IF($A333&lt;VLOOKUP(K$5,NFI,5,0),1,0)*Table_NFI[[#This Row],[Mosquito net]],Table_NFI[Mosquito net])</f>
        <v>0</v>
      </c>
      <c r="AC333" s="378">
        <f>IF(NFI_Expiration=1,IF($A333&lt;VLOOKUP(L$5,NFI,5,0),1,0)*Table_NFI[[#This Row],[Tarpaulin]],Table_NFI[[#This Row],[Tarpaulin]])</f>
        <v>0</v>
      </c>
      <c r="AD333" s="378">
        <f>IF(NFI_Expiration=1,IF($A333&lt;VLOOKUP(M$5,NFI,5,0),1,0)*Table_NFI[[#This Row],[Blanket]],Table_NFI[[#This Row],[Blanket]])</f>
        <v>0</v>
      </c>
      <c r="AE333" s="378">
        <f>IF(NFI_Expiration=1,IF($A333&lt;VLOOKUP(N$5,NFI,5,0),1,0)*Table_NFI[[#This Row],[Kitchen Set]],Table_NFI[Kitchen Set])</f>
        <v>0</v>
      </c>
      <c r="AF333" s="378">
        <f>IF(NFI_Expiration=1,IF($A333&lt;VLOOKUP(O$5,NFI,5,0),1,0)*Table_NFI[[#This Row],[Clothes Kit]],Table_NFI[Clothes Kit])</f>
        <v>0</v>
      </c>
      <c r="AG333" s="378">
        <f>IF(NFI_Expiration=1,IF($A333&lt;VLOOKUP(P$5,NFI,5,0),1,0)*Table_NFI[[#This Row],[Plastic Bucket]],Table_NFI[Plastic Bucket])</f>
        <v>0</v>
      </c>
      <c r="AH333" s="378">
        <f>IF(NFI_Expiration=1,IF($A333&lt;VLOOKUP(Q$5,NFI,5,0),1,0)*Table_NFI[[#This Row],[Plastic Mat]],Table_NFI[Plastic Mat])*IF(Table_NFI[[#This Row],[Distribution Date]]&gt;"2014-04-01",1,2.5)</f>
        <v>0</v>
      </c>
      <c r="AI333" s="378">
        <f>IF(NFI_Expiration=1,IF($A333&lt;VLOOKUP(R$5,NFI,5,0),1,0)*Table_NFI[[#This Row],[Winter Clothes Adult]],Table_NFI[Winter Clothes Adult])</f>
        <v>0</v>
      </c>
      <c r="AJ333" s="378">
        <f>IF(NFI_Expiration=1,IF($A333&lt;VLOOKUP(S$5,NFI,5,0),1,0)*Table_NFI[[#This Row],[Winter Clothes Children]],Table_NFI[Winter Clothes Children])</f>
        <v>0</v>
      </c>
      <c r="AK333" s="378">
        <f>IF(NFI_Expiration=1,IF($A333&lt;VLOOKUP(T$5,NFI,5,0),1,0)*Table_NFI[[#This Row],[Winter Items Other]],Table_NFI[Winter Items Other])</f>
        <v>0</v>
      </c>
      <c r="AL333" s="378">
        <f>IF(NFI_Expiration=1,IF($A333&lt;VLOOKUP(M$5,NFI,5,0),1,0)*Table_NFI[[#This Row],[Winter Blanket]],Table_NFI[[#This Row],[Winter Blanket]])</f>
        <v>0</v>
      </c>
      <c r="AM333" s="378">
        <f>IF(Table_NFI[[#This Row],[Winter Clothes Adult]]+Table_NFI[[#This Row],[Winter Clothes Children]]+Table_NFI[[#This Row],[Winter Items Other]]+Table_NFI[[#This Row],[Winter Blanket]]&gt;0,1,0)</f>
        <v>0</v>
      </c>
      <c r="AN333" s="418">
        <f>IF(NFI_Expiration=1,IF($A333&lt;VLOOKUP(V$5,NFI,5,0),1,0)*Table_NFI[[#This Row],[Jerry Can]],Table_NFI[Jerry Can])</f>
        <v>0</v>
      </c>
      <c r="AO333" s="579" t="str">
        <f>IFERROR(VLOOKUP(Table_NFI[[#This Row],[Camp Name]],CL,2,0),"")</f>
        <v>MMR001CMP135</v>
      </c>
      <c r="AP333" s="574">
        <f ca="1">IF(Table_NFI[[#This Row],[Pcode]]="","",IF(OFFSET(CampList[Opening Date],MATCH(Table_NFI[[#This Row],[Pcode]],CampList[CP_Pcode],0)-1,0,1,1)&gt;=NFI_Monitor_Date,1,0))</f>
        <v>0</v>
      </c>
      <c r="AQ333" s="579" t="str">
        <f>IFERROR(VLOOKUP(Table_NFI[[#This Row],[Camp Name]],CL,3,0),"")</f>
        <v>Closed</v>
      </c>
      <c r="AR333" s="378" t="str">
        <f ca="1">IF(Table_NFI[[#This Row],[Pcode]]="","",OFFSET(CampList[Priority],MATCH(Table_NFI[[#This Row],[Pcode]],CampList[CP_Pcode],0)-1,0,1,1))</f>
        <v>P2</v>
      </c>
      <c r="AS333" s="377" t="str">
        <f>IFERROR(Table_NFI[[#This Row],[Kitchen Set]]/VLOOKUP(Table_NFI[[#This Row],[Camp Name]],CL,4,0),"")</f>
        <v/>
      </c>
      <c r="AT333" s="572" t="s">
        <v>1095</v>
      </c>
      <c r="AU333" s="575"/>
    </row>
    <row r="334" spans="1:47" s="576" customFormat="1" x14ac:dyDescent="0.25">
      <c r="A334" s="615">
        <f t="shared" si="5"/>
        <v>0.9</v>
      </c>
      <c r="B334" s="571">
        <v>42495</v>
      </c>
      <c r="C334" s="572" t="s">
        <v>454</v>
      </c>
      <c r="D334" s="572" t="s">
        <v>1398</v>
      </c>
      <c r="E334" s="572" t="s">
        <v>380</v>
      </c>
      <c r="F334" s="572" t="s">
        <v>173</v>
      </c>
      <c r="G334" s="572" t="s">
        <v>1272</v>
      </c>
      <c r="H334" s="617"/>
      <c r="I334" s="617">
        <v>7</v>
      </c>
      <c r="J334" s="617">
        <v>7</v>
      </c>
      <c r="K334" s="617">
        <v>13</v>
      </c>
      <c r="L334" s="617">
        <v>7</v>
      </c>
      <c r="M334" s="617">
        <v>13</v>
      </c>
      <c r="N334" s="617">
        <v>7</v>
      </c>
      <c r="O334" s="617">
        <v>7</v>
      </c>
      <c r="P334" s="618">
        <v>13</v>
      </c>
      <c r="Q334" s="618"/>
      <c r="R334" s="618"/>
      <c r="S334" s="618"/>
      <c r="T334" s="618"/>
      <c r="U334" s="618"/>
      <c r="V334" s="620">
        <v>7</v>
      </c>
      <c r="W334" s="618"/>
      <c r="X334" s="618"/>
      <c r="Y334" s="618">
        <f>IF(NFI_Expiration=1,IF($A334&lt;VLOOKUP(H$5,NFI,5,0),1,0)*Table_NFI[[#This Row],[Hygiene Kit]],Table_NFI[Hygiene Kit])</f>
        <v>0</v>
      </c>
      <c r="Z334" s="618">
        <f>IF(NFI_Expiration=1,IF($A334&lt;VLOOKUP(I$5,NFI,5,0),1,0)*Table_NFI[[#This Row],[NFI Core Kit]],Table_NFI[NFI Core Kit])</f>
        <v>7</v>
      </c>
      <c r="AA334" s="618">
        <f>IF(NFI_Expiration=1,IF($A334&lt;VLOOKUP(J$5,NFI,5,0),1,0)*Table_NFI[[#This Row],[Sanitary Kit]],Table_NFI[Sanitary Kit])</f>
        <v>7</v>
      </c>
      <c r="AB334" s="618">
        <f>IF(NFI_Expiration=1,IF($A334&lt;VLOOKUP(K$5,NFI,5,0),1,0)*Table_NFI[[#This Row],[Mosquito net]],Table_NFI[Mosquito net])</f>
        <v>13</v>
      </c>
      <c r="AC334" s="618">
        <f>IF(NFI_Expiration=1,IF($A334&lt;VLOOKUP(L$5,NFI,5,0),1,0)*Table_NFI[[#This Row],[Tarpaulin]],Table_NFI[[#This Row],[Tarpaulin]])</f>
        <v>7</v>
      </c>
      <c r="AD334" s="618">
        <f>IF(NFI_Expiration=1,IF($A334&lt;VLOOKUP(M$5,NFI,5,0),1,0)*Table_NFI[[#This Row],[Blanket]],Table_NFI[[#This Row],[Blanket]])</f>
        <v>13</v>
      </c>
      <c r="AE334" s="618">
        <f>IF(NFI_Expiration=1,IF($A334&lt;VLOOKUP(N$5,NFI,5,0),1,0)*Table_NFI[[#This Row],[Kitchen Set]],Table_NFI[Kitchen Set])</f>
        <v>7</v>
      </c>
      <c r="AF334" s="618">
        <f>IF(NFI_Expiration=1,IF($A334&lt;VLOOKUP(O$5,NFI,5,0),1,0)*Table_NFI[[#This Row],[Clothes Kit]],Table_NFI[Clothes Kit])</f>
        <v>7</v>
      </c>
      <c r="AG334" s="618">
        <f>IF(NFI_Expiration=1,IF($A334&lt;VLOOKUP(P$5,NFI,5,0),1,0)*Table_NFI[[#This Row],[Plastic Bucket]],Table_NFI[Plastic Bucket])</f>
        <v>13</v>
      </c>
      <c r="AH334" s="618">
        <f>IF(NFI_Expiration=1,IF($A334&lt;VLOOKUP(Q$5,NFI,5,0),1,0)*Table_NFI[[#This Row],[Plastic Mat]],Table_NFI[Plastic Mat])*IF(Table_NFI[[#This Row],[Distribution Date]]&gt;"2014-04-01",1,2.5)</f>
        <v>0</v>
      </c>
      <c r="AI334" s="618">
        <f>IF(NFI_Expiration=1,IF($A334&lt;VLOOKUP(R$5,NFI,5,0),1,0)*Table_NFI[[#This Row],[Winter Clothes Adult]],Table_NFI[Winter Clothes Adult])</f>
        <v>0</v>
      </c>
      <c r="AJ334" s="618">
        <f>IF(NFI_Expiration=1,IF($A334&lt;VLOOKUP(S$5,NFI,5,0),1,0)*Table_NFI[[#This Row],[Winter Clothes Children]],Table_NFI[Winter Clothes Children])</f>
        <v>0</v>
      </c>
      <c r="AK334" s="618">
        <f>IF(NFI_Expiration=1,IF($A334&lt;VLOOKUP(T$5,NFI,5,0),1,0)*Table_NFI[[#This Row],[Winter Items Other]],Table_NFI[Winter Items Other])</f>
        <v>0</v>
      </c>
      <c r="AL334" s="618">
        <f>IF(NFI_Expiration=1,IF($A334&lt;VLOOKUP(M$5,NFI,5,0),1,0)*Table_NFI[[#This Row],[Winter Blanket]],Table_NFI[[#This Row],[Winter Blanket]])</f>
        <v>0</v>
      </c>
      <c r="AM334" s="618">
        <f>IF(Table_NFI[[#This Row],[Winter Clothes Adult]]+Table_NFI[[#This Row],[Winter Clothes Children]]+Table_NFI[[#This Row],[Winter Items Other]]+Table_NFI[[#This Row],[Winter Blanket]]&gt;0,1,0)</f>
        <v>0</v>
      </c>
      <c r="AN334" s="620">
        <f>IF(NFI_Expiration=1,IF($A334&lt;VLOOKUP(V$5,NFI,5,0),1,0)*Table_NFI[[#This Row],[Jerry Can]],Table_NFI[Jerry Can])</f>
        <v>7</v>
      </c>
      <c r="AO334" s="621" t="str">
        <f>IFERROR(VLOOKUP(Table_NFI[[#This Row],[Camp Name]],CL,2,0),"")</f>
        <v>MMR001CMP237</v>
      </c>
      <c r="AP334" s="622">
        <f ca="1">IF(Table_NFI[[#This Row],[Pcode]]="","",IF(OFFSET(CampList[Opening Date],MATCH(Table_NFI[[#This Row],[Pcode]],CampList[CP_Pcode],0)-1,0,1,1)&gt;=NFI_Monitor_Date,1,0))</f>
        <v>1</v>
      </c>
      <c r="AQ334" s="621" t="str">
        <f>IFERROR(VLOOKUP(Table_NFI[[#This Row],[Camp Name]],CL,3,0),"")</f>
        <v>Open</v>
      </c>
      <c r="AR334" s="618">
        <f ca="1">IF(Table_NFI[[#This Row],[Pcode]]="","",OFFSET(CampList[Priority],MATCH(Table_NFI[[#This Row],[Pcode]],CampList[CP_Pcode],0)-1,0,1,1))</f>
        <v>0</v>
      </c>
      <c r="AS334" s="623">
        <f>IFERROR(Table_NFI[[#This Row],[Kitchen Set]]/VLOOKUP(Table_NFI[[#This Row],[Camp Name]],CL,4,0),"")</f>
        <v>0.77777777777777779</v>
      </c>
      <c r="AT334" s="616"/>
      <c r="AU334" s="624"/>
    </row>
    <row r="335" spans="1:47" s="576" customFormat="1" x14ac:dyDescent="0.25">
      <c r="A335" s="381">
        <f t="shared" si="5"/>
        <v>19.3</v>
      </c>
      <c r="B335" s="571">
        <v>41943</v>
      </c>
      <c r="C335" s="572" t="s">
        <v>1097</v>
      </c>
      <c r="D335" s="572" t="s">
        <v>903</v>
      </c>
      <c r="E335" s="572" t="s">
        <v>380</v>
      </c>
      <c r="F335" s="572" t="s">
        <v>895</v>
      </c>
      <c r="G335" s="572" t="s">
        <v>897</v>
      </c>
      <c r="H335" s="375"/>
      <c r="I335" s="375"/>
      <c r="J335" s="375"/>
      <c r="K335" s="375"/>
      <c r="L335" s="376"/>
      <c r="M335" s="376"/>
      <c r="N335" s="376"/>
      <c r="O335" s="376"/>
      <c r="P335" s="378"/>
      <c r="Q335" s="378"/>
      <c r="R335" s="378">
        <v>20</v>
      </c>
      <c r="S335" s="378">
        <v>8</v>
      </c>
      <c r="T335" s="378"/>
      <c r="U335" s="378"/>
      <c r="V335" s="533"/>
      <c r="W335" s="378"/>
      <c r="X335" s="378"/>
      <c r="Y335" s="378">
        <f>IF(NFI_Expiration=1,IF($A335&lt;VLOOKUP(H$5,NFI,5,0),1,0)*Table_NFI[[#This Row],[Hygiene Kit]],Table_NFI[Hygiene Kit])</f>
        <v>0</v>
      </c>
      <c r="Z335" s="378">
        <f>IF(NFI_Expiration=1,IF($A335&lt;VLOOKUP(I$5,NFI,5,0),1,0)*Table_NFI[[#This Row],[NFI Core Kit]],Table_NFI[NFI Core Kit])</f>
        <v>0</v>
      </c>
      <c r="AA335" s="378">
        <f>IF(NFI_Expiration=1,IF($A335&lt;VLOOKUP(J$5,NFI,5,0),1,0)*Table_NFI[[#This Row],[Sanitary Kit]],Table_NFI[Sanitary Kit])</f>
        <v>0</v>
      </c>
      <c r="AB335" s="378">
        <f>IF(NFI_Expiration=1,IF($A335&lt;VLOOKUP(K$5,NFI,5,0),1,0)*Table_NFI[[#This Row],[Mosquito net]],Table_NFI[Mosquito net])</f>
        <v>0</v>
      </c>
      <c r="AC335" s="378">
        <f>IF(NFI_Expiration=1,IF($A335&lt;VLOOKUP(L$5,NFI,5,0),1,0)*Table_NFI[[#This Row],[Tarpaulin]],Table_NFI[[#This Row],[Tarpaulin]])</f>
        <v>0</v>
      </c>
      <c r="AD335" s="378">
        <f>IF(NFI_Expiration=1,IF($A335&lt;VLOOKUP(M$5,NFI,5,0),1,0)*Table_NFI[[#This Row],[Blanket]],Table_NFI[[#This Row],[Blanket]])</f>
        <v>0</v>
      </c>
      <c r="AE335" s="378">
        <f>IF(NFI_Expiration=1,IF($A335&lt;VLOOKUP(N$5,NFI,5,0),1,0)*Table_NFI[[#This Row],[Kitchen Set]],Table_NFI[Kitchen Set])</f>
        <v>0</v>
      </c>
      <c r="AF335" s="378">
        <f>IF(NFI_Expiration=1,IF($A335&lt;VLOOKUP(O$5,NFI,5,0),1,0)*Table_NFI[[#This Row],[Clothes Kit]],Table_NFI[Clothes Kit])</f>
        <v>0</v>
      </c>
      <c r="AG335" s="378">
        <f>IF(NFI_Expiration=1,IF($A335&lt;VLOOKUP(P$5,NFI,5,0),1,0)*Table_NFI[[#This Row],[Plastic Bucket]],Table_NFI[Plastic Bucket])</f>
        <v>0</v>
      </c>
      <c r="AH335" s="378">
        <f>IF(NFI_Expiration=1,IF($A335&lt;VLOOKUP(Q$5,NFI,5,0),1,0)*Table_NFI[[#This Row],[Plastic Mat]],Table_NFI[Plastic Mat])*IF(Table_NFI[[#This Row],[Distribution Date]]&gt;"2014-04-01",1,2.5)</f>
        <v>0</v>
      </c>
      <c r="AI335" s="378">
        <f>IF(NFI_Expiration=1,IF($A335&lt;VLOOKUP(R$5,NFI,5,0),1,0)*Table_NFI[[#This Row],[Winter Clothes Adult]],Table_NFI[Winter Clothes Adult])</f>
        <v>0</v>
      </c>
      <c r="AJ335" s="378">
        <f>IF(NFI_Expiration=1,IF($A335&lt;VLOOKUP(S$5,NFI,5,0),1,0)*Table_NFI[[#This Row],[Winter Clothes Children]],Table_NFI[Winter Clothes Children])</f>
        <v>0</v>
      </c>
      <c r="AK335" s="378">
        <f>IF(NFI_Expiration=1,IF($A335&lt;VLOOKUP(T$5,NFI,5,0),1,0)*Table_NFI[[#This Row],[Winter Items Other]],Table_NFI[Winter Items Other])</f>
        <v>0</v>
      </c>
      <c r="AL335" s="378">
        <f>IF(NFI_Expiration=1,IF($A335&lt;VLOOKUP(M$5,NFI,5,0),1,0)*Table_NFI[[#This Row],[Winter Blanket]],Table_NFI[[#This Row],[Winter Blanket]])</f>
        <v>0</v>
      </c>
      <c r="AM335" s="378">
        <f>IF(Table_NFI[[#This Row],[Winter Clothes Adult]]+Table_NFI[[#This Row],[Winter Clothes Children]]+Table_NFI[[#This Row],[Winter Items Other]]+Table_NFI[[#This Row],[Winter Blanket]]&gt;0,1,0)</f>
        <v>1</v>
      </c>
      <c r="AN335" s="418">
        <f>IF(NFI_Expiration=1,IF($A335&lt;VLOOKUP(V$5,NFI,5,0),1,0)*Table_NFI[[#This Row],[Jerry Can]],Table_NFI[Jerry Can])</f>
        <v>0</v>
      </c>
      <c r="AO335" s="579" t="str">
        <f>IFERROR(VLOOKUP(Table_NFI[[#This Row],[Camp Name]],CL,2,0),"")</f>
        <v>MMR001CMP221</v>
      </c>
      <c r="AP335" s="574">
        <f ca="1">IF(Table_NFI[[#This Row],[Pcode]]="","",IF(OFFSET(CampList[Opening Date],MATCH(Table_NFI[[#This Row],[Pcode]],CampList[CP_Pcode],0)-1,0,1,1)&gt;=NFI_Monitor_Date,1,0))</f>
        <v>0</v>
      </c>
      <c r="AQ335" s="579" t="str">
        <f>IFERROR(VLOOKUP(Table_NFI[[#This Row],[Camp Name]],CL,3,0),"")</f>
        <v>Closed</v>
      </c>
      <c r="AR335" s="378" t="str">
        <f ca="1">IF(Table_NFI[[#This Row],[Pcode]]="","",OFFSET(CampList[Priority],MATCH(Table_NFI[[#This Row],[Pcode]],CampList[CP_Pcode],0)-1,0,1,1))</f>
        <v>P3</v>
      </c>
      <c r="AS335" s="377" t="str">
        <f>IFERROR(Table_NFI[[#This Row],[Kitchen Set]]/VLOOKUP(Table_NFI[[#This Row],[Camp Name]],CL,4,0),"")</f>
        <v/>
      </c>
      <c r="AT335" s="572"/>
      <c r="AU335" s="575"/>
    </row>
    <row r="336" spans="1:47" s="576" customFormat="1" x14ac:dyDescent="0.25">
      <c r="A336" s="381">
        <f t="shared" si="5"/>
        <v>28.766666666666666</v>
      </c>
      <c r="B336" s="571">
        <v>41659</v>
      </c>
      <c r="C336" s="572" t="s">
        <v>1097</v>
      </c>
      <c r="D336" s="572" t="s">
        <v>903</v>
      </c>
      <c r="E336" s="572" t="s">
        <v>380</v>
      </c>
      <c r="F336" s="572" t="s">
        <v>895</v>
      </c>
      <c r="G336" s="572" t="s">
        <v>897</v>
      </c>
      <c r="H336" s="375"/>
      <c r="I336" s="375"/>
      <c r="J336" s="375"/>
      <c r="K336" s="375">
        <v>8</v>
      </c>
      <c r="L336" s="376">
        <v>16</v>
      </c>
      <c r="M336" s="376">
        <v>16</v>
      </c>
      <c r="N336" s="376">
        <v>8</v>
      </c>
      <c r="O336" s="376"/>
      <c r="P336" s="378"/>
      <c r="Q336" s="378"/>
      <c r="R336" s="378">
        <v>19</v>
      </c>
      <c r="S336" s="378">
        <v>9</v>
      </c>
      <c r="T336" s="378"/>
      <c r="U336" s="378"/>
      <c r="V336" s="533"/>
      <c r="W336" s="378"/>
      <c r="X336" s="378"/>
      <c r="Y336" s="378">
        <f>IF(NFI_Expiration=1,IF($A336&lt;VLOOKUP(H$5,NFI,5,0),1,0)*Table_NFI[[#This Row],[Hygiene Kit]],Table_NFI[Hygiene Kit])</f>
        <v>0</v>
      </c>
      <c r="Z336" s="378">
        <f>IF(NFI_Expiration=1,IF($A336&lt;VLOOKUP(I$5,NFI,5,0),1,0)*Table_NFI[[#This Row],[NFI Core Kit]],Table_NFI[NFI Core Kit])</f>
        <v>0</v>
      </c>
      <c r="AA336" s="378">
        <f>IF(NFI_Expiration=1,IF($A336&lt;VLOOKUP(J$5,NFI,5,0),1,0)*Table_NFI[[#This Row],[Sanitary Kit]],Table_NFI[Sanitary Kit])</f>
        <v>0</v>
      </c>
      <c r="AB336" s="378">
        <f>IF(NFI_Expiration=1,IF($A336&lt;VLOOKUP(K$5,NFI,5,0),1,0)*Table_NFI[[#This Row],[Mosquito net]],Table_NFI[Mosquito net])</f>
        <v>0</v>
      </c>
      <c r="AC336" s="378">
        <f>IF(NFI_Expiration=1,IF($A336&lt;VLOOKUP(L$5,NFI,5,0),1,0)*Table_NFI[[#This Row],[Tarpaulin]],Table_NFI[[#This Row],[Tarpaulin]])</f>
        <v>0</v>
      </c>
      <c r="AD336" s="378">
        <f>IF(NFI_Expiration=1,IF($A336&lt;VLOOKUP(M$5,NFI,5,0),1,0)*Table_NFI[[#This Row],[Blanket]],Table_NFI[[#This Row],[Blanket]])</f>
        <v>0</v>
      </c>
      <c r="AE336" s="378">
        <f>IF(NFI_Expiration=1,IF($A336&lt;VLOOKUP(N$5,NFI,5,0),1,0)*Table_NFI[[#This Row],[Kitchen Set]],Table_NFI[Kitchen Set])</f>
        <v>0</v>
      </c>
      <c r="AF336" s="378">
        <f>IF(NFI_Expiration=1,IF($A336&lt;VLOOKUP(O$5,NFI,5,0),1,0)*Table_NFI[[#This Row],[Clothes Kit]],Table_NFI[Clothes Kit])</f>
        <v>0</v>
      </c>
      <c r="AG336" s="378">
        <f>IF(NFI_Expiration=1,IF($A336&lt;VLOOKUP(P$5,NFI,5,0),1,0)*Table_NFI[[#This Row],[Plastic Bucket]],Table_NFI[Plastic Bucket])</f>
        <v>0</v>
      </c>
      <c r="AH336" s="378">
        <f>IF(NFI_Expiration=1,IF($A336&lt;VLOOKUP(Q$5,NFI,5,0),1,0)*Table_NFI[[#This Row],[Plastic Mat]],Table_NFI[Plastic Mat])*IF(Table_NFI[[#This Row],[Distribution Date]]&gt;"2014-04-01",1,2.5)</f>
        <v>0</v>
      </c>
      <c r="AI336" s="378">
        <f>IF(NFI_Expiration=1,IF($A336&lt;VLOOKUP(R$5,NFI,5,0),1,0)*Table_NFI[[#This Row],[Winter Clothes Adult]],Table_NFI[Winter Clothes Adult])</f>
        <v>0</v>
      </c>
      <c r="AJ336" s="378">
        <f>IF(NFI_Expiration=1,IF($A336&lt;VLOOKUP(S$5,NFI,5,0),1,0)*Table_NFI[[#This Row],[Winter Clothes Children]],Table_NFI[Winter Clothes Children])</f>
        <v>0</v>
      </c>
      <c r="AK336" s="378">
        <f>IF(NFI_Expiration=1,IF($A336&lt;VLOOKUP(T$5,NFI,5,0),1,0)*Table_NFI[[#This Row],[Winter Items Other]],Table_NFI[Winter Items Other])</f>
        <v>0</v>
      </c>
      <c r="AL336" s="378">
        <f>IF(NFI_Expiration=1,IF($A336&lt;VLOOKUP(M$5,NFI,5,0),1,0)*Table_NFI[[#This Row],[Winter Blanket]],Table_NFI[[#This Row],[Winter Blanket]])</f>
        <v>0</v>
      </c>
      <c r="AM336" s="378">
        <f>IF(Table_NFI[[#This Row],[Winter Clothes Adult]]+Table_NFI[[#This Row],[Winter Clothes Children]]+Table_NFI[[#This Row],[Winter Items Other]]+Table_NFI[[#This Row],[Winter Blanket]]&gt;0,1,0)</f>
        <v>1</v>
      </c>
      <c r="AN336" s="418">
        <f>IF(NFI_Expiration=1,IF($A336&lt;VLOOKUP(V$5,NFI,5,0),1,0)*Table_NFI[[#This Row],[Jerry Can]],Table_NFI[Jerry Can])</f>
        <v>0</v>
      </c>
      <c r="AO336" s="579" t="str">
        <f>IFERROR(VLOOKUP(Table_NFI[[#This Row],[Camp Name]],CL,2,0),"")</f>
        <v>MMR001CMP221</v>
      </c>
      <c r="AP336" s="574">
        <f ca="1">IF(Table_NFI[[#This Row],[Pcode]]="","",IF(OFFSET(CampList[Opening Date],MATCH(Table_NFI[[#This Row],[Pcode]],CampList[CP_Pcode],0)-1,0,1,1)&gt;=NFI_Monitor_Date,1,0))</f>
        <v>0</v>
      </c>
      <c r="AQ336" s="579" t="str">
        <f>IFERROR(VLOOKUP(Table_NFI[[#This Row],[Camp Name]],CL,3,0),"")</f>
        <v>Closed</v>
      </c>
      <c r="AR336" s="378" t="str">
        <f ca="1">IF(Table_NFI[[#This Row],[Pcode]]="","",OFFSET(CampList[Priority],MATCH(Table_NFI[[#This Row],[Pcode]],CampList[CP_Pcode],0)-1,0,1,1))</f>
        <v>P3</v>
      </c>
      <c r="AS336" s="377" t="str">
        <f>IFERROR(Table_NFI[[#This Row],[Kitchen Set]]/VLOOKUP(Table_NFI[[#This Row],[Camp Name]],CL,4,0),"")</f>
        <v/>
      </c>
      <c r="AT336" s="572"/>
      <c r="AU336" s="575"/>
    </row>
    <row r="337" spans="1:47" s="576" customFormat="1" x14ac:dyDescent="0.25">
      <c r="A337" s="381">
        <f t="shared" si="5"/>
        <v>24.7</v>
      </c>
      <c r="B337" s="571">
        <v>41781</v>
      </c>
      <c r="C337" s="572" t="s">
        <v>1107</v>
      </c>
      <c r="D337" s="572" t="s">
        <v>903</v>
      </c>
      <c r="E337" s="572" t="s">
        <v>380</v>
      </c>
      <c r="F337" s="374" t="s">
        <v>310</v>
      </c>
      <c r="G337" s="572" t="s">
        <v>320</v>
      </c>
      <c r="H337" s="375"/>
      <c r="I337" s="375"/>
      <c r="J337" s="375"/>
      <c r="K337" s="375"/>
      <c r="L337" s="376"/>
      <c r="M337" s="376"/>
      <c r="N337" s="376"/>
      <c r="O337" s="376"/>
      <c r="P337" s="378"/>
      <c r="Q337" s="378"/>
      <c r="R337" s="378"/>
      <c r="S337" s="378"/>
      <c r="T337" s="378"/>
      <c r="U337" s="378">
        <v>46</v>
      </c>
      <c r="V337" s="533"/>
      <c r="W337" s="378"/>
      <c r="X337" s="378"/>
      <c r="Y337" s="378">
        <f>IF(NFI_Expiration=1,IF($A337&lt;VLOOKUP(H$5,NFI,5,0),1,0)*Table_NFI[[#This Row],[Hygiene Kit]],Table_NFI[Hygiene Kit])</f>
        <v>0</v>
      </c>
      <c r="Z337" s="378">
        <f>IF(NFI_Expiration=1,IF($A337&lt;VLOOKUP(I$5,NFI,5,0),1,0)*Table_NFI[[#This Row],[NFI Core Kit]],Table_NFI[NFI Core Kit])</f>
        <v>0</v>
      </c>
      <c r="AA337" s="378">
        <f>IF(NFI_Expiration=1,IF($A337&lt;VLOOKUP(J$5,NFI,5,0),1,0)*Table_NFI[[#This Row],[Sanitary Kit]],Table_NFI[Sanitary Kit])</f>
        <v>0</v>
      </c>
      <c r="AB337" s="378">
        <f>IF(NFI_Expiration=1,IF($A337&lt;VLOOKUP(K$5,NFI,5,0),1,0)*Table_NFI[[#This Row],[Mosquito net]],Table_NFI[Mosquito net])</f>
        <v>0</v>
      </c>
      <c r="AC337" s="378">
        <f>IF(NFI_Expiration=1,IF($A337&lt;VLOOKUP(L$5,NFI,5,0),1,0)*Table_NFI[[#This Row],[Tarpaulin]],Table_NFI[[#This Row],[Tarpaulin]])</f>
        <v>0</v>
      </c>
      <c r="AD337" s="378">
        <f>IF(NFI_Expiration=1,IF($A337&lt;VLOOKUP(M$5,NFI,5,0),1,0)*Table_NFI[[#This Row],[Blanket]],Table_NFI[[#This Row],[Blanket]])</f>
        <v>0</v>
      </c>
      <c r="AE337" s="378">
        <f>IF(NFI_Expiration=1,IF($A337&lt;VLOOKUP(N$5,NFI,5,0),1,0)*Table_NFI[[#This Row],[Kitchen Set]],Table_NFI[Kitchen Set])</f>
        <v>0</v>
      </c>
      <c r="AF337" s="378">
        <f>IF(NFI_Expiration=1,IF($A337&lt;VLOOKUP(O$5,NFI,5,0),1,0)*Table_NFI[[#This Row],[Clothes Kit]],Table_NFI[Clothes Kit])</f>
        <v>0</v>
      </c>
      <c r="AG337" s="378">
        <f>IF(NFI_Expiration=1,IF($A337&lt;VLOOKUP(P$5,NFI,5,0),1,0)*Table_NFI[[#This Row],[Plastic Bucket]],Table_NFI[Plastic Bucket])</f>
        <v>0</v>
      </c>
      <c r="AH337" s="378">
        <f>IF(NFI_Expiration=1,IF($A337&lt;VLOOKUP(Q$5,NFI,5,0),1,0)*Table_NFI[[#This Row],[Plastic Mat]],Table_NFI[Plastic Mat])*IF(Table_NFI[[#This Row],[Distribution Date]]&gt;"2014-04-01",1,2.5)</f>
        <v>0</v>
      </c>
      <c r="AI337" s="378">
        <f>IF(NFI_Expiration=1,IF($A337&lt;VLOOKUP(R$5,NFI,5,0),1,0)*Table_NFI[[#This Row],[Winter Clothes Adult]],Table_NFI[Winter Clothes Adult])</f>
        <v>0</v>
      </c>
      <c r="AJ337" s="378">
        <f>IF(NFI_Expiration=1,IF($A337&lt;VLOOKUP(S$5,NFI,5,0),1,0)*Table_NFI[[#This Row],[Winter Clothes Children]],Table_NFI[Winter Clothes Children])</f>
        <v>0</v>
      </c>
      <c r="AK337" s="378">
        <f>IF(NFI_Expiration=1,IF($A337&lt;VLOOKUP(T$5,NFI,5,0),1,0)*Table_NFI[[#This Row],[Winter Items Other]],Table_NFI[Winter Items Other])</f>
        <v>0</v>
      </c>
      <c r="AL337" s="378">
        <f>IF(NFI_Expiration=1,IF($A337&lt;VLOOKUP(M$5,NFI,5,0),1,0)*Table_NFI[[#This Row],[Winter Blanket]],Table_NFI[[#This Row],[Winter Blanket]])</f>
        <v>0</v>
      </c>
      <c r="AM337" s="378">
        <f>IF(Table_NFI[[#This Row],[Winter Clothes Adult]]+Table_NFI[[#This Row],[Winter Clothes Children]]+Table_NFI[[#This Row],[Winter Items Other]]+Table_NFI[[#This Row],[Winter Blanket]]&gt;0,1,0)</f>
        <v>1</v>
      </c>
      <c r="AN337" s="418">
        <f>IF(NFI_Expiration=1,IF($A337&lt;VLOOKUP(V$5,NFI,5,0),1,0)*Table_NFI[[#This Row],[Jerry Can]],Table_NFI[Jerry Can])</f>
        <v>0</v>
      </c>
      <c r="AO337" s="579" t="str">
        <f>IFERROR(VLOOKUP(Table_NFI[[#This Row],[Camp Name]],CL,2,0),"")</f>
        <v>MMR001CMP027</v>
      </c>
      <c r="AP337" s="574">
        <f ca="1">IF(Table_NFI[[#This Row],[Pcode]]="","",IF(OFFSET(CampList[Opening Date],MATCH(Table_NFI[[#This Row],[Pcode]],CampList[CP_Pcode],0)-1,0,1,1)&gt;=NFI_Monitor_Date,1,0))</f>
        <v>0</v>
      </c>
      <c r="AQ337" s="579" t="str">
        <f>IFERROR(VLOOKUP(Table_NFI[[#This Row],[Camp Name]],CL,3,0),"")</f>
        <v>Open</v>
      </c>
      <c r="AR337" s="378" t="str">
        <f ca="1">IF(Table_NFI[[#This Row],[Pcode]]="","",OFFSET(CampList[Priority],MATCH(Table_NFI[[#This Row],[Pcode]],CampList[CP_Pcode],0)-1,0,1,1))</f>
        <v>P4</v>
      </c>
      <c r="AS337" s="377">
        <f>IFERROR(Table_NFI[[#This Row],[Kitchen Set]]/VLOOKUP(Table_NFI[[#This Row],[Camp Name]],CL,4,0),"")</f>
        <v>0</v>
      </c>
      <c r="AT337" s="572"/>
      <c r="AU337" s="575"/>
    </row>
    <row r="338" spans="1:47" s="576" customFormat="1" x14ac:dyDescent="0.25">
      <c r="A338" s="381">
        <f t="shared" si="5"/>
        <v>29.866666666666667</v>
      </c>
      <c r="B338" s="571">
        <v>41626</v>
      </c>
      <c r="C338" s="572" t="s">
        <v>908</v>
      </c>
      <c r="D338" s="572" t="s">
        <v>462</v>
      </c>
      <c r="E338" s="572" t="s">
        <v>380</v>
      </c>
      <c r="F338" s="374" t="s">
        <v>310</v>
      </c>
      <c r="G338" s="572" t="s">
        <v>320</v>
      </c>
      <c r="H338" s="375"/>
      <c r="I338" s="375"/>
      <c r="J338" s="375"/>
      <c r="K338" s="375"/>
      <c r="L338" s="376"/>
      <c r="M338" s="376"/>
      <c r="N338" s="376"/>
      <c r="O338" s="376"/>
      <c r="P338" s="378"/>
      <c r="Q338" s="378"/>
      <c r="R338" s="378">
        <v>23</v>
      </c>
      <c r="S338" s="378">
        <v>45</v>
      </c>
      <c r="T338" s="378">
        <v>136</v>
      </c>
      <c r="U338" s="378">
        <v>68</v>
      </c>
      <c r="V338" s="533"/>
      <c r="W338" s="378"/>
      <c r="X338" s="378"/>
      <c r="Y338" s="378">
        <f>IF(NFI_Expiration=1,IF($A338&lt;VLOOKUP(H$5,NFI,5,0),1,0)*Table_NFI[[#This Row],[Hygiene Kit]],Table_NFI[Hygiene Kit])</f>
        <v>0</v>
      </c>
      <c r="Z338" s="378">
        <f>IF(NFI_Expiration=1,IF($A338&lt;VLOOKUP(I$5,NFI,5,0),1,0)*Table_NFI[[#This Row],[NFI Core Kit]],Table_NFI[NFI Core Kit])</f>
        <v>0</v>
      </c>
      <c r="AA338" s="378">
        <f>IF(NFI_Expiration=1,IF($A338&lt;VLOOKUP(J$5,NFI,5,0),1,0)*Table_NFI[[#This Row],[Sanitary Kit]],Table_NFI[Sanitary Kit])</f>
        <v>0</v>
      </c>
      <c r="AB338" s="378">
        <f>IF(NFI_Expiration=1,IF($A338&lt;VLOOKUP(K$5,NFI,5,0),1,0)*Table_NFI[[#This Row],[Mosquito net]],Table_NFI[Mosquito net])</f>
        <v>0</v>
      </c>
      <c r="AC338" s="378">
        <f>IF(NFI_Expiration=1,IF($A338&lt;VLOOKUP(L$5,NFI,5,0),1,0)*Table_NFI[[#This Row],[Tarpaulin]],Table_NFI[[#This Row],[Tarpaulin]])</f>
        <v>0</v>
      </c>
      <c r="AD338" s="378">
        <f>IF(NFI_Expiration=1,IF($A338&lt;VLOOKUP(M$5,NFI,5,0),1,0)*Table_NFI[[#This Row],[Blanket]],Table_NFI[[#This Row],[Blanket]])</f>
        <v>0</v>
      </c>
      <c r="AE338" s="378">
        <f>IF(NFI_Expiration=1,IF($A338&lt;VLOOKUP(N$5,NFI,5,0),1,0)*Table_NFI[[#This Row],[Kitchen Set]],Table_NFI[Kitchen Set])</f>
        <v>0</v>
      </c>
      <c r="AF338" s="378">
        <f>IF(NFI_Expiration=1,IF($A338&lt;VLOOKUP(O$5,NFI,5,0),1,0)*Table_NFI[[#This Row],[Clothes Kit]],Table_NFI[Clothes Kit])</f>
        <v>0</v>
      </c>
      <c r="AG338" s="378">
        <f>IF(NFI_Expiration=1,IF($A338&lt;VLOOKUP(P$5,NFI,5,0),1,0)*Table_NFI[[#This Row],[Plastic Bucket]],Table_NFI[Plastic Bucket])</f>
        <v>0</v>
      </c>
      <c r="AH338" s="378">
        <f>IF(NFI_Expiration=1,IF($A338&lt;VLOOKUP(Q$5,NFI,5,0),1,0)*Table_NFI[[#This Row],[Plastic Mat]],Table_NFI[Plastic Mat])*IF(Table_NFI[[#This Row],[Distribution Date]]&gt;"2014-04-01",1,2.5)</f>
        <v>0</v>
      </c>
      <c r="AI338" s="378">
        <f>IF(NFI_Expiration=1,IF($A338&lt;VLOOKUP(R$5,NFI,5,0),1,0)*Table_NFI[[#This Row],[Winter Clothes Adult]],Table_NFI[Winter Clothes Adult])</f>
        <v>0</v>
      </c>
      <c r="AJ338" s="378">
        <f>IF(NFI_Expiration=1,IF($A338&lt;VLOOKUP(S$5,NFI,5,0),1,0)*Table_NFI[[#This Row],[Winter Clothes Children]],Table_NFI[Winter Clothes Children])</f>
        <v>0</v>
      </c>
      <c r="AK338" s="378">
        <f>IF(NFI_Expiration=1,IF($A338&lt;VLOOKUP(T$5,NFI,5,0),1,0)*Table_NFI[[#This Row],[Winter Items Other]],Table_NFI[Winter Items Other])</f>
        <v>0</v>
      </c>
      <c r="AL338" s="378">
        <f>IF(NFI_Expiration=1,IF($A338&lt;VLOOKUP(M$5,NFI,5,0),1,0)*Table_NFI[[#This Row],[Winter Blanket]],Table_NFI[[#This Row],[Winter Blanket]])</f>
        <v>0</v>
      </c>
      <c r="AM338" s="378">
        <f>IF(Table_NFI[[#This Row],[Winter Clothes Adult]]+Table_NFI[[#This Row],[Winter Clothes Children]]+Table_NFI[[#This Row],[Winter Items Other]]+Table_NFI[[#This Row],[Winter Blanket]]&gt;0,1,0)</f>
        <v>1</v>
      </c>
      <c r="AN338" s="418">
        <f>IF(NFI_Expiration=1,IF($A338&lt;VLOOKUP(V$5,NFI,5,0),1,0)*Table_NFI[[#This Row],[Jerry Can]],Table_NFI[Jerry Can])</f>
        <v>0</v>
      </c>
      <c r="AO338" s="579" t="str">
        <f>IFERROR(VLOOKUP(Table_NFI[[#This Row],[Camp Name]],CL,2,0),"")</f>
        <v>MMR001CMP027</v>
      </c>
      <c r="AP338" s="574">
        <f ca="1">IF(Table_NFI[[#This Row],[Pcode]]="","",IF(OFFSET(CampList[Opening Date],MATCH(Table_NFI[[#This Row],[Pcode]],CampList[CP_Pcode],0)-1,0,1,1)&gt;=NFI_Monitor_Date,1,0))</f>
        <v>0</v>
      </c>
      <c r="AQ338" s="579" t="str">
        <f>IFERROR(VLOOKUP(Table_NFI[[#This Row],[Camp Name]],CL,3,0),"")</f>
        <v>Open</v>
      </c>
      <c r="AR338" s="378" t="str">
        <f ca="1">IF(Table_NFI[[#This Row],[Pcode]]="","",OFFSET(CampList[Priority],MATCH(Table_NFI[[#This Row],[Pcode]],CampList[CP_Pcode],0)-1,0,1,1))</f>
        <v>P4</v>
      </c>
      <c r="AS338" s="377">
        <f>IFERROR(Table_NFI[[#This Row],[Kitchen Set]]/VLOOKUP(Table_NFI[[#This Row],[Camp Name]],CL,4,0),"")</f>
        <v>0</v>
      </c>
      <c r="AT338" s="572"/>
      <c r="AU338" s="575"/>
    </row>
    <row r="339" spans="1:47" s="576" customFormat="1" x14ac:dyDescent="0.25">
      <c r="A339" s="381">
        <f t="shared" si="5"/>
        <v>30.466666666666665</v>
      </c>
      <c r="B339" s="571">
        <v>41608</v>
      </c>
      <c r="C339" s="572" t="s">
        <v>908</v>
      </c>
      <c r="D339" s="572" t="s">
        <v>462</v>
      </c>
      <c r="E339" s="572" t="s">
        <v>380</v>
      </c>
      <c r="F339" s="374" t="s">
        <v>310</v>
      </c>
      <c r="G339" s="374" t="s">
        <v>320</v>
      </c>
      <c r="H339" s="375"/>
      <c r="I339" s="375"/>
      <c r="J339" s="375"/>
      <c r="K339" s="375"/>
      <c r="L339" s="376"/>
      <c r="M339" s="376"/>
      <c r="N339" s="376"/>
      <c r="O339" s="376"/>
      <c r="P339" s="378"/>
      <c r="Q339" s="378"/>
      <c r="R339" s="378"/>
      <c r="S339" s="378"/>
      <c r="T339" s="378"/>
      <c r="U339" s="378"/>
      <c r="V339" s="533"/>
      <c r="W339" s="378"/>
      <c r="X339" s="378"/>
      <c r="Y339" s="378">
        <f>IF(NFI_Expiration=1,IF($A339&lt;VLOOKUP(H$5,NFI,5,0),1,0)*Table_NFI[[#This Row],[Hygiene Kit]],Table_NFI[Hygiene Kit])</f>
        <v>0</v>
      </c>
      <c r="Z339" s="378">
        <f>IF(NFI_Expiration=1,IF($A339&lt;VLOOKUP(I$5,NFI,5,0),1,0)*Table_NFI[[#This Row],[NFI Core Kit]],Table_NFI[NFI Core Kit])</f>
        <v>0</v>
      </c>
      <c r="AA339" s="378">
        <f>IF(NFI_Expiration=1,IF($A339&lt;VLOOKUP(J$5,NFI,5,0),1,0)*Table_NFI[[#This Row],[Sanitary Kit]],Table_NFI[Sanitary Kit])</f>
        <v>0</v>
      </c>
      <c r="AB339" s="378">
        <f>IF(NFI_Expiration=1,IF($A339&lt;VLOOKUP(K$5,NFI,5,0),1,0)*Table_NFI[[#This Row],[Mosquito net]],Table_NFI[Mosquito net])</f>
        <v>0</v>
      </c>
      <c r="AC339" s="378">
        <f>IF(NFI_Expiration=1,IF($A339&lt;VLOOKUP(L$5,NFI,5,0),1,0)*Table_NFI[[#This Row],[Tarpaulin]],Table_NFI[[#This Row],[Tarpaulin]])</f>
        <v>0</v>
      </c>
      <c r="AD339" s="378">
        <f>IF(NFI_Expiration=1,IF($A339&lt;VLOOKUP(M$5,NFI,5,0),1,0)*Table_NFI[[#This Row],[Blanket]],Table_NFI[[#This Row],[Blanket]])</f>
        <v>0</v>
      </c>
      <c r="AE339" s="378">
        <f>IF(NFI_Expiration=1,IF($A339&lt;VLOOKUP(N$5,NFI,5,0),1,0)*Table_NFI[[#This Row],[Kitchen Set]],Table_NFI[Kitchen Set])</f>
        <v>0</v>
      </c>
      <c r="AF339" s="378">
        <f>IF(NFI_Expiration=1,IF($A339&lt;VLOOKUP(O$5,NFI,5,0),1,0)*Table_NFI[[#This Row],[Clothes Kit]],Table_NFI[Clothes Kit])</f>
        <v>0</v>
      </c>
      <c r="AG339" s="378">
        <f>IF(NFI_Expiration=1,IF($A339&lt;VLOOKUP(P$5,NFI,5,0),1,0)*Table_NFI[[#This Row],[Plastic Bucket]],Table_NFI[Plastic Bucket])</f>
        <v>0</v>
      </c>
      <c r="AH339" s="378">
        <f>IF(NFI_Expiration=1,IF($A339&lt;VLOOKUP(Q$5,NFI,5,0),1,0)*Table_NFI[[#This Row],[Plastic Mat]],Table_NFI[Plastic Mat])*IF(Table_NFI[[#This Row],[Distribution Date]]&gt;"2014-04-01",1,2.5)</f>
        <v>0</v>
      </c>
      <c r="AI339" s="378">
        <f>IF(NFI_Expiration=1,IF($A339&lt;VLOOKUP(R$5,NFI,5,0),1,0)*Table_NFI[[#This Row],[Winter Clothes Adult]],Table_NFI[Winter Clothes Adult])</f>
        <v>0</v>
      </c>
      <c r="AJ339" s="378">
        <f>IF(NFI_Expiration=1,IF($A339&lt;VLOOKUP(S$5,NFI,5,0),1,0)*Table_NFI[[#This Row],[Winter Clothes Children]],Table_NFI[Winter Clothes Children])</f>
        <v>0</v>
      </c>
      <c r="AK339" s="378">
        <f>IF(NFI_Expiration=1,IF($A339&lt;VLOOKUP(T$5,NFI,5,0),1,0)*Table_NFI[[#This Row],[Winter Items Other]],Table_NFI[Winter Items Other])</f>
        <v>0</v>
      </c>
      <c r="AL339" s="378">
        <f>IF(NFI_Expiration=1,IF($A339&lt;VLOOKUP(M$5,NFI,5,0),1,0)*Table_NFI[[#This Row],[Winter Blanket]],Table_NFI[[#This Row],[Winter Blanket]])</f>
        <v>0</v>
      </c>
      <c r="AM339" s="378">
        <f>IF(Table_NFI[[#This Row],[Winter Clothes Adult]]+Table_NFI[[#This Row],[Winter Clothes Children]]+Table_NFI[[#This Row],[Winter Items Other]]+Table_NFI[[#This Row],[Winter Blanket]]&gt;0,1,0)</f>
        <v>0</v>
      </c>
      <c r="AN339" s="418">
        <f>IF(NFI_Expiration=1,IF($A339&lt;VLOOKUP(V$5,NFI,5,0),1,0)*Table_NFI[[#This Row],[Jerry Can]],Table_NFI[Jerry Can])</f>
        <v>0</v>
      </c>
      <c r="AO339" s="579" t="str">
        <f>IFERROR(VLOOKUP(Table_NFI[[#This Row],[Camp Name]],CL,2,0),"")</f>
        <v>MMR001CMP027</v>
      </c>
      <c r="AP339" s="574">
        <f ca="1">IF(Table_NFI[[#This Row],[Pcode]]="","",IF(OFFSET(CampList[Opening Date],MATCH(Table_NFI[[#This Row],[Pcode]],CampList[CP_Pcode],0)-1,0,1,1)&gt;=NFI_Monitor_Date,1,0))</f>
        <v>0</v>
      </c>
      <c r="AQ339" s="579" t="str">
        <f>IFERROR(VLOOKUP(Table_NFI[[#This Row],[Camp Name]],CL,3,0),"")</f>
        <v>Open</v>
      </c>
      <c r="AR339" s="378" t="str">
        <f ca="1">IF(Table_NFI[[#This Row],[Pcode]]="","",OFFSET(CampList[Priority],MATCH(Table_NFI[[#This Row],[Pcode]],CampList[CP_Pcode],0)-1,0,1,1))</f>
        <v>P4</v>
      </c>
      <c r="AS339" s="377">
        <f>IFERROR(Table_NFI[[#This Row],[Kitchen Set]]/VLOOKUP(Table_NFI[[#This Row],[Camp Name]],CL,4,0),"")</f>
        <v>0</v>
      </c>
      <c r="AT339" s="572" t="s">
        <v>1095</v>
      </c>
      <c r="AU339" s="575"/>
    </row>
    <row r="340" spans="1:47" s="576" customFormat="1" x14ac:dyDescent="0.25">
      <c r="A340" s="381">
        <f t="shared" si="5"/>
        <v>34.299999999999997</v>
      </c>
      <c r="B340" s="571">
        <v>41493</v>
      </c>
      <c r="C340" s="572" t="s">
        <v>454</v>
      </c>
      <c r="D340" s="572" t="s">
        <v>454</v>
      </c>
      <c r="E340" s="572" t="s">
        <v>380</v>
      </c>
      <c r="F340" s="374" t="s">
        <v>310</v>
      </c>
      <c r="G340" s="374" t="s">
        <v>320</v>
      </c>
      <c r="H340" s="375"/>
      <c r="I340" s="375"/>
      <c r="J340" s="375">
        <v>15</v>
      </c>
      <c r="K340" s="375">
        <v>57</v>
      </c>
      <c r="L340" s="376">
        <v>24</v>
      </c>
      <c r="M340" s="376">
        <v>57</v>
      </c>
      <c r="N340" s="376">
        <v>24</v>
      </c>
      <c r="O340" s="376">
        <v>24</v>
      </c>
      <c r="P340" s="378">
        <v>24</v>
      </c>
      <c r="Q340" s="378">
        <v>24</v>
      </c>
      <c r="R340" s="378"/>
      <c r="S340" s="378"/>
      <c r="T340" s="378"/>
      <c r="U340" s="378"/>
      <c r="V340" s="533"/>
      <c r="W340" s="378"/>
      <c r="X340" s="378"/>
      <c r="Y340" s="378">
        <f>IF(NFI_Expiration=1,IF($A340&lt;VLOOKUP(H$5,NFI,5,0),1,0)*Table_NFI[[#This Row],[Hygiene Kit]],Table_NFI[Hygiene Kit])</f>
        <v>0</v>
      </c>
      <c r="Z340" s="378">
        <f>IF(NFI_Expiration=1,IF($A340&lt;VLOOKUP(I$5,NFI,5,0),1,0)*Table_NFI[[#This Row],[NFI Core Kit]],Table_NFI[NFI Core Kit])</f>
        <v>0</v>
      </c>
      <c r="AA340" s="378">
        <f>IF(NFI_Expiration=1,IF($A340&lt;VLOOKUP(J$5,NFI,5,0),1,0)*Table_NFI[[#This Row],[Sanitary Kit]],Table_NFI[Sanitary Kit])</f>
        <v>0</v>
      </c>
      <c r="AB340" s="378">
        <f>IF(NFI_Expiration=1,IF($A340&lt;VLOOKUP(K$5,NFI,5,0),1,0)*Table_NFI[[#This Row],[Mosquito net]],Table_NFI[Mosquito net])</f>
        <v>0</v>
      </c>
      <c r="AC340" s="378">
        <f>IF(NFI_Expiration=1,IF($A340&lt;VLOOKUP(L$5,NFI,5,0),1,0)*Table_NFI[[#This Row],[Tarpaulin]],Table_NFI[[#This Row],[Tarpaulin]])</f>
        <v>0</v>
      </c>
      <c r="AD340" s="378">
        <f>IF(NFI_Expiration=1,IF($A340&lt;VLOOKUP(M$5,NFI,5,0),1,0)*Table_NFI[[#This Row],[Blanket]],Table_NFI[[#This Row],[Blanket]])</f>
        <v>0</v>
      </c>
      <c r="AE340" s="378">
        <f>IF(NFI_Expiration=1,IF($A340&lt;VLOOKUP(N$5,NFI,5,0),1,0)*Table_NFI[[#This Row],[Kitchen Set]],Table_NFI[Kitchen Set])</f>
        <v>0</v>
      </c>
      <c r="AF340" s="378">
        <f>IF(NFI_Expiration=1,IF($A340&lt;VLOOKUP(O$5,NFI,5,0),1,0)*Table_NFI[[#This Row],[Clothes Kit]],Table_NFI[Clothes Kit])</f>
        <v>0</v>
      </c>
      <c r="AG340" s="378">
        <f>IF(NFI_Expiration=1,IF($A340&lt;VLOOKUP(P$5,NFI,5,0),1,0)*Table_NFI[[#This Row],[Plastic Bucket]],Table_NFI[Plastic Bucket])</f>
        <v>0</v>
      </c>
      <c r="AH340" s="378">
        <f>IF(NFI_Expiration=1,IF($A340&lt;VLOOKUP(Q$5,NFI,5,0),1,0)*Table_NFI[[#This Row],[Plastic Mat]],Table_NFI[Plastic Mat])*IF(Table_NFI[[#This Row],[Distribution Date]]&gt;"2014-04-01",1,2.5)</f>
        <v>0</v>
      </c>
      <c r="AI340" s="378">
        <f>IF(NFI_Expiration=1,IF($A340&lt;VLOOKUP(R$5,NFI,5,0),1,0)*Table_NFI[[#This Row],[Winter Clothes Adult]],Table_NFI[Winter Clothes Adult])</f>
        <v>0</v>
      </c>
      <c r="AJ340" s="378">
        <f>IF(NFI_Expiration=1,IF($A340&lt;VLOOKUP(S$5,NFI,5,0),1,0)*Table_NFI[[#This Row],[Winter Clothes Children]],Table_NFI[Winter Clothes Children])</f>
        <v>0</v>
      </c>
      <c r="AK340" s="378">
        <f>IF(NFI_Expiration=1,IF($A340&lt;VLOOKUP(T$5,NFI,5,0),1,0)*Table_NFI[[#This Row],[Winter Items Other]],Table_NFI[Winter Items Other])</f>
        <v>0</v>
      </c>
      <c r="AL340" s="378">
        <f>IF(NFI_Expiration=1,IF($A340&lt;VLOOKUP(M$5,NFI,5,0),1,0)*Table_NFI[[#This Row],[Winter Blanket]],Table_NFI[[#This Row],[Winter Blanket]])</f>
        <v>0</v>
      </c>
      <c r="AM340" s="378">
        <f>IF(Table_NFI[[#This Row],[Winter Clothes Adult]]+Table_NFI[[#This Row],[Winter Clothes Children]]+Table_NFI[[#This Row],[Winter Items Other]]+Table_NFI[[#This Row],[Winter Blanket]]&gt;0,1,0)</f>
        <v>0</v>
      </c>
      <c r="AN340" s="418">
        <f>IF(NFI_Expiration=1,IF($A340&lt;VLOOKUP(V$5,NFI,5,0),1,0)*Table_NFI[[#This Row],[Jerry Can]],Table_NFI[Jerry Can])</f>
        <v>0</v>
      </c>
      <c r="AO340" s="579" t="str">
        <f>IFERROR(VLOOKUP(Table_NFI[[#This Row],[Camp Name]],CL,2,0),"")</f>
        <v>MMR001CMP027</v>
      </c>
      <c r="AP340" s="574">
        <f ca="1">IF(Table_NFI[[#This Row],[Pcode]]="","",IF(OFFSET(CampList[Opening Date],MATCH(Table_NFI[[#This Row],[Pcode]],CampList[CP_Pcode],0)-1,0,1,1)&gt;=NFI_Monitor_Date,1,0))</f>
        <v>0</v>
      </c>
      <c r="AQ340" s="579" t="str">
        <f>IFERROR(VLOOKUP(Table_NFI[[#This Row],[Camp Name]],CL,3,0),"")</f>
        <v>Open</v>
      </c>
      <c r="AR340" s="378" t="str">
        <f ca="1">IF(Table_NFI[[#This Row],[Pcode]]="","",OFFSET(CampList[Priority],MATCH(Table_NFI[[#This Row],[Pcode]],CampList[CP_Pcode],0)-1,0,1,1))</f>
        <v>P4</v>
      </c>
      <c r="AS340" s="377">
        <f>IFERROR(Table_NFI[[#This Row],[Kitchen Set]]/VLOOKUP(Table_NFI[[#This Row],[Camp Name]],CL,4,0),"")</f>
        <v>1.0909090909090908</v>
      </c>
      <c r="AT340" s="572" t="s">
        <v>1095</v>
      </c>
      <c r="AU340" s="575"/>
    </row>
    <row r="341" spans="1:47" s="576" customFormat="1" x14ac:dyDescent="0.25">
      <c r="A341" s="381">
        <f t="shared" si="5"/>
        <v>40.56666666666667</v>
      </c>
      <c r="B341" s="571">
        <v>41305</v>
      </c>
      <c r="C341" s="572" t="s">
        <v>571</v>
      </c>
      <c r="D341" s="573" t="s">
        <v>571</v>
      </c>
      <c r="E341" s="572" t="s">
        <v>380</v>
      </c>
      <c r="F341" s="374" t="s">
        <v>310</v>
      </c>
      <c r="G341" s="374" t="s">
        <v>320</v>
      </c>
      <c r="H341" s="375"/>
      <c r="I341" s="375"/>
      <c r="J341" s="375"/>
      <c r="K341" s="375"/>
      <c r="L341" s="376"/>
      <c r="M341" s="376">
        <v>42</v>
      </c>
      <c r="N341" s="376"/>
      <c r="O341" s="376"/>
      <c r="P341" s="378">
        <v>0</v>
      </c>
      <c r="Q341" s="378">
        <v>0</v>
      </c>
      <c r="R341" s="378"/>
      <c r="S341" s="378"/>
      <c r="T341" s="378"/>
      <c r="U341" s="378"/>
      <c r="V341" s="533"/>
      <c r="W341" s="378"/>
      <c r="X341" s="378"/>
      <c r="Y341" s="378">
        <f>IF(NFI_Expiration=1,IF($A341&lt;VLOOKUP(H$5,NFI,5,0),1,0)*Table_NFI[[#This Row],[Hygiene Kit]],Table_NFI[Hygiene Kit])</f>
        <v>0</v>
      </c>
      <c r="Z341" s="378">
        <f>IF(NFI_Expiration=1,IF($A341&lt;VLOOKUP(I$5,NFI,5,0),1,0)*Table_NFI[[#This Row],[NFI Core Kit]],Table_NFI[NFI Core Kit])</f>
        <v>0</v>
      </c>
      <c r="AA341" s="378">
        <f>IF(NFI_Expiration=1,IF($A341&lt;VLOOKUP(J$5,NFI,5,0),1,0)*Table_NFI[[#This Row],[Sanitary Kit]],Table_NFI[Sanitary Kit])</f>
        <v>0</v>
      </c>
      <c r="AB341" s="378">
        <f>IF(NFI_Expiration=1,IF($A341&lt;VLOOKUP(K$5,NFI,5,0),1,0)*Table_NFI[[#This Row],[Mosquito net]],Table_NFI[Mosquito net])</f>
        <v>0</v>
      </c>
      <c r="AC341" s="378">
        <f>IF(NFI_Expiration=1,IF($A341&lt;VLOOKUP(L$5,NFI,5,0),1,0)*Table_NFI[[#This Row],[Tarpaulin]],Table_NFI[[#This Row],[Tarpaulin]])</f>
        <v>0</v>
      </c>
      <c r="AD341" s="378">
        <f>IF(NFI_Expiration=1,IF($A341&lt;VLOOKUP(M$5,NFI,5,0),1,0)*Table_NFI[[#This Row],[Blanket]],Table_NFI[[#This Row],[Blanket]])</f>
        <v>0</v>
      </c>
      <c r="AE341" s="378">
        <f>IF(NFI_Expiration=1,IF($A341&lt;VLOOKUP(N$5,NFI,5,0),1,0)*Table_NFI[[#This Row],[Kitchen Set]],Table_NFI[Kitchen Set])</f>
        <v>0</v>
      </c>
      <c r="AF341" s="378">
        <f>IF(NFI_Expiration=1,IF($A341&lt;VLOOKUP(O$5,NFI,5,0),1,0)*Table_NFI[[#This Row],[Clothes Kit]],Table_NFI[Clothes Kit])</f>
        <v>0</v>
      </c>
      <c r="AG341" s="378">
        <f>IF(NFI_Expiration=1,IF($A341&lt;VLOOKUP(P$5,NFI,5,0),1,0)*Table_NFI[[#This Row],[Plastic Bucket]],Table_NFI[Plastic Bucket])</f>
        <v>0</v>
      </c>
      <c r="AH341" s="378">
        <f>IF(NFI_Expiration=1,IF($A341&lt;VLOOKUP(Q$5,NFI,5,0),1,0)*Table_NFI[[#This Row],[Plastic Mat]],Table_NFI[Plastic Mat])*IF(Table_NFI[[#This Row],[Distribution Date]]&gt;"2014-04-01",1,2.5)</f>
        <v>0</v>
      </c>
      <c r="AI341" s="378">
        <f>IF(NFI_Expiration=1,IF($A341&lt;VLOOKUP(R$5,NFI,5,0),1,0)*Table_NFI[[#This Row],[Winter Clothes Adult]],Table_NFI[Winter Clothes Adult])</f>
        <v>0</v>
      </c>
      <c r="AJ341" s="378">
        <f>IF(NFI_Expiration=1,IF($A341&lt;VLOOKUP(S$5,NFI,5,0),1,0)*Table_NFI[[#This Row],[Winter Clothes Children]],Table_NFI[Winter Clothes Children])</f>
        <v>0</v>
      </c>
      <c r="AK341" s="378">
        <f>IF(NFI_Expiration=1,IF($A341&lt;VLOOKUP(T$5,NFI,5,0),1,0)*Table_NFI[[#This Row],[Winter Items Other]],Table_NFI[Winter Items Other])</f>
        <v>0</v>
      </c>
      <c r="AL341" s="378">
        <f>IF(NFI_Expiration=1,IF($A341&lt;VLOOKUP(M$5,NFI,5,0),1,0)*Table_NFI[[#This Row],[Winter Blanket]],Table_NFI[[#This Row],[Winter Blanket]])</f>
        <v>0</v>
      </c>
      <c r="AM341" s="378">
        <f>IF(Table_NFI[[#This Row],[Winter Clothes Adult]]+Table_NFI[[#This Row],[Winter Clothes Children]]+Table_NFI[[#This Row],[Winter Items Other]]+Table_NFI[[#This Row],[Winter Blanket]]&gt;0,1,0)</f>
        <v>0</v>
      </c>
      <c r="AN341" s="418">
        <f>IF(NFI_Expiration=1,IF($A341&lt;VLOOKUP(V$5,NFI,5,0),1,0)*Table_NFI[[#This Row],[Jerry Can]],Table_NFI[Jerry Can])</f>
        <v>0</v>
      </c>
      <c r="AO341" s="579" t="str">
        <f>IFERROR(VLOOKUP(Table_NFI[[#This Row],[Camp Name]],CL,2,0),"")</f>
        <v>MMR001CMP027</v>
      </c>
      <c r="AP341" s="574">
        <f ca="1">IF(Table_NFI[[#This Row],[Pcode]]="","",IF(OFFSET(CampList[Opening Date],MATCH(Table_NFI[[#This Row],[Pcode]],CampList[CP_Pcode],0)-1,0,1,1)&gt;=NFI_Monitor_Date,1,0))</f>
        <v>0</v>
      </c>
      <c r="AQ341" s="579" t="str">
        <f>IFERROR(VLOOKUP(Table_NFI[[#This Row],[Camp Name]],CL,3,0),"")</f>
        <v>Open</v>
      </c>
      <c r="AR341" s="378" t="str">
        <f ca="1">IF(Table_NFI[[#This Row],[Pcode]]="","",OFFSET(CampList[Priority],MATCH(Table_NFI[[#This Row],[Pcode]],CampList[CP_Pcode],0)-1,0,1,1))</f>
        <v>P4</v>
      </c>
      <c r="AS341" s="377">
        <f>IFERROR(Table_NFI[[#This Row],[Kitchen Set]]/VLOOKUP(Table_NFI[[#This Row],[Camp Name]],CL,4,0),"")</f>
        <v>0</v>
      </c>
      <c r="AT341" s="572" t="s">
        <v>1095</v>
      </c>
      <c r="AU341" s="575"/>
    </row>
    <row r="342" spans="1:47" s="576" customFormat="1" x14ac:dyDescent="0.25">
      <c r="A342" s="381">
        <f t="shared" si="5"/>
        <v>41.6</v>
      </c>
      <c r="B342" s="571">
        <v>41274</v>
      </c>
      <c r="C342" s="572" t="s">
        <v>455</v>
      </c>
      <c r="D342" s="572" t="s">
        <v>455</v>
      </c>
      <c r="E342" s="572" t="s">
        <v>380</v>
      </c>
      <c r="F342" s="374" t="s">
        <v>310</v>
      </c>
      <c r="G342" s="374" t="s">
        <v>320</v>
      </c>
      <c r="H342" s="375">
        <v>23</v>
      </c>
      <c r="I342" s="375"/>
      <c r="J342" s="375"/>
      <c r="K342" s="375"/>
      <c r="L342" s="376"/>
      <c r="M342" s="376"/>
      <c r="N342" s="376"/>
      <c r="O342" s="376"/>
      <c r="P342" s="378">
        <v>0</v>
      </c>
      <c r="Q342" s="378">
        <v>0</v>
      </c>
      <c r="R342" s="378"/>
      <c r="S342" s="378"/>
      <c r="T342" s="378"/>
      <c r="U342" s="378"/>
      <c r="V342" s="533"/>
      <c r="W342" s="378"/>
      <c r="X342" s="378"/>
      <c r="Y342" s="378">
        <f>IF(NFI_Expiration=1,IF($A342&lt;VLOOKUP(H$5,NFI,5,0),1,0)*Table_NFI[[#This Row],[Hygiene Kit]],Table_NFI[Hygiene Kit])</f>
        <v>0</v>
      </c>
      <c r="Z342" s="378">
        <f>IF(NFI_Expiration=1,IF($A342&lt;VLOOKUP(I$5,NFI,5,0),1,0)*Table_NFI[[#This Row],[NFI Core Kit]],Table_NFI[NFI Core Kit])</f>
        <v>0</v>
      </c>
      <c r="AA342" s="378">
        <f>IF(NFI_Expiration=1,IF($A342&lt;VLOOKUP(J$5,NFI,5,0),1,0)*Table_NFI[[#This Row],[Sanitary Kit]],Table_NFI[Sanitary Kit])</f>
        <v>0</v>
      </c>
      <c r="AB342" s="378">
        <f>IF(NFI_Expiration=1,IF($A342&lt;VLOOKUP(K$5,NFI,5,0),1,0)*Table_NFI[[#This Row],[Mosquito net]],Table_NFI[Mosquito net])</f>
        <v>0</v>
      </c>
      <c r="AC342" s="378">
        <f>IF(NFI_Expiration=1,IF($A342&lt;VLOOKUP(L$5,NFI,5,0),1,0)*Table_NFI[[#This Row],[Tarpaulin]],Table_NFI[[#This Row],[Tarpaulin]])</f>
        <v>0</v>
      </c>
      <c r="AD342" s="378">
        <f>IF(NFI_Expiration=1,IF($A342&lt;VLOOKUP(M$5,NFI,5,0),1,0)*Table_NFI[[#This Row],[Blanket]],Table_NFI[[#This Row],[Blanket]])</f>
        <v>0</v>
      </c>
      <c r="AE342" s="378">
        <f>IF(NFI_Expiration=1,IF($A342&lt;VLOOKUP(N$5,NFI,5,0),1,0)*Table_NFI[[#This Row],[Kitchen Set]],Table_NFI[Kitchen Set])</f>
        <v>0</v>
      </c>
      <c r="AF342" s="378">
        <f>IF(NFI_Expiration=1,IF($A342&lt;VLOOKUP(O$5,NFI,5,0),1,0)*Table_NFI[[#This Row],[Clothes Kit]],Table_NFI[Clothes Kit])</f>
        <v>0</v>
      </c>
      <c r="AG342" s="378">
        <f>IF(NFI_Expiration=1,IF($A342&lt;VLOOKUP(P$5,NFI,5,0),1,0)*Table_NFI[[#This Row],[Plastic Bucket]],Table_NFI[Plastic Bucket])</f>
        <v>0</v>
      </c>
      <c r="AH342" s="378">
        <f>IF(NFI_Expiration=1,IF($A342&lt;VLOOKUP(Q$5,NFI,5,0),1,0)*Table_NFI[[#This Row],[Plastic Mat]],Table_NFI[Plastic Mat])*IF(Table_NFI[[#This Row],[Distribution Date]]&gt;"2014-04-01",1,2.5)</f>
        <v>0</v>
      </c>
      <c r="AI342" s="378">
        <f>IF(NFI_Expiration=1,IF($A342&lt;VLOOKUP(R$5,NFI,5,0),1,0)*Table_NFI[[#This Row],[Winter Clothes Adult]],Table_NFI[Winter Clothes Adult])</f>
        <v>0</v>
      </c>
      <c r="AJ342" s="378">
        <f>IF(NFI_Expiration=1,IF($A342&lt;VLOOKUP(S$5,NFI,5,0),1,0)*Table_NFI[[#This Row],[Winter Clothes Children]],Table_NFI[Winter Clothes Children])</f>
        <v>0</v>
      </c>
      <c r="AK342" s="378">
        <f>IF(NFI_Expiration=1,IF($A342&lt;VLOOKUP(T$5,NFI,5,0),1,0)*Table_NFI[[#This Row],[Winter Items Other]],Table_NFI[Winter Items Other])</f>
        <v>0</v>
      </c>
      <c r="AL342" s="378">
        <f>IF(NFI_Expiration=1,IF($A342&lt;VLOOKUP(M$5,NFI,5,0),1,0)*Table_NFI[[#This Row],[Winter Blanket]],Table_NFI[[#This Row],[Winter Blanket]])</f>
        <v>0</v>
      </c>
      <c r="AM342" s="378">
        <f>IF(Table_NFI[[#This Row],[Winter Clothes Adult]]+Table_NFI[[#This Row],[Winter Clothes Children]]+Table_NFI[[#This Row],[Winter Items Other]]+Table_NFI[[#This Row],[Winter Blanket]]&gt;0,1,0)</f>
        <v>0</v>
      </c>
      <c r="AN342" s="418">
        <f>IF(NFI_Expiration=1,IF($A342&lt;VLOOKUP(V$5,NFI,5,0),1,0)*Table_NFI[[#This Row],[Jerry Can]],Table_NFI[Jerry Can])</f>
        <v>0</v>
      </c>
      <c r="AO342" s="579" t="str">
        <f>IFERROR(VLOOKUP(Table_NFI[[#This Row],[Camp Name]],CL,2,0),"")</f>
        <v>MMR001CMP027</v>
      </c>
      <c r="AP342" s="574">
        <f ca="1">IF(Table_NFI[[#This Row],[Pcode]]="","",IF(OFFSET(CampList[Opening Date],MATCH(Table_NFI[[#This Row],[Pcode]],CampList[CP_Pcode],0)-1,0,1,1)&gt;=NFI_Monitor_Date,1,0))</f>
        <v>0</v>
      </c>
      <c r="AQ342" s="579" t="str">
        <f>IFERROR(VLOOKUP(Table_NFI[[#This Row],[Camp Name]],CL,3,0),"")</f>
        <v>Open</v>
      </c>
      <c r="AR342" s="378" t="str">
        <f ca="1">IF(Table_NFI[[#This Row],[Pcode]]="","",OFFSET(CampList[Priority],MATCH(Table_NFI[[#This Row],[Pcode]],CampList[CP_Pcode],0)-1,0,1,1))</f>
        <v>P4</v>
      </c>
      <c r="AS342" s="377">
        <f>IFERROR(Table_NFI[[#This Row],[Kitchen Set]]/VLOOKUP(Table_NFI[[#This Row],[Camp Name]],CL,4,0),"")</f>
        <v>0</v>
      </c>
      <c r="AT342" s="572" t="s">
        <v>1095</v>
      </c>
      <c r="AU342" s="575"/>
    </row>
    <row r="343" spans="1:47" s="576" customFormat="1" x14ac:dyDescent="0.25">
      <c r="A343" s="381">
        <f t="shared" si="5"/>
        <v>20.3</v>
      </c>
      <c r="B343" s="571">
        <v>41913</v>
      </c>
      <c r="C343" s="572" t="s">
        <v>454</v>
      </c>
      <c r="D343" s="577" t="s">
        <v>508</v>
      </c>
      <c r="E343" s="577" t="s">
        <v>380</v>
      </c>
      <c r="F343" s="577" t="s">
        <v>310</v>
      </c>
      <c r="G343" s="577" t="s">
        <v>322</v>
      </c>
      <c r="H343" s="376"/>
      <c r="I343" s="376"/>
      <c r="J343" s="376"/>
      <c r="K343" s="376">
        <v>1248</v>
      </c>
      <c r="L343" s="376"/>
      <c r="M343" s="376"/>
      <c r="N343" s="376"/>
      <c r="O343" s="376"/>
      <c r="P343" s="378"/>
      <c r="Q343" s="378"/>
      <c r="R343" s="378"/>
      <c r="S343" s="378"/>
      <c r="T343" s="378"/>
      <c r="U343" s="378">
        <v>1248</v>
      </c>
      <c r="V343" s="533"/>
      <c r="W343" s="378"/>
      <c r="X343" s="378"/>
      <c r="Y343" s="378">
        <f>IF(NFI_Expiration=1,IF($A343&lt;VLOOKUP(H$5,NFI,5,0),1,0)*Table_NFI[[#This Row],[Hygiene Kit]],Table_NFI[Hygiene Kit])</f>
        <v>0</v>
      </c>
      <c r="Z343" s="378">
        <f>IF(NFI_Expiration=1,IF($A343&lt;VLOOKUP(I$5,NFI,5,0),1,0)*Table_NFI[[#This Row],[NFI Core Kit]],Table_NFI[NFI Core Kit])</f>
        <v>0</v>
      </c>
      <c r="AA343" s="378">
        <f>IF(NFI_Expiration=1,IF($A343&lt;VLOOKUP(J$5,NFI,5,0),1,0)*Table_NFI[[#This Row],[Sanitary Kit]],Table_NFI[Sanitary Kit])</f>
        <v>0</v>
      </c>
      <c r="AB343" s="378">
        <f>IF(NFI_Expiration=1,IF($A343&lt;VLOOKUP(K$5,NFI,5,0),1,0)*Table_NFI[[#This Row],[Mosquito net]],Table_NFI[Mosquito net])</f>
        <v>0</v>
      </c>
      <c r="AC343" s="378">
        <f>IF(NFI_Expiration=1,IF($A343&lt;VLOOKUP(L$5,NFI,5,0),1,0)*Table_NFI[[#This Row],[Tarpaulin]],Table_NFI[[#This Row],[Tarpaulin]])</f>
        <v>0</v>
      </c>
      <c r="AD343" s="378">
        <f>IF(NFI_Expiration=1,IF($A343&lt;VLOOKUP(M$5,NFI,5,0),1,0)*Table_NFI[[#This Row],[Blanket]],Table_NFI[[#This Row],[Blanket]])</f>
        <v>0</v>
      </c>
      <c r="AE343" s="378">
        <f>IF(NFI_Expiration=1,IF($A343&lt;VLOOKUP(N$5,NFI,5,0),1,0)*Table_NFI[[#This Row],[Kitchen Set]],Table_NFI[Kitchen Set])</f>
        <v>0</v>
      </c>
      <c r="AF343" s="378">
        <f>IF(NFI_Expiration=1,IF($A343&lt;VLOOKUP(O$5,NFI,5,0),1,0)*Table_NFI[[#This Row],[Clothes Kit]],Table_NFI[Clothes Kit])</f>
        <v>0</v>
      </c>
      <c r="AG343" s="378">
        <f>IF(NFI_Expiration=1,IF($A343&lt;VLOOKUP(P$5,NFI,5,0),1,0)*Table_NFI[[#This Row],[Plastic Bucket]],Table_NFI[Plastic Bucket])</f>
        <v>0</v>
      </c>
      <c r="AH343" s="378">
        <f>IF(NFI_Expiration=1,IF($A343&lt;VLOOKUP(Q$5,NFI,5,0),1,0)*Table_NFI[[#This Row],[Plastic Mat]],Table_NFI[Plastic Mat])*IF(Table_NFI[[#This Row],[Distribution Date]]&gt;"2014-04-01",1,2.5)</f>
        <v>0</v>
      </c>
      <c r="AI343" s="378">
        <f>IF(NFI_Expiration=1,IF($A343&lt;VLOOKUP(R$5,NFI,5,0),1,0)*Table_NFI[[#This Row],[Winter Clothes Adult]],Table_NFI[Winter Clothes Adult])</f>
        <v>0</v>
      </c>
      <c r="AJ343" s="378">
        <f>IF(NFI_Expiration=1,IF($A343&lt;VLOOKUP(S$5,NFI,5,0),1,0)*Table_NFI[[#This Row],[Winter Clothes Children]],Table_NFI[Winter Clothes Children])</f>
        <v>0</v>
      </c>
      <c r="AK343" s="378">
        <f>IF(NFI_Expiration=1,IF($A343&lt;VLOOKUP(T$5,NFI,5,0),1,0)*Table_NFI[[#This Row],[Winter Items Other]],Table_NFI[Winter Items Other])</f>
        <v>0</v>
      </c>
      <c r="AL343" s="378">
        <f>IF(NFI_Expiration=1,IF($A343&lt;VLOOKUP(M$5,NFI,5,0),1,0)*Table_NFI[[#This Row],[Winter Blanket]],Table_NFI[[#This Row],[Winter Blanket]])</f>
        <v>0</v>
      </c>
      <c r="AM343" s="378">
        <f>IF(Table_NFI[[#This Row],[Winter Clothes Adult]]+Table_NFI[[#This Row],[Winter Clothes Children]]+Table_NFI[[#This Row],[Winter Items Other]]+Table_NFI[[#This Row],[Winter Blanket]]&gt;0,1,0)</f>
        <v>1</v>
      </c>
      <c r="AN343" s="418">
        <f>IF(NFI_Expiration=1,IF($A343&lt;VLOOKUP(V$5,NFI,5,0),1,0)*Table_NFI[[#This Row],[Jerry Can]],Table_NFI[Jerry Can])</f>
        <v>0</v>
      </c>
      <c r="AO343" s="579" t="str">
        <f>IFERROR(VLOOKUP(Table_NFI[[#This Row],[Camp Name]],CL,2,0),"")</f>
        <v>MMR001CMP119</v>
      </c>
      <c r="AP343" s="574">
        <f ca="1">IF(Table_NFI[[#This Row],[Pcode]]="","",IF(OFFSET(CampList[Opening Date],MATCH(Table_NFI[[#This Row],[Pcode]],CampList[CP_Pcode],0)-1,0,1,1)&gt;=NFI_Monitor_Date,1,0))</f>
        <v>0</v>
      </c>
      <c r="AQ343" s="579" t="str">
        <f>IFERROR(VLOOKUP(Table_NFI[[#This Row],[Camp Name]],CL,3,0),"")</f>
        <v>Open</v>
      </c>
      <c r="AR343" s="378" t="str">
        <f ca="1">IF(Table_NFI[[#This Row],[Pcode]]="","",OFFSET(CampList[Priority],MATCH(Table_NFI[[#This Row],[Pcode]],CampList[CP_Pcode],0)-1,0,1,1))</f>
        <v>P2</v>
      </c>
      <c r="AS343" s="377">
        <f>IFERROR(Table_NFI[[#This Row],[Kitchen Set]]/VLOOKUP(Table_NFI[[#This Row],[Camp Name]],CL,4,0),"")</f>
        <v>0</v>
      </c>
      <c r="AT343" s="577"/>
      <c r="AU343" s="580"/>
    </row>
    <row r="344" spans="1:47" s="576" customFormat="1" x14ac:dyDescent="0.25">
      <c r="A344" s="381">
        <f t="shared" si="5"/>
        <v>21.3</v>
      </c>
      <c r="B344" s="571">
        <v>41883</v>
      </c>
      <c r="C344" s="577" t="s">
        <v>1039</v>
      </c>
      <c r="D344" s="577"/>
      <c r="E344" s="577" t="s">
        <v>380</v>
      </c>
      <c r="F344" s="577" t="s">
        <v>310</v>
      </c>
      <c r="G344" s="577" t="s">
        <v>322</v>
      </c>
      <c r="H344" s="376"/>
      <c r="I344" s="376"/>
      <c r="J344" s="376"/>
      <c r="K344" s="376"/>
      <c r="L344" s="376"/>
      <c r="M344" s="376"/>
      <c r="N344" s="376"/>
      <c r="O344" s="376"/>
      <c r="P344" s="378"/>
      <c r="Q344" s="378"/>
      <c r="R344" s="378"/>
      <c r="S344" s="378">
        <v>917</v>
      </c>
      <c r="T344" s="378"/>
      <c r="U344" s="378"/>
      <c r="V344" s="533"/>
      <c r="W344" s="378"/>
      <c r="X344" s="378"/>
      <c r="Y344" s="378">
        <f>IF(NFI_Expiration=1,IF($A344&lt;VLOOKUP(H$5,NFI,5,0),1,0)*Table_NFI[[#This Row],[Hygiene Kit]],Table_NFI[Hygiene Kit])</f>
        <v>0</v>
      </c>
      <c r="Z344" s="378">
        <f>IF(NFI_Expiration=1,IF($A344&lt;VLOOKUP(I$5,NFI,5,0),1,0)*Table_NFI[[#This Row],[NFI Core Kit]],Table_NFI[NFI Core Kit])</f>
        <v>0</v>
      </c>
      <c r="AA344" s="378">
        <f>IF(NFI_Expiration=1,IF($A344&lt;VLOOKUP(J$5,NFI,5,0),1,0)*Table_NFI[[#This Row],[Sanitary Kit]],Table_NFI[Sanitary Kit])</f>
        <v>0</v>
      </c>
      <c r="AB344" s="378">
        <f>IF(NFI_Expiration=1,IF($A344&lt;VLOOKUP(K$5,NFI,5,0),1,0)*Table_NFI[[#This Row],[Mosquito net]],Table_NFI[Mosquito net])</f>
        <v>0</v>
      </c>
      <c r="AC344" s="378">
        <f>IF(NFI_Expiration=1,IF($A344&lt;VLOOKUP(L$5,NFI,5,0),1,0)*Table_NFI[[#This Row],[Tarpaulin]],Table_NFI[[#This Row],[Tarpaulin]])</f>
        <v>0</v>
      </c>
      <c r="AD344" s="378">
        <f>IF(NFI_Expiration=1,IF($A344&lt;VLOOKUP(M$5,NFI,5,0),1,0)*Table_NFI[[#This Row],[Blanket]],Table_NFI[[#This Row],[Blanket]])</f>
        <v>0</v>
      </c>
      <c r="AE344" s="378">
        <f>IF(NFI_Expiration=1,IF($A344&lt;VLOOKUP(N$5,NFI,5,0),1,0)*Table_NFI[[#This Row],[Kitchen Set]],Table_NFI[Kitchen Set])</f>
        <v>0</v>
      </c>
      <c r="AF344" s="378">
        <f>IF(NFI_Expiration=1,IF($A344&lt;VLOOKUP(O$5,NFI,5,0),1,0)*Table_NFI[[#This Row],[Clothes Kit]],Table_NFI[Clothes Kit])</f>
        <v>0</v>
      </c>
      <c r="AG344" s="378">
        <f>IF(NFI_Expiration=1,IF($A344&lt;VLOOKUP(P$5,NFI,5,0),1,0)*Table_NFI[[#This Row],[Plastic Bucket]],Table_NFI[Plastic Bucket])</f>
        <v>0</v>
      </c>
      <c r="AH344" s="378">
        <f>IF(NFI_Expiration=1,IF($A344&lt;VLOOKUP(Q$5,NFI,5,0),1,0)*Table_NFI[[#This Row],[Plastic Mat]],Table_NFI[Plastic Mat])*IF(Table_NFI[[#This Row],[Distribution Date]]&gt;"2014-04-01",1,2.5)</f>
        <v>0</v>
      </c>
      <c r="AI344" s="378">
        <f>IF(NFI_Expiration=1,IF($A344&lt;VLOOKUP(R$5,NFI,5,0),1,0)*Table_NFI[[#This Row],[Winter Clothes Adult]],Table_NFI[Winter Clothes Adult])</f>
        <v>0</v>
      </c>
      <c r="AJ344" s="378">
        <f>IF(NFI_Expiration=1,IF($A344&lt;VLOOKUP(S$5,NFI,5,0),1,0)*Table_NFI[[#This Row],[Winter Clothes Children]],Table_NFI[Winter Clothes Children])</f>
        <v>0</v>
      </c>
      <c r="AK344" s="378">
        <f>IF(NFI_Expiration=1,IF($A344&lt;VLOOKUP(T$5,NFI,5,0),1,0)*Table_NFI[[#This Row],[Winter Items Other]],Table_NFI[Winter Items Other])</f>
        <v>0</v>
      </c>
      <c r="AL344" s="378">
        <f>IF(NFI_Expiration=1,IF($A344&lt;VLOOKUP(M$5,NFI,5,0),1,0)*Table_NFI[[#This Row],[Winter Blanket]],Table_NFI[[#This Row],[Winter Blanket]])</f>
        <v>0</v>
      </c>
      <c r="AM344" s="378">
        <f>IF(Table_NFI[[#This Row],[Winter Clothes Adult]]+Table_NFI[[#This Row],[Winter Clothes Children]]+Table_NFI[[#This Row],[Winter Items Other]]+Table_NFI[[#This Row],[Winter Blanket]]&gt;0,1,0)</f>
        <v>1</v>
      </c>
      <c r="AN344" s="418">
        <f>IF(NFI_Expiration=1,IF($A344&lt;VLOOKUP(V$5,NFI,5,0),1,0)*Table_NFI[[#This Row],[Jerry Can]],Table_NFI[Jerry Can])</f>
        <v>0</v>
      </c>
      <c r="AO344" s="579" t="str">
        <f>IFERROR(VLOOKUP(Table_NFI[[#This Row],[Camp Name]],CL,2,0),"")</f>
        <v>MMR001CMP119</v>
      </c>
      <c r="AP344" s="574">
        <f ca="1">IF(Table_NFI[[#This Row],[Pcode]]="","",IF(OFFSET(CampList[Opening Date],MATCH(Table_NFI[[#This Row],[Pcode]],CampList[CP_Pcode],0)-1,0,1,1)&gt;=NFI_Monitor_Date,1,0))</f>
        <v>0</v>
      </c>
      <c r="AQ344" s="579" t="str">
        <f>IFERROR(VLOOKUP(Table_NFI[[#This Row],[Camp Name]],CL,3,0),"")</f>
        <v>Open</v>
      </c>
      <c r="AR344" s="378" t="str">
        <f ca="1">IF(Table_NFI[[#This Row],[Pcode]]="","",OFFSET(CampList[Priority],MATCH(Table_NFI[[#This Row],[Pcode]],CampList[CP_Pcode],0)-1,0,1,1))</f>
        <v>P2</v>
      </c>
      <c r="AS344" s="377">
        <f>IFERROR(Table_NFI[[#This Row],[Kitchen Set]]/VLOOKUP(Table_NFI[[#This Row],[Camp Name]],CL,4,0),"")</f>
        <v>0</v>
      </c>
      <c r="AT344" s="577"/>
      <c r="AU344" s="580"/>
    </row>
    <row r="345" spans="1:47" s="576" customFormat="1" x14ac:dyDescent="0.25">
      <c r="A345" s="381">
        <f t="shared" si="5"/>
        <v>28.766666666666666</v>
      </c>
      <c r="B345" s="571">
        <v>41659</v>
      </c>
      <c r="C345" s="572" t="s">
        <v>455</v>
      </c>
      <c r="D345" s="572" t="s">
        <v>508</v>
      </c>
      <c r="E345" s="572" t="s">
        <v>380</v>
      </c>
      <c r="F345" s="572" t="s">
        <v>310</v>
      </c>
      <c r="G345" s="572" t="s">
        <v>322</v>
      </c>
      <c r="H345" s="375"/>
      <c r="I345" s="375"/>
      <c r="J345" s="375"/>
      <c r="K345" s="375"/>
      <c r="L345" s="376"/>
      <c r="M345" s="376"/>
      <c r="N345" s="376"/>
      <c r="O345" s="376"/>
      <c r="P345" s="378"/>
      <c r="Q345" s="378"/>
      <c r="R345" s="378">
        <v>1497</v>
      </c>
      <c r="S345" s="378">
        <v>925</v>
      </c>
      <c r="T345" s="378"/>
      <c r="U345" s="378"/>
      <c r="V345" s="533"/>
      <c r="W345" s="378"/>
      <c r="X345" s="378"/>
      <c r="Y345" s="378">
        <f>IF(NFI_Expiration=1,IF($A345&lt;VLOOKUP(H$5,NFI,5,0),1,0)*Table_NFI[[#This Row],[Hygiene Kit]],Table_NFI[Hygiene Kit])</f>
        <v>0</v>
      </c>
      <c r="Z345" s="378">
        <f>IF(NFI_Expiration=1,IF($A345&lt;VLOOKUP(I$5,NFI,5,0),1,0)*Table_NFI[[#This Row],[NFI Core Kit]],Table_NFI[NFI Core Kit])</f>
        <v>0</v>
      </c>
      <c r="AA345" s="378">
        <f>IF(NFI_Expiration=1,IF($A345&lt;VLOOKUP(J$5,NFI,5,0),1,0)*Table_NFI[[#This Row],[Sanitary Kit]],Table_NFI[Sanitary Kit])</f>
        <v>0</v>
      </c>
      <c r="AB345" s="378">
        <f>IF(NFI_Expiration=1,IF($A345&lt;VLOOKUP(K$5,NFI,5,0),1,0)*Table_NFI[[#This Row],[Mosquito net]],Table_NFI[Mosquito net])</f>
        <v>0</v>
      </c>
      <c r="AC345" s="378">
        <f>IF(NFI_Expiration=1,IF($A345&lt;VLOOKUP(L$5,NFI,5,0),1,0)*Table_NFI[[#This Row],[Tarpaulin]],Table_NFI[[#This Row],[Tarpaulin]])</f>
        <v>0</v>
      </c>
      <c r="AD345" s="378">
        <f>IF(NFI_Expiration=1,IF($A345&lt;VLOOKUP(M$5,NFI,5,0),1,0)*Table_NFI[[#This Row],[Blanket]],Table_NFI[[#This Row],[Blanket]])</f>
        <v>0</v>
      </c>
      <c r="AE345" s="378">
        <f>IF(NFI_Expiration=1,IF($A345&lt;VLOOKUP(N$5,NFI,5,0),1,0)*Table_NFI[[#This Row],[Kitchen Set]],Table_NFI[Kitchen Set])</f>
        <v>0</v>
      </c>
      <c r="AF345" s="378">
        <f>IF(NFI_Expiration=1,IF($A345&lt;VLOOKUP(O$5,NFI,5,0),1,0)*Table_NFI[[#This Row],[Clothes Kit]],Table_NFI[Clothes Kit])</f>
        <v>0</v>
      </c>
      <c r="AG345" s="378">
        <f>IF(NFI_Expiration=1,IF($A345&lt;VLOOKUP(P$5,NFI,5,0),1,0)*Table_NFI[[#This Row],[Plastic Bucket]],Table_NFI[Plastic Bucket])</f>
        <v>0</v>
      </c>
      <c r="AH345" s="378">
        <f>IF(NFI_Expiration=1,IF($A345&lt;VLOOKUP(Q$5,NFI,5,0),1,0)*Table_NFI[[#This Row],[Plastic Mat]],Table_NFI[Plastic Mat])*IF(Table_NFI[[#This Row],[Distribution Date]]&gt;"2014-04-01",1,2.5)</f>
        <v>0</v>
      </c>
      <c r="AI345" s="378">
        <f>IF(NFI_Expiration=1,IF($A345&lt;VLOOKUP(R$5,NFI,5,0),1,0)*Table_NFI[[#This Row],[Winter Clothes Adult]],Table_NFI[Winter Clothes Adult])</f>
        <v>0</v>
      </c>
      <c r="AJ345" s="378">
        <f>IF(NFI_Expiration=1,IF($A345&lt;VLOOKUP(S$5,NFI,5,0),1,0)*Table_NFI[[#This Row],[Winter Clothes Children]],Table_NFI[Winter Clothes Children])</f>
        <v>0</v>
      </c>
      <c r="AK345" s="378">
        <f>IF(NFI_Expiration=1,IF($A345&lt;VLOOKUP(T$5,NFI,5,0),1,0)*Table_NFI[[#This Row],[Winter Items Other]],Table_NFI[Winter Items Other])</f>
        <v>0</v>
      </c>
      <c r="AL345" s="378">
        <f>IF(NFI_Expiration=1,IF($A345&lt;VLOOKUP(M$5,NFI,5,0),1,0)*Table_NFI[[#This Row],[Winter Blanket]],Table_NFI[[#This Row],[Winter Blanket]])</f>
        <v>0</v>
      </c>
      <c r="AM345" s="378">
        <f>IF(Table_NFI[[#This Row],[Winter Clothes Adult]]+Table_NFI[[#This Row],[Winter Clothes Children]]+Table_NFI[[#This Row],[Winter Items Other]]+Table_NFI[[#This Row],[Winter Blanket]]&gt;0,1,0)</f>
        <v>1</v>
      </c>
      <c r="AN345" s="418">
        <f>IF(NFI_Expiration=1,IF($A345&lt;VLOOKUP(V$5,NFI,5,0),1,0)*Table_NFI[[#This Row],[Jerry Can]],Table_NFI[Jerry Can])</f>
        <v>0</v>
      </c>
      <c r="AO345" s="579" t="str">
        <f>IFERROR(VLOOKUP(Table_NFI[[#This Row],[Camp Name]],CL,2,0),"")</f>
        <v>MMR001CMP119</v>
      </c>
      <c r="AP345" s="574">
        <f ca="1">IF(Table_NFI[[#This Row],[Pcode]]="","",IF(OFFSET(CampList[Opening Date],MATCH(Table_NFI[[#This Row],[Pcode]],CampList[CP_Pcode],0)-1,0,1,1)&gt;=NFI_Monitor_Date,1,0))</f>
        <v>0</v>
      </c>
      <c r="AQ345" s="579" t="str">
        <f>IFERROR(VLOOKUP(Table_NFI[[#This Row],[Camp Name]],CL,3,0),"")</f>
        <v>Open</v>
      </c>
      <c r="AR345" s="378" t="str">
        <f ca="1">IF(Table_NFI[[#This Row],[Pcode]]="","",OFFSET(CampList[Priority],MATCH(Table_NFI[[#This Row],[Pcode]],CampList[CP_Pcode],0)-1,0,1,1))</f>
        <v>P2</v>
      </c>
      <c r="AS345" s="377">
        <f>IFERROR(Table_NFI[[#This Row],[Kitchen Set]]/VLOOKUP(Table_NFI[[#This Row],[Camp Name]],CL,4,0),"")</f>
        <v>0</v>
      </c>
      <c r="AT345" s="572" t="s">
        <v>1095</v>
      </c>
      <c r="AU345" s="575"/>
    </row>
    <row r="346" spans="1:47" s="576" customFormat="1" x14ac:dyDescent="0.25">
      <c r="A346" s="381">
        <f t="shared" si="5"/>
        <v>28.9</v>
      </c>
      <c r="B346" s="571">
        <v>41655</v>
      </c>
      <c r="C346" s="572" t="s">
        <v>455</v>
      </c>
      <c r="D346" s="572" t="s">
        <v>508</v>
      </c>
      <c r="E346" s="572" t="s">
        <v>380</v>
      </c>
      <c r="F346" s="572" t="s">
        <v>310</v>
      </c>
      <c r="G346" s="572" t="s">
        <v>322</v>
      </c>
      <c r="H346" s="375"/>
      <c r="I346" s="375"/>
      <c r="J346" s="375"/>
      <c r="K346" s="375"/>
      <c r="L346" s="376"/>
      <c r="M346" s="376"/>
      <c r="N346" s="376"/>
      <c r="O346" s="376">
        <v>600</v>
      </c>
      <c r="P346" s="378"/>
      <c r="Q346" s="378"/>
      <c r="R346" s="378"/>
      <c r="S346" s="378"/>
      <c r="T346" s="378"/>
      <c r="U346" s="378"/>
      <c r="V346" s="533"/>
      <c r="W346" s="378"/>
      <c r="X346" s="378"/>
      <c r="Y346" s="378">
        <f>IF(NFI_Expiration=1,IF($A346&lt;VLOOKUP(H$5,NFI,5,0),1,0)*Table_NFI[[#This Row],[Hygiene Kit]],Table_NFI[Hygiene Kit])</f>
        <v>0</v>
      </c>
      <c r="Z346" s="378">
        <f>IF(NFI_Expiration=1,IF($A346&lt;VLOOKUP(I$5,NFI,5,0),1,0)*Table_NFI[[#This Row],[NFI Core Kit]],Table_NFI[NFI Core Kit])</f>
        <v>0</v>
      </c>
      <c r="AA346" s="378">
        <f>IF(NFI_Expiration=1,IF($A346&lt;VLOOKUP(J$5,NFI,5,0),1,0)*Table_NFI[[#This Row],[Sanitary Kit]],Table_NFI[Sanitary Kit])</f>
        <v>0</v>
      </c>
      <c r="AB346" s="378">
        <f>IF(NFI_Expiration=1,IF($A346&lt;VLOOKUP(K$5,NFI,5,0),1,0)*Table_NFI[[#This Row],[Mosquito net]],Table_NFI[Mosquito net])</f>
        <v>0</v>
      </c>
      <c r="AC346" s="378">
        <f>IF(NFI_Expiration=1,IF($A346&lt;VLOOKUP(L$5,NFI,5,0),1,0)*Table_NFI[[#This Row],[Tarpaulin]],Table_NFI[[#This Row],[Tarpaulin]])</f>
        <v>0</v>
      </c>
      <c r="AD346" s="378">
        <f>IF(NFI_Expiration=1,IF($A346&lt;VLOOKUP(M$5,NFI,5,0),1,0)*Table_NFI[[#This Row],[Blanket]],Table_NFI[[#This Row],[Blanket]])</f>
        <v>0</v>
      </c>
      <c r="AE346" s="378">
        <f>IF(NFI_Expiration=1,IF($A346&lt;VLOOKUP(N$5,NFI,5,0),1,0)*Table_NFI[[#This Row],[Kitchen Set]],Table_NFI[Kitchen Set])</f>
        <v>0</v>
      </c>
      <c r="AF346" s="378">
        <f>IF(NFI_Expiration=1,IF($A346&lt;VLOOKUP(O$5,NFI,5,0),1,0)*Table_NFI[[#This Row],[Clothes Kit]],Table_NFI[Clothes Kit])</f>
        <v>0</v>
      </c>
      <c r="AG346" s="378">
        <f>IF(NFI_Expiration=1,IF($A346&lt;VLOOKUP(P$5,NFI,5,0),1,0)*Table_NFI[[#This Row],[Plastic Bucket]],Table_NFI[Plastic Bucket])</f>
        <v>0</v>
      </c>
      <c r="AH346" s="378">
        <f>IF(NFI_Expiration=1,IF($A346&lt;VLOOKUP(Q$5,NFI,5,0),1,0)*Table_NFI[[#This Row],[Plastic Mat]],Table_NFI[Plastic Mat])*IF(Table_NFI[[#This Row],[Distribution Date]]&gt;"2014-04-01",1,2.5)</f>
        <v>0</v>
      </c>
      <c r="AI346" s="378">
        <f>IF(NFI_Expiration=1,IF($A346&lt;VLOOKUP(R$5,NFI,5,0),1,0)*Table_NFI[[#This Row],[Winter Clothes Adult]],Table_NFI[Winter Clothes Adult])</f>
        <v>0</v>
      </c>
      <c r="AJ346" s="378">
        <f>IF(NFI_Expiration=1,IF($A346&lt;VLOOKUP(S$5,NFI,5,0),1,0)*Table_NFI[[#This Row],[Winter Clothes Children]],Table_NFI[Winter Clothes Children])</f>
        <v>0</v>
      </c>
      <c r="AK346" s="378">
        <f>IF(NFI_Expiration=1,IF($A346&lt;VLOOKUP(T$5,NFI,5,0),1,0)*Table_NFI[[#This Row],[Winter Items Other]],Table_NFI[Winter Items Other])</f>
        <v>0</v>
      </c>
      <c r="AL346" s="378">
        <f>IF(NFI_Expiration=1,IF($A346&lt;VLOOKUP(M$5,NFI,5,0),1,0)*Table_NFI[[#This Row],[Winter Blanket]],Table_NFI[[#This Row],[Winter Blanket]])</f>
        <v>0</v>
      </c>
      <c r="AM346" s="378">
        <f>IF(Table_NFI[[#This Row],[Winter Clothes Adult]]+Table_NFI[[#This Row],[Winter Clothes Children]]+Table_NFI[[#This Row],[Winter Items Other]]+Table_NFI[[#This Row],[Winter Blanket]]&gt;0,1,0)</f>
        <v>0</v>
      </c>
      <c r="AN346" s="418">
        <f>IF(NFI_Expiration=1,IF($A346&lt;VLOOKUP(V$5,NFI,5,0),1,0)*Table_NFI[[#This Row],[Jerry Can]],Table_NFI[Jerry Can])</f>
        <v>0</v>
      </c>
      <c r="AO346" s="579" t="str">
        <f>IFERROR(VLOOKUP(Table_NFI[[#This Row],[Camp Name]],CL,2,0),"")</f>
        <v>MMR001CMP119</v>
      </c>
      <c r="AP346" s="574">
        <f ca="1">IF(Table_NFI[[#This Row],[Pcode]]="","",IF(OFFSET(CampList[Opening Date],MATCH(Table_NFI[[#This Row],[Pcode]],CampList[CP_Pcode],0)-1,0,1,1)&gt;=NFI_Monitor_Date,1,0))</f>
        <v>0</v>
      </c>
      <c r="AQ346" s="579" t="str">
        <f>IFERROR(VLOOKUP(Table_NFI[[#This Row],[Camp Name]],CL,3,0),"")</f>
        <v>Open</v>
      </c>
      <c r="AR346" s="378" t="str">
        <f ca="1">IF(Table_NFI[[#This Row],[Pcode]]="","",OFFSET(CampList[Priority],MATCH(Table_NFI[[#This Row],[Pcode]],CampList[CP_Pcode],0)-1,0,1,1))</f>
        <v>P2</v>
      </c>
      <c r="AS346" s="377">
        <f>IFERROR(Table_NFI[[#This Row],[Kitchen Set]]/VLOOKUP(Table_NFI[[#This Row],[Camp Name]],CL,4,0),"")</f>
        <v>0</v>
      </c>
      <c r="AT346" s="572" t="s">
        <v>1095</v>
      </c>
      <c r="AU346" s="575"/>
    </row>
    <row r="347" spans="1:47" s="576" customFormat="1" x14ac:dyDescent="0.25">
      <c r="A347" s="381">
        <f t="shared" si="5"/>
        <v>30.466666666666665</v>
      </c>
      <c r="B347" s="571">
        <v>41608</v>
      </c>
      <c r="C347" s="572" t="s">
        <v>908</v>
      </c>
      <c r="D347" s="572" t="s">
        <v>462</v>
      </c>
      <c r="E347" s="572" t="s">
        <v>380</v>
      </c>
      <c r="F347" s="374" t="s">
        <v>310</v>
      </c>
      <c r="G347" s="374" t="s">
        <v>322</v>
      </c>
      <c r="H347" s="375"/>
      <c r="I347" s="375"/>
      <c r="J347" s="375"/>
      <c r="K347" s="375"/>
      <c r="L347" s="376"/>
      <c r="M347" s="376"/>
      <c r="N347" s="376"/>
      <c r="O347" s="376"/>
      <c r="P347" s="378"/>
      <c r="Q347" s="378"/>
      <c r="R347" s="378"/>
      <c r="S347" s="378"/>
      <c r="T347" s="378"/>
      <c r="U347" s="378"/>
      <c r="V347" s="533"/>
      <c r="W347" s="378"/>
      <c r="X347" s="378"/>
      <c r="Y347" s="378">
        <f>IF(NFI_Expiration=1,IF($A347&lt;VLOOKUP(H$5,NFI,5,0),1,0)*Table_NFI[[#This Row],[Hygiene Kit]],Table_NFI[Hygiene Kit])</f>
        <v>0</v>
      </c>
      <c r="Z347" s="378">
        <f>IF(NFI_Expiration=1,IF($A347&lt;VLOOKUP(I$5,NFI,5,0),1,0)*Table_NFI[[#This Row],[NFI Core Kit]],Table_NFI[NFI Core Kit])</f>
        <v>0</v>
      </c>
      <c r="AA347" s="378">
        <f>IF(NFI_Expiration=1,IF($A347&lt;VLOOKUP(J$5,NFI,5,0),1,0)*Table_NFI[[#This Row],[Sanitary Kit]],Table_NFI[Sanitary Kit])</f>
        <v>0</v>
      </c>
      <c r="AB347" s="378">
        <f>IF(NFI_Expiration=1,IF($A347&lt;VLOOKUP(K$5,NFI,5,0),1,0)*Table_NFI[[#This Row],[Mosquito net]],Table_NFI[Mosquito net])</f>
        <v>0</v>
      </c>
      <c r="AC347" s="378">
        <f>IF(NFI_Expiration=1,IF($A347&lt;VLOOKUP(L$5,NFI,5,0),1,0)*Table_NFI[[#This Row],[Tarpaulin]],Table_NFI[[#This Row],[Tarpaulin]])</f>
        <v>0</v>
      </c>
      <c r="AD347" s="378">
        <f>IF(NFI_Expiration=1,IF($A347&lt;VLOOKUP(M$5,NFI,5,0),1,0)*Table_NFI[[#This Row],[Blanket]],Table_NFI[[#This Row],[Blanket]])</f>
        <v>0</v>
      </c>
      <c r="AE347" s="378">
        <f>IF(NFI_Expiration=1,IF($A347&lt;VLOOKUP(N$5,NFI,5,0),1,0)*Table_NFI[[#This Row],[Kitchen Set]],Table_NFI[Kitchen Set])</f>
        <v>0</v>
      </c>
      <c r="AF347" s="378">
        <f>IF(NFI_Expiration=1,IF($A347&lt;VLOOKUP(O$5,NFI,5,0),1,0)*Table_NFI[[#This Row],[Clothes Kit]],Table_NFI[Clothes Kit])</f>
        <v>0</v>
      </c>
      <c r="AG347" s="378">
        <f>IF(NFI_Expiration=1,IF($A347&lt;VLOOKUP(P$5,NFI,5,0),1,0)*Table_NFI[[#This Row],[Plastic Bucket]],Table_NFI[Plastic Bucket])</f>
        <v>0</v>
      </c>
      <c r="AH347" s="378">
        <f>IF(NFI_Expiration=1,IF($A347&lt;VLOOKUP(Q$5,NFI,5,0),1,0)*Table_NFI[[#This Row],[Plastic Mat]],Table_NFI[Plastic Mat])*IF(Table_NFI[[#This Row],[Distribution Date]]&gt;"2014-04-01",1,2.5)</f>
        <v>0</v>
      </c>
      <c r="AI347" s="378">
        <f>IF(NFI_Expiration=1,IF($A347&lt;VLOOKUP(R$5,NFI,5,0),1,0)*Table_NFI[[#This Row],[Winter Clothes Adult]],Table_NFI[Winter Clothes Adult])</f>
        <v>0</v>
      </c>
      <c r="AJ347" s="378">
        <f>IF(NFI_Expiration=1,IF($A347&lt;VLOOKUP(S$5,NFI,5,0),1,0)*Table_NFI[[#This Row],[Winter Clothes Children]],Table_NFI[Winter Clothes Children])</f>
        <v>0</v>
      </c>
      <c r="AK347" s="378">
        <f>IF(NFI_Expiration=1,IF($A347&lt;VLOOKUP(T$5,NFI,5,0),1,0)*Table_NFI[[#This Row],[Winter Items Other]],Table_NFI[Winter Items Other])</f>
        <v>0</v>
      </c>
      <c r="AL347" s="378">
        <f>IF(NFI_Expiration=1,IF($A347&lt;VLOOKUP(M$5,NFI,5,0),1,0)*Table_NFI[[#This Row],[Winter Blanket]],Table_NFI[[#This Row],[Winter Blanket]])</f>
        <v>0</v>
      </c>
      <c r="AM347" s="378">
        <f>IF(Table_NFI[[#This Row],[Winter Clothes Adult]]+Table_NFI[[#This Row],[Winter Clothes Children]]+Table_NFI[[#This Row],[Winter Items Other]]+Table_NFI[[#This Row],[Winter Blanket]]&gt;0,1,0)</f>
        <v>0</v>
      </c>
      <c r="AN347" s="418">
        <f>IF(NFI_Expiration=1,IF($A347&lt;VLOOKUP(V$5,NFI,5,0),1,0)*Table_NFI[[#This Row],[Jerry Can]],Table_NFI[Jerry Can])</f>
        <v>0</v>
      </c>
      <c r="AO347" s="579" t="str">
        <f>IFERROR(VLOOKUP(Table_NFI[[#This Row],[Camp Name]],CL,2,0),"")</f>
        <v>MMR001CMP119</v>
      </c>
      <c r="AP347" s="574">
        <f ca="1">IF(Table_NFI[[#This Row],[Pcode]]="","",IF(OFFSET(CampList[Opening Date],MATCH(Table_NFI[[#This Row],[Pcode]],CampList[CP_Pcode],0)-1,0,1,1)&gt;=NFI_Monitor_Date,1,0))</f>
        <v>0</v>
      </c>
      <c r="AQ347" s="579" t="str">
        <f>IFERROR(VLOOKUP(Table_NFI[[#This Row],[Camp Name]],CL,3,0),"")</f>
        <v>Open</v>
      </c>
      <c r="AR347" s="378" t="str">
        <f ca="1">IF(Table_NFI[[#This Row],[Pcode]]="","",OFFSET(CampList[Priority],MATCH(Table_NFI[[#This Row],[Pcode]],CampList[CP_Pcode],0)-1,0,1,1))</f>
        <v>P2</v>
      </c>
      <c r="AS347" s="377">
        <f>IFERROR(Table_NFI[[#This Row],[Kitchen Set]]/VLOOKUP(Table_NFI[[#This Row],[Camp Name]],CL,4,0),"")</f>
        <v>0</v>
      </c>
      <c r="AT347" s="572" t="s">
        <v>1095</v>
      </c>
      <c r="AU347" s="575"/>
    </row>
    <row r="348" spans="1:47" s="576" customFormat="1" x14ac:dyDescent="0.25">
      <c r="A348" s="381">
        <f t="shared" si="5"/>
        <v>30.833333333333332</v>
      </c>
      <c r="B348" s="571">
        <v>41597</v>
      </c>
      <c r="C348" s="572" t="s">
        <v>908</v>
      </c>
      <c r="D348" s="572" t="s">
        <v>462</v>
      </c>
      <c r="E348" s="572" t="s">
        <v>380</v>
      </c>
      <c r="F348" s="572" t="s">
        <v>310</v>
      </c>
      <c r="G348" s="572" t="s">
        <v>322</v>
      </c>
      <c r="H348" s="375"/>
      <c r="I348" s="375"/>
      <c r="J348" s="375"/>
      <c r="K348" s="375"/>
      <c r="L348" s="376"/>
      <c r="M348" s="376"/>
      <c r="N348" s="376"/>
      <c r="O348" s="376"/>
      <c r="P348" s="378"/>
      <c r="Q348" s="378"/>
      <c r="R348" s="378">
        <v>613</v>
      </c>
      <c r="S348" s="378">
        <v>1226</v>
      </c>
      <c r="T348" s="378">
        <v>3678</v>
      </c>
      <c r="U348" s="378">
        <v>1839</v>
      </c>
      <c r="V348" s="533"/>
      <c r="W348" s="378"/>
      <c r="X348" s="378"/>
      <c r="Y348" s="378">
        <f>IF(NFI_Expiration=1,IF($A348&lt;VLOOKUP(H$5,NFI,5,0),1,0)*Table_NFI[[#This Row],[Hygiene Kit]],Table_NFI[Hygiene Kit])</f>
        <v>0</v>
      </c>
      <c r="Z348" s="378">
        <f>IF(NFI_Expiration=1,IF($A348&lt;VLOOKUP(I$5,NFI,5,0),1,0)*Table_NFI[[#This Row],[NFI Core Kit]],Table_NFI[NFI Core Kit])</f>
        <v>0</v>
      </c>
      <c r="AA348" s="378">
        <f>IF(NFI_Expiration=1,IF($A348&lt;VLOOKUP(J$5,NFI,5,0),1,0)*Table_NFI[[#This Row],[Sanitary Kit]],Table_NFI[Sanitary Kit])</f>
        <v>0</v>
      </c>
      <c r="AB348" s="378">
        <f>IF(NFI_Expiration=1,IF($A348&lt;VLOOKUP(K$5,NFI,5,0),1,0)*Table_NFI[[#This Row],[Mosquito net]],Table_NFI[Mosquito net])</f>
        <v>0</v>
      </c>
      <c r="AC348" s="378">
        <f>IF(NFI_Expiration=1,IF($A348&lt;VLOOKUP(L$5,NFI,5,0),1,0)*Table_NFI[[#This Row],[Tarpaulin]],Table_NFI[[#This Row],[Tarpaulin]])</f>
        <v>0</v>
      </c>
      <c r="AD348" s="378">
        <f>IF(NFI_Expiration=1,IF($A348&lt;VLOOKUP(M$5,NFI,5,0),1,0)*Table_NFI[[#This Row],[Blanket]],Table_NFI[[#This Row],[Blanket]])</f>
        <v>0</v>
      </c>
      <c r="AE348" s="378">
        <f>IF(NFI_Expiration=1,IF($A348&lt;VLOOKUP(N$5,NFI,5,0),1,0)*Table_NFI[[#This Row],[Kitchen Set]],Table_NFI[Kitchen Set])</f>
        <v>0</v>
      </c>
      <c r="AF348" s="378">
        <f>IF(NFI_Expiration=1,IF($A348&lt;VLOOKUP(O$5,NFI,5,0),1,0)*Table_NFI[[#This Row],[Clothes Kit]],Table_NFI[Clothes Kit])</f>
        <v>0</v>
      </c>
      <c r="AG348" s="378">
        <f>IF(NFI_Expiration=1,IF($A348&lt;VLOOKUP(P$5,NFI,5,0),1,0)*Table_NFI[[#This Row],[Plastic Bucket]],Table_NFI[Plastic Bucket])</f>
        <v>0</v>
      </c>
      <c r="AH348" s="378">
        <f>IF(NFI_Expiration=1,IF($A348&lt;VLOOKUP(Q$5,NFI,5,0),1,0)*Table_NFI[[#This Row],[Plastic Mat]],Table_NFI[Plastic Mat])*IF(Table_NFI[[#This Row],[Distribution Date]]&gt;"2014-04-01",1,2.5)</f>
        <v>0</v>
      </c>
      <c r="AI348" s="378">
        <f>IF(NFI_Expiration=1,IF($A348&lt;VLOOKUP(R$5,NFI,5,0),1,0)*Table_NFI[[#This Row],[Winter Clothes Adult]],Table_NFI[Winter Clothes Adult])</f>
        <v>0</v>
      </c>
      <c r="AJ348" s="378">
        <f>IF(NFI_Expiration=1,IF($A348&lt;VLOOKUP(S$5,NFI,5,0),1,0)*Table_NFI[[#This Row],[Winter Clothes Children]],Table_NFI[Winter Clothes Children])</f>
        <v>0</v>
      </c>
      <c r="AK348" s="378">
        <f>IF(NFI_Expiration=1,IF($A348&lt;VLOOKUP(T$5,NFI,5,0),1,0)*Table_NFI[[#This Row],[Winter Items Other]],Table_NFI[Winter Items Other])</f>
        <v>0</v>
      </c>
      <c r="AL348" s="378">
        <f>IF(NFI_Expiration=1,IF($A348&lt;VLOOKUP(M$5,NFI,5,0),1,0)*Table_NFI[[#This Row],[Winter Blanket]],Table_NFI[[#This Row],[Winter Blanket]])</f>
        <v>0</v>
      </c>
      <c r="AM348" s="378">
        <f>IF(Table_NFI[[#This Row],[Winter Clothes Adult]]+Table_NFI[[#This Row],[Winter Clothes Children]]+Table_NFI[[#This Row],[Winter Items Other]]+Table_NFI[[#This Row],[Winter Blanket]]&gt;0,1,0)</f>
        <v>1</v>
      </c>
      <c r="AN348" s="418">
        <f>IF(NFI_Expiration=1,IF($A348&lt;VLOOKUP(V$5,NFI,5,0),1,0)*Table_NFI[[#This Row],[Jerry Can]],Table_NFI[Jerry Can])</f>
        <v>0</v>
      </c>
      <c r="AO348" s="579" t="str">
        <f>IFERROR(VLOOKUP(Table_NFI[[#This Row],[Camp Name]],CL,2,0),"")</f>
        <v>MMR001CMP119</v>
      </c>
      <c r="AP348" s="574">
        <f ca="1">IF(Table_NFI[[#This Row],[Pcode]]="","",IF(OFFSET(CampList[Opening Date],MATCH(Table_NFI[[#This Row],[Pcode]],CampList[CP_Pcode],0)-1,0,1,1)&gt;=NFI_Monitor_Date,1,0))</f>
        <v>0</v>
      </c>
      <c r="AQ348" s="579" t="str">
        <f>IFERROR(VLOOKUP(Table_NFI[[#This Row],[Camp Name]],CL,3,0),"")</f>
        <v>Open</v>
      </c>
      <c r="AR348" s="378" t="str">
        <f ca="1">IF(Table_NFI[[#This Row],[Pcode]]="","",OFFSET(CampList[Priority],MATCH(Table_NFI[[#This Row],[Pcode]],CampList[CP_Pcode],0)-1,0,1,1))</f>
        <v>P2</v>
      </c>
      <c r="AS348" s="377">
        <f>IFERROR(Table_NFI[[#This Row],[Kitchen Set]]/VLOOKUP(Table_NFI[[#This Row],[Camp Name]],CL,4,0),"")</f>
        <v>0</v>
      </c>
      <c r="AT348" s="572"/>
      <c r="AU348" s="575"/>
    </row>
    <row r="349" spans="1:47" s="576" customFormat="1" x14ac:dyDescent="0.25">
      <c r="A349" s="381">
        <f t="shared" si="5"/>
        <v>47.4</v>
      </c>
      <c r="B349" s="571">
        <v>41100</v>
      </c>
      <c r="C349" s="572" t="s">
        <v>454</v>
      </c>
      <c r="D349" s="573" t="s">
        <v>508</v>
      </c>
      <c r="E349" s="572" t="s">
        <v>380</v>
      </c>
      <c r="F349" s="374" t="s">
        <v>310</v>
      </c>
      <c r="G349" s="374" t="s">
        <v>322</v>
      </c>
      <c r="H349" s="375"/>
      <c r="I349" s="375"/>
      <c r="J349" s="375"/>
      <c r="K349" s="375">
        <v>0</v>
      </c>
      <c r="L349" s="376">
        <v>599</v>
      </c>
      <c r="M349" s="376">
        <v>675</v>
      </c>
      <c r="N349" s="376">
        <v>599</v>
      </c>
      <c r="O349" s="376">
        <v>0</v>
      </c>
      <c r="P349" s="378"/>
      <c r="Q349" s="378"/>
      <c r="R349" s="378"/>
      <c r="S349" s="378"/>
      <c r="T349" s="378"/>
      <c r="U349" s="378"/>
      <c r="V349" s="533"/>
      <c r="W349" s="378"/>
      <c r="X349" s="378"/>
      <c r="Y349" s="378">
        <f>IF(NFI_Expiration=1,IF($A349&lt;VLOOKUP(H$5,NFI,5,0),1,0)*Table_NFI[[#This Row],[Hygiene Kit]],Table_NFI[Hygiene Kit])</f>
        <v>0</v>
      </c>
      <c r="Z349" s="378">
        <f>IF(NFI_Expiration=1,IF($A349&lt;VLOOKUP(I$5,NFI,5,0),1,0)*Table_NFI[[#This Row],[NFI Core Kit]],Table_NFI[NFI Core Kit])</f>
        <v>0</v>
      </c>
      <c r="AA349" s="378">
        <f>IF(NFI_Expiration=1,IF($A349&lt;VLOOKUP(J$5,NFI,5,0),1,0)*Table_NFI[[#This Row],[Sanitary Kit]],Table_NFI[Sanitary Kit])</f>
        <v>0</v>
      </c>
      <c r="AB349" s="378">
        <f>IF(NFI_Expiration=1,IF($A349&lt;VLOOKUP(K$5,NFI,5,0),1,0)*Table_NFI[[#This Row],[Mosquito net]],Table_NFI[Mosquito net])</f>
        <v>0</v>
      </c>
      <c r="AC349" s="378">
        <f>IF(NFI_Expiration=1,IF($A349&lt;VLOOKUP(L$5,NFI,5,0),1,0)*Table_NFI[[#This Row],[Tarpaulin]],Table_NFI[[#This Row],[Tarpaulin]])</f>
        <v>0</v>
      </c>
      <c r="AD349" s="378">
        <f>IF(NFI_Expiration=1,IF($A349&lt;VLOOKUP(M$5,NFI,5,0),1,0)*Table_NFI[[#This Row],[Blanket]],Table_NFI[[#This Row],[Blanket]])</f>
        <v>0</v>
      </c>
      <c r="AE349" s="378">
        <f>IF(NFI_Expiration=1,IF($A349&lt;VLOOKUP(N$5,NFI,5,0),1,0)*Table_NFI[[#This Row],[Kitchen Set]],Table_NFI[Kitchen Set])</f>
        <v>0</v>
      </c>
      <c r="AF349" s="378">
        <f>IF(NFI_Expiration=1,IF($A349&lt;VLOOKUP(O$5,NFI,5,0),1,0)*Table_NFI[[#This Row],[Clothes Kit]],Table_NFI[Clothes Kit])</f>
        <v>0</v>
      </c>
      <c r="AG349" s="378">
        <f>IF(NFI_Expiration=1,IF($A349&lt;VLOOKUP(P$5,NFI,5,0),1,0)*Table_NFI[[#This Row],[Plastic Bucket]],Table_NFI[Plastic Bucket])</f>
        <v>0</v>
      </c>
      <c r="AH349" s="378">
        <f>IF(NFI_Expiration=1,IF($A349&lt;VLOOKUP(Q$5,NFI,5,0),1,0)*Table_NFI[[#This Row],[Plastic Mat]],Table_NFI[Plastic Mat])*IF(Table_NFI[[#This Row],[Distribution Date]]&gt;"2014-04-01",1,2.5)</f>
        <v>0</v>
      </c>
      <c r="AI349" s="378">
        <f>IF(NFI_Expiration=1,IF($A349&lt;VLOOKUP(R$5,NFI,5,0),1,0)*Table_NFI[[#This Row],[Winter Clothes Adult]],Table_NFI[Winter Clothes Adult])</f>
        <v>0</v>
      </c>
      <c r="AJ349" s="378">
        <f>IF(NFI_Expiration=1,IF($A349&lt;VLOOKUP(S$5,NFI,5,0),1,0)*Table_NFI[[#This Row],[Winter Clothes Children]],Table_NFI[Winter Clothes Children])</f>
        <v>0</v>
      </c>
      <c r="AK349" s="378">
        <f>IF(NFI_Expiration=1,IF($A349&lt;VLOOKUP(T$5,NFI,5,0),1,0)*Table_NFI[[#This Row],[Winter Items Other]],Table_NFI[Winter Items Other])</f>
        <v>0</v>
      </c>
      <c r="AL349" s="378">
        <f>IF(NFI_Expiration=1,IF($A349&lt;VLOOKUP(M$5,NFI,5,0),1,0)*Table_NFI[[#This Row],[Winter Blanket]],Table_NFI[[#This Row],[Winter Blanket]])</f>
        <v>0</v>
      </c>
      <c r="AM349" s="378">
        <f>IF(Table_NFI[[#This Row],[Winter Clothes Adult]]+Table_NFI[[#This Row],[Winter Clothes Children]]+Table_NFI[[#This Row],[Winter Items Other]]+Table_NFI[[#This Row],[Winter Blanket]]&gt;0,1,0)</f>
        <v>0</v>
      </c>
      <c r="AN349" s="418">
        <f>IF(NFI_Expiration=1,IF($A349&lt;VLOOKUP(V$5,NFI,5,0),1,0)*Table_NFI[[#This Row],[Jerry Can]],Table_NFI[Jerry Can])</f>
        <v>0</v>
      </c>
      <c r="AO349" s="579" t="str">
        <f>IFERROR(VLOOKUP(Table_NFI[[#This Row],[Camp Name]],CL,2,0),"")</f>
        <v>MMR001CMP119</v>
      </c>
      <c r="AP349" s="574">
        <f ca="1">IF(Table_NFI[[#This Row],[Pcode]]="","",IF(OFFSET(CampList[Opening Date],MATCH(Table_NFI[[#This Row],[Pcode]],CampList[CP_Pcode],0)-1,0,1,1)&gt;=NFI_Monitor_Date,1,0))</f>
        <v>0</v>
      </c>
      <c r="AQ349" s="579" t="str">
        <f>IFERROR(VLOOKUP(Table_NFI[[#This Row],[Camp Name]],CL,3,0),"")</f>
        <v>Open</v>
      </c>
      <c r="AR349" s="378" t="str">
        <f ca="1">IF(Table_NFI[[#This Row],[Pcode]]="","",OFFSET(CampList[Priority],MATCH(Table_NFI[[#This Row],[Pcode]],CampList[CP_Pcode],0)-1,0,1,1))</f>
        <v>P2</v>
      </c>
      <c r="AS349" s="377">
        <f>IFERROR(Table_NFI[[#This Row],[Kitchen Set]]/VLOOKUP(Table_NFI[[#This Row],[Camp Name]],CL,4,0),"")</f>
        <v>1.0221843003412969</v>
      </c>
      <c r="AT349" s="572" t="s">
        <v>1095</v>
      </c>
      <c r="AU349" s="575"/>
    </row>
    <row r="350" spans="1:47" s="576" customFormat="1" x14ac:dyDescent="0.25">
      <c r="A350" s="381">
        <f t="shared" si="5"/>
        <v>54.4</v>
      </c>
      <c r="B350" s="571">
        <v>40890</v>
      </c>
      <c r="C350" s="572" t="s">
        <v>454</v>
      </c>
      <c r="D350" s="573" t="s">
        <v>574</v>
      </c>
      <c r="E350" s="572" t="s">
        <v>380</v>
      </c>
      <c r="F350" s="374" t="s">
        <v>310</v>
      </c>
      <c r="G350" s="374" t="s">
        <v>322</v>
      </c>
      <c r="H350" s="375"/>
      <c r="I350" s="375"/>
      <c r="J350" s="375"/>
      <c r="K350" s="375">
        <v>250</v>
      </c>
      <c r="L350" s="376">
        <v>125</v>
      </c>
      <c r="M350" s="376">
        <v>250</v>
      </c>
      <c r="N350" s="376">
        <v>125</v>
      </c>
      <c r="O350" s="376">
        <v>125</v>
      </c>
      <c r="P350" s="378">
        <v>125</v>
      </c>
      <c r="Q350" s="378">
        <v>125</v>
      </c>
      <c r="R350" s="378"/>
      <c r="S350" s="378"/>
      <c r="T350" s="378"/>
      <c r="U350" s="378"/>
      <c r="V350" s="533"/>
      <c r="W350" s="378"/>
      <c r="X350" s="378"/>
      <c r="Y350" s="378">
        <f>IF(NFI_Expiration=1,IF($A350&lt;VLOOKUP(H$5,NFI,5,0),1,0)*Table_NFI[[#This Row],[Hygiene Kit]],Table_NFI[Hygiene Kit])</f>
        <v>0</v>
      </c>
      <c r="Z350" s="378">
        <f>IF(NFI_Expiration=1,IF($A350&lt;VLOOKUP(I$5,NFI,5,0),1,0)*Table_NFI[[#This Row],[NFI Core Kit]],Table_NFI[NFI Core Kit])</f>
        <v>0</v>
      </c>
      <c r="AA350" s="378">
        <f>IF(NFI_Expiration=1,IF($A350&lt;VLOOKUP(J$5,NFI,5,0),1,0)*Table_NFI[[#This Row],[Sanitary Kit]],Table_NFI[Sanitary Kit])</f>
        <v>0</v>
      </c>
      <c r="AB350" s="378">
        <f>IF(NFI_Expiration=1,IF($A350&lt;VLOOKUP(K$5,NFI,5,0),1,0)*Table_NFI[[#This Row],[Mosquito net]],Table_NFI[Mosquito net])</f>
        <v>0</v>
      </c>
      <c r="AC350" s="378">
        <f>IF(NFI_Expiration=1,IF($A350&lt;VLOOKUP(L$5,NFI,5,0),1,0)*Table_NFI[[#This Row],[Tarpaulin]],Table_NFI[[#This Row],[Tarpaulin]])</f>
        <v>0</v>
      </c>
      <c r="AD350" s="378">
        <f>IF(NFI_Expiration=1,IF($A350&lt;VLOOKUP(M$5,NFI,5,0),1,0)*Table_NFI[[#This Row],[Blanket]],Table_NFI[[#This Row],[Blanket]])</f>
        <v>0</v>
      </c>
      <c r="AE350" s="378">
        <f>IF(NFI_Expiration=1,IF($A350&lt;VLOOKUP(N$5,NFI,5,0),1,0)*Table_NFI[[#This Row],[Kitchen Set]],Table_NFI[Kitchen Set])</f>
        <v>0</v>
      </c>
      <c r="AF350" s="378">
        <f>IF(NFI_Expiration=1,IF($A350&lt;VLOOKUP(O$5,NFI,5,0),1,0)*Table_NFI[[#This Row],[Clothes Kit]],Table_NFI[Clothes Kit])</f>
        <v>0</v>
      </c>
      <c r="AG350" s="378">
        <f>IF(NFI_Expiration=1,IF($A350&lt;VLOOKUP(P$5,NFI,5,0),1,0)*Table_NFI[[#This Row],[Plastic Bucket]],Table_NFI[Plastic Bucket])</f>
        <v>0</v>
      </c>
      <c r="AH350" s="378">
        <f>IF(NFI_Expiration=1,IF($A350&lt;VLOOKUP(Q$5,NFI,5,0),1,0)*Table_NFI[[#This Row],[Plastic Mat]],Table_NFI[Plastic Mat])*IF(Table_NFI[[#This Row],[Distribution Date]]&gt;"2014-04-01",1,2.5)</f>
        <v>0</v>
      </c>
      <c r="AI350" s="378">
        <f>IF(NFI_Expiration=1,IF($A350&lt;VLOOKUP(R$5,NFI,5,0),1,0)*Table_NFI[[#This Row],[Winter Clothes Adult]],Table_NFI[Winter Clothes Adult])</f>
        <v>0</v>
      </c>
      <c r="AJ350" s="378">
        <f>IF(NFI_Expiration=1,IF($A350&lt;VLOOKUP(S$5,NFI,5,0),1,0)*Table_NFI[[#This Row],[Winter Clothes Children]],Table_NFI[Winter Clothes Children])</f>
        <v>0</v>
      </c>
      <c r="AK350" s="378">
        <f>IF(NFI_Expiration=1,IF($A350&lt;VLOOKUP(T$5,NFI,5,0),1,0)*Table_NFI[[#This Row],[Winter Items Other]],Table_NFI[Winter Items Other])</f>
        <v>0</v>
      </c>
      <c r="AL350" s="378">
        <f>IF(NFI_Expiration=1,IF($A350&lt;VLOOKUP(M$5,NFI,5,0),1,0)*Table_NFI[[#This Row],[Winter Blanket]],Table_NFI[[#This Row],[Winter Blanket]])</f>
        <v>0</v>
      </c>
      <c r="AM350" s="378">
        <f>IF(Table_NFI[[#This Row],[Winter Clothes Adult]]+Table_NFI[[#This Row],[Winter Clothes Children]]+Table_NFI[[#This Row],[Winter Items Other]]+Table_NFI[[#This Row],[Winter Blanket]]&gt;0,1,0)</f>
        <v>0</v>
      </c>
      <c r="AN350" s="418">
        <f>IF(NFI_Expiration=1,IF($A350&lt;VLOOKUP(V$5,NFI,5,0),1,0)*Table_NFI[[#This Row],[Jerry Can]],Table_NFI[Jerry Can])</f>
        <v>0</v>
      </c>
      <c r="AO350" s="579" t="str">
        <f>IFERROR(VLOOKUP(Table_NFI[[#This Row],[Camp Name]],CL,2,0),"")</f>
        <v>MMR001CMP119</v>
      </c>
      <c r="AP350" s="574">
        <f ca="1">IF(Table_NFI[[#This Row],[Pcode]]="","",IF(OFFSET(CampList[Opening Date],MATCH(Table_NFI[[#This Row],[Pcode]],CampList[CP_Pcode],0)-1,0,1,1)&gt;=NFI_Monitor_Date,1,0))</f>
        <v>0</v>
      </c>
      <c r="AQ350" s="579" t="str">
        <f>IFERROR(VLOOKUP(Table_NFI[[#This Row],[Camp Name]],CL,3,0),"")</f>
        <v>Open</v>
      </c>
      <c r="AR350" s="378" t="str">
        <f ca="1">IF(Table_NFI[[#This Row],[Pcode]]="","",OFFSET(CampList[Priority],MATCH(Table_NFI[[#This Row],[Pcode]],CampList[CP_Pcode],0)-1,0,1,1))</f>
        <v>P2</v>
      </c>
      <c r="AS350" s="377">
        <f>IFERROR(Table_NFI[[#This Row],[Kitchen Set]]/VLOOKUP(Table_NFI[[#This Row],[Camp Name]],CL,4,0),"")</f>
        <v>0.21331058020477817</v>
      </c>
      <c r="AT350" s="572" t="s">
        <v>1095</v>
      </c>
      <c r="AU350" s="575"/>
    </row>
    <row r="351" spans="1:47" s="576" customFormat="1" x14ac:dyDescent="0.25">
      <c r="A351" s="381">
        <f t="shared" si="5"/>
        <v>12.133333333333333</v>
      </c>
      <c r="B351" s="571">
        <v>42158</v>
      </c>
      <c r="C351" s="572" t="s">
        <v>454</v>
      </c>
      <c r="D351" s="572" t="s">
        <v>462</v>
      </c>
      <c r="E351" s="572" t="s">
        <v>380</v>
      </c>
      <c r="F351" s="572" t="s">
        <v>151</v>
      </c>
      <c r="G351" s="374" t="s">
        <v>1354</v>
      </c>
      <c r="H351" s="375"/>
      <c r="I351" s="375"/>
      <c r="J351" s="375"/>
      <c r="K351" s="375">
        <v>6</v>
      </c>
      <c r="L351" s="376">
        <v>12</v>
      </c>
      <c r="M351" s="376">
        <v>24</v>
      </c>
      <c r="N351" s="376">
        <v>3</v>
      </c>
      <c r="O351" s="376"/>
      <c r="P351" s="378">
        <v>3</v>
      </c>
      <c r="Q351" s="378">
        <v>9</v>
      </c>
      <c r="R351" s="378"/>
      <c r="S351" s="378"/>
      <c r="T351" s="378"/>
      <c r="U351" s="378"/>
      <c r="V351" s="533">
        <v>3</v>
      </c>
      <c r="W351" s="378"/>
      <c r="X351" s="378"/>
      <c r="Y351" s="378">
        <f>IF(NFI_Expiration=1,IF($A351&lt;VLOOKUP(H$5,NFI,5,0),1,0)*Table_NFI[[#This Row],[Hygiene Kit]],Table_NFI[Hygiene Kit])</f>
        <v>0</v>
      </c>
      <c r="Z351" s="378">
        <f>IF(NFI_Expiration=1,IF($A351&lt;VLOOKUP(I$5,NFI,5,0),1,0)*Table_NFI[[#This Row],[NFI Core Kit]],Table_NFI[NFI Core Kit])</f>
        <v>0</v>
      </c>
      <c r="AA351" s="378">
        <f>IF(NFI_Expiration=1,IF($A351&lt;VLOOKUP(J$5,NFI,5,0),1,0)*Table_NFI[[#This Row],[Sanitary Kit]],Table_NFI[Sanitary Kit])</f>
        <v>0</v>
      </c>
      <c r="AB351" s="378">
        <f>IF(NFI_Expiration=1,IF($A351&lt;VLOOKUP(K$5,NFI,5,0),1,0)*Table_NFI[[#This Row],[Mosquito net]],Table_NFI[Mosquito net])</f>
        <v>0</v>
      </c>
      <c r="AC351" s="378">
        <f>IF(NFI_Expiration=1,IF($A351&lt;VLOOKUP(L$5,NFI,5,0),1,0)*Table_NFI[[#This Row],[Tarpaulin]],Table_NFI[[#This Row],[Tarpaulin]])</f>
        <v>0</v>
      </c>
      <c r="AD351" s="378">
        <f>IF(NFI_Expiration=1,IF($A351&lt;VLOOKUP(M$5,NFI,5,0),1,0)*Table_NFI[[#This Row],[Blanket]],Table_NFI[[#This Row],[Blanket]])</f>
        <v>0</v>
      </c>
      <c r="AE351" s="378">
        <f>IF(NFI_Expiration=1,IF($A351&lt;VLOOKUP(N$5,NFI,5,0),1,0)*Table_NFI[[#This Row],[Kitchen Set]],Table_NFI[Kitchen Set])</f>
        <v>0</v>
      </c>
      <c r="AF351" s="378">
        <f>IF(NFI_Expiration=1,IF($A351&lt;VLOOKUP(O$5,NFI,5,0),1,0)*Table_NFI[[#This Row],[Clothes Kit]],Table_NFI[Clothes Kit])</f>
        <v>0</v>
      </c>
      <c r="AG351" s="378">
        <f>IF(NFI_Expiration=1,IF($A351&lt;VLOOKUP(P$5,NFI,5,0),1,0)*Table_NFI[[#This Row],[Plastic Bucket]],Table_NFI[Plastic Bucket])</f>
        <v>0</v>
      </c>
      <c r="AH351" s="378">
        <f>IF(NFI_Expiration=1,IF($A351&lt;VLOOKUP(Q$5,NFI,5,0),1,0)*Table_NFI[[#This Row],[Plastic Mat]],Table_NFI[Plastic Mat])*IF(Table_NFI[[#This Row],[Distribution Date]]&gt;"2014-04-01",1,2.5)</f>
        <v>0</v>
      </c>
      <c r="AI351" s="378">
        <f>IF(NFI_Expiration=1,IF($A351&lt;VLOOKUP(R$5,NFI,5,0),1,0)*Table_NFI[[#This Row],[Winter Clothes Adult]],Table_NFI[Winter Clothes Adult])</f>
        <v>0</v>
      </c>
      <c r="AJ351" s="378">
        <f>IF(NFI_Expiration=1,IF($A351&lt;VLOOKUP(S$5,NFI,5,0),1,0)*Table_NFI[[#This Row],[Winter Clothes Children]],Table_NFI[Winter Clothes Children])</f>
        <v>0</v>
      </c>
      <c r="AK351" s="378">
        <f>IF(NFI_Expiration=1,IF($A351&lt;VLOOKUP(T$5,NFI,5,0),1,0)*Table_NFI[[#This Row],[Winter Items Other]],Table_NFI[Winter Items Other])</f>
        <v>0</v>
      </c>
      <c r="AL351" s="378">
        <f>IF(NFI_Expiration=1,IF($A351&lt;VLOOKUP(M$5,NFI,5,0),1,0)*Table_NFI[[#This Row],[Winter Blanket]],Table_NFI[[#This Row],[Winter Blanket]])</f>
        <v>0</v>
      </c>
      <c r="AM351" s="378">
        <f>IF(Table_NFI[[#This Row],[Winter Clothes Adult]]+Table_NFI[[#This Row],[Winter Clothes Children]]+Table_NFI[[#This Row],[Winter Items Other]]+Table_NFI[[#This Row],[Winter Blanket]]&gt;0,1,0)</f>
        <v>0</v>
      </c>
      <c r="AN351" s="418">
        <f>IF(NFI_Expiration=1,IF($A351&lt;VLOOKUP(V$5,NFI,5,0),1,0)*Table_NFI[[#This Row],[Jerry Can]],Table_NFI[Jerry Can])</f>
        <v>0</v>
      </c>
      <c r="AO351" s="579" t="str">
        <f>IFERROR(VLOOKUP(Table_NFI[[#This Row],[Camp Name]],CL,2,0),"")</f>
        <v/>
      </c>
      <c r="AP351" s="574" t="str">
        <f ca="1">IF(Table_NFI[[#This Row],[Pcode]]="","",IF(OFFSET(CampList[Opening Date],MATCH(Table_NFI[[#This Row],[Pcode]],CampList[CP_Pcode],0)-1,0,1,1)&gt;=NFI_Monitor_Date,1,0))</f>
        <v/>
      </c>
      <c r="AQ351" s="579" t="str">
        <f>IFERROR(VLOOKUP(Table_NFI[[#This Row],[Camp Name]],CL,3,0),"")</f>
        <v/>
      </c>
      <c r="AR351" s="378" t="str">
        <f ca="1">IF(Table_NFI[[#This Row],[Pcode]]="","",OFFSET(CampList[Priority],MATCH(Table_NFI[[#This Row],[Pcode]],CampList[CP_Pcode],0)-1,0,1,1))</f>
        <v/>
      </c>
      <c r="AS351" s="377" t="str">
        <f>IFERROR(Table_NFI[[#This Row],[Kitchen Set]]/VLOOKUP(Table_NFI[[#This Row],[Camp Name]],CL,4,0),"")</f>
        <v/>
      </c>
      <c r="AT351" s="572" t="s">
        <v>1095</v>
      </c>
      <c r="AU351" s="575"/>
    </row>
    <row r="352" spans="1:47" s="576" customFormat="1" x14ac:dyDescent="0.25">
      <c r="A352" s="381">
        <f t="shared" si="5"/>
        <v>14</v>
      </c>
      <c r="B352" s="571">
        <v>42102</v>
      </c>
      <c r="C352" s="572" t="s">
        <v>454</v>
      </c>
      <c r="D352" s="572" t="s">
        <v>462</v>
      </c>
      <c r="E352" s="572" t="s">
        <v>380</v>
      </c>
      <c r="F352" s="572" t="s">
        <v>151</v>
      </c>
      <c r="G352" s="572" t="s">
        <v>1354</v>
      </c>
      <c r="H352" s="375"/>
      <c r="I352" s="378"/>
      <c r="J352" s="378"/>
      <c r="K352" s="378">
        <v>8</v>
      </c>
      <c r="L352" s="376">
        <v>4</v>
      </c>
      <c r="M352" s="376"/>
      <c r="N352" s="376">
        <v>4</v>
      </c>
      <c r="O352" s="376"/>
      <c r="P352" s="378">
        <v>4</v>
      </c>
      <c r="Q352" s="378"/>
      <c r="R352" s="378"/>
      <c r="S352" s="378"/>
      <c r="T352" s="378"/>
      <c r="U352" s="378"/>
      <c r="V352" s="533"/>
      <c r="W352" s="378"/>
      <c r="X352" s="378"/>
      <c r="Y352" s="378">
        <f>IF(NFI_Expiration=1,IF($A352&lt;VLOOKUP(H$5,NFI,5,0),1,0)*Table_NFI[[#This Row],[Hygiene Kit]],Table_NFI[Hygiene Kit])</f>
        <v>0</v>
      </c>
      <c r="Z352" s="378">
        <f>IF(NFI_Expiration=1,IF($A352&lt;VLOOKUP(I$5,NFI,5,0),1,0)*Table_NFI[[#This Row],[NFI Core Kit]],Table_NFI[NFI Core Kit])</f>
        <v>0</v>
      </c>
      <c r="AA352" s="378">
        <f>IF(NFI_Expiration=1,IF($A352&lt;VLOOKUP(J$5,NFI,5,0),1,0)*Table_NFI[[#This Row],[Sanitary Kit]],Table_NFI[Sanitary Kit])</f>
        <v>0</v>
      </c>
      <c r="AB352" s="378">
        <f>IF(NFI_Expiration=1,IF($A352&lt;VLOOKUP(K$5,NFI,5,0),1,0)*Table_NFI[[#This Row],[Mosquito net]],Table_NFI[Mosquito net])</f>
        <v>0</v>
      </c>
      <c r="AC352" s="378">
        <f>IF(NFI_Expiration=1,IF($A352&lt;VLOOKUP(L$5,NFI,5,0),1,0)*Table_NFI[[#This Row],[Tarpaulin]],Table_NFI[[#This Row],[Tarpaulin]])</f>
        <v>0</v>
      </c>
      <c r="AD352" s="378">
        <f>IF(NFI_Expiration=1,IF($A352&lt;VLOOKUP(M$5,NFI,5,0),1,0)*Table_NFI[[#This Row],[Blanket]],Table_NFI[[#This Row],[Blanket]])</f>
        <v>0</v>
      </c>
      <c r="AE352" s="378">
        <f>IF(NFI_Expiration=1,IF($A352&lt;VLOOKUP(N$5,NFI,5,0),1,0)*Table_NFI[[#This Row],[Kitchen Set]],Table_NFI[Kitchen Set])</f>
        <v>0</v>
      </c>
      <c r="AF352" s="378">
        <f>IF(NFI_Expiration=1,IF($A352&lt;VLOOKUP(O$5,NFI,5,0),1,0)*Table_NFI[[#This Row],[Clothes Kit]],Table_NFI[Clothes Kit])</f>
        <v>0</v>
      </c>
      <c r="AG352" s="378">
        <f>IF(NFI_Expiration=1,IF($A352&lt;VLOOKUP(P$5,NFI,5,0),1,0)*Table_NFI[[#This Row],[Plastic Bucket]],Table_NFI[Plastic Bucket])</f>
        <v>0</v>
      </c>
      <c r="AH352" s="378">
        <f>IF(NFI_Expiration=1,IF($A352&lt;VLOOKUP(Q$5,NFI,5,0),1,0)*Table_NFI[[#This Row],[Plastic Mat]],Table_NFI[Plastic Mat])*IF(Table_NFI[[#This Row],[Distribution Date]]&gt;"2014-04-01",1,2.5)</f>
        <v>0</v>
      </c>
      <c r="AI352" s="378">
        <f>IF(NFI_Expiration=1,IF($A352&lt;VLOOKUP(R$5,NFI,5,0),1,0)*Table_NFI[[#This Row],[Winter Clothes Adult]],Table_NFI[Winter Clothes Adult])</f>
        <v>0</v>
      </c>
      <c r="AJ352" s="378">
        <f>IF(NFI_Expiration=1,IF($A352&lt;VLOOKUP(S$5,NFI,5,0),1,0)*Table_NFI[[#This Row],[Winter Clothes Children]],Table_NFI[Winter Clothes Children])</f>
        <v>0</v>
      </c>
      <c r="AK352" s="378">
        <f>IF(NFI_Expiration=1,IF($A352&lt;VLOOKUP(T$5,NFI,5,0),1,0)*Table_NFI[[#This Row],[Winter Items Other]],Table_NFI[Winter Items Other])</f>
        <v>0</v>
      </c>
      <c r="AL352" s="378">
        <f>IF(NFI_Expiration=1,IF($A352&lt;VLOOKUP(M$5,NFI,5,0),1,0)*Table_NFI[[#This Row],[Winter Blanket]],Table_NFI[[#This Row],[Winter Blanket]])</f>
        <v>0</v>
      </c>
      <c r="AM352" s="378">
        <f>IF(Table_NFI[[#This Row],[Winter Clothes Adult]]+Table_NFI[[#This Row],[Winter Clothes Children]]+Table_NFI[[#This Row],[Winter Items Other]]+Table_NFI[[#This Row],[Winter Blanket]]&gt;0,1,0)</f>
        <v>0</v>
      </c>
      <c r="AN352" s="418">
        <f>IF(NFI_Expiration=1,IF($A352&lt;VLOOKUP(V$5,NFI,5,0),1,0)*Table_NFI[[#This Row],[Jerry Can]],Table_NFI[Jerry Can])</f>
        <v>0</v>
      </c>
      <c r="AO352" s="579" t="str">
        <f>IFERROR(VLOOKUP(Table_NFI[[#This Row],[Camp Name]],CL,2,0),"")</f>
        <v/>
      </c>
      <c r="AP352" s="574" t="str">
        <f ca="1">IF(Table_NFI[[#This Row],[Pcode]]="","",IF(OFFSET(CampList[Opening Date],MATCH(Table_NFI[[#This Row],[Pcode]],CampList[CP_Pcode],0)-1,0,1,1)&gt;=NFI_Monitor_Date,1,0))</f>
        <v/>
      </c>
      <c r="AQ352" s="579" t="str">
        <f>IFERROR(VLOOKUP(Table_NFI[[#This Row],[Camp Name]],CL,3,0),"")</f>
        <v/>
      </c>
      <c r="AR352" s="378" t="str">
        <f ca="1">IF(Table_NFI[[#This Row],[Pcode]]="","",OFFSET(CampList[Priority],MATCH(Table_NFI[[#This Row],[Pcode]],CampList[CP_Pcode],0)-1,0,1,1))</f>
        <v/>
      </c>
      <c r="AS352" s="377" t="str">
        <f>IFERROR(Table_NFI[[#This Row],[Kitchen Set]]/VLOOKUP(Table_NFI[[#This Row],[Camp Name]],CL,4,0),"")</f>
        <v/>
      </c>
      <c r="AT352" s="572" t="s">
        <v>1095</v>
      </c>
      <c r="AU352" s="601"/>
    </row>
    <row r="353" spans="1:47" s="576" customFormat="1" x14ac:dyDescent="0.25">
      <c r="A353" s="381">
        <f t="shared" si="5"/>
        <v>7.0666666666666664</v>
      </c>
      <c r="B353" s="571">
        <v>42310</v>
      </c>
      <c r="C353" s="572" t="s">
        <v>454</v>
      </c>
      <c r="D353" s="572" t="s">
        <v>462</v>
      </c>
      <c r="E353" s="572" t="s">
        <v>380</v>
      </c>
      <c r="F353" s="572" t="s">
        <v>151</v>
      </c>
      <c r="G353" s="572" t="s">
        <v>1353</v>
      </c>
      <c r="H353" s="375"/>
      <c r="I353" s="378"/>
      <c r="J353" s="378">
        <v>223</v>
      </c>
      <c r="K353" s="378"/>
      <c r="L353" s="376">
        <v>30</v>
      </c>
      <c r="M353" s="376"/>
      <c r="N353" s="376"/>
      <c r="O353" s="376"/>
      <c r="P353" s="378"/>
      <c r="Q353" s="378">
        <v>337</v>
      </c>
      <c r="R353" s="378"/>
      <c r="S353" s="378"/>
      <c r="T353" s="378"/>
      <c r="U353" s="378"/>
      <c r="V353" s="533"/>
      <c r="W353" s="378"/>
      <c r="X353" s="378"/>
      <c r="Y353" s="378">
        <f>IF(NFI_Expiration=1,IF($A353&lt;VLOOKUP(H$5,NFI,5,0),1,0)*Table_NFI[[#This Row],[Hygiene Kit]],Table_NFI[Hygiene Kit])</f>
        <v>0</v>
      </c>
      <c r="Z353" s="378">
        <f>IF(NFI_Expiration=1,IF($A353&lt;VLOOKUP(I$5,NFI,5,0),1,0)*Table_NFI[[#This Row],[NFI Core Kit]],Table_NFI[NFI Core Kit])</f>
        <v>0</v>
      </c>
      <c r="AA353" s="378">
        <f>IF(NFI_Expiration=1,IF($A353&lt;VLOOKUP(J$5,NFI,5,0),1,0)*Table_NFI[[#This Row],[Sanitary Kit]],Table_NFI[Sanitary Kit])</f>
        <v>223</v>
      </c>
      <c r="AB353" s="378">
        <f>IF(NFI_Expiration=1,IF($A353&lt;VLOOKUP(K$5,NFI,5,0),1,0)*Table_NFI[[#This Row],[Mosquito net]],Table_NFI[Mosquito net])</f>
        <v>0</v>
      </c>
      <c r="AC353" s="378">
        <f>IF(NFI_Expiration=1,IF($A353&lt;VLOOKUP(L$5,NFI,5,0),1,0)*Table_NFI[[#This Row],[Tarpaulin]],Table_NFI[[#This Row],[Tarpaulin]])</f>
        <v>30</v>
      </c>
      <c r="AD353" s="378">
        <f>IF(NFI_Expiration=1,IF($A353&lt;VLOOKUP(M$5,NFI,5,0),1,0)*Table_NFI[[#This Row],[Blanket]],Table_NFI[[#This Row],[Blanket]])</f>
        <v>0</v>
      </c>
      <c r="AE353" s="378">
        <f>IF(NFI_Expiration=1,IF($A353&lt;VLOOKUP(N$5,NFI,5,0),1,0)*Table_NFI[[#This Row],[Kitchen Set]],Table_NFI[Kitchen Set])</f>
        <v>0</v>
      </c>
      <c r="AF353" s="378">
        <f>IF(NFI_Expiration=1,IF($A353&lt;VLOOKUP(O$5,NFI,5,0),1,0)*Table_NFI[[#This Row],[Clothes Kit]],Table_NFI[Clothes Kit])</f>
        <v>0</v>
      </c>
      <c r="AG353" s="378">
        <f>IF(NFI_Expiration=1,IF($A353&lt;VLOOKUP(P$5,NFI,5,0),1,0)*Table_NFI[[#This Row],[Plastic Bucket]],Table_NFI[Plastic Bucket])</f>
        <v>0</v>
      </c>
      <c r="AH353" s="378">
        <f>IF(NFI_Expiration=1,IF($A353&lt;VLOOKUP(Q$5,NFI,5,0),1,0)*Table_NFI[[#This Row],[Plastic Mat]],Table_NFI[Plastic Mat])*IF(Table_NFI[[#This Row],[Distribution Date]]&gt;"2014-04-01",1,2.5)</f>
        <v>842.5</v>
      </c>
      <c r="AI353" s="378">
        <f>IF(NFI_Expiration=1,IF($A353&lt;VLOOKUP(R$5,NFI,5,0),1,0)*Table_NFI[[#This Row],[Winter Clothes Adult]],Table_NFI[Winter Clothes Adult])</f>
        <v>0</v>
      </c>
      <c r="AJ353" s="378">
        <f>IF(NFI_Expiration=1,IF($A353&lt;VLOOKUP(S$5,NFI,5,0),1,0)*Table_NFI[[#This Row],[Winter Clothes Children]],Table_NFI[Winter Clothes Children])</f>
        <v>0</v>
      </c>
      <c r="AK353" s="378">
        <f>IF(NFI_Expiration=1,IF($A353&lt;VLOOKUP(T$5,NFI,5,0),1,0)*Table_NFI[[#This Row],[Winter Items Other]],Table_NFI[Winter Items Other])</f>
        <v>0</v>
      </c>
      <c r="AL353" s="378">
        <f>IF(NFI_Expiration=1,IF($A353&lt;VLOOKUP(M$5,NFI,5,0),1,0)*Table_NFI[[#This Row],[Winter Blanket]],Table_NFI[[#This Row],[Winter Blanket]])</f>
        <v>0</v>
      </c>
      <c r="AM353" s="378">
        <f>IF(Table_NFI[[#This Row],[Winter Clothes Adult]]+Table_NFI[[#This Row],[Winter Clothes Children]]+Table_NFI[[#This Row],[Winter Items Other]]+Table_NFI[[#This Row],[Winter Blanket]]&gt;0,1,0)</f>
        <v>0</v>
      </c>
      <c r="AN353" s="418">
        <f>IF(NFI_Expiration=1,IF($A353&lt;VLOOKUP(V$5,NFI,5,0),1,0)*Table_NFI[[#This Row],[Jerry Can]],Table_NFI[Jerry Can])</f>
        <v>0</v>
      </c>
      <c r="AO353" s="579" t="str">
        <f>IFERROR(VLOOKUP(Table_NFI[[#This Row],[Camp Name]],CL,2,0),"")</f>
        <v/>
      </c>
      <c r="AP353" s="574" t="str">
        <f ca="1">IF(Table_NFI[[#This Row],[Pcode]]="","",IF(OFFSET(CampList[Opening Date],MATCH(Table_NFI[[#This Row],[Pcode]],CampList[CP_Pcode],0)-1,0,1,1)&gt;=NFI_Monitor_Date,1,0))</f>
        <v/>
      </c>
      <c r="AQ353" s="579" t="str">
        <f>IFERROR(VLOOKUP(Table_NFI[[#This Row],[Camp Name]],CL,3,0),"")</f>
        <v/>
      </c>
      <c r="AR353" s="378" t="str">
        <f ca="1">IF(Table_NFI[[#This Row],[Pcode]]="","",OFFSET(CampList[Priority],MATCH(Table_NFI[[#This Row],[Pcode]],CampList[CP_Pcode],0)-1,0,1,1))</f>
        <v/>
      </c>
      <c r="AS353" s="377" t="str">
        <f>IFERROR(Table_NFI[[#This Row],[Kitchen Set]]/VLOOKUP(Table_NFI[[#This Row],[Camp Name]],CL,4,0),"")</f>
        <v/>
      </c>
      <c r="AT353" s="572" t="s">
        <v>1095</v>
      </c>
      <c r="AU353" s="601"/>
    </row>
    <row r="354" spans="1:47" s="576" customFormat="1" x14ac:dyDescent="0.25">
      <c r="A354" s="381">
        <f t="shared" si="5"/>
        <v>8.1333333333333329</v>
      </c>
      <c r="B354" s="571">
        <v>42278</v>
      </c>
      <c r="C354" s="572" t="s">
        <v>454</v>
      </c>
      <c r="D354" s="572" t="s">
        <v>462</v>
      </c>
      <c r="E354" s="572" t="s">
        <v>380</v>
      </c>
      <c r="F354" s="572" t="s">
        <v>151</v>
      </c>
      <c r="G354" s="572" t="s">
        <v>1353</v>
      </c>
      <c r="H354" s="375"/>
      <c r="I354" s="378">
        <v>77</v>
      </c>
      <c r="J354" s="378">
        <v>232</v>
      </c>
      <c r="K354" s="378">
        <v>200</v>
      </c>
      <c r="L354" s="376">
        <v>89</v>
      </c>
      <c r="M354" s="376">
        <v>200</v>
      </c>
      <c r="N354" s="376">
        <v>119</v>
      </c>
      <c r="O354" s="376"/>
      <c r="P354" s="378">
        <v>119</v>
      </c>
      <c r="Q354" s="378">
        <v>345</v>
      </c>
      <c r="R354" s="378"/>
      <c r="S354" s="378"/>
      <c r="T354" s="378"/>
      <c r="U354" s="378"/>
      <c r="V354" s="533">
        <v>119</v>
      </c>
      <c r="W354" s="378"/>
      <c r="X354" s="378">
        <v>45</v>
      </c>
      <c r="Y354" s="378">
        <f>IF(NFI_Expiration=1,IF($A354&lt;VLOOKUP(H$5,NFI,5,0),1,0)*Table_NFI[[#This Row],[Hygiene Kit]],Table_NFI[Hygiene Kit])</f>
        <v>0</v>
      </c>
      <c r="Z354" s="378">
        <f>IF(NFI_Expiration=1,IF($A354&lt;VLOOKUP(I$5,NFI,5,0),1,0)*Table_NFI[[#This Row],[NFI Core Kit]],Table_NFI[NFI Core Kit])</f>
        <v>77</v>
      </c>
      <c r="AA354" s="378">
        <f>IF(NFI_Expiration=1,IF($A354&lt;VLOOKUP(J$5,NFI,5,0),1,0)*Table_NFI[[#This Row],[Sanitary Kit]],Table_NFI[Sanitary Kit])</f>
        <v>232</v>
      </c>
      <c r="AB354" s="378">
        <f>IF(NFI_Expiration=1,IF($A354&lt;VLOOKUP(K$5,NFI,5,0),1,0)*Table_NFI[[#This Row],[Mosquito net]],Table_NFI[Mosquito net])</f>
        <v>200</v>
      </c>
      <c r="AC354" s="378">
        <f>IF(NFI_Expiration=1,IF($A354&lt;VLOOKUP(L$5,NFI,5,0),1,0)*Table_NFI[[#This Row],[Tarpaulin]],Table_NFI[[#This Row],[Tarpaulin]])</f>
        <v>89</v>
      </c>
      <c r="AD354" s="378">
        <f>IF(NFI_Expiration=1,IF($A354&lt;VLOOKUP(M$5,NFI,5,0),1,0)*Table_NFI[[#This Row],[Blanket]],Table_NFI[[#This Row],[Blanket]])</f>
        <v>200</v>
      </c>
      <c r="AE354" s="378">
        <f>IF(NFI_Expiration=1,IF($A354&lt;VLOOKUP(N$5,NFI,5,0),1,0)*Table_NFI[[#This Row],[Kitchen Set]],Table_NFI[Kitchen Set])</f>
        <v>119</v>
      </c>
      <c r="AF354" s="378">
        <f>IF(NFI_Expiration=1,IF($A354&lt;VLOOKUP(O$5,NFI,5,0),1,0)*Table_NFI[[#This Row],[Clothes Kit]],Table_NFI[Clothes Kit])</f>
        <v>0</v>
      </c>
      <c r="AG354" s="378">
        <f>IF(NFI_Expiration=1,IF($A354&lt;VLOOKUP(P$5,NFI,5,0),1,0)*Table_NFI[[#This Row],[Plastic Bucket]],Table_NFI[Plastic Bucket])</f>
        <v>119</v>
      </c>
      <c r="AH354" s="378">
        <f>IF(NFI_Expiration=1,IF($A354&lt;VLOOKUP(Q$5,NFI,5,0),1,0)*Table_NFI[[#This Row],[Plastic Mat]],Table_NFI[Plastic Mat])*IF(Table_NFI[[#This Row],[Distribution Date]]&gt;"2014-04-01",1,2.5)</f>
        <v>862.5</v>
      </c>
      <c r="AI354" s="378">
        <f>IF(NFI_Expiration=1,IF($A354&lt;VLOOKUP(R$5,NFI,5,0),1,0)*Table_NFI[[#This Row],[Winter Clothes Adult]],Table_NFI[Winter Clothes Adult])</f>
        <v>0</v>
      </c>
      <c r="AJ354" s="378">
        <f>IF(NFI_Expiration=1,IF($A354&lt;VLOOKUP(S$5,NFI,5,0),1,0)*Table_NFI[[#This Row],[Winter Clothes Children]],Table_NFI[Winter Clothes Children])</f>
        <v>0</v>
      </c>
      <c r="AK354" s="378">
        <f>IF(NFI_Expiration=1,IF($A354&lt;VLOOKUP(T$5,NFI,5,0),1,0)*Table_NFI[[#This Row],[Winter Items Other]],Table_NFI[Winter Items Other])</f>
        <v>0</v>
      </c>
      <c r="AL354" s="378">
        <f>IF(NFI_Expiration=1,IF($A354&lt;VLOOKUP(M$5,NFI,5,0),1,0)*Table_NFI[[#This Row],[Winter Blanket]],Table_NFI[[#This Row],[Winter Blanket]])</f>
        <v>0</v>
      </c>
      <c r="AM354" s="378">
        <f>IF(Table_NFI[[#This Row],[Winter Clothes Adult]]+Table_NFI[[#This Row],[Winter Clothes Children]]+Table_NFI[[#This Row],[Winter Items Other]]+Table_NFI[[#This Row],[Winter Blanket]]&gt;0,1,0)</f>
        <v>0</v>
      </c>
      <c r="AN354" s="418">
        <f>IF(NFI_Expiration=1,IF($A354&lt;VLOOKUP(V$5,NFI,5,0),1,0)*Table_NFI[[#This Row],[Jerry Can]],Table_NFI[Jerry Can])</f>
        <v>119</v>
      </c>
      <c r="AO354" s="579" t="str">
        <f>IFERROR(VLOOKUP(Table_NFI[[#This Row],[Camp Name]],CL,2,0),"")</f>
        <v/>
      </c>
      <c r="AP354" s="574" t="str">
        <f ca="1">IF(Table_NFI[[#This Row],[Pcode]]="","",IF(OFFSET(CampList[Opening Date],MATCH(Table_NFI[[#This Row],[Pcode]],CampList[CP_Pcode],0)-1,0,1,1)&gt;=NFI_Monitor_Date,1,0))</f>
        <v/>
      </c>
      <c r="AQ354" s="579" t="str">
        <f>IFERROR(VLOOKUP(Table_NFI[[#This Row],[Camp Name]],CL,3,0),"")</f>
        <v/>
      </c>
      <c r="AR354" s="378" t="str">
        <f ca="1">IF(Table_NFI[[#This Row],[Pcode]]="","",OFFSET(CampList[Priority],MATCH(Table_NFI[[#This Row],[Pcode]],CampList[CP_Pcode],0)-1,0,1,1))</f>
        <v/>
      </c>
      <c r="AS354" s="377" t="str">
        <f>IFERROR(Table_NFI[[#This Row],[Kitchen Set]]/VLOOKUP(Table_NFI[[#This Row],[Camp Name]],CL,4,0),"")</f>
        <v/>
      </c>
      <c r="AT354" s="572" t="s">
        <v>1095</v>
      </c>
      <c r="AU354" s="601"/>
    </row>
    <row r="355" spans="1:47" s="576" customFormat="1" x14ac:dyDescent="0.25">
      <c r="A355" s="381">
        <f t="shared" si="5"/>
        <v>8.4333333333333336</v>
      </c>
      <c r="B355" s="571">
        <v>42269</v>
      </c>
      <c r="C355" s="572" t="s">
        <v>454</v>
      </c>
      <c r="D355" s="572" t="s">
        <v>462</v>
      </c>
      <c r="E355" s="572" t="s">
        <v>380</v>
      </c>
      <c r="F355" s="572" t="s">
        <v>151</v>
      </c>
      <c r="G355" s="572" t="s">
        <v>1353</v>
      </c>
      <c r="H355" s="375"/>
      <c r="I355" s="378"/>
      <c r="J355" s="378">
        <v>145</v>
      </c>
      <c r="K355" s="378">
        <v>132</v>
      </c>
      <c r="L355" s="376">
        <v>66</v>
      </c>
      <c r="M355" s="376">
        <v>132</v>
      </c>
      <c r="N355" s="376">
        <v>66</v>
      </c>
      <c r="O355" s="376"/>
      <c r="P355" s="378">
        <v>66</v>
      </c>
      <c r="Q355" s="378">
        <v>243</v>
      </c>
      <c r="R355" s="378"/>
      <c r="S355" s="378"/>
      <c r="T355" s="378"/>
      <c r="U355" s="378"/>
      <c r="V355" s="533">
        <v>66</v>
      </c>
      <c r="W355" s="378"/>
      <c r="X355" s="378"/>
      <c r="Y355" s="378">
        <f>IF(NFI_Expiration=1,IF($A355&lt;VLOOKUP(H$5,NFI,5,0),1,0)*Table_NFI[[#This Row],[Hygiene Kit]],Table_NFI[Hygiene Kit])</f>
        <v>0</v>
      </c>
      <c r="Z355" s="378">
        <f>IF(NFI_Expiration=1,IF($A355&lt;VLOOKUP(I$5,NFI,5,0),1,0)*Table_NFI[[#This Row],[NFI Core Kit]],Table_NFI[NFI Core Kit])</f>
        <v>0</v>
      </c>
      <c r="AA355" s="378">
        <f>IF(NFI_Expiration=1,IF($A355&lt;VLOOKUP(J$5,NFI,5,0),1,0)*Table_NFI[[#This Row],[Sanitary Kit]],Table_NFI[Sanitary Kit])</f>
        <v>145</v>
      </c>
      <c r="AB355" s="378">
        <f>IF(NFI_Expiration=1,IF($A355&lt;VLOOKUP(K$5,NFI,5,0),1,0)*Table_NFI[[#This Row],[Mosquito net]],Table_NFI[Mosquito net])</f>
        <v>132</v>
      </c>
      <c r="AC355" s="378">
        <f>IF(NFI_Expiration=1,IF($A355&lt;VLOOKUP(L$5,NFI,5,0),1,0)*Table_NFI[[#This Row],[Tarpaulin]],Table_NFI[[#This Row],[Tarpaulin]])</f>
        <v>66</v>
      </c>
      <c r="AD355" s="378">
        <f>IF(NFI_Expiration=1,IF($A355&lt;VLOOKUP(M$5,NFI,5,0),1,0)*Table_NFI[[#This Row],[Blanket]],Table_NFI[[#This Row],[Blanket]])</f>
        <v>132</v>
      </c>
      <c r="AE355" s="378">
        <f>IF(NFI_Expiration=1,IF($A355&lt;VLOOKUP(N$5,NFI,5,0),1,0)*Table_NFI[[#This Row],[Kitchen Set]],Table_NFI[Kitchen Set])</f>
        <v>66</v>
      </c>
      <c r="AF355" s="378">
        <f>IF(NFI_Expiration=1,IF($A355&lt;VLOOKUP(O$5,NFI,5,0),1,0)*Table_NFI[[#This Row],[Clothes Kit]],Table_NFI[Clothes Kit])</f>
        <v>0</v>
      </c>
      <c r="AG355" s="378">
        <f>IF(NFI_Expiration=1,IF($A355&lt;VLOOKUP(P$5,NFI,5,0),1,0)*Table_NFI[[#This Row],[Plastic Bucket]],Table_NFI[Plastic Bucket])</f>
        <v>66</v>
      </c>
      <c r="AH355" s="378">
        <f>IF(NFI_Expiration=1,IF($A355&lt;VLOOKUP(Q$5,NFI,5,0),1,0)*Table_NFI[[#This Row],[Plastic Mat]],Table_NFI[Plastic Mat])*IF(Table_NFI[[#This Row],[Distribution Date]]&gt;"2014-04-01",1,2.5)</f>
        <v>607.5</v>
      </c>
      <c r="AI355" s="378">
        <f>IF(NFI_Expiration=1,IF($A355&lt;VLOOKUP(R$5,NFI,5,0),1,0)*Table_NFI[[#This Row],[Winter Clothes Adult]],Table_NFI[Winter Clothes Adult])</f>
        <v>0</v>
      </c>
      <c r="AJ355" s="378">
        <f>IF(NFI_Expiration=1,IF($A355&lt;VLOOKUP(S$5,NFI,5,0),1,0)*Table_NFI[[#This Row],[Winter Clothes Children]],Table_NFI[Winter Clothes Children])</f>
        <v>0</v>
      </c>
      <c r="AK355" s="378">
        <f>IF(NFI_Expiration=1,IF($A355&lt;VLOOKUP(T$5,NFI,5,0),1,0)*Table_NFI[[#This Row],[Winter Items Other]],Table_NFI[Winter Items Other])</f>
        <v>0</v>
      </c>
      <c r="AL355" s="378">
        <f>IF(NFI_Expiration=1,IF($A355&lt;VLOOKUP(M$5,NFI,5,0),1,0)*Table_NFI[[#This Row],[Winter Blanket]],Table_NFI[[#This Row],[Winter Blanket]])</f>
        <v>0</v>
      </c>
      <c r="AM355" s="378">
        <f>IF(Table_NFI[[#This Row],[Winter Clothes Adult]]+Table_NFI[[#This Row],[Winter Clothes Children]]+Table_NFI[[#This Row],[Winter Items Other]]+Table_NFI[[#This Row],[Winter Blanket]]&gt;0,1,0)</f>
        <v>0</v>
      </c>
      <c r="AN355" s="418">
        <f>IF(NFI_Expiration=1,IF($A355&lt;VLOOKUP(V$5,NFI,5,0),1,0)*Table_NFI[[#This Row],[Jerry Can]],Table_NFI[Jerry Can])</f>
        <v>66</v>
      </c>
      <c r="AO355" s="579" t="str">
        <f>IFERROR(VLOOKUP(Table_NFI[[#This Row],[Camp Name]],CL,2,0),"")</f>
        <v/>
      </c>
      <c r="AP355" s="574" t="str">
        <f ca="1">IF(Table_NFI[[#This Row],[Pcode]]="","",IF(OFFSET(CampList[Opening Date],MATCH(Table_NFI[[#This Row],[Pcode]],CampList[CP_Pcode],0)-1,0,1,1)&gt;=NFI_Monitor_Date,1,0))</f>
        <v/>
      </c>
      <c r="AQ355" s="579" t="str">
        <f>IFERROR(VLOOKUP(Table_NFI[[#This Row],[Camp Name]],CL,3,0),"")</f>
        <v/>
      </c>
      <c r="AR355" s="378" t="str">
        <f ca="1">IF(Table_NFI[[#This Row],[Pcode]]="","",OFFSET(CampList[Priority],MATCH(Table_NFI[[#This Row],[Pcode]],CampList[CP_Pcode],0)-1,0,1,1))</f>
        <v/>
      </c>
      <c r="AS355" s="377" t="str">
        <f>IFERROR(Table_NFI[[#This Row],[Kitchen Set]]/VLOOKUP(Table_NFI[[#This Row],[Camp Name]],CL,4,0),"")</f>
        <v/>
      </c>
      <c r="AT355" s="572" t="s">
        <v>1095</v>
      </c>
      <c r="AU355" s="601"/>
    </row>
    <row r="356" spans="1:47" s="576" customFormat="1" x14ac:dyDescent="0.25">
      <c r="A356" s="381">
        <f t="shared" si="5"/>
        <v>50.9</v>
      </c>
      <c r="B356" s="571">
        <v>40995</v>
      </c>
      <c r="C356" s="572" t="s">
        <v>454</v>
      </c>
      <c r="D356" s="573" t="s">
        <v>454</v>
      </c>
      <c r="E356" s="572" t="s">
        <v>380</v>
      </c>
      <c r="F356" s="374" t="s">
        <v>185</v>
      </c>
      <c r="G356" s="374" t="s">
        <v>915</v>
      </c>
      <c r="H356" s="375"/>
      <c r="I356" s="375"/>
      <c r="J356" s="375"/>
      <c r="K356" s="375">
        <v>52</v>
      </c>
      <c r="L356" s="376">
        <v>52</v>
      </c>
      <c r="M356" s="376">
        <v>0</v>
      </c>
      <c r="N356" s="376">
        <v>0</v>
      </c>
      <c r="O356" s="376">
        <v>0</v>
      </c>
      <c r="P356" s="378"/>
      <c r="Q356" s="378"/>
      <c r="R356" s="378"/>
      <c r="S356" s="378"/>
      <c r="T356" s="378"/>
      <c r="U356" s="378"/>
      <c r="V356" s="533"/>
      <c r="W356" s="378"/>
      <c r="X356" s="378"/>
      <c r="Y356" s="378">
        <f>IF(NFI_Expiration=1,IF($A356&lt;VLOOKUP(H$5,NFI,5,0),1,0)*Table_NFI[[#This Row],[Hygiene Kit]],Table_NFI[Hygiene Kit])</f>
        <v>0</v>
      </c>
      <c r="Z356" s="378">
        <f>IF(NFI_Expiration=1,IF($A356&lt;VLOOKUP(I$5,NFI,5,0),1,0)*Table_NFI[[#This Row],[NFI Core Kit]],Table_NFI[NFI Core Kit])</f>
        <v>0</v>
      </c>
      <c r="AA356" s="378">
        <f>IF(NFI_Expiration=1,IF($A356&lt;VLOOKUP(J$5,NFI,5,0),1,0)*Table_NFI[[#This Row],[Sanitary Kit]],Table_NFI[Sanitary Kit])</f>
        <v>0</v>
      </c>
      <c r="AB356" s="378">
        <f>IF(NFI_Expiration=1,IF($A356&lt;VLOOKUP(K$5,NFI,5,0),1,0)*Table_NFI[[#This Row],[Mosquito net]],Table_NFI[Mosquito net])</f>
        <v>0</v>
      </c>
      <c r="AC356" s="378">
        <f>IF(NFI_Expiration=1,IF($A356&lt;VLOOKUP(L$5,NFI,5,0),1,0)*Table_NFI[[#This Row],[Tarpaulin]],Table_NFI[[#This Row],[Tarpaulin]])</f>
        <v>0</v>
      </c>
      <c r="AD356" s="378">
        <f>IF(NFI_Expiration=1,IF($A356&lt;VLOOKUP(M$5,NFI,5,0),1,0)*Table_NFI[[#This Row],[Blanket]],Table_NFI[[#This Row],[Blanket]])</f>
        <v>0</v>
      </c>
      <c r="AE356" s="378">
        <f>IF(NFI_Expiration=1,IF($A356&lt;VLOOKUP(N$5,NFI,5,0),1,0)*Table_NFI[[#This Row],[Kitchen Set]],Table_NFI[Kitchen Set])</f>
        <v>0</v>
      </c>
      <c r="AF356" s="378">
        <f>IF(NFI_Expiration=1,IF($A356&lt;VLOOKUP(O$5,NFI,5,0),1,0)*Table_NFI[[#This Row],[Clothes Kit]],Table_NFI[Clothes Kit])</f>
        <v>0</v>
      </c>
      <c r="AG356" s="378">
        <f>IF(NFI_Expiration=1,IF($A356&lt;VLOOKUP(P$5,NFI,5,0),1,0)*Table_NFI[[#This Row],[Plastic Bucket]],Table_NFI[Plastic Bucket])</f>
        <v>0</v>
      </c>
      <c r="AH356" s="378">
        <f>IF(NFI_Expiration=1,IF($A356&lt;VLOOKUP(Q$5,NFI,5,0),1,0)*Table_NFI[[#This Row],[Plastic Mat]],Table_NFI[Plastic Mat])*IF(Table_NFI[[#This Row],[Distribution Date]]&gt;"2014-04-01",1,2.5)</f>
        <v>0</v>
      </c>
      <c r="AI356" s="378">
        <f>IF(NFI_Expiration=1,IF($A356&lt;VLOOKUP(R$5,NFI,5,0),1,0)*Table_NFI[[#This Row],[Winter Clothes Adult]],Table_NFI[Winter Clothes Adult])</f>
        <v>0</v>
      </c>
      <c r="AJ356" s="378">
        <f>IF(NFI_Expiration=1,IF($A356&lt;VLOOKUP(S$5,NFI,5,0),1,0)*Table_NFI[[#This Row],[Winter Clothes Children]],Table_NFI[Winter Clothes Children])</f>
        <v>0</v>
      </c>
      <c r="AK356" s="378">
        <f>IF(NFI_Expiration=1,IF($A356&lt;VLOOKUP(T$5,NFI,5,0),1,0)*Table_NFI[[#This Row],[Winter Items Other]],Table_NFI[Winter Items Other])</f>
        <v>0</v>
      </c>
      <c r="AL356" s="378">
        <f>IF(NFI_Expiration=1,IF($A356&lt;VLOOKUP(M$5,NFI,5,0),1,0)*Table_NFI[[#This Row],[Winter Blanket]],Table_NFI[[#This Row],[Winter Blanket]])</f>
        <v>0</v>
      </c>
      <c r="AM356" s="378">
        <f>IF(Table_NFI[[#This Row],[Winter Clothes Adult]]+Table_NFI[[#This Row],[Winter Clothes Children]]+Table_NFI[[#This Row],[Winter Items Other]]+Table_NFI[[#This Row],[Winter Blanket]]&gt;0,1,0)</f>
        <v>0</v>
      </c>
      <c r="AN356" s="418">
        <f>IF(NFI_Expiration=1,IF($A356&lt;VLOOKUP(V$5,NFI,5,0),1,0)*Table_NFI[[#This Row],[Jerry Can]],Table_NFI[Jerry Can])</f>
        <v>0</v>
      </c>
      <c r="AO356" s="579" t="str">
        <f>IFERROR(VLOOKUP(Table_NFI[[#This Row],[Camp Name]],CL,2,0),"")</f>
        <v/>
      </c>
      <c r="AP356" s="574" t="str">
        <f ca="1">IF(Table_NFI[[#This Row],[Pcode]]="","",IF(OFFSET(CampList[Opening Date],MATCH(Table_NFI[[#This Row],[Pcode]],CampList[CP_Pcode],0)-1,0,1,1)&gt;=NFI_Monitor_Date,1,0))</f>
        <v/>
      </c>
      <c r="AQ356" s="579" t="str">
        <f>IFERROR(VLOOKUP(Table_NFI[[#This Row],[Camp Name]],CL,3,0),"")</f>
        <v/>
      </c>
      <c r="AR356" s="378" t="str">
        <f ca="1">IF(Table_NFI[[#This Row],[Pcode]]="","",OFFSET(CampList[Priority],MATCH(Table_NFI[[#This Row],[Pcode]],CampList[CP_Pcode],0)-1,0,1,1))</f>
        <v/>
      </c>
      <c r="AS356" s="377" t="str">
        <f>IFERROR(Table_NFI[[#This Row],[Kitchen Set]]/VLOOKUP(Table_NFI[[#This Row],[Camp Name]],CL,4,0),"")</f>
        <v/>
      </c>
      <c r="AT356" s="572" t="s">
        <v>1095</v>
      </c>
      <c r="AU356" s="575"/>
    </row>
    <row r="357" spans="1:47" s="576" customFormat="1" x14ac:dyDescent="0.25">
      <c r="A357" s="381">
        <f t="shared" si="5"/>
        <v>50.866666666666667</v>
      </c>
      <c r="B357" s="571">
        <v>40996</v>
      </c>
      <c r="C357" s="572" t="s">
        <v>454</v>
      </c>
      <c r="D357" s="573" t="s">
        <v>454</v>
      </c>
      <c r="E357" s="572" t="s">
        <v>380</v>
      </c>
      <c r="F357" s="374" t="s">
        <v>185</v>
      </c>
      <c r="G357" s="374" t="s">
        <v>916</v>
      </c>
      <c r="H357" s="375"/>
      <c r="I357" s="375"/>
      <c r="J357" s="375"/>
      <c r="K357" s="375">
        <v>217</v>
      </c>
      <c r="L357" s="376">
        <v>217</v>
      </c>
      <c r="M357" s="376">
        <v>0</v>
      </c>
      <c r="N357" s="376">
        <v>0</v>
      </c>
      <c r="O357" s="376">
        <v>0</v>
      </c>
      <c r="P357" s="378"/>
      <c r="Q357" s="378"/>
      <c r="R357" s="378"/>
      <c r="S357" s="378"/>
      <c r="T357" s="378"/>
      <c r="U357" s="378"/>
      <c r="V357" s="533"/>
      <c r="W357" s="378"/>
      <c r="X357" s="378"/>
      <c r="Y357" s="378">
        <f>IF(NFI_Expiration=1,IF($A357&lt;VLOOKUP(H$5,NFI,5,0),1,0)*Table_NFI[[#This Row],[Hygiene Kit]],Table_NFI[Hygiene Kit])</f>
        <v>0</v>
      </c>
      <c r="Z357" s="378">
        <f>IF(NFI_Expiration=1,IF($A357&lt;VLOOKUP(I$5,NFI,5,0),1,0)*Table_NFI[[#This Row],[NFI Core Kit]],Table_NFI[NFI Core Kit])</f>
        <v>0</v>
      </c>
      <c r="AA357" s="378">
        <f>IF(NFI_Expiration=1,IF($A357&lt;VLOOKUP(J$5,NFI,5,0),1,0)*Table_NFI[[#This Row],[Sanitary Kit]],Table_NFI[Sanitary Kit])</f>
        <v>0</v>
      </c>
      <c r="AB357" s="378">
        <f>IF(NFI_Expiration=1,IF($A357&lt;VLOOKUP(K$5,NFI,5,0),1,0)*Table_NFI[[#This Row],[Mosquito net]],Table_NFI[Mosquito net])</f>
        <v>0</v>
      </c>
      <c r="AC357" s="378">
        <f>IF(NFI_Expiration=1,IF($A357&lt;VLOOKUP(L$5,NFI,5,0),1,0)*Table_NFI[[#This Row],[Tarpaulin]],Table_NFI[[#This Row],[Tarpaulin]])</f>
        <v>0</v>
      </c>
      <c r="AD357" s="378">
        <f>IF(NFI_Expiration=1,IF($A357&lt;VLOOKUP(M$5,NFI,5,0),1,0)*Table_NFI[[#This Row],[Blanket]],Table_NFI[[#This Row],[Blanket]])</f>
        <v>0</v>
      </c>
      <c r="AE357" s="378">
        <f>IF(NFI_Expiration=1,IF($A357&lt;VLOOKUP(N$5,NFI,5,0),1,0)*Table_NFI[[#This Row],[Kitchen Set]],Table_NFI[Kitchen Set])</f>
        <v>0</v>
      </c>
      <c r="AF357" s="378">
        <f>IF(NFI_Expiration=1,IF($A357&lt;VLOOKUP(O$5,NFI,5,0),1,0)*Table_NFI[[#This Row],[Clothes Kit]],Table_NFI[Clothes Kit])</f>
        <v>0</v>
      </c>
      <c r="AG357" s="378">
        <f>IF(NFI_Expiration=1,IF($A357&lt;VLOOKUP(P$5,NFI,5,0),1,0)*Table_NFI[[#This Row],[Plastic Bucket]],Table_NFI[Plastic Bucket])</f>
        <v>0</v>
      </c>
      <c r="AH357" s="378">
        <f>IF(NFI_Expiration=1,IF($A357&lt;VLOOKUP(Q$5,NFI,5,0),1,0)*Table_NFI[[#This Row],[Plastic Mat]],Table_NFI[Plastic Mat])*IF(Table_NFI[[#This Row],[Distribution Date]]&gt;"2014-04-01",1,2.5)</f>
        <v>0</v>
      </c>
      <c r="AI357" s="378">
        <f>IF(NFI_Expiration=1,IF($A357&lt;VLOOKUP(R$5,NFI,5,0),1,0)*Table_NFI[[#This Row],[Winter Clothes Adult]],Table_NFI[Winter Clothes Adult])</f>
        <v>0</v>
      </c>
      <c r="AJ357" s="378">
        <f>IF(NFI_Expiration=1,IF($A357&lt;VLOOKUP(S$5,NFI,5,0),1,0)*Table_NFI[[#This Row],[Winter Clothes Children]],Table_NFI[Winter Clothes Children])</f>
        <v>0</v>
      </c>
      <c r="AK357" s="378">
        <f>IF(NFI_Expiration=1,IF($A357&lt;VLOOKUP(T$5,NFI,5,0),1,0)*Table_NFI[[#This Row],[Winter Items Other]],Table_NFI[Winter Items Other])</f>
        <v>0</v>
      </c>
      <c r="AL357" s="378">
        <f>IF(NFI_Expiration=1,IF($A357&lt;VLOOKUP(M$5,NFI,5,0),1,0)*Table_NFI[[#This Row],[Winter Blanket]],Table_NFI[[#This Row],[Winter Blanket]])</f>
        <v>0</v>
      </c>
      <c r="AM357" s="378">
        <f>IF(Table_NFI[[#This Row],[Winter Clothes Adult]]+Table_NFI[[#This Row],[Winter Clothes Children]]+Table_NFI[[#This Row],[Winter Items Other]]+Table_NFI[[#This Row],[Winter Blanket]]&gt;0,1,0)</f>
        <v>0</v>
      </c>
      <c r="AN357" s="418">
        <f>IF(NFI_Expiration=1,IF($A357&lt;VLOOKUP(V$5,NFI,5,0),1,0)*Table_NFI[[#This Row],[Jerry Can]],Table_NFI[Jerry Can])</f>
        <v>0</v>
      </c>
      <c r="AO357" s="579" t="str">
        <f>IFERROR(VLOOKUP(Table_NFI[[#This Row],[Camp Name]],CL,2,0),"")</f>
        <v/>
      </c>
      <c r="AP357" s="574" t="str">
        <f ca="1">IF(Table_NFI[[#This Row],[Pcode]]="","",IF(OFFSET(CampList[Opening Date],MATCH(Table_NFI[[#This Row],[Pcode]],CampList[CP_Pcode],0)-1,0,1,1)&gt;=NFI_Monitor_Date,1,0))</f>
        <v/>
      </c>
      <c r="AQ357" s="579" t="str">
        <f>IFERROR(VLOOKUP(Table_NFI[[#This Row],[Camp Name]],CL,3,0),"")</f>
        <v/>
      </c>
      <c r="AR357" s="378" t="str">
        <f ca="1">IF(Table_NFI[[#This Row],[Pcode]]="","",OFFSET(CampList[Priority],MATCH(Table_NFI[[#This Row],[Pcode]],CampList[CP_Pcode],0)-1,0,1,1))</f>
        <v/>
      </c>
      <c r="AS357" s="377" t="str">
        <f>IFERROR(Table_NFI[[#This Row],[Kitchen Set]]/VLOOKUP(Table_NFI[[#This Row],[Camp Name]],CL,4,0),"")</f>
        <v/>
      </c>
      <c r="AT357" s="572" t="s">
        <v>1095</v>
      </c>
      <c r="AU357" s="575"/>
    </row>
    <row r="358" spans="1:47" s="576" customFormat="1" x14ac:dyDescent="0.25">
      <c r="A358" s="381">
        <f t="shared" si="5"/>
        <v>47.166666666666664</v>
      </c>
      <c r="B358" s="571">
        <v>41107</v>
      </c>
      <c r="C358" s="572" t="s">
        <v>454</v>
      </c>
      <c r="D358" s="572" t="s">
        <v>454</v>
      </c>
      <c r="E358" s="572" t="s">
        <v>380</v>
      </c>
      <c r="F358" s="374" t="s">
        <v>185</v>
      </c>
      <c r="G358" s="374" t="s">
        <v>200</v>
      </c>
      <c r="H358" s="375"/>
      <c r="I358" s="375"/>
      <c r="J358" s="375"/>
      <c r="K358" s="375">
        <v>0</v>
      </c>
      <c r="L358" s="376">
        <v>0</v>
      </c>
      <c r="M358" s="376">
        <v>0</v>
      </c>
      <c r="N358" s="376">
        <v>0</v>
      </c>
      <c r="O358" s="376">
        <v>0</v>
      </c>
      <c r="P358" s="378"/>
      <c r="Q358" s="378"/>
      <c r="R358" s="378"/>
      <c r="S358" s="378"/>
      <c r="T358" s="378"/>
      <c r="U358" s="378"/>
      <c r="V358" s="533"/>
      <c r="W358" s="378"/>
      <c r="X358" s="378"/>
      <c r="Y358" s="378">
        <f>IF(NFI_Expiration=1,IF($A358&lt;VLOOKUP(H$5,NFI,5,0),1,0)*Table_NFI[[#This Row],[Hygiene Kit]],Table_NFI[Hygiene Kit])</f>
        <v>0</v>
      </c>
      <c r="Z358" s="378">
        <f>IF(NFI_Expiration=1,IF($A358&lt;VLOOKUP(I$5,NFI,5,0),1,0)*Table_NFI[[#This Row],[NFI Core Kit]],Table_NFI[NFI Core Kit])</f>
        <v>0</v>
      </c>
      <c r="AA358" s="378">
        <f>IF(NFI_Expiration=1,IF($A358&lt;VLOOKUP(J$5,NFI,5,0),1,0)*Table_NFI[[#This Row],[Sanitary Kit]],Table_NFI[Sanitary Kit])</f>
        <v>0</v>
      </c>
      <c r="AB358" s="378">
        <f>IF(NFI_Expiration=1,IF($A358&lt;VLOOKUP(K$5,NFI,5,0),1,0)*Table_NFI[[#This Row],[Mosquito net]],Table_NFI[Mosquito net])</f>
        <v>0</v>
      </c>
      <c r="AC358" s="378">
        <f>IF(NFI_Expiration=1,IF($A358&lt;VLOOKUP(L$5,NFI,5,0),1,0)*Table_NFI[[#This Row],[Tarpaulin]],Table_NFI[[#This Row],[Tarpaulin]])</f>
        <v>0</v>
      </c>
      <c r="AD358" s="378">
        <f>IF(NFI_Expiration=1,IF($A358&lt;VLOOKUP(M$5,NFI,5,0),1,0)*Table_NFI[[#This Row],[Blanket]],Table_NFI[[#This Row],[Blanket]])</f>
        <v>0</v>
      </c>
      <c r="AE358" s="378">
        <f>IF(NFI_Expiration=1,IF($A358&lt;VLOOKUP(N$5,NFI,5,0),1,0)*Table_NFI[[#This Row],[Kitchen Set]],Table_NFI[Kitchen Set])</f>
        <v>0</v>
      </c>
      <c r="AF358" s="378">
        <f>IF(NFI_Expiration=1,IF($A358&lt;VLOOKUP(O$5,NFI,5,0),1,0)*Table_NFI[[#This Row],[Clothes Kit]],Table_NFI[Clothes Kit])</f>
        <v>0</v>
      </c>
      <c r="AG358" s="378">
        <f>IF(NFI_Expiration=1,IF($A358&lt;VLOOKUP(P$5,NFI,5,0),1,0)*Table_NFI[[#This Row],[Plastic Bucket]],Table_NFI[Plastic Bucket])</f>
        <v>0</v>
      </c>
      <c r="AH358" s="378">
        <f>IF(NFI_Expiration=1,IF($A358&lt;VLOOKUP(Q$5,NFI,5,0),1,0)*Table_NFI[[#This Row],[Plastic Mat]],Table_NFI[Plastic Mat])*IF(Table_NFI[[#This Row],[Distribution Date]]&gt;"2014-04-01",1,2.5)</f>
        <v>0</v>
      </c>
      <c r="AI358" s="378">
        <f>IF(NFI_Expiration=1,IF($A358&lt;VLOOKUP(R$5,NFI,5,0),1,0)*Table_NFI[[#This Row],[Winter Clothes Adult]],Table_NFI[Winter Clothes Adult])</f>
        <v>0</v>
      </c>
      <c r="AJ358" s="378">
        <f>IF(NFI_Expiration=1,IF($A358&lt;VLOOKUP(S$5,NFI,5,0),1,0)*Table_NFI[[#This Row],[Winter Clothes Children]],Table_NFI[Winter Clothes Children])</f>
        <v>0</v>
      </c>
      <c r="AK358" s="378">
        <f>IF(NFI_Expiration=1,IF($A358&lt;VLOOKUP(T$5,NFI,5,0),1,0)*Table_NFI[[#This Row],[Winter Items Other]],Table_NFI[Winter Items Other])</f>
        <v>0</v>
      </c>
      <c r="AL358" s="378">
        <f>IF(NFI_Expiration=1,IF($A358&lt;VLOOKUP(M$5,NFI,5,0),1,0)*Table_NFI[[#This Row],[Winter Blanket]],Table_NFI[[#This Row],[Winter Blanket]])</f>
        <v>0</v>
      </c>
      <c r="AM358" s="378">
        <f>IF(Table_NFI[[#This Row],[Winter Clothes Adult]]+Table_NFI[[#This Row],[Winter Clothes Children]]+Table_NFI[[#This Row],[Winter Items Other]]+Table_NFI[[#This Row],[Winter Blanket]]&gt;0,1,0)</f>
        <v>0</v>
      </c>
      <c r="AN358" s="418">
        <f>IF(NFI_Expiration=1,IF($A358&lt;VLOOKUP(V$5,NFI,5,0),1,0)*Table_NFI[[#This Row],[Jerry Can]],Table_NFI[Jerry Can])</f>
        <v>0</v>
      </c>
      <c r="AO358" s="579" t="str">
        <f>IFERROR(VLOOKUP(Table_NFI[[#This Row],[Camp Name]],CL,2,0),"")</f>
        <v>MMR001CMP064</v>
      </c>
      <c r="AP358" s="574">
        <f ca="1">IF(Table_NFI[[#This Row],[Pcode]]="","",IF(OFFSET(CampList[Opening Date],MATCH(Table_NFI[[#This Row],[Pcode]],CampList[CP_Pcode],0)-1,0,1,1)&gt;=NFI_Monitor_Date,1,0))</f>
        <v>0</v>
      </c>
      <c r="AQ358" s="579" t="str">
        <f>IFERROR(VLOOKUP(Table_NFI[[#This Row],[Camp Name]],CL,3,0),"")</f>
        <v>Open</v>
      </c>
      <c r="AR358" s="378" t="str">
        <f ca="1">IF(Table_NFI[[#This Row],[Pcode]]="","",OFFSET(CampList[Priority],MATCH(Table_NFI[[#This Row],[Pcode]],CampList[CP_Pcode],0)-1,0,1,1))</f>
        <v>P4</v>
      </c>
      <c r="AS358" s="377">
        <f>IFERROR(Table_NFI[[#This Row],[Kitchen Set]]/VLOOKUP(Table_NFI[[#This Row],[Camp Name]],CL,4,0),"")</f>
        <v>0</v>
      </c>
      <c r="AT358" s="572" t="s">
        <v>1095</v>
      </c>
      <c r="AU358" s="575"/>
    </row>
    <row r="359" spans="1:47" s="576" customFormat="1" x14ac:dyDescent="0.25">
      <c r="A359" s="381">
        <f t="shared" si="5"/>
        <v>47.166666666666664</v>
      </c>
      <c r="B359" s="571">
        <v>41107</v>
      </c>
      <c r="C359" s="572" t="s">
        <v>454</v>
      </c>
      <c r="D359" s="573" t="s">
        <v>454</v>
      </c>
      <c r="E359" s="572" t="s">
        <v>380</v>
      </c>
      <c r="F359" s="374" t="s">
        <v>185</v>
      </c>
      <c r="G359" s="374" t="s">
        <v>200</v>
      </c>
      <c r="H359" s="375"/>
      <c r="I359" s="375"/>
      <c r="J359" s="375"/>
      <c r="K359" s="375">
        <v>0</v>
      </c>
      <c r="L359" s="376">
        <v>0</v>
      </c>
      <c r="M359" s="376">
        <v>0</v>
      </c>
      <c r="N359" s="376">
        <v>0</v>
      </c>
      <c r="O359" s="376">
        <v>0</v>
      </c>
      <c r="P359" s="378"/>
      <c r="Q359" s="378"/>
      <c r="R359" s="378"/>
      <c r="S359" s="378"/>
      <c r="T359" s="378"/>
      <c r="U359" s="378"/>
      <c r="V359" s="533"/>
      <c r="W359" s="378"/>
      <c r="X359" s="378"/>
      <c r="Y359" s="378">
        <f>IF(NFI_Expiration=1,IF($A359&lt;VLOOKUP(H$5,NFI,5,0),1,0)*Table_NFI[[#This Row],[Hygiene Kit]],Table_NFI[Hygiene Kit])</f>
        <v>0</v>
      </c>
      <c r="Z359" s="378">
        <f>IF(NFI_Expiration=1,IF($A359&lt;VLOOKUP(I$5,NFI,5,0),1,0)*Table_NFI[[#This Row],[NFI Core Kit]],Table_NFI[NFI Core Kit])</f>
        <v>0</v>
      </c>
      <c r="AA359" s="378">
        <f>IF(NFI_Expiration=1,IF($A359&lt;VLOOKUP(J$5,NFI,5,0),1,0)*Table_NFI[[#This Row],[Sanitary Kit]],Table_NFI[Sanitary Kit])</f>
        <v>0</v>
      </c>
      <c r="AB359" s="378">
        <f>IF(NFI_Expiration=1,IF($A359&lt;VLOOKUP(K$5,NFI,5,0),1,0)*Table_NFI[[#This Row],[Mosquito net]],Table_NFI[Mosquito net])</f>
        <v>0</v>
      </c>
      <c r="AC359" s="378">
        <f>IF(NFI_Expiration=1,IF($A359&lt;VLOOKUP(L$5,NFI,5,0),1,0)*Table_NFI[[#This Row],[Tarpaulin]],Table_NFI[[#This Row],[Tarpaulin]])</f>
        <v>0</v>
      </c>
      <c r="AD359" s="378">
        <f>IF(NFI_Expiration=1,IF($A359&lt;VLOOKUP(M$5,NFI,5,0),1,0)*Table_NFI[[#This Row],[Blanket]],Table_NFI[[#This Row],[Blanket]])</f>
        <v>0</v>
      </c>
      <c r="AE359" s="378">
        <f>IF(NFI_Expiration=1,IF($A359&lt;VLOOKUP(N$5,NFI,5,0),1,0)*Table_NFI[[#This Row],[Kitchen Set]],Table_NFI[Kitchen Set])</f>
        <v>0</v>
      </c>
      <c r="AF359" s="378">
        <f>IF(NFI_Expiration=1,IF($A359&lt;VLOOKUP(O$5,NFI,5,0),1,0)*Table_NFI[[#This Row],[Clothes Kit]],Table_NFI[Clothes Kit])</f>
        <v>0</v>
      </c>
      <c r="AG359" s="378">
        <f>IF(NFI_Expiration=1,IF($A359&lt;VLOOKUP(P$5,NFI,5,0),1,0)*Table_NFI[[#This Row],[Plastic Bucket]],Table_NFI[Plastic Bucket])</f>
        <v>0</v>
      </c>
      <c r="AH359" s="378">
        <f>IF(NFI_Expiration=1,IF($A359&lt;VLOOKUP(Q$5,NFI,5,0),1,0)*Table_NFI[[#This Row],[Plastic Mat]],Table_NFI[Plastic Mat])*IF(Table_NFI[[#This Row],[Distribution Date]]&gt;"2014-04-01",1,2.5)</f>
        <v>0</v>
      </c>
      <c r="AI359" s="378">
        <f>IF(NFI_Expiration=1,IF($A359&lt;VLOOKUP(R$5,NFI,5,0),1,0)*Table_NFI[[#This Row],[Winter Clothes Adult]],Table_NFI[Winter Clothes Adult])</f>
        <v>0</v>
      </c>
      <c r="AJ359" s="378">
        <f>IF(NFI_Expiration=1,IF($A359&lt;VLOOKUP(S$5,NFI,5,0),1,0)*Table_NFI[[#This Row],[Winter Clothes Children]],Table_NFI[Winter Clothes Children])</f>
        <v>0</v>
      </c>
      <c r="AK359" s="378">
        <f>IF(NFI_Expiration=1,IF($A359&lt;VLOOKUP(T$5,NFI,5,0),1,0)*Table_NFI[[#This Row],[Winter Items Other]],Table_NFI[Winter Items Other])</f>
        <v>0</v>
      </c>
      <c r="AL359" s="378">
        <f>IF(NFI_Expiration=1,IF($A359&lt;VLOOKUP(M$5,NFI,5,0),1,0)*Table_NFI[[#This Row],[Winter Blanket]],Table_NFI[[#This Row],[Winter Blanket]])</f>
        <v>0</v>
      </c>
      <c r="AM359" s="378">
        <f>IF(Table_NFI[[#This Row],[Winter Clothes Adult]]+Table_NFI[[#This Row],[Winter Clothes Children]]+Table_NFI[[#This Row],[Winter Items Other]]+Table_NFI[[#This Row],[Winter Blanket]]&gt;0,1,0)</f>
        <v>0</v>
      </c>
      <c r="AN359" s="418">
        <f>IF(NFI_Expiration=1,IF($A359&lt;VLOOKUP(V$5,NFI,5,0),1,0)*Table_NFI[[#This Row],[Jerry Can]],Table_NFI[Jerry Can])</f>
        <v>0</v>
      </c>
      <c r="AO359" s="579" t="str">
        <f>IFERROR(VLOOKUP(Table_NFI[[#This Row],[Camp Name]],CL,2,0),"")</f>
        <v>MMR001CMP064</v>
      </c>
      <c r="AP359" s="574">
        <f ca="1">IF(Table_NFI[[#This Row],[Pcode]]="","",IF(OFFSET(CampList[Opening Date],MATCH(Table_NFI[[#This Row],[Pcode]],CampList[CP_Pcode],0)-1,0,1,1)&gt;=NFI_Monitor_Date,1,0))</f>
        <v>0</v>
      </c>
      <c r="AQ359" s="579" t="str">
        <f>IFERROR(VLOOKUP(Table_NFI[[#This Row],[Camp Name]],CL,3,0),"")</f>
        <v>Open</v>
      </c>
      <c r="AR359" s="378" t="str">
        <f ca="1">IF(Table_NFI[[#This Row],[Pcode]]="","",OFFSET(CampList[Priority],MATCH(Table_NFI[[#This Row],[Pcode]],CampList[CP_Pcode],0)-1,0,1,1))</f>
        <v>P4</v>
      </c>
      <c r="AS359" s="377">
        <f>IFERROR(Table_NFI[[#This Row],[Kitchen Set]]/VLOOKUP(Table_NFI[[#This Row],[Camp Name]],CL,4,0),"")</f>
        <v>0</v>
      </c>
      <c r="AT359" s="572" t="s">
        <v>1095</v>
      </c>
      <c r="AU359" s="575"/>
    </row>
    <row r="360" spans="1:47" s="576" customFormat="1" x14ac:dyDescent="0.25">
      <c r="A360" s="381">
        <f t="shared" si="5"/>
        <v>20.3</v>
      </c>
      <c r="B360" s="571">
        <v>41913</v>
      </c>
      <c r="C360" s="572" t="s">
        <v>454</v>
      </c>
      <c r="D360" s="577" t="s">
        <v>507</v>
      </c>
      <c r="E360" s="577" t="s">
        <v>380</v>
      </c>
      <c r="F360" s="577" t="s">
        <v>310</v>
      </c>
      <c r="G360" s="577" t="s">
        <v>328</v>
      </c>
      <c r="H360" s="376"/>
      <c r="I360" s="376"/>
      <c r="J360" s="376"/>
      <c r="K360" s="376">
        <v>286</v>
      </c>
      <c r="L360" s="376"/>
      <c r="M360" s="376"/>
      <c r="N360" s="376"/>
      <c r="O360" s="376"/>
      <c r="P360" s="378"/>
      <c r="Q360" s="378"/>
      <c r="R360" s="378"/>
      <c r="S360" s="378"/>
      <c r="T360" s="378"/>
      <c r="U360" s="378"/>
      <c r="V360" s="533"/>
      <c r="W360" s="378"/>
      <c r="X360" s="378"/>
      <c r="Y360" s="378">
        <f>IF(NFI_Expiration=1,IF($A360&lt;VLOOKUP(H$5,NFI,5,0),1,0)*Table_NFI[[#This Row],[Hygiene Kit]],Table_NFI[Hygiene Kit])</f>
        <v>0</v>
      </c>
      <c r="Z360" s="378">
        <f>IF(NFI_Expiration=1,IF($A360&lt;VLOOKUP(I$5,NFI,5,0),1,0)*Table_NFI[[#This Row],[NFI Core Kit]],Table_NFI[NFI Core Kit])</f>
        <v>0</v>
      </c>
      <c r="AA360" s="378">
        <f>IF(NFI_Expiration=1,IF($A360&lt;VLOOKUP(J$5,NFI,5,0),1,0)*Table_NFI[[#This Row],[Sanitary Kit]],Table_NFI[Sanitary Kit])</f>
        <v>0</v>
      </c>
      <c r="AB360" s="378">
        <f>IF(NFI_Expiration=1,IF($A360&lt;VLOOKUP(K$5,NFI,5,0),1,0)*Table_NFI[[#This Row],[Mosquito net]],Table_NFI[Mosquito net])</f>
        <v>0</v>
      </c>
      <c r="AC360" s="378">
        <f>IF(NFI_Expiration=1,IF($A360&lt;VLOOKUP(L$5,NFI,5,0),1,0)*Table_NFI[[#This Row],[Tarpaulin]],Table_NFI[[#This Row],[Tarpaulin]])</f>
        <v>0</v>
      </c>
      <c r="AD360" s="378">
        <f>IF(NFI_Expiration=1,IF($A360&lt;VLOOKUP(M$5,NFI,5,0),1,0)*Table_NFI[[#This Row],[Blanket]],Table_NFI[[#This Row],[Blanket]])</f>
        <v>0</v>
      </c>
      <c r="AE360" s="378">
        <f>IF(NFI_Expiration=1,IF($A360&lt;VLOOKUP(N$5,NFI,5,0),1,0)*Table_NFI[[#This Row],[Kitchen Set]],Table_NFI[Kitchen Set])</f>
        <v>0</v>
      </c>
      <c r="AF360" s="378">
        <f>IF(NFI_Expiration=1,IF($A360&lt;VLOOKUP(O$5,NFI,5,0),1,0)*Table_NFI[[#This Row],[Clothes Kit]],Table_NFI[Clothes Kit])</f>
        <v>0</v>
      </c>
      <c r="AG360" s="378">
        <f>IF(NFI_Expiration=1,IF($A360&lt;VLOOKUP(P$5,NFI,5,0),1,0)*Table_NFI[[#This Row],[Plastic Bucket]],Table_NFI[Plastic Bucket])</f>
        <v>0</v>
      </c>
      <c r="AH360" s="378">
        <f>IF(NFI_Expiration=1,IF($A360&lt;VLOOKUP(Q$5,NFI,5,0),1,0)*Table_NFI[[#This Row],[Plastic Mat]],Table_NFI[Plastic Mat])*IF(Table_NFI[[#This Row],[Distribution Date]]&gt;"2014-04-01",1,2.5)</f>
        <v>0</v>
      </c>
      <c r="AI360" s="378">
        <f>IF(NFI_Expiration=1,IF($A360&lt;VLOOKUP(R$5,NFI,5,0),1,0)*Table_NFI[[#This Row],[Winter Clothes Adult]],Table_NFI[Winter Clothes Adult])</f>
        <v>0</v>
      </c>
      <c r="AJ360" s="378">
        <f>IF(NFI_Expiration=1,IF($A360&lt;VLOOKUP(S$5,NFI,5,0),1,0)*Table_NFI[[#This Row],[Winter Clothes Children]],Table_NFI[Winter Clothes Children])</f>
        <v>0</v>
      </c>
      <c r="AK360" s="378">
        <f>IF(NFI_Expiration=1,IF($A360&lt;VLOOKUP(T$5,NFI,5,0),1,0)*Table_NFI[[#This Row],[Winter Items Other]],Table_NFI[Winter Items Other])</f>
        <v>0</v>
      </c>
      <c r="AL360" s="378">
        <f>IF(NFI_Expiration=1,IF($A360&lt;VLOOKUP(M$5,NFI,5,0),1,0)*Table_NFI[[#This Row],[Winter Blanket]],Table_NFI[[#This Row],[Winter Blanket]])</f>
        <v>0</v>
      </c>
      <c r="AM360" s="378">
        <f>IF(Table_NFI[[#This Row],[Winter Clothes Adult]]+Table_NFI[[#This Row],[Winter Clothes Children]]+Table_NFI[[#This Row],[Winter Items Other]]+Table_NFI[[#This Row],[Winter Blanket]]&gt;0,1,0)</f>
        <v>0</v>
      </c>
      <c r="AN360" s="418">
        <f>IF(NFI_Expiration=1,IF($A360&lt;VLOOKUP(V$5,NFI,5,0),1,0)*Table_NFI[[#This Row],[Jerry Can]],Table_NFI[Jerry Can])</f>
        <v>0</v>
      </c>
      <c r="AO360" s="579" t="str">
        <f>IFERROR(VLOOKUP(Table_NFI[[#This Row],[Camp Name]],CL,2,0),"")</f>
        <v>MMR001CMP031</v>
      </c>
      <c r="AP360" s="574">
        <f ca="1">IF(Table_NFI[[#This Row],[Pcode]]="","",IF(OFFSET(CampList[Opening Date],MATCH(Table_NFI[[#This Row],[Pcode]],CampList[CP_Pcode],0)-1,0,1,1)&gt;=NFI_Monitor_Date,1,0))</f>
        <v>0</v>
      </c>
      <c r="AQ360" s="579" t="str">
        <f>IFERROR(VLOOKUP(Table_NFI[[#This Row],[Camp Name]],CL,3,0),"")</f>
        <v>Open</v>
      </c>
      <c r="AR360" s="378" t="str">
        <f ca="1">IF(Table_NFI[[#This Row],[Pcode]]="","",OFFSET(CampList[Priority],MATCH(Table_NFI[[#This Row],[Pcode]],CampList[CP_Pcode],0)-1,0,1,1))</f>
        <v>P4</v>
      </c>
      <c r="AS360" s="377">
        <f>IFERROR(Table_NFI[[#This Row],[Kitchen Set]]/VLOOKUP(Table_NFI[[#This Row],[Camp Name]],CL,4,0),"")</f>
        <v>0</v>
      </c>
      <c r="AT360" s="577"/>
      <c r="AU360" s="580"/>
    </row>
    <row r="361" spans="1:47" s="576" customFormat="1" x14ac:dyDescent="0.25">
      <c r="A361" s="381">
        <f t="shared" si="5"/>
        <v>24.533333333333335</v>
      </c>
      <c r="B361" s="571">
        <v>41786</v>
      </c>
      <c r="C361" s="572" t="s">
        <v>454</v>
      </c>
      <c r="D361" s="572" t="s">
        <v>507</v>
      </c>
      <c r="E361" s="572" t="s">
        <v>380</v>
      </c>
      <c r="F361" s="572" t="s">
        <v>310</v>
      </c>
      <c r="G361" s="572" t="s">
        <v>328</v>
      </c>
      <c r="H361" s="375"/>
      <c r="I361" s="375"/>
      <c r="J361" s="375">
        <v>50</v>
      </c>
      <c r="K361" s="375">
        <v>25</v>
      </c>
      <c r="L361" s="376">
        <v>50</v>
      </c>
      <c r="M361" s="376">
        <v>25</v>
      </c>
      <c r="N361" s="376"/>
      <c r="O361" s="376">
        <v>25</v>
      </c>
      <c r="P361" s="378">
        <v>125</v>
      </c>
      <c r="Q361" s="378"/>
      <c r="R361" s="378"/>
      <c r="S361" s="378"/>
      <c r="T361" s="378"/>
      <c r="U361" s="378"/>
      <c r="V361" s="533"/>
      <c r="W361" s="378"/>
      <c r="X361" s="378"/>
      <c r="Y361" s="378">
        <f>IF(NFI_Expiration=1,IF($A361&lt;VLOOKUP(H$5,NFI,5,0),1,0)*Table_NFI[[#This Row],[Hygiene Kit]],Table_NFI[Hygiene Kit])</f>
        <v>0</v>
      </c>
      <c r="Z361" s="378">
        <f>IF(NFI_Expiration=1,IF($A361&lt;VLOOKUP(I$5,NFI,5,0),1,0)*Table_NFI[[#This Row],[NFI Core Kit]],Table_NFI[NFI Core Kit])</f>
        <v>0</v>
      </c>
      <c r="AA361" s="378">
        <f>IF(NFI_Expiration=1,IF($A361&lt;VLOOKUP(J$5,NFI,5,0),1,0)*Table_NFI[[#This Row],[Sanitary Kit]],Table_NFI[Sanitary Kit])</f>
        <v>0</v>
      </c>
      <c r="AB361" s="378">
        <f>IF(NFI_Expiration=1,IF($A361&lt;VLOOKUP(K$5,NFI,5,0),1,0)*Table_NFI[[#This Row],[Mosquito net]],Table_NFI[Mosquito net])</f>
        <v>0</v>
      </c>
      <c r="AC361" s="378">
        <f>IF(NFI_Expiration=1,IF($A361&lt;VLOOKUP(L$5,NFI,5,0),1,0)*Table_NFI[[#This Row],[Tarpaulin]],Table_NFI[[#This Row],[Tarpaulin]])</f>
        <v>0</v>
      </c>
      <c r="AD361" s="378">
        <f>IF(NFI_Expiration=1,IF($A361&lt;VLOOKUP(M$5,NFI,5,0),1,0)*Table_NFI[[#This Row],[Blanket]],Table_NFI[[#This Row],[Blanket]])</f>
        <v>0</v>
      </c>
      <c r="AE361" s="378">
        <f>IF(NFI_Expiration=1,IF($A361&lt;VLOOKUP(N$5,NFI,5,0),1,0)*Table_NFI[[#This Row],[Kitchen Set]],Table_NFI[Kitchen Set])</f>
        <v>0</v>
      </c>
      <c r="AF361" s="378">
        <f>IF(NFI_Expiration=1,IF($A361&lt;VLOOKUP(O$5,NFI,5,0),1,0)*Table_NFI[[#This Row],[Clothes Kit]],Table_NFI[Clothes Kit])</f>
        <v>0</v>
      </c>
      <c r="AG361" s="378">
        <f>IF(NFI_Expiration=1,IF($A361&lt;VLOOKUP(P$5,NFI,5,0),1,0)*Table_NFI[[#This Row],[Plastic Bucket]],Table_NFI[Plastic Bucket])</f>
        <v>0</v>
      </c>
      <c r="AH361" s="378">
        <f>IF(NFI_Expiration=1,IF($A361&lt;VLOOKUP(Q$5,NFI,5,0),1,0)*Table_NFI[[#This Row],[Plastic Mat]],Table_NFI[Plastic Mat])*IF(Table_NFI[[#This Row],[Distribution Date]]&gt;"2014-04-01",1,2.5)</f>
        <v>0</v>
      </c>
      <c r="AI361" s="378">
        <f>IF(NFI_Expiration=1,IF($A361&lt;VLOOKUP(R$5,NFI,5,0),1,0)*Table_NFI[[#This Row],[Winter Clothes Adult]],Table_NFI[Winter Clothes Adult])</f>
        <v>0</v>
      </c>
      <c r="AJ361" s="378">
        <f>IF(NFI_Expiration=1,IF($A361&lt;VLOOKUP(S$5,NFI,5,0),1,0)*Table_NFI[[#This Row],[Winter Clothes Children]],Table_NFI[Winter Clothes Children])</f>
        <v>0</v>
      </c>
      <c r="AK361" s="378">
        <f>IF(NFI_Expiration=1,IF($A361&lt;VLOOKUP(T$5,NFI,5,0),1,0)*Table_NFI[[#This Row],[Winter Items Other]],Table_NFI[Winter Items Other])</f>
        <v>0</v>
      </c>
      <c r="AL361" s="378">
        <f>IF(NFI_Expiration=1,IF($A361&lt;VLOOKUP(M$5,NFI,5,0),1,0)*Table_NFI[[#This Row],[Winter Blanket]],Table_NFI[[#This Row],[Winter Blanket]])</f>
        <v>0</v>
      </c>
      <c r="AM361" s="378">
        <f>IF(Table_NFI[[#This Row],[Winter Clothes Adult]]+Table_NFI[[#This Row],[Winter Clothes Children]]+Table_NFI[[#This Row],[Winter Items Other]]+Table_NFI[[#This Row],[Winter Blanket]]&gt;0,1,0)</f>
        <v>0</v>
      </c>
      <c r="AN361" s="418">
        <f>IF(NFI_Expiration=1,IF($A361&lt;VLOOKUP(V$5,NFI,5,0),1,0)*Table_NFI[[#This Row],[Jerry Can]],Table_NFI[Jerry Can])</f>
        <v>0</v>
      </c>
      <c r="AO361" s="579" t="str">
        <f>IFERROR(VLOOKUP(Table_NFI[[#This Row],[Camp Name]],CL,2,0),"")</f>
        <v>MMR001CMP031</v>
      </c>
      <c r="AP361" s="574">
        <f ca="1">IF(Table_NFI[[#This Row],[Pcode]]="","",IF(OFFSET(CampList[Opening Date],MATCH(Table_NFI[[#This Row],[Pcode]],CampList[CP_Pcode],0)-1,0,1,1)&gt;=NFI_Monitor_Date,1,0))</f>
        <v>0</v>
      </c>
      <c r="AQ361" s="579" t="str">
        <f>IFERROR(VLOOKUP(Table_NFI[[#This Row],[Camp Name]],CL,3,0),"")</f>
        <v>Open</v>
      </c>
      <c r="AR361" s="378" t="str">
        <f ca="1">IF(Table_NFI[[#This Row],[Pcode]]="","",OFFSET(CampList[Priority],MATCH(Table_NFI[[#This Row],[Pcode]],CampList[CP_Pcode],0)-1,0,1,1))</f>
        <v>P4</v>
      </c>
      <c r="AS361" s="377">
        <f>IFERROR(Table_NFI[[#This Row],[Kitchen Set]]/VLOOKUP(Table_NFI[[#This Row],[Camp Name]],CL,4,0),"")</f>
        <v>0</v>
      </c>
      <c r="AT361" s="572"/>
      <c r="AU361" s="575"/>
    </row>
    <row r="362" spans="1:47" s="576" customFormat="1" x14ac:dyDescent="0.25">
      <c r="A362" s="381">
        <f t="shared" si="5"/>
        <v>24.8</v>
      </c>
      <c r="B362" s="571">
        <v>41778</v>
      </c>
      <c r="C362" s="572" t="s">
        <v>1107</v>
      </c>
      <c r="D362" s="572" t="s">
        <v>903</v>
      </c>
      <c r="E362" s="572" t="s">
        <v>380</v>
      </c>
      <c r="F362" s="572" t="s">
        <v>310</v>
      </c>
      <c r="G362" s="572" t="s">
        <v>328</v>
      </c>
      <c r="H362" s="375"/>
      <c r="I362" s="375"/>
      <c r="J362" s="375"/>
      <c r="K362" s="375"/>
      <c r="L362" s="376"/>
      <c r="M362" s="376"/>
      <c r="N362" s="376"/>
      <c r="O362" s="376"/>
      <c r="P362" s="378"/>
      <c r="Q362" s="378"/>
      <c r="R362" s="378"/>
      <c r="S362" s="378"/>
      <c r="T362" s="378"/>
      <c r="U362" s="378">
        <v>224</v>
      </c>
      <c r="V362" s="533"/>
      <c r="W362" s="378"/>
      <c r="X362" s="378"/>
      <c r="Y362" s="378">
        <f>IF(NFI_Expiration=1,IF($A362&lt;VLOOKUP(H$5,NFI,5,0),1,0)*Table_NFI[[#This Row],[Hygiene Kit]],Table_NFI[Hygiene Kit])</f>
        <v>0</v>
      </c>
      <c r="Z362" s="378">
        <f>IF(NFI_Expiration=1,IF($A362&lt;VLOOKUP(I$5,NFI,5,0),1,0)*Table_NFI[[#This Row],[NFI Core Kit]],Table_NFI[NFI Core Kit])</f>
        <v>0</v>
      </c>
      <c r="AA362" s="378">
        <f>IF(NFI_Expiration=1,IF($A362&lt;VLOOKUP(J$5,NFI,5,0),1,0)*Table_NFI[[#This Row],[Sanitary Kit]],Table_NFI[Sanitary Kit])</f>
        <v>0</v>
      </c>
      <c r="AB362" s="378">
        <f>IF(NFI_Expiration=1,IF($A362&lt;VLOOKUP(K$5,NFI,5,0),1,0)*Table_NFI[[#This Row],[Mosquito net]],Table_NFI[Mosquito net])</f>
        <v>0</v>
      </c>
      <c r="AC362" s="378">
        <f>IF(NFI_Expiration=1,IF($A362&lt;VLOOKUP(L$5,NFI,5,0),1,0)*Table_NFI[[#This Row],[Tarpaulin]],Table_NFI[[#This Row],[Tarpaulin]])</f>
        <v>0</v>
      </c>
      <c r="AD362" s="378">
        <f>IF(NFI_Expiration=1,IF($A362&lt;VLOOKUP(M$5,NFI,5,0),1,0)*Table_NFI[[#This Row],[Blanket]],Table_NFI[[#This Row],[Blanket]])</f>
        <v>0</v>
      </c>
      <c r="AE362" s="378">
        <f>IF(NFI_Expiration=1,IF($A362&lt;VLOOKUP(N$5,NFI,5,0),1,0)*Table_NFI[[#This Row],[Kitchen Set]],Table_NFI[Kitchen Set])</f>
        <v>0</v>
      </c>
      <c r="AF362" s="378">
        <f>IF(NFI_Expiration=1,IF($A362&lt;VLOOKUP(O$5,NFI,5,0),1,0)*Table_NFI[[#This Row],[Clothes Kit]],Table_NFI[Clothes Kit])</f>
        <v>0</v>
      </c>
      <c r="AG362" s="378">
        <f>IF(NFI_Expiration=1,IF($A362&lt;VLOOKUP(P$5,NFI,5,0),1,0)*Table_NFI[[#This Row],[Plastic Bucket]],Table_NFI[Plastic Bucket])</f>
        <v>0</v>
      </c>
      <c r="AH362" s="378">
        <f>IF(NFI_Expiration=1,IF($A362&lt;VLOOKUP(Q$5,NFI,5,0),1,0)*Table_NFI[[#This Row],[Plastic Mat]],Table_NFI[Plastic Mat])*IF(Table_NFI[[#This Row],[Distribution Date]]&gt;"2014-04-01",1,2.5)</f>
        <v>0</v>
      </c>
      <c r="AI362" s="378">
        <f>IF(NFI_Expiration=1,IF($A362&lt;VLOOKUP(R$5,NFI,5,0),1,0)*Table_NFI[[#This Row],[Winter Clothes Adult]],Table_NFI[Winter Clothes Adult])</f>
        <v>0</v>
      </c>
      <c r="AJ362" s="378">
        <f>IF(NFI_Expiration=1,IF($A362&lt;VLOOKUP(S$5,NFI,5,0),1,0)*Table_NFI[[#This Row],[Winter Clothes Children]],Table_NFI[Winter Clothes Children])</f>
        <v>0</v>
      </c>
      <c r="AK362" s="378">
        <f>IF(NFI_Expiration=1,IF($A362&lt;VLOOKUP(T$5,NFI,5,0),1,0)*Table_NFI[[#This Row],[Winter Items Other]],Table_NFI[Winter Items Other])</f>
        <v>0</v>
      </c>
      <c r="AL362" s="378">
        <f>IF(NFI_Expiration=1,IF($A362&lt;VLOOKUP(M$5,NFI,5,0),1,0)*Table_NFI[[#This Row],[Winter Blanket]],Table_NFI[[#This Row],[Winter Blanket]])</f>
        <v>0</v>
      </c>
      <c r="AM362" s="378">
        <f>IF(Table_NFI[[#This Row],[Winter Clothes Adult]]+Table_NFI[[#This Row],[Winter Clothes Children]]+Table_NFI[[#This Row],[Winter Items Other]]+Table_NFI[[#This Row],[Winter Blanket]]&gt;0,1,0)</f>
        <v>1</v>
      </c>
      <c r="AN362" s="418">
        <f>IF(NFI_Expiration=1,IF($A362&lt;VLOOKUP(V$5,NFI,5,0),1,0)*Table_NFI[[#This Row],[Jerry Can]],Table_NFI[Jerry Can])</f>
        <v>0</v>
      </c>
      <c r="AO362" s="579" t="str">
        <f>IFERROR(VLOOKUP(Table_NFI[[#This Row],[Camp Name]],CL,2,0),"")</f>
        <v>MMR001CMP031</v>
      </c>
      <c r="AP362" s="574">
        <f ca="1">IF(Table_NFI[[#This Row],[Pcode]]="","",IF(OFFSET(CampList[Opening Date],MATCH(Table_NFI[[#This Row],[Pcode]],CampList[CP_Pcode],0)-1,0,1,1)&gt;=NFI_Monitor_Date,1,0))</f>
        <v>0</v>
      </c>
      <c r="AQ362" s="579" t="str">
        <f>IFERROR(VLOOKUP(Table_NFI[[#This Row],[Camp Name]],CL,3,0),"")</f>
        <v>Open</v>
      </c>
      <c r="AR362" s="378" t="str">
        <f ca="1">IF(Table_NFI[[#This Row],[Pcode]]="","",OFFSET(CampList[Priority],MATCH(Table_NFI[[#This Row],[Pcode]],CampList[CP_Pcode],0)-1,0,1,1))</f>
        <v>P4</v>
      </c>
      <c r="AS362" s="377">
        <f>IFERROR(Table_NFI[[#This Row],[Kitchen Set]]/VLOOKUP(Table_NFI[[#This Row],[Camp Name]],CL,4,0),"")</f>
        <v>0</v>
      </c>
      <c r="AT362" s="572"/>
      <c r="AU362" s="575"/>
    </row>
    <row r="363" spans="1:47" s="576" customFormat="1" x14ac:dyDescent="0.25">
      <c r="A363" s="381">
        <f t="shared" si="5"/>
        <v>29.8</v>
      </c>
      <c r="B363" s="571">
        <v>41628</v>
      </c>
      <c r="C363" s="572" t="s">
        <v>908</v>
      </c>
      <c r="D363" s="572" t="s">
        <v>462</v>
      </c>
      <c r="E363" s="572" t="s">
        <v>380</v>
      </c>
      <c r="F363" s="572" t="s">
        <v>310</v>
      </c>
      <c r="G363" s="572" t="s">
        <v>328</v>
      </c>
      <c r="H363" s="375"/>
      <c r="I363" s="375"/>
      <c r="J363" s="375"/>
      <c r="K363" s="375"/>
      <c r="L363" s="376"/>
      <c r="M363" s="376"/>
      <c r="N363" s="376"/>
      <c r="O363" s="376"/>
      <c r="P363" s="378"/>
      <c r="Q363" s="378"/>
      <c r="R363" s="378">
        <v>141</v>
      </c>
      <c r="S363" s="378">
        <v>265</v>
      </c>
      <c r="T363" s="378">
        <v>812</v>
      </c>
      <c r="U363" s="378">
        <v>406</v>
      </c>
      <c r="V363" s="533"/>
      <c r="W363" s="378"/>
      <c r="X363" s="378"/>
      <c r="Y363" s="378">
        <f>IF(NFI_Expiration=1,IF($A363&lt;VLOOKUP(H$5,NFI,5,0),1,0)*Table_NFI[[#This Row],[Hygiene Kit]],Table_NFI[Hygiene Kit])</f>
        <v>0</v>
      </c>
      <c r="Z363" s="378">
        <f>IF(NFI_Expiration=1,IF($A363&lt;VLOOKUP(I$5,NFI,5,0),1,0)*Table_NFI[[#This Row],[NFI Core Kit]],Table_NFI[NFI Core Kit])</f>
        <v>0</v>
      </c>
      <c r="AA363" s="378">
        <f>IF(NFI_Expiration=1,IF($A363&lt;VLOOKUP(J$5,NFI,5,0),1,0)*Table_NFI[[#This Row],[Sanitary Kit]],Table_NFI[Sanitary Kit])</f>
        <v>0</v>
      </c>
      <c r="AB363" s="378">
        <f>IF(NFI_Expiration=1,IF($A363&lt;VLOOKUP(K$5,NFI,5,0),1,0)*Table_NFI[[#This Row],[Mosquito net]],Table_NFI[Mosquito net])</f>
        <v>0</v>
      </c>
      <c r="AC363" s="378">
        <f>IF(NFI_Expiration=1,IF($A363&lt;VLOOKUP(L$5,NFI,5,0),1,0)*Table_NFI[[#This Row],[Tarpaulin]],Table_NFI[[#This Row],[Tarpaulin]])</f>
        <v>0</v>
      </c>
      <c r="AD363" s="378">
        <f>IF(NFI_Expiration=1,IF($A363&lt;VLOOKUP(M$5,NFI,5,0),1,0)*Table_NFI[[#This Row],[Blanket]],Table_NFI[[#This Row],[Blanket]])</f>
        <v>0</v>
      </c>
      <c r="AE363" s="378">
        <f>IF(NFI_Expiration=1,IF($A363&lt;VLOOKUP(N$5,NFI,5,0),1,0)*Table_NFI[[#This Row],[Kitchen Set]],Table_NFI[Kitchen Set])</f>
        <v>0</v>
      </c>
      <c r="AF363" s="378">
        <f>IF(NFI_Expiration=1,IF($A363&lt;VLOOKUP(O$5,NFI,5,0),1,0)*Table_NFI[[#This Row],[Clothes Kit]],Table_NFI[Clothes Kit])</f>
        <v>0</v>
      </c>
      <c r="AG363" s="378">
        <f>IF(NFI_Expiration=1,IF($A363&lt;VLOOKUP(P$5,NFI,5,0),1,0)*Table_NFI[[#This Row],[Plastic Bucket]],Table_NFI[Plastic Bucket])</f>
        <v>0</v>
      </c>
      <c r="AH363" s="378">
        <f>IF(NFI_Expiration=1,IF($A363&lt;VLOOKUP(Q$5,NFI,5,0),1,0)*Table_NFI[[#This Row],[Plastic Mat]],Table_NFI[Plastic Mat])*IF(Table_NFI[[#This Row],[Distribution Date]]&gt;"2014-04-01",1,2.5)</f>
        <v>0</v>
      </c>
      <c r="AI363" s="378">
        <f>IF(NFI_Expiration=1,IF($A363&lt;VLOOKUP(R$5,NFI,5,0),1,0)*Table_NFI[[#This Row],[Winter Clothes Adult]],Table_NFI[Winter Clothes Adult])</f>
        <v>0</v>
      </c>
      <c r="AJ363" s="378">
        <f>IF(NFI_Expiration=1,IF($A363&lt;VLOOKUP(S$5,NFI,5,0),1,0)*Table_NFI[[#This Row],[Winter Clothes Children]],Table_NFI[Winter Clothes Children])</f>
        <v>0</v>
      </c>
      <c r="AK363" s="378">
        <f>IF(NFI_Expiration=1,IF($A363&lt;VLOOKUP(T$5,NFI,5,0),1,0)*Table_NFI[[#This Row],[Winter Items Other]],Table_NFI[Winter Items Other])</f>
        <v>0</v>
      </c>
      <c r="AL363" s="378">
        <f>IF(NFI_Expiration=1,IF($A363&lt;VLOOKUP(M$5,NFI,5,0),1,0)*Table_NFI[[#This Row],[Winter Blanket]],Table_NFI[[#This Row],[Winter Blanket]])</f>
        <v>0</v>
      </c>
      <c r="AM363" s="378">
        <f>IF(Table_NFI[[#This Row],[Winter Clothes Adult]]+Table_NFI[[#This Row],[Winter Clothes Children]]+Table_NFI[[#This Row],[Winter Items Other]]+Table_NFI[[#This Row],[Winter Blanket]]&gt;0,1,0)</f>
        <v>1</v>
      </c>
      <c r="AN363" s="418">
        <f>IF(NFI_Expiration=1,IF($A363&lt;VLOOKUP(V$5,NFI,5,0),1,0)*Table_NFI[[#This Row],[Jerry Can]],Table_NFI[Jerry Can])</f>
        <v>0</v>
      </c>
      <c r="AO363" s="579" t="str">
        <f>IFERROR(VLOOKUP(Table_NFI[[#This Row],[Camp Name]],CL,2,0),"")</f>
        <v>MMR001CMP031</v>
      </c>
      <c r="AP363" s="574">
        <f ca="1">IF(Table_NFI[[#This Row],[Pcode]]="","",IF(OFFSET(CampList[Opening Date],MATCH(Table_NFI[[#This Row],[Pcode]],CampList[CP_Pcode],0)-1,0,1,1)&gt;=NFI_Monitor_Date,1,0))</f>
        <v>0</v>
      </c>
      <c r="AQ363" s="579" t="str">
        <f>IFERROR(VLOOKUP(Table_NFI[[#This Row],[Camp Name]],CL,3,0),"")</f>
        <v>Open</v>
      </c>
      <c r="AR363" s="378" t="str">
        <f ca="1">IF(Table_NFI[[#This Row],[Pcode]]="","",OFFSET(CampList[Priority],MATCH(Table_NFI[[#This Row],[Pcode]],CampList[CP_Pcode],0)-1,0,1,1))</f>
        <v>P4</v>
      </c>
      <c r="AS363" s="377">
        <f>IFERROR(Table_NFI[[#This Row],[Kitchen Set]]/VLOOKUP(Table_NFI[[#This Row],[Camp Name]],CL,4,0),"")</f>
        <v>0</v>
      </c>
      <c r="AT363" s="572"/>
      <c r="AU363" s="575"/>
    </row>
    <row r="364" spans="1:47" s="576" customFormat="1" x14ac:dyDescent="0.25">
      <c r="A364" s="381">
        <f t="shared" si="5"/>
        <v>30.466666666666665</v>
      </c>
      <c r="B364" s="571">
        <v>41608</v>
      </c>
      <c r="C364" s="572" t="s">
        <v>908</v>
      </c>
      <c r="D364" s="573" t="s">
        <v>462</v>
      </c>
      <c r="E364" s="572" t="s">
        <v>380</v>
      </c>
      <c r="F364" s="572" t="s">
        <v>310</v>
      </c>
      <c r="G364" s="374" t="s">
        <v>328</v>
      </c>
      <c r="H364" s="375"/>
      <c r="I364" s="375"/>
      <c r="J364" s="375"/>
      <c r="K364" s="375"/>
      <c r="L364" s="376"/>
      <c r="M364" s="376"/>
      <c r="N364" s="376"/>
      <c r="O364" s="376"/>
      <c r="P364" s="378"/>
      <c r="Q364" s="378"/>
      <c r="R364" s="378"/>
      <c r="S364" s="378"/>
      <c r="T364" s="378"/>
      <c r="U364" s="378"/>
      <c r="V364" s="533"/>
      <c r="W364" s="378"/>
      <c r="X364" s="378"/>
      <c r="Y364" s="378">
        <f>IF(NFI_Expiration=1,IF($A364&lt;VLOOKUP(H$5,NFI,5,0),1,0)*Table_NFI[[#This Row],[Hygiene Kit]],Table_NFI[Hygiene Kit])</f>
        <v>0</v>
      </c>
      <c r="Z364" s="378">
        <f>IF(NFI_Expiration=1,IF($A364&lt;VLOOKUP(I$5,NFI,5,0),1,0)*Table_NFI[[#This Row],[NFI Core Kit]],Table_NFI[NFI Core Kit])</f>
        <v>0</v>
      </c>
      <c r="AA364" s="378">
        <f>IF(NFI_Expiration=1,IF($A364&lt;VLOOKUP(J$5,NFI,5,0),1,0)*Table_NFI[[#This Row],[Sanitary Kit]],Table_NFI[Sanitary Kit])</f>
        <v>0</v>
      </c>
      <c r="AB364" s="378">
        <f>IF(NFI_Expiration=1,IF($A364&lt;VLOOKUP(K$5,NFI,5,0),1,0)*Table_NFI[[#This Row],[Mosquito net]],Table_NFI[Mosquito net])</f>
        <v>0</v>
      </c>
      <c r="AC364" s="378">
        <f>IF(NFI_Expiration=1,IF($A364&lt;VLOOKUP(L$5,NFI,5,0),1,0)*Table_NFI[[#This Row],[Tarpaulin]],Table_NFI[[#This Row],[Tarpaulin]])</f>
        <v>0</v>
      </c>
      <c r="AD364" s="378">
        <f>IF(NFI_Expiration=1,IF($A364&lt;VLOOKUP(M$5,NFI,5,0),1,0)*Table_NFI[[#This Row],[Blanket]],Table_NFI[[#This Row],[Blanket]])</f>
        <v>0</v>
      </c>
      <c r="AE364" s="378">
        <f>IF(NFI_Expiration=1,IF($A364&lt;VLOOKUP(N$5,NFI,5,0),1,0)*Table_NFI[[#This Row],[Kitchen Set]],Table_NFI[Kitchen Set])</f>
        <v>0</v>
      </c>
      <c r="AF364" s="378">
        <f>IF(NFI_Expiration=1,IF($A364&lt;VLOOKUP(O$5,NFI,5,0),1,0)*Table_NFI[[#This Row],[Clothes Kit]],Table_NFI[Clothes Kit])</f>
        <v>0</v>
      </c>
      <c r="AG364" s="378">
        <f>IF(NFI_Expiration=1,IF($A364&lt;VLOOKUP(P$5,NFI,5,0),1,0)*Table_NFI[[#This Row],[Plastic Bucket]],Table_NFI[Plastic Bucket])</f>
        <v>0</v>
      </c>
      <c r="AH364" s="378">
        <f>IF(NFI_Expiration=1,IF($A364&lt;VLOOKUP(Q$5,NFI,5,0),1,0)*Table_NFI[[#This Row],[Plastic Mat]],Table_NFI[Plastic Mat])*IF(Table_NFI[[#This Row],[Distribution Date]]&gt;"2014-04-01",1,2.5)</f>
        <v>0</v>
      </c>
      <c r="AI364" s="378">
        <f>IF(NFI_Expiration=1,IF($A364&lt;VLOOKUP(R$5,NFI,5,0),1,0)*Table_NFI[[#This Row],[Winter Clothes Adult]],Table_NFI[Winter Clothes Adult])</f>
        <v>0</v>
      </c>
      <c r="AJ364" s="378">
        <f>IF(NFI_Expiration=1,IF($A364&lt;VLOOKUP(S$5,NFI,5,0),1,0)*Table_NFI[[#This Row],[Winter Clothes Children]],Table_NFI[Winter Clothes Children])</f>
        <v>0</v>
      </c>
      <c r="AK364" s="378">
        <f>IF(NFI_Expiration=1,IF($A364&lt;VLOOKUP(T$5,NFI,5,0),1,0)*Table_NFI[[#This Row],[Winter Items Other]],Table_NFI[Winter Items Other])</f>
        <v>0</v>
      </c>
      <c r="AL364" s="378">
        <f>IF(NFI_Expiration=1,IF($A364&lt;VLOOKUP(M$5,NFI,5,0),1,0)*Table_NFI[[#This Row],[Winter Blanket]],Table_NFI[[#This Row],[Winter Blanket]])</f>
        <v>0</v>
      </c>
      <c r="AM364" s="378">
        <f>IF(Table_NFI[[#This Row],[Winter Clothes Adult]]+Table_NFI[[#This Row],[Winter Clothes Children]]+Table_NFI[[#This Row],[Winter Items Other]]+Table_NFI[[#This Row],[Winter Blanket]]&gt;0,1,0)</f>
        <v>0</v>
      </c>
      <c r="AN364" s="418">
        <f>IF(NFI_Expiration=1,IF($A364&lt;VLOOKUP(V$5,NFI,5,0),1,0)*Table_NFI[[#This Row],[Jerry Can]],Table_NFI[Jerry Can])</f>
        <v>0</v>
      </c>
      <c r="AO364" s="579" t="str">
        <f>IFERROR(VLOOKUP(Table_NFI[[#This Row],[Camp Name]],CL,2,0),"")</f>
        <v>MMR001CMP031</v>
      </c>
      <c r="AP364" s="574">
        <f ca="1">IF(Table_NFI[[#This Row],[Pcode]]="","",IF(OFFSET(CampList[Opening Date],MATCH(Table_NFI[[#This Row],[Pcode]],CampList[CP_Pcode],0)-1,0,1,1)&gt;=NFI_Monitor_Date,1,0))</f>
        <v>0</v>
      </c>
      <c r="AQ364" s="579" t="str">
        <f>IFERROR(VLOOKUP(Table_NFI[[#This Row],[Camp Name]],CL,3,0),"")</f>
        <v>Open</v>
      </c>
      <c r="AR364" s="378" t="str">
        <f ca="1">IF(Table_NFI[[#This Row],[Pcode]]="","",OFFSET(CampList[Priority],MATCH(Table_NFI[[#This Row],[Pcode]],CampList[CP_Pcode],0)-1,0,1,1))</f>
        <v>P4</v>
      </c>
      <c r="AS364" s="377">
        <f>IFERROR(Table_NFI[[#This Row],[Kitchen Set]]/VLOOKUP(Table_NFI[[#This Row],[Camp Name]],CL,4,0),"")</f>
        <v>0</v>
      </c>
      <c r="AT364" s="572" t="s">
        <v>1095</v>
      </c>
      <c r="AU364" s="575"/>
    </row>
    <row r="365" spans="1:47" s="576" customFormat="1" x14ac:dyDescent="0.25">
      <c r="A365" s="381">
        <f t="shared" si="5"/>
        <v>34.299999999999997</v>
      </c>
      <c r="B365" s="571">
        <v>41493</v>
      </c>
      <c r="C365" s="572" t="s">
        <v>454</v>
      </c>
      <c r="D365" s="573" t="s">
        <v>454</v>
      </c>
      <c r="E365" s="572" t="s">
        <v>380</v>
      </c>
      <c r="F365" s="374" t="s">
        <v>310</v>
      </c>
      <c r="G365" s="374" t="s">
        <v>328</v>
      </c>
      <c r="H365" s="375"/>
      <c r="I365" s="375"/>
      <c r="J365" s="375">
        <v>20</v>
      </c>
      <c r="K365" s="375">
        <v>40</v>
      </c>
      <c r="L365" s="376">
        <v>17</v>
      </c>
      <c r="M365" s="376">
        <v>40</v>
      </c>
      <c r="N365" s="376">
        <v>17</v>
      </c>
      <c r="O365" s="376">
        <v>17</v>
      </c>
      <c r="P365" s="378">
        <v>17</v>
      </c>
      <c r="Q365" s="378">
        <v>17</v>
      </c>
      <c r="R365" s="378"/>
      <c r="S365" s="378"/>
      <c r="T365" s="378"/>
      <c r="U365" s="378"/>
      <c r="V365" s="533"/>
      <c r="W365" s="378"/>
      <c r="X365" s="378"/>
      <c r="Y365" s="378">
        <f>IF(NFI_Expiration=1,IF($A365&lt;VLOOKUP(H$5,NFI,5,0),1,0)*Table_NFI[[#This Row],[Hygiene Kit]],Table_NFI[Hygiene Kit])</f>
        <v>0</v>
      </c>
      <c r="Z365" s="378">
        <f>IF(NFI_Expiration=1,IF($A365&lt;VLOOKUP(I$5,NFI,5,0),1,0)*Table_NFI[[#This Row],[NFI Core Kit]],Table_NFI[NFI Core Kit])</f>
        <v>0</v>
      </c>
      <c r="AA365" s="378">
        <f>IF(NFI_Expiration=1,IF($A365&lt;VLOOKUP(J$5,NFI,5,0),1,0)*Table_NFI[[#This Row],[Sanitary Kit]],Table_NFI[Sanitary Kit])</f>
        <v>0</v>
      </c>
      <c r="AB365" s="378">
        <f>IF(NFI_Expiration=1,IF($A365&lt;VLOOKUP(K$5,NFI,5,0),1,0)*Table_NFI[[#This Row],[Mosquito net]],Table_NFI[Mosquito net])</f>
        <v>0</v>
      </c>
      <c r="AC365" s="378">
        <f>IF(NFI_Expiration=1,IF($A365&lt;VLOOKUP(L$5,NFI,5,0),1,0)*Table_NFI[[#This Row],[Tarpaulin]],Table_NFI[[#This Row],[Tarpaulin]])</f>
        <v>0</v>
      </c>
      <c r="AD365" s="378">
        <f>IF(NFI_Expiration=1,IF($A365&lt;VLOOKUP(M$5,NFI,5,0),1,0)*Table_NFI[[#This Row],[Blanket]],Table_NFI[[#This Row],[Blanket]])</f>
        <v>0</v>
      </c>
      <c r="AE365" s="378">
        <f>IF(NFI_Expiration=1,IF($A365&lt;VLOOKUP(N$5,NFI,5,0),1,0)*Table_NFI[[#This Row],[Kitchen Set]],Table_NFI[Kitchen Set])</f>
        <v>0</v>
      </c>
      <c r="AF365" s="378">
        <f>IF(NFI_Expiration=1,IF($A365&lt;VLOOKUP(O$5,NFI,5,0),1,0)*Table_NFI[[#This Row],[Clothes Kit]],Table_NFI[Clothes Kit])</f>
        <v>0</v>
      </c>
      <c r="AG365" s="378">
        <f>IF(NFI_Expiration=1,IF($A365&lt;VLOOKUP(P$5,NFI,5,0),1,0)*Table_NFI[[#This Row],[Plastic Bucket]],Table_NFI[Plastic Bucket])</f>
        <v>0</v>
      </c>
      <c r="AH365" s="378">
        <f>IF(NFI_Expiration=1,IF($A365&lt;VLOOKUP(Q$5,NFI,5,0),1,0)*Table_NFI[[#This Row],[Plastic Mat]],Table_NFI[Plastic Mat])*IF(Table_NFI[[#This Row],[Distribution Date]]&gt;"2014-04-01",1,2.5)</f>
        <v>0</v>
      </c>
      <c r="AI365" s="378">
        <f>IF(NFI_Expiration=1,IF($A365&lt;VLOOKUP(R$5,NFI,5,0),1,0)*Table_NFI[[#This Row],[Winter Clothes Adult]],Table_NFI[Winter Clothes Adult])</f>
        <v>0</v>
      </c>
      <c r="AJ365" s="378">
        <f>IF(NFI_Expiration=1,IF($A365&lt;VLOOKUP(S$5,NFI,5,0),1,0)*Table_NFI[[#This Row],[Winter Clothes Children]],Table_NFI[Winter Clothes Children])</f>
        <v>0</v>
      </c>
      <c r="AK365" s="378">
        <f>IF(NFI_Expiration=1,IF($A365&lt;VLOOKUP(T$5,NFI,5,0),1,0)*Table_NFI[[#This Row],[Winter Items Other]],Table_NFI[Winter Items Other])</f>
        <v>0</v>
      </c>
      <c r="AL365" s="378">
        <f>IF(NFI_Expiration=1,IF($A365&lt;VLOOKUP(M$5,NFI,5,0),1,0)*Table_NFI[[#This Row],[Winter Blanket]],Table_NFI[[#This Row],[Winter Blanket]])</f>
        <v>0</v>
      </c>
      <c r="AM365" s="378">
        <f>IF(Table_NFI[[#This Row],[Winter Clothes Adult]]+Table_NFI[[#This Row],[Winter Clothes Children]]+Table_NFI[[#This Row],[Winter Items Other]]+Table_NFI[[#This Row],[Winter Blanket]]&gt;0,1,0)</f>
        <v>0</v>
      </c>
      <c r="AN365" s="418">
        <f>IF(NFI_Expiration=1,IF($A365&lt;VLOOKUP(V$5,NFI,5,0),1,0)*Table_NFI[[#This Row],[Jerry Can]],Table_NFI[Jerry Can])</f>
        <v>0</v>
      </c>
      <c r="AO365" s="579" t="str">
        <f>IFERROR(VLOOKUP(Table_NFI[[#This Row],[Camp Name]],CL,2,0),"")</f>
        <v>MMR001CMP031</v>
      </c>
      <c r="AP365" s="574">
        <f ca="1">IF(Table_NFI[[#This Row],[Pcode]]="","",IF(OFFSET(CampList[Opening Date],MATCH(Table_NFI[[#This Row],[Pcode]],CampList[CP_Pcode],0)-1,0,1,1)&gt;=NFI_Monitor_Date,1,0))</f>
        <v>0</v>
      </c>
      <c r="AQ365" s="579" t="str">
        <f>IFERROR(VLOOKUP(Table_NFI[[#This Row],[Camp Name]],CL,3,0),"")</f>
        <v>Open</v>
      </c>
      <c r="AR365" s="378" t="str">
        <f ca="1">IF(Table_NFI[[#This Row],[Pcode]]="","",OFFSET(CampList[Priority],MATCH(Table_NFI[[#This Row],[Pcode]],CampList[CP_Pcode],0)-1,0,1,1))</f>
        <v>P4</v>
      </c>
      <c r="AS365" s="377">
        <f>IFERROR(Table_NFI[[#This Row],[Kitchen Set]]/VLOOKUP(Table_NFI[[#This Row],[Camp Name]],CL,4,0),"")</f>
        <v>0.11888111888111888</v>
      </c>
      <c r="AT365" s="572" t="s">
        <v>1095</v>
      </c>
      <c r="AU365" s="575"/>
    </row>
    <row r="366" spans="1:47" s="576" customFormat="1" x14ac:dyDescent="0.25">
      <c r="A366" s="381">
        <f t="shared" si="5"/>
        <v>34.766666666666666</v>
      </c>
      <c r="B366" s="571">
        <v>41479</v>
      </c>
      <c r="C366" s="572" t="s">
        <v>454</v>
      </c>
      <c r="D366" s="573" t="s">
        <v>507</v>
      </c>
      <c r="E366" s="572" t="s">
        <v>380</v>
      </c>
      <c r="F366" s="374" t="s">
        <v>310</v>
      </c>
      <c r="G366" s="374" t="s">
        <v>328</v>
      </c>
      <c r="H366" s="375"/>
      <c r="I366" s="375"/>
      <c r="J366" s="375">
        <v>10</v>
      </c>
      <c r="K366" s="375">
        <v>14</v>
      </c>
      <c r="L366" s="376">
        <v>7</v>
      </c>
      <c r="M366" s="376">
        <v>14</v>
      </c>
      <c r="N366" s="376">
        <v>7</v>
      </c>
      <c r="O366" s="376">
        <v>7</v>
      </c>
      <c r="P366" s="378">
        <v>7</v>
      </c>
      <c r="Q366" s="378">
        <v>7</v>
      </c>
      <c r="R366" s="378"/>
      <c r="S366" s="378"/>
      <c r="T366" s="378"/>
      <c r="U366" s="378"/>
      <c r="V366" s="533"/>
      <c r="W366" s="378"/>
      <c r="X366" s="378"/>
      <c r="Y366" s="378">
        <f>IF(NFI_Expiration=1,IF($A366&lt;VLOOKUP(H$5,NFI,5,0),1,0)*Table_NFI[[#This Row],[Hygiene Kit]],Table_NFI[Hygiene Kit])</f>
        <v>0</v>
      </c>
      <c r="Z366" s="378">
        <f>IF(NFI_Expiration=1,IF($A366&lt;VLOOKUP(I$5,NFI,5,0),1,0)*Table_NFI[[#This Row],[NFI Core Kit]],Table_NFI[NFI Core Kit])</f>
        <v>0</v>
      </c>
      <c r="AA366" s="378">
        <f>IF(NFI_Expiration=1,IF($A366&lt;VLOOKUP(J$5,NFI,5,0),1,0)*Table_NFI[[#This Row],[Sanitary Kit]],Table_NFI[Sanitary Kit])</f>
        <v>0</v>
      </c>
      <c r="AB366" s="378">
        <f>IF(NFI_Expiration=1,IF($A366&lt;VLOOKUP(K$5,NFI,5,0),1,0)*Table_NFI[[#This Row],[Mosquito net]],Table_NFI[Mosquito net])</f>
        <v>0</v>
      </c>
      <c r="AC366" s="378">
        <f>IF(NFI_Expiration=1,IF($A366&lt;VLOOKUP(L$5,NFI,5,0),1,0)*Table_NFI[[#This Row],[Tarpaulin]],Table_NFI[[#This Row],[Tarpaulin]])</f>
        <v>0</v>
      </c>
      <c r="AD366" s="378">
        <f>IF(NFI_Expiration=1,IF($A366&lt;VLOOKUP(M$5,NFI,5,0),1,0)*Table_NFI[[#This Row],[Blanket]],Table_NFI[[#This Row],[Blanket]])</f>
        <v>0</v>
      </c>
      <c r="AE366" s="378">
        <f>IF(NFI_Expiration=1,IF($A366&lt;VLOOKUP(N$5,NFI,5,0),1,0)*Table_NFI[[#This Row],[Kitchen Set]],Table_NFI[Kitchen Set])</f>
        <v>0</v>
      </c>
      <c r="AF366" s="378">
        <f>IF(NFI_Expiration=1,IF($A366&lt;VLOOKUP(O$5,NFI,5,0),1,0)*Table_NFI[[#This Row],[Clothes Kit]],Table_NFI[Clothes Kit])</f>
        <v>0</v>
      </c>
      <c r="AG366" s="378">
        <f>IF(NFI_Expiration=1,IF($A366&lt;VLOOKUP(P$5,NFI,5,0),1,0)*Table_NFI[[#This Row],[Plastic Bucket]],Table_NFI[Plastic Bucket])</f>
        <v>0</v>
      </c>
      <c r="AH366" s="378">
        <f>IF(NFI_Expiration=1,IF($A366&lt;VLOOKUP(Q$5,NFI,5,0),1,0)*Table_NFI[[#This Row],[Plastic Mat]],Table_NFI[Plastic Mat])*IF(Table_NFI[[#This Row],[Distribution Date]]&gt;"2014-04-01",1,2.5)</f>
        <v>0</v>
      </c>
      <c r="AI366" s="378">
        <f>IF(NFI_Expiration=1,IF($A366&lt;VLOOKUP(R$5,NFI,5,0),1,0)*Table_NFI[[#This Row],[Winter Clothes Adult]],Table_NFI[Winter Clothes Adult])</f>
        <v>0</v>
      </c>
      <c r="AJ366" s="378">
        <f>IF(NFI_Expiration=1,IF($A366&lt;VLOOKUP(S$5,NFI,5,0),1,0)*Table_NFI[[#This Row],[Winter Clothes Children]],Table_NFI[Winter Clothes Children])</f>
        <v>0</v>
      </c>
      <c r="AK366" s="378">
        <f>IF(NFI_Expiration=1,IF($A366&lt;VLOOKUP(T$5,NFI,5,0),1,0)*Table_NFI[[#This Row],[Winter Items Other]],Table_NFI[Winter Items Other])</f>
        <v>0</v>
      </c>
      <c r="AL366" s="378">
        <f>IF(NFI_Expiration=1,IF($A366&lt;VLOOKUP(M$5,NFI,5,0),1,0)*Table_NFI[[#This Row],[Winter Blanket]],Table_NFI[[#This Row],[Winter Blanket]])</f>
        <v>0</v>
      </c>
      <c r="AM366" s="378">
        <f>IF(Table_NFI[[#This Row],[Winter Clothes Adult]]+Table_NFI[[#This Row],[Winter Clothes Children]]+Table_NFI[[#This Row],[Winter Items Other]]+Table_NFI[[#This Row],[Winter Blanket]]&gt;0,1,0)</f>
        <v>0</v>
      </c>
      <c r="AN366" s="418">
        <f>IF(NFI_Expiration=1,IF($A366&lt;VLOOKUP(V$5,NFI,5,0),1,0)*Table_NFI[[#This Row],[Jerry Can]],Table_NFI[Jerry Can])</f>
        <v>0</v>
      </c>
      <c r="AO366" s="579" t="str">
        <f>IFERROR(VLOOKUP(Table_NFI[[#This Row],[Camp Name]],CL,2,0),"")</f>
        <v>MMR001CMP031</v>
      </c>
      <c r="AP366" s="574">
        <f ca="1">IF(Table_NFI[[#This Row],[Pcode]]="","",IF(OFFSET(CampList[Opening Date],MATCH(Table_NFI[[#This Row],[Pcode]],CampList[CP_Pcode],0)-1,0,1,1)&gt;=NFI_Monitor_Date,1,0))</f>
        <v>0</v>
      </c>
      <c r="AQ366" s="579" t="str">
        <f>IFERROR(VLOOKUP(Table_NFI[[#This Row],[Camp Name]],CL,3,0),"")</f>
        <v>Open</v>
      </c>
      <c r="AR366" s="378" t="str">
        <f ca="1">IF(Table_NFI[[#This Row],[Pcode]]="","",OFFSET(CampList[Priority],MATCH(Table_NFI[[#This Row],[Pcode]],CampList[CP_Pcode],0)-1,0,1,1))</f>
        <v>P4</v>
      </c>
      <c r="AS366" s="377">
        <f>IFERROR(Table_NFI[[#This Row],[Kitchen Set]]/VLOOKUP(Table_NFI[[#This Row],[Camp Name]],CL,4,0),"")</f>
        <v>4.8951048951048952E-2</v>
      </c>
      <c r="AT366" s="572" t="s">
        <v>1095</v>
      </c>
      <c r="AU366" s="575"/>
    </row>
    <row r="367" spans="1:47" s="576" customFormat="1" x14ac:dyDescent="0.25">
      <c r="A367" s="381">
        <f t="shared" si="5"/>
        <v>38.5</v>
      </c>
      <c r="B367" s="571">
        <v>41367</v>
      </c>
      <c r="C367" s="572" t="s">
        <v>454</v>
      </c>
      <c r="D367" s="572" t="s">
        <v>454</v>
      </c>
      <c r="E367" s="572" t="s">
        <v>380</v>
      </c>
      <c r="F367" s="374" t="s">
        <v>310</v>
      </c>
      <c r="G367" s="374" t="s">
        <v>328</v>
      </c>
      <c r="H367" s="375"/>
      <c r="I367" s="375"/>
      <c r="J367" s="375">
        <v>15</v>
      </c>
      <c r="K367" s="375">
        <v>22</v>
      </c>
      <c r="L367" s="376">
        <v>11</v>
      </c>
      <c r="M367" s="376">
        <v>22</v>
      </c>
      <c r="N367" s="376">
        <v>11</v>
      </c>
      <c r="O367" s="376">
        <v>11</v>
      </c>
      <c r="P367" s="378">
        <v>11</v>
      </c>
      <c r="Q367" s="378">
        <v>11</v>
      </c>
      <c r="R367" s="378"/>
      <c r="S367" s="378"/>
      <c r="T367" s="378"/>
      <c r="U367" s="378"/>
      <c r="V367" s="533"/>
      <c r="W367" s="378"/>
      <c r="X367" s="378"/>
      <c r="Y367" s="378">
        <f>IF(NFI_Expiration=1,IF($A367&lt;VLOOKUP(H$5,NFI,5,0),1,0)*Table_NFI[[#This Row],[Hygiene Kit]],Table_NFI[Hygiene Kit])</f>
        <v>0</v>
      </c>
      <c r="Z367" s="378">
        <f>IF(NFI_Expiration=1,IF($A367&lt;VLOOKUP(I$5,NFI,5,0),1,0)*Table_NFI[[#This Row],[NFI Core Kit]],Table_NFI[NFI Core Kit])</f>
        <v>0</v>
      </c>
      <c r="AA367" s="378">
        <f>IF(NFI_Expiration=1,IF($A367&lt;VLOOKUP(J$5,NFI,5,0),1,0)*Table_NFI[[#This Row],[Sanitary Kit]],Table_NFI[Sanitary Kit])</f>
        <v>0</v>
      </c>
      <c r="AB367" s="378">
        <f>IF(NFI_Expiration=1,IF($A367&lt;VLOOKUP(K$5,NFI,5,0),1,0)*Table_NFI[[#This Row],[Mosquito net]],Table_NFI[Mosquito net])</f>
        <v>0</v>
      </c>
      <c r="AC367" s="378">
        <f>IF(NFI_Expiration=1,IF($A367&lt;VLOOKUP(L$5,NFI,5,0),1,0)*Table_NFI[[#This Row],[Tarpaulin]],Table_NFI[[#This Row],[Tarpaulin]])</f>
        <v>0</v>
      </c>
      <c r="AD367" s="378">
        <f>IF(NFI_Expiration=1,IF($A367&lt;VLOOKUP(M$5,NFI,5,0),1,0)*Table_NFI[[#This Row],[Blanket]],Table_NFI[[#This Row],[Blanket]])</f>
        <v>0</v>
      </c>
      <c r="AE367" s="378">
        <f>IF(NFI_Expiration=1,IF($A367&lt;VLOOKUP(N$5,NFI,5,0),1,0)*Table_NFI[[#This Row],[Kitchen Set]],Table_NFI[Kitchen Set])</f>
        <v>0</v>
      </c>
      <c r="AF367" s="378">
        <f>IF(NFI_Expiration=1,IF($A367&lt;VLOOKUP(O$5,NFI,5,0),1,0)*Table_NFI[[#This Row],[Clothes Kit]],Table_NFI[Clothes Kit])</f>
        <v>0</v>
      </c>
      <c r="AG367" s="378">
        <f>IF(NFI_Expiration=1,IF($A367&lt;VLOOKUP(P$5,NFI,5,0),1,0)*Table_NFI[[#This Row],[Plastic Bucket]],Table_NFI[Plastic Bucket])</f>
        <v>0</v>
      </c>
      <c r="AH367" s="378">
        <f>IF(NFI_Expiration=1,IF($A367&lt;VLOOKUP(Q$5,NFI,5,0),1,0)*Table_NFI[[#This Row],[Plastic Mat]],Table_NFI[Plastic Mat])*IF(Table_NFI[[#This Row],[Distribution Date]]&gt;"2014-04-01",1,2.5)</f>
        <v>0</v>
      </c>
      <c r="AI367" s="378">
        <f>IF(NFI_Expiration=1,IF($A367&lt;VLOOKUP(R$5,NFI,5,0),1,0)*Table_NFI[[#This Row],[Winter Clothes Adult]],Table_NFI[Winter Clothes Adult])</f>
        <v>0</v>
      </c>
      <c r="AJ367" s="378">
        <f>IF(NFI_Expiration=1,IF($A367&lt;VLOOKUP(S$5,NFI,5,0),1,0)*Table_NFI[[#This Row],[Winter Clothes Children]],Table_NFI[Winter Clothes Children])</f>
        <v>0</v>
      </c>
      <c r="AK367" s="378">
        <f>IF(NFI_Expiration=1,IF($A367&lt;VLOOKUP(T$5,NFI,5,0),1,0)*Table_NFI[[#This Row],[Winter Items Other]],Table_NFI[Winter Items Other])</f>
        <v>0</v>
      </c>
      <c r="AL367" s="378">
        <f>IF(NFI_Expiration=1,IF($A367&lt;VLOOKUP(M$5,NFI,5,0),1,0)*Table_NFI[[#This Row],[Winter Blanket]],Table_NFI[[#This Row],[Winter Blanket]])</f>
        <v>0</v>
      </c>
      <c r="AM367" s="378">
        <f>IF(Table_NFI[[#This Row],[Winter Clothes Adult]]+Table_NFI[[#This Row],[Winter Clothes Children]]+Table_NFI[[#This Row],[Winter Items Other]]+Table_NFI[[#This Row],[Winter Blanket]]&gt;0,1,0)</f>
        <v>0</v>
      </c>
      <c r="AN367" s="418">
        <f>IF(NFI_Expiration=1,IF($A367&lt;VLOOKUP(V$5,NFI,5,0),1,0)*Table_NFI[[#This Row],[Jerry Can]],Table_NFI[Jerry Can])</f>
        <v>0</v>
      </c>
      <c r="AO367" s="579" t="str">
        <f>IFERROR(VLOOKUP(Table_NFI[[#This Row],[Camp Name]],CL,2,0),"")</f>
        <v>MMR001CMP031</v>
      </c>
      <c r="AP367" s="574">
        <f ca="1">IF(Table_NFI[[#This Row],[Pcode]]="","",IF(OFFSET(CampList[Opening Date],MATCH(Table_NFI[[#This Row],[Pcode]],CampList[CP_Pcode],0)-1,0,1,1)&gt;=NFI_Monitor_Date,1,0))</f>
        <v>0</v>
      </c>
      <c r="AQ367" s="579" t="str">
        <f>IFERROR(VLOOKUP(Table_NFI[[#This Row],[Camp Name]],CL,3,0),"")</f>
        <v>Open</v>
      </c>
      <c r="AR367" s="378" t="str">
        <f ca="1">IF(Table_NFI[[#This Row],[Pcode]]="","",OFFSET(CampList[Priority],MATCH(Table_NFI[[#This Row],[Pcode]],CampList[CP_Pcode],0)-1,0,1,1))</f>
        <v>P4</v>
      </c>
      <c r="AS367" s="377">
        <f>IFERROR(Table_NFI[[#This Row],[Kitchen Set]]/VLOOKUP(Table_NFI[[#This Row],[Camp Name]],CL,4,0),"")</f>
        <v>7.6923076923076927E-2</v>
      </c>
      <c r="AT367" s="572" t="s">
        <v>1095</v>
      </c>
      <c r="AU367" s="575"/>
    </row>
    <row r="368" spans="1:47" s="576" customFormat="1" x14ac:dyDescent="0.25">
      <c r="A368" s="381">
        <f t="shared" si="5"/>
        <v>39.666666666666664</v>
      </c>
      <c r="B368" s="571">
        <v>41332</v>
      </c>
      <c r="C368" s="572" t="s">
        <v>454</v>
      </c>
      <c r="D368" s="573" t="s">
        <v>454</v>
      </c>
      <c r="E368" s="572" t="s">
        <v>380</v>
      </c>
      <c r="F368" s="374" t="s">
        <v>310</v>
      </c>
      <c r="G368" s="374" t="s">
        <v>328</v>
      </c>
      <c r="H368" s="375"/>
      <c r="I368" s="375"/>
      <c r="J368" s="375">
        <v>23</v>
      </c>
      <c r="K368" s="375">
        <v>40</v>
      </c>
      <c r="L368" s="376">
        <v>18</v>
      </c>
      <c r="M368" s="376">
        <v>40</v>
      </c>
      <c r="N368" s="376">
        <v>18</v>
      </c>
      <c r="O368" s="376">
        <v>18</v>
      </c>
      <c r="P368" s="378">
        <v>18</v>
      </c>
      <c r="Q368" s="378">
        <v>18</v>
      </c>
      <c r="R368" s="378"/>
      <c r="S368" s="378"/>
      <c r="T368" s="378"/>
      <c r="U368" s="378"/>
      <c r="V368" s="533"/>
      <c r="W368" s="378"/>
      <c r="X368" s="378"/>
      <c r="Y368" s="378">
        <f>IF(NFI_Expiration=1,IF($A368&lt;VLOOKUP(H$5,NFI,5,0),1,0)*Table_NFI[[#This Row],[Hygiene Kit]],Table_NFI[Hygiene Kit])</f>
        <v>0</v>
      </c>
      <c r="Z368" s="378">
        <f>IF(NFI_Expiration=1,IF($A368&lt;VLOOKUP(I$5,NFI,5,0),1,0)*Table_NFI[[#This Row],[NFI Core Kit]],Table_NFI[NFI Core Kit])</f>
        <v>0</v>
      </c>
      <c r="AA368" s="378">
        <f>IF(NFI_Expiration=1,IF($A368&lt;VLOOKUP(J$5,NFI,5,0),1,0)*Table_NFI[[#This Row],[Sanitary Kit]],Table_NFI[Sanitary Kit])</f>
        <v>0</v>
      </c>
      <c r="AB368" s="378">
        <f>IF(NFI_Expiration=1,IF($A368&lt;VLOOKUP(K$5,NFI,5,0),1,0)*Table_NFI[[#This Row],[Mosquito net]],Table_NFI[Mosquito net])</f>
        <v>0</v>
      </c>
      <c r="AC368" s="378">
        <f>IF(NFI_Expiration=1,IF($A368&lt;VLOOKUP(L$5,NFI,5,0),1,0)*Table_NFI[[#This Row],[Tarpaulin]],Table_NFI[[#This Row],[Tarpaulin]])</f>
        <v>0</v>
      </c>
      <c r="AD368" s="378">
        <f>IF(NFI_Expiration=1,IF($A368&lt;VLOOKUP(M$5,NFI,5,0),1,0)*Table_NFI[[#This Row],[Blanket]],Table_NFI[[#This Row],[Blanket]])</f>
        <v>0</v>
      </c>
      <c r="AE368" s="378">
        <f>IF(NFI_Expiration=1,IF($A368&lt;VLOOKUP(N$5,NFI,5,0),1,0)*Table_NFI[[#This Row],[Kitchen Set]],Table_NFI[Kitchen Set])</f>
        <v>0</v>
      </c>
      <c r="AF368" s="378">
        <f>IF(NFI_Expiration=1,IF($A368&lt;VLOOKUP(O$5,NFI,5,0),1,0)*Table_NFI[[#This Row],[Clothes Kit]],Table_NFI[Clothes Kit])</f>
        <v>0</v>
      </c>
      <c r="AG368" s="378">
        <f>IF(NFI_Expiration=1,IF($A368&lt;VLOOKUP(P$5,NFI,5,0),1,0)*Table_NFI[[#This Row],[Plastic Bucket]],Table_NFI[Plastic Bucket])</f>
        <v>0</v>
      </c>
      <c r="AH368" s="378">
        <f>IF(NFI_Expiration=1,IF($A368&lt;VLOOKUP(Q$5,NFI,5,0),1,0)*Table_NFI[[#This Row],[Plastic Mat]],Table_NFI[Plastic Mat])*IF(Table_NFI[[#This Row],[Distribution Date]]&gt;"2014-04-01",1,2.5)</f>
        <v>0</v>
      </c>
      <c r="AI368" s="378">
        <f>IF(NFI_Expiration=1,IF($A368&lt;VLOOKUP(R$5,NFI,5,0),1,0)*Table_NFI[[#This Row],[Winter Clothes Adult]],Table_NFI[Winter Clothes Adult])</f>
        <v>0</v>
      </c>
      <c r="AJ368" s="378">
        <f>IF(NFI_Expiration=1,IF($A368&lt;VLOOKUP(S$5,NFI,5,0),1,0)*Table_NFI[[#This Row],[Winter Clothes Children]],Table_NFI[Winter Clothes Children])</f>
        <v>0</v>
      </c>
      <c r="AK368" s="378">
        <f>IF(NFI_Expiration=1,IF($A368&lt;VLOOKUP(T$5,NFI,5,0),1,0)*Table_NFI[[#This Row],[Winter Items Other]],Table_NFI[Winter Items Other])</f>
        <v>0</v>
      </c>
      <c r="AL368" s="378">
        <f>IF(NFI_Expiration=1,IF($A368&lt;VLOOKUP(M$5,NFI,5,0),1,0)*Table_NFI[[#This Row],[Winter Blanket]],Table_NFI[[#This Row],[Winter Blanket]])</f>
        <v>0</v>
      </c>
      <c r="AM368" s="378">
        <f>IF(Table_NFI[[#This Row],[Winter Clothes Adult]]+Table_NFI[[#This Row],[Winter Clothes Children]]+Table_NFI[[#This Row],[Winter Items Other]]+Table_NFI[[#This Row],[Winter Blanket]]&gt;0,1,0)</f>
        <v>0</v>
      </c>
      <c r="AN368" s="418">
        <f>IF(NFI_Expiration=1,IF($A368&lt;VLOOKUP(V$5,NFI,5,0),1,0)*Table_NFI[[#This Row],[Jerry Can]],Table_NFI[Jerry Can])</f>
        <v>0</v>
      </c>
      <c r="AO368" s="579" t="str">
        <f>IFERROR(VLOOKUP(Table_NFI[[#This Row],[Camp Name]],CL,2,0),"")</f>
        <v>MMR001CMP031</v>
      </c>
      <c r="AP368" s="574">
        <f ca="1">IF(Table_NFI[[#This Row],[Pcode]]="","",IF(OFFSET(CampList[Opening Date],MATCH(Table_NFI[[#This Row],[Pcode]],CampList[CP_Pcode],0)-1,0,1,1)&gt;=NFI_Monitor_Date,1,0))</f>
        <v>0</v>
      </c>
      <c r="AQ368" s="579" t="str">
        <f>IFERROR(VLOOKUP(Table_NFI[[#This Row],[Camp Name]],CL,3,0),"")</f>
        <v>Open</v>
      </c>
      <c r="AR368" s="378" t="str">
        <f ca="1">IF(Table_NFI[[#This Row],[Pcode]]="","",OFFSET(CampList[Priority],MATCH(Table_NFI[[#This Row],[Pcode]],CampList[CP_Pcode],0)-1,0,1,1))</f>
        <v>P4</v>
      </c>
      <c r="AS368" s="377">
        <f>IFERROR(Table_NFI[[#This Row],[Kitchen Set]]/VLOOKUP(Table_NFI[[#This Row],[Camp Name]],CL,4,0),"")</f>
        <v>0.12587412587412589</v>
      </c>
      <c r="AT368" s="572" t="s">
        <v>1095</v>
      </c>
      <c r="AU368" s="575"/>
    </row>
    <row r="369" spans="1:47" s="576" customFormat="1" x14ac:dyDescent="0.25">
      <c r="A369" s="381">
        <f t="shared" si="5"/>
        <v>40.4</v>
      </c>
      <c r="B369" s="571">
        <v>41310</v>
      </c>
      <c r="C369" s="572" t="s">
        <v>454</v>
      </c>
      <c r="D369" s="572" t="s">
        <v>454</v>
      </c>
      <c r="E369" s="572" t="s">
        <v>380</v>
      </c>
      <c r="F369" s="374" t="s">
        <v>310</v>
      </c>
      <c r="G369" s="374" t="s">
        <v>328</v>
      </c>
      <c r="H369" s="375"/>
      <c r="I369" s="375"/>
      <c r="J369" s="375">
        <v>37</v>
      </c>
      <c r="K369" s="375">
        <v>70</v>
      </c>
      <c r="L369" s="376">
        <v>34</v>
      </c>
      <c r="M369" s="376">
        <v>70</v>
      </c>
      <c r="N369" s="376">
        <v>34</v>
      </c>
      <c r="O369" s="376">
        <v>34</v>
      </c>
      <c r="P369" s="378">
        <v>34</v>
      </c>
      <c r="Q369" s="378">
        <v>34</v>
      </c>
      <c r="R369" s="378"/>
      <c r="S369" s="378"/>
      <c r="T369" s="378"/>
      <c r="U369" s="378"/>
      <c r="V369" s="533"/>
      <c r="W369" s="378"/>
      <c r="X369" s="378"/>
      <c r="Y369" s="378">
        <f>IF(NFI_Expiration=1,IF($A369&lt;VLOOKUP(H$5,NFI,5,0),1,0)*Table_NFI[[#This Row],[Hygiene Kit]],Table_NFI[Hygiene Kit])</f>
        <v>0</v>
      </c>
      <c r="Z369" s="378">
        <f>IF(NFI_Expiration=1,IF($A369&lt;VLOOKUP(I$5,NFI,5,0),1,0)*Table_NFI[[#This Row],[NFI Core Kit]],Table_NFI[NFI Core Kit])</f>
        <v>0</v>
      </c>
      <c r="AA369" s="378">
        <f>IF(NFI_Expiration=1,IF($A369&lt;VLOOKUP(J$5,NFI,5,0),1,0)*Table_NFI[[#This Row],[Sanitary Kit]],Table_NFI[Sanitary Kit])</f>
        <v>0</v>
      </c>
      <c r="AB369" s="378">
        <f>IF(NFI_Expiration=1,IF($A369&lt;VLOOKUP(K$5,NFI,5,0),1,0)*Table_NFI[[#This Row],[Mosquito net]],Table_NFI[Mosquito net])</f>
        <v>0</v>
      </c>
      <c r="AC369" s="378">
        <f>IF(NFI_Expiration=1,IF($A369&lt;VLOOKUP(L$5,NFI,5,0),1,0)*Table_NFI[[#This Row],[Tarpaulin]],Table_NFI[[#This Row],[Tarpaulin]])</f>
        <v>0</v>
      </c>
      <c r="AD369" s="378">
        <f>IF(NFI_Expiration=1,IF($A369&lt;VLOOKUP(M$5,NFI,5,0),1,0)*Table_NFI[[#This Row],[Blanket]],Table_NFI[[#This Row],[Blanket]])</f>
        <v>0</v>
      </c>
      <c r="AE369" s="378">
        <f>IF(NFI_Expiration=1,IF($A369&lt;VLOOKUP(N$5,NFI,5,0),1,0)*Table_NFI[[#This Row],[Kitchen Set]],Table_NFI[Kitchen Set])</f>
        <v>0</v>
      </c>
      <c r="AF369" s="378">
        <f>IF(NFI_Expiration=1,IF($A369&lt;VLOOKUP(O$5,NFI,5,0),1,0)*Table_NFI[[#This Row],[Clothes Kit]],Table_NFI[Clothes Kit])</f>
        <v>0</v>
      </c>
      <c r="AG369" s="378">
        <f>IF(NFI_Expiration=1,IF($A369&lt;VLOOKUP(P$5,NFI,5,0),1,0)*Table_NFI[[#This Row],[Plastic Bucket]],Table_NFI[Plastic Bucket])</f>
        <v>0</v>
      </c>
      <c r="AH369" s="378">
        <f>IF(NFI_Expiration=1,IF($A369&lt;VLOOKUP(Q$5,NFI,5,0),1,0)*Table_NFI[[#This Row],[Plastic Mat]],Table_NFI[Plastic Mat])*IF(Table_NFI[[#This Row],[Distribution Date]]&gt;"2014-04-01",1,2.5)</f>
        <v>0</v>
      </c>
      <c r="AI369" s="378">
        <f>IF(NFI_Expiration=1,IF($A369&lt;VLOOKUP(R$5,NFI,5,0),1,0)*Table_NFI[[#This Row],[Winter Clothes Adult]],Table_NFI[Winter Clothes Adult])</f>
        <v>0</v>
      </c>
      <c r="AJ369" s="378">
        <f>IF(NFI_Expiration=1,IF($A369&lt;VLOOKUP(S$5,NFI,5,0),1,0)*Table_NFI[[#This Row],[Winter Clothes Children]],Table_NFI[Winter Clothes Children])</f>
        <v>0</v>
      </c>
      <c r="AK369" s="378">
        <f>IF(NFI_Expiration=1,IF($A369&lt;VLOOKUP(T$5,NFI,5,0),1,0)*Table_NFI[[#This Row],[Winter Items Other]],Table_NFI[Winter Items Other])</f>
        <v>0</v>
      </c>
      <c r="AL369" s="378">
        <f>IF(NFI_Expiration=1,IF($A369&lt;VLOOKUP(M$5,NFI,5,0),1,0)*Table_NFI[[#This Row],[Winter Blanket]],Table_NFI[[#This Row],[Winter Blanket]])</f>
        <v>0</v>
      </c>
      <c r="AM369" s="378">
        <f>IF(Table_NFI[[#This Row],[Winter Clothes Adult]]+Table_NFI[[#This Row],[Winter Clothes Children]]+Table_NFI[[#This Row],[Winter Items Other]]+Table_NFI[[#This Row],[Winter Blanket]]&gt;0,1,0)</f>
        <v>0</v>
      </c>
      <c r="AN369" s="418">
        <f>IF(NFI_Expiration=1,IF($A369&lt;VLOOKUP(V$5,NFI,5,0),1,0)*Table_NFI[[#This Row],[Jerry Can]],Table_NFI[Jerry Can])</f>
        <v>0</v>
      </c>
      <c r="AO369" s="579" t="str">
        <f>IFERROR(VLOOKUP(Table_NFI[[#This Row],[Camp Name]],CL,2,0),"")</f>
        <v>MMR001CMP031</v>
      </c>
      <c r="AP369" s="574">
        <f ca="1">IF(Table_NFI[[#This Row],[Pcode]]="","",IF(OFFSET(CampList[Opening Date],MATCH(Table_NFI[[#This Row],[Pcode]],CampList[CP_Pcode],0)-1,0,1,1)&gt;=NFI_Monitor_Date,1,0))</f>
        <v>0</v>
      </c>
      <c r="AQ369" s="579" t="str">
        <f>IFERROR(VLOOKUP(Table_NFI[[#This Row],[Camp Name]],CL,3,0),"")</f>
        <v>Open</v>
      </c>
      <c r="AR369" s="378" t="str">
        <f ca="1">IF(Table_NFI[[#This Row],[Pcode]]="","",OFFSET(CampList[Priority],MATCH(Table_NFI[[#This Row],[Pcode]],CampList[CP_Pcode],0)-1,0,1,1))</f>
        <v>P4</v>
      </c>
      <c r="AS369" s="377">
        <f>IFERROR(Table_NFI[[#This Row],[Kitchen Set]]/VLOOKUP(Table_NFI[[#This Row],[Camp Name]],CL,4,0),"")</f>
        <v>0.23776223776223776</v>
      </c>
      <c r="AT369" s="572" t="s">
        <v>1095</v>
      </c>
      <c r="AU369" s="575"/>
    </row>
    <row r="370" spans="1:47" s="576" customFormat="1" x14ac:dyDescent="0.25">
      <c r="A370" s="381">
        <f t="shared" si="5"/>
        <v>40.56666666666667</v>
      </c>
      <c r="B370" s="571">
        <v>41305</v>
      </c>
      <c r="C370" s="572" t="s">
        <v>571</v>
      </c>
      <c r="D370" s="573" t="s">
        <v>571</v>
      </c>
      <c r="E370" s="572" t="s">
        <v>380</v>
      </c>
      <c r="F370" s="374" t="s">
        <v>310</v>
      </c>
      <c r="G370" s="374" t="s">
        <v>328</v>
      </c>
      <c r="H370" s="375"/>
      <c r="I370" s="375"/>
      <c r="J370" s="375"/>
      <c r="K370" s="375"/>
      <c r="L370" s="376"/>
      <c r="M370" s="376">
        <v>128</v>
      </c>
      <c r="N370" s="376"/>
      <c r="O370" s="376"/>
      <c r="P370" s="378">
        <v>0</v>
      </c>
      <c r="Q370" s="378">
        <v>0</v>
      </c>
      <c r="R370" s="378"/>
      <c r="S370" s="378"/>
      <c r="T370" s="378"/>
      <c r="U370" s="378"/>
      <c r="V370" s="533"/>
      <c r="W370" s="378"/>
      <c r="X370" s="378"/>
      <c r="Y370" s="378">
        <f>IF(NFI_Expiration=1,IF($A370&lt;VLOOKUP(H$5,NFI,5,0),1,0)*Table_NFI[[#This Row],[Hygiene Kit]],Table_NFI[Hygiene Kit])</f>
        <v>0</v>
      </c>
      <c r="Z370" s="378">
        <f>IF(NFI_Expiration=1,IF($A370&lt;VLOOKUP(I$5,NFI,5,0),1,0)*Table_NFI[[#This Row],[NFI Core Kit]],Table_NFI[NFI Core Kit])</f>
        <v>0</v>
      </c>
      <c r="AA370" s="378">
        <f>IF(NFI_Expiration=1,IF($A370&lt;VLOOKUP(J$5,NFI,5,0),1,0)*Table_NFI[[#This Row],[Sanitary Kit]],Table_NFI[Sanitary Kit])</f>
        <v>0</v>
      </c>
      <c r="AB370" s="378">
        <f>IF(NFI_Expiration=1,IF($A370&lt;VLOOKUP(K$5,NFI,5,0),1,0)*Table_NFI[[#This Row],[Mosquito net]],Table_NFI[Mosquito net])</f>
        <v>0</v>
      </c>
      <c r="AC370" s="378">
        <f>IF(NFI_Expiration=1,IF($A370&lt;VLOOKUP(L$5,NFI,5,0),1,0)*Table_NFI[[#This Row],[Tarpaulin]],Table_NFI[[#This Row],[Tarpaulin]])</f>
        <v>0</v>
      </c>
      <c r="AD370" s="378">
        <f>IF(NFI_Expiration=1,IF($A370&lt;VLOOKUP(M$5,NFI,5,0),1,0)*Table_NFI[[#This Row],[Blanket]],Table_NFI[[#This Row],[Blanket]])</f>
        <v>0</v>
      </c>
      <c r="AE370" s="378">
        <f>IF(NFI_Expiration=1,IF($A370&lt;VLOOKUP(N$5,NFI,5,0),1,0)*Table_NFI[[#This Row],[Kitchen Set]],Table_NFI[Kitchen Set])</f>
        <v>0</v>
      </c>
      <c r="AF370" s="378">
        <f>IF(NFI_Expiration=1,IF($A370&lt;VLOOKUP(O$5,NFI,5,0),1,0)*Table_NFI[[#This Row],[Clothes Kit]],Table_NFI[Clothes Kit])</f>
        <v>0</v>
      </c>
      <c r="AG370" s="378">
        <f>IF(NFI_Expiration=1,IF($A370&lt;VLOOKUP(P$5,NFI,5,0),1,0)*Table_NFI[[#This Row],[Plastic Bucket]],Table_NFI[Plastic Bucket])</f>
        <v>0</v>
      </c>
      <c r="AH370" s="378">
        <f>IF(NFI_Expiration=1,IF($A370&lt;VLOOKUP(Q$5,NFI,5,0),1,0)*Table_NFI[[#This Row],[Plastic Mat]],Table_NFI[Plastic Mat])*IF(Table_NFI[[#This Row],[Distribution Date]]&gt;"2014-04-01",1,2.5)</f>
        <v>0</v>
      </c>
      <c r="AI370" s="378">
        <f>IF(NFI_Expiration=1,IF($A370&lt;VLOOKUP(R$5,NFI,5,0),1,0)*Table_NFI[[#This Row],[Winter Clothes Adult]],Table_NFI[Winter Clothes Adult])</f>
        <v>0</v>
      </c>
      <c r="AJ370" s="378">
        <f>IF(NFI_Expiration=1,IF($A370&lt;VLOOKUP(S$5,NFI,5,0),1,0)*Table_NFI[[#This Row],[Winter Clothes Children]],Table_NFI[Winter Clothes Children])</f>
        <v>0</v>
      </c>
      <c r="AK370" s="378">
        <f>IF(NFI_Expiration=1,IF($A370&lt;VLOOKUP(T$5,NFI,5,0),1,0)*Table_NFI[[#This Row],[Winter Items Other]],Table_NFI[Winter Items Other])</f>
        <v>0</v>
      </c>
      <c r="AL370" s="378">
        <f>IF(NFI_Expiration=1,IF($A370&lt;VLOOKUP(M$5,NFI,5,0),1,0)*Table_NFI[[#This Row],[Winter Blanket]],Table_NFI[[#This Row],[Winter Blanket]])</f>
        <v>0</v>
      </c>
      <c r="AM370" s="378">
        <f>IF(Table_NFI[[#This Row],[Winter Clothes Adult]]+Table_NFI[[#This Row],[Winter Clothes Children]]+Table_NFI[[#This Row],[Winter Items Other]]+Table_NFI[[#This Row],[Winter Blanket]]&gt;0,1,0)</f>
        <v>0</v>
      </c>
      <c r="AN370" s="418">
        <f>IF(NFI_Expiration=1,IF($A370&lt;VLOOKUP(V$5,NFI,5,0),1,0)*Table_NFI[[#This Row],[Jerry Can]],Table_NFI[Jerry Can])</f>
        <v>0</v>
      </c>
      <c r="AO370" s="579" t="str">
        <f>IFERROR(VLOOKUP(Table_NFI[[#This Row],[Camp Name]],CL,2,0),"")</f>
        <v>MMR001CMP031</v>
      </c>
      <c r="AP370" s="574">
        <f ca="1">IF(Table_NFI[[#This Row],[Pcode]]="","",IF(OFFSET(CampList[Opening Date],MATCH(Table_NFI[[#This Row],[Pcode]],CampList[CP_Pcode],0)-1,0,1,1)&gt;=NFI_Monitor_Date,1,0))</f>
        <v>0</v>
      </c>
      <c r="AQ370" s="579" t="str">
        <f>IFERROR(VLOOKUP(Table_NFI[[#This Row],[Camp Name]],CL,3,0),"")</f>
        <v>Open</v>
      </c>
      <c r="AR370" s="378" t="str">
        <f ca="1">IF(Table_NFI[[#This Row],[Pcode]]="","",OFFSET(CampList[Priority],MATCH(Table_NFI[[#This Row],[Pcode]],CampList[CP_Pcode],0)-1,0,1,1))</f>
        <v>P4</v>
      </c>
      <c r="AS370" s="377">
        <f>IFERROR(Table_NFI[[#This Row],[Kitchen Set]]/VLOOKUP(Table_NFI[[#This Row],[Camp Name]],CL,4,0),"")</f>
        <v>0</v>
      </c>
      <c r="AT370" s="572" t="s">
        <v>1095</v>
      </c>
      <c r="AU370" s="575"/>
    </row>
    <row r="371" spans="1:47" s="576" customFormat="1" x14ac:dyDescent="0.25">
      <c r="A371" s="381">
        <f t="shared" si="5"/>
        <v>41.6</v>
      </c>
      <c r="B371" s="571">
        <v>41274</v>
      </c>
      <c r="C371" s="572" t="s">
        <v>455</v>
      </c>
      <c r="D371" s="573" t="s">
        <v>455</v>
      </c>
      <c r="E371" s="572" t="s">
        <v>380</v>
      </c>
      <c r="F371" s="374" t="s">
        <v>310</v>
      </c>
      <c r="G371" s="374" t="s">
        <v>328</v>
      </c>
      <c r="H371" s="375">
        <v>79</v>
      </c>
      <c r="I371" s="375"/>
      <c r="J371" s="375"/>
      <c r="K371" s="375"/>
      <c r="L371" s="376"/>
      <c r="M371" s="376"/>
      <c r="N371" s="376"/>
      <c r="O371" s="376"/>
      <c r="P371" s="378">
        <v>0</v>
      </c>
      <c r="Q371" s="378">
        <v>0</v>
      </c>
      <c r="R371" s="378"/>
      <c r="S371" s="378"/>
      <c r="T371" s="378"/>
      <c r="U371" s="378"/>
      <c r="V371" s="533"/>
      <c r="W371" s="378"/>
      <c r="X371" s="378"/>
      <c r="Y371" s="378">
        <f>IF(NFI_Expiration=1,IF($A371&lt;VLOOKUP(H$5,NFI,5,0),1,0)*Table_NFI[[#This Row],[Hygiene Kit]],Table_NFI[Hygiene Kit])</f>
        <v>0</v>
      </c>
      <c r="Z371" s="378">
        <f>IF(NFI_Expiration=1,IF($A371&lt;VLOOKUP(I$5,NFI,5,0),1,0)*Table_NFI[[#This Row],[NFI Core Kit]],Table_NFI[NFI Core Kit])</f>
        <v>0</v>
      </c>
      <c r="AA371" s="378">
        <f>IF(NFI_Expiration=1,IF($A371&lt;VLOOKUP(J$5,NFI,5,0),1,0)*Table_NFI[[#This Row],[Sanitary Kit]],Table_NFI[Sanitary Kit])</f>
        <v>0</v>
      </c>
      <c r="AB371" s="378">
        <f>IF(NFI_Expiration=1,IF($A371&lt;VLOOKUP(K$5,NFI,5,0),1,0)*Table_NFI[[#This Row],[Mosquito net]],Table_NFI[Mosquito net])</f>
        <v>0</v>
      </c>
      <c r="AC371" s="378">
        <f>IF(NFI_Expiration=1,IF($A371&lt;VLOOKUP(L$5,NFI,5,0),1,0)*Table_NFI[[#This Row],[Tarpaulin]],Table_NFI[[#This Row],[Tarpaulin]])</f>
        <v>0</v>
      </c>
      <c r="AD371" s="378">
        <f>IF(NFI_Expiration=1,IF($A371&lt;VLOOKUP(M$5,NFI,5,0),1,0)*Table_NFI[[#This Row],[Blanket]],Table_NFI[[#This Row],[Blanket]])</f>
        <v>0</v>
      </c>
      <c r="AE371" s="378">
        <f>IF(NFI_Expiration=1,IF($A371&lt;VLOOKUP(N$5,NFI,5,0),1,0)*Table_NFI[[#This Row],[Kitchen Set]],Table_NFI[Kitchen Set])</f>
        <v>0</v>
      </c>
      <c r="AF371" s="378">
        <f>IF(NFI_Expiration=1,IF($A371&lt;VLOOKUP(O$5,NFI,5,0),1,0)*Table_NFI[[#This Row],[Clothes Kit]],Table_NFI[Clothes Kit])</f>
        <v>0</v>
      </c>
      <c r="AG371" s="378">
        <f>IF(NFI_Expiration=1,IF($A371&lt;VLOOKUP(P$5,NFI,5,0),1,0)*Table_NFI[[#This Row],[Plastic Bucket]],Table_NFI[Plastic Bucket])</f>
        <v>0</v>
      </c>
      <c r="AH371" s="378">
        <f>IF(NFI_Expiration=1,IF($A371&lt;VLOOKUP(Q$5,NFI,5,0),1,0)*Table_NFI[[#This Row],[Plastic Mat]],Table_NFI[Plastic Mat])*IF(Table_NFI[[#This Row],[Distribution Date]]&gt;"2014-04-01",1,2.5)</f>
        <v>0</v>
      </c>
      <c r="AI371" s="378">
        <f>IF(NFI_Expiration=1,IF($A371&lt;VLOOKUP(R$5,NFI,5,0),1,0)*Table_NFI[[#This Row],[Winter Clothes Adult]],Table_NFI[Winter Clothes Adult])</f>
        <v>0</v>
      </c>
      <c r="AJ371" s="378">
        <f>IF(NFI_Expiration=1,IF($A371&lt;VLOOKUP(S$5,NFI,5,0),1,0)*Table_NFI[[#This Row],[Winter Clothes Children]],Table_NFI[Winter Clothes Children])</f>
        <v>0</v>
      </c>
      <c r="AK371" s="378">
        <f>IF(NFI_Expiration=1,IF($A371&lt;VLOOKUP(T$5,NFI,5,0),1,0)*Table_NFI[[#This Row],[Winter Items Other]],Table_NFI[Winter Items Other])</f>
        <v>0</v>
      </c>
      <c r="AL371" s="378">
        <f>IF(NFI_Expiration=1,IF($A371&lt;VLOOKUP(M$5,NFI,5,0),1,0)*Table_NFI[[#This Row],[Winter Blanket]],Table_NFI[[#This Row],[Winter Blanket]])</f>
        <v>0</v>
      </c>
      <c r="AM371" s="378">
        <f>IF(Table_NFI[[#This Row],[Winter Clothes Adult]]+Table_NFI[[#This Row],[Winter Clothes Children]]+Table_NFI[[#This Row],[Winter Items Other]]+Table_NFI[[#This Row],[Winter Blanket]]&gt;0,1,0)</f>
        <v>0</v>
      </c>
      <c r="AN371" s="418">
        <f>IF(NFI_Expiration=1,IF($A371&lt;VLOOKUP(V$5,NFI,5,0),1,0)*Table_NFI[[#This Row],[Jerry Can]],Table_NFI[Jerry Can])</f>
        <v>0</v>
      </c>
      <c r="AO371" s="579" t="str">
        <f>IFERROR(VLOOKUP(Table_NFI[[#This Row],[Camp Name]],CL,2,0),"")</f>
        <v>MMR001CMP031</v>
      </c>
      <c r="AP371" s="574">
        <f ca="1">IF(Table_NFI[[#This Row],[Pcode]]="","",IF(OFFSET(CampList[Opening Date],MATCH(Table_NFI[[#This Row],[Pcode]],CampList[CP_Pcode],0)-1,0,1,1)&gt;=NFI_Monitor_Date,1,0))</f>
        <v>0</v>
      </c>
      <c r="AQ371" s="579" t="str">
        <f>IFERROR(VLOOKUP(Table_NFI[[#This Row],[Camp Name]],CL,3,0),"")</f>
        <v>Open</v>
      </c>
      <c r="AR371" s="378" t="str">
        <f ca="1">IF(Table_NFI[[#This Row],[Pcode]]="","",OFFSET(CampList[Priority],MATCH(Table_NFI[[#This Row],[Pcode]],CampList[CP_Pcode],0)-1,0,1,1))</f>
        <v>P4</v>
      </c>
      <c r="AS371" s="377">
        <f>IFERROR(Table_NFI[[#This Row],[Kitchen Set]]/VLOOKUP(Table_NFI[[#This Row],[Camp Name]],CL,4,0),"")</f>
        <v>0</v>
      </c>
      <c r="AT371" s="572" t="s">
        <v>1095</v>
      </c>
      <c r="AU371" s="575"/>
    </row>
    <row r="372" spans="1:47" s="576" customFormat="1" x14ac:dyDescent="0.25">
      <c r="A372" s="381">
        <f t="shared" si="5"/>
        <v>49.666666666666664</v>
      </c>
      <c r="B372" s="571">
        <v>41032</v>
      </c>
      <c r="C372" s="572" t="s">
        <v>454</v>
      </c>
      <c r="D372" s="573" t="s">
        <v>454</v>
      </c>
      <c r="E372" s="572" t="s">
        <v>380</v>
      </c>
      <c r="F372" s="374" t="s">
        <v>310</v>
      </c>
      <c r="G372" s="374" t="s">
        <v>328</v>
      </c>
      <c r="H372" s="375"/>
      <c r="I372" s="375"/>
      <c r="J372" s="375"/>
      <c r="K372" s="375">
        <v>42</v>
      </c>
      <c r="L372" s="376">
        <v>0</v>
      </c>
      <c r="M372" s="376">
        <v>42</v>
      </c>
      <c r="N372" s="376">
        <v>0</v>
      </c>
      <c r="O372" s="376">
        <v>20</v>
      </c>
      <c r="P372" s="378">
        <v>20</v>
      </c>
      <c r="Q372" s="378">
        <v>20</v>
      </c>
      <c r="R372" s="378"/>
      <c r="S372" s="378"/>
      <c r="T372" s="378"/>
      <c r="U372" s="378"/>
      <c r="V372" s="533"/>
      <c r="W372" s="378"/>
      <c r="X372" s="378"/>
      <c r="Y372" s="378">
        <f>IF(NFI_Expiration=1,IF($A372&lt;VLOOKUP(H$5,NFI,5,0),1,0)*Table_NFI[[#This Row],[Hygiene Kit]],Table_NFI[Hygiene Kit])</f>
        <v>0</v>
      </c>
      <c r="Z372" s="378">
        <f>IF(NFI_Expiration=1,IF($A372&lt;VLOOKUP(I$5,NFI,5,0),1,0)*Table_NFI[[#This Row],[NFI Core Kit]],Table_NFI[NFI Core Kit])</f>
        <v>0</v>
      </c>
      <c r="AA372" s="378">
        <f>IF(NFI_Expiration=1,IF($A372&lt;VLOOKUP(J$5,NFI,5,0),1,0)*Table_NFI[[#This Row],[Sanitary Kit]],Table_NFI[Sanitary Kit])</f>
        <v>0</v>
      </c>
      <c r="AB372" s="378">
        <f>IF(NFI_Expiration=1,IF($A372&lt;VLOOKUP(K$5,NFI,5,0),1,0)*Table_NFI[[#This Row],[Mosquito net]],Table_NFI[Mosquito net])</f>
        <v>0</v>
      </c>
      <c r="AC372" s="378">
        <f>IF(NFI_Expiration=1,IF($A372&lt;VLOOKUP(L$5,NFI,5,0),1,0)*Table_NFI[[#This Row],[Tarpaulin]],Table_NFI[[#This Row],[Tarpaulin]])</f>
        <v>0</v>
      </c>
      <c r="AD372" s="378">
        <f>IF(NFI_Expiration=1,IF($A372&lt;VLOOKUP(M$5,NFI,5,0),1,0)*Table_NFI[[#This Row],[Blanket]],Table_NFI[[#This Row],[Blanket]])</f>
        <v>0</v>
      </c>
      <c r="AE372" s="378">
        <f>IF(NFI_Expiration=1,IF($A372&lt;VLOOKUP(N$5,NFI,5,0),1,0)*Table_NFI[[#This Row],[Kitchen Set]],Table_NFI[Kitchen Set])</f>
        <v>0</v>
      </c>
      <c r="AF372" s="378">
        <f>IF(NFI_Expiration=1,IF($A372&lt;VLOOKUP(O$5,NFI,5,0),1,0)*Table_NFI[[#This Row],[Clothes Kit]],Table_NFI[Clothes Kit])</f>
        <v>0</v>
      </c>
      <c r="AG372" s="378">
        <f>IF(NFI_Expiration=1,IF($A372&lt;VLOOKUP(P$5,NFI,5,0),1,0)*Table_NFI[[#This Row],[Plastic Bucket]],Table_NFI[Plastic Bucket])</f>
        <v>0</v>
      </c>
      <c r="AH372" s="378">
        <f>IF(NFI_Expiration=1,IF($A372&lt;VLOOKUP(Q$5,NFI,5,0),1,0)*Table_NFI[[#This Row],[Plastic Mat]],Table_NFI[Plastic Mat])*IF(Table_NFI[[#This Row],[Distribution Date]]&gt;"2014-04-01",1,2.5)</f>
        <v>0</v>
      </c>
      <c r="AI372" s="378">
        <f>IF(NFI_Expiration=1,IF($A372&lt;VLOOKUP(R$5,NFI,5,0),1,0)*Table_NFI[[#This Row],[Winter Clothes Adult]],Table_NFI[Winter Clothes Adult])</f>
        <v>0</v>
      </c>
      <c r="AJ372" s="378">
        <f>IF(NFI_Expiration=1,IF($A372&lt;VLOOKUP(S$5,NFI,5,0),1,0)*Table_NFI[[#This Row],[Winter Clothes Children]],Table_NFI[Winter Clothes Children])</f>
        <v>0</v>
      </c>
      <c r="AK372" s="378">
        <f>IF(NFI_Expiration=1,IF($A372&lt;VLOOKUP(T$5,NFI,5,0),1,0)*Table_NFI[[#This Row],[Winter Items Other]],Table_NFI[Winter Items Other])</f>
        <v>0</v>
      </c>
      <c r="AL372" s="378">
        <f>IF(NFI_Expiration=1,IF($A372&lt;VLOOKUP(M$5,NFI,5,0),1,0)*Table_NFI[[#This Row],[Winter Blanket]],Table_NFI[[#This Row],[Winter Blanket]])</f>
        <v>0</v>
      </c>
      <c r="AM372" s="378">
        <f>IF(Table_NFI[[#This Row],[Winter Clothes Adult]]+Table_NFI[[#This Row],[Winter Clothes Children]]+Table_NFI[[#This Row],[Winter Items Other]]+Table_NFI[[#This Row],[Winter Blanket]]&gt;0,1,0)</f>
        <v>0</v>
      </c>
      <c r="AN372" s="418">
        <f>IF(NFI_Expiration=1,IF($A372&lt;VLOOKUP(V$5,NFI,5,0),1,0)*Table_NFI[[#This Row],[Jerry Can]],Table_NFI[Jerry Can])</f>
        <v>0</v>
      </c>
      <c r="AO372" s="579" t="str">
        <f>IFERROR(VLOOKUP(Table_NFI[[#This Row],[Camp Name]],CL,2,0),"")</f>
        <v>MMR001CMP031</v>
      </c>
      <c r="AP372" s="574">
        <f ca="1">IF(Table_NFI[[#This Row],[Pcode]]="","",IF(OFFSET(CampList[Opening Date],MATCH(Table_NFI[[#This Row],[Pcode]],CampList[CP_Pcode],0)-1,0,1,1)&gt;=NFI_Monitor_Date,1,0))</f>
        <v>0</v>
      </c>
      <c r="AQ372" s="579" t="str">
        <f>IFERROR(VLOOKUP(Table_NFI[[#This Row],[Camp Name]],CL,3,0),"")</f>
        <v>Open</v>
      </c>
      <c r="AR372" s="378" t="str">
        <f ca="1">IF(Table_NFI[[#This Row],[Pcode]]="","",OFFSET(CampList[Priority],MATCH(Table_NFI[[#This Row],[Pcode]],CampList[CP_Pcode],0)-1,0,1,1))</f>
        <v>P4</v>
      </c>
      <c r="AS372" s="377">
        <f>IFERROR(Table_NFI[[#This Row],[Kitchen Set]]/VLOOKUP(Table_NFI[[#This Row],[Camp Name]],CL,4,0),"")</f>
        <v>0</v>
      </c>
      <c r="AT372" s="572" t="s">
        <v>1095</v>
      </c>
      <c r="AU372" s="575"/>
    </row>
    <row r="373" spans="1:47" s="576" customFormat="1" x14ac:dyDescent="0.25">
      <c r="A373" s="381">
        <f t="shared" si="5"/>
        <v>8.4666666666666668</v>
      </c>
      <c r="B373" s="571">
        <v>42268</v>
      </c>
      <c r="C373" s="577" t="s">
        <v>454</v>
      </c>
      <c r="D373" s="577" t="s">
        <v>508</v>
      </c>
      <c r="E373" s="577" t="s">
        <v>380</v>
      </c>
      <c r="F373" s="577" t="s">
        <v>310</v>
      </c>
      <c r="G373" s="577" t="s">
        <v>330</v>
      </c>
      <c r="H373" s="376"/>
      <c r="I373" s="376"/>
      <c r="J373" s="376"/>
      <c r="K373" s="376">
        <v>41</v>
      </c>
      <c r="L373" s="376">
        <v>16</v>
      </c>
      <c r="M373" s="376">
        <v>41</v>
      </c>
      <c r="N373" s="376">
        <v>16</v>
      </c>
      <c r="O373" s="376"/>
      <c r="P373" s="378">
        <v>16</v>
      </c>
      <c r="Q373" s="378">
        <v>80</v>
      </c>
      <c r="R373" s="378"/>
      <c r="S373" s="378"/>
      <c r="T373" s="378"/>
      <c r="U373" s="378"/>
      <c r="V373" s="533">
        <v>16</v>
      </c>
      <c r="W373" s="378"/>
      <c r="X373" s="378"/>
      <c r="Y373" s="378">
        <f>IF(NFI_Expiration=1,IF($A373&lt;VLOOKUP(H$5,NFI,5,0),1,0)*Table_NFI[[#This Row],[Hygiene Kit]],Table_NFI[Hygiene Kit])</f>
        <v>0</v>
      </c>
      <c r="Z373" s="378">
        <f>IF(NFI_Expiration=1,IF($A373&lt;VLOOKUP(I$5,NFI,5,0),1,0)*Table_NFI[[#This Row],[NFI Core Kit]],Table_NFI[NFI Core Kit])</f>
        <v>0</v>
      </c>
      <c r="AA373" s="378">
        <f>IF(NFI_Expiration=1,IF($A373&lt;VLOOKUP(J$5,NFI,5,0),1,0)*Table_NFI[[#This Row],[Sanitary Kit]],Table_NFI[Sanitary Kit])</f>
        <v>0</v>
      </c>
      <c r="AB373" s="378">
        <f>IF(NFI_Expiration=1,IF($A373&lt;VLOOKUP(K$5,NFI,5,0),1,0)*Table_NFI[[#This Row],[Mosquito net]],Table_NFI[Mosquito net])</f>
        <v>41</v>
      </c>
      <c r="AC373" s="378">
        <f>IF(NFI_Expiration=1,IF($A373&lt;VLOOKUP(L$5,NFI,5,0),1,0)*Table_NFI[[#This Row],[Tarpaulin]],Table_NFI[[#This Row],[Tarpaulin]])</f>
        <v>16</v>
      </c>
      <c r="AD373" s="378">
        <f>IF(NFI_Expiration=1,IF($A373&lt;VLOOKUP(M$5,NFI,5,0),1,0)*Table_NFI[[#This Row],[Blanket]],Table_NFI[[#This Row],[Blanket]])</f>
        <v>41</v>
      </c>
      <c r="AE373" s="378">
        <f>IF(NFI_Expiration=1,IF($A373&lt;VLOOKUP(N$5,NFI,5,0),1,0)*Table_NFI[[#This Row],[Kitchen Set]],Table_NFI[Kitchen Set])</f>
        <v>16</v>
      </c>
      <c r="AF373" s="378">
        <f>IF(NFI_Expiration=1,IF($A373&lt;VLOOKUP(O$5,NFI,5,0),1,0)*Table_NFI[[#This Row],[Clothes Kit]],Table_NFI[Clothes Kit])</f>
        <v>0</v>
      </c>
      <c r="AG373" s="378">
        <f>IF(NFI_Expiration=1,IF($A373&lt;VLOOKUP(P$5,NFI,5,0),1,0)*Table_NFI[[#This Row],[Plastic Bucket]],Table_NFI[Plastic Bucket])</f>
        <v>16</v>
      </c>
      <c r="AH373" s="378">
        <f>IF(NFI_Expiration=1,IF($A373&lt;VLOOKUP(Q$5,NFI,5,0),1,0)*Table_NFI[[#This Row],[Plastic Mat]],Table_NFI[Plastic Mat])*IF(Table_NFI[[#This Row],[Distribution Date]]&gt;"2014-04-01",1,2.5)</f>
        <v>200</v>
      </c>
      <c r="AI373" s="378">
        <f>IF(NFI_Expiration=1,IF($A373&lt;VLOOKUP(R$5,NFI,5,0),1,0)*Table_NFI[[#This Row],[Winter Clothes Adult]],Table_NFI[Winter Clothes Adult])</f>
        <v>0</v>
      </c>
      <c r="AJ373" s="378">
        <f>IF(NFI_Expiration=1,IF($A373&lt;VLOOKUP(S$5,NFI,5,0),1,0)*Table_NFI[[#This Row],[Winter Clothes Children]],Table_NFI[Winter Clothes Children])</f>
        <v>0</v>
      </c>
      <c r="AK373" s="378">
        <f>IF(NFI_Expiration=1,IF($A373&lt;VLOOKUP(T$5,NFI,5,0),1,0)*Table_NFI[[#This Row],[Winter Items Other]],Table_NFI[Winter Items Other])</f>
        <v>0</v>
      </c>
      <c r="AL373" s="378">
        <f>IF(NFI_Expiration=1,IF($A373&lt;VLOOKUP(M$5,NFI,5,0),1,0)*Table_NFI[[#This Row],[Winter Blanket]],Table_NFI[[#This Row],[Winter Blanket]])</f>
        <v>0</v>
      </c>
      <c r="AM373" s="378">
        <f>IF(Table_NFI[[#This Row],[Winter Clothes Adult]]+Table_NFI[[#This Row],[Winter Clothes Children]]+Table_NFI[[#This Row],[Winter Items Other]]+Table_NFI[[#This Row],[Winter Blanket]]&gt;0,1,0)</f>
        <v>0</v>
      </c>
      <c r="AN373" s="418">
        <f>IF(NFI_Expiration=1,IF($A373&lt;VLOOKUP(V$5,NFI,5,0),1,0)*Table_NFI[[#This Row],[Jerry Can]],Table_NFI[Jerry Can])</f>
        <v>16</v>
      </c>
      <c r="AO373" s="579" t="str">
        <f>IFERROR(VLOOKUP(Table_NFI[[#This Row],[Camp Name]],CL,2,0),"")</f>
        <v>MMR001CMP029</v>
      </c>
      <c r="AP373" s="574">
        <f ca="1">IF(Table_NFI[[#This Row],[Pcode]]="","",IF(OFFSET(CampList[Opening Date],MATCH(Table_NFI[[#This Row],[Pcode]],CampList[CP_Pcode],0)-1,0,1,1)&gt;=NFI_Monitor_Date,1,0))</f>
        <v>0</v>
      </c>
      <c r="AQ373" s="579" t="str">
        <f>IFERROR(VLOOKUP(Table_NFI[[#This Row],[Camp Name]],CL,3,0),"")</f>
        <v>Open</v>
      </c>
      <c r="AR373" s="378" t="str">
        <f ca="1">IF(Table_NFI[[#This Row],[Pcode]]="","",OFFSET(CampList[Priority],MATCH(Table_NFI[[#This Row],[Pcode]],CampList[CP_Pcode],0)-1,0,1,1))</f>
        <v>P4</v>
      </c>
      <c r="AS373" s="377">
        <f>IFERROR(Table_NFI[[#This Row],[Kitchen Set]]/VLOOKUP(Table_NFI[[#This Row],[Camp Name]],CL,4,0),"")</f>
        <v>7.2072072072072071E-2</v>
      </c>
      <c r="AT373" s="572" t="s">
        <v>1095</v>
      </c>
      <c r="AU373" s="580"/>
    </row>
    <row r="374" spans="1:47" s="576" customFormat="1" x14ac:dyDescent="0.25">
      <c r="A374" s="381">
        <f t="shared" si="5"/>
        <v>14.866666666666667</v>
      </c>
      <c r="B374" s="571">
        <v>42076</v>
      </c>
      <c r="C374" s="577" t="s">
        <v>454</v>
      </c>
      <c r="D374" s="577" t="s">
        <v>508</v>
      </c>
      <c r="E374" s="577" t="s">
        <v>380</v>
      </c>
      <c r="F374" s="577" t="s">
        <v>310</v>
      </c>
      <c r="G374" s="577" t="s">
        <v>330</v>
      </c>
      <c r="H374" s="376"/>
      <c r="I374" s="376"/>
      <c r="J374" s="376"/>
      <c r="K374" s="376"/>
      <c r="L374" s="376">
        <v>1</v>
      </c>
      <c r="M374" s="376"/>
      <c r="N374" s="376"/>
      <c r="O374" s="376"/>
      <c r="P374" s="378"/>
      <c r="Q374" s="378"/>
      <c r="R374" s="378"/>
      <c r="S374" s="378"/>
      <c r="T374" s="378"/>
      <c r="U374" s="378"/>
      <c r="V374" s="533"/>
      <c r="W374" s="378"/>
      <c r="X374" s="378"/>
      <c r="Y374" s="378">
        <f>IF(NFI_Expiration=1,IF($A374&lt;VLOOKUP(H$5,NFI,5,0),1,0)*Table_NFI[[#This Row],[Hygiene Kit]],Table_NFI[Hygiene Kit])</f>
        <v>0</v>
      </c>
      <c r="Z374" s="378">
        <f>IF(NFI_Expiration=1,IF($A374&lt;VLOOKUP(I$5,NFI,5,0),1,0)*Table_NFI[[#This Row],[NFI Core Kit]],Table_NFI[NFI Core Kit])</f>
        <v>0</v>
      </c>
      <c r="AA374" s="378">
        <f>IF(NFI_Expiration=1,IF($A374&lt;VLOOKUP(J$5,NFI,5,0),1,0)*Table_NFI[[#This Row],[Sanitary Kit]],Table_NFI[Sanitary Kit])</f>
        <v>0</v>
      </c>
      <c r="AB374" s="378">
        <f>IF(NFI_Expiration=1,IF($A374&lt;VLOOKUP(K$5,NFI,5,0),1,0)*Table_NFI[[#This Row],[Mosquito net]],Table_NFI[Mosquito net])</f>
        <v>0</v>
      </c>
      <c r="AC374" s="378">
        <f>IF(NFI_Expiration=1,IF($A374&lt;VLOOKUP(L$5,NFI,5,0),1,0)*Table_NFI[[#This Row],[Tarpaulin]],Table_NFI[[#This Row],[Tarpaulin]])</f>
        <v>0</v>
      </c>
      <c r="AD374" s="378">
        <f>IF(NFI_Expiration=1,IF($A374&lt;VLOOKUP(M$5,NFI,5,0),1,0)*Table_NFI[[#This Row],[Blanket]],Table_NFI[[#This Row],[Blanket]])</f>
        <v>0</v>
      </c>
      <c r="AE374" s="378">
        <f>IF(NFI_Expiration=1,IF($A374&lt;VLOOKUP(N$5,NFI,5,0),1,0)*Table_NFI[[#This Row],[Kitchen Set]],Table_NFI[Kitchen Set])</f>
        <v>0</v>
      </c>
      <c r="AF374" s="378">
        <f>IF(NFI_Expiration=1,IF($A374&lt;VLOOKUP(O$5,NFI,5,0),1,0)*Table_NFI[[#This Row],[Clothes Kit]],Table_NFI[Clothes Kit])</f>
        <v>0</v>
      </c>
      <c r="AG374" s="378">
        <f>IF(NFI_Expiration=1,IF($A374&lt;VLOOKUP(P$5,NFI,5,0),1,0)*Table_NFI[[#This Row],[Plastic Bucket]],Table_NFI[Plastic Bucket])</f>
        <v>0</v>
      </c>
      <c r="AH374" s="378">
        <f>IF(NFI_Expiration=1,IF($A374&lt;VLOOKUP(Q$5,NFI,5,0),1,0)*Table_NFI[[#This Row],[Plastic Mat]],Table_NFI[Plastic Mat])*IF(Table_NFI[[#This Row],[Distribution Date]]&gt;"2014-04-01",1,2.5)</f>
        <v>0</v>
      </c>
      <c r="AI374" s="378">
        <f>IF(NFI_Expiration=1,IF($A374&lt;VLOOKUP(R$5,NFI,5,0),1,0)*Table_NFI[[#This Row],[Winter Clothes Adult]],Table_NFI[Winter Clothes Adult])</f>
        <v>0</v>
      </c>
      <c r="AJ374" s="378">
        <f>IF(NFI_Expiration=1,IF($A374&lt;VLOOKUP(S$5,NFI,5,0),1,0)*Table_NFI[[#This Row],[Winter Clothes Children]],Table_NFI[Winter Clothes Children])</f>
        <v>0</v>
      </c>
      <c r="AK374" s="378">
        <f>IF(NFI_Expiration=1,IF($A374&lt;VLOOKUP(T$5,NFI,5,0),1,0)*Table_NFI[[#This Row],[Winter Items Other]],Table_NFI[Winter Items Other])</f>
        <v>0</v>
      </c>
      <c r="AL374" s="378">
        <f>IF(NFI_Expiration=1,IF($A374&lt;VLOOKUP(M$5,NFI,5,0),1,0)*Table_NFI[[#This Row],[Winter Blanket]],Table_NFI[[#This Row],[Winter Blanket]])</f>
        <v>0</v>
      </c>
      <c r="AM374" s="378">
        <f>IF(Table_NFI[[#This Row],[Winter Clothes Adult]]+Table_NFI[[#This Row],[Winter Clothes Children]]+Table_NFI[[#This Row],[Winter Items Other]]+Table_NFI[[#This Row],[Winter Blanket]]&gt;0,1,0)</f>
        <v>0</v>
      </c>
      <c r="AN374" s="418">
        <f>IF(NFI_Expiration=1,IF($A374&lt;VLOOKUP(V$5,NFI,5,0),1,0)*Table_NFI[[#This Row],[Jerry Can]],Table_NFI[Jerry Can])</f>
        <v>0</v>
      </c>
      <c r="AO374" s="579" t="str">
        <f>IFERROR(VLOOKUP(Table_NFI[[#This Row],[Camp Name]],CL,2,0),"")</f>
        <v>MMR001CMP029</v>
      </c>
      <c r="AP374" s="574">
        <f ca="1">IF(Table_NFI[[#This Row],[Pcode]]="","",IF(OFFSET(CampList[Opening Date],MATCH(Table_NFI[[#This Row],[Pcode]],CampList[CP_Pcode],0)-1,0,1,1)&gt;=NFI_Monitor_Date,1,0))</f>
        <v>0</v>
      </c>
      <c r="AQ374" s="579" t="str">
        <f>IFERROR(VLOOKUP(Table_NFI[[#This Row],[Camp Name]],CL,3,0),"")</f>
        <v>Open</v>
      </c>
      <c r="AR374" s="378" t="str">
        <f ca="1">IF(Table_NFI[[#This Row],[Pcode]]="","",OFFSET(CampList[Priority],MATCH(Table_NFI[[#This Row],[Pcode]],CampList[CP_Pcode],0)-1,0,1,1))</f>
        <v>P4</v>
      </c>
      <c r="AS374" s="377">
        <f>IFERROR(Table_NFI[[#This Row],[Kitchen Set]]/VLOOKUP(Table_NFI[[#This Row],[Camp Name]],CL,4,0),"")</f>
        <v>0</v>
      </c>
      <c r="AT374" s="572" t="s">
        <v>1095</v>
      </c>
      <c r="AU374" s="580"/>
    </row>
    <row r="375" spans="1:47" s="576" customFormat="1" x14ac:dyDescent="0.25">
      <c r="A375" s="381">
        <f t="shared" si="5"/>
        <v>20.3</v>
      </c>
      <c r="B375" s="571">
        <v>41913</v>
      </c>
      <c r="C375" s="572" t="s">
        <v>454</v>
      </c>
      <c r="D375" s="577" t="s">
        <v>508</v>
      </c>
      <c r="E375" s="577" t="s">
        <v>380</v>
      </c>
      <c r="F375" s="577" t="s">
        <v>310</v>
      </c>
      <c r="G375" s="577" t="s">
        <v>330</v>
      </c>
      <c r="H375" s="376"/>
      <c r="I375" s="376"/>
      <c r="J375" s="376"/>
      <c r="K375" s="376">
        <v>462</v>
      </c>
      <c r="L375" s="376"/>
      <c r="M375" s="376"/>
      <c r="N375" s="376"/>
      <c r="O375" s="376"/>
      <c r="P375" s="378"/>
      <c r="Q375" s="378"/>
      <c r="R375" s="378"/>
      <c r="S375" s="378"/>
      <c r="T375" s="378"/>
      <c r="U375" s="378"/>
      <c r="V375" s="533"/>
      <c r="W375" s="378"/>
      <c r="X375" s="378"/>
      <c r="Y375" s="378">
        <f>IF(NFI_Expiration=1,IF($A375&lt;VLOOKUP(H$5,NFI,5,0),1,0)*Table_NFI[[#This Row],[Hygiene Kit]],Table_NFI[Hygiene Kit])</f>
        <v>0</v>
      </c>
      <c r="Z375" s="378">
        <f>IF(NFI_Expiration=1,IF($A375&lt;VLOOKUP(I$5,NFI,5,0),1,0)*Table_NFI[[#This Row],[NFI Core Kit]],Table_NFI[NFI Core Kit])</f>
        <v>0</v>
      </c>
      <c r="AA375" s="378">
        <f>IF(NFI_Expiration=1,IF($A375&lt;VLOOKUP(J$5,NFI,5,0),1,0)*Table_NFI[[#This Row],[Sanitary Kit]],Table_NFI[Sanitary Kit])</f>
        <v>0</v>
      </c>
      <c r="AB375" s="378">
        <f>IF(NFI_Expiration=1,IF($A375&lt;VLOOKUP(K$5,NFI,5,0),1,0)*Table_NFI[[#This Row],[Mosquito net]],Table_NFI[Mosquito net])</f>
        <v>0</v>
      </c>
      <c r="AC375" s="378">
        <f>IF(NFI_Expiration=1,IF($A375&lt;VLOOKUP(L$5,NFI,5,0),1,0)*Table_NFI[[#This Row],[Tarpaulin]],Table_NFI[[#This Row],[Tarpaulin]])</f>
        <v>0</v>
      </c>
      <c r="AD375" s="378">
        <f>IF(NFI_Expiration=1,IF($A375&lt;VLOOKUP(M$5,NFI,5,0),1,0)*Table_NFI[[#This Row],[Blanket]],Table_NFI[[#This Row],[Blanket]])</f>
        <v>0</v>
      </c>
      <c r="AE375" s="378">
        <f>IF(NFI_Expiration=1,IF($A375&lt;VLOOKUP(N$5,NFI,5,0),1,0)*Table_NFI[[#This Row],[Kitchen Set]],Table_NFI[Kitchen Set])</f>
        <v>0</v>
      </c>
      <c r="AF375" s="378">
        <f>IF(NFI_Expiration=1,IF($A375&lt;VLOOKUP(O$5,NFI,5,0),1,0)*Table_NFI[[#This Row],[Clothes Kit]],Table_NFI[Clothes Kit])</f>
        <v>0</v>
      </c>
      <c r="AG375" s="378">
        <f>IF(NFI_Expiration=1,IF($A375&lt;VLOOKUP(P$5,NFI,5,0),1,0)*Table_NFI[[#This Row],[Plastic Bucket]],Table_NFI[Plastic Bucket])</f>
        <v>0</v>
      </c>
      <c r="AH375" s="378">
        <f>IF(NFI_Expiration=1,IF($A375&lt;VLOOKUP(Q$5,NFI,5,0),1,0)*Table_NFI[[#This Row],[Plastic Mat]],Table_NFI[Plastic Mat])*IF(Table_NFI[[#This Row],[Distribution Date]]&gt;"2014-04-01",1,2.5)</f>
        <v>0</v>
      </c>
      <c r="AI375" s="378">
        <f>IF(NFI_Expiration=1,IF($A375&lt;VLOOKUP(R$5,NFI,5,0),1,0)*Table_NFI[[#This Row],[Winter Clothes Adult]],Table_NFI[Winter Clothes Adult])</f>
        <v>0</v>
      </c>
      <c r="AJ375" s="378">
        <f>IF(NFI_Expiration=1,IF($A375&lt;VLOOKUP(S$5,NFI,5,0),1,0)*Table_NFI[[#This Row],[Winter Clothes Children]],Table_NFI[Winter Clothes Children])</f>
        <v>0</v>
      </c>
      <c r="AK375" s="378">
        <f>IF(NFI_Expiration=1,IF($A375&lt;VLOOKUP(T$5,NFI,5,0),1,0)*Table_NFI[[#This Row],[Winter Items Other]],Table_NFI[Winter Items Other])</f>
        <v>0</v>
      </c>
      <c r="AL375" s="378">
        <f>IF(NFI_Expiration=1,IF($A375&lt;VLOOKUP(M$5,NFI,5,0),1,0)*Table_NFI[[#This Row],[Winter Blanket]],Table_NFI[[#This Row],[Winter Blanket]])</f>
        <v>0</v>
      </c>
      <c r="AM375" s="378">
        <f>IF(Table_NFI[[#This Row],[Winter Clothes Adult]]+Table_NFI[[#This Row],[Winter Clothes Children]]+Table_NFI[[#This Row],[Winter Items Other]]+Table_NFI[[#This Row],[Winter Blanket]]&gt;0,1,0)</f>
        <v>0</v>
      </c>
      <c r="AN375" s="418">
        <f>IF(NFI_Expiration=1,IF($A375&lt;VLOOKUP(V$5,NFI,5,0),1,0)*Table_NFI[[#This Row],[Jerry Can]],Table_NFI[Jerry Can])</f>
        <v>0</v>
      </c>
      <c r="AO375" s="579" t="str">
        <f>IFERROR(VLOOKUP(Table_NFI[[#This Row],[Camp Name]],CL,2,0),"")</f>
        <v>MMR001CMP029</v>
      </c>
      <c r="AP375" s="574">
        <f ca="1">IF(Table_NFI[[#This Row],[Pcode]]="","",IF(OFFSET(CampList[Opening Date],MATCH(Table_NFI[[#This Row],[Pcode]],CampList[CP_Pcode],0)-1,0,1,1)&gt;=NFI_Monitor_Date,1,0))</f>
        <v>0</v>
      </c>
      <c r="AQ375" s="579" t="str">
        <f>IFERROR(VLOOKUP(Table_NFI[[#This Row],[Camp Name]],CL,3,0),"")</f>
        <v>Open</v>
      </c>
      <c r="AR375" s="378" t="str">
        <f ca="1">IF(Table_NFI[[#This Row],[Pcode]]="","",OFFSET(CampList[Priority],MATCH(Table_NFI[[#This Row],[Pcode]],CampList[CP_Pcode],0)-1,0,1,1))</f>
        <v>P4</v>
      </c>
      <c r="AS375" s="377">
        <f>IFERROR(Table_NFI[[#This Row],[Kitchen Set]]/VLOOKUP(Table_NFI[[#This Row],[Camp Name]],CL,4,0),"")</f>
        <v>0</v>
      </c>
      <c r="AT375" s="577"/>
      <c r="AU375" s="580"/>
    </row>
    <row r="376" spans="1:47" s="576" customFormat="1" x14ac:dyDescent="0.25">
      <c r="A376" s="381">
        <f t="shared" si="5"/>
        <v>24.9</v>
      </c>
      <c r="B376" s="571">
        <v>41775</v>
      </c>
      <c r="C376" s="572" t="s">
        <v>1107</v>
      </c>
      <c r="D376" s="572" t="s">
        <v>903</v>
      </c>
      <c r="E376" s="572" t="s">
        <v>380</v>
      </c>
      <c r="F376" s="572" t="s">
        <v>310</v>
      </c>
      <c r="G376" s="572" t="s">
        <v>330</v>
      </c>
      <c r="H376" s="375"/>
      <c r="I376" s="375"/>
      <c r="J376" s="375"/>
      <c r="K376" s="375"/>
      <c r="L376" s="376"/>
      <c r="M376" s="376"/>
      <c r="N376" s="376"/>
      <c r="O376" s="376"/>
      <c r="P376" s="378"/>
      <c r="Q376" s="378"/>
      <c r="R376" s="378"/>
      <c r="S376" s="378"/>
      <c r="T376" s="378"/>
      <c r="U376" s="378">
        <v>470</v>
      </c>
      <c r="V376" s="533"/>
      <c r="W376" s="378"/>
      <c r="X376" s="378"/>
      <c r="Y376" s="378">
        <f>IF(NFI_Expiration=1,IF($A376&lt;VLOOKUP(H$5,NFI,5,0),1,0)*Table_NFI[[#This Row],[Hygiene Kit]],Table_NFI[Hygiene Kit])</f>
        <v>0</v>
      </c>
      <c r="Z376" s="378">
        <f>IF(NFI_Expiration=1,IF($A376&lt;VLOOKUP(I$5,NFI,5,0),1,0)*Table_NFI[[#This Row],[NFI Core Kit]],Table_NFI[NFI Core Kit])</f>
        <v>0</v>
      </c>
      <c r="AA376" s="378">
        <f>IF(NFI_Expiration=1,IF($A376&lt;VLOOKUP(J$5,NFI,5,0),1,0)*Table_NFI[[#This Row],[Sanitary Kit]],Table_NFI[Sanitary Kit])</f>
        <v>0</v>
      </c>
      <c r="AB376" s="378">
        <f>IF(NFI_Expiration=1,IF($A376&lt;VLOOKUP(K$5,NFI,5,0),1,0)*Table_NFI[[#This Row],[Mosquito net]],Table_NFI[Mosquito net])</f>
        <v>0</v>
      </c>
      <c r="AC376" s="378">
        <f>IF(NFI_Expiration=1,IF($A376&lt;VLOOKUP(L$5,NFI,5,0),1,0)*Table_NFI[[#This Row],[Tarpaulin]],Table_NFI[[#This Row],[Tarpaulin]])</f>
        <v>0</v>
      </c>
      <c r="AD376" s="378">
        <f>IF(NFI_Expiration=1,IF($A376&lt;VLOOKUP(M$5,NFI,5,0),1,0)*Table_NFI[[#This Row],[Blanket]],Table_NFI[[#This Row],[Blanket]])</f>
        <v>0</v>
      </c>
      <c r="AE376" s="378">
        <f>IF(NFI_Expiration=1,IF($A376&lt;VLOOKUP(N$5,NFI,5,0),1,0)*Table_NFI[[#This Row],[Kitchen Set]],Table_NFI[Kitchen Set])</f>
        <v>0</v>
      </c>
      <c r="AF376" s="378">
        <f>IF(NFI_Expiration=1,IF($A376&lt;VLOOKUP(O$5,NFI,5,0),1,0)*Table_NFI[[#This Row],[Clothes Kit]],Table_NFI[Clothes Kit])</f>
        <v>0</v>
      </c>
      <c r="AG376" s="378">
        <f>IF(NFI_Expiration=1,IF($A376&lt;VLOOKUP(P$5,NFI,5,0),1,0)*Table_NFI[[#This Row],[Plastic Bucket]],Table_NFI[Plastic Bucket])</f>
        <v>0</v>
      </c>
      <c r="AH376" s="378">
        <f>IF(NFI_Expiration=1,IF($A376&lt;VLOOKUP(Q$5,NFI,5,0),1,0)*Table_NFI[[#This Row],[Plastic Mat]],Table_NFI[Plastic Mat])*IF(Table_NFI[[#This Row],[Distribution Date]]&gt;"2014-04-01",1,2.5)</f>
        <v>0</v>
      </c>
      <c r="AI376" s="378">
        <f>IF(NFI_Expiration=1,IF($A376&lt;VLOOKUP(R$5,NFI,5,0),1,0)*Table_NFI[[#This Row],[Winter Clothes Adult]],Table_NFI[Winter Clothes Adult])</f>
        <v>0</v>
      </c>
      <c r="AJ376" s="378">
        <f>IF(NFI_Expiration=1,IF($A376&lt;VLOOKUP(S$5,NFI,5,0),1,0)*Table_NFI[[#This Row],[Winter Clothes Children]],Table_NFI[Winter Clothes Children])</f>
        <v>0</v>
      </c>
      <c r="AK376" s="378">
        <f>IF(NFI_Expiration=1,IF($A376&lt;VLOOKUP(T$5,NFI,5,0),1,0)*Table_NFI[[#This Row],[Winter Items Other]],Table_NFI[Winter Items Other])</f>
        <v>0</v>
      </c>
      <c r="AL376" s="378">
        <f>IF(NFI_Expiration=1,IF($A376&lt;VLOOKUP(M$5,NFI,5,0),1,0)*Table_NFI[[#This Row],[Winter Blanket]],Table_NFI[[#This Row],[Winter Blanket]])</f>
        <v>0</v>
      </c>
      <c r="AM376" s="378">
        <f>IF(Table_NFI[[#This Row],[Winter Clothes Adult]]+Table_NFI[[#This Row],[Winter Clothes Children]]+Table_NFI[[#This Row],[Winter Items Other]]+Table_NFI[[#This Row],[Winter Blanket]]&gt;0,1,0)</f>
        <v>1</v>
      </c>
      <c r="AN376" s="418">
        <f>IF(NFI_Expiration=1,IF($A376&lt;VLOOKUP(V$5,NFI,5,0),1,0)*Table_NFI[[#This Row],[Jerry Can]],Table_NFI[Jerry Can])</f>
        <v>0</v>
      </c>
      <c r="AO376" s="579" t="str">
        <f>IFERROR(VLOOKUP(Table_NFI[[#This Row],[Camp Name]],CL,2,0),"")</f>
        <v>MMR001CMP029</v>
      </c>
      <c r="AP376" s="574">
        <f ca="1">IF(Table_NFI[[#This Row],[Pcode]]="","",IF(OFFSET(CampList[Opening Date],MATCH(Table_NFI[[#This Row],[Pcode]],CampList[CP_Pcode],0)-1,0,1,1)&gt;=NFI_Monitor_Date,1,0))</f>
        <v>0</v>
      </c>
      <c r="AQ376" s="579" t="str">
        <f>IFERROR(VLOOKUP(Table_NFI[[#This Row],[Camp Name]],CL,3,0),"")</f>
        <v>Open</v>
      </c>
      <c r="AR376" s="378" t="str">
        <f ca="1">IF(Table_NFI[[#This Row],[Pcode]]="","",OFFSET(CampList[Priority],MATCH(Table_NFI[[#This Row],[Pcode]],CampList[CP_Pcode],0)-1,0,1,1))</f>
        <v>P4</v>
      </c>
      <c r="AS376" s="377">
        <f>IFERROR(Table_NFI[[#This Row],[Kitchen Set]]/VLOOKUP(Table_NFI[[#This Row],[Camp Name]],CL,4,0),"")</f>
        <v>0</v>
      </c>
      <c r="AT376" s="572"/>
      <c r="AU376" s="575"/>
    </row>
    <row r="377" spans="1:47" s="576" customFormat="1" ht="13.9" customHeight="1" x14ac:dyDescent="0.25">
      <c r="A377" s="381">
        <f t="shared" si="5"/>
        <v>34.766666666666666</v>
      </c>
      <c r="B377" s="571">
        <v>41479</v>
      </c>
      <c r="C377" s="572" t="s">
        <v>454</v>
      </c>
      <c r="D377" s="572" t="s">
        <v>508</v>
      </c>
      <c r="E377" s="572" t="s">
        <v>380</v>
      </c>
      <c r="F377" s="572" t="s">
        <v>310</v>
      </c>
      <c r="G377" s="374" t="s">
        <v>330</v>
      </c>
      <c r="H377" s="375"/>
      <c r="I377" s="375"/>
      <c r="J377" s="375">
        <v>40</v>
      </c>
      <c r="K377" s="375">
        <v>49</v>
      </c>
      <c r="L377" s="376">
        <v>23</v>
      </c>
      <c r="M377" s="376">
        <v>49</v>
      </c>
      <c r="N377" s="376">
        <v>23</v>
      </c>
      <c r="O377" s="376">
        <v>23</v>
      </c>
      <c r="P377" s="378">
        <v>23</v>
      </c>
      <c r="Q377" s="378">
        <v>23</v>
      </c>
      <c r="R377" s="378"/>
      <c r="S377" s="378"/>
      <c r="T377" s="378"/>
      <c r="U377" s="378"/>
      <c r="V377" s="533"/>
      <c r="W377" s="378"/>
      <c r="X377" s="378"/>
      <c r="Y377" s="378">
        <f>IF(NFI_Expiration=1,IF($A377&lt;VLOOKUP(H$5,NFI,5,0),1,0)*Table_NFI[[#This Row],[Hygiene Kit]],Table_NFI[Hygiene Kit])</f>
        <v>0</v>
      </c>
      <c r="Z377" s="378">
        <f>IF(NFI_Expiration=1,IF($A377&lt;VLOOKUP(I$5,NFI,5,0),1,0)*Table_NFI[[#This Row],[NFI Core Kit]],Table_NFI[NFI Core Kit])</f>
        <v>0</v>
      </c>
      <c r="AA377" s="378">
        <f>IF(NFI_Expiration=1,IF($A377&lt;VLOOKUP(J$5,NFI,5,0),1,0)*Table_NFI[[#This Row],[Sanitary Kit]],Table_NFI[Sanitary Kit])</f>
        <v>0</v>
      </c>
      <c r="AB377" s="378">
        <f>IF(NFI_Expiration=1,IF($A377&lt;VLOOKUP(K$5,NFI,5,0),1,0)*Table_NFI[[#This Row],[Mosquito net]],Table_NFI[Mosquito net])</f>
        <v>0</v>
      </c>
      <c r="AC377" s="378">
        <f>IF(NFI_Expiration=1,IF($A377&lt;VLOOKUP(L$5,NFI,5,0),1,0)*Table_NFI[[#This Row],[Tarpaulin]],Table_NFI[[#This Row],[Tarpaulin]])</f>
        <v>0</v>
      </c>
      <c r="AD377" s="378">
        <f>IF(NFI_Expiration=1,IF($A377&lt;VLOOKUP(M$5,NFI,5,0),1,0)*Table_NFI[[#This Row],[Blanket]],Table_NFI[[#This Row],[Blanket]])</f>
        <v>0</v>
      </c>
      <c r="AE377" s="378">
        <f>IF(NFI_Expiration=1,IF($A377&lt;VLOOKUP(N$5,NFI,5,0),1,0)*Table_NFI[[#This Row],[Kitchen Set]],Table_NFI[Kitchen Set])</f>
        <v>0</v>
      </c>
      <c r="AF377" s="378">
        <f>IF(NFI_Expiration=1,IF($A377&lt;VLOOKUP(O$5,NFI,5,0),1,0)*Table_NFI[[#This Row],[Clothes Kit]],Table_NFI[Clothes Kit])</f>
        <v>0</v>
      </c>
      <c r="AG377" s="378">
        <f>IF(NFI_Expiration=1,IF($A377&lt;VLOOKUP(P$5,NFI,5,0),1,0)*Table_NFI[[#This Row],[Plastic Bucket]],Table_NFI[Plastic Bucket])</f>
        <v>0</v>
      </c>
      <c r="AH377" s="378">
        <f>IF(NFI_Expiration=1,IF($A377&lt;VLOOKUP(Q$5,NFI,5,0),1,0)*Table_NFI[[#This Row],[Plastic Mat]],Table_NFI[Plastic Mat])*IF(Table_NFI[[#This Row],[Distribution Date]]&gt;"2014-04-01",1,2.5)</f>
        <v>0</v>
      </c>
      <c r="AI377" s="378">
        <f>IF(NFI_Expiration=1,IF($A377&lt;VLOOKUP(R$5,NFI,5,0),1,0)*Table_NFI[[#This Row],[Winter Clothes Adult]],Table_NFI[Winter Clothes Adult])</f>
        <v>0</v>
      </c>
      <c r="AJ377" s="378">
        <f>IF(NFI_Expiration=1,IF($A377&lt;VLOOKUP(S$5,NFI,5,0),1,0)*Table_NFI[[#This Row],[Winter Clothes Children]],Table_NFI[Winter Clothes Children])</f>
        <v>0</v>
      </c>
      <c r="AK377" s="378">
        <f>IF(NFI_Expiration=1,IF($A377&lt;VLOOKUP(T$5,NFI,5,0),1,0)*Table_NFI[[#This Row],[Winter Items Other]],Table_NFI[Winter Items Other])</f>
        <v>0</v>
      </c>
      <c r="AL377" s="378">
        <f>IF(NFI_Expiration=1,IF($A377&lt;VLOOKUP(M$5,NFI,5,0),1,0)*Table_NFI[[#This Row],[Winter Blanket]],Table_NFI[[#This Row],[Winter Blanket]])</f>
        <v>0</v>
      </c>
      <c r="AM377" s="378">
        <f>IF(Table_NFI[[#This Row],[Winter Clothes Adult]]+Table_NFI[[#This Row],[Winter Clothes Children]]+Table_NFI[[#This Row],[Winter Items Other]]+Table_NFI[[#This Row],[Winter Blanket]]&gt;0,1,0)</f>
        <v>0</v>
      </c>
      <c r="AN377" s="418">
        <f>IF(NFI_Expiration=1,IF($A377&lt;VLOOKUP(V$5,NFI,5,0),1,0)*Table_NFI[[#This Row],[Jerry Can]],Table_NFI[Jerry Can])</f>
        <v>0</v>
      </c>
      <c r="AO377" s="579" t="str">
        <f>IFERROR(VLOOKUP(Table_NFI[[#This Row],[Camp Name]],CL,2,0),"")</f>
        <v>MMR001CMP029</v>
      </c>
      <c r="AP377" s="574">
        <f ca="1">IF(Table_NFI[[#This Row],[Pcode]]="","",IF(OFFSET(CampList[Opening Date],MATCH(Table_NFI[[#This Row],[Pcode]],CampList[CP_Pcode],0)-1,0,1,1)&gt;=NFI_Monitor_Date,1,0))</f>
        <v>0</v>
      </c>
      <c r="AQ377" s="579" t="str">
        <f>IFERROR(VLOOKUP(Table_NFI[[#This Row],[Camp Name]],CL,3,0),"")</f>
        <v>Open</v>
      </c>
      <c r="AR377" s="378" t="str">
        <f ca="1">IF(Table_NFI[[#This Row],[Pcode]]="","",OFFSET(CampList[Priority],MATCH(Table_NFI[[#This Row],[Pcode]],CampList[CP_Pcode],0)-1,0,1,1))</f>
        <v>P4</v>
      </c>
      <c r="AS377" s="377">
        <f>IFERROR(Table_NFI[[#This Row],[Kitchen Set]]/VLOOKUP(Table_NFI[[#This Row],[Camp Name]],CL,4,0),"")</f>
        <v>0.1036036036036036</v>
      </c>
      <c r="AT377" s="572" t="s">
        <v>1095</v>
      </c>
      <c r="AU377" s="575"/>
    </row>
    <row r="378" spans="1:47" s="576" customFormat="1" x14ac:dyDescent="0.25">
      <c r="A378" s="381">
        <f t="shared" si="5"/>
        <v>37.333333333333336</v>
      </c>
      <c r="B378" s="571">
        <v>41402</v>
      </c>
      <c r="C378" s="572" t="s">
        <v>904</v>
      </c>
      <c r="D378" s="573" t="s">
        <v>508</v>
      </c>
      <c r="E378" s="572" t="s">
        <v>380</v>
      </c>
      <c r="F378" s="374" t="s">
        <v>310</v>
      </c>
      <c r="G378" s="374" t="s">
        <v>330</v>
      </c>
      <c r="H378" s="375">
        <v>1062</v>
      </c>
      <c r="I378" s="375"/>
      <c r="J378" s="375"/>
      <c r="K378" s="375"/>
      <c r="L378" s="376"/>
      <c r="M378" s="376"/>
      <c r="N378" s="376"/>
      <c r="O378" s="376"/>
      <c r="P378" s="378"/>
      <c r="Q378" s="378"/>
      <c r="R378" s="378"/>
      <c r="S378" s="378"/>
      <c r="T378" s="378"/>
      <c r="U378" s="378"/>
      <c r="V378" s="533"/>
      <c r="W378" s="378"/>
      <c r="X378" s="378"/>
      <c r="Y378" s="378">
        <f>IF(NFI_Expiration=1,IF($A378&lt;VLOOKUP(H$5,NFI,5,0),1,0)*Table_NFI[[#This Row],[Hygiene Kit]],Table_NFI[Hygiene Kit])</f>
        <v>0</v>
      </c>
      <c r="Z378" s="378">
        <f>IF(NFI_Expiration=1,IF($A378&lt;VLOOKUP(I$5,NFI,5,0),1,0)*Table_NFI[[#This Row],[NFI Core Kit]],Table_NFI[NFI Core Kit])</f>
        <v>0</v>
      </c>
      <c r="AA378" s="378">
        <f>IF(NFI_Expiration=1,IF($A378&lt;VLOOKUP(J$5,NFI,5,0),1,0)*Table_NFI[[#This Row],[Sanitary Kit]],Table_NFI[Sanitary Kit])</f>
        <v>0</v>
      </c>
      <c r="AB378" s="378">
        <f>IF(NFI_Expiration=1,IF($A378&lt;VLOOKUP(K$5,NFI,5,0),1,0)*Table_NFI[[#This Row],[Mosquito net]],Table_NFI[Mosquito net])</f>
        <v>0</v>
      </c>
      <c r="AC378" s="378">
        <f>IF(NFI_Expiration=1,IF($A378&lt;VLOOKUP(L$5,NFI,5,0),1,0)*Table_NFI[[#This Row],[Tarpaulin]],Table_NFI[[#This Row],[Tarpaulin]])</f>
        <v>0</v>
      </c>
      <c r="AD378" s="378">
        <f>IF(NFI_Expiration=1,IF($A378&lt;VLOOKUP(M$5,NFI,5,0),1,0)*Table_NFI[[#This Row],[Blanket]],Table_NFI[[#This Row],[Blanket]])</f>
        <v>0</v>
      </c>
      <c r="AE378" s="378">
        <f>IF(NFI_Expiration=1,IF($A378&lt;VLOOKUP(N$5,NFI,5,0),1,0)*Table_NFI[[#This Row],[Kitchen Set]],Table_NFI[Kitchen Set])</f>
        <v>0</v>
      </c>
      <c r="AF378" s="378">
        <f>IF(NFI_Expiration=1,IF($A378&lt;VLOOKUP(O$5,NFI,5,0),1,0)*Table_NFI[[#This Row],[Clothes Kit]],Table_NFI[Clothes Kit])</f>
        <v>0</v>
      </c>
      <c r="AG378" s="378">
        <f>IF(NFI_Expiration=1,IF($A378&lt;VLOOKUP(P$5,NFI,5,0),1,0)*Table_NFI[[#This Row],[Plastic Bucket]],Table_NFI[Plastic Bucket])</f>
        <v>0</v>
      </c>
      <c r="AH378" s="378">
        <f>IF(NFI_Expiration=1,IF($A378&lt;VLOOKUP(Q$5,NFI,5,0),1,0)*Table_NFI[[#This Row],[Plastic Mat]],Table_NFI[Plastic Mat])*IF(Table_NFI[[#This Row],[Distribution Date]]&gt;"2014-04-01",1,2.5)</f>
        <v>0</v>
      </c>
      <c r="AI378" s="378">
        <f>IF(NFI_Expiration=1,IF($A378&lt;VLOOKUP(R$5,NFI,5,0),1,0)*Table_NFI[[#This Row],[Winter Clothes Adult]],Table_NFI[Winter Clothes Adult])</f>
        <v>0</v>
      </c>
      <c r="AJ378" s="378">
        <f>IF(NFI_Expiration=1,IF($A378&lt;VLOOKUP(S$5,NFI,5,0),1,0)*Table_NFI[[#This Row],[Winter Clothes Children]],Table_NFI[Winter Clothes Children])</f>
        <v>0</v>
      </c>
      <c r="AK378" s="378">
        <f>IF(NFI_Expiration=1,IF($A378&lt;VLOOKUP(T$5,NFI,5,0),1,0)*Table_NFI[[#This Row],[Winter Items Other]],Table_NFI[Winter Items Other])</f>
        <v>0</v>
      </c>
      <c r="AL378" s="378">
        <f>IF(NFI_Expiration=1,IF($A378&lt;VLOOKUP(M$5,NFI,5,0),1,0)*Table_NFI[[#This Row],[Winter Blanket]],Table_NFI[[#This Row],[Winter Blanket]])</f>
        <v>0</v>
      </c>
      <c r="AM378" s="378">
        <f>IF(Table_NFI[[#This Row],[Winter Clothes Adult]]+Table_NFI[[#This Row],[Winter Clothes Children]]+Table_NFI[[#This Row],[Winter Items Other]]+Table_NFI[[#This Row],[Winter Blanket]]&gt;0,1,0)</f>
        <v>0</v>
      </c>
      <c r="AN378" s="418">
        <f>IF(NFI_Expiration=1,IF($A378&lt;VLOOKUP(V$5,NFI,5,0),1,0)*Table_NFI[[#This Row],[Jerry Can]],Table_NFI[Jerry Can])</f>
        <v>0</v>
      </c>
      <c r="AO378" s="579" t="str">
        <f>IFERROR(VLOOKUP(Table_NFI[[#This Row],[Camp Name]],CL,2,0),"")</f>
        <v>MMR001CMP029</v>
      </c>
      <c r="AP378" s="574">
        <f ca="1">IF(Table_NFI[[#This Row],[Pcode]]="","",IF(OFFSET(CampList[Opening Date],MATCH(Table_NFI[[#This Row],[Pcode]],CampList[CP_Pcode],0)-1,0,1,1)&gt;=NFI_Monitor_Date,1,0))</f>
        <v>0</v>
      </c>
      <c r="AQ378" s="579" t="str">
        <f>IFERROR(VLOOKUP(Table_NFI[[#This Row],[Camp Name]],CL,3,0),"")</f>
        <v>Open</v>
      </c>
      <c r="AR378" s="378" t="str">
        <f ca="1">IF(Table_NFI[[#This Row],[Pcode]]="","",OFFSET(CampList[Priority],MATCH(Table_NFI[[#This Row],[Pcode]],CampList[CP_Pcode],0)-1,0,1,1))</f>
        <v>P4</v>
      </c>
      <c r="AS378" s="377">
        <f>IFERROR(Table_NFI[[#This Row],[Kitchen Set]]/VLOOKUP(Table_NFI[[#This Row],[Camp Name]],CL,4,0),"")</f>
        <v>0</v>
      </c>
      <c r="AT378" s="572" t="s">
        <v>1095</v>
      </c>
      <c r="AU378" s="575"/>
    </row>
    <row r="379" spans="1:47" s="576" customFormat="1" x14ac:dyDescent="0.25">
      <c r="A379" s="381">
        <f t="shared" si="5"/>
        <v>40.4</v>
      </c>
      <c r="B379" s="571">
        <v>41310</v>
      </c>
      <c r="C379" s="572" t="s">
        <v>903</v>
      </c>
      <c r="D379" s="572" t="s">
        <v>903</v>
      </c>
      <c r="E379" s="572" t="s">
        <v>380</v>
      </c>
      <c r="F379" s="572" t="s">
        <v>310</v>
      </c>
      <c r="G379" s="374" t="s">
        <v>330</v>
      </c>
      <c r="H379" s="375">
        <v>46</v>
      </c>
      <c r="I379" s="375"/>
      <c r="J379" s="375"/>
      <c r="K379" s="375"/>
      <c r="L379" s="376"/>
      <c r="M379" s="376"/>
      <c r="N379" s="376"/>
      <c r="O379" s="376"/>
      <c r="P379" s="378">
        <v>0</v>
      </c>
      <c r="Q379" s="378">
        <v>0</v>
      </c>
      <c r="R379" s="378"/>
      <c r="S379" s="378"/>
      <c r="T379" s="378"/>
      <c r="U379" s="378"/>
      <c r="V379" s="533"/>
      <c r="W379" s="378"/>
      <c r="X379" s="378"/>
      <c r="Y379" s="378">
        <f>IF(NFI_Expiration=1,IF($A379&lt;VLOOKUP(H$5,NFI,5,0),1,0)*Table_NFI[[#This Row],[Hygiene Kit]],Table_NFI[Hygiene Kit])</f>
        <v>0</v>
      </c>
      <c r="Z379" s="378">
        <f>IF(NFI_Expiration=1,IF($A379&lt;VLOOKUP(I$5,NFI,5,0),1,0)*Table_NFI[[#This Row],[NFI Core Kit]],Table_NFI[NFI Core Kit])</f>
        <v>0</v>
      </c>
      <c r="AA379" s="378">
        <f>IF(NFI_Expiration=1,IF($A379&lt;VLOOKUP(J$5,NFI,5,0),1,0)*Table_NFI[[#This Row],[Sanitary Kit]],Table_NFI[Sanitary Kit])</f>
        <v>0</v>
      </c>
      <c r="AB379" s="378">
        <f>IF(NFI_Expiration=1,IF($A379&lt;VLOOKUP(K$5,NFI,5,0),1,0)*Table_NFI[[#This Row],[Mosquito net]],Table_NFI[Mosquito net])</f>
        <v>0</v>
      </c>
      <c r="AC379" s="378">
        <f>IF(NFI_Expiration=1,IF($A379&lt;VLOOKUP(L$5,NFI,5,0),1,0)*Table_NFI[[#This Row],[Tarpaulin]],Table_NFI[[#This Row],[Tarpaulin]])</f>
        <v>0</v>
      </c>
      <c r="AD379" s="378">
        <f>IF(NFI_Expiration=1,IF($A379&lt;VLOOKUP(M$5,NFI,5,0),1,0)*Table_NFI[[#This Row],[Blanket]],Table_NFI[[#This Row],[Blanket]])</f>
        <v>0</v>
      </c>
      <c r="AE379" s="378">
        <f>IF(NFI_Expiration=1,IF($A379&lt;VLOOKUP(N$5,NFI,5,0),1,0)*Table_NFI[[#This Row],[Kitchen Set]],Table_NFI[Kitchen Set])</f>
        <v>0</v>
      </c>
      <c r="AF379" s="378">
        <f>IF(NFI_Expiration=1,IF($A379&lt;VLOOKUP(O$5,NFI,5,0),1,0)*Table_NFI[[#This Row],[Clothes Kit]],Table_NFI[Clothes Kit])</f>
        <v>0</v>
      </c>
      <c r="AG379" s="378">
        <f>IF(NFI_Expiration=1,IF($A379&lt;VLOOKUP(P$5,NFI,5,0),1,0)*Table_NFI[[#This Row],[Plastic Bucket]],Table_NFI[Plastic Bucket])</f>
        <v>0</v>
      </c>
      <c r="AH379" s="378">
        <f>IF(NFI_Expiration=1,IF($A379&lt;VLOOKUP(Q$5,NFI,5,0),1,0)*Table_NFI[[#This Row],[Plastic Mat]],Table_NFI[Plastic Mat])*IF(Table_NFI[[#This Row],[Distribution Date]]&gt;"2014-04-01",1,2.5)</f>
        <v>0</v>
      </c>
      <c r="AI379" s="378">
        <f>IF(NFI_Expiration=1,IF($A379&lt;VLOOKUP(R$5,NFI,5,0),1,0)*Table_NFI[[#This Row],[Winter Clothes Adult]],Table_NFI[Winter Clothes Adult])</f>
        <v>0</v>
      </c>
      <c r="AJ379" s="378">
        <f>IF(NFI_Expiration=1,IF($A379&lt;VLOOKUP(S$5,NFI,5,0),1,0)*Table_NFI[[#This Row],[Winter Clothes Children]],Table_NFI[Winter Clothes Children])</f>
        <v>0</v>
      </c>
      <c r="AK379" s="378">
        <f>IF(NFI_Expiration=1,IF($A379&lt;VLOOKUP(T$5,NFI,5,0),1,0)*Table_NFI[[#This Row],[Winter Items Other]],Table_NFI[Winter Items Other])</f>
        <v>0</v>
      </c>
      <c r="AL379" s="378">
        <f>IF(NFI_Expiration=1,IF($A379&lt;VLOOKUP(M$5,NFI,5,0),1,0)*Table_NFI[[#This Row],[Winter Blanket]],Table_NFI[[#This Row],[Winter Blanket]])</f>
        <v>0</v>
      </c>
      <c r="AM379" s="378">
        <f>IF(Table_NFI[[#This Row],[Winter Clothes Adult]]+Table_NFI[[#This Row],[Winter Clothes Children]]+Table_NFI[[#This Row],[Winter Items Other]]+Table_NFI[[#This Row],[Winter Blanket]]&gt;0,1,0)</f>
        <v>0</v>
      </c>
      <c r="AN379" s="418">
        <f>IF(NFI_Expiration=1,IF($A379&lt;VLOOKUP(V$5,NFI,5,0),1,0)*Table_NFI[[#This Row],[Jerry Can]],Table_NFI[Jerry Can])</f>
        <v>0</v>
      </c>
      <c r="AO379" s="579" t="str">
        <f>IFERROR(VLOOKUP(Table_NFI[[#This Row],[Camp Name]],CL,2,0),"")</f>
        <v>MMR001CMP029</v>
      </c>
      <c r="AP379" s="574">
        <f ca="1">IF(Table_NFI[[#This Row],[Pcode]]="","",IF(OFFSET(CampList[Opening Date],MATCH(Table_NFI[[#This Row],[Pcode]],CampList[CP_Pcode],0)-1,0,1,1)&gt;=NFI_Monitor_Date,1,0))</f>
        <v>0</v>
      </c>
      <c r="AQ379" s="579" t="str">
        <f>IFERROR(VLOOKUP(Table_NFI[[#This Row],[Camp Name]],CL,3,0),"")</f>
        <v>Open</v>
      </c>
      <c r="AR379" s="378" t="str">
        <f ca="1">IF(Table_NFI[[#This Row],[Pcode]]="","",OFFSET(CampList[Priority],MATCH(Table_NFI[[#This Row],[Pcode]],CampList[CP_Pcode],0)-1,0,1,1))</f>
        <v>P4</v>
      </c>
      <c r="AS379" s="377">
        <f>IFERROR(Table_NFI[[#This Row],[Kitchen Set]]/VLOOKUP(Table_NFI[[#This Row],[Camp Name]],CL,4,0),"")</f>
        <v>0</v>
      </c>
      <c r="AT379" s="572" t="s">
        <v>1095</v>
      </c>
      <c r="AU379" s="575"/>
    </row>
    <row r="380" spans="1:47" s="576" customFormat="1" x14ac:dyDescent="0.25">
      <c r="A380" s="381">
        <f t="shared" si="5"/>
        <v>40.56666666666667</v>
      </c>
      <c r="B380" s="571">
        <v>41305</v>
      </c>
      <c r="C380" s="572" t="s">
        <v>571</v>
      </c>
      <c r="D380" s="573" t="s">
        <v>571</v>
      </c>
      <c r="E380" s="572" t="s">
        <v>380</v>
      </c>
      <c r="F380" s="374" t="s">
        <v>310</v>
      </c>
      <c r="G380" s="374" t="s">
        <v>330</v>
      </c>
      <c r="H380" s="375"/>
      <c r="I380" s="375"/>
      <c r="J380" s="375"/>
      <c r="K380" s="375"/>
      <c r="L380" s="376"/>
      <c r="M380" s="376">
        <v>442</v>
      </c>
      <c r="N380" s="376"/>
      <c r="O380" s="376"/>
      <c r="P380" s="378">
        <v>0</v>
      </c>
      <c r="Q380" s="378">
        <v>0</v>
      </c>
      <c r="R380" s="378"/>
      <c r="S380" s="378"/>
      <c r="T380" s="378"/>
      <c r="U380" s="378"/>
      <c r="V380" s="533"/>
      <c r="W380" s="378"/>
      <c r="X380" s="378"/>
      <c r="Y380" s="378">
        <f>IF(NFI_Expiration=1,IF($A380&lt;VLOOKUP(H$5,NFI,5,0),1,0)*Table_NFI[[#This Row],[Hygiene Kit]],Table_NFI[Hygiene Kit])</f>
        <v>0</v>
      </c>
      <c r="Z380" s="378">
        <f>IF(NFI_Expiration=1,IF($A380&lt;VLOOKUP(I$5,NFI,5,0),1,0)*Table_NFI[[#This Row],[NFI Core Kit]],Table_NFI[NFI Core Kit])</f>
        <v>0</v>
      </c>
      <c r="AA380" s="378">
        <f>IF(NFI_Expiration=1,IF($A380&lt;VLOOKUP(J$5,NFI,5,0),1,0)*Table_NFI[[#This Row],[Sanitary Kit]],Table_NFI[Sanitary Kit])</f>
        <v>0</v>
      </c>
      <c r="AB380" s="378">
        <f>IF(NFI_Expiration=1,IF($A380&lt;VLOOKUP(K$5,NFI,5,0),1,0)*Table_NFI[[#This Row],[Mosquito net]],Table_NFI[Mosquito net])</f>
        <v>0</v>
      </c>
      <c r="AC380" s="378">
        <f>IF(NFI_Expiration=1,IF($A380&lt;VLOOKUP(L$5,NFI,5,0),1,0)*Table_NFI[[#This Row],[Tarpaulin]],Table_NFI[[#This Row],[Tarpaulin]])</f>
        <v>0</v>
      </c>
      <c r="AD380" s="378">
        <f>IF(NFI_Expiration=1,IF($A380&lt;VLOOKUP(M$5,NFI,5,0),1,0)*Table_NFI[[#This Row],[Blanket]],Table_NFI[[#This Row],[Blanket]])</f>
        <v>0</v>
      </c>
      <c r="AE380" s="378">
        <f>IF(NFI_Expiration=1,IF($A380&lt;VLOOKUP(N$5,NFI,5,0),1,0)*Table_NFI[[#This Row],[Kitchen Set]],Table_NFI[Kitchen Set])</f>
        <v>0</v>
      </c>
      <c r="AF380" s="378">
        <f>IF(NFI_Expiration=1,IF($A380&lt;VLOOKUP(O$5,NFI,5,0),1,0)*Table_NFI[[#This Row],[Clothes Kit]],Table_NFI[Clothes Kit])</f>
        <v>0</v>
      </c>
      <c r="AG380" s="378">
        <f>IF(NFI_Expiration=1,IF($A380&lt;VLOOKUP(P$5,NFI,5,0),1,0)*Table_NFI[[#This Row],[Plastic Bucket]],Table_NFI[Plastic Bucket])</f>
        <v>0</v>
      </c>
      <c r="AH380" s="378">
        <f>IF(NFI_Expiration=1,IF($A380&lt;VLOOKUP(Q$5,NFI,5,0),1,0)*Table_NFI[[#This Row],[Plastic Mat]],Table_NFI[Plastic Mat])*IF(Table_NFI[[#This Row],[Distribution Date]]&gt;"2014-04-01",1,2.5)</f>
        <v>0</v>
      </c>
      <c r="AI380" s="378">
        <f>IF(NFI_Expiration=1,IF($A380&lt;VLOOKUP(R$5,NFI,5,0),1,0)*Table_NFI[[#This Row],[Winter Clothes Adult]],Table_NFI[Winter Clothes Adult])</f>
        <v>0</v>
      </c>
      <c r="AJ380" s="378">
        <f>IF(NFI_Expiration=1,IF($A380&lt;VLOOKUP(S$5,NFI,5,0),1,0)*Table_NFI[[#This Row],[Winter Clothes Children]],Table_NFI[Winter Clothes Children])</f>
        <v>0</v>
      </c>
      <c r="AK380" s="378">
        <f>IF(NFI_Expiration=1,IF($A380&lt;VLOOKUP(T$5,NFI,5,0),1,0)*Table_NFI[[#This Row],[Winter Items Other]],Table_NFI[Winter Items Other])</f>
        <v>0</v>
      </c>
      <c r="AL380" s="378">
        <f>IF(NFI_Expiration=1,IF($A380&lt;VLOOKUP(M$5,NFI,5,0),1,0)*Table_NFI[[#This Row],[Winter Blanket]],Table_NFI[[#This Row],[Winter Blanket]])</f>
        <v>0</v>
      </c>
      <c r="AM380" s="378">
        <f>IF(Table_NFI[[#This Row],[Winter Clothes Adult]]+Table_NFI[[#This Row],[Winter Clothes Children]]+Table_NFI[[#This Row],[Winter Items Other]]+Table_NFI[[#This Row],[Winter Blanket]]&gt;0,1,0)</f>
        <v>0</v>
      </c>
      <c r="AN380" s="418">
        <f>IF(NFI_Expiration=1,IF($A380&lt;VLOOKUP(V$5,NFI,5,0),1,0)*Table_NFI[[#This Row],[Jerry Can]],Table_NFI[Jerry Can])</f>
        <v>0</v>
      </c>
      <c r="AO380" s="579" t="str">
        <f>IFERROR(VLOOKUP(Table_NFI[[#This Row],[Camp Name]],CL,2,0),"")</f>
        <v>MMR001CMP029</v>
      </c>
      <c r="AP380" s="574">
        <f ca="1">IF(Table_NFI[[#This Row],[Pcode]]="","",IF(OFFSET(CampList[Opening Date],MATCH(Table_NFI[[#This Row],[Pcode]],CampList[CP_Pcode],0)-1,0,1,1)&gt;=NFI_Monitor_Date,1,0))</f>
        <v>0</v>
      </c>
      <c r="AQ380" s="579" t="str">
        <f>IFERROR(VLOOKUP(Table_NFI[[#This Row],[Camp Name]],CL,3,0),"")</f>
        <v>Open</v>
      </c>
      <c r="AR380" s="378" t="str">
        <f ca="1">IF(Table_NFI[[#This Row],[Pcode]]="","",OFFSET(CampList[Priority],MATCH(Table_NFI[[#This Row],[Pcode]],CampList[CP_Pcode],0)-1,0,1,1))</f>
        <v>P4</v>
      </c>
      <c r="AS380" s="377">
        <f>IFERROR(Table_NFI[[#This Row],[Kitchen Set]]/VLOOKUP(Table_NFI[[#This Row],[Camp Name]],CL,4,0),"")</f>
        <v>0</v>
      </c>
      <c r="AT380" s="572" t="s">
        <v>1095</v>
      </c>
      <c r="AU380" s="575"/>
    </row>
    <row r="381" spans="1:47" s="576" customFormat="1" x14ac:dyDescent="0.25">
      <c r="A381" s="381">
        <f t="shared" si="5"/>
        <v>45.2</v>
      </c>
      <c r="B381" s="571">
        <v>41166</v>
      </c>
      <c r="C381" s="572" t="s">
        <v>454</v>
      </c>
      <c r="D381" s="572" t="s">
        <v>454</v>
      </c>
      <c r="E381" s="572" t="s">
        <v>380</v>
      </c>
      <c r="F381" s="374" t="s">
        <v>310</v>
      </c>
      <c r="G381" s="374" t="s">
        <v>330</v>
      </c>
      <c r="H381" s="375"/>
      <c r="I381" s="375"/>
      <c r="J381" s="375"/>
      <c r="K381" s="375">
        <v>94</v>
      </c>
      <c r="L381" s="376">
        <v>48</v>
      </c>
      <c r="M381" s="376">
        <v>94</v>
      </c>
      <c r="N381" s="376">
        <v>48</v>
      </c>
      <c r="O381" s="376">
        <v>48</v>
      </c>
      <c r="P381" s="378">
        <v>48</v>
      </c>
      <c r="Q381" s="378">
        <v>48</v>
      </c>
      <c r="R381" s="378"/>
      <c r="S381" s="378"/>
      <c r="T381" s="378"/>
      <c r="U381" s="378"/>
      <c r="V381" s="533"/>
      <c r="W381" s="378"/>
      <c r="X381" s="378"/>
      <c r="Y381" s="378">
        <f>IF(NFI_Expiration=1,IF($A381&lt;VLOOKUP(H$5,NFI,5,0),1,0)*Table_NFI[[#This Row],[Hygiene Kit]],Table_NFI[Hygiene Kit])</f>
        <v>0</v>
      </c>
      <c r="Z381" s="378">
        <f>IF(NFI_Expiration=1,IF($A381&lt;VLOOKUP(I$5,NFI,5,0),1,0)*Table_NFI[[#This Row],[NFI Core Kit]],Table_NFI[NFI Core Kit])</f>
        <v>0</v>
      </c>
      <c r="AA381" s="378">
        <f>IF(NFI_Expiration=1,IF($A381&lt;VLOOKUP(J$5,NFI,5,0),1,0)*Table_NFI[[#This Row],[Sanitary Kit]],Table_NFI[Sanitary Kit])</f>
        <v>0</v>
      </c>
      <c r="AB381" s="378">
        <f>IF(NFI_Expiration=1,IF($A381&lt;VLOOKUP(K$5,NFI,5,0),1,0)*Table_NFI[[#This Row],[Mosquito net]],Table_NFI[Mosquito net])</f>
        <v>0</v>
      </c>
      <c r="AC381" s="378">
        <f>IF(NFI_Expiration=1,IF($A381&lt;VLOOKUP(L$5,NFI,5,0),1,0)*Table_NFI[[#This Row],[Tarpaulin]],Table_NFI[[#This Row],[Tarpaulin]])</f>
        <v>0</v>
      </c>
      <c r="AD381" s="378">
        <f>IF(NFI_Expiration=1,IF($A381&lt;VLOOKUP(M$5,NFI,5,0),1,0)*Table_NFI[[#This Row],[Blanket]],Table_NFI[[#This Row],[Blanket]])</f>
        <v>0</v>
      </c>
      <c r="AE381" s="378">
        <f>IF(NFI_Expiration=1,IF($A381&lt;VLOOKUP(N$5,NFI,5,0),1,0)*Table_NFI[[#This Row],[Kitchen Set]],Table_NFI[Kitchen Set])</f>
        <v>0</v>
      </c>
      <c r="AF381" s="378">
        <f>IF(NFI_Expiration=1,IF($A381&lt;VLOOKUP(O$5,NFI,5,0),1,0)*Table_NFI[[#This Row],[Clothes Kit]],Table_NFI[Clothes Kit])</f>
        <v>0</v>
      </c>
      <c r="AG381" s="378">
        <f>IF(NFI_Expiration=1,IF($A381&lt;VLOOKUP(P$5,NFI,5,0),1,0)*Table_NFI[[#This Row],[Plastic Bucket]],Table_NFI[Plastic Bucket])</f>
        <v>0</v>
      </c>
      <c r="AH381" s="378">
        <f>IF(NFI_Expiration=1,IF($A381&lt;VLOOKUP(Q$5,NFI,5,0),1,0)*Table_NFI[[#This Row],[Plastic Mat]],Table_NFI[Plastic Mat])*IF(Table_NFI[[#This Row],[Distribution Date]]&gt;"2014-04-01",1,2.5)</f>
        <v>0</v>
      </c>
      <c r="AI381" s="378">
        <f>IF(NFI_Expiration=1,IF($A381&lt;VLOOKUP(R$5,NFI,5,0),1,0)*Table_NFI[[#This Row],[Winter Clothes Adult]],Table_NFI[Winter Clothes Adult])</f>
        <v>0</v>
      </c>
      <c r="AJ381" s="378">
        <f>IF(NFI_Expiration=1,IF($A381&lt;VLOOKUP(S$5,NFI,5,0),1,0)*Table_NFI[[#This Row],[Winter Clothes Children]],Table_NFI[Winter Clothes Children])</f>
        <v>0</v>
      </c>
      <c r="AK381" s="378">
        <f>IF(NFI_Expiration=1,IF($A381&lt;VLOOKUP(T$5,NFI,5,0),1,0)*Table_NFI[[#This Row],[Winter Items Other]],Table_NFI[Winter Items Other])</f>
        <v>0</v>
      </c>
      <c r="AL381" s="378">
        <f>IF(NFI_Expiration=1,IF($A381&lt;VLOOKUP(M$5,NFI,5,0),1,0)*Table_NFI[[#This Row],[Winter Blanket]],Table_NFI[[#This Row],[Winter Blanket]])</f>
        <v>0</v>
      </c>
      <c r="AM381" s="378">
        <f>IF(Table_NFI[[#This Row],[Winter Clothes Adult]]+Table_NFI[[#This Row],[Winter Clothes Children]]+Table_NFI[[#This Row],[Winter Items Other]]+Table_NFI[[#This Row],[Winter Blanket]]&gt;0,1,0)</f>
        <v>0</v>
      </c>
      <c r="AN381" s="418">
        <f>IF(NFI_Expiration=1,IF($A381&lt;VLOOKUP(V$5,NFI,5,0),1,0)*Table_NFI[[#This Row],[Jerry Can]],Table_NFI[Jerry Can])</f>
        <v>0</v>
      </c>
      <c r="AO381" s="579" t="str">
        <f>IFERROR(VLOOKUP(Table_NFI[[#This Row],[Camp Name]],CL,2,0),"")</f>
        <v>MMR001CMP029</v>
      </c>
      <c r="AP381" s="574">
        <f ca="1">IF(Table_NFI[[#This Row],[Pcode]]="","",IF(OFFSET(CampList[Opening Date],MATCH(Table_NFI[[#This Row],[Pcode]],CampList[CP_Pcode],0)-1,0,1,1)&gt;=NFI_Monitor_Date,1,0))</f>
        <v>0</v>
      </c>
      <c r="AQ381" s="579" t="str">
        <f>IFERROR(VLOOKUP(Table_NFI[[#This Row],[Camp Name]],CL,3,0),"")</f>
        <v>Open</v>
      </c>
      <c r="AR381" s="378" t="str">
        <f ca="1">IF(Table_NFI[[#This Row],[Pcode]]="","",OFFSET(CampList[Priority],MATCH(Table_NFI[[#This Row],[Pcode]],CampList[CP_Pcode],0)-1,0,1,1))</f>
        <v>P4</v>
      </c>
      <c r="AS381" s="377">
        <f>IFERROR(Table_NFI[[#This Row],[Kitchen Set]]/VLOOKUP(Table_NFI[[#This Row],[Camp Name]],CL,4,0),"")</f>
        <v>0.21621621621621623</v>
      </c>
      <c r="AT381" s="572" t="s">
        <v>1095</v>
      </c>
      <c r="AU381" s="575"/>
    </row>
    <row r="382" spans="1:47" s="576" customFormat="1" x14ac:dyDescent="0.25">
      <c r="A382" s="381">
        <f t="shared" si="5"/>
        <v>49.4</v>
      </c>
      <c r="B382" s="571">
        <v>41040</v>
      </c>
      <c r="C382" s="572" t="s">
        <v>454</v>
      </c>
      <c r="D382" s="573" t="s">
        <v>454</v>
      </c>
      <c r="E382" s="572" t="s">
        <v>380</v>
      </c>
      <c r="F382" s="374" t="s">
        <v>310</v>
      </c>
      <c r="G382" s="374" t="s">
        <v>330</v>
      </c>
      <c r="H382" s="375"/>
      <c r="I382" s="375"/>
      <c r="J382" s="375"/>
      <c r="K382" s="375">
        <v>57</v>
      </c>
      <c r="L382" s="376">
        <v>29</v>
      </c>
      <c r="M382" s="376">
        <v>57</v>
      </c>
      <c r="N382" s="376">
        <v>29</v>
      </c>
      <c r="O382" s="376">
        <v>29</v>
      </c>
      <c r="P382" s="378">
        <v>29</v>
      </c>
      <c r="Q382" s="378">
        <v>29</v>
      </c>
      <c r="R382" s="378"/>
      <c r="S382" s="378"/>
      <c r="T382" s="378"/>
      <c r="U382" s="378"/>
      <c r="V382" s="533"/>
      <c r="W382" s="378"/>
      <c r="X382" s="378"/>
      <c r="Y382" s="378">
        <f>IF(NFI_Expiration=1,IF($A382&lt;VLOOKUP(H$5,NFI,5,0),1,0)*Table_NFI[[#This Row],[Hygiene Kit]],Table_NFI[Hygiene Kit])</f>
        <v>0</v>
      </c>
      <c r="Z382" s="378">
        <f>IF(NFI_Expiration=1,IF($A382&lt;VLOOKUP(I$5,NFI,5,0),1,0)*Table_NFI[[#This Row],[NFI Core Kit]],Table_NFI[NFI Core Kit])</f>
        <v>0</v>
      </c>
      <c r="AA382" s="378">
        <f>IF(NFI_Expiration=1,IF($A382&lt;VLOOKUP(J$5,NFI,5,0),1,0)*Table_NFI[[#This Row],[Sanitary Kit]],Table_NFI[Sanitary Kit])</f>
        <v>0</v>
      </c>
      <c r="AB382" s="378">
        <f>IF(NFI_Expiration=1,IF($A382&lt;VLOOKUP(K$5,NFI,5,0),1,0)*Table_NFI[[#This Row],[Mosquito net]],Table_NFI[Mosquito net])</f>
        <v>0</v>
      </c>
      <c r="AC382" s="378">
        <f>IF(NFI_Expiration=1,IF($A382&lt;VLOOKUP(L$5,NFI,5,0),1,0)*Table_NFI[[#This Row],[Tarpaulin]],Table_NFI[[#This Row],[Tarpaulin]])</f>
        <v>0</v>
      </c>
      <c r="AD382" s="378">
        <f>IF(NFI_Expiration=1,IF($A382&lt;VLOOKUP(M$5,NFI,5,0),1,0)*Table_NFI[[#This Row],[Blanket]],Table_NFI[[#This Row],[Blanket]])</f>
        <v>0</v>
      </c>
      <c r="AE382" s="378">
        <f>IF(NFI_Expiration=1,IF($A382&lt;VLOOKUP(N$5,NFI,5,0),1,0)*Table_NFI[[#This Row],[Kitchen Set]],Table_NFI[Kitchen Set])</f>
        <v>0</v>
      </c>
      <c r="AF382" s="378">
        <f>IF(NFI_Expiration=1,IF($A382&lt;VLOOKUP(O$5,NFI,5,0),1,0)*Table_NFI[[#This Row],[Clothes Kit]],Table_NFI[Clothes Kit])</f>
        <v>0</v>
      </c>
      <c r="AG382" s="378">
        <f>IF(NFI_Expiration=1,IF($A382&lt;VLOOKUP(P$5,NFI,5,0),1,0)*Table_NFI[[#This Row],[Plastic Bucket]],Table_NFI[Plastic Bucket])</f>
        <v>0</v>
      </c>
      <c r="AH382" s="378">
        <f>IF(NFI_Expiration=1,IF($A382&lt;VLOOKUP(Q$5,NFI,5,0),1,0)*Table_NFI[[#This Row],[Plastic Mat]],Table_NFI[Plastic Mat])*IF(Table_NFI[[#This Row],[Distribution Date]]&gt;"2014-04-01",1,2.5)</f>
        <v>0</v>
      </c>
      <c r="AI382" s="378">
        <f>IF(NFI_Expiration=1,IF($A382&lt;VLOOKUP(R$5,NFI,5,0),1,0)*Table_NFI[[#This Row],[Winter Clothes Adult]],Table_NFI[Winter Clothes Adult])</f>
        <v>0</v>
      </c>
      <c r="AJ382" s="378">
        <f>IF(NFI_Expiration=1,IF($A382&lt;VLOOKUP(S$5,NFI,5,0),1,0)*Table_NFI[[#This Row],[Winter Clothes Children]],Table_NFI[Winter Clothes Children])</f>
        <v>0</v>
      </c>
      <c r="AK382" s="378">
        <f>IF(NFI_Expiration=1,IF($A382&lt;VLOOKUP(T$5,NFI,5,0),1,0)*Table_NFI[[#This Row],[Winter Items Other]],Table_NFI[Winter Items Other])</f>
        <v>0</v>
      </c>
      <c r="AL382" s="378">
        <f>IF(NFI_Expiration=1,IF($A382&lt;VLOOKUP(M$5,NFI,5,0),1,0)*Table_NFI[[#This Row],[Winter Blanket]],Table_NFI[[#This Row],[Winter Blanket]])</f>
        <v>0</v>
      </c>
      <c r="AM382" s="378">
        <f>IF(Table_NFI[[#This Row],[Winter Clothes Adult]]+Table_NFI[[#This Row],[Winter Clothes Children]]+Table_NFI[[#This Row],[Winter Items Other]]+Table_NFI[[#This Row],[Winter Blanket]]&gt;0,1,0)</f>
        <v>0</v>
      </c>
      <c r="AN382" s="418">
        <f>IF(NFI_Expiration=1,IF($A382&lt;VLOOKUP(V$5,NFI,5,0),1,0)*Table_NFI[[#This Row],[Jerry Can]],Table_NFI[Jerry Can])</f>
        <v>0</v>
      </c>
      <c r="AO382" s="579" t="str">
        <f>IFERROR(VLOOKUP(Table_NFI[[#This Row],[Camp Name]],CL,2,0),"")</f>
        <v>MMR001CMP029</v>
      </c>
      <c r="AP382" s="574">
        <f ca="1">IF(Table_NFI[[#This Row],[Pcode]]="","",IF(OFFSET(CampList[Opening Date],MATCH(Table_NFI[[#This Row],[Pcode]],CampList[CP_Pcode],0)-1,0,1,1)&gt;=NFI_Monitor_Date,1,0))</f>
        <v>0</v>
      </c>
      <c r="AQ382" s="579" t="str">
        <f>IFERROR(VLOOKUP(Table_NFI[[#This Row],[Camp Name]],CL,3,0),"")</f>
        <v>Open</v>
      </c>
      <c r="AR382" s="378" t="str">
        <f ca="1">IF(Table_NFI[[#This Row],[Pcode]]="","",OFFSET(CampList[Priority],MATCH(Table_NFI[[#This Row],[Pcode]],CampList[CP_Pcode],0)-1,0,1,1))</f>
        <v>P4</v>
      </c>
      <c r="AS382" s="377">
        <f>IFERROR(Table_NFI[[#This Row],[Kitchen Set]]/VLOOKUP(Table_NFI[[#This Row],[Camp Name]],CL,4,0),"")</f>
        <v>0.13063063063063063</v>
      </c>
      <c r="AT382" s="572" t="s">
        <v>1095</v>
      </c>
      <c r="AU382" s="575"/>
    </row>
    <row r="383" spans="1:47" s="576" customFormat="1" x14ac:dyDescent="0.25">
      <c r="A383" s="381">
        <f t="shared" si="5"/>
        <v>53.56666666666667</v>
      </c>
      <c r="B383" s="571">
        <v>40915</v>
      </c>
      <c r="C383" s="572" t="s">
        <v>454</v>
      </c>
      <c r="D383" s="572" t="s">
        <v>508</v>
      </c>
      <c r="E383" s="572" t="s">
        <v>380</v>
      </c>
      <c r="F383" s="572" t="s">
        <v>310</v>
      </c>
      <c r="G383" s="374" t="s">
        <v>330</v>
      </c>
      <c r="H383" s="375"/>
      <c r="I383" s="375"/>
      <c r="J383" s="375"/>
      <c r="K383" s="375">
        <v>50</v>
      </c>
      <c r="L383" s="376">
        <v>25</v>
      </c>
      <c r="M383" s="376">
        <v>50</v>
      </c>
      <c r="N383" s="376">
        <v>25</v>
      </c>
      <c r="O383" s="376">
        <v>27</v>
      </c>
      <c r="P383" s="378">
        <v>27</v>
      </c>
      <c r="Q383" s="378">
        <v>27</v>
      </c>
      <c r="R383" s="378"/>
      <c r="S383" s="378"/>
      <c r="T383" s="378"/>
      <c r="U383" s="378"/>
      <c r="V383" s="533"/>
      <c r="W383" s="378"/>
      <c r="X383" s="378"/>
      <c r="Y383" s="378">
        <f>IF(NFI_Expiration=1,IF($A383&lt;VLOOKUP(H$5,NFI,5,0),1,0)*Table_NFI[[#This Row],[Hygiene Kit]],Table_NFI[Hygiene Kit])</f>
        <v>0</v>
      </c>
      <c r="Z383" s="378">
        <f>IF(NFI_Expiration=1,IF($A383&lt;VLOOKUP(I$5,NFI,5,0),1,0)*Table_NFI[[#This Row],[NFI Core Kit]],Table_NFI[NFI Core Kit])</f>
        <v>0</v>
      </c>
      <c r="AA383" s="378">
        <f>IF(NFI_Expiration=1,IF($A383&lt;VLOOKUP(J$5,NFI,5,0),1,0)*Table_NFI[[#This Row],[Sanitary Kit]],Table_NFI[Sanitary Kit])</f>
        <v>0</v>
      </c>
      <c r="AB383" s="378">
        <f>IF(NFI_Expiration=1,IF($A383&lt;VLOOKUP(K$5,NFI,5,0),1,0)*Table_NFI[[#This Row],[Mosquito net]],Table_NFI[Mosquito net])</f>
        <v>0</v>
      </c>
      <c r="AC383" s="378">
        <f>IF(NFI_Expiration=1,IF($A383&lt;VLOOKUP(L$5,NFI,5,0),1,0)*Table_NFI[[#This Row],[Tarpaulin]],Table_NFI[[#This Row],[Tarpaulin]])</f>
        <v>0</v>
      </c>
      <c r="AD383" s="378">
        <f>IF(NFI_Expiration=1,IF($A383&lt;VLOOKUP(M$5,NFI,5,0),1,0)*Table_NFI[[#This Row],[Blanket]],Table_NFI[[#This Row],[Blanket]])</f>
        <v>0</v>
      </c>
      <c r="AE383" s="378">
        <f>IF(NFI_Expiration=1,IF($A383&lt;VLOOKUP(N$5,NFI,5,0),1,0)*Table_NFI[[#This Row],[Kitchen Set]],Table_NFI[Kitchen Set])</f>
        <v>0</v>
      </c>
      <c r="AF383" s="378">
        <f>IF(NFI_Expiration=1,IF($A383&lt;VLOOKUP(O$5,NFI,5,0),1,0)*Table_NFI[[#This Row],[Clothes Kit]],Table_NFI[Clothes Kit])</f>
        <v>0</v>
      </c>
      <c r="AG383" s="378">
        <f>IF(NFI_Expiration=1,IF($A383&lt;VLOOKUP(P$5,NFI,5,0),1,0)*Table_NFI[[#This Row],[Plastic Bucket]],Table_NFI[Plastic Bucket])</f>
        <v>0</v>
      </c>
      <c r="AH383" s="378">
        <f>IF(NFI_Expiration=1,IF($A383&lt;VLOOKUP(Q$5,NFI,5,0),1,0)*Table_NFI[[#This Row],[Plastic Mat]],Table_NFI[Plastic Mat])*IF(Table_NFI[[#This Row],[Distribution Date]]&gt;"2014-04-01",1,2.5)</f>
        <v>0</v>
      </c>
      <c r="AI383" s="378">
        <f>IF(NFI_Expiration=1,IF($A383&lt;VLOOKUP(R$5,NFI,5,0),1,0)*Table_NFI[[#This Row],[Winter Clothes Adult]],Table_NFI[Winter Clothes Adult])</f>
        <v>0</v>
      </c>
      <c r="AJ383" s="378">
        <f>IF(NFI_Expiration=1,IF($A383&lt;VLOOKUP(S$5,NFI,5,0),1,0)*Table_NFI[[#This Row],[Winter Clothes Children]],Table_NFI[Winter Clothes Children])</f>
        <v>0</v>
      </c>
      <c r="AK383" s="378">
        <f>IF(NFI_Expiration=1,IF($A383&lt;VLOOKUP(T$5,NFI,5,0),1,0)*Table_NFI[[#This Row],[Winter Items Other]],Table_NFI[Winter Items Other])</f>
        <v>0</v>
      </c>
      <c r="AL383" s="378">
        <f>IF(NFI_Expiration=1,IF($A383&lt;VLOOKUP(M$5,NFI,5,0),1,0)*Table_NFI[[#This Row],[Winter Blanket]],Table_NFI[[#This Row],[Winter Blanket]])</f>
        <v>0</v>
      </c>
      <c r="AM383" s="378">
        <f>IF(Table_NFI[[#This Row],[Winter Clothes Adult]]+Table_NFI[[#This Row],[Winter Clothes Children]]+Table_NFI[[#This Row],[Winter Items Other]]+Table_NFI[[#This Row],[Winter Blanket]]&gt;0,1,0)</f>
        <v>0</v>
      </c>
      <c r="AN383" s="418">
        <f>IF(NFI_Expiration=1,IF($A383&lt;VLOOKUP(V$5,NFI,5,0),1,0)*Table_NFI[[#This Row],[Jerry Can]],Table_NFI[Jerry Can])</f>
        <v>0</v>
      </c>
      <c r="AO383" s="579" t="str">
        <f>IFERROR(VLOOKUP(Table_NFI[[#This Row],[Camp Name]],CL,2,0),"")</f>
        <v>MMR001CMP029</v>
      </c>
      <c r="AP383" s="574">
        <f ca="1">IF(Table_NFI[[#This Row],[Pcode]]="","",IF(OFFSET(CampList[Opening Date],MATCH(Table_NFI[[#This Row],[Pcode]],CampList[CP_Pcode],0)-1,0,1,1)&gt;=NFI_Monitor_Date,1,0))</f>
        <v>0</v>
      </c>
      <c r="AQ383" s="579" t="str">
        <f>IFERROR(VLOOKUP(Table_NFI[[#This Row],[Camp Name]],CL,3,0),"")</f>
        <v>Open</v>
      </c>
      <c r="AR383" s="378" t="str">
        <f ca="1">IF(Table_NFI[[#This Row],[Pcode]]="","",OFFSET(CampList[Priority],MATCH(Table_NFI[[#This Row],[Pcode]],CampList[CP_Pcode],0)-1,0,1,1))</f>
        <v>P4</v>
      </c>
      <c r="AS383" s="377">
        <f>IFERROR(Table_NFI[[#This Row],[Kitchen Set]]/VLOOKUP(Table_NFI[[#This Row],[Camp Name]],CL,4,0),"")</f>
        <v>0.11261261261261261</v>
      </c>
      <c r="AT383" s="572" t="s">
        <v>1095</v>
      </c>
      <c r="AU383" s="575"/>
    </row>
    <row r="384" spans="1:47" s="576" customFormat="1" x14ac:dyDescent="0.25">
      <c r="A384" s="381">
        <f t="shared" si="5"/>
        <v>53.8</v>
      </c>
      <c r="B384" s="571">
        <v>40908</v>
      </c>
      <c r="C384" s="572" t="s">
        <v>454</v>
      </c>
      <c r="D384" s="573" t="s">
        <v>508</v>
      </c>
      <c r="E384" s="572" t="s">
        <v>380</v>
      </c>
      <c r="F384" s="374" t="s">
        <v>310</v>
      </c>
      <c r="G384" s="374" t="s">
        <v>330</v>
      </c>
      <c r="H384" s="375"/>
      <c r="I384" s="375"/>
      <c r="J384" s="375"/>
      <c r="K384" s="375">
        <v>46</v>
      </c>
      <c r="L384" s="376">
        <v>27</v>
      </c>
      <c r="M384" s="376">
        <v>47</v>
      </c>
      <c r="N384" s="376">
        <v>27</v>
      </c>
      <c r="O384" s="376">
        <v>27</v>
      </c>
      <c r="P384" s="378">
        <v>27</v>
      </c>
      <c r="Q384" s="378">
        <v>27</v>
      </c>
      <c r="R384" s="378"/>
      <c r="S384" s="378"/>
      <c r="T384" s="378"/>
      <c r="U384" s="378"/>
      <c r="V384" s="533"/>
      <c r="W384" s="378"/>
      <c r="X384" s="378"/>
      <c r="Y384" s="378">
        <f>IF(NFI_Expiration=1,IF($A384&lt;VLOOKUP(H$5,NFI,5,0),1,0)*Table_NFI[[#This Row],[Hygiene Kit]],Table_NFI[Hygiene Kit])</f>
        <v>0</v>
      </c>
      <c r="Z384" s="378">
        <f>IF(NFI_Expiration=1,IF($A384&lt;VLOOKUP(I$5,NFI,5,0),1,0)*Table_NFI[[#This Row],[NFI Core Kit]],Table_NFI[NFI Core Kit])</f>
        <v>0</v>
      </c>
      <c r="AA384" s="378">
        <f>IF(NFI_Expiration=1,IF($A384&lt;VLOOKUP(J$5,NFI,5,0),1,0)*Table_NFI[[#This Row],[Sanitary Kit]],Table_NFI[Sanitary Kit])</f>
        <v>0</v>
      </c>
      <c r="AB384" s="378">
        <f>IF(NFI_Expiration=1,IF($A384&lt;VLOOKUP(K$5,NFI,5,0),1,0)*Table_NFI[[#This Row],[Mosquito net]],Table_NFI[Mosquito net])</f>
        <v>0</v>
      </c>
      <c r="AC384" s="378">
        <f>IF(NFI_Expiration=1,IF($A384&lt;VLOOKUP(L$5,NFI,5,0),1,0)*Table_NFI[[#This Row],[Tarpaulin]],Table_NFI[[#This Row],[Tarpaulin]])</f>
        <v>0</v>
      </c>
      <c r="AD384" s="378">
        <f>IF(NFI_Expiration=1,IF($A384&lt;VLOOKUP(M$5,NFI,5,0),1,0)*Table_NFI[[#This Row],[Blanket]],Table_NFI[[#This Row],[Blanket]])</f>
        <v>0</v>
      </c>
      <c r="AE384" s="378">
        <f>IF(NFI_Expiration=1,IF($A384&lt;VLOOKUP(N$5,NFI,5,0),1,0)*Table_NFI[[#This Row],[Kitchen Set]],Table_NFI[Kitchen Set])</f>
        <v>0</v>
      </c>
      <c r="AF384" s="378">
        <f>IF(NFI_Expiration=1,IF($A384&lt;VLOOKUP(O$5,NFI,5,0),1,0)*Table_NFI[[#This Row],[Clothes Kit]],Table_NFI[Clothes Kit])</f>
        <v>0</v>
      </c>
      <c r="AG384" s="378">
        <f>IF(NFI_Expiration=1,IF($A384&lt;VLOOKUP(P$5,NFI,5,0),1,0)*Table_NFI[[#This Row],[Plastic Bucket]],Table_NFI[Plastic Bucket])</f>
        <v>0</v>
      </c>
      <c r="AH384" s="378">
        <f>IF(NFI_Expiration=1,IF($A384&lt;VLOOKUP(Q$5,NFI,5,0),1,0)*Table_NFI[[#This Row],[Plastic Mat]],Table_NFI[Plastic Mat])*IF(Table_NFI[[#This Row],[Distribution Date]]&gt;"2014-04-01",1,2.5)</f>
        <v>0</v>
      </c>
      <c r="AI384" s="378">
        <f>IF(NFI_Expiration=1,IF($A384&lt;VLOOKUP(R$5,NFI,5,0),1,0)*Table_NFI[[#This Row],[Winter Clothes Adult]],Table_NFI[Winter Clothes Adult])</f>
        <v>0</v>
      </c>
      <c r="AJ384" s="378">
        <f>IF(NFI_Expiration=1,IF($A384&lt;VLOOKUP(S$5,NFI,5,0),1,0)*Table_NFI[[#This Row],[Winter Clothes Children]],Table_NFI[Winter Clothes Children])</f>
        <v>0</v>
      </c>
      <c r="AK384" s="378">
        <f>IF(NFI_Expiration=1,IF($A384&lt;VLOOKUP(T$5,NFI,5,0),1,0)*Table_NFI[[#This Row],[Winter Items Other]],Table_NFI[Winter Items Other])</f>
        <v>0</v>
      </c>
      <c r="AL384" s="378">
        <f>IF(NFI_Expiration=1,IF($A384&lt;VLOOKUP(M$5,NFI,5,0),1,0)*Table_NFI[[#This Row],[Winter Blanket]],Table_NFI[[#This Row],[Winter Blanket]])</f>
        <v>0</v>
      </c>
      <c r="AM384" s="378">
        <f>IF(Table_NFI[[#This Row],[Winter Clothes Adult]]+Table_NFI[[#This Row],[Winter Clothes Children]]+Table_NFI[[#This Row],[Winter Items Other]]+Table_NFI[[#This Row],[Winter Blanket]]&gt;0,1,0)</f>
        <v>0</v>
      </c>
      <c r="AN384" s="418">
        <f>IF(NFI_Expiration=1,IF($A384&lt;VLOOKUP(V$5,NFI,5,0),1,0)*Table_NFI[[#This Row],[Jerry Can]],Table_NFI[Jerry Can])</f>
        <v>0</v>
      </c>
      <c r="AO384" s="579" t="str">
        <f>IFERROR(VLOOKUP(Table_NFI[[#This Row],[Camp Name]],CL,2,0),"")</f>
        <v>MMR001CMP029</v>
      </c>
      <c r="AP384" s="574">
        <f ca="1">IF(Table_NFI[[#This Row],[Pcode]]="","",IF(OFFSET(CampList[Opening Date],MATCH(Table_NFI[[#This Row],[Pcode]],CampList[CP_Pcode],0)-1,0,1,1)&gt;=NFI_Monitor_Date,1,0))</f>
        <v>0</v>
      </c>
      <c r="AQ384" s="579" t="str">
        <f>IFERROR(VLOOKUP(Table_NFI[[#This Row],[Camp Name]],CL,3,0),"")</f>
        <v>Open</v>
      </c>
      <c r="AR384" s="378" t="str">
        <f ca="1">IF(Table_NFI[[#This Row],[Pcode]]="","",OFFSET(CampList[Priority],MATCH(Table_NFI[[#This Row],[Pcode]],CampList[CP_Pcode],0)-1,0,1,1))</f>
        <v>P4</v>
      </c>
      <c r="AS384" s="377">
        <f>IFERROR(Table_NFI[[#This Row],[Kitchen Set]]/VLOOKUP(Table_NFI[[#This Row],[Camp Name]],CL,4,0),"")</f>
        <v>0.12162162162162163</v>
      </c>
      <c r="AT384" s="572" t="s">
        <v>1095</v>
      </c>
      <c r="AU384" s="575"/>
    </row>
    <row r="385" spans="1:47" s="576" customFormat="1" x14ac:dyDescent="0.25">
      <c r="A385" s="381">
        <f t="shared" si="5"/>
        <v>24.766666666666666</v>
      </c>
      <c r="B385" s="571">
        <v>41779</v>
      </c>
      <c r="C385" s="572" t="s">
        <v>1107</v>
      </c>
      <c r="D385" s="572" t="s">
        <v>903</v>
      </c>
      <c r="E385" s="572" t="s">
        <v>380</v>
      </c>
      <c r="F385" s="572" t="s">
        <v>310</v>
      </c>
      <c r="G385" s="572" t="s">
        <v>324</v>
      </c>
      <c r="H385" s="375"/>
      <c r="I385" s="375"/>
      <c r="J385" s="375"/>
      <c r="K385" s="375"/>
      <c r="L385" s="376"/>
      <c r="M385" s="376"/>
      <c r="N385" s="376"/>
      <c r="O385" s="376"/>
      <c r="P385" s="378"/>
      <c r="Q385" s="378"/>
      <c r="R385" s="378"/>
      <c r="S385" s="378"/>
      <c r="T385" s="378"/>
      <c r="U385" s="378">
        <v>824</v>
      </c>
      <c r="V385" s="533"/>
      <c r="W385" s="378"/>
      <c r="X385" s="378"/>
      <c r="Y385" s="378">
        <f>IF(NFI_Expiration=1,IF($A385&lt;VLOOKUP(H$5,NFI,5,0),1,0)*Table_NFI[[#This Row],[Hygiene Kit]],Table_NFI[Hygiene Kit])</f>
        <v>0</v>
      </c>
      <c r="Z385" s="378">
        <f>IF(NFI_Expiration=1,IF($A385&lt;VLOOKUP(I$5,NFI,5,0),1,0)*Table_NFI[[#This Row],[NFI Core Kit]],Table_NFI[NFI Core Kit])</f>
        <v>0</v>
      </c>
      <c r="AA385" s="378">
        <f>IF(NFI_Expiration=1,IF($A385&lt;VLOOKUP(J$5,NFI,5,0),1,0)*Table_NFI[[#This Row],[Sanitary Kit]],Table_NFI[Sanitary Kit])</f>
        <v>0</v>
      </c>
      <c r="AB385" s="378">
        <f>IF(NFI_Expiration=1,IF($A385&lt;VLOOKUP(K$5,NFI,5,0),1,0)*Table_NFI[[#This Row],[Mosquito net]],Table_NFI[Mosquito net])</f>
        <v>0</v>
      </c>
      <c r="AC385" s="378">
        <f>IF(NFI_Expiration=1,IF($A385&lt;VLOOKUP(L$5,NFI,5,0),1,0)*Table_NFI[[#This Row],[Tarpaulin]],Table_NFI[[#This Row],[Tarpaulin]])</f>
        <v>0</v>
      </c>
      <c r="AD385" s="378">
        <f>IF(NFI_Expiration=1,IF($A385&lt;VLOOKUP(M$5,NFI,5,0),1,0)*Table_NFI[[#This Row],[Blanket]],Table_NFI[[#This Row],[Blanket]])</f>
        <v>0</v>
      </c>
      <c r="AE385" s="378">
        <f>IF(NFI_Expiration=1,IF($A385&lt;VLOOKUP(N$5,NFI,5,0),1,0)*Table_NFI[[#This Row],[Kitchen Set]],Table_NFI[Kitchen Set])</f>
        <v>0</v>
      </c>
      <c r="AF385" s="378">
        <f>IF(NFI_Expiration=1,IF($A385&lt;VLOOKUP(O$5,NFI,5,0),1,0)*Table_NFI[[#This Row],[Clothes Kit]],Table_NFI[Clothes Kit])</f>
        <v>0</v>
      </c>
      <c r="AG385" s="378">
        <f>IF(NFI_Expiration=1,IF($A385&lt;VLOOKUP(P$5,NFI,5,0),1,0)*Table_NFI[[#This Row],[Plastic Bucket]],Table_NFI[Plastic Bucket])</f>
        <v>0</v>
      </c>
      <c r="AH385" s="378">
        <f>IF(NFI_Expiration=1,IF($A385&lt;VLOOKUP(Q$5,NFI,5,0),1,0)*Table_NFI[[#This Row],[Plastic Mat]],Table_NFI[Plastic Mat])*IF(Table_NFI[[#This Row],[Distribution Date]]&gt;"2014-04-01",1,2.5)</f>
        <v>0</v>
      </c>
      <c r="AI385" s="378">
        <f>IF(NFI_Expiration=1,IF($A385&lt;VLOOKUP(R$5,NFI,5,0),1,0)*Table_NFI[[#This Row],[Winter Clothes Adult]],Table_NFI[Winter Clothes Adult])</f>
        <v>0</v>
      </c>
      <c r="AJ385" s="378">
        <f>IF(NFI_Expiration=1,IF($A385&lt;VLOOKUP(S$5,NFI,5,0),1,0)*Table_NFI[[#This Row],[Winter Clothes Children]],Table_NFI[Winter Clothes Children])</f>
        <v>0</v>
      </c>
      <c r="AK385" s="378">
        <f>IF(NFI_Expiration=1,IF($A385&lt;VLOOKUP(T$5,NFI,5,0),1,0)*Table_NFI[[#This Row],[Winter Items Other]],Table_NFI[Winter Items Other])</f>
        <v>0</v>
      </c>
      <c r="AL385" s="378">
        <f>IF(NFI_Expiration=1,IF($A385&lt;VLOOKUP(M$5,NFI,5,0),1,0)*Table_NFI[[#This Row],[Winter Blanket]],Table_NFI[[#This Row],[Winter Blanket]])</f>
        <v>0</v>
      </c>
      <c r="AM385" s="378">
        <f>IF(Table_NFI[[#This Row],[Winter Clothes Adult]]+Table_NFI[[#This Row],[Winter Clothes Children]]+Table_NFI[[#This Row],[Winter Items Other]]+Table_NFI[[#This Row],[Winter Blanket]]&gt;0,1,0)</f>
        <v>1</v>
      </c>
      <c r="AN385" s="418">
        <f>IF(NFI_Expiration=1,IF($A385&lt;VLOOKUP(V$5,NFI,5,0),1,0)*Table_NFI[[#This Row],[Jerry Can]],Table_NFI[Jerry Can])</f>
        <v>0</v>
      </c>
      <c r="AO385" s="579" t="str">
        <f>IFERROR(VLOOKUP(Table_NFI[[#This Row],[Camp Name]],CL,2,0),"")</f>
        <v>MMR001CMP040</v>
      </c>
      <c r="AP385" s="574">
        <f ca="1">IF(Table_NFI[[#This Row],[Pcode]]="","",IF(OFFSET(CampList[Opening Date],MATCH(Table_NFI[[#This Row],[Pcode]],CampList[CP_Pcode],0)-1,0,1,1)&gt;=NFI_Monitor_Date,1,0))</f>
        <v>0</v>
      </c>
      <c r="AQ385" s="579" t="str">
        <f>IFERROR(VLOOKUP(Table_NFI[[#This Row],[Camp Name]],CL,3,0),"")</f>
        <v>Open</v>
      </c>
      <c r="AR385" s="378" t="str">
        <f ca="1">IF(Table_NFI[[#This Row],[Pcode]]="","",OFFSET(CampList[Priority],MATCH(Table_NFI[[#This Row],[Pcode]],CampList[CP_Pcode],0)-1,0,1,1))</f>
        <v>P4</v>
      </c>
      <c r="AS385" s="377">
        <f>IFERROR(Table_NFI[[#This Row],[Kitchen Set]]/VLOOKUP(Table_NFI[[#This Row],[Camp Name]],CL,4,0),"")</f>
        <v>0</v>
      </c>
      <c r="AT385" s="572"/>
      <c r="AU385" s="575"/>
    </row>
    <row r="386" spans="1:47" s="576" customFormat="1" x14ac:dyDescent="0.25">
      <c r="A386" s="381">
        <f t="shared" si="5"/>
        <v>29.833333333333332</v>
      </c>
      <c r="B386" s="571">
        <v>41627</v>
      </c>
      <c r="C386" s="572" t="s">
        <v>908</v>
      </c>
      <c r="D386" s="572" t="s">
        <v>462</v>
      </c>
      <c r="E386" s="572" t="s">
        <v>380</v>
      </c>
      <c r="F386" s="572" t="s">
        <v>310</v>
      </c>
      <c r="G386" s="572" t="s">
        <v>324</v>
      </c>
      <c r="H386" s="375"/>
      <c r="I386" s="375"/>
      <c r="J386" s="375"/>
      <c r="K386" s="375"/>
      <c r="L386" s="376"/>
      <c r="M386" s="376"/>
      <c r="N386" s="376"/>
      <c r="O386" s="376"/>
      <c r="P386" s="378"/>
      <c r="Q386" s="378"/>
      <c r="R386" s="378">
        <v>414</v>
      </c>
      <c r="S386" s="378">
        <v>764</v>
      </c>
      <c r="T386" s="378">
        <v>2356</v>
      </c>
      <c r="U386" s="378">
        <v>1178</v>
      </c>
      <c r="V386" s="533"/>
      <c r="W386" s="378"/>
      <c r="X386" s="378"/>
      <c r="Y386" s="378">
        <f>IF(NFI_Expiration=1,IF($A386&lt;VLOOKUP(H$5,NFI,5,0),1,0)*Table_NFI[[#This Row],[Hygiene Kit]],Table_NFI[Hygiene Kit])</f>
        <v>0</v>
      </c>
      <c r="Z386" s="378">
        <f>IF(NFI_Expiration=1,IF($A386&lt;VLOOKUP(I$5,NFI,5,0),1,0)*Table_NFI[[#This Row],[NFI Core Kit]],Table_NFI[NFI Core Kit])</f>
        <v>0</v>
      </c>
      <c r="AA386" s="378">
        <f>IF(NFI_Expiration=1,IF($A386&lt;VLOOKUP(J$5,NFI,5,0),1,0)*Table_NFI[[#This Row],[Sanitary Kit]],Table_NFI[Sanitary Kit])</f>
        <v>0</v>
      </c>
      <c r="AB386" s="378">
        <f>IF(NFI_Expiration=1,IF($A386&lt;VLOOKUP(K$5,NFI,5,0),1,0)*Table_NFI[[#This Row],[Mosquito net]],Table_NFI[Mosquito net])</f>
        <v>0</v>
      </c>
      <c r="AC386" s="378">
        <f>IF(NFI_Expiration=1,IF($A386&lt;VLOOKUP(L$5,NFI,5,0),1,0)*Table_NFI[[#This Row],[Tarpaulin]],Table_NFI[[#This Row],[Tarpaulin]])</f>
        <v>0</v>
      </c>
      <c r="AD386" s="378">
        <f>IF(NFI_Expiration=1,IF($A386&lt;VLOOKUP(M$5,NFI,5,0),1,0)*Table_NFI[[#This Row],[Blanket]],Table_NFI[[#This Row],[Blanket]])</f>
        <v>0</v>
      </c>
      <c r="AE386" s="378">
        <f>IF(NFI_Expiration=1,IF($A386&lt;VLOOKUP(N$5,NFI,5,0),1,0)*Table_NFI[[#This Row],[Kitchen Set]],Table_NFI[Kitchen Set])</f>
        <v>0</v>
      </c>
      <c r="AF386" s="378">
        <f>IF(NFI_Expiration=1,IF($A386&lt;VLOOKUP(O$5,NFI,5,0),1,0)*Table_NFI[[#This Row],[Clothes Kit]],Table_NFI[Clothes Kit])</f>
        <v>0</v>
      </c>
      <c r="AG386" s="378">
        <f>IF(NFI_Expiration=1,IF($A386&lt;VLOOKUP(P$5,NFI,5,0),1,0)*Table_NFI[[#This Row],[Plastic Bucket]],Table_NFI[Plastic Bucket])</f>
        <v>0</v>
      </c>
      <c r="AH386" s="378">
        <f>IF(NFI_Expiration=1,IF($A386&lt;VLOOKUP(Q$5,NFI,5,0),1,0)*Table_NFI[[#This Row],[Plastic Mat]],Table_NFI[Plastic Mat])*IF(Table_NFI[[#This Row],[Distribution Date]]&gt;"2014-04-01",1,2.5)</f>
        <v>0</v>
      </c>
      <c r="AI386" s="378">
        <f>IF(NFI_Expiration=1,IF($A386&lt;VLOOKUP(R$5,NFI,5,0),1,0)*Table_NFI[[#This Row],[Winter Clothes Adult]],Table_NFI[Winter Clothes Adult])</f>
        <v>0</v>
      </c>
      <c r="AJ386" s="378">
        <f>IF(NFI_Expiration=1,IF($A386&lt;VLOOKUP(S$5,NFI,5,0),1,0)*Table_NFI[[#This Row],[Winter Clothes Children]],Table_NFI[Winter Clothes Children])</f>
        <v>0</v>
      </c>
      <c r="AK386" s="378">
        <f>IF(NFI_Expiration=1,IF($A386&lt;VLOOKUP(T$5,NFI,5,0),1,0)*Table_NFI[[#This Row],[Winter Items Other]],Table_NFI[Winter Items Other])</f>
        <v>0</v>
      </c>
      <c r="AL386" s="378">
        <f>IF(NFI_Expiration=1,IF($A386&lt;VLOOKUP(M$5,NFI,5,0),1,0)*Table_NFI[[#This Row],[Winter Blanket]],Table_NFI[[#This Row],[Winter Blanket]])</f>
        <v>0</v>
      </c>
      <c r="AM386" s="378">
        <f>IF(Table_NFI[[#This Row],[Winter Clothes Adult]]+Table_NFI[[#This Row],[Winter Clothes Children]]+Table_NFI[[#This Row],[Winter Items Other]]+Table_NFI[[#This Row],[Winter Blanket]]&gt;0,1,0)</f>
        <v>1</v>
      </c>
      <c r="AN386" s="418">
        <f>IF(NFI_Expiration=1,IF($A386&lt;VLOOKUP(V$5,NFI,5,0),1,0)*Table_NFI[[#This Row],[Jerry Can]],Table_NFI[Jerry Can])</f>
        <v>0</v>
      </c>
      <c r="AO386" s="579" t="str">
        <f>IFERROR(VLOOKUP(Table_NFI[[#This Row],[Camp Name]],CL,2,0),"")</f>
        <v>MMR001CMP040</v>
      </c>
      <c r="AP386" s="574">
        <f ca="1">IF(Table_NFI[[#This Row],[Pcode]]="","",IF(OFFSET(CampList[Opening Date],MATCH(Table_NFI[[#This Row],[Pcode]],CampList[CP_Pcode],0)-1,0,1,1)&gt;=NFI_Monitor_Date,1,0))</f>
        <v>0</v>
      </c>
      <c r="AQ386" s="579" t="str">
        <f>IFERROR(VLOOKUP(Table_NFI[[#This Row],[Camp Name]],CL,3,0),"")</f>
        <v>Open</v>
      </c>
      <c r="AR386" s="378" t="str">
        <f ca="1">IF(Table_NFI[[#This Row],[Pcode]]="","",OFFSET(CampList[Priority],MATCH(Table_NFI[[#This Row],[Pcode]],CampList[CP_Pcode],0)-1,0,1,1))</f>
        <v>P4</v>
      </c>
      <c r="AS386" s="377">
        <f>IFERROR(Table_NFI[[#This Row],[Kitchen Set]]/VLOOKUP(Table_NFI[[#This Row],[Camp Name]],CL,4,0),"")</f>
        <v>0</v>
      </c>
      <c r="AT386" s="572"/>
      <c r="AU386" s="575"/>
    </row>
    <row r="387" spans="1:47" s="576" customFormat="1" x14ac:dyDescent="0.25">
      <c r="A387" s="381">
        <f t="shared" si="5"/>
        <v>30.466666666666665</v>
      </c>
      <c r="B387" s="571">
        <v>41608</v>
      </c>
      <c r="C387" s="572" t="s">
        <v>908</v>
      </c>
      <c r="D387" s="573" t="s">
        <v>462</v>
      </c>
      <c r="E387" s="572" t="s">
        <v>380</v>
      </c>
      <c r="F387" s="374" t="s">
        <v>310</v>
      </c>
      <c r="G387" s="374" t="s">
        <v>324</v>
      </c>
      <c r="H387" s="375"/>
      <c r="I387" s="375"/>
      <c r="J387" s="375"/>
      <c r="K387" s="375"/>
      <c r="L387" s="376"/>
      <c r="M387" s="376"/>
      <c r="N387" s="376"/>
      <c r="O387" s="376"/>
      <c r="P387" s="378"/>
      <c r="Q387" s="378"/>
      <c r="R387" s="378"/>
      <c r="S387" s="378"/>
      <c r="T387" s="378"/>
      <c r="U387" s="378"/>
      <c r="V387" s="533"/>
      <c r="W387" s="378"/>
      <c r="X387" s="378"/>
      <c r="Y387" s="378">
        <f>IF(NFI_Expiration=1,IF($A387&lt;VLOOKUP(H$5,NFI,5,0),1,0)*Table_NFI[[#This Row],[Hygiene Kit]],Table_NFI[Hygiene Kit])</f>
        <v>0</v>
      </c>
      <c r="Z387" s="378">
        <f>IF(NFI_Expiration=1,IF($A387&lt;VLOOKUP(I$5,NFI,5,0),1,0)*Table_NFI[[#This Row],[NFI Core Kit]],Table_NFI[NFI Core Kit])</f>
        <v>0</v>
      </c>
      <c r="AA387" s="378">
        <f>IF(NFI_Expiration=1,IF($A387&lt;VLOOKUP(J$5,NFI,5,0),1,0)*Table_NFI[[#This Row],[Sanitary Kit]],Table_NFI[Sanitary Kit])</f>
        <v>0</v>
      </c>
      <c r="AB387" s="378">
        <f>IF(NFI_Expiration=1,IF($A387&lt;VLOOKUP(K$5,NFI,5,0),1,0)*Table_NFI[[#This Row],[Mosquito net]],Table_NFI[Mosquito net])</f>
        <v>0</v>
      </c>
      <c r="AC387" s="378">
        <f>IF(NFI_Expiration=1,IF($A387&lt;VLOOKUP(L$5,NFI,5,0),1,0)*Table_NFI[[#This Row],[Tarpaulin]],Table_NFI[[#This Row],[Tarpaulin]])</f>
        <v>0</v>
      </c>
      <c r="AD387" s="378">
        <f>IF(NFI_Expiration=1,IF($A387&lt;VLOOKUP(M$5,NFI,5,0),1,0)*Table_NFI[[#This Row],[Blanket]],Table_NFI[[#This Row],[Blanket]])</f>
        <v>0</v>
      </c>
      <c r="AE387" s="378">
        <f>IF(NFI_Expiration=1,IF($A387&lt;VLOOKUP(N$5,NFI,5,0),1,0)*Table_NFI[[#This Row],[Kitchen Set]],Table_NFI[Kitchen Set])</f>
        <v>0</v>
      </c>
      <c r="AF387" s="378">
        <f>IF(NFI_Expiration=1,IF($A387&lt;VLOOKUP(O$5,NFI,5,0),1,0)*Table_NFI[[#This Row],[Clothes Kit]],Table_NFI[Clothes Kit])</f>
        <v>0</v>
      </c>
      <c r="AG387" s="378">
        <f>IF(NFI_Expiration=1,IF($A387&lt;VLOOKUP(P$5,NFI,5,0),1,0)*Table_NFI[[#This Row],[Plastic Bucket]],Table_NFI[Plastic Bucket])</f>
        <v>0</v>
      </c>
      <c r="AH387" s="378">
        <f>IF(NFI_Expiration=1,IF($A387&lt;VLOOKUP(Q$5,NFI,5,0),1,0)*Table_NFI[[#This Row],[Plastic Mat]],Table_NFI[Plastic Mat])*IF(Table_NFI[[#This Row],[Distribution Date]]&gt;"2014-04-01",1,2.5)</f>
        <v>0</v>
      </c>
      <c r="AI387" s="378">
        <f>IF(NFI_Expiration=1,IF($A387&lt;VLOOKUP(R$5,NFI,5,0),1,0)*Table_NFI[[#This Row],[Winter Clothes Adult]],Table_NFI[Winter Clothes Adult])</f>
        <v>0</v>
      </c>
      <c r="AJ387" s="378">
        <f>IF(NFI_Expiration=1,IF($A387&lt;VLOOKUP(S$5,NFI,5,0),1,0)*Table_NFI[[#This Row],[Winter Clothes Children]],Table_NFI[Winter Clothes Children])</f>
        <v>0</v>
      </c>
      <c r="AK387" s="378">
        <f>IF(NFI_Expiration=1,IF($A387&lt;VLOOKUP(T$5,NFI,5,0),1,0)*Table_NFI[[#This Row],[Winter Items Other]],Table_NFI[Winter Items Other])</f>
        <v>0</v>
      </c>
      <c r="AL387" s="378">
        <f>IF(NFI_Expiration=1,IF($A387&lt;VLOOKUP(M$5,NFI,5,0),1,0)*Table_NFI[[#This Row],[Winter Blanket]],Table_NFI[[#This Row],[Winter Blanket]])</f>
        <v>0</v>
      </c>
      <c r="AM387" s="378">
        <f>IF(Table_NFI[[#This Row],[Winter Clothes Adult]]+Table_NFI[[#This Row],[Winter Clothes Children]]+Table_NFI[[#This Row],[Winter Items Other]]+Table_NFI[[#This Row],[Winter Blanket]]&gt;0,1,0)</f>
        <v>0</v>
      </c>
      <c r="AN387" s="418">
        <f>IF(NFI_Expiration=1,IF($A387&lt;VLOOKUP(V$5,NFI,5,0),1,0)*Table_NFI[[#This Row],[Jerry Can]],Table_NFI[Jerry Can])</f>
        <v>0</v>
      </c>
      <c r="AO387" s="579" t="str">
        <f>IFERROR(VLOOKUP(Table_NFI[[#This Row],[Camp Name]],CL,2,0),"")</f>
        <v>MMR001CMP040</v>
      </c>
      <c r="AP387" s="574">
        <f ca="1">IF(Table_NFI[[#This Row],[Pcode]]="","",IF(OFFSET(CampList[Opening Date],MATCH(Table_NFI[[#This Row],[Pcode]],CampList[CP_Pcode],0)-1,0,1,1)&gt;=NFI_Monitor_Date,1,0))</f>
        <v>0</v>
      </c>
      <c r="AQ387" s="579" t="str">
        <f>IFERROR(VLOOKUP(Table_NFI[[#This Row],[Camp Name]],CL,3,0),"")</f>
        <v>Open</v>
      </c>
      <c r="AR387" s="378" t="str">
        <f ca="1">IF(Table_NFI[[#This Row],[Pcode]]="","",OFFSET(CampList[Priority],MATCH(Table_NFI[[#This Row],[Pcode]],CampList[CP_Pcode],0)-1,0,1,1))</f>
        <v>P4</v>
      </c>
      <c r="AS387" s="377">
        <f>IFERROR(Table_NFI[[#This Row],[Kitchen Set]]/VLOOKUP(Table_NFI[[#This Row],[Camp Name]],CL,4,0),"")</f>
        <v>0</v>
      </c>
      <c r="AT387" s="572" t="s">
        <v>1095</v>
      </c>
      <c r="AU387" s="575"/>
    </row>
    <row r="388" spans="1:47" s="576" customFormat="1" x14ac:dyDescent="0.25">
      <c r="A388" s="381">
        <f t="shared" si="5"/>
        <v>39.43333333333333</v>
      </c>
      <c r="B388" s="571">
        <v>41339</v>
      </c>
      <c r="C388" s="572" t="s">
        <v>454</v>
      </c>
      <c r="D388" s="572" t="s">
        <v>454</v>
      </c>
      <c r="E388" s="572" t="s">
        <v>380</v>
      </c>
      <c r="F388" s="572" t="s">
        <v>310</v>
      </c>
      <c r="G388" s="374" t="s">
        <v>324</v>
      </c>
      <c r="H388" s="375"/>
      <c r="I388" s="375"/>
      <c r="J388" s="375">
        <v>34</v>
      </c>
      <c r="K388" s="375">
        <v>73</v>
      </c>
      <c r="L388" s="376">
        <v>38</v>
      </c>
      <c r="M388" s="376">
        <v>73</v>
      </c>
      <c r="N388" s="376">
        <v>38</v>
      </c>
      <c r="O388" s="376">
        <v>33</v>
      </c>
      <c r="P388" s="378">
        <v>33</v>
      </c>
      <c r="Q388" s="378">
        <v>33</v>
      </c>
      <c r="R388" s="378"/>
      <c r="S388" s="378"/>
      <c r="T388" s="378"/>
      <c r="U388" s="378"/>
      <c r="V388" s="533"/>
      <c r="W388" s="378"/>
      <c r="X388" s="378"/>
      <c r="Y388" s="378">
        <f>IF(NFI_Expiration=1,IF($A388&lt;VLOOKUP(H$5,NFI,5,0),1,0)*Table_NFI[[#This Row],[Hygiene Kit]],Table_NFI[Hygiene Kit])</f>
        <v>0</v>
      </c>
      <c r="Z388" s="378">
        <f>IF(NFI_Expiration=1,IF($A388&lt;VLOOKUP(I$5,NFI,5,0),1,0)*Table_NFI[[#This Row],[NFI Core Kit]],Table_NFI[NFI Core Kit])</f>
        <v>0</v>
      </c>
      <c r="AA388" s="378">
        <f>IF(NFI_Expiration=1,IF($A388&lt;VLOOKUP(J$5,NFI,5,0),1,0)*Table_NFI[[#This Row],[Sanitary Kit]],Table_NFI[Sanitary Kit])</f>
        <v>0</v>
      </c>
      <c r="AB388" s="378">
        <f>IF(NFI_Expiration=1,IF($A388&lt;VLOOKUP(K$5,NFI,5,0),1,0)*Table_NFI[[#This Row],[Mosquito net]],Table_NFI[Mosquito net])</f>
        <v>0</v>
      </c>
      <c r="AC388" s="378">
        <f>IF(NFI_Expiration=1,IF($A388&lt;VLOOKUP(L$5,NFI,5,0),1,0)*Table_NFI[[#This Row],[Tarpaulin]],Table_NFI[[#This Row],[Tarpaulin]])</f>
        <v>0</v>
      </c>
      <c r="AD388" s="378">
        <f>IF(NFI_Expiration=1,IF($A388&lt;VLOOKUP(M$5,NFI,5,0),1,0)*Table_NFI[[#This Row],[Blanket]],Table_NFI[[#This Row],[Blanket]])</f>
        <v>0</v>
      </c>
      <c r="AE388" s="378">
        <f>IF(NFI_Expiration=1,IF($A388&lt;VLOOKUP(N$5,NFI,5,0),1,0)*Table_NFI[[#This Row],[Kitchen Set]],Table_NFI[Kitchen Set])</f>
        <v>0</v>
      </c>
      <c r="AF388" s="378">
        <f>IF(NFI_Expiration=1,IF($A388&lt;VLOOKUP(O$5,NFI,5,0),1,0)*Table_NFI[[#This Row],[Clothes Kit]],Table_NFI[Clothes Kit])</f>
        <v>0</v>
      </c>
      <c r="AG388" s="378">
        <f>IF(NFI_Expiration=1,IF($A388&lt;VLOOKUP(P$5,NFI,5,0),1,0)*Table_NFI[[#This Row],[Plastic Bucket]],Table_NFI[Plastic Bucket])</f>
        <v>0</v>
      </c>
      <c r="AH388" s="378">
        <f>IF(NFI_Expiration=1,IF($A388&lt;VLOOKUP(Q$5,NFI,5,0),1,0)*Table_NFI[[#This Row],[Plastic Mat]],Table_NFI[Plastic Mat])*IF(Table_NFI[[#This Row],[Distribution Date]]&gt;"2014-04-01",1,2.5)</f>
        <v>0</v>
      </c>
      <c r="AI388" s="378">
        <f>IF(NFI_Expiration=1,IF($A388&lt;VLOOKUP(R$5,NFI,5,0),1,0)*Table_NFI[[#This Row],[Winter Clothes Adult]],Table_NFI[Winter Clothes Adult])</f>
        <v>0</v>
      </c>
      <c r="AJ388" s="378">
        <f>IF(NFI_Expiration=1,IF($A388&lt;VLOOKUP(S$5,NFI,5,0),1,0)*Table_NFI[[#This Row],[Winter Clothes Children]],Table_NFI[Winter Clothes Children])</f>
        <v>0</v>
      </c>
      <c r="AK388" s="378">
        <f>IF(NFI_Expiration=1,IF($A388&lt;VLOOKUP(T$5,NFI,5,0),1,0)*Table_NFI[[#This Row],[Winter Items Other]],Table_NFI[Winter Items Other])</f>
        <v>0</v>
      </c>
      <c r="AL388" s="378">
        <f>IF(NFI_Expiration=1,IF($A388&lt;VLOOKUP(M$5,NFI,5,0),1,0)*Table_NFI[[#This Row],[Winter Blanket]],Table_NFI[[#This Row],[Winter Blanket]])</f>
        <v>0</v>
      </c>
      <c r="AM388" s="378">
        <f>IF(Table_NFI[[#This Row],[Winter Clothes Adult]]+Table_NFI[[#This Row],[Winter Clothes Children]]+Table_NFI[[#This Row],[Winter Items Other]]+Table_NFI[[#This Row],[Winter Blanket]]&gt;0,1,0)</f>
        <v>0</v>
      </c>
      <c r="AN388" s="418">
        <f>IF(NFI_Expiration=1,IF($A388&lt;VLOOKUP(V$5,NFI,5,0),1,0)*Table_NFI[[#This Row],[Jerry Can]],Table_NFI[Jerry Can])</f>
        <v>0</v>
      </c>
      <c r="AO388" s="579" t="str">
        <f>IFERROR(VLOOKUP(Table_NFI[[#This Row],[Camp Name]],CL,2,0),"")</f>
        <v>MMR001CMP040</v>
      </c>
      <c r="AP388" s="574">
        <f ca="1">IF(Table_NFI[[#This Row],[Pcode]]="","",IF(OFFSET(CampList[Opening Date],MATCH(Table_NFI[[#This Row],[Pcode]],CampList[CP_Pcode],0)-1,0,1,1)&gt;=NFI_Monitor_Date,1,0))</f>
        <v>0</v>
      </c>
      <c r="AQ388" s="579" t="str">
        <f>IFERROR(VLOOKUP(Table_NFI[[#This Row],[Camp Name]],CL,3,0),"")</f>
        <v>Open</v>
      </c>
      <c r="AR388" s="378" t="str">
        <f ca="1">IF(Table_NFI[[#This Row],[Pcode]]="","",OFFSET(CampList[Priority],MATCH(Table_NFI[[#This Row],[Pcode]],CampList[CP_Pcode],0)-1,0,1,1))</f>
        <v>P4</v>
      </c>
      <c r="AS388" s="377">
        <f>IFERROR(Table_NFI[[#This Row],[Kitchen Set]]/VLOOKUP(Table_NFI[[#This Row],[Camp Name]],CL,4,0),"")</f>
        <v>9.5959595959595953E-2</v>
      </c>
      <c r="AT388" s="572" t="s">
        <v>1095</v>
      </c>
      <c r="AU388" s="575"/>
    </row>
    <row r="389" spans="1:47" s="576" customFormat="1" x14ac:dyDescent="0.25">
      <c r="A389" s="381">
        <f t="shared" si="5"/>
        <v>39.733333333333334</v>
      </c>
      <c r="B389" s="571">
        <v>41330</v>
      </c>
      <c r="C389" s="572" t="s">
        <v>903</v>
      </c>
      <c r="D389" s="573" t="s">
        <v>903</v>
      </c>
      <c r="E389" s="572" t="s">
        <v>380</v>
      </c>
      <c r="F389" s="374" t="s">
        <v>310</v>
      </c>
      <c r="G389" s="374" t="s">
        <v>324</v>
      </c>
      <c r="H389" s="375"/>
      <c r="I389" s="375"/>
      <c r="J389" s="375">
        <v>235</v>
      </c>
      <c r="K389" s="375"/>
      <c r="L389" s="376">
        <v>174</v>
      </c>
      <c r="M389" s="376"/>
      <c r="N389" s="376">
        <v>61</v>
      </c>
      <c r="O389" s="376"/>
      <c r="P389" s="378">
        <v>0</v>
      </c>
      <c r="Q389" s="378">
        <v>0</v>
      </c>
      <c r="R389" s="378"/>
      <c r="S389" s="378"/>
      <c r="T389" s="378"/>
      <c r="U389" s="378"/>
      <c r="V389" s="533"/>
      <c r="W389" s="378"/>
      <c r="X389" s="378"/>
      <c r="Y389" s="378">
        <f>IF(NFI_Expiration=1,IF($A389&lt;VLOOKUP(H$5,NFI,5,0),1,0)*Table_NFI[[#This Row],[Hygiene Kit]],Table_NFI[Hygiene Kit])</f>
        <v>0</v>
      </c>
      <c r="Z389" s="378">
        <f>IF(NFI_Expiration=1,IF($A389&lt;VLOOKUP(I$5,NFI,5,0),1,0)*Table_NFI[[#This Row],[NFI Core Kit]],Table_NFI[NFI Core Kit])</f>
        <v>0</v>
      </c>
      <c r="AA389" s="378">
        <f>IF(NFI_Expiration=1,IF($A389&lt;VLOOKUP(J$5,NFI,5,0),1,0)*Table_NFI[[#This Row],[Sanitary Kit]],Table_NFI[Sanitary Kit])</f>
        <v>0</v>
      </c>
      <c r="AB389" s="378">
        <f>IF(NFI_Expiration=1,IF($A389&lt;VLOOKUP(K$5,NFI,5,0),1,0)*Table_NFI[[#This Row],[Mosquito net]],Table_NFI[Mosquito net])</f>
        <v>0</v>
      </c>
      <c r="AC389" s="378">
        <f>IF(NFI_Expiration=1,IF($A389&lt;VLOOKUP(L$5,NFI,5,0),1,0)*Table_NFI[[#This Row],[Tarpaulin]],Table_NFI[[#This Row],[Tarpaulin]])</f>
        <v>0</v>
      </c>
      <c r="AD389" s="378">
        <f>IF(NFI_Expiration=1,IF($A389&lt;VLOOKUP(M$5,NFI,5,0),1,0)*Table_NFI[[#This Row],[Blanket]],Table_NFI[[#This Row],[Blanket]])</f>
        <v>0</v>
      </c>
      <c r="AE389" s="378">
        <f>IF(NFI_Expiration=1,IF($A389&lt;VLOOKUP(N$5,NFI,5,0),1,0)*Table_NFI[[#This Row],[Kitchen Set]],Table_NFI[Kitchen Set])</f>
        <v>0</v>
      </c>
      <c r="AF389" s="378">
        <f>IF(NFI_Expiration=1,IF($A389&lt;VLOOKUP(O$5,NFI,5,0),1,0)*Table_NFI[[#This Row],[Clothes Kit]],Table_NFI[Clothes Kit])</f>
        <v>0</v>
      </c>
      <c r="AG389" s="378">
        <f>IF(NFI_Expiration=1,IF($A389&lt;VLOOKUP(P$5,NFI,5,0),1,0)*Table_NFI[[#This Row],[Plastic Bucket]],Table_NFI[Plastic Bucket])</f>
        <v>0</v>
      </c>
      <c r="AH389" s="378">
        <f>IF(NFI_Expiration=1,IF($A389&lt;VLOOKUP(Q$5,NFI,5,0),1,0)*Table_NFI[[#This Row],[Plastic Mat]],Table_NFI[Plastic Mat])*IF(Table_NFI[[#This Row],[Distribution Date]]&gt;"2014-04-01",1,2.5)</f>
        <v>0</v>
      </c>
      <c r="AI389" s="378">
        <f>IF(NFI_Expiration=1,IF($A389&lt;VLOOKUP(R$5,NFI,5,0),1,0)*Table_NFI[[#This Row],[Winter Clothes Adult]],Table_NFI[Winter Clothes Adult])</f>
        <v>0</v>
      </c>
      <c r="AJ389" s="378">
        <f>IF(NFI_Expiration=1,IF($A389&lt;VLOOKUP(S$5,NFI,5,0),1,0)*Table_NFI[[#This Row],[Winter Clothes Children]],Table_NFI[Winter Clothes Children])</f>
        <v>0</v>
      </c>
      <c r="AK389" s="378">
        <f>IF(NFI_Expiration=1,IF($A389&lt;VLOOKUP(T$5,NFI,5,0),1,0)*Table_NFI[[#This Row],[Winter Items Other]],Table_NFI[Winter Items Other])</f>
        <v>0</v>
      </c>
      <c r="AL389" s="378">
        <f>IF(NFI_Expiration=1,IF($A389&lt;VLOOKUP(M$5,NFI,5,0),1,0)*Table_NFI[[#This Row],[Winter Blanket]],Table_NFI[[#This Row],[Winter Blanket]])</f>
        <v>0</v>
      </c>
      <c r="AM389" s="378">
        <f>IF(Table_NFI[[#This Row],[Winter Clothes Adult]]+Table_NFI[[#This Row],[Winter Clothes Children]]+Table_NFI[[#This Row],[Winter Items Other]]+Table_NFI[[#This Row],[Winter Blanket]]&gt;0,1,0)</f>
        <v>0</v>
      </c>
      <c r="AN389" s="418">
        <f>IF(NFI_Expiration=1,IF($A389&lt;VLOOKUP(V$5,NFI,5,0),1,0)*Table_NFI[[#This Row],[Jerry Can]],Table_NFI[Jerry Can])</f>
        <v>0</v>
      </c>
      <c r="AO389" s="579" t="str">
        <f>IFERROR(VLOOKUP(Table_NFI[[#This Row],[Camp Name]],CL,2,0),"")</f>
        <v>MMR001CMP040</v>
      </c>
      <c r="AP389" s="574">
        <f ca="1">IF(Table_NFI[[#This Row],[Pcode]]="","",IF(OFFSET(CampList[Opening Date],MATCH(Table_NFI[[#This Row],[Pcode]],CampList[CP_Pcode],0)-1,0,1,1)&gt;=NFI_Monitor_Date,1,0))</f>
        <v>0</v>
      </c>
      <c r="AQ389" s="579" t="str">
        <f>IFERROR(VLOOKUP(Table_NFI[[#This Row],[Camp Name]],CL,3,0),"")</f>
        <v>Open</v>
      </c>
      <c r="AR389" s="378" t="str">
        <f ca="1">IF(Table_NFI[[#This Row],[Pcode]]="","",OFFSET(CampList[Priority],MATCH(Table_NFI[[#This Row],[Pcode]],CampList[CP_Pcode],0)-1,0,1,1))</f>
        <v>P4</v>
      </c>
      <c r="AS389" s="377">
        <f>IFERROR(Table_NFI[[#This Row],[Kitchen Set]]/VLOOKUP(Table_NFI[[#This Row],[Camp Name]],CL,4,0),"")</f>
        <v>0.15404040404040403</v>
      </c>
      <c r="AT389" s="572" t="s">
        <v>1095</v>
      </c>
      <c r="AU389" s="575"/>
    </row>
    <row r="390" spans="1:47" s="576" customFormat="1" x14ac:dyDescent="0.25">
      <c r="A390" s="381">
        <f t="shared" ref="A390:A453" si="6">IF(ISBLANK(B390),"",(Report_Date-B390)/30)</f>
        <v>40.56666666666667</v>
      </c>
      <c r="B390" s="571">
        <v>41305</v>
      </c>
      <c r="C390" s="572" t="s">
        <v>571</v>
      </c>
      <c r="D390" s="573" t="s">
        <v>571</v>
      </c>
      <c r="E390" s="572" t="s">
        <v>380</v>
      </c>
      <c r="F390" s="374" t="s">
        <v>310</v>
      </c>
      <c r="G390" s="374" t="s">
        <v>324</v>
      </c>
      <c r="H390" s="375"/>
      <c r="I390" s="375"/>
      <c r="J390" s="375"/>
      <c r="K390" s="375"/>
      <c r="L390" s="376"/>
      <c r="M390" s="376">
        <v>324</v>
      </c>
      <c r="N390" s="376"/>
      <c r="O390" s="376"/>
      <c r="P390" s="378">
        <v>0</v>
      </c>
      <c r="Q390" s="378">
        <v>0</v>
      </c>
      <c r="R390" s="378"/>
      <c r="S390" s="378"/>
      <c r="T390" s="378"/>
      <c r="U390" s="378"/>
      <c r="V390" s="533"/>
      <c r="W390" s="378"/>
      <c r="X390" s="378"/>
      <c r="Y390" s="378">
        <f>IF(NFI_Expiration=1,IF($A390&lt;VLOOKUP(H$5,NFI,5,0),1,0)*Table_NFI[[#This Row],[Hygiene Kit]],Table_NFI[Hygiene Kit])</f>
        <v>0</v>
      </c>
      <c r="Z390" s="378">
        <f>IF(NFI_Expiration=1,IF($A390&lt;VLOOKUP(I$5,NFI,5,0),1,0)*Table_NFI[[#This Row],[NFI Core Kit]],Table_NFI[NFI Core Kit])</f>
        <v>0</v>
      </c>
      <c r="AA390" s="378">
        <f>IF(NFI_Expiration=1,IF($A390&lt;VLOOKUP(J$5,NFI,5,0),1,0)*Table_NFI[[#This Row],[Sanitary Kit]],Table_NFI[Sanitary Kit])</f>
        <v>0</v>
      </c>
      <c r="AB390" s="378">
        <f>IF(NFI_Expiration=1,IF($A390&lt;VLOOKUP(K$5,NFI,5,0),1,0)*Table_NFI[[#This Row],[Mosquito net]],Table_NFI[Mosquito net])</f>
        <v>0</v>
      </c>
      <c r="AC390" s="378">
        <f>IF(NFI_Expiration=1,IF($A390&lt;VLOOKUP(L$5,NFI,5,0),1,0)*Table_NFI[[#This Row],[Tarpaulin]],Table_NFI[[#This Row],[Tarpaulin]])</f>
        <v>0</v>
      </c>
      <c r="AD390" s="378">
        <f>IF(NFI_Expiration=1,IF($A390&lt;VLOOKUP(M$5,NFI,5,0),1,0)*Table_NFI[[#This Row],[Blanket]],Table_NFI[[#This Row],[Blanket]])</f>
        <v>0</v>
      </c>
      <c r="AE390" s="378">
        <f>IF(NFI_Expiration=1,IF($A390&lt;VLOOKUP(N$5,NFI,5,0),1,0)*Table_NFI[[#This Row],[Kitchen Set]],Table_NFI[Kitchen Set])</f>
        <v>0</v>
      </c>
      <c r="AF390" s="378">
        <f>IF(NFI_Expiration=1,IF($A390&lt;VLOOKUP(O$5,NFI,5,0),1,0)*Table_NFI[[#This Row],[Clothes Kit]],Table_NFI[Clothes Kit])</f>
        <v>0</v>
      </c>
      <c r="AG390" s="378">
        <f>IF(NFI_Expiration=1,IF($A390&lt;VLOOKUP(P$5,NFI,5,0),1,0)*Table_NFI[[#This Row],[Plastic Bucket]],Table_NFI[Plastic Bucket])</f>
        <v>0</v>
      </c>
      <c r="AH390" s="378">
        <f>IF(NFI_Expiration=1,IF($A390&lt;VLOOKUP(Q$5,NFI,5,0),1,0)*Table_NFI[[#This Row],[Plastic Mat]],Table_NFI[Plastic Mat])*IF(Table_NFI[[#This Row],[Distribution Date]]&gt;"2014-04-01",1,2.5)</f>
        <v>0</v>
      </c>
      <c r="AI390" s="378">
        <f>IF(NFI_Expiration=1,IF($A390&lt;VLOOKUP(R$5,NFI,5,0),1,0)*Table_NFI[[#This Row],[Winter Clothes Adult]],Table_NFI[Winter Clothes Adult])</f>
        <v>0</v>
      </c>
      <c r="AJ390" s="378">
        <f>IF(NFI_Expiration=1,IF($A390&lt;VLOOKUP(S$5,NFI,5,0),1,0)*Table_NFI[[#This Row],[Winter Clothes Children]],Table_NFI[Winter Clothes Children])</f>
        <v>0</v>
      </c>
      <c r="AK390" s="378">
        <f>IF(NFI_Expiration=1,IF($A390&lt;VLOOKUP(T$5,NFI,5,0),1,0)*Table_NFI[[#This Row],[Winter Items Other]],Table_NFI[Winter Items Other])</f>
        <v>0</v>
      </c>
      <c r="AL390" s="378">
        <f>IF(NFI_Expiration=1,IF($A390&lt;VLOOKUP(M$5,NFI,5,0),1,0)*Table_NFI[[#This Row],[Winter Blanket]],Table_NFI[[#This Row],[Winter Blanket]])</f>
        <v>0</v>
      </c>
      <c r="AM390" s="378">
        <f>IF(Table_NFI[[#This Row],[Winter Clothes Adult]]+Table_NFI[[#This Row],[Winter Clothes Children]]+Table_NFI[[#This Row],[Winter Items Other]]+Table_NFI[[#This Row],[Winter Blanket]]&gt;0,1,0)</f>
        <v>0</v>
      </c>
      <c r="AN390" s="418">
        <f>IF(NFI_Expiration=1,IF($A390&lt;VLOOKUP(V$5,NFI,5,0),1,0)*Table_NFI[[#This Row],[Jerry Can]],Table_NFI[Jerry Can])</f>
        <v>0</v>
      </c>
      <c r="AO390" s="579" t="str">
        <f>IFERROR(VLOOKUP(Table_NFI[[#This Row],[Camp Name]],CL,2,0),"")</f>
        <v>MMR001CMP040</v>
      </c>
      <c r="AP390" s="574">
        <f ca="1">IF(Table_NFI[[#This Row],[Pcode]]="","",IF(OFFSET(CampList[Opening Date],MATCH(Table_NFI[[#This Row],[Pcode]],CampList[CP_Pcode],0)-1,0,1,1)&gt;=NFI_Monitor_Date,1,0))</f>
        <v>0</v>
      </c>
      <c r="AQ390" s="579" t="str">
        <f>IFERROR(VLOOKUP(Table_NFI[[#This Row],[Camp Name]],CL,3,0),"")</f>
        <v>Open</v>
      </c>
      <c r="AR390" s="378" t="str">
        <f ca="1">IF(Table_NFI[[#This Row],[Pcode]]="","",OFFSET(CampList[Priority],MATCH(Table_NFI[[#This Row],[Pcode]],CampList[CP_Pcode],0)-1,0,1,1))</f>
        <v>P4</v>
      </c>
      <c r="AS390" s="377">
        <f>IFERROR(Table_NFI[[#This Row],[Kitchen Set]]/VLOOKUP(Table_NFI[[#This Row],[Camp Name]],CL,4,0),"")</f>
        <v>0</v>
      </c>
      <c r="AT390" s="572" t="s">
        <v>1095</v>
      </c>
      <c r="AU390" s="575"/>
    </row>
    <row r="391" spans="1:47" s="576" customFormat="1" x14ac:dyDescent="0.25">
      <c r="A391" s="381">
        <f t="shared" si="6"/>
        <v>48.1</v>
      </c>
      <c r="B391" s="571">
        <v>41079</v>
      </c>
      <c r="C391" s="572" t="s">
        <v>454</v>
      </c>
      <c r="D391" s="573" t="s">
        <v>454</v>
      </c>
      <c r="E391" s="572" t="s">
        <v>380</v>
      </c>
      <c r="F391" s="374" t="s">
        <v>310</v>
      </c>
      <c r="G391" s="374" t="s">
        <v>324</v>
      </c>
      <c r="H391" s="375"/>
      <c r="I391" s="375"/>
      <c r="J391" s="375"/>
      <c r="K391" s="375">
        <v>32</v>
      </c>
      <c r="L391" s="376">
        <v>17</v>
      </c>
      <c r="M391" s="376">
        <v>32</v>
      </c>
      <c r="N391" s="376">
        <v>17</v>
      </c>
      <c r="O391" s="376">
        <v>17</v>
      </c>
      <c r="P391" s="378">
        <v>17</v>
      </c>
      <c r="Q391" s="378">
        <v>17</v>
      </c>
      <c r="R391" s="378"/>
      <c r="S391" s="378"/>
      <c r="T391" s="378"/>
      <c r="U391" s="378"/>
      <c r="V391" s="533"/>
      <c r="W391" s="378"/>
      <c r="X391" s="378"/>
      <c r="Y391" s="378">
        <f>IF(NFI_Expiration=1,IF($A391&lt;VLOOKUP(H$5,NFI,5,0),1,0)*Table_NFI[[#This Row],[Hygiene Kit]],Table_NFI[Hygiene Kit])</f>
        <v>0</v>
      </c>
      <c r="Z391" s="378">
        <f>IF(NFI_Expiration=1,IF($A391&lt;VLOOKUP(I$5,NFI,5,0),1,0)*Table_NFI[[#This Row],[NFI Core Kit]],Table_NFI[NFI Core Kit])</f>
        <v>0</v>
      </c>
      <c r="AA391" s="378">
        <f>IF(NFI_Expiration=1,IF($A391&lt;VLOOKUP(J$5,NFI,5,0),1,0)*Table_NFI[[#This Row],[Sanitary Kit]],Table_NFI[Sanitary Kit])</f>
        <v>0</v>
      </c>
      <c r="AB391" s="378">
        <f>IF(NFI_Expiration=1,IF($A391&lt;VLOOKUP(K$5,NFI,5,0),1,0)*Table_NFI[[#This Row],[Mosquito net]],Table_NFI[Mosquito net])</f>
        <v>0</v>
      </c>
      <c r="AC391" s="378">
        <f>IF(NFI_Expiration=1,IF($A391&lt;VLOOKUP(L$5,NFI,5,0),1,0)*Table_NFI[[#This Row],[Tarpaulin]],Table_NFI[[#This Row],[Tarpaulin]])</f>
        <v>0</v>
      </c>
      <c r="AD391" s="378">
        <f>IF(NFI_Expiration=1,IF($A391&lt;VLOOKUP(M$5,NFI,5,0),1,0)*Table_NFI[[#This Row],[Blanket]],Table_NFI[[#This Row],[Blanket]])</f>
        <v>0</v>
      </c>
      <c r="AE391" s="378">
        <f>IF(NFI_Expiration=1,IF($A391&lt;VLOOKUP(N$5,NFI,5,0),1,0)*Table_NFI[[#This Row],[Kitchen Set]],Table_NFI[Kitchen Set])</f>
        <v>0</v>
      </c>
      <c r="AF391" s="378">
        <f>IF(NFI_Expiration=1,IF($A391&lt;VLOOKUP(O$5,NFI,5,0),1,0)*Table_NFI[[#This Row],[Clothes Kit]],Table_NFI[Clothes Kit])</f>
        <v>0</v>
      </c>
      <c r="AG391" s="378">
        <f>IF(NFI_Expiration=1,IF($A391&lt;VLOOKUP(P$5,NFI,5,0),1,0)*Table_NFI[[#This Row],[Plastic Bucket]],Table_NFI[Plastic Bucket])</f>
        <v>0</v>
      </c>
      <c r="AH391" s="378">
        <f>IF(NFI_Expiration=1,IF($A391&lt;VLOOKUP(Q$5,NFI,5,0),1,0)*Table_NFI[[#This Row],[Plastic Mat]],Table_NFI[Plastic Mat])*IF(Table_NFI[[#This Row],[Distribution Date]]&gt;"2014-04-01",1,2.5)</f>
        <v>0</v>
      </c>
      <c r="AI391" s="378">
        <f>IF(NFI_Expiration=1,IF($A391&lt;VLOOKUP(R$5,NFI,5,0),1,0)*Table_NFI[[#This Row],[Winter Clothes Adult]],Table_NFI[Winter Clothes Adult])</f>
        <v>0</v>
      </c>
      <c r="AJ391" s="378">
        <f>IF(NFI_Expiration=1,IF($A391&lt;VLOOKUP(S$5,NFI,5,0),1,0)*Table_NFI[[#This Row],[Winter Clothes Children]],Table_NFI[Winter Clothes Children])</f>
        <v>0</v>
      </c>
      <c r="AK391" s="378">
        <f>IF(NFI_Expiration=1,IF($A391&lt;VLOOKUP(T$5,NFI,5,0),1,0)*Table_NFI[[#This Row],[Winter Items Other]],Table_NFI[Winter Items Other])</f>
        <v>0</v>
      </c>
      <c r="AL391" s="378">
        <f>IF(NFI_Expiration=1,IF($A391&lt;VLOOKUP(M$5,NFI,5,0),1,0)*Table_NFI[[#This Row],[Winter Blanket]],Table_NFI[[#This Row],[Winter Blanket]])</f>
        <v>0</v>
      </c>
      <c r="AM391" s="378">
        <f>IF(Table_NFI[[#This Row],[Winter Clothes Adult]]+Table_NFI[[#This Row],[Winter Clothes Children]]+Table_NFI[[#This Row],[Winter Items Other]]+Table_NFI[[#This Row],[Winter Blanket]]&gt;0,1,0)</f>
        <v>0</v>
      </c>
      <c r="AN391" s="418">
        <f>IF(NFI_Expiration=1,IF($A391&lt;VLOOKUP(V$5,NFI,5,0),1,0)*Table_NFI[[#This Row],[Jerry Can]],Table_NFI[Jerry Can])</f>
        <v>0</v>
      </c>
      <c r="AO391" s="579" t="str">
        <f>IFERROR(VLOOKUP(Table_NFI[[#This Row],[Camp Name]],CL,2,0),"")</f>
        <v>MMR001CMP040</v>
      </c>
      <c r="AP391" s="574">
        <f ca="1">IF(Table_NFI[[#This Row],[Pcode]]="","",IF(OFFSET(CampList[Opening Date],MATCH(Table_NFI[[#This Row],[Pcode]],CampList[CP_Pcode],0)-1,0,1,1)&gt;=NFI_Monitor_Date,1,0))</f>
        <v>0</v>
      </c>
      <c r="AQ391" s="579" t="str">
        <f>IFERROR(VLOOKUP(Table_NFI[[#This Row],[Camp Name]],CL,3,0),"")</f>
        <v>Open</v>
      </c>
      <c r="AR391" s="378" t="str">
        <f ca="1">IF(Table_NFI[[#This Row],[Pcode]]="","",OFFSET(CampList[Priority],MATCH(Table_NFI[[#This Row],[Pcode]],CampList[CP_Pcode],0)-1,0,1,1))</f>
        <v>P4</v>
      </c>
      <c r="AS391" s="377">
        <f>IFERROR(Table_NFI[[#This Row],[Kitchen Set]]/VLOOKUP(Table_NFI[[#This Row],[Camp Name]],CL,4,0),"")</f>
        <v>4.2929292929292928E-2</v>
      </c>
      <c r="AT391" s="572" t="s">
        <v>1095</v>
      </c>
      <c r="AU391" s="575"/>
    </row>
    <row r="392" spans="1:47" s="576" customFormat="1" x14ac:dyDescent="0.25">
      <c r="A392" s="381">
        <f t="shared" si="6"/>
        <v>49.4</v>
      </c>
      <c r="B392" s="571">
        <v>41040</v>
      </c>
      <c r="C392" s="572" t="s">
        <v>454</v>
      </c>
      <c r="D392" s="573" t="s">
        <v>454</v>
      </c>
      <c r="E392" s="572" t="s">
        <v>380</v>
      </c>
      <c r="F392" s="374" t="s">
        <v>310</v>
      </c>
      <c r="G392" s="374" t="s">
        <v>324</v>
      </c>
      <c r="H392" s="375"/>
      <c r="I392" s="375"/>
      <c r="J392" s="375"/>
      <c r="K392" s="375">
        <v>50</v>
      </c>
      <c r="L392" s="376">
        <v>25</v>
      </c>
      <c r="M392" s="376">
        <v>50</v>
      </c>
      <c r="N392" s="376">
        <v>24</v>
      </c>
      <c r="O392" s="376">
        <v>13</v>
      </c>
      <c r="P392" s="378">
        <v>13</v>
      </c>
      <c r="Q392" s="378">
        <v>13</v>
      </c>
      <c r="R392" s="378"/>
      <c r="S392" s="378"/>
      <c r="T392" s="378"/>
      <c r="U392" s="378"/>
      <c r="V392" s="533"/>
      <c r="W392" s="378"/>
      <c r="X392" s="378"/>
      <c r="Y392" s="378">
        <f>IF(NFI_Expiration=1,IF($A392&lt;VLOOKUP(H$5,NFI,5,0),1,0)*Table_NFI[[#This Row],[Hygiene Kit]],Table_NFI[Hygiene Kit])</f>
        <v>0</v>
      </c>
      <c r="Z392" s="378">
        <f>IF(NFI_Expiration=1,IF($A392&lt;VLOOKUP(I$5,NFI,5,0),1,0)*Table_NFI[[#This Row],[NFI Core Kit]],Table_NFI[NFI Core Kit])</f>
        <v>0</v>
      </c>
      <c r="AA392" s="378">
        <f>IF(NFI_Expiration=1,IF($A392&lt;VLOOKUP(J$5,NFI,5,0),1,0)*Table_NFI[[#This Row],[Sanitary Kit]],Table_NFI[Sanitary Kit])</f>
        <v>0</v>
      </c>
      <c r="AB392" s="378">
        <f>IF(NFI_Expiration=1,IF($A392&lt;VLOOKUP(K$5,NFI,5,0),1,0)*Table_NFI[[#This Row],[Mosquito net]],Table_NFI[Mosquito net])</f>
        <v>0</v>
      </c>
      <c r="AC392" s="378">
        <f>IF(NFI_Expiration=1,IF($A392&lt;VLOOKUP(L$5,NFI,5,0),1,0)*Table_NFI[[#This Row],[Tarpaulin]],Table_NFI[[#This Row],[Tarpaulin]])</f>
        <v>0</v>
      </c>
      <c r="AD392" s="378">
        <f>IF(NFI_Expiration=1,IF($A392&lt;VLOOKUP(M$5,NFI,5,0),1,0)*Table_NFI[[#This Row],[Blanket]],Table_NFI[[#This Row],[Blanket]])</f>
        <v>0</v>
      </c>
      <c r="AE392" s="378">
        <f>IF(NFI_Expiration=1,IF($A392&lt;VLOOKUP(N$5,NFI,5,0),1,0)*Table_NFI[[#This Row],[Kitchen Set]],Table_NFI[Kitchen Set])</f>
        <v>0</v>
      </c>
      <c r="AF392" s="378">
        <f>IF(NFI_Expiration=1,IF($A392&lt;VLOOKUP(O$5,NFI,5,0),1,0)*Table_NFI[[#This Row],[Clothes Kit]],Table_NFI[Clothes Kit])</f>
        <v>0</v>
      </c>
      <c r="AG392" s="378">
        <f>IF(NFI_Expiration=1,IF($A392&lt;VLOOKUP(P$5,NFI,5,0),1,0)*Table_NFI[[#This Row],[Plastic Bucket]],Table_NFI[Plastic Bucket])</f>
        <v>0</v>
      </c>
      <c r="AH392" s="378">
        <f>IF(NFI_Expiration=1,IF($A392&lt;VLOOKUP(Q$5,NFI,5,0),1,0)*Table_NFI[[#This Row],[Plastic Mat]],Table_NFI[Plastic Mat])*IF(Table_NFI[[#This Row],[Distribution Date]]&gt;"2014-04-01",1,2.5)</f>
        <v>0</v>
      </c>
      <c r="AI392" s="378">
        <f>IF(NFI_Expiration=1,IF($A392&lt;VLOOKUP(R$5,NFI,5,0),1,0)*Table_NFI[[#This Row],[Winter Clothes Adult]],Table_NFI[Winter Clothes Adult])</f>
        <v>0</v>
      </c>
      <c r="AJ392" s="378">
        <f>IF(NFI_Expiration=1,IF($A392&lt;VLOOKUP(S$5,NFI,5,0),1,0)*Table_NFI[[#This Row],[Winter Clothes Children]],Table_NFI[Winter Clothes Children])</f>
        <v>0</v>
      </c>
      <c r="AK392" s="378">
        <f>IF(NFI_Expiration=1,IF($A392&lt;VLOOKUP(T$5,NFI,5,0),1,0)*Table_NFI[[#This Row],[Winter Items Other]],Table_NFI[Winter Items Other])</f>
        <v>0</v>
      </c>
      <c r="AL392" s="378">
        <f>IF(NFI_Expiration=1,IF($A392&lt;VLOOKUP(M$5,NFI,5,0),1,0)*Table_NFI[[#This Row],[Winter Blanket]],Table_NFI[[#This Row],[Winter Blanket]])</f>
        <v>0</v>
      </c>
      <c r="AM392" s="378">
        <f>IF(Table_NFI[[#This Row],[Winter Clothes Adult]]+Table_NFI[[#This Row],[Winter Clothes Children]]+Table_NFI[[#This Row],[Winter Items Other]]+Table_NFI[[#This Row],[Winter Blanket]]&gt;0,1,0)</f>
        <v>0</v>
      </c>
      <c r="AN392" s="418">
        <f>IF(NFI_Expiration=1,IF($A392&lt;VLOOKUP(V$5,NFI,5,0),1,0)*Table_NFI[[#This Row],[Jerry Can]],Table_NFI[Jerry Can])</f>
        <v>0</v>
      </c>
      <c r="AO392" s="579" t="str">
        <f>IFERROR(VLOOKUP(Table_NFI[[#This Row],[Camp Name]],CL,2,0),"")</f>
        <v>MMR001CMP040</v>
      </c>
      <c r="AP392" s="574">
        <f ca="1">IF(Table_NFI[[#This Row],[Pcode]]="","",IF(OFFSET(CampList[Opening Date],MATCH(Table_NFI[[#This Row],[Pcode]],CampList[CP_Pcode],0)-1,0,1,1)&gt;=NFI_Monitor_Date,1,0))</f>
        <v>0</v>
      </c>
      <c r="AQ392" s="579" t="str">
        <f>IFERROR(VLOOKUP(Table_NFI[[#This Row],[Camp Name]],CL,3,0),"")</f>
        <v>Open</v>
      </c>
      <c r="AR392" s="378" t="str">
        <f ca="1">IF(Table_NFI[[#This Row],[Pcode]]="","",OFFSET(CampList[Priority],MATCH(Table_NFI[[#This Row],[Pcode]],CampList[CP_Pcode],0)-1,0,1,1))</f>
        <v>P4</v>
      </c>
      <c r="AS392" s="377">
        <f>IFERROR(Table_NFI[[#This Row],[Kitchen Set]]/VLOOKUP(Table_NFI[[#This Row],[Camp Name]],CL,4,0),"")</f>
        <v>6.0606060606060608E-2</v>
      </c>
      <c r="AT392" s="572" t="s">
        <v>1095</v>
      </c>
      <c r="AU392" s="575"/>
    </row>
    <row r="393" spans="1:47" s="576" customFormat="1" ht="14.45" customHeight="1" x14ac:dyDescent="0.25">
      <c r="A393" s="381">
        <f t="shared" si="6"/>
        <v>24.8</v>
      </c>
      <c r="B393" s="571">
        <v>41778</v>
      </c>
      <c r="C393" s="572" t="s">
        <v>1107</v>
      </c>
      <c r="D393" s="572" t="s">
        <v>903</v>
      </c>
      <c r="E393" s="572" t="s">
        <v>380</v>
      </c>
      <c r="F393" s="572" t="s">
        <v>310</v>
      </c>
      <c r="G393" s="572" t="s">
        <v>326</v>
      </c>
      <c r="H393" s="375"/>
      <c r="I393" s="375"/>
      <c r="J393" s="375"/>
      <c r="K393" s="375"/>
      <c r="L393" s="376"/>
      <c r="M393" s="376"/>
      <c r="N393" s="376"/>
      <c r="O393" s="376"/>
      <c r="P393" s="378"/>
      <c r="Q393" s="378"/>
      <c r="R393" s="378"/>
      <c r="S393" s="378"/>
      <c r="T393" s="378"/>
      <c r="U393" s="378">
        <v>230</v>
      </c>
      <c r="V393" s="533"/>
      <c r="W393" s="378"/>
      <c r="X393" s="378"/>
      <c r="Y393" s="378">
        <f>IF(NFI_Expiration=1,IF($A393&lt;VLOOKUP(H$5,NFI,5,0),1,0)*Table_NFI[[#This Row],[Hygiene Kit]],Table_NFI[Hygiene Kit])</f>
        <v>0</v>
      </c>
      <c r="Z393" s="378">
        <f>IF(NFI_Expiration=1,IF($A393&lt;VLOOKUP(I$5,NFI,5,0),1,0)*Table_NFI[[#This Row],[NFI Core Kit]],Table_NFI[NFI Core Kit])</f>
        <v>0</v>
      </c>
      <c r="AA393" s="378">
        <f>IF(NFI_Expiration=1,IF($A393&lt;VLOOKUP(J$5,NFI,5,0),1,0)*Table_NFI[[#This Row],[Sanitary Kit]],Table_NFI[Sanitary Kit])</f>
        <v>0</v>
      </c>
      <c r="AB393" s="378">
        <f>IF(NFI_Expiration=1,IF($A393&lt;VLOOKUP(K$5,NFI,5,0),1,0)*Table_NFI[[#This Row],[Mosquito net]],Table_NFI[Mosquito net])</f>
        <v>0</v>
      </c>
      <c r="AC393" s="378">
        <f>IF(NFI_Expiration=1,IF($A393&lt;VLOOKUP(L$5,NFI,5,0),1,0)*Table_NFI[[#This Row],[Tarpaulin]],Table_NFI[[#This Row],[Tarpaulin]])</f>
        <v>0</v>
      </c>
      <c r="AD393" s="378">
        <f>IF(NFI_Expiration=1,IF($A393&lt;VLOOKUP(M$5,NFI,5,0),1,0)*Table_NFI[[#This Row],[Blanket]],Table_NFI[[#This Row],[Blanket]])</f>
        <v>0</v>
      </c>
      <c r="AE393" s="378">
        <f>IF(NFI_Expiration=1,IF($A393&lt;VLOOKUP(N$5,NFI,5,0),1,0)*Table_NFI[[#This Row],[Kitchen Set]],Table_NFI[Kitchen Set])</f>
        <v>0</v>
      </c>
      <c r="AF393" s="378">
        <f>IF(NFI_Expiration=1,IF($A393&lt;VLOOKUP(O$5,NFI,5,0),1,0)*Table_NFI[[#This Row],[Clothes Kit]],Table_NFI[Clothes Kit])</f>
        <v>0</v>
      </c>
      <c r="AG393" s="378">
        <f>IF(NFI_Expiration=1,IF($A393&lt;VLOOKUP(P$5,NFI,5,0),1,0)*Table_NFI[[#This Row],[Plastic Bucket]],Table_NFI[Plastic Bucket])</f>
        <v>0</v>
      </c>
      <c r="AH393" s="378">
        <f>IF(NFI_Expiration=1,IF($A393&lt;VLOOKUP(Q$5,NFI,5,0),1,0)*Table_NFI[[#This Row],[Plastic Mat]],Table_NFI[Plastic Mat])*IF(Table_NFI[[#This Row],[Distribution Date]]&gt;"2014-04-01",1,2.5)</f>
        <v>0</v>
      </c>
      <c r="AI393" s="378">
        <f>IF(NFI_Expiration=1,IF($A393&lt;VLOOKUP(R$5,NFI,5,0),1,0)*Table_NFI[[#This Row],[Winter Clothes Adult]],Table_NFI[Winter Clothes Adult])</f>
        <v>0</v>
      </c>
      <c r="AJ393" s="378">
        <f>IF(NFI_Expiration=1,IF($A393&lt;VLOOKUP(S$5,NFI,5,0),1,0)*Table_NFI[[#This Row],[Winter Clothes Children]],Table_NFI[Winter Clothes Children])</f>
        <v>0</v>
      </c>
      <c r="AK393" s="378">
        <f>IF(NFI_Expiration=1,IF($A393&lt;VLOOKUP(T$5,NFI,5,0),1,0)*Table_NFI[[#This Row],[Winter Items Other]],Table_NFI[Winter Items Other])</f>
        <v>0</v>
      </c>
      <c r="AL393" s="378">
        <f>IF(NFI_Expiration=1,IF($A393&lt;VLOOKUP(M$5,NFI,5,0),1,0)*Table_NFI[[#This Row],[Winter Blanket]],Table_NFI[[#This Row],[Winter Blanket]])</f>
        <v>0</v>
      </c>
      <c r="AM393" s="378">
        <f>IF(Table_NFI[[#This Row],[Winter Clothes Adult]]+Table_NFI[[#This Row],[Winter Clothes Children]]+Table_NFI[[#This Row],[Winter Items Other]]+Table_NFI[[#This Row],[Winter Blanket]]&gt;0,1,0)</f>
        <v>1</v>
      </c>
      <c r="AN393" s="418">
        <f>IF(NFI_Expiration=1,IF($A393&lt;VLOOKUP(V$5,NFI,5,0),1,0)*Table_NFI[[#This Row],[Jerry Can]],Table_NFI[Jerry Can])</f>
        <v>0</v>
      </c>
      <c r="AO393" s="579" t="str">
        <f>IFERROR(VLOOKUP(Table_NFI[[#This Row],[Camp Name]],CL,2,0),"")</f>
        <v>MMR001CMP039</v>
      </c>
      <c r="AP393" s="574">
        <f ca="1">IF(Table_NFI[[#This Row],[Pcode]]="","",IF(OFFSET(CampList[Opening Date],MATCH(Table_NFI[[#This Row],[Pcode]],CampList[CP_Pcode],0)-1,0,1,1)&gt;=NFI_Monitor_Date,1,0))</f>
        <v>0</v>
      </c>
      <c r="AQ393" s="579" t="str">
        <f>IFERROR(VLOOKUP(Table_NFI[[#This Row],[Camp Name]],CL,3,0),"")</f>
        <v>Open</v>
      </c>
      <c r="AR393" s="378" t="str">
        <f ca="1">IF(Table_NFI[[#This Row],[Pcode]]="","",OFFSET(CampList[Priority],MATCH(Table_NFI[[#This Row],[Pcode]],CampList[CP_Pcode],0)-1,0,1,1))</f>
        <v>P4</v>
      </c>
      <c r="AS393" s="377">
        <f>IFERROR(Table_NFI[[#This Row],[Kitchen Set]]/VLOOKUP(Table_NFI[[#This Row],[Camp Name]],CL,4,0),"")</f>
        <v>0</v>
      </c>
      <c r="AT393" s="572"/>
      <c r="AU393" s="575"/>
    </row>
    <row r="394" spans="1:47" s="576" customFormat="1" x14ac:dyDescent="0.25">
      <c r="A394" s="381">
        <f t="shared" si="6"/>
        <v>29.8</v>
      </c>
      <c r="B394" s="571">
        <v>41628</v>
      </c>
      <c r="C394" s="572" t="s">
        <v>908</v>
      </c>
      <c r="D394" s="572" t="s">
        <v>462</v>
      </c>
      <c r="E394" s="572" t="s">
        <v>380</v>
      </c>
      <c r="F394" s="572" t="s">
        <v>310</v>
      </c>
      <c r="G394" s="572" t="s">
        <v>326</v>
      </c>
      <c r="H394" s="375"/>
      <c r="I394" s="375"/>
      <c r="J394" s="375"/>
      <c r="K394" s="375"/>
      <c r="L394" s="376"/>
      <c r="M394" s="376"/>
      <c r="N394" s="376"/>
      <c r="O394" s="376"/>
      <c r="P394" s="378"/>
      <c r="Q394" s="378"/>
      <c r="R394" s="378">
        <v>47</v>
      </c>
      <c r="S394" s="378">
        <v>85</v>
      </c>
      <c r="T394" s="378">
        <v>264</v>
      </c>
      <c r="U394" s="378">
        <v>132</v>
      </c>
      <c r="V394" s="533"/>
      <c r="W394" s="378"/>
      <c r="X394" s="378"/>
      <c r="Y394" s="378">
        <f>IF(NFI_Expiration=1,IF($A394&lt;VLOOKUP(H$5,NFI,5,0),1,0)*Table_NFI[[#This Row],[Hygiene Kit]],Table_NFI[Hygiene Kit])</f>
        <v>0</v>
      </c>
      <c r="Z394" s="378">
        <f>IF(NFI_Expiration=1,IF($A394&lt;VLOOKUP(I$5,NFI,5,0),1,0)*Table_NFI[[#This Row],[NFI Core Kit]],Table_NFI[NFI Core Kit])</f>
        <v>0</v>
      </c>
      <c r="AA394" s="378">
        <f>IF(NFI_Expiration=1,IF($A394&lt;VLOOKUP(J$5,NFI,5,0),1,0)*Table_NFI[[#This Row],[Sanitary Kit]],Table_NFI[Sanitary Kit])</f>
        <v>0</v>
      </c>
      <c r="AB394" s="378">
        <f>IF(NFI_Expiration=1,IF($A394&lt;VLOOKUP(K$5,NFI,5,0),1,0)*Table_NFI[[#This Row],[Mosquito net]],Table_NFI[Mosquito net])</f>
        <v>0</v>
      </c>
      <c r="AC394" s="378">
        <f>IF(NFI_Expiration=1,IF($A394&lt;VLOOKUP(L$5,NFI,5,0),1,0)*Table_NFI[[#This Row],[Tarpaulin]],Table_NFI[[#This Row],[Tarpaulin]])</f>
        <v>0</v>
      </c>
      <c r="AD394" s="378">
        <f>IF(NFI_Expiration=1,IF($A394&lt;VLOOKUP(M$5,NFI,5,0),1,0)*Table_NFI[[#This Row],[Blanket]],Table_NFI[[#This Row],[Blanket]])</f>
        <v>0</v>
      </c>
      <c r="AE394" s="378">
        <f>IF(NFI_Expiration=1,IF($A394&lt;VLOOKUP(N$5,NFI,5,0),1,0)*Table_NFI[[#This Row],[Kitchen Set]],Table_NFI[Kitchen Set])</f>
        <v>0</v>
      </c>
      <c r="AF394" s="378">
        <f>IF(NFI_Expiration=1,IF($A394&lt;VLOOKUP(O$5,NFI,5,0),1,0)*Table_NFI[[#This Row],[Clothes Kit]],Table_NFI[Clothes Kit])</f>
        <v>0</v>
      </c>
      <c r="AG394" s="378">
        <f>IF(NFI_Expiration=1,IF($A394&lt;VLOOKUP(P$5,NFI,5,0),1,0)*Table_NFI[[#This Row],[Plastic Bucket]],Table_NFI[Plastic Bucket])</f>
        <v>0</v>
      </c>
      <c r="AH394" s="378">
        <f>IF(NFI_Expiration=1,IF($A394&lt;VLOOKUP(Q$5,NFI,5,0),1,0)*Table_NFI[[#This Row],[Plastic Mat]],Table_NFI[Plastic Mat])*IF(Table_NFI[[#This Row],[Distribution Date]]&gt;"2014-04-01",1,2.5)</f>
        <v>0</v>
      </c>
      <c r="AI394" s="378">
        <f>IF(NFI_Expiration=1,IF($A394&lt;VLOOKUP(R$5,NFI,5,0),1,0)*Table_NFI[[#This Row],[Winter Clothes Adult]],Table_NFI[Winter Clothes Adult])</f>
        <v>0</v>
      </c>
      <c r="AJ394" s="378">
        <f>IF(NFI_Expiration=1,IF($A394&lt;VLOOKUP(S$5,NFI,5,0),1,0)*Table_NFI[[#This Row],[Winter Clothes Children]],Table_NFI[Winter Clothes Children])</f>
        <v>0</v>
      </c>
      <c r="AK394" s="378">
        <f>IF(NFI_Expiration=1,IF($A394&lt;VLOOKUP(T$5,NFI,5,0),1,0)*Table_NFI[[#This Row],[Winter Items Other]],Table_NFI[Winter Items Other])</f>
        <v>0</v>
      </c>
      <c r="AL394" s="378">
        <f>IF(NFI_Expiration=1,IF($A394&lt;VLOOKUP(M$5,NFI,5,0),1,0)*Table_NFI[[#This Row],[Winter Blanket]],Table_NFI[[#This Row],[Winter Blanket]])</f>
        <v>0</v>
      </c>
      <c r="AM394" s="378">
        <f>IF(Table_NFI[[#This Row],[Winter Clothes Adult]]+Table_NFI[[#This Row],[Winter Clothes Children]]+Table_NFI[[#This Row],[Winter Items Other]]+Table_NFI[[#This Row],[Winter Blanket]]&gt;0,1,0)</f>
        <v>1</v>
      </c>
      <c r="AN394" s="418">
        <f>IF(NFI_Expiration=1,IF($A394&lt;VLOOKUP(V$5,NFI,5,0),1,0)*Table_NFI[[#This Row],[Jerry Can]],Table_NFI[Jerry Can])</f>
        <v>0</v>
      </c>
      <c r="AO394" s="579" t="str">
        <f>IFERROR(VLOOKUP(Table_NFI[[#This Row],[Camp Name]],CL,2,0),"")</f>
        <v>MMR001CMP039</v>
      </c>
      <c r="AP394" s="574">
        <f ca="1">IF(Table_NFI[[#This Row],[Pcode]]="","",IF(OFFSET(CampList[Opening Date],MATCH(Table_NFI[[#This Row],[Pcode]],CampList[CP_Pcode],0)-1,0,1,1)&gt;=NFI_Monitor_Date,1,0))</f>
        <v>0</v>
      </c>
      <c r="AQ394" s="579" t="str">
        <f>IFERROR(VLOOKUP(Table_NFI[[#This Row],[Camp Name]],CL,3,0),"")</f>
        <v>Open</v>
      </c>
      <c r="AR394" s="378" t="str">
        <f ca="1">IF(Table_NFI[[#This Row],[Pcode]]="","",OFFSET(CampList[Priority],MATCH(Table_NFI[[#This Row],[Pcode]],CampList[CP_Pcode],0)-1,0,1,1))</f>
        <v>P4</v>
      </c>
      <c r="AS394" s="377">
        <f>IFERROR(Table_NFI[[#This Row],[Kitchen Set]]/VLOOKUP(Table_NFI[[#This Row],[Camp Name]],CL,4,0),"")</f>
        <v>0</v>
      </c>
      <c r="AT394" s="572"/>
      <c r="AU394" s="575"/>
    </row>
    <row r="395" spans="1:47" s="576" customFormat="1" x14ac:dyDescent="0.25">
      <c r="A395" s="381">
        <f t="shared" si="6"/>
        <v>30.466666666666665</v>
      </c>
      <c r="B395" s="571">
        <v>41608</v>
      </c>
      <c r="C395" s="572" t="s">
        <v>908</v>
      </c>
      <c r="D395" s="573" t="s">
        <v>462</v>
      </c>
      <c r="E395" s="572" t="s">
        <v>380</v>
      </c>
      <c r="F395" s="374" t="s">
        <v>310</v>
      </c>
      <c r="G395" s="374" t="s">
        <v>326</v>
      </c>
      <c r="H395" s="375"/>
      <c r="I395" s="375"/>
      <c r="J395" s="375"/>
      <c r="K395" s="375"/>
      <c r="L395" s="376"/>
      <c r="M395" s="376"/>
      <c r="N395" s="376"/>
      <c r="O395" s="376"/>
      <c r="P395" s="378"/>
      <c r="Q395" s="378"/>
      <c r="R395" s="378"/>
      <c r="S395" s="378"/>
      <c r="T395" s="378"/>
      <c r="U395" s="378"/>
      <c r="V395" s="533"/>
      <c r="W395" s="378"/>
      <c r="X395" s="378"/>
      <c r="Y395" s="378">
        <f>IF(NFI_Expiration=1,IF($A395&lt;VLOOKUP(H$5,NFI,5,0),1,0)*Table_NFI[[#This Row],[Hygiene Kit]],Table_NFI[Hygiene Kit])</f>
        <v>0</v>
      </c>
      <c r="Z395" s="378">
        <f>IF(NFI_Expiration=1,IF($A395&lt;VLOOKUP(I$5,NFI,5,0),1,0)*Table_NFI[[#This Row],[NFI Core Kit]],Table_NFI[NFI Core Kit])</f>
        <v>0</v>
      </c>
      <c r="AA395" s="378">
        <f>IF(NFI_Expiration=1,IF($A395&lt;VLOOKUP(J$5,NFI,5,0),1,0)*Table_NFI[[#This Row],[Sanitary Kit]],Table_NFI[Sanitary Kit])</f>
        <v>0</v>
      </c>
      <c r="AB395" s="378">
        <f>IF(NFI_Expiration=1,IF($A395&lt;VLOOKUP(K$5,NFI,5,0),1,0)*Table_NFI[[#This Row],[Mosquito net]],Table_NFI[Mosquito net])</f>
        <v>0</v>
      </c>
      <c r="AC395" s="378">
        <f>IF(NFI_Expiration=1,IF($A395&lt;VLOOKUP(L$5,NFI,5,0),1,0)*Table_NFI[[#This Row],[Tarpaulin]],Table_NFI[[#This Row],[Tarpaulin]])</f>
        <v>0</v>
      </c>
      <c r="AD395" s="378">
        <f>IF(NFI_Expiration=1,IF($A395&lt;VLOOKUP(M$5,NFI,5,0),1,0)*Table_NFI[[#This Row],[Blanket]],Table_NFI[[#This Row],[Blanket]])</f>
        <v>0</v>
      </c>
      <c r="AE395" s="378">
        <f>IF(NFI_Expiration=1,IF($A395&lt;VLOOKUP(N$5,NFI,5,0),1,0)*Table_NFI[[#This Row],[Kitchen Set]],Table_NFI[Kitchen Set])</f>
        <v>0</v>
      </c>
      <c r="AF395" s="378">
        <f>IF(NFI_Expiration=1,IF($A395&lt;VLOOKUP(O$5,NFI,5,0),1,0)*Table_NFI[[#This Row],[Clothes Kit]],Table_NFI[Clothes Kit])</f>
        <v>0</v>
      </c>
      <c r="AG395" s="378">
        <f>IF(NFI_Expiration=1,IF($A395&lt;VLOOKUP(P$5,NFI,5,0),1,0)*Table_NFI[[#This Row],[Plastic Bucket]],Table_NFI[Plastic Bucket])</f>
        <v>0</v>
      </c>
      <c r="AH395" s="378">
        <f>IF(NFI_Expiration=1,IF($A395&lt;VLOOKUP(Q$5,NFI,5,0),1,0)*Table_NFI[[#This Row],[Plastic Mat]],Table_NFI[Plastic Mat])*IF(Table_NFI[[#This Row],[Distribution Date]]&gt;"2014-04-01",1,2.5)</f>
        <v>0</v>
      </c>
      <c r="AI395" s="378">
        <f>IF(NFI_Expiration=1,IF($A395&lt;VLOOKUP(R$5,NFI,5,0),1,0)*Table_NFI[[#This Row],[Winter Clothes Adult]],Table_NFI[Winter Clothes Adult])</f>
        <v>0</v>
      </c>
      <c r="AJ395" s="378">
        <f>IF(NFI_Expiration=1,IF($A395&lt;VLOOKUP(S$5,NFI,5,0),1,0)*Table_NFI[[#This Row],[Winter Clothes Children]],Table_NFI[Winter Clothes Children])</f>
        <v>0</v>
      </c>
      <c r="AK395" s="378">
        <f>IF(NFI_Expiration=1,IF($A395&lt;VLOOKUP(T$5,NFI,5,0),1,0)*Table_NFI[[#This Row],[Winter Items Other]],Table_NFI[Winter Items Other])</f>
        <v>0</v>
      </c>
      <c r="AL395" s="378">
        <f>IF(NFI_Expiration=1,IF($A395&lt;VLOOKUP(M$5,NFI,5,0),1,0)*Table_NFI[[#This Row],[Winter Blanket]],Table_NFI[[#This Row],[Winter Blanket]])</f>
        <v>0</v>
      </c>
      <c r="AM395" s="378">
        <f>IF(Table_NFI[[#This Row],[Winter Clothes Adult]]+Table_NFI[[#This Row],[Winter Clothes Children]]+Table_NFI[[#This Row],[Winter Items Other]]+Table_NFI[[#This Row],[Winter Blanket]]&gt;0,1,0)</f>
        <v>0</v>
      </c>
      <c r="AN395" s="418">
        <f>IF(NFI_Expiration=1,IF($A395&lt;VLOOKUP(V$5,NFI,5,0),1,0)*Table_NFI[[#This Row],[Jerry Can]],Table_NFI[Jerry Can])</f>
        <v>0</v>
      </c>
      <c r="AO395" s="579" t="str">
        <f>IFERROR(VLOOKUP(Table_NFI[[#This Row],[Camp Name]],CL,2,0),"")</f>
        <v>MMR001CMP039</v>
      </c>
      <c r="AP395" s="574">
        <f ca="1">IF(Table_NFI[[#This Row],[Pcode]]="","",IF(OFFSET(CampList[Opening Date],MATCH(Table_NFI[[#This Row],[Pcode]],CampList[CP_Pcode],0)-1,0,1,1)&gt;=NFI_Monitor_Date,1,0))</f>
        <v>0</v>
      </c>
      <c r="AQ395" s="579" t="str">
        <f>IFERROR(VLOOKUP(Table_NFI[[#This Row],[Camp Name]],CL,3,0),"")</f>
        <v>Open</v>
      </c>
      <c r="AR395" s="378" t="str">
        <f ca="1">IF(Table_NFI[[#This Row],[Pcode]]="","",OFFSET(CampList[Priority],MATCH(Table_NFI[[#This Row],[Pcode]],CampList[CP_Pcode],0)-1,0,1,1))</f>
        <v>P4</v>
      </c>
      <c r="AS395" s="377">
        <f>IFERROR(Table_NFI[[#This Row],[Kitchen Set]]/VLOOKUP(Table_NFI[[#This Row],[Camp Name]],CL,4,0),"")</f>
        <v>0</v>
      </c>
      <c r="AT395" s="572" t="s">
        <v>1095</v>
      </c>
      <c r="AU395" s="575"/>
    </row>
    <row r="396" spans="1:47" s="576" customFormat="1" ht="14.45" customHeight="1" x14ac:dyDescent="0.25">
      <c r="A396" s="381">
        <f t="shared" si="6"/>
        <v>40.56666666666667</v>
      </c>
      <c r="B396" s="571">
        <v>41305</v>
      </c>
      <c r="C396" s="572" t="s">
        <v>571</v>
      </c>
      <c r="D396" s="573" t="s">
        <v>571</v>
      </c>
      <c r="E396" s="572" t="s">
        <v>380</v>
      </c>
      <c r="F396" s="374" t="s">
        <v>310</v>
      </c>
      <c r="G396" s="374" t="s">
        <v>326</v>
      </c>
      <c r="H396" s="375"/>
      <c r="I396" s="375"/>
      <c r="J396" s="375"/>
      <c r="K396" s="375"/>
      <c r="L396" s="376"/>
      <c r="M396" s="376">
        <v>94</v>
      </c>
      <c r="N396" s="376"/>
      <c r="O396" s="376"/>
      <c r="P396" s="378">
        <v>0</v>
      </c>
      <c r="Q396" s="378">
        <v>0</v>
      </c>
      <c r="R396" s="378"/>
      <c r="S396" s="378"/>
      <c r="T396" s="378"/>
      <c r="U396" s="378"/>
      <c r="V396" s="533"/>
      <c r="W396" s="378"/>
      <c r="X396" s="378"/>
      <c r="Y396" s="378">
        <f>IF(NFI_Expiration=1,IF($A396&lt;VLOOKUP(H$5,NFI,5,0),1,0)*Table_NFI[[#This Row],[Hygiene Kit]],Table_NFI[Hygiene Kit])</f>
        <v>0</v>
      </c>
      <c r="Z396" s="378">
        <f>IF(NFI_Expiration=1,IF($A396&lt;VLOOKUP(I$5,NFI,5,0),1,0)*Table_NFI[[#This Row],[NFI Core Kit]],Table_NFI[NFI Core Kit])</f>
        <v>0</v>
      </c>
      <c r="AA396" s="378">
        <f>IF(NFI_Expiration=1,IF($A396&lt;VLOOKUP(J$5,NFI,5,0),1,0)*Table_NFI[[#This Row],[Sanitary Kit]],Table_NFI[Sanitary Kit])</f>
        <v>0</v>
      </c>
      <c r="AB396" s="378">
        <f>IF(NFI_Expiration=1,IF($A396&lt;VLOOKUP(K$5,NFI,5,0),1,0)*Table_NFI[[#This Row],[Mosquito net]],Table_NFI[Mosquito net])</f>
        <v>0</v>
      </c>
      <c r="AC396" s="378">
        <f>IF(NFI_Expiration=1,IF($A396&lt;VLOOKUP(L$5,NFI,5,0),1,0)*Table_NFI[[#This Row],[Tarpaulin]],Table_NFI[[#This Row],[Tarpaulin]])</f>
        <v>0</v>
      </c>
      <c r="AD396" s="378">
        <f>IF(NFI_Expiration=1,IF($A396&lt;VLOOKUP(M$5,NFI,5,0),1,0)*Table_NFI[[#This Row],[Blanket]],Table_NFI[[#This Row],[Blanket]])</f>
        <v>0</v>
      </c>
      <c r="AE396" s="378">
        <f>IF(NFI_Expiration=1,IF($A396&lt;VLOOKUP(N$5,NFI,5,0),1,0)*Table_NFI[[#This Row],[Kitchen Set]],Table_NFI[Kitchen Set])</f>
        <v>0</v>
      </c>
      <c r="AF396" s="378">
        <f>IF(NFI_Expiration=1,IF($A396&lt;VLOOKUP(O$5,NFI,5,0),1,0)*Table_NFI[[#This Row],[Clothes Kit]],Table_NFI[Clothes Kit])</f>
        <v>0</v>
      </c>
      <c r="AG396" s="378">
        <f>IF(NFI_Expiration=1,IF($A396&lt;VLOOKUP(P$5,NFI,5,0),1,0)*Table_NFI[[#This Row],[Plastic Bucket]],Table_NFI[Plastic Bucket])</f>
        <v>0</v>
      </c>
      <c r="AH396" s="378">
        <f>IF(NFI_Expiration=1,IF($A396&lt;VLOOKUP(Q$5,NFI,5,0),1,0)*Table_NFI[[#This Row],[Plastic Mat]],Table_NFI[Plastic Mat])*IF(Table_NFI[[#This Row],[Distribution Date]]&gt;"2014-04-01",1,2.5)</f>
        <v>0</v>
      </c>
      <c r="AI396" s="378">
        <f>IF(NFI_Expiration=1,IF($A396&lt;VLOOKUP(R$5,NFI,5,0),1,0)*Table_NFI[[#This Row],[Winter Clothes Adult]],Table_NFI[Winter Clothes Adult])</f>
        <v>0</v>
      </c>
      <c r="AJ396" s="378">
        <f>IF(NFI_Expiration=1,IF($A396&lt;VLOOKUP(S$5,NFI,5,0),1,0)*Table_NFI[[#This Row],[Winter Clothes Children]],Table_NFI[Winter Clothes Children])</f>
        <v>0</v>
      </c>
      <c r="AK396" s="378">
        <f>IF(NFI_Expiration=1,IF($A396&lt;VLOOKUP(T$5,NFI,5,0),1,0)*Table_NFI[[#This Row],[Winter Items Other]],Table_NFI[Winter Items Other])</f>
        <v>0</v>
      </c>
      <c r="AL396" s="378">
        <f>IF(NFI_Expiration=1,IF($A396&lt;VLOOKUP(M$5,NFI,5,0),1,0)*Table_NFI[[#This Row],[Winter Blanket]],Table_NFI[[#This Row],[Winter Blanket]])</f>
        <v>0</v>
      </c>
      <c r="AM396" s="378">
        <f>IF(Table_NFI[[#This Row],[Winter Clothes Adult]]+Table_NFI[[#This Row],[Winter Clothes Children]]+Table_NFI[[#This Row],[Winter Items Other]]+Table_NFI[[#This Row],[Winter Blanket]]&gt;0,1,0)</f>
        <v>0</v>
      </c>
      <c r="AN396" s="418">
        <f>IF(NFI_Expiration=1,IF($A396&lt;VLOOKUP(V$5,NFI,5,0),1,0)*Table_NFI[[#This Row],[Jerry Can]],Table_NFI[Jerry Can])</f>
        <v>0</v>
      </c>
      <c r="AO396" s="579" t="str">
        <f>IFERROR(VLOOKUP(Table_NFI[[#This Row],[Camp Name]],CL,2,0),"")</f>
        <v>MMR001CMP039</v>
      </c>
      <c r="AP396" s="574">
        <f ca="1">IF(Table_NFI[[#This Row],[Pcode]]="","",IF(OFFSET(CampList[Opening Date],MATCH(Table_NFI[[#This Row],[Pcode]],CampList[CP_Pcode],0)-1,0,1,1)&gt;=NFI_Monitor_Date,1,0))</f>
        <v>0</v>
      </c>
      <c r="AQ396" s="579" t="str">
        <f>IFERROR(VLOOKUP(Table_NFI[[#This Row],[Camp Name]],CL,3,0),"")</f>
        <v>Open</v>
      </c>
      <c r="AR396" s="378" t="str">
        <f ca="1">IF(Table_NFI[[#This Row],[Pcode]]="","",OFFSET(CampList[Priority],MATCH(Table_NFI[[#This Row],[Pcode]],CampList[CP_Pcode],0)-1,0,1,1))</f>
        <v>P4</v>
      </c>
      <c r="AS396" s="377">
        <f>IFERROR(Table_NFI[[#This Row],[Kitchen Set]]/VLOOKUP(Table_NFI[[#This Row],[Camp Name]],CL,4,0),"")</f>
        <v>0</v>
      </c>
      <c r="AT396" s="572" t="s">
        <v>1095</v>
      </c>
      <c r="AU396" s="575"/>
    </row>
    <row r="397" spans="1:47" s="576" customFormat="1" x14ac:dyDescent="0.25">
      <c r="A397" s="381">
        <f t="shared" si="6"/>
        <v>47.3</v>
      </c>
      <c r="B397" s="571">
        <v>41103</v>
      </c>
      <c r="C397" s="572" t="s">
        <v>454</v>
      </c>
      <c r="D397" s="573" t="s">
        <v>454</v>
      </c>
      <c r="E397" s="572" t="s">
        <v>380</v>
      </c>
      <c r="F397" s="374" t="s">
        <v>310</v>
      </c>
      <c r="G397" s="374" t="s">
        <v>326</v>
      </c>
      <c r="H397" s="375"/>
      <c r="I397" s="375"/>
      <c r="J397" s="375"/>
      <c r="K397" s="375">
        <v>6</v>
      </c>
      <c r="L397" s="376">
        <v>6</v>
      </c>
      <c r="M397" s="376">
        <v>6</v>
      </c>
      <c r="N397" s="376">
        <v>6</v>
      </c>
      <c r="O397" s="376">
        <v>6</v>
      </c>
      <c r="P397" s="378">
        <v>6</v>
      </c>
      <c r="Q397" s="378">
        <v>6</v>
      </c>
      <c r="R397" s="378"/>
      <c r="S397" s="378"/>
      <c r="T397" s="378"/>
      <c r="U397" s="378"/>
      <c r="V397" s="533"/>
      <c r="W397" s="378"/>
      <c r="X397" s="378"/>
      <c r="Y397" s="378">
        <f>IF(NFI_Expiration=1,IF($A397&lt;VLOOKUP(H$5,NFI,5,0),1,0)*Table_NFI[[#This Row],[Hygiene Kit]],Table_NFI[Hygiene Kit])</f>
        <v>0</v>
      </c>
      <c r="Z397" s="378">
        <f>IF(NFI_Expiration=1,IF($A397&lt;VLOOKUP(I$5,NFI,5,0),1,0)*Table_NFI[[#This Row],[NFI Core Kit]],Table_NFI[NFI Core Kit])</f>
        <v>0</v>
      </c>
      <c r="AA397" s="378">
        <f>IF(NFI_Expiration=1,IF($A397&lt;VLOOKUP(J$5,NFI,5,0),1,0)*Table_NFI[[#This Row],[Sanitary Kit]],Table_NFI[Sanitary Kit])</f>
        <v>0</v>
      </c>
      <c r="AB397" s="378">
        <f>IF(NFI_Expiration=1,IF($A397&lt;VLOOKUP(K$5,NFI,5,0),1,0)*Table_NFI[[#This Row],[Mosquito net]],Table_NFI[Mosquito net])</f>
        <v>0</v>
      </c>
      <c r="AC397" s="378">
        <f>IF(NFI_Expiration=1,IF($A397&lt;VLOOKUP(L$5,NFI,5,0),1,0)*Table_NFI[[#This Row],[Tarpaulin]],Table_NFI[[#This Row],[Tarpaulin]])</f>
        <v>0</v>
      </c>
      <c r="AD397" s="378">
        <f>IF(NFI_Expiration=1,IF($A397&lt;VLOOKUP(M$5,NFI,5,0),1,0)*Table_NFI[[#This Row],[Blanket]],Table_NFI[[#This Row],[Blanket]])</f>
        <v>0</v>
      </c>
      <c r="AE397" s="378">
        <f>IF(NFI_Expiration=1,IF($A397&lt;VLOOKUP(N$5,NFI,5,0),1,0)*Table_NFI[[#This Row],[Kitchen Set]],Table_NFI[Kitchen Set])</f>
        <v>0</v>
      </c>
      <c r="AF397" s="378">
        <f>IF(NFI_Expiration=1,IF($A397&lt;VLOOKUP(O$5,NFI,5,0),1,0)*Table_NFI[[#This Row],[Clothes Kit]],Table_NFI[Clothes Kit])</f>
        <v>0</v>
      </c>
      <c r="AG397" s="378">
        <f>IF(NFI_Expiration=1,IF($A397&lt;VLOOKUP(P$5,NFI,5,0),1,0)*Table_NFI[[#This Row],[Plastic Bucket]],Table_NFI[Plastic Bucket])</f>
        <v>0</v>
      </c>
      <c r="AH397" s="378">
        <f>IF(NFI_Expiration=1,IF($A397&lt;VLOOKUP(Q$5,NFI,5,0),1,0)*Table_NFI[[#This Row],[Plastic Mat]],Table_NFI[Plastic Mat])*IF(Table_NFI[[#This Row],[Distribution Date]]&gt;"2014-04-01",1,2.5)</f>
        <v>0</v>
      </c>
      <c r="AI397" s="378">
        <f>IF(NFI_Expiration=1,IF($A397&lt;VLOOKUP(R$5,NFI,5,0),1,0)*Table_NFI[[#This Row],[Winter Clothes Adult]],Table_NFI[Winter Clothes Adult])</f>
        <v>0</v>
      </c>
      <c r="AJ397" s="378">
        <f>IF(NFI_Expiration=1,IF($A397&lt;VLOOKUP(S$5,NFI,5,0),1,0)*Table_NFI[[#This Row],[Winter Clothes Children]],Table_NFI[Winter Clothes Children])</f>
        <v>0</v>
      </c>
      <c r="AK397" s="378">
        <f>IF(NFI_Expiration=1,IF($A397&lt;VLOOKUP(T$5,NFI,5,0),1,0)*Table_NFI[[#This Row],[Winter Items Other]],Table_NFI[Winter Items Other])</f>
        <v>0</v>
      </c>
      <c r="AL397" s="378">
        <f>IF(NFI_Expiration=1,IF($A397&lt;VLOOKUP(M$5,NFI,5,0),1,0)*Table_NFI[[#This Row],[Winter Blanket]],Table_NFI[[#This Row],[Winter Blanket]])</f>
        <v>0</v>
      </c>
      <c r="AM397" s="378">
        <f>IF(Table_NFI[[#This Row],[Winter Clothes Adult]]+Table_NFI[[#This Row],[Winter Clothes Children]]+Table_NFI[[#This Row],[Winter Items Other]]+Table_NFI[[#This Row],[Winter Blanket]]&gt;0,1,0)</f>
        <v>0</v>
      </c>
      <c r="AN397" s="418">
        <f>IF(NFI_Expiration=1,IF($A397&lt;VLOOKUP(V$5,NFI,5,0),1,0)*Table_NFI[[#This Row],[Jerry Can]],Table_NFI[Jerry Can])</f>
        <v>0</v>
      </c>
      <c r="AO397" s="579" t="str">
        <f>IFERROR(VLOOKUP(Table_NFI[[#This Row],[Camp Name]],CL,2,0),"")</f>
        <v>MMR001CMP039</v>
      </c>
      <c r="AP397" s="574">
        <f ca="1">IF(Table_NFI[[#This Row],[Pcode]]="","",IF(OFFSET(CampList[Opening Date],MATCH(Table_NFI[[#This Row],[Pcode]],CampList[CP_Pcode],0)-1,0,1,1)&gt;=NFI_Monitor_Date,1,0))</f>
        <v>0</v>
      </c>
      <c r="AQ397" s="579" t="str">
        <f>IFERROR(VLOOKUP(Table_NFI[[#This Row],[Camp Name]],CL,3,0),"")</f>
        <v>Open</v>
      </c>
      <c r="AR397" s="378" t="str">
        <f ca="1">IF(Table_NFI[[#This Row],[Pcode]]="","",OFFSET(CampList[Priority],MATCH(Table_NFI[[#This Row],[Pcode]],CampList[CP_Pcode],0)-1,0,1,1))</f>
        <v>P4</v>
      </c>
      <c r="AS397" s="377">
        <f>IFERROR(Table_NFI[[#This Row],[Kitchen Set]]/VLOOKUP(Table_NFI[[#This Row],[Camp Name]],CL,4,0),"")</f>
        <v>0.13043478260869565</v>
      </c>
      <c r="AT397" s="572" t="s">
        <v>1095</v>
      </c>
      <c r="AU397" s="575"/>
    </row>
    <row r="398" spans="1:47" s="576" customFormat="1" x14ac:dyDescent="0.25">
      <c r="A398" s="381">
        <f t="shared" si="6"/>
        <v>53.366666666666667</v>
      </c>
      <c r="B398" s="571">
        <v>40921</v>
      </c>
      <c r="C398" s="572" t="s">
        <v>454</v>
      </c>
      <c r="D398" s="573" t="s">
        <v>454</v>
      </c>
      <c r="E398" s="572" t="s">
        <v>380</v>
      </c>
      <c r="F398" s="374" t="s">
        <v>310</v>
      </c>
      <c r="G398" s="374" t="s">
        <v>326</v>
      </c>
      <c r="H398" s="375"/>
      <c r="I398" s="375"/>
      <c r="J398" s="375"/>
      <c r="K398" s="375">
        <v>35</v>
      </c>
      <c r="L398" s="376">
        <v>17</v>
      </c>
      <c r="M398" s="376">
        <v>35</v>
      </c>
      <c r="N398" s="376">
        <v>17</v>
      </c>
      <c r="O398" s="376">
        <v>17</v>
      </c>
      <c r="P398" s="378">
        <v>17</v>
      </c>
      <c r="Q398" s="378">
        <v>17</v>
      </c>
      <c r="R398" s="378"/>
      <c r="S398" s="378"/>
      <c r="T398" s="378"/>
      <c r="U398" s="378"/>
      <c r="V398" s="533"/>
      <c r="W398" s="378"/>
      <c r="X398" s="378"/>
      <c r="Y398" s="378">
        <f>IF(NFI_Expiration=1,IF($A398&lt;VLOOKUP(H$5,NFI,5,0),1,0)*Table_NFI[[#This Row],[Hygiene Kit]],Table_NFI[Hygiene Kit])</f>
        <v>0</v>
      </c>
      <c r="Z398" s="378">
        <f>IF(NFI_Expiration=1,IF($A398&lt;VLOOKUP(I$5,NFI,5,0),1,0)*Table_NFI[[#This Row],[NFI Core Kit]],Table_NFI[NFI Core Kit])</f>
        <v>0</v>
      </c>
      <c r="AA398" s="378">
        <f>IF(NFI_Expiration=1,IF($A398&lt;VLOOKUP(J$5,NFI,5,0),1,0)*Table_NFI[[#This Row],[Sanitary Kit]],Table_NFI[Sanitary Kit])</f>
        <v>0</v>
      </c>
      <c r="AB398" s="378">
        <f>IF(NFI_Expiration=1,IF($A398&lt;VLOOKUP(K$5,NFI,5,0),1,0)*Table_NFI[[#This Row],[Mosquito net]],Table_NFI[Mosquito net])</f>
        <v>0</v>
      </c>
      <c r="AC398" s="378">
        <f>IF(NFI_Expiration=1,IF($A398&lt;VLOOKUP(L$5,NFI,5,0),1,0)*Table_NFI[[#This Row],[Tarpaulin]],Table_NFI[[#This Row],[Tarpaulin]])</f>
        <v>0</v>
      </c>
      <c r="AD398" s="378">
        <f>IF(NFI_Expiration=1,IF($A398&lt;VLOOKUP(M$5,NFI,5,0),1,0)*Table_NFI[[#This Row],[Blanket]],Table_NFI[[#This Row],[Blanket]])</f>
        <v>0</v>
      </c>
      <c r="AE398" s="378">
        <f>IF(NFI_Expiration=1,IF($A398&lt;VLOOKUP(N$5,NFI,5,0),1,0)*Table_NFI[[#This Row],[Kitchen Set]],Table_NFI[Kitchen Set])</f>
        <v>0</v>
      </c>
      <c r="AF398" s="378">
        <f>IF(NFI_Expiration=1,IF($A398&lt;VLOOKUP(O$5,NFI,5,0),1,0)*Table_NFI[[#This Row],[Clothes Kit]],Table_NFI[Clothes Kit])</f>
        <v>0</v>
      </c>
      <c r="AG398" s="378">
        <f>IF(NFI_Expiration=1,IF($A398&lt;VLOOKUP(P$5,NFI,5,0),1,0)*Table_NFI[[#This Row],[Plastic Bucket]],Table_NFI[Plastic Bucket])</f>
        <v>0</v>
      </c>
      <c r="AH398" s="378">
        <f>IF(NFI_Expiration=1,IF($A398&lt;VLOOKUP(Q$5,NFI,5,0),1,0)*Table_NFI[[#This Row],[Plastic Mat]],Table_NFI[Plastic Mat])*IF(Table_NFI[[#This Row],[Distribution Date]]&gt;"2014-04-01",1,2.5)</f>
        <v>0</v>
      </c>
      <c r="AI398" s="378">
        <f>IF(NFI_Expiration=1,IF($A398&lt;VLOOKUP(R$5,NFI,5,0),1,0)*Table_NFI[[#This Row],[Winter Clothes Adult]],Table_NFI[Winter Clothes Adult])</f>
        <v>0</v>
      </c>
      <c r="AJ398" s="378">
        <f>IF(NFI_Expiration=1,IF($A398&lt;VLOOKUP(S$5,NFI,5,0),1,0)*Table_NFI[[#This Row],[Winter Clothes Children]],Table_NFI[Winter Clothes Children])</f>
        <v>0</v>
      </c>
      <c r="AK398" s="378">
        <f>IF(NFI_Expiration=1,IF($A398&lt;VLOOKUP(T$5,NFI,5,0),1,0)*Table_NFI[[#This Row],[Winter Items Other]],Table_NFI[Winter Items Other])</f>
        <v>0</v>
      </c>
      <c r="AL398" s="378">
        <f>IF(NFI_Expiration=1,IF($A398&lt;VLOOKUP(M$5,NFI,5,0),1,0)*Table_NFI[[#This Row],[Winter Blanket]],Table_NFI[[#This Row],[Winter Blanket]])</f>
        <v>0</v>
      </c>
      <c r="AM398" s="378">
        <f>IF(Table_NFI[[#This Row],[Winter Clothes Adult]]+Table_NFI[[#This Row],[Winter Clothes Children]]+Table_NFI[[#This Row],[Winter Items Other]]+Table_NFI[[#This Row],[Winter Blanket]]&gt;0,1,0)</f>
        <v>0</v>
      </c>
      <c r="AN398" s="418">
        <f>IF(NFI_Expiration=1,IF($A398&lt;VLOOKUP(V$5,NFI,5,0),1,0)*Table_NFI[[#This Row],[Jerry Can]],Table_NFI[Jerry Can])</f>
        <v>0</v>
      </c>
      <c r="AO398" s="579" t="str">
        <f>IFERROR(VLOOKUP(Table_NFI[[#This Row],[Camp Name]],CL,2,0),"")</f>
        <v>MMR001CMP039</v>
      </c>
      <c r="AP398" s="574">
        <f ca="1">IF(Table_NFI[[#This Row],[Pcode]]="","",IF(OFFSET(CampList[Opening Date],MATCH(Table_NFI[[#This Row],[Pcode]],CampList[CP_Pcode],0)-1,0,1,1)&gt;=NFI_Monitor_Date,1,0))</f>
        <v>0</v>
      </c>
      <c r="AQ398" s="579" t="str">
        <f>IFERROR(VLOOKUP(Table_NFI[[#This Row],[Camp Name]],CL,3,0),"")</f>
        <v>Open</v>
      </c>
      <c r="AR398" s="378" t="str">
        <f ca="1">IF(Table_NFI[[#This Row],[Pcode]]="","",OFFSET(CampList[Priority],MATCH(Table_NFI[[#This Row],[Pcode]],CampList[CP_Pcode],0)-1,0,1,1))</f>
        <v>P4</v>
      </c>
      <c r="AS398" s="377">
        <f>IFERROR(Table_NFI[[#This Row],[Kitchen Set]]/VLOOKUP(Table_NFI[[#This Row],[Camp Name]],CL,4,0),"")</f>
        <v>0.36956521739130432</v>
      </c>
      <c r="AT398" s="572" t="s">
        <v>1095</v>
      </c>
      <c r="AU398" s="575"/>
    </row>
    <row r="399" spans="1:47" s="576" customFormat="1" x14ac:dyDescent="0.25">
      <c r="A399" s="381">
        <f t="shared" si="6"/>
        <v>53.633333333333333</v>
      </c>
      <c r="B399" s="571">
        <v>40913</v>
      </c>
      <c r="C399" s="572" t="s">
        <v>454</v>
      </c>
      <c r="D399" s="573" t="s">
        <v>462</v>
      </c>
      <c r="E399" s="572" t="s">
        <v>380</v>
      </c>
      <c r="F399" s="374" t="s">
        <v>310</v>
      </c>
      <c r="G399" s="374" t="s">
        <v>326</v>
      </c>
      <c r="H399" s="375"/>
      <c r="I399" s="375"/>
      <c r="J399" s="375"/>
      <c r="K399" s="375">
        <v>52</v>
      </c>
      <c r="L399" s="376">
        <v>29</v>
      </c>
      <c r="M399" s="376">
        <v>52</v>
      </c>
      <c r="N399" s="376">
        <v>29</v>
      </c>
      <c r="O399" s="376">
        <v>29</v>
      </c>
      <c r="P399" s="378">
        <v>29</v>
      </c>
      <c r="Q399" s="378">
        <v>29</v>
      </c>
      <c r="R399" s="378"/>
      <c r="S399" s="378"/>
      <c r="T399" s="378"/>
      <c r="U399" s="378"/>
      <c r="V399" s="533"/>
      <c r="W399" s="378"/>
      <c r="X399" s="378"/>
      <c r="Y399" s="378">
        <f>IF(NFI_Expiration=1,IF($A399&lt;VLOOKUP(H$5,NFI,5,0),1,0)*Table_NFI[[#This Row],[Hygiene Kit]],Table_NFI[Hygiene Kit])</f>
        <v>0</v>
      </c>
      <c r="Z399" s="378">
        <f>IF(NFI_Expiration=1,IF($A399&lt;VLOOKUP(I$5,NFI,5,0),1,0)*Table_NFI[[#This Row],[NFI Core Kit]],Table_NFI[NFI Core Kit])</f>
        <v>0</v>
      </c>
      <c r="AA399" s="378">
        <f>IF(NFI_Expiration=1,IF($A399&lt;VLOOKUP(J$5,NFI,5,0),1,0)*Table_NFI[[#This Row],[Sanitary Kit]],Table_NFI[Sanitary Kit])</f>
        <v>0</v>
      </c>
      <c r="AB399" s="378">
        <f>IF(NFI_Expiration=1,IF($A399&lt;VLOOKUP(K$5,NFI,5,0),1,0)*Table_NFI[[#This Row],[Mosquito net]],Table_NFI[Mosquito net])</f>
        <v>0</v>
      </c>
      <c r="AC399" s="378">
        <f>IF(NFI_Expiration=1,IF($A399&lt;VLOOKUP(L$5,NFI,5,0),1,0)*Table_NFI[[#This Row],[Tarpaulin]],Table_NFI[[#This Row],[Tarpaulin]])</f>
        <v>0</v>
      </c>
      <c r="AD399" s="378">
        <f>IF(NFI_Expiration=1,IF($A399&lt;VLOOKUP(M$5,NFI,5,0),1,0)*Table_NFI[[#This Row],[Blanket]],Table_NFI[[#This Row],[Blanket]])</f>
        <v>0</v>
      </c>
      <c r="AE399" s="378">
        <f>IF(NFI_Expiration=1,IF($A399&lt;VLOOKUP(N$5,NFI,5,0),1,0)*Table_NFI[[#This Row],[Kitchen Set]],Table_NFI[Kitchen Set])</f>
        <v>0</v>
      </c>
      <c r="AF399" s="378">
        <f>IF(NFI_Expiration=1,IF($A399&lt;VLOOKUP(O$5,NFI,5,0),1,0)*Table_NFI[[#This Row],[Clothes Kit]],Table_NFI[Clothes Kit])</f>
        <v>0</v>
      </c>
      <c r="AG399" s="378">
        <f>IF(NFI_Expiration=1,IF($A399&lt;VLOOKUP(P$5,NFI,5,0),1,0)*Table_NFI[[#This Row],[Plastic Bucket]],Table_NFI[Plastic Bucket])</f>
        <v>0</v>
      </c>
      <c r="AH399" s="378">
        <f>IF(NFI_Expiration=1,IF($A399&lt;VLOOKUP(Q$5,NFI,5,0),1,0)*Table_NFI[[#This Row],[Plastic Mat]],Table_NFI[Plastic Mat])*IF(Table_NFI[[#This Row],[Distribution Date]]&gt;"2014-04-01",1,2.5)</f>
        <v>0</v>
      </c>
      <c r="AI399" s="378">
        <f>IF(NFI_Expiration=1,IF($A399&lt;VLOOKUP(R$5,NFI,5,0),1,0)*Table_NFI[[#This Row],[Winter Clothes Adult]],Table_NFI[Winter Clothes Adult])</f>
        <v>0</v>
      </c>
      <c r="AJ399" s="378">
        <f>IF(NFI_Expiration=1,IF($A399&lt;VLOOKUP(S$5,NFI,5,0),1,0)*Table_NFI[[#This Row],[Winter Clothes Children]],Table_NFI[Winter Clothes Children])</f>
        <v>0</v>
      </c>
      <c r="AK399" s="378">
        <f>IF(NFI_Expiration=1,IF($A399&lt;VLOOKUP(T$5,NFI,5,0),1,0)*Table_NFI[[#This Row],[Winter Items Other]],Table_NFI[Winter Items Other])</f>
        <v>0</v>
      </c>
      <c r="AL399" s="378">
        <f>IF(NFI_Expiration=1,IF($A399&lt;VLOOKUP(M$5,NFI,5,0),1,0)*Table_NFI[[#This Row],[Winter Blanket]],Table_NFI[[#This Row],[Winter Blanket]])</f>
        <v>0</v>
      </c>
      <c r="AM399" s="378">
        <f>IF(Table_NFI[[#This Row],[Winter Clothes Adult]]+Table_NFI[[#This Row],[Winter Clothes Children]]+Table_NFI[[#This Row],[Winter Items Other]]+Table_NFI[[#This Row],[Winter Blanket]]&gt;0,1,0)</f>
        <v>0</v>
      </c>
      <c r="AN399" s="418">
        <f>IF(NFI_Expiration=1,IF($A399&lt;VLOOKUP(V$5,NFI,5,0),1,0)*Table_NFI[[#This Row],[Jerry Can]],Table_NFI[Jerry Can])</f>
        <v>0</v>
      </c>
      <c r="AO399" s="579" t="str">
        <f>IFERROR(VLOOKUP(Table_NFI[[#This Row],[Camp Name]],CL,2,0),"")</f>
        <v>MMR001CMP039</v>
      </c>
      <c r="AP399" s="574">
        <f ca="1">IF(Table_NFI[[#This Row],[Pcode]]="","",IF(OFFSET(CampList[Opening Date],MATCH(Table_NFI[[#This Row],[Pcode]],CampList[CP_Pcode],0)-1,0,1,1)&gt;=NFI_Monitor_Date,1,0))</f>
        <v>0</v>
      </c>
      <c r="AQ399" s="579" t="str">
        <f>IFERROR(VLOOKUP(Table_NFI[[#This Row],[Camp Name]],CL,3,0),"")</f>
        <v>Open</v>
      </c>
      <c r="AR399" s="378" t="str">
        <f ca="1">IF(Table_NFI[[#This Row],[Pcode]]="","",OFFSET(CampList[Priority],MATCH(Table_NFI[[#This Row],[Pcode]],CampList[CP_Pcode],0)-1,0,1,1))</f>
        <v>P4</v>
      </c>
      <c r="AS399" s="377">
        <f>IFERROR(Table_NFI[[#This Row],[Kitchen Set]]/VLOOKUP(Table_NFI[[#This Row],[Camp Name]],CL,4,0),"")</f>
        <v>0.63043478260869568</v>
      </c>
      <c r="AT399" s="572" t="s">
        <v>1095</v>
      </c>
      <c r="AU399" s="575"/>
    </row>
    <row r="400" spans="1:47" s="576" customFormat="1" x14ac:dyDescent="0.25">
      <c r="A400" s="381">
        <f t="shared" si="6"/>
        <v>23.1</v>
      </c>
      <c r="B400" s="571">
        <v>41829</v>
      </c>
      <c r="C400" s="572" t="s">
        <v>454</v>
      </c>
      <c r="D400" s="572"/>
      <c r="E400" s="572" t="s">
        <v>380</v>
      </c>
      <c r="F400" s="572" t="s">
        <v>151</v>
      </c>
      <c r="G400" s="572" t="s">
        <v>887</v>
      </c>
      <c r="H400" s="375"/>
      <c r="I400" s="375"/>
      <c r="J400" s="375"/>
      <c r="K400" s="375"/>
      <c r="L400" s="376"/>
      <c r="M400" s="376">
        <v>10</v>
      </c>
      <c r="N400" s="376"/>
      <c r="O400" s="376"/>
      <c r="P400" s="378"/>
      <c r="Q400" s="378"/>
      <c r="R400" s="378"/>
      <c r="S400" s="378"/>
      <c r="T400" s="378"/>
      <c r="U400" s="378"/>
      <c r="V400" s="533"/>
      <c r="W400" s="378"/>
      <c r="X400" s="378"/>
      <c r="Y400" s="378">
        <f>IF(NFI_Expiration=1,IF($A400&lt;VLOOKUP(H$5,NFI,5,0),1,0)*Table_NFI[[#This Row],[Hygiene Kit]],Table_NFI[Hygiene Kit])</f>
        <v>0</v>
      </c>
      <c r="Z400" s="378">
        <f>IF(NFI_Expiration=1,IF($A400&lt;VLOOKUP(I$5,NFI,5,0),1,0)*Table_NFI[[#This Row],[NFI Core Kit]],Table_NFI[NFI Core Kit])</f>
        <v>0</v>
      </c>
      <c r="AA400" s="378">
        <f>IF(NFI_Expiration=1,IF($A400&lt;VLOOKUP(J$5,NFI,5,0),1,0)*Table_NFI[[#This Row],[Sanitary Kit]],Table_NFI[Sanitary Kit])</f>
        <v>0</v>
      </c>
      <c r="AB400" s="378">
        <f>IF(NFI_Expiration=1,IF($A400&lt;VLOOKUP(K$5,NFI,5,0),1,0)*Table_NFI[[#This Row],[Mosquito net]],Table_NFI[Mosquito net])</f>
        <v>0</v>
      </c>
      <c r="AC400" s="378">
        <f>IF(NFI_Expiration=1,IF($A400&lt;VLOOKUP(L$5,NFI,5,0),1,0)*Table_NFI[[#This Row],[Tarpaulin]],Table_NFI[[#This Row],[Tarpaulin]])</f>
        <v>0</v>
      </c>
      <c r="AD400" s="378">
        <f>IF(NFI_Expiration=1,IF($A400&lt;VLOOKUP(M$5,NFI,5,0),1,0)*Table_NFI[[#This Row],[Blanket]],Table_NFI[[#This Row],[Blanket]])</f>
        <v>0</v>
      </c>
      <c r="AE400" s="378">
        <f>IF(NFI_Expiration=1,IF($A400&lt;VLOOKUP(N$5,NFI,5,0),1,0)*Table_NFI[[#This Row],[Kitchen Set]],Table_NFI[Kitchen Set])</f>
        <v>0</v>
      </c>
      <c r="AF400" s="378">
        <f>IF(NFI_Expiration=1,IF($A400&lt;VLOOKUP(O$5,NFI,5,0),1,0)*Table_NFI[[#This Row],[Clothes Kit]],Table_NFI[Clothes Kit])</f>
        <v>0</v>
      </c>
      <c r="AG400" s="378">
        <f>IF(NFI_Expiration=1,IF($A400&lt;VLOOKUP(P$5,NFI,5,0),1,0)*Table_NFI[[#This Row],[Plastic Bucket]],Table_NFI[Plastic Bucket])</f>
        <v>0</v>
      </c>
      <c r="AH400" s="378">
        <f>IF(NFI_Expiration=1,IF($A400&lt;VLOOKUP(Q$5,NFI,5,0),1,0)*Table_NFI[[#This Row],[Plastic Mat]],Table_NFI[Plastic Mat])*IF(Table_NFI[[#This Row],[Distribution Date]]&gt;"2014-04-01",1,2.5)</f>
        <v>0</v>
      </c>
      <c r="AI400" s="378">
        <f>IF(NFI_Expiration=1,IF($A400&lt;VLOOKUP(R$5,NFI,5,0),1,0)*Table_NFI[[#This Row],[Winter Clothes Adult]],Table_NFI[Winter Clothes Adult])</f>
        <v>0</v>
      </c>
      <c r="AJ400" s="378">
        <f>IF(NFI_Expiration=1,IF($A400&lt;VLOOKUP(S$5,NFI,5,0),1,0)*Table_NFI[[#This Row],[Winter Clothes Children]],Table_NFI[Winter Clothes Children])</f>
        <v>0</v>
      </c>
      <c r="AK400" s="378">
        <f>IF(NFI_Expiration=1,IF($A400&lt;VLOOKUP(T$5,NFI,5,0),1,0)*Table_NFI[[#This Row],[Winter Items Other]],Table_NFI[Winter Items Other])</f>
        <v>0</v>
      </c>
      <c r="AL400" s="378">
        <f>IF(NFI_Expiration=1,IF($A400&lt;VLOOKUP(M$5,NFI,5,0),1,0)*Table_NFI[[#This Row],[Winter Blanket]],Table_NFI[[#This Row],[Winter Blanket]])</f>
        <v>0</v>
      </c>
      <c r="AM400" s="378">
        <f>IF(Table_NFI[[#This Row],[Winter Clothes Adult]]+Table_NFI[[#This Row],[Winter Clothes Children]]+Table_NFI[[#This Row],[Winter Items Other]]+Table_NFI[[#This Row],[Winter Blanket]]&gt;0,1,0)</f>
        <v>0</v>
      </c>
      <c r="AN400" s="418">
        <f>IF(NFI_Expiration=1,IF($A400&lt;VLOOKUP(V$5,NFI,5,0),1,0)*Table_NFI[[#This Row],[Jerry Can]],Table_NFI[Jerry Can])</f>
        <v>0</v>
      </c>
      <c r="AO400" s="579" t="str">
        <f>IFERROR(VLOOKUP(Table_NFI[[#This Row],[Camp Name]],CL,2,0),"")</f>
        <v>MMR001CMP218</v>
      </c>
      <c r="AP400" s="574">
        <f ca="1">IF(Table_NFI[[#This Row],[Pcode]]="","",IF(OFFSET(CampList[Opening Date],MATCH(Table_NFI[[#This Row],[Pcode]],CampList[CP_Pcode],0)-1,0,1,1)&gt;=NFI_Monitor_Date,1,0))</f>
        <v>0</v>
      </c>
      <c r="AQ400" s="579" t="str">
        <f>IFERROR(VLOOKUP(Table_NFI[[#This Row],[Camp Name]],CL,3,0),"")</f>
        <v>Open</v>
      </c>
      <c r="AR400" s="378" t="str">
        <f ca="1">IF(Table_NFI[[#This Row],[Pcode]]="","",OFFSET(CampList[Priority],MATCH(Table_NFI[[#This Row],[Pcode]],CampList[CP_Pcode],0)-1,0,1,1))</f>
        <v>P4</v>
      </c>
      <c r="AS400" s="377">
        <f>IFERROR(Table_NFI[[#This Row],[Kitchen Set]]/VLOOKUP(Table_NFI[[#This Row],[Camp Name]],CL,4,0),"")</f>
        <v>0</v>
      </c>
      <c r="AT400" s="572"/>
      <c r="AU400" s="575"/>
    </row>
    <row r="401" spans="1:47" s="576" customFormat="1" x14ac:dyDescent="0.25">
      <c r="A401" s="381">
        <f t="shared" si="6"/>
        <v>23.3</v>
      </c>
      <c r="B401" s="571">
        <v>41823</v>
      </c>
      <c r="C401" s="572" t="s">
        <v>454</v>
      </c>
      <c r="D401" s="572"/>
      <c r="E401" s="572" t="s">
        <v>380</v>
      </c>
      <c r="F401" s="572" t="s">
        <v>151</v>
      </c>
      <c r="G401" s="572" t="s">
        <v>887</v>
      </c>
      <c r="H401" s="375"/>
      <c r="I401" s="375"/>
      <c r="J401" s="375"/>
      <c r="K401" s="375"/>
      <c r="L401" s="376"/>
      <c r="M401" s="376">
        <v>9</v>
      </c>
      <c r="N401" s="376"/>
      <c r="O401" s="376"/>
      <c r="P401" s="378">
        <v>19</v>
      </c>
      <c r="Q401" s="378">
        <v>1</v>
      </c>
      <c r="R401" s="378"/>
      <c r="S401" s="378"/>
      <c r="T401" s="378"/>
      <c r="U401" s="378"/>
      <c r="V401" s="533"/>
      <c r="W401" s="378"/>
      <c r="X401" s="378"/>
      <c r="Y401" s="378">
        <f>IF(NFI_Expiration=1,IF($A401&lt;VLOOKUP(H$5,NFI,5,0),1,0)*Table_NFI[[#This Row],[Hygiene Kit]],Table_NFI[Hygiene Kit])</f>
        <v>0</v>
      </c>
      <c r="Z401" s="378">
        <f>IF(NFI_Expiration=1,IF($A401&lt;VLOOKUP(I$5,NFI,5,0),1,0)*Table_NFI[[#This Row],[NFI Core Kit]],Table_NFI[NFI Core Kit])</f>
        <v>0</v>
      </c>
      <c r="AA401" s="378">
        <f>IF(NFI_Expiration=1,IF($A401&lt;VLOOKUP(J$5,NFI,5,0),1,0)*Table_NFI[[#This Row],[Sanitary Kit]],Table_NFI[Sanitary Kit])</f>
        <v>0</v>
      </c>
      <c r="AB401" s="378">
        <f>IF(NFI_Expiration=1,IF($A401&lt;VLOOKUP(K$5,NFI,5,0),1,0)*Table_NFI[[#This Row],[Mosquito net]],Table_NFI[Mosquito net])</f>
        <v>0</v>
      </c>
      <c r="AC401" s="378">
        <f>IF(NFI_Expiration=1,IF($A401&lt;VLOOKUP(L$5,NFI,5,0),1,0)*Table_NFI[[#This Row],[Tarpaulin]],Table_NFI[[#This Row],[Tarpaulin]])</f>
        <v>0</v>
      </c>
      <c r="AD401" s="378">
        <f>IF(NFI_Expiration=1,IF($A401&lt;VLOOKUP(M$5,NFI,5,0),1,0)*Table_NFI[[#This Row],[Blanket]],Table_NFI[[#This Row],[Blanket]])</f>
        <v>0</v>
      </c>
      <c r="AE401" s="378">
        <f>IF(NFI_Expiration=1,IF($A401&lt;VLOOKUP(N$5,NFI,5,0),1,0)*Table_NFI[[#This Row],[Kitchen Set]],Table_NFI[Kitchen Set])</f>
        <v>0</v>
      </c>
      <c r="AF401" s="378">
        <f>IF(NFI_Expiration=1,IF($A401&lt;VLOOKUP(O$5,NFI,5,0),1,0)*Table_NFI[[#This Row],[Clothes Kit]],Table_NFI[Clothes Kit])</f>
        <v>0</v>
      </c>
      <c r="AG401" s="378">
        <f>IF(NFI_Expiration=1,IF($A401&lt;VLOOKUP(P$5,NFI,5,0),1,0)*Table_NFI[[#This Row],[Plastic Bucket]],Table_NFI[Plastic Bucket])</f>
        <v>0</v>
      </c>
      <c r="AH401" s="378">
        <f>IF(NFI_Expiration=1,IF($A401&lt;VLOOKUP(Q$5,NFI,5,0),1,0)*Table_NFI[[#This Row],[Plastic Mat]],Table_NFI[Plastic Mat])*IF(Table_NFI[[#This Row],[Distribution Date]]&gt;"2014-04-01",1,2.5)</f>
        <v>0</v>
      </c>
      <c r="AI401" s="378">
        <f>IF(NFI_Expiration=1,IF($A401&lt;VLOOKUP(R$5,NFI,5,0),1,0)*Table_NFI[[#This Row],[Winter Clothes Adult]],Table_NFI[Winter Clothes Adult])</f>
        <v>0</v>
      </c>
      <c r="AJ401" s="378">
        <f>IF(NFI_Expiration=1,IF($A401&lt;VLOOKUP(S$5,NFI,5,0),1,0)*Table_NFI[[#This Row],[Winter Clothes Children]],Table_NFI[Winter Clothes Children])</f>
        <v>0</v>
      </c>
      <c r="AK401" s="378">
        <f>IF(NFI_Expiration=1,IF($A401&lt;VLOOKUP(T$5,NFI,5,0),1,0)*Table_NFI[[#This Row],[Winter Items Other]],Table_NFI[Winter Items Other])</f>
        <v>0</v>
      </c>
      <c r="AL401" s="378">
        <f>IF(NFI_Expiration=1,IF($A401&lt;VLOOKUP(M$5,NFI,5,0),1,0)*Table_NFI[[#This Row],[Winter Blanket]],Table_NFI[[#This Row],[Winter Blanket]])</f>
        <v>0</v>
      </c>
      <c r="AM401" s="378">
        <f>IF(Table_NFI[[#This Row],[Winter Clothes Adult]]+Table_NFI[[#This Row],[Winter Clothes Children]]+Table_NFI[[#This Row],[Winter Items Other]]+Table_NFI[[#This Row],[Winter Blanket]]&gt;0,1,0)</f>
        <v>0</v>
      </c>
      <c r="AN401" s="418">
        <f>IF(NFI_Expiration=1,IF($A401&lt;VLOOKUP(V$5,NFI,5,0),1,0)*Table_NFI[[#This Row],[Jerry Can]],Table_NFI[Jerry Can])</f>
        <v>0</v>
      </c>
      <c r="AO401" s="579" t="str">
        <f>IFERROR(VLOOKUP(Table_NFI[[#This Row],[Camp Name]],CL,2,0),"")</f>
        <v>MMR001CMP218</v>
      </c>
      <c r="AP401" s="574">
        <f ca="1">IF(Table_NFI[[#This Row],[Pcode]]="","",IF(OFFSET(CampList[Opening Date],MATCH(Table_NFI[[#This Row],[Pcode]],CampList[CP_Pcode],0)-1,0,1,1)&gt;=NFI_Monitor_Date,1,0))</f>
        <v>0</v>
      </c>
      <c r="AQ401" s="579" t="str">
        <f>IFERROR(VLOOKUP(Table_NFI[[#This Row],[Camp Name]],CL,3,0),"")</f>
        <v>Open</v>
      </c>
      <c r="AR401" s="378" t="str">
        <f ca="1">IF(Table_NFI[[#This Row],[Pcode]]="","",OFFSET(CampList[Priority],MATCH(Table_NFI[[#This Row],[Pcode]],CampList[CP_Pcode],0)-1,0,1,1))</f>
        <v>P4</v>
      </c>
      <c r="AS401" s="377">
        <f>IFERROR(Table_NFI[[#This Row],[Kitchen Set]]/VLOOKUP(Table_NFI[[#This Row],[Camp Name]],CL,4,0),"")</f>
        <v>0</v>
      </c>
      <c r="AT401" s="572"/>
      <c r="AU401" s="575"/>
    </row>
    <row r="402" spans="1:47" s="576" customFormat="1" x14ac:dyDescent="0.25">
      <c r="A402" s="381">
        <f t="shared" si="6"/>
        <v>23.366666666666667</v>
      </c>
      <c r="B402" s="571">
        <v>41821</v>
      </c>
      <c r="C402" s="572" t="s">
        <v>454</v>
      </c>
      <c r="D402" s="572"/>
      <c r="E402" s="572" t="s">
        <v>380</v>
      </c>
      <c r="F402" s="572" t="s">
        <v>151</v>
      </c>
      <c r="G402" s="572" t="s">
        <v>887</v>
      </c>
      <c r="H402" s="375"/>
      <c r="I402" s="375"/>
      <c r="J402" s="375"/>
      <c r="K402" s="375"/>
      <c r="L402" s="376">
        <v>19</v>
      </c>
      <c r="M402" s="376"/>
      <c r="N402" s="376">
        <v>19</v>
      </c>
      <c r="O402" s="376"/>
      <c r="P402" s="378"/>
      <c r="Q402" s="378">
        <v>100</v>
      </c>
      <c r="R402" s="378"/>
      <c r="S402" s="378"/>
      <c r="T402" s="378"/>
      <c r="U402" s="378"/>
      <c r="V402" s="533"/>
      <c r="W402" s="378"/>
      <c r="X402" s="378"/>
      <c r="Y402" s="378">
        <f>IF(NFI_Expiration=1,IF($A402&lt;VLOOKUP(H$5,NFI,5,0),1,0)*Table_NFI[[#This Row],[Hygiene Kit]],Table_NFI[Hygiene Kit])</f>
        <v>0</v>
      </c>
      <c r="Z402" s="378">
        <f>IF(NFI_Expiration=1,IF($A402&lt;VLOOKUP(I$5,NFI,5,0),1,0)*Table_NFI[[#This Row],[NFI Core Kit]],Table_NFI[NFI Core Kit])</f>
        <v>0</v>
      </c>
      <c r="AA402" s="378">
        <f>IF(NFI_Expiration=1,IF($A402&lt;VLOOKUP(J$5,NFI,5,0),1,0)*Table_NFI[[#This Row],[Sanitary Kit]],Table_NFI[Sanitary Kit])</f>
        <v>0</v>
      </c>
      <c r="AB402" s="378">
        <f>IF(NFI_Expiration=1,IF($A402&lt;VLOOKUP(K$5,NFI,5,0),1,0)*Table_NFI[[#This Row],[Mosquito net]],Table_NFI[Mosquito net])</f>
        <v>0</v>
      </c>
      <c r="AC402" s="378">
        <f>IF(NFI_Expiration=1,IF($A402&lt;VLOOKUP(L$5,NFI,5,0),1,0)*Table_NFI[[#This Row],[Tarpaulin]],Table_NFI[[#This Row],[Tarpaulin]])</f>
        <v>0</v>
      </c>
      <c r="AD402" s="378">
        <f>IF(NFI_Expiration=1,IF($A402&lt;VLOOKUP(M$5,NFI,5,0),1,0)*Table_NFI[[#This Row],[Blanket]],Table_NFI[[#This Row],[Blanket]])</f>
        <v>0</v>
      </c>
      <c r="AE402" s="378">
        <f>IF(NFI_Expiration=1,IF($A402&lt;VLOOKUP(N$5,NFI,5,0),1,0)*Table_NFI[[#This Row],[Kitchen Set]],Table_NFI[Kitchen Set])</f>
        <v>0</v>
      </c>
      <c r="AF402" s="378">
        <f>IF(NFI_Expiration=1,IF($A402&lt;VLOOKUP(O$5,NFI,5,0),1,0)*Table_NFI[[#This Row],[Clothes Kit]],Table_NFI[Clothes Kit])</f>
        <v>0</v>
      </c>
      <c r="AG402" s="378">
        <f>IF(NFI_Expiration=1,IF($A402&lt;VLOOKUP(P$5,NFI,5,0),1,0)*Table_NFI[[#This Row],[Plastic Bucket]],Table_NFI[Plastic Bucket])</f>
        <v>0</v>
      </c>
      <c r="AH402" s="378">
        <f>IF(NFI_Expiration=1,IF($A402&lt;VLOOKUP(Q$5,NFI,5,0),1,0)*Table_NFI[[#This Row],[Plastic Mat]],Table_NFI[Plastic Mat])*IF(Table_NFI[[#This Row],[Distribution Date]]&gt;"2014-04-01",1,2.5)</f>
        <v>0</v>
      </c>
      <c r="AI402" s="378">
        <f>IF(NFI_Expiration=1,IF($A402&lt;VLOOKUP(R$5,NFI,5,0),1,0)*Table_NFI[[#This Row],[Winter Clothes Adult]],Table_NFI[Winter Clothes Adult])</f>
        <v>0</v>
      </c>
      <c r="AJ402" s="378">
        <f>IF(NFI_Expiration=1,IF($A402&lt;VLOOKUP(S$5,NFI,5,0),1,0)*Table_NFI[[#This Row],[Winter Clothes Children]],Table_NFI[Winter Clothes Children])</f>
        <v>0</v>
      </c>
      <c r="AK402" s="378">
        <f>IF(NFI_Expiration=1,IF($A402&lt;VLOOKUP(T$5,NFI,5,0),1,0)*Table_NFI[[#This Row],[Winter Items Other]],Table_NFI[Winter Items Other])</f>
        <v>0</v>
      </c>
      <c r="AL402" s="378">
        <f>IF(NFI_Expiration=1,IF($A402&lt;VLOOKUP(M$5,NFI,5,0),1,0)*Table_NFI[[#This Row],[Winter Blanket]],Table_NFI[[#This Row],[Winter Blanket]])</f>
        <v>0</v>
      </c>
      <c r="AM402" s="378">
        <f>IF(Table_NFI[[#This Row],[Winter Clothes Adult]]+Table_NFI[[#This Row],[Winter Clothes Children]]+Table_NFI[[#This Row],[Winter Items Other]]+Table_NFI[[#This Row],[Winter Blanket]]&gt;0,1,0)</f>
        <v>0</v>
      </c>
      <c r="AN402" s="418">
        <f>IF(NFI_Expiration=1,IF($A402&lt;VLOOKUP(V$5,NFI,5,0),1,0)*Table_NFI[[#This Row],[Jerry Can]],Table_NFI[Jerry Can])</f>
        <v>0</v>
      </c>
      <c r="AO402" s="579" t="str">
        <f>IFERROR(VLOOKUP(Table_NFI[[#This Row],[Camp Name]],CL,2,0),"")</f>
        <v>MMR001CMP218</v>
      </c>
      <c r="AP402" s="574">
        <f ca="1">IF(Table_NFI[[#This Row],[Pcode]]="","",IF(OFFSET(CampList[Opening Date],MATCH(Table_NFI[[#This Row],[Pcode]],CampList[CP_Pcode],0)-1,0,1,1)&gt;=NFI_Monitor_Date,1,0))</f>
        <v>0</v>
      </c>
      <c r="AQ402" s="579" t="str">
        <f>IFERROR(VLOOKUP(Table_NFI[[#This Row],[Camp Name]],CL,3,0),"")</f>
        <v>Open</v>
      </c>
      <c r="AR402" s="378" t="str">
        <f ca="1">IF(Table_NFI[[#This Row],[Pcode]]="","",OFFSET(CampList[Priority],MATCH(Table_NFI[[#This Row],[Pcode]],CampList[CP_Pcode],0)-1,0,1,1))</f>
        <v>P4</v>
      </c>
      <c r="AS402" s="377">
        <f>IFERROR(Table_NFI[[#This Row],[Kitchen Set]]/VLOOKUP(Table_NFI[[#This Row],[Camp Name]],CL,4,0),"")</f>
        <v>5.2054794520547946E-2</v>
      </c>
      <c r="AT402" s="572"/>
      <c r="AU402" s="575"/>
    </row>
    <row r="403" spans="1:47" s="576" customFormat="1" x14ac:dyDescent="0.25">
      <c r="A403" s="381">
        <f t="shared" si="6"/>
        <v>23.833333333333332</v>
      </c>
      <c r="B403" s="571">
        <v>41807</v>
      </c>
      <c r="C403" s="572" t="s">
        <v>454</v>
      </c>
      <c r="D403" s="572"/>
      <c r="E403" s="572" t="s">
        <v>380</v>
      </c>
      <c r="F403" s="572" t="s">
        <v>151</v>
      </c>
      <c r="G403" s="572" t="s">
        <v>887</v>
      </c>
      <c r="H403" s="375"/>
      <c r="I403" s="375"/>
      <c r="J403" s="375"/>
      <c r="K403" s="375">
        <v>10</v>
      </c>
      <c r="L403" s="376">
        <v>3</v>
      </c>
      <c r="M403" s="376">
        <v>10</v>
      </c>
      <c r="N403" s="376">
        <v>3</v>
      </c>
      <c r="O403" s="376"/>
      <c r="P403" s="378">
        <v>3</v>
      </c>
      <c r="Q403" s="378">
        <v>10</v>
      </c>
      <c r="R403" s="378"/>
      <c r="S403" s="378"/>
      <c r="T403" s="378"/>
      <c r="U403" s="378"/>
      <c r="V403" s="533"/>
      <c r="W403" s="378"/>
      <c r="X403" s="378"/>
      <c r="Y403" s="378">
        <f>IF(NFI_Expiration=1,IF($A403&lt;VLOOKUP(H$5,NFI,5,0),1,0)*Table_NFI[[#This Row],[Hygiene Kit]],Table_NFI[Hygiene Kit])</f>
        <v>0</v>
      </c>
      <c r="Z403" s="378">
        <f>IF(NFI_Expiration=1,IF($A403&lt;VLOOKUP(I$5,NFI,5,0),1,0)*Table_NFI[[#This Row],[NFI Core Kit]],Table_NFI[NFI Core Kit])</f>
        <v>0</v>
      </c>
      <c r="AA403" s="378">
        <f>IF(NFI_Expiration=1,IF($A403&lt;VLOOKUP(J$5,NFI,5,0),1,0)*Table_NFI[[#This Row],[Sanitary Kit]],Table_NFI[Sanitary Kit])</f>
        <v>0</v>
      </c>
      <c r="AB403" s="378">
        <f>IF(NFI_Expiration=1,IF($A403&lt;VLOOKUP(K$5,NFI,5,0),1,0)*Table_NFI[[#This Row],[Mosquito net]],Table_NFI[Mosquito net])</f>
        <v>0</v>
      </c>
      <c r="AC403" s="378">
        <f>IF(NFI_Expiration=1,IF($A403&lt;VLOOKUP(L$5,NFI,5,0),1,0)*Table_NFI[[#This Row],[Tarpaulin]],Table_NFI[[#This Row],[Tarpaulin]])</f>
        <v>0</v>
      </c>
      <c r="AD403" s="378">
        <f>IF(NFI_Expiration=1,IF($A403&lt;VLOOKUP(M$5,NFI,5,0),1,0)*Table_NFI[[#This Row],[Blanket]],Table_NFI[[#This Row],[Blanket]])</f>
        <v>0</v>
      </c>
      <c r="AE403" s="378">
        <f>IF(NFI_Expiration=1,IF($A403&lt;VLOOKUP(N$5,NFI,5,0),1,0)*Table_NFI[[#This Row],[Kitchen Set]],Table_NFI[Kitchen Set])</f>
        <v>0</v>
      </c>
      <c r="AF403" s="378">
        <f>IF(NFI_Expiration=1,IF($A403&lt;VLOOKUP(O$5,NFI,5,0),1,0)*Table_NFI[[#This Row],[Clothes Kit]],Table_NFI[Clothes Kit])</f>
        <v>0</v>
      </c>
      <c r="AG403" s="378">
        <f>IF(NFI_Expiration=1,IF($A403&lt;VLOOKUP(P$5,NFI,5,0),1,0)*Table_NFI[[#This Row],[Plastic Bucket]],Table_NFI[Plastic Bucket])</f>
        <v>0</v>
      </c>
      <c r="AH403" s="378">
        <f>IF(NFI_Expiration=1,IF($A403&lt;VLOOKUP(Q$5,NFI,5,0),1,0)*Table_NFI[[#This Row],[Plastic Mat]],Table_NFI[Plastic Mat])*IF(Table_NFI[[#This Row],[Distribution Date]]&gt;"2014-04-01",1,2.5)</f>
        <v>0</v>
      </c>
      <c r="AI403" s="378">
        <f>IF(NFI_Expiration=1,IF($A403&lt;VLOOKUP(R$5,NFI,5,0),1,0)*Table_NFI[[#This Row],[Winter Clothes Adult]],Table_NFI[Winter Clothes Adult])</f>
        <v>0</v>
      </c>
      <c r="AJ403" s="378">
        <f>IF(NFI_Expiration=1,IF($A403&lt;VLOOKUP(S$5,NFI,5,0),1,0)*Table_NFI[[#This Row],[Winter Clothes Children]],Table_NFI[Winter Clothes Children])</f>
        <v>0</v>
      </c>
      <c r="AK403" s="378">
        <f>IF(NFI_Expiration=1,IF($A403&lt;VLOOKUP(T$5,NFI,5,0),1,0)*Table_NFI[[#This Row],[Winter Items Other]],Table_NFI[Winter Items Other])</f>
        <v>0</v>
      </c>
      <c r="AL403" s="378">
        <f>IF(NFI_Expiration=1,IF($A403&lt;VLOOKUP(M$5,NFI,5,0),1,0)*Table_NFI[[#This Row],[Winter Blanket]],Table_NFI[[#This Row],[Winter Blanket]])</f>
        <v>0</v>
      </c>
      <c r="AM403" s="378">
        <f>IF(Table_NFI[[#This Row],[Winter Clothes Adult]]+Table_NFI[[#This Row],[Winter Clothes Children]]+Table_NFI[[#This Row],[Winter Items Other]]+Table_NFI[[#This Row],[Winter Blanket]]&gt;0,1,0)</f>
        <v>0</v>
      </c>
      <c r="AN403" s="418">
        <f>IF(NFI_Expiration=1,IF($A403&lt;VLOOKUP(V$5,NFI,5,0),1,0)*Table_NFI[[#This Row],[Jerry Can]],Table_NFI[Jerry Can])</f>
        <v>0</v>
      </c>
      <c r="AO403" s="579" t="str">
        <f>IFERROR(VLOOKUP(Table_NFI[[#This Row],[Camp Name]],CL,2,0),"")</f>
        <v>MMR001CMP218</v>
      </c>
      <c r="AP403" s="574">
        <f ca="1">IF(Table_NFI[[#This Row],[Pcode]]="","",IF(OFFSET(CampList[Opening Date],MATCH(Table_NFI[[#This Row],[Pcode]],CampList[CP_Pcode],0)-1,0,1,1)&gt;=NFI_Monitor_Date,1,0))</f>
        <v>0</v>
      </c>
      <c r="AQ403" s="579" t="str">
        <f>IFERROR(VLOOKUP(Table_NFI[[#This Row],[Camp Name]],CL,3,0),"")</f>
        <v>Open</v>
      </c>
      <c r="AR403" s="378" t="str">
        <f ca="1">IF(Table_NFI[[#This Row],[Pcode]]="","",OFFSET(CampList[Priority],MATCH(Table_NFI[[#This Row],[Pcode]],CampList[CP_Pcode],0)-1,0,1,1))</f>
        <v>P4</v>
      </c>
      <c r="AS403" s="377">
        <f>IFERROR(Table_NFI[[#This Row],[Kitchen Set]]/VLOOKUP(Table_NFI[[#This Row],[Camp Name]],CL,4,0),"")</f>
        <v>8.21917808219178E-3</v>
      </c>
      <c r="AT403" s="572"/>
      <c r="AU403" s="575"/>
    </row>
    <row r="404" spans="1:47" s="576" customFormat="1" x14ac:dyDescent="0.25">
      <c r="A404" s="381">
        <f t="shared" si="6"/>
        <v>23.966666666666665</v>
      </c>
      <c r="B404" s="571">
        <v>41803</v>
      </c>
      <c r="C404" s="572" t="s">
        <v>454</v>
      </c>
      <c r="D404" s="572"/>
      <c r="E404" s="572" t="s">
        <v>380</v>
      </c>
      <c r="F404" s="572" t="s">
        <v>151</v>
      </c>
      <c r="G404" s="572" t="s">
        <v>887</v>
      </c>
      <c r="H404" s="375"/>
      <c r="I404" s="375"/>
      <c r="J404" s="375"/>
      <c r="K404" s="375">
        <v>54</v>
      </c>
      <c r="L404" s="376">
        <v>18</v>
      </c>
      <c r="M404" s="376">
        <v>45</v>
      </c>
      <c r="N404" s="376">
        <v>18</v>
      </c>
      <c r="O404" s="376"/>
      <c r="P404" s="378">
        <v>18</v>
      </c>
      <c r="Q404" s="378">
        <v>50</v>
      </c>
      <c r="R404" s="378"/>
      <c r="S404" s="378"/>
      <c r="T404" s="378"/>
      <c r="U404" s="378"/>
      <c r="V404" s="533"/>
      <c r="W404" s="378"/>
      <c r="X404" s="378"/>
      <c r="Y404" s="378">
        <f>IF(NFI_Expiration=1,IF($A404&lt;VLOOKUP(H$5,NFI,5,0),1,0)*Table_NFI[[#This Row],[Hygiene Kit]],Table_NFI[Hygiene Kit])</f>
        <v>0</v>
      </c>
      <c r="Z404" s="378">
        <f>IF(NFI_Expiration=1,IF($A404&lt;VLOOKUP(I$5,NFI,5,0),1,0)*Table_NFI[[#This Row],[NFI Core Kit]],Table_NFI[NFI Core Kit])</f>
        <v>0</v>
      </c>
      <c r="AA404" s="378">
        <f>IF(NFI_Expiration=1,IF($A404&lt;VLOOKUP(J$5,NFI,5,0),1,0)*Table_NFI[[#This Row],[Sanitary Kit]],Table_NFI[Sanitary Kit])</f>
        <v>0</v>
      </c>
      <c r="AB404" s="378">
        <f>IF(NFI_Expiration=1,IF($A404&lt;VLOOKUP(K$5,NFI,5,0),1,0)*Table_NFI[[#This Row],[Mosquito net]],Table_NFI[Mosquito net])</f>
        <v>0</v>
      </c>
      <c r="AC404" s="378">
        <f>IF(NFI_Expiration=1,IF($A404&lt;VLOOKUP(L$5,NFI,5,0),1,0)*Table_NFI[[#This Row],[Tarpaulin]],Table_NFI[[#This Row],[Tarpaulin]])</f>
        <v>0</v>
      </c>
      <c r="AD404" s="378">
        <f>IF(NFI_Expiration=1,IF($A404&lt;VLOOKUP(M$5,NFI,5,0),1,0)*Table_NFI[[#This Row],[Blanket]],Table_NFI[[#This Row],[Blanket]])</f>
        <v>0</v>
      </c>
      <c r="AE404" s="378">
        <f>IF(NFI_Expiration=1,IF($A404&lt;VLOOKUP(N$5,NFI,5,0),1,0)*Table_NFI[[#This Row],[Kitchen Set]],Table_NFI[Kitchen Set])</f>
        <v>0</v>
      </c>
      <c r="AF404" s="378">
        <f>IF(NFI_Expiration=1,IF($A404&lt;VLOOKUP(O$5,NFI,5,0),1,0)*Table_NFI[[#This Row],[Clothes Kit]],Table_NFI[Clothes Kit])</f>
        <v>0</v>
      </c>
      <c r="AG404" s="378">
        <f>IF(NFI_Expiration=1,IF($A404&lt;VLOOKUP(P$5,NFI,5,0),1,0)*Table_NFI[[#This Row],[Plastic Bucket]],Table_NFI[Plastic Bucket])</f>
        <v>0</v>
      </c>
      <c r="AH404" s="378">
        <f>IF(NFI_Expiration=1,IF($A404&lt;VLOOKUP(Q$5,NFI,5,0),1,0)*Table_NFI[[#This Row],[Plastic Mat]],Table_NFI[Plastic Mat])*IF(Table_NFI[[#This Row],[Distribution Date]]&gt;"2014-04-01",1,2.5)</f>
        <v>0</v>
      </c>
      <c r="AI404" s="378">
        <f>IF(NFI_Expiration=1,IF($A404&lt;VLOOKUP(R$5,NFI,5,0),1,0)*Table_NFI[[#This Row],[Winter Clothes Adult]],Table_NFI[Winter Clothes Adult])</f>
        <v>0</v>
      </c>
      <c r="AJ404" s="378">
        <f>IF(NFI_Expiration=1,IF($A404&lt;VLOOKUP(S$5,NFI,5,0),1,0)*Table_NFI[[#This Row],[Winter Clothes Children]],Table_NFI[Winter Clothes Children])</f>
        <v>0</v>
      </c>
      <c r="AK404" s="378">
        <f>IF(NFI_Expiration=1,IF($A404&lt;VLOOKUP(T$5,NFI,5,0),1,0)*Table_NFI[[#This Row],[Winter Items Other]],Table_NFI[Winter Items Other])</f>
        <v>0</v>
      </c>
      <c r="AL404" s="378">
        <f>IF(NFI_Expiration=1,IF($A404&lt;VLOOKUP(M$5,NFI,5,0),1,0)*Table_NFI[[#This Row],[Winter Blanket]],Table_NFI[[#This Row],[Winter Blanket]])</f>
        <v>0</v>
      </c>
      <c r="AM404" s="378">
        <f>IF(Table_NFI[[#This Row],[Winter Clothes Adult]]+Table_NFI[[#This Row],[Winter Clothes Children]]+Table_NFI[[#This Row],[Winter Items Other]]+Table_NFI[[#This Row],[Winter Blanket]]&gt;0,1,0)</f>
        <v>0</v>
      </c>
      <c r="AN404" s="418">
        <f>IF(NFI_Expiration=1,IF($A404&lt;VLOOKUP(V$5,NFI,5,0),1,0)*Table_NFI[[#This Row],[Jerry Can]],Table_NFI[Jerry Can])</f>
        <v>0</v>
      </c>
      <c r="AO404" s="579" t="str">
        <f>IFERROR(VLOOKUP(Table_NFI[[#This Row],[Camp Name]],CL,2,0),"")</f>
        <v>MMR001CMP218</v>
      </c>
      <c r="AP404" s="574">
        <f ca="1">IF(Table_NFI[[#This Row],[Pcode]]="","",IF(OFFSET(CampList[Opening Date],MATCH(Table_NFI[[#This Row],[Pcode]],CampList[CP_Pcode],0)-1,0,1,1)&gt;=NFI_Monitor_Date,1,0))</f>
        <v>0</v>
      </c>
      <c r="AQ404" s="579" t="str">
        <f>IFERROR(VLOOKUP(Table_NFI[[#This Row],[Camp Name]],CL,3,0),"")</f>
        <v>Open</v>
      </c>
      <c r="AR404" s="378" t="str">
        <f ca="1">IF(Table_NFI[[#This Row],[Pcode]]="","",OFFSET(CampList[Priority],MATCH(Table_NFI[[#This Row],[Pcode]],CampList[CP_Pcode],0)-1,0,1,1))</f>
        <v>P4</v>
      </c>
      <c r="AS404" s="377">
        <f>IFERROR(Table_NFI[[#This Row],[Kitchen Set]]/VLOOKUP(Table_NFI[[#This Row],[Camp Name]],CL,4,0),"")</f>
        <v>4.9315068493150684E-2</v>
      </c>
      <c r="AT404" s="572"/>
      <c r="AU404" s="575"/>
    </row>
    <row r="405" spans="1:47" s="576" customFormat="1" x14ac:dyDescent="0.25">
      <c r="A405" s="381">
        <f t="shared" si="6"/>
        <v>24.933333333333334</v>
      </c>
      <c r="B405" s="571">
        <v>41774</v>
      </c>
      <c r="C405" s="572" t="s">
        <v>454</v>
      </c>
      <c r="D405" s="572" t="s">
        <v>454</v>
      </c>
      <c r="E405" s="572" t="s">
        <v>380</v>
      </c>
      <c r="F405" s="572" t="s">
        <v>151</v>
      </c>
      <c r="G405" s="572" t="s">
        <v>887</v>
      </c>
      <c r="H405" s="375"/>
      <c r="I405" s="375"/>
      <c r="J405" s="375">
        <v>10</v>
      </c>
      <c r="K405" s="375">
        <v>10</v>
      </c>
      <c r="L405" s="376">
        <v>5</v>
      </c>
      <c r="M405" s="376">
        <v>15</v>
      </c>
      <c r="N405" s="376">
        <v>5</v>
      </c>
      <c r="O405" s="376">
        <v>5</v>
      </c>
      <c r="P405" s="378">
        <v>5</v>
      </c>
      <c r="Q405" s="378">
        <v>20</v>
      </c>
      <c r="R405" s="378"/>
      <c r="S405" s="378"/>
      <c r="T405" s="378"/>
      <c r="U405" s="378"/>
      <c r="V405" s="533"/>
      <c r="W405" s="378"/>
      <c r="X405" s="378"/>
      <c r="Y405" s="378">
        <f>IF(NFI_Expiration=1,IF($A405&lt;VLOOKUP(H$5,NFI,5,0),1,0)*Table_NFI[[#This Row],[Hygiene Kit]],Table_NFI[Hygiene Kit])</f>
        <v>0</v>
      </c>
      <c r="Z405" s="378">
        <f>IF(NFI_Expiration=1,IF($A405&lt;VLOOKUP(I$5,NFI,5,0),1,0)*Table_NFI[[#This Row],[NFI Core Kit]],Table_NFI[NFI Core Kit])</f>
        <v>0</v>
      </c>
      <c r="AA405" s="378">
        <f>IF(NFI_Expiration=1,IF($A405&lt;VLOOKUP(J$5,NFI,5,0),1,0)*Table_NFI[[#This Row],[Sanitary Kit]],Table_NFI[Sanitary Kit])</f>
        <v>0</v>
      </c>
      <c r="AB405" s="378">
        <f>IF(NFI_Expiration=1,IF($A405&lt;VLOOKUP(K$5,NFI,5,0),1,0)*Table_NFI[[#This Row],[Mosquito net]],Table_NFI[Mosquito net])</f>
        <v>0</v>
      </c>
      <c r="AC405" s="378">
        <f>IF(NFI_Expiration=1,IF($A405&lt;VLOOKUP(L$5,NFI,5,0),1,0)*Table_NFI[[#This Row],[Tarpaulin]],Table_NFI[[#This Row],[Tarpaulin]])</f>
        <v>0</v>
      </c>
      <c r="AD405" s="378">
        <f>IF(NFI_Expiration=1,IF($A405&lt;VLOOKUP(M$5,NFI,5,0),1,0)*Table_NFI[[#This Row],[Blanket]],Table_NFI[[#This Row],[Blanket]])</f>
        <v>0</v>
      </c>
      <c r="AE405" s="378">
        <f>IF(NFI_Expiration=1,IF($A405&lt;VLOOKUP(N$5,NFI,5,0),1,0)*Table_NFI[[#This Row],[Kitchen Set]],Table_NFI[Kitchen Set])</f>
        <v>0</v>
      </c>
      <c r="AF405" s="378">
        <f>IF(NFI_Expiration=1,IF($A405&lt;VLOOKUP(O$5,NFI,5,0),1,0)*Table_NFI[[#This Row],[Clothes Kit]],Table_NFI[Clothes Kit])</f>
        <v>0</v>
      </c>
      <c r="AG405" s="378">
        <f>IF(NFI_Expiration=1,IF($A405&lt;VLOOKUP(P$5,NFI,5,0),1,0)*Table_NFI[[#This Row],[Plastic Bucket]],Table_NFI[Plastic Bucket])</f>
        <v>0</v>
      </c>
      <c r="AH405" s="378">
        <f>IF(NFI_Expiration=1,IF($A405&lt;VLOOKUP(Q$5,NFI,5,0),1,0)*Table_NFI[[#This Row],[Plastic Mat]],Table_NFI[Plastic Mat])*IF(Table_NFI[[#This Row],[Distribution Date]]&gt;"2014-04-01",1,2.5)</f>
        <v>0</v>
      </c>
      <c r="AI405" s="378">
        <f>IF(NFI_Expiration=1,IF($A405&lt;VLOOKUP(R$5,NFI,5,0),1,0)*Table_NFI[[#This Row],[Winter Clothes Adult]],Table_NFI[Winter Clothes Adult])</f>
        <v>0</v>
      </c>
      <c r="AJ405" s="378">
        <f>IF(NFI_Expiration=1,IF($A405&lt;VLOOKUP(S$5,NFI,5,0),1,0)*Table_NFI[[#This Row],[Winter Clothes Children]],Table_NFI[Winter Clothes Children])</f>
        <v>0</v>
      </c>
      <c r="AK405" s="378">
        <f>IF(NFI_Expiration=1,IF($A405&lt;VLOOKUP(T$5,NFI,5,0),1,0)*Table_NFI[[#This Row],[Winter Items Other]],Table_NFI[Winter Items Other])</f>
        <v>0</v>
      </c>
      <c r="AL405" s="378">
        <f>IF(NFI_Expiration=1,IF($A405&lt;VLOOKUP(M$5,NFI,5,0),1,0)*Table_NFI[[#This Row],[Winter Blanket]],Table_NFI[[#This Row],[Winter Blanket]])</f>
        <v>0</v>
      </c>
      <c r="AM405" s="378">
        <f>IF(Table_NFI[[#This Row],[Winter Clothes Adult]]+Table_NFI[[#This Row],[Winter Clothes Children]]+Table_NFI[[#This Row],[Winter Items Other]]+Table_NFI[[#This Row],[Winter Blanket]]&gt;0,1,0)</f>
        <v>0</v>
      </c>
      <c r="AN405" s="418">
        <f>IF(NFI_Expiration=1,IF($A405&lt;VLOOKUP(V$5,NFI,5,0),1,0)*Table_NFI[[#This Row],[Jerry Can]],Table_NFI[Jerry Can])</f>
        <v>0</v>
      </c>
      <c r="AO405" s="579" t="str">
        <f>IFERROR(VLOOKUP(Table_NFI[[#This Row],[Camp Name]],CL,2,0),"")</f>
        <v>MMR001CMP218</v>
      </c>
      <c r="AP405" s="574">
        <f ca="1">IF(Table_NFI[[#This Row],[Pcode]]="","",IF(OFFSET(CampList[Opening Date],MATCH(Table_NFI[[#This Row],[Pcode]],CampList[CP_Pcode],0)-1,0,1,1)&gt;=NFI_Monitor_Date,1,0))</f>
        <v>0</v>
      </c>
      <c r="AQ405" s="579" t="str">
        <f>IFERROR(VLOOKUP(Table_NFI[[#This Row],[Camp Name]],CL,3,0),"")</f>
        <v>Open</v>
      </c>
      <c r="AR405" s="378" t="str">
        <f ca="1">IF(Table_NFI[[#This Row],[Pcode]]="","",OFFSET(CampList[Priority],MATCH(Table_NFI[[#This Row],[Pcode]],CampList[CP_Pcode],0)-1,0,1,1))</f>
        <v>P4</v>
      </c>
      <c r="AS405" s="377">
        <f>IFERROR(Table_NFI[[#This Row],[Kitchen Set]]/VLOOKUP(Table_NFI[[#This Row],[Camp Name]],CL,4,0),"")</f>
        <v>1.3698630136986301E-2</v>
      </c>
      <c r="AT405" s="572" t="s">
        <v>1095</v>
      </c>
      <c r="AU405" s="575"/>
    </row>
    <row r="406" spans="1:47" s="576" customFormat="1" x14ac:dyDescent="0.25">
      <c r="A406" s="381">
        <f t="shared" si="6"/>
        <v>26.2</v>
      </c>
      <c r="B406" s="571">
        <v>41736</v>
      </c>
      <c r="C406" s="572" t="s">
        <v>1107</v>
      </c>
      <c r="D406" s="572" t="s">
        <v>903</v>
      </c>
      <c r="E406" s="572" t="s">
        <v>380</v>
      </c>
      <c r="F406" s="572" t="s">
        <v>151</v>
      </c>
      <c r="G406" s="572" t="s">
        <v>887</v>
      </c>
      <c r="H406" s="375"/>
      <c r="I406" s="375"/>
      <c r="J406" s="375"/>
      <c r="K406" s="375"/>
      <c r="L406" s="376"/>
      <c r="M406" s="376"/>
      <c r="N406" s="376"/>
      <c r="O406" s="376"/>
      <c r="P406" s="378"/>
      <c r="Q406" s="378"/>
      <c r="R406" s="378"/>
      <c r="S406" s="378"/>
      <c r="T406" s="378"/>
      <c r="U406" s="378">
        <v>478</v>
      </c>
      <c r="V406" s="533"/>
      <c r="W406" s="378"/>
      <c r="X406" s="378"/>
      <c r="Y406" s="378">
        <f>IF(NFI_Expiration=1,IF($A406&lt;VLOOKUP(H$5,NFI,5,0),1,0)*Table_NFI[[#This Row],[Hygiene Kit]],Table_NFI[Hygiene Kit])</f>
        <v>0</v>
      </c>
      <c r="Z406" s="378">
        <f>IF(NFI_Expiration=1,IF($A406&lt;VLOOKUP(I$5,NFI,5,0),1,0)*Table_NFI[[#This Row],[NFI Core Kit]],Table_NFI[NFI Core Kit])</f>
        <v>0</v>
      </c>
      <c r="AA406" s="378">
        <f>IF(NFI_Expiration=1,IF($A406&lt;VLOOKUP(J$5,NFI,5,0),1,0)*Table_NFI[[#This Row],[Sanitary Kit]],Table_NFI[Sanitary Kit])</f>
        <v>0</v>
      </c>
      <c r="AB406" s="378">
        <f>IF(NFI_Expiration=1,IF($A406&lt;VLOOKUP(K$5,NFI,5,0),1,0)*Table_NFI[[#This Row],[Mosquito net]],Table_NFI[Mosquito net])</f>
        <v>0</v>
      </c>
      <c r="AC406" s="378">
        <f>IF(NFI_Expiration=1,IF($A406&lt;VLOOKUP(L$5,NFI,5,0),1,0)*Table_NFI[[#This Row],[Tarpaulin]],Table_NFI[[#This Row],[Tarpaulin]])</f>
        <v>0</v>
      </c>
      <c r="AD406" s="378">
        <f>IF(NFI_Expiration=1,IF($A406&lt;VLOOKUP(M$5,NFI,5,0),1,0)*Table_NFI[[#This Row],[Blanket]],Table_NFI[[#This Row],[Blanket]])</f>
        <v>0</v>
      </c>
      <c r="AE406" s="378">
        <f>IF(NFI_Expiration=1,IF($A406&lt;VLOOKUP(N$5,NFI,5,0),1,0)*Table_NFI[[#This Row],[Kitchen Set]],Table_NFI[Kitchen Set])</f>
        <v>0</v>
      </c>
      <c r="AF406" s="378">
        <f>IF(NFI_Expiration=1,IF($A406&lt;VLOOKUP(O$5,NFI,5,0),1,0)*Table_NFI[[#This Row],[Clothes Kit]],Table_NFI[Clothes Kit])</f>
        <v>0</v>
      </c>
      <c r="AG406" s="378">
        <f>IF(NFI_Expiration=1,IF($A406&lt;VLOOKUP(P$5,NFI,5,0),1,0)*Table_NFI[[#This Row],[Plastic Bucket]],Table_NFI[Plastic Bucket])</f>
        <v>0</v>
      </c>
      <c r="AH406" s="378">
        <f>IF(NFI_Expiration=1,IF($A406&lt;VLOOKUP(Q$5,NFI,5,0),1,0)*Table_NFI[[#This Row],[Plastic Mat]],Table_NFI[Plastic Mat])*IF(Table_NFI[[#This Row],[Distribution Date]]&gt;"2014-04-01",1,2.5)</f>
        <v>0</v>
      </c>
      <c r="AI406" s="378">
        <f>IF(NFI_Expiration=1,IF($A406&lt;VLOOKUP(R$5,NFI,5,0),1,0)*Table_NFI[[#This Row],[Winter Clothes Adult]],Table_NFI[Winter Clothes Adult])</f>
        <v>0</v>
      </c>
      <c r="AJ406" s="378">
        <f>IF(NFI_Expiration=1,IF($A406&lt;VLOOKUP(S$5,NFI,5,0),1,0)*Table_NFI[[#This Row],[Winter Clothes Children]],Table_NFI[Winter Clothes Children])</f>
        <v>0</v>
      </c>
      <c r="AK406" s="378">
        <f>IF(NFI_Expiration=1,IF($A406&lt;VLOOKUP(T$5,NFI,5,0),1,0)*Table_NFI[[#This Row],[Winter Items Other]],Table_NFI[Winter Items Other])</f>
        <v>0</v>
      </c>
      <c r="AL406" s="378">
        <f>IF(NFI_Expiration=1,IF($A406&lt;VLOOKUP(M$5,NFI,5,0),1,0)*Table_NFI[[#This Row],[Winter Blanket]],Table_NFI[[#This Row],[Winter Blanket]])</f>
        <v>0</v>
      </c>
      <c r="AM406" s="378">
        <f>IF(Table_NFI[[#This Row],[Winter Clothes Adult]]+Table_NFI[[#This Row],[Winter Clothes Children]]+Table_NFI[[#This Row],[Winter Items Other]]+Table_NFI[[#This Row],[Winter Blanket]]&gt;0,1,0)</f>
        <v>1</v>
      </c>
      <c r="AN406" s="418">
        <f>IF(NFI_Expiration=1,IF($A406&lt;VLOOKUP(V$5,NFI,5,0),1,0)*Table_NFI[[#This Row],[Jerry Can]],Table_NFI[Jerry Can])</f>
        <v>0</v>
      </c>
      <c r="AO406" s="579" t="str">
        <f>IFERROR(VLOOKUP(Table_NFI[[#This Row],[Camp Name]],CL,2,0),"")</f>
        <v>MMR001CMP218</v>
      </c>
      <c r="AP406" s="574">
        <f ca="1">IF(Table_NFI[[#This Row],[Pcode]]="","",IF(OFFSET(CampList[Opening Date],MATCH(Table_NFI[[#This Row],[Pcode]],CampList[CP_Pcode],0)-1,0,1,1)&gt;=NFI_Monitor_Date,1,0))</f>
        <v>0</v>
      </c>
      <c r="AQ406" s="579" t="str">
        <f>IFERROR(VLOOKUP(Table_NFI[[#This Row],[Camp Name]],CL,3,0),"")</f>
        <v>Open</v>
      </c>
      <c r="AR406" s="378" t="str">
        <f ca="1">IF(Table_NFI[[#This Row],[Pcode]]="","",OFFSET(CampList[Priority],MATCH(Table_NFI[[#This Row],[Pcode]],CampList[CP_Pcode],0)-1,0,1,1))</f>
        <v>P4</v>
      </c>
      <c r="AS406" s="377">
        <f>IFERROR(Table_NFI[[#This Row],[Kitchen Set]]/VLOOKUP(Table_NFI[[#This Row],[Camp Name]],CL,4,0),"")</f>
        <v>0</v>
      </c>
      <c r="AT406" s="572"/>
      <c r="AU406" s="575"/>
    </row>
    <row r="407" spans="1:47" s="576" customFormat="1" x14ac:dyDescent="0.25">
      <c r="A407" s="381">
        <f t="shared" si="6"/>
        <v>28.466666666666665</v>
      </c>
      <c r="B407" s="571">
        <v>41668</v>
      </c>
      <c r="C407" s="572" t="s">
        <v>454</v>
      </c>
      <c r="D407" s="573" t="s">
        <v>454</v>
      </c>
      <c r="E407" s="572" t="s">
        <v>380</v>
      </c>
      <c r="F407" s="374" t="s">
        <v>151</v>
      </c>
      <c r="G407" s="374" t="s">
        <v>887</v>
      </c>
      <c r="H407" s="375"/>
      <c r="I407" s="375"/>
      <c r="J407" s="375"/>
      <c r="K407" s="375">
        <v>100</v>
      </c>
      <c r="L407" s="376">
        <v>58</v>
      </c>
      <c r="M407" s="376">
        <v>100</v>
      </c>
      <c r="N407" s="376">
        <v>58</v>
      </c>
      <c r="O407" s="376"/>
      <c r="P407" s="378">
        <v>58</v>
      </c>
      <c r="Q407" s="378">
        <v>290</v>
      </c>
      <c r="R407" s="378"/>
      <c r="S407" s="378"/>
      <c r="T407" s="378"/>
      <c r="U407" s="378"/>
      <c r="V407" s="533"/>
      <c r="W407" s="378"/>
      <c r="X407" s="378"/>
      <c r="Y407" s="378">
        <f>IF(NFI_Expiration=1,IF($A407&lt;VLOOKUP(H$5,NFI,5,0),1,0)*Table_NFI[[#This Row],[Hygiene Kit]],Table_NFI[Hygiene Kit])</f>
        <v>0</v>
      </c>
      <c r="Z407" s="378">
        <f>IF(NFI_Expiration=1,IF($A407&lt;VLOOKUP(I$5,NFI,5,0),1,0)*Table_NFI[[#This Row],[NFI Core Kit]],Table_NFI[NFI Core Kit])</f>
        <v>0</v>
      </c>
      <c r="AA407" s="378">
        <f>IF(NFI_Expiration=1,IF($A407&lt;VLOOKUP(J$5,NFI,5,0),1,0)*Table_NFI[[#This Row],[Sanitary Kit]],Table_NFI[Sanitary Kit])</f>
        <v>0</v>
      </c>
      <c r="AB407" s="378">
        <f>IF(NFI_Expiration=1,IF($A407&lt;VLOOKUP(K$5,NFI,5,0),1,0)*Table_NFI[[#This Row],[Mosquito net]],Table_NFI[Mosquito net])</f>
        <v>0</v>
      </c>
      <c r="AC407" s="378">
        <f>IF(NFI_Expiration=1,IF($A407&lt;VLOOKUP(L$5,NFI,5,0),1,0)*Table_NFI[[#This Row],[Tarpaulin]],Table_NFI[[#This Row],[Tarpaulin]])</f>
        <v>0</v>
      </c>
      <c r="AD407" s="378">
        <f>IF(NFI_Expiration=1,IF($A407&lt;VLOOKUP(M$5,NFI,5,0),1,0)*Table_NFI[[#This Row],[Blanket]],Table_NFI[[#This Row],[Blanket]])</f>
        <v>0</v>
      </c>
      <c r="AE407" s="378">
        <f>IF(NFI_Expiration=1,IF($A407&lt;VLOOKUP(N$5,NFI,5,0),1,0)*Table_NFI[[#This Row],[Kitchen Set]],Table_NFI[Kitchen Set])</f>
        <v>0</v>
      </c>
      <c r="AF407" s="378">
        <f>IF(NFI_Expiration=1,IF($A407&lt;VLOOKUP(O$5,NFI,5,0),1,0)*Table_NFI[[#This Row],[Clothes Kit]],Table_NFI[Clothes Kit])</f>
        <v>0</v>
      </c>
      <c r="AG407" s="378">
        <f>IF(NFI_Expiration=1,IF($A407&lt;VLOOKUP(P$5,NFI,5,0),1,0)*Table_NFI[[#This Row],[Plastic Bucket]],Table_NFI[Plastic Bucket])</f>
        <v>0</v>
      </c>
      <c r="AH407" s="378">
        <f>IF(NFI_Expiration=1,IF($A407&lt;VLOOKUP(Q$5,NFI,5,0),1,0)*Table_NFI[[#This Row],[Plastic Mat]],Table_NFI[Plastic Mat])*IF(Table_NFI[[#This Row],[Distribution Date]]&gt;"2014-04-01",1,2.5)</f>
        <v>0</v>
      </c>
      <c r="AI407" s="378">
        <f>IF(NFI_Expiration=1,IF($A407&lt;VLOOKUP(R$5,NFI,5,0),1,0)*Table_NFI[[#This Row],[Winter Clothes Adult]],Table_NFI[Winter Clothes Adult])</f>
        <v>0</v>
      </c>
      <c r="AJ407" s="378">
        <f>IF(NFI_Expiration=1,IF($A407&lt;VLOOKUP(S$5,NFI,5,0),1,0)*Table_NFI[[#This Row],[Winter Clothes Children]],Table_NFI[Winter Clothes Children])</f>
        <v>0</v>
      </c>
      <c r="AK407" s="378">
        <f>IF(NFI_Expiration=1,IF($A407&lt;VLOOKUP(T$5,NFI,5,0),1,0)*Table_NFI[[#This Row],[Winter Items Other]],Table_NFI[Winter Items Other])</f>
        <v>0</v>
      </c>
      <c r="AL407" s="378">
        <f>IF(NFI_Expiration=1,IF($A407&lt;VLOOKUP(M$5,NFI,5,0),1,0)*Table_NFI[[#This Row],[Winter Blanket]],Table_NFI[[#This Row],[Winter Blanket]])</f>
        <v>0</v>
      </c>
      <c r="AM407" s="378">
        <f>IF(Table_NFI[[#This Row],[Winter Clothes Adult]]+Table_NFI[[#This Row],[Winter Clothes Children]]+Table_NFI[[#This Row],[Winter Items Other]]+Table_NFI[[#This Row],[Winter Blanket]]&gt;0,1,0)</f>
        <v>0</v>
      </c>
      <c r="AN407" s="418">
        <f>IF(NFI_Expiration=1,IF($A407&lt;VLOOKUP(V$5,NFI,5,0),1,0)*Table_NFI[[#This Row],[Jerry Can]],Table_NFI[Jerry Can])</f>
        <v>0</v>
      </c>
      <c r="AO407" s="579" t="str">
        <f>IFERROR(VLOOKUP(Table_NFI[[#This Row],[Camp Name]],CL,2,0),"")</f>
        <v>MMR001CMP218</v>
      </c>
      <c r="AP407" s="574">
        <f ca="1">IF(Table_NFI[[#This Row],[Pcode]]="","",IF(OFFSET(CampList[Opening Date],MATCH(Table_NFI[[#This Row],[Pcode]],CampList[CP_Pcode],0)-1,0,1,1)&gt;=NFI_Monitor_Date,1,0))</f>
        <v>0</v>
      </c>
      <c r="AQ407" s="579" t="str">
        <f>IFERROR(VLOOKUP(Table_NFI[[#This Row],[Camp Name]],CL,3,0),"")</f>
        <v>Open</v>
      </c>
      <c r="AR407" s="378" t="str">
        <f ca="1">IF(Table_NFI[[#This Row],[Pcode]]="","",OFFSET(CampList[Priority],MATCH(Table_NFI[[#This Row],[Pcode]],CampList[CP_Pcode],0)-1,0,1,1))</f>
        <v>P4</v>
      </c>
      <c r="AS407" s="377">
        <f>IFERROR(Table_NFI[[#This Row],[Kitchen Set]]/VLOOKUP(Table_NFI[[#This Row],[Camp Name]],CL,4,0),"")</f>
        <v>0.15890410958904111</v>
      </c>
      <c r="AT407" s="572" t="s">
        <v>1095</v>
      </c>
      <c r="AU407" s="575"/>
    </row>
    <row r="408" spans="1:47" s="576" customFormat="1" x14ac:dyDescent="0.25">
      <c r="A408" s="381">
        <f t="shared" si="6"/>
        <v>35.56666666666667</v>
      </c>
      <c r="B408" s="571">
        <v>41455</v>
      </c>
      <c r="C408" s="572" t="s">
        <v>454</v>
      </c>
      <c r="D408" s="572"/>
      <c r="E408" s="572" t="s">
        <v>380</v>
      </c>
      <c r="F408" s="572" t="s">
        <v>151</v>
      </c>
      <c r="G408" s="572" t="s">
        <v>887</v>
      </c>
      <c r="H408" s="375"/>
      <c r="I408" s="375"/>
      <c r="J408" s="375"/>
      <c r="K408" s="375"/>
      <c r="L408" s="376"/>
      <c r="M408" s="376">
        <v>9</v>
      </c>
      <c r="N408" s="376"/>
      <c r="O408" s="376"/>
      <c r="P408" s="378">
        <v>19</v>
      </c>
      <c r="Q408" s="378">
        <v>1</v>
      </c>
      <c r="R408" s="378"/>
      <c r="S408" s="378"/>
      <c r="T408" s="378"/>
      <c r="U408" s="378"/>
      <c r="V408" s="533"/>
      <c r="W408" s="378"/>
      <c r="X408" s="378"/>
      <c r="Y408" s="378">
        <f>IF(NFI_Expiration=1,IF($A408&lt;VLOOKUP(H$5,NFI,5,0),1,0)*Table_NFI[[#This Row],[Hygiene Kit]],Table_NFI[Hygiene Kit])</f>
        <v>0</v>
      </c>
      <c r="Z408" s="378">
        <f>IF(NFI_Expiration=1,IF($A408&lt;VLOOKUP(I$5,NFI,5,0),1,0)*Table_NFI[[#This Row],[NFI Core Kit]],Table_NFI[NFI Core Kit])</f>
        <v>0</v>
      </c>
      <c r="AA408" s="378">
        <f>IF(NFI_Expiration=1,IF($A408&lt;VLOOKUP(J$5,NFI,5,0),1,0)*Table_NFI[[#This Row],[Sanitary Kit]],Table_NFI[Sanitary Kit])</f>
        <v>0</v>
      </c>
      <c r="AB408" s="378">
        <f>IF(NFI_Expiration=1,IF($A408&lt;VLOOKUP(K$5,NFI,5,0),1,0)*Table_NFI[[#This Row],[Mosquito net]],Table_NFI[Mosquito net])</f>
        <v>0</v>
      </c>
      <c r="AC408" s="378">
        <f>IF(NFI_Expiration=1,IF($A408&lt;VLOOKUP(L$5,NFI,5,0),1,0)*Table_NFI[[#This Row],[Tarpaulin]],Table_NFI[[#This Row],[Tarpaulin]])</f>
        <v>0</v>
      </c>
      <c r="AD408" s="378">
        <f>IF(NFI_Expiration=1,IF($A408&lt;VLOOKUP(M$5,NFI,5,0),1,0)*Table_NFI[[#This Row],[Blanket]],Table_NFI[[#This Row],[Blanket]])</f>
        <v>0</v>
      </c>
      <c r="AE408" s="378">
        <f>IF(NFI_Expiration=1,IF($A408&lt;VLOOKUP(N$5,NFI,5,0),1,0)*Table_NFI[[#This Row],[Kitchen Set]],Table_NFI[Kitchen Set])</f>
        <v>0</v>
      </c>
      <c r="AF408" s="378">
        <f>IF(NFI_Expiration=1,IF($A408&lt;VLOOKUP(O$5,NFI,5,0),1,0)*Table_NFI[[#This Row],[Clothes Kit]],Table_NFI[Clothes Kit])</f>
        <v>0</v>
      </c>
      <c r="AG408" s="378">
        <f>IF(NFI_Expiration=1,IF($A408&lt;VLOOKUP(P$5,NFI,5,0),1,0)*Table_NFI[[#This Row],[Plastic Bucket]],Table_NFI[Plastic Bucket])</f>
        <v>0</v>
      </c>
      <c r="AH408" s="378">
        <f>IF(NFI_Expiration=1,IF($A408&lt;VLOOKUP(Q$5,NFI,5,0),1,0)*Table_NFI[[#This Row],[Plastic Mat]],Table_NFI[Plastic Mat])*IF(Table_NFI[[#This Row],[Distribution Date]]&gt;"2014-04-01",1,2.5)</f>
        <v>0</v>
      </c>
      <c r="AI408" s="378">
        <f>IF(NFI_Expiration=1,IF($A408&lt;VLOOKUP(R$5,NFI,5,0),1,0)*Table_NFI[[#This Row],[Winter Clothes Adult]],Table_NFI[Winter Clothes Adult])</f>
        <v>0</v>
      </c>
      <c r="AJ408" s="378">
        <f>IF(NFI_Expiration=1,IF($A408&lt;VLOOKUP(S$5,NFI,5,0),1,0)*Table_NFI[[#This Row],[Winter Clothes Children]],Table_NFI[Winter Clothes Children])</f>
        <v>0</v>
      </c>
      <c r="AK408" s="378">
        <f>IF(NFI_Expiration=1,IF($A408&lt;VLOOKUP(T$5,NFI,5,0),1,0)*Table_NFI[[#This Row],[Winter Items Other]],Table_NFI[Winter Items Other])</f>
        <v>0</v>
      </c>
      <c r="AL408" s="378">
        <f>IF(NFI_Expiration=1,IF($A408&lt;VLOOKUP(M$5,NFI,5,0),1,0)*Table_NFI[[#This Row],[Winter Blanket]],Table_NFI[[#This Row],[Winter Blanket]])</f>
        <v>0</v>
      </c>
      <c r="AM408" s="378">
        <f>IF(Table_NFI[[#This Row],[Winter Clothes Adult]]+Table_NFI[[#This Row],[Winter Clothes Children]]+Table_NFI[[#This Row],[Winter Items Other]]+Table_NFI[[#This Row],[Winter Blanket]]&gt;0,1,0)</f>
        <v>0</v>
      </c>
      <c r="AN408" s="418">
        <f>IF(NFI_Expiration=1,IF($A408&lt;VLOOKUP(V$5,NFI,5,0),1,0)*Table_NFI[[#This Row],[Jerry Can]],Table_NFI[Jerry Can])</f>
        <v>0</v>
      </c>
      <c r="AO408" s="579" t="str">
        <f>IFERROR(VLOOKUP(Table_NFI[[#This Row],[Camp Name]],CL,2,0),"")</f>
        <v>MMR001CMP218</v>
      </c>
      <c r="AP408" s="574">
        <f ca="1">IF(Table_NFI[[#This Row],[Pcode]]="","",IF(OFFSET(CampList[Opening Date],MATCH(Table_NFI[[#This Row],[Pcode]],CampList[CP_Pcode],0)-1,0,1,1)&gt;=NFI_Monitor_Date,1,0))</f>
        <v>0</v>
      </c>
      <c r="AQ408" s="579" t="str">
        <f>IFERROR(VLOOKUP(Table_NFI[[#This Row],[Camp Name]],CL,3,0),"")</f>
        <v>Open</v>
      </c>
      <c r="AR408" s="378" t="str">
        <f ca="1">IF(Table_NFI[[#This Row],[Pcode]]="","",OFFSET(CampList[Priority],MATCH(Table_NFI[[#This Row],[Pcode]],CampList[CP_Pcode],0)-1,0,1,1))</f>
        <v>P4</v>
      </c>
      <c r="AS408" s="377">
        <f>IFERROR(Table_NFI[[#This Row],[Kitchen Set]]/VLOOKUP(Table_NFI[[#This Row],[Camp Name]],CL,4,0),"")</f>
        <v>0</v>
      </c>
      <c r="AT408" s="572"/>
      <c r="AU408" s="575"/>
    </row>
    <row r="409" spans="1:47" s="576" customFormat="1" x14ac:dyDescent="0.25">
      <c r="A409" s="381">
        <f t="shared" si="6"/>
        <v>35.6</v>
      </c>
      <c r="B409" s="571">
        <v>41454</v>
      </c>
      <c r="C409" s="572" t="s">
        <v>454</v>
      </c>
      <c r="D409" s="572"/>
      <c r="E409" s="572" t="s">
        <v>380</v>
      </c>
      <c r="F409" s="572" t="s">
        <v>151</v>
      </c>
      <c r="G409" s="572" t="s">
        <v>887</v>
      </c>
      <c r="H409" s="375"/>
      <c r="I409" s="375"/>
      <c r="J409" s="375"/>
      <c r="K409" s="375"/>
      <c r="L409" s="376">
        <v>19</v>
      </c>
      <c r="M409" s="376"/>
      <c r="N409" s="376">
        <v>19</v>
      </c>
      <c r="O409" s="376"/>
      <c r="P409" s="378"/>
      <c r="Q409" s="378">
        <v>100</v>
      </c>
      <c r="R409" s="378"/>
      <c r="S409" s="378"/>
      <c r="T409" s="378"/>
      <c r="U409" s="378"/>
      <c r="V409" s="533"/>
      <c r="W409" s="378"/>
      <c r="X409" s="378"/>
      <c r="Y409" s="378">
        <f>IF(NFI_Expiration=1,IF($A409&lt;VLOOKUP(H$5,NFI,5,0),1,0)*Table_NFI[[#This Row],[Hygiene Kit]],Table_NFI[Hygiene Kit])</f>
        <v>0</v>
      </c>
      <c r="Z409" s="378">
        <f>IF(NFI_Expiration=1,IF($A409&lt;VLOOKUP(I$5,NFI,5,0),1,0)*Table_NFI[[#This Row],[NFI Core Kit]],Table_NFI[NFI Core Kit])</f>
        <v>0</v>
      </c>
      <c r="AA409" s="378">
        <f>IF(NFI_Expiration=1,IF($A409&lt;VLOOKUP(J$5,NFI,5,0),1,0)*Table_NFI[[#This Row],[Sanitary Kit]],Table_NFI[Sanitary Kit])</f>
        <v>0</v>
      </c>
      <c r="AB409" s="378">
        <f>IF(NFI_Expiration=1,IF($A409&lt;VLOOKUP(K$5,NFI,5,0),1,0)*Table_NFI[[#This Row],[Mosquito net]],Table_NFI[Mosquito net])</f>
        <v>0</v>
      </c>
      <c r="AC409" s="378">
        <f>IF(NFI_Expiration=1,IF($A409&lt;VLOOKUP(L$5,NFI,5,0),1,0)*Table_NFI[[#This Row],[Tarpaulin]],Table_NFI[[#This Row],[Tarpaulin]])</f>
        <v>0</v>
      </c>
      <c r="AD409" s="378">
        <f>IF(NFI_Expiration=1,IF($A409&lt;VLOOKUP(M$5,NFI,5,0),1,0)*Table_NFI[[#This Row],[Blanket]],Table_NFI[[#This Row],[Blanket]])</f>
        <v>0</v>
      </c>
      <c r="AE409" s="378">
        <f>IF(NFI_Expiration=1,IF($A409&lt;VLOOKUP(N$5,NFI,5,0),1,0)*Table_NFI[[#This Row],[Kitchen Set]],Table_NFI[Kitchen Set])</f>
        <v>0</v>
      </c>
      <c r="AF409" s="378">
        <f>IF(NFI_Expiration=1,IF($A409&lt;VLOOKUP(O$5,NFI,5,0),1,0)*Table_NFI[[#This Row],[Clothes Kit]],Table_NFI[Clothes Kit])</f>
        <v>0</v>
      </c>
      <c r="AG409" s="378">
        <f>IF(NFI_Expiration=1,IF($A409&lt;VLOOKUP(P$5,NFI,5,0),1,0)*Table_NFI[[#This Row],[Plastic Bucket]],Table_NFI[Plastic Bucket])</f>
        <v>0</v>
      </c>
      <c r="AH409" s="378">
        <f>IF(NFI_Expiration=1,IF($A409&lt;VLOOKUP(Q$5,NFI,5,0),1,0)*Table_NFI[[#This Row],[Plastic Mat]],Table_NFI[Plastic Mat])*IF(Table_NFI[[#This Row],[Distribution Date]]&gt;"2014-04-01",1,2.5)</f>
        <v>0</v>
      </c>
      <c r="AI409" s="378">
        <f>IF(NFI_Expiration=1,IF($A409&lt;VLOOKUP(R$5,NFI,5,0),1,0)*Table_NFI[[#This Row],[Winter Clothes Adult]],Table_NFI[Winter Clothes Adult])</f>
        <v>0</v>
      </c>
      <c r="AJ409" s="378">
        <f>IF(NFI_Expiration=1,IF($A409&lt;VLOOKUP(S$5,NFI,5,0),1,0)*Table_NFI[[#This Row],[Winter Clothes Children]],Table_NFI[Winter Clothes Children])</f>
        <v>0</v>
      </c>
      <c r="AK409" s="378">
        <f>IF(NFI_Expiration=1,IF($A409&lt;VLOOKUP(T$5,NFI,5,0),1,0)*Table_NFI[[#This Row],[Winter Items Other]],Table_NFI[Winter Items Other])</f>
        <v>0</v>
      </c>
      <c r="AL409" s="378">
        <f>IF(NFI_Expiration=1,IF($A409&lt;VLOOKUP(M$5,NFI,5,0),1,0)*Table_NFI[[#This Row],[Winter Blanket]],Table_NFI[[#This Row],[Winter Blanket]])</f>
        <v>0</v>
      </c>
      <c r="AM409" s="378">
        <f>IF(Table_NFI[[#This Row],[Winter Clothes Adult]]+Table_NFI[[#This Row],[Winter Clothes Children]]+Table_NFI[[#This Row],[Winter Items Other]]+Table_NFI[[#This Row],[Winter Blanket]]&gt;0,1,0)</f>
        <v>0</v>
      </c>
      <c r="AN409" s="418">
        <f>IF(NFI_Expiration=1,IF($A409&lt;VLOOKUP(V$5,NFI,5,0),1,0)*Table_NFI[[#This Row],[Jerry Can]],Table_NFI[Jerry Can])</f>
        <v>0</v>
      </c>
      <c r="AO409" s="579" t="str">
        <f>IFERROR(VLOOKUP(Table_NFI[[#This Row],[Camp Name]],CL,2,0),"")</f>
        <v>MMR001CMP218</v>
      </c>
      <c r="AP409" s="574">
        <f ca="1">IF(Table_NFI[[#This Row],[Pcode]]="","",IF(OFFSET(CampList[Opening Date],MATCH(Table_NFI[[#This Row],[Pcode]],CampList[CP_Pcode],0)-1,0,1,1)&gt;=NFI_Monitor_Date,1,0))</f>
        <v>0</v>
      </c>
      <c r="AQ409" s="579" t="str">
        <f>IFERROR(VLOOKUP(Table_NFI[[#This Row],[Camp Name]],CL,3,0),"")</f>
        <v>Open</v>
      </c>
      <c r="AR409" s="378" t="str">
        <f ca="1">IF(Table_NFI[[#This Row],[Pcode]]="","",OFFSET(CampList[Priority],MATCH(Table_NFI[[#This Row],[Pcode]],CampList[CP_Pcode],0)-1,0,1,1))</f>
        <v>P4</v>
      </c>
      <c r="AS409" s="377">
        <f>IFERROR(Table_NFI[[#This Row],[Kitchen Set]]/VLOOKUP(Table_NFI[[#This Row],[Camp Name]],CL,4,0),"")</f>
        <v>5.2054794520547946E-2</v>
      </c>
      <c r="AT409" s="572"/>
      <c r="AU409" s="575"/>
    </row>
    <row r="410" spans="1:47" s="576" customFormat="1" x14ac:dyDescent="0.25">
      <c r="A410" s="381">
        <f t="shared" si="6"/>
        <v>35.633333333333333</v>
      </c>
      <c r="B410" s="571">
        <v>41453</v>
      </c>
      <c r="C410" s="572" t="s">
        <v>454</v>
      </c>
      <c r="D410" s="572"/>
      <c r="E410" s="572" t="s">
        <v>380</v>
      </c>
      <c r="F410" s="572" t="s">
        <v>151</v>
      </c>
      <c r="G410" s="572" t="s">
        <v>887</v>
      </c>
      <c r="H410" s="375"/>
      <c r="I410" s="375"/>
      <c r="J410" s="375"/>
      <c r="K410" s="375">
        <v>10</v>
      </c>
      <c r="L410" s="376">
        <v>3</v>
      </c>
      <c r="M410" s="376">
        <v>10</v>
      </c>
      <c r="N410" s="376">
        <v>3</v>
      </c>
      <c r="O410" s="376"/>
      <c r="P410" s="378">
        <v>3</v>
      </c>
      <c r="Q410" s="378">
        <v>10</v>
      </c>
      <c r="R410" s="378"/>
      <c r="S410" s="378"/>
      <c r="T410" s="378"/>
      <c r="U410" s="378"/>
      <c r="V410" s="533"/>
      <c r="W410" s="378"/>
      <c r="X410" s="378"/>
      <c r="Y410" s="378">
        <f>IF(NFI_Expiration=1,IF($A410&lt;VLOOKUP(H$5,NFI,5,0),1,0)*Table_NFI[[#This Row],[Hygiene Kit]],Table_NFI[Hygiene Kit])</f>
        <v>0</v>
      </c>
      <c r="Z410" s="378">
        <f>IF(NFI_Expiration=1,IF($A410&lt;VLOOKUP(I$5,NFI,5,0),1,0)*Table_NFI[[#This Row],[NFI Core Kit]],Table_NFI[NFI Core Kit])</f>
        <v>0</v>
      </c>
      <c r="AA410" s="378">
        <f>IF(NFI_Expiration=1,IF($A410&lt;VLOOKUP(J$5,NFI,5,0),1,0)*Table_NFI[[#This Row],[Sanitary Kit]],Table_NFI[Sanitary Kit])</f>
        <v>0</v>
      </c>
      <c r="AB410" s="378">
        <f>IF(NFI_Expiration=1,IF($A410&lt;VLOOKUP(K$5,NFI,5,0),1,0)*Table_NFI[[#This Row],[Mosquito net]],Table_NFI[Mosquito net])</f>
        <v>0</v>
      </c>
      <c r="AC410" s="378">
        <f>IF(NFI_Expiration=1,IF($A410&lt;VLOOKUP(L$5,NFI,5,0),1,0)*Table_NFI[[#This Row],[Tarpaulin]],Table_NFI[[#This Row],[Tarpaulin]])</f>
        <v>0</v>
      </c>
      <c r="AD410" s="378">
        <f>IF(NFI_Expiration=1,IF($A410&lt;VLOOKUP(M$5,NFI,5,0),1,0)*Table_NFI[[#This Row],[Blanket]],Table_NFI[[#This Row],[Blanket]])</f>
        <v>0</v>
      </c>
      <c r="AE410" s="378">
        <f>IF(NFI_Expiration=1,IF($A410&lt;VLOOKUP(N$5,NFI,5,0),1,0)*Table_NFI[[#This Row],[Kitchen Set]],Table_NFI[Kitchen Set])</f>
        <v>0</v>
      </c>
      <c r="AF410" s="378">
        <f>IF(NFI_Expiration=1,IF($A410&lt;VLOOKUP(O$5,NFI,5,0),1,0)*Table_NFI[[#This Row],[Clothes Kit]],Table_NFI[Clothes Kit])</f>
        <v>0</v>
      </c>
      <c r="AG410" s="378">
        <f>IF(NFI_Expiration=1,IF($A410&lt;VLOOKUP(P$5,NFI,5,0),1,0)*Table_NFI[[#This Row],[Plastic Bucket]],Table_NFI[Plastic Bucket])</f>
        <v>0</v>
      </c>
      <c r="AH410" s="378">
        <f>IF(NFI_Expiration=1,IF($A410&lt;VLOOKUP(Q$5,NFI,5,0),1,0)*Table_NFI[[#This Row],[Plastic Mat]],Table_NFI[Plastic Mat])*IF(Table_NFI[[#This Row],[Distribution Date]]&gt;"2014-04-01",1,2.5)</f>
        <v>0</v>
      </c>
      <c r="AI410" s="378">
        <f>IF(NFI_Expiration=1,IF($A410&lt;VLOOKUP(R$5,NFI,5,0),1,0)*Table_NFI[[#This Row],[Winter Clothes Adult]],Table_NFI[Winter Clothes Adult])</f>
        <v>0</v>
      </c>
      <c r="AJ410" s="378">
        <f>IF(NFI_Expiration=1,IF($A410&lt;VLOOKUP(S$5,NFI,5,0),1,0)*Table_NFI[[#This Row],[Winter Clothes Children]],Table_NFI[Winter Clothes Children])</f>
        <v>0</v>
      </c>
      <c r="AK410" s="378">
        <f>IF(NFI_Expiration=1,IF($A410&lt;VLOOKUP(T$5,NFI,5,0),1,0)*Table_NFI[[#This Row],[Winter Items Other]],Table_NFI[Winter Items Other])</f>
        <v>0</v>
      </c>
      <c r="AL410" s="378">
        <f>IF(NFI_Expiration=1,IF($A410&lt;VLOOKUP(M$5,NFI,5,0),1,0)*Table_NFI[[#This Row],[Winter Blanket]],Table_NFI[[#This Row],[Winter Blanket]])</f>
        <v>0</v>
      </c>
      <c r="AM410" s="378">
        <f>IF(Table_NFI[[#This Row],[Winter Clothes Adult]]+Table_NFI[[#This Row],[Winter Clothes Children]]+Table_NFI[[#This Row],[Winter Items Other]]+Table_NFI[[#This Row],[Winter Blanket]]&gt;0,1,0)</f>
        <v>0</v>
      </c>
      <c r="AN410" s="418">
        <f>IF(NFI_Expiration=1,IF($A410&lt;VLOOKUP(V$5,NFI,5,0),1,0)*Table_NFI[[#This Row],[Jerry Can]],Table_NFI[Jerry Can])</f>
        <v>0</v>
      </c>
      <c r="AO410" s="579" t="str">
        <f>IFERROR(VLOOKUP(Table_NFI[[#This Row],[Camp Name]],CL,2,0),"")</f>
        <v>MMR001CMP218</v>
      </c>
      <c r="AP410" s="574">
        <f ca="1">IF(Table_NFI[[#This Row],[Pcode]]="","",IF(OFFSET(CampList[Opening Date],MATCH(Table_NFI[[#This Row],[Pcode]],CampList[CP_Pcode],0)-1,0,1,1)&gt;=NFI_Monitor_Date,1,0))</f>
        <v>0</v>
      </c>
      <c r="AQ410" s="579" t="str">
        <f>IFERROR(VLOOKUP(Table_NFI[[#This Row],[Camp Name]],CL,3,0),"")</f>
        <v>Open</v>
      </c>
      <c r="AR410" s="378" t="str">
        <f ca="1">IF(Table_NFI[[#This Row],[Pcode]]="","",OFFSET(CampList[Priority],MATCH(Table_NFI[[#This Row],[Pcode]],CampList[CP_Pcode],0)-1,0,1,1))</f>
        <v>P4</v>
      </c>
      <c r="AS410" s="377">
        <f>IFERROR(Table_NFI[[#This Row],[Kitchen Set]]/VLOOKUP(Table_NFI[[#This Row],[Camp Name]],CL,4,0),"")</f>
        <v>8.21917808219178E-3</v>
      </c>
      <c r="AT410" s="572"/>
      <c r="AU410" s="575"/>
    </row>
    <row r="411" spans="1:47" s="576" customFormat="1" x14ac:dyDescent="0.25">
      <c r="A411" s="381">
        <f t="shared" si="6"/>
        <v>35.666666666666664</v>
      </c>
      <c r="B411" s="571">
        <v>41452</v>
      </c>
      <c r="C411" s="572" t="s">
        <v>454</v>
      </c>
      <c r="D411" s="572"/>
      <c r="E411" s="572" t="s">
        <v>380</v>
      </c>
      <c r="F411" s="572" t="s">
        <v>151</v>
      </c>
      <c r="G411" s="572" t="s">
        <v>887</v>
      </c>
      <c r="H411" s="375"/>
      <c r="I411" s="375"/>
      <c r="J411" s="375"/>
      <c r="K411" s="375">
        <v>54</v>
      </c>
      <c r="L411" s="376">
        <v>18</v>
      </c>
      <c r="M411" s="376">
        <v>45</v>
      </c>
      <c r="N411" s="376">
        <v>18</v>
      </c>
      <c r="O411" s="376"/>
      <c r="P411" s="378">
        <v>18</v>
      </c>
      <c r="Q411" s="378">
        <v>50</v>
      </c>
      <c r="R411" s="378"/>
      <c r="S411" s="378"/>
      <c r="T411" s="378"/>
      <c r="U411" s="378"/>
      <c r="V411" s="533"/>
      <c r="W411" s="378"/>
      <c r="X411" s="378"/>
      <c r="Y411" s="378">
        <f>IF(NFI_Expiration=1,IF($A411&lt;VLOOKUP(H$5,NFI,5,0),1,0)*Table_NFI[[#This Row],[Hygiene Kit]],Table_NFI[Hygiene Kit])</f>
        <v>0</v>
      </c>
      <c r="Z411" s="378">
        <f>IF(NFI_Expiration=1,IF($A411&lt;VLOOKUP(I$5,NFI,5,0),1,0)*Table_NFI[[#This Row],[NFI Core Kit]],Table_NFI[NFI Core Kit])</f>
        <v>0</v>
      </c>
      <c r="AA411" s="378">
        <f>IF(NFI_Expiration=1,IF($A411&lt;VLOOKUP(J$5,NFI,5,0),1,0)*Table_NFI[[#This Row],[Sanitary Kit]],Table_NFI[Sanitary Kit])</f>
        <v>0</v>
      </c>
      <c r="AB411" s="378">
        <f>IF(NFI_Expiration=1,IF($A411&lt;VLOOKUP(K$5,NFI,5,0),1,0)*Table_NFI[[#This Row],[Mosquito net]],Table_NFI[Mosquito net])</f>
        <v>0</v>
      </c>
      <c r="AC411" s="378">
        <f>IF(NFI_Expiration=1,IF($A411&lt;VLOOKUP(L$5,NFI,5,0),1,0)*Table_NFI[[#This Row],[Tarpaulin]],Table_NFI[[#This Row],[Tarpaulin]])</f>
        <v>0</v>
      </c>
      <c r="AD411" s="378">
        <f>IF(NFI_Expiration=1,IF($A411&lt;VLOOKUP(M$5,NFI,5,0),1,0)*Table_NFI[[#This Row],[Blanket]],Table_NFI[[#This Row],[Blanket]])</f>
        <v>0</v>
      </c>
      <c r="AE411" s="378">
        <f>IF(NFI_Expiration=1,IF($A411&lt;VLOOKUP(N$5,NFI,5,0),1,0)*Table_NFI[[#This Row],[Kitchen Set]],Table_NFI[Kitchen Set])</f>
        <v>0</v>
      </c>
      <c r="AF411" s="378">
        <f>IF(NFI_Expiration=1,IF($A411&lt;VLOOKUP(O$5,NFI,5,0),1,0)*Table_NFI[[#This Row],[Clothes Kit]],Table_NFI[Clothes Kit])</f>
        <v>0</v>
      </c>
      <c r="AG411" s="378">
        <f>IF(NFI_Expiration=1,IF($A411&lt;VLOOKUP(P$5,NFI,5,0),1,0)*Table_NFI[[#This Row],[Plastic Bucket]],Table_NFI[Plastic Bucket])</f>
        <v>0</v>
      </c>
      <c r="AH411" s="378">
        <f>IF(NFI_Expiration=1,IF($A411&lt;VLOOKUP(Q$5,NFI,5,0),1,0)*Table_NFI[[#This Row],[Plastic Mat]],Table_NFI[Plastic Mat])*IF(Table_NFI[[#This Row],[Distribution Date]]&gt;"2014-04-01",1,2.5)</f>
        <v>0</v>
      </c>
      <c r="AI411" s="378">
        <f>IF(NFI_Expiration=1,IF($A411&lt;VLOOKUP(R$5,NFI,5,0),1,0)*Table_NFI[[#This Row],[Winter Clothes Adult]],Table_NFI[Winter Clothes Adult])</f>
        <v>0</v>
      </c>
      <c r="AJ411" s="378">
        <f>IF(NFI_Expiration=1,IF($A411&lt;VLOOKUP(S$5,NFI,5,0),1,0)*Table_NFI[[#This Row],[Winter Clothes Children]],Table_NFI[Winter Clothes Children])</f>
        <v>0</v>
      </c>
      <c r="AK411" s="378">
        <f>IF(NFI_Expiration=1,IF($A411&lt;VLOOKUP(T$5,NFI,5,0),1,0)*Table_NFI[[#This Row],[Winter Items Other]],Table_NFI[Winter Items Other])</f>
        <v>0</v>
      </c>
      <c r="AL411" s="378">
        <f>IF(NFI_Expiration=1,IF($A411&lt;VLOOKUP(M$5,NFI,5,0),1,0)*Table_NFI[[#This Row],[Winter Blanket]],Table_NFI[[#This Row],[Winter Blanket]])</f>
        <v>0</v>
      </c>
      <c r="AM411" s="378">
        <f>IF(Table_NFI[[#This Row],[Winter Clothes Adult]]+Table_NFI[[#This Row],[Winter Clothes Children]]+Table_NFI[[#This Row],[Winter Items Other]]+Table_NFI[[#This Row],[Winter Blanket]]&gt;0,1,0)</f>
        <v>0</v>
      </c>
      <c r="AN411" s="418">
        <f>IF(NFI_Expiration=1,IF($A411&lt;VLOOKUP(V$5,NFI,5,0),1,0)*Table_NFI[[#This Row],[Jerry Can]],Table_NFI[Jerry Can])</f>
        <v>0</v>
      </c>
      <c r="AO411" s="579" t="str">
        <f>IFERROR(VLOOKUP(Table_NFI[[#This Row],[Camp Name]],CL,2,0),"")</f>
        <v>MMR001CMP218</v>
      </c>
      <c r="AP411" s="574">
        <f ca="1">IF(Table_NFI[[#This Row],[Pcode]]="","",IF(OFFSET(CampList[Opening Date],MATCH(Table_NFI[[#This Row],[Pcode]],CampList[CP_Pcode],0)-1,0,1,1)&gt;=NFI_Monitor_Date,1,0))</f>
        <v>0</v>
      </c>
      <c r="AQ411" s="579" t="str">
        <f>IFERROR(VLOOKUP(Table_NFI[[#This Row],[Camp Name]],CL,3,0),"")</f>
        <v>Open</v>
      </c>
      <c r="AR411" s="378" t="str">
        <f ca="1">IF(Table_NFI[[#This Row],[Pcode]]="","",OFFSET(CampList[Priority],MATCH(Table_NFI[[#This Row],[Pcode]],CampList[CP_Pcode],0)-1,0,1,1))</f>
        <v>P4</v>
      </c>
      <c r="AS411" s="377">
        <f>IFERROR(Table_NFI[[#This Row],[Kitchen Set]]/VLOOKUP(Table_NFI[[#This Row],[Camp Name]],CL,4,0),"")</f>
        <v>4.9315068493150684E-2</v>
      </c>
      <c r="AT411" s="572"/>
      <c r="AU411" s="575"/>
    </row>
    <row r="412" spans="1:47" s="576" customFormat="1" x14ac:dyDescent="0.25">
      <c r="A412" s="381">
        <f t="shared" si="6"/>
        <v>22.233333333333334</v>
      </c>
      <c r="B412" s="571">
        <v>41855</v>
      </c>
      <c r="C412" s="572" t="s">
        <v>454</v>
      </c>
      <c r="D412" s="572"/>
      <c r="E412" s="572" t="s">
        <v>380</v>
      </c>
      <c r="F412" s="572" t="s">
        <v>151</v>
      </c>
      <c r="G412" s="572" t="s">
        <v>945</v>
      </c>
      <c r="H412" s="375"/>
      <c r="I412" s="375"/>
      <c r="J412" s="375"/>
      <c r="K412" s="375"/>
      <c r="L412" s="376"/>
      <c r="M412" s="376"/>
      <c r="N412" s="376"/>
      <c r="O412" s="376"/>
      <c r="P412" s="378">
        <v>2</v>
      </c>
      <c r="Q412" s="378"/>
      <c r="R412" s="378"/>
      <c r="S412" s="378"/>
      <c r="T412" s="378"/>
      <c r="U412" s="378"/>
      <c r="V412" s="533"/>
      <c r="W412" s="378"/>
      <c r="X412" s="378"/>
      <c r="Y412" s="378">
        <f>IF(NFI_Expiration=1,IF($A412&lt;VLOOKUP(H$5,NFI,5,0),1,0)*Table_NFI[[#This Row],[Hygiene Kit]],Table_NFI[Hygiene Kit])</f>
        <v>0</v>
      </c>
      <c r="Z412" s="378">
        <f>IF(NFI_Expiration=1,IF($A412&lt;VLOOKUP(I$5,NFI,5,0),1,0)*Table_NFI[[#This Row],[NFI Core Kit]],Table_NFI[NFI Core Kit])</f>
        <v>0</v>
      </c>
      <c r="AA412" s="378">
        <f>IF(NFI_Expiration=1,IF($A412&lt;VLOOKUP(J$5,NFI,5,0),1,0)*Table_NFI[[#This Row],[Sanitary Kit]],Table_NFI[Sanitary Kit])</f>
        <v>0</v>
      </c>
      <c r="AB412" s="378">
        <f>IF(NFI_Expiration=1,IF($A412&lt;VLOOKUP(K$5,NFI,5,0),1,0)*Table_NFI[[#This Row],[Mosquito net]],Table_NFI[Mosquito net])</f>
        <v>0</v>
      </c>
      <c r="AC412" s="378">
        <f>IF(NFI_Expiration=1,IF($A412&lt;VLOOKUP(L$5,NFI,5,0),1,0)*Table_NFI[[#This Row],[Tarpaulin]],Table_NFI[[#This Row],[Tarpaulin]])</f>
        <v>0</v>
      </c>
      <c r="AD412" s="378">
        <f>IF(NFI_Expiration=1,IF($A412&lt;VLOOKUP(M$5,NFI,5,0),1,0)*Table_NFI[[#This Row],[Blanket]],Table_NFI[[#This Row],[Blanket]])</f>
        <v>0</v>
      </c>
      <c r="AE412" s="378">
        <f>IF(NFI_Expiration=1,IF($A412&lt;VLOOKUP(N$5,NFI,5,0),1,0)*Table_NFI[[#This Row],[Kitchen Set]],Table_NFI[Kitchen Set])</f>
        <v>0</v>
      </c>
      <c r="AF412" s="378">
        <f>IF(NFI_Expiration=1,IF($A412&lt;VLOOKUP(O$5,NFI,5,0),1,0)*Table_NFI[[#This Row],[Clothes Kit]],Table_NFI[Clothes Kit])</f>
        <v>0</v>
      </c>
      <c r="AG412" s="378">
        <f>IF(NFI_Expiration=1,IF($A412&lt;VLOOKUP(P$5,NFI,5,0),1,0)*Table_NFI[[#This Row],[Plastic Bucket]],Table_NFI[Plastic Bucket])</f>
        <v>0</v>
      </c>
      <c r="AH412" s="378">
        <f>IF(NFI_Expiration=1,IF($A412&lt;VLOOKUP(Q$5,NFI,5,0),1,0)*Table_NFI[[#This Row],[Plastic Mat]],Table_NFI[Plastic Mat])*IF(Table_NFI[[#This Row],[Distribution Date]]&gt;"2014-04-01",1,2.5)</f>
        <v>0</v>
      </c>
      <c r="AI412" s="378">
        <f>IF(NFI_Expiration=1,IF($A412&lt;VLOOKUP(R$5,NFI,5,0),1,0)*Table_NFI[[#This Row],[Winter Clothes Adult]],Table_NFI[Winter Clothes Adult])</f>
        <v>0</v>
      </c>
      <c r="AJ412" s="378">
        <f>IF(NFI_Expiration=1,IF($A412&lt;VLOOKUP(S$5,NFI,5,0),1,0)*Table_NFI[[#This Row],[Winter Clothes Children]],Table_NFI[Winter Clothes Children])</f>
        <v>0</v>
      </c>
      <c r="AK412" s="378">
        <f>IF(NFI_Expiration=1,IF($A412&lt;VLOOKUP(T$5,NFI,5,0),1,0)*Table_NFI[[#This Row],[Winter Items Other]],Table_NFI[Winter Items Other])</f>
        <v>0</v>
      </c>
      <c r="AL412" s="378">
        <f>IF(NFI_Expiration=1,IF($A412&lt;VLOOKUP(M$5,NFI,5,0),1,0)*Table_NFI[[#This Row],[Winter Blanket]],Table_NFI[[#This Row],[Winter Blanket]])</f>
        <v>0</v>
      </c>
      <c r="AM412" s="378">
        <f>IF(Table_NFI[[#This Row],[Winter Clothes Adult]]+Table_NFI[[#This Row],[Winter Clothes Children]]+Table_NFI[[#This Row],[Winter Items Other]]+Table_NFI[[#This Row],[Winter Blanket]]&gt;0,1,0)</f>
        <v>0</v>
      </c>
      <c r="AN412" s="418">
        <f>IF(NFI_Expiration=1,IF($A412&lt;VLOOKUP(V$5,NFI,5,0),1,0)*Table_NFI[[#This Row],[Jerry Can]],Table_NFI[Jerry Can])</f>
        <v>0</v>
      </c>
      <c r="AO412" s="579" t="str">
        <f>IFERROR(VLOOKUP(Table_NFI[[#This Row],[Camp Name]],CL,2,0),"")</f>
        <v>MMR001CMP223</v>
      </c>
      <c r="AP412" s="574">
        <f ca="1">IF(Table_NFI[[#This Row],[Pcode]]="","",IF(OFFSET(CampList[Opening Date],MATCH(Table_NFI[[#This Row],[Pcode]],CampList[CP_Pcode],0)-1,0,1,1)&gt;=NFI_Monitor_Date,1,0))</f>
        <v>0</v>
      </c>
      <c r="AQ412" s="579" t="str">
        <f>IFERROR(VLOOKUP(Table_NFI[[#This Row],[Camp Name]],CL,3,0),"")</f>
        <v>Open</v>
      </c>
      <c r="AR412" s="378" t="str">
        <f ca="1">IF(Table_NFI[[#This Row],[Pcode]]="","",OFFSET(CampList[Priority],MATCH(Table_NFI[[#This Row],[Pcode]],CampList[CP_Pcode],0)-1,0,1,1))</f>
        <v>P4</v>
      </c>
      <c r="AS412" s="377">
        <f>IFERROR(Table_NFI[[#This Row],[Kitchen Set]]/VLOOKUP(Table_NFI[[#This Row],[Camp Name]],CL,4,0),"")</f>
        <v>0</v>
      </c>
      <c r="AT412" s="572"/>
      <c r="AU412" s="575"/>
    </row>
    <row r="413" spans="1:47" s="576" customFormat="1" x14ac:dyDescent="0.25">
      <c r="A413" s="381">
        <f t="shared" si="6"/>
        <v>23.1</v>
      </c>
      <c r="B413" s="571">
        <v>41829</v>
      </c>
      <c r="C413" s="572" t="s">
        <v>454</v>
      </c>
      <c r="D413" s="572"/>
      <c r="E413" s="572" t="s">
        <v>380</v>
      </c>
      <c r="F413" s="572" t="s">
        <v>151</v>
      </c>
      <c r="G413" s="572" t="s">
        <v>945</v>
      </c>
      <c r="H413" s="375"/>
      <c r="I413" s="375"/>
      <c r="J413" s="375"/>
      <c r="K413" s="375">
        <v>35</v>
      </c>
      <c r="L413" s="376">
        <v>13</v>
      </c>
      <c r="M413" s="376">
        <v>70</v>
      </c>
      <c r="N413" s="376">
        <v>13</v>
      </c>
      <c r="O413" s="376"/>
      <c r="P413" s="378">
        <v>13</v>
      </c>
      <c r="Q413" s="378">
        <v>25</v>
      </c>
      <c r="R413" s="378"/>
      <c r="S413" s="378"/>
      <c r="T413" s="378"/>
      <c r="U413" s="378"/>
      <c r="V413" s="533"/>
      <c r="W413" s="378"/>
      <c r="X413" s="378"/>
      <c r="Y413" s="378">
        <f>IF(NFI_Expiration=1,IF($A413&lt;VLOOKUP(H$5,NFI,5,0),1,0)*Table_NFI[[#This Row],[Hygiene Kit]],Table_NFI[Hygiene Kit])</f>
        <v>0</v>
      </c>
      <c r="Z413" s="378">
        <f>IF(NFI_Expiration=1,IF($A413&lt;VLOOKUP(I$5,NFI,5,0),1,0)*Table_NFI[[#This Row],[NFI Core Kit]],Table_NFI[NFI Core Kit])</f>
        <v>0</v>
      </c>
      <c r="AA413" s="378">
        <f>IF(NFI_Expiration=1,IF($A413&lt;VLOOKUP(J$5,NFI,5,0),1,0)*Table_NFI[[#This Row],[Sanitary Kit]],Table_NFI[Sanitary Kit])</f>
        <v>0</v>
      </c>
      <c r="AB413" s="378">
        <f>IF(NFI_Expiration=1,IF($A413&lt;VLOOKUP(K$5,NFI,5,0),1,0)*Table_NFI[[#This Row],[Mosquito net]],Table_NFI[Mosquito net])</f>
        <v>0</v>
      </c>
      <c r="AC413" s="378">
        <f>IF(NFI_Expiration=1,IF($A413&lt;VLOOKUP(L$5,NFI,5,0),1,0)*Table_NFI[[#This Row],[Tarpaulin]],Table_NFI[[#This Row],[Tarpaulin]])</f>
        <v>0</v>
      </c>
      <c r="AD413" s="378">
        <f>IF(NFI_Expiration=1,IF($A413&lt;VLOOKUP(M$5,NFI,5,0),1,0)*Table_NFI[[#This Row],[Blanket]],Table_NFI[[#This Row],[Blanket]])</f>
        <v>0</v>
      </c>
      <c r="AE413" s="378">
        <f>IF(NFI_Expiration=1,IF($A413&lt;VLOOKUP(N$5,NFI,5,0),1,0)*Table_NFI[[#This Row],[Kitchen Set]],Table_NFI[Kitchen Set])</f>
        <v>0</v>
      </c>
      <c r="AF413" s="378">
        <f>IF(NFI_Expiration=1,IF($A413&lt;VLOOKUP(O$5,NFI,5,0),1,0)*Table_NFI[[#This Row],[Clothes Kit]],Table_NFI[Clothes Kit])</f>
        <v>0</v>
      </c>
      <c r="AG413" s="378">
        <f>IF(NFI_Expiration=1,IF($A413&lt;VLOOKUP(P$5,NFI,5,0),1,0)*Table_NFI[[#This Row],[Plastic Bucket]],Table_NFI[Plastic Bucket])</f>
        <v>0</v>
      </c>
      <c r="AH413" s="378">
        <f>IF(NFI_Expiration=1,IF($A413&lt;VLOOKUP(Q$5,NFI,5,0),1,0)*Table_NFI[[#This Row],[Plastic Mat]],Table_NFI[Plastic Mat])*IF(Table_NFI[[#This Row],[Distribution Date]]&gt;"2014-04-01",1,2.5)</f>
        <v>0</v>
      </c>
      <c r="AI413" s="378">
        <f>IF(NFI_Expiration=1,IF($A413&lt;VLOOKUP(R$5,NFI,5,0),1,0)*Table_NFI[[#This Row],[Winter Clothes Adult]],Table_NFI[Winter Clothes Adult])</f>
        <v>0</v>
      </c>
      <c r="AJ413" s="378">
        <f>IF(NFI_Expiration=1,IF($A413&lt;VLOOKUP(S$5,NFI,5,0),1,0)*Table_NFI[[#This Row],[Winter Clothes Children]],Table_NFI[Winter Clothes Children])</f>
        <v>0</v>
      </c>
      <c r="AK413" s="378">
        <f>IF(NFI_Expiration=1,IF($A413&lt;VLOOKUP(T$5,NFI,5,0),1,0)*Table_NFI[[#This Row],[Winter Items Other]],Table_NFI[Winter Items Other])</f>
        <v>0</v>
      </c>
      <c r="AL413" s="378">
        <f>IF(NFI_Expiration=1,IF($A413&lt;VLOOKUP(M$5,NFI,5,0),1,0)*Table_NFI[[#This Row],[Winter Blanket]],Table_NFI[[#This Row],[Winter Blanket]])</f>
        <v>0</v>
      </c>
      <c r="AM413" s="378">
        <f>IF(Table_NFI[[#This Row],[Winter Clothes Adult]]+Table_NFI[[#This Row],[Winter Clothes Children]]+Table_NFI[[#This Row],[Winter Items Other]]+Table_NFI[[#This Row],[Winter Blanket]]&gt;0,1,0)</f>
        <v>0</v>
      </c>
      <c r="AN413" s="418">
        <f>IF(NFI_Expiration=1,IF($A413&lt;VLOOKUP(V$5,NFI,5,0),1,0)*Table_NFI[[#This Row],[Jerry Can]],Table_NFI[Jerry Can])</f>
        <v>0</v>
      </c>
      <c r="AO413" s="579" t="str">
        <f>IFERROR(VLOOKUP(Table_NFI[[#This Row],[Camp Name]],CL,2,0),"")</f>
        <v>MMR001CMP223</v>
      </c>
      <c r="AP413" s="574">
        <f ca="1">IF(Table_NFI[[#This Row],[Pcode]]="","",IF(OFFSET(CampList[Opening Date],MATCH(Table_NFI[[#This Row],[Pcode]],CampList[CP_Pcode],0)-1,0,1,1)&gt;=NFI_Monitor_Date,1,0))</f>
        <v>0</v>
      </c>
      <c r="AQ413" s="579" t="str">
        <f>IFERROR(VLOOKUP(Table_NFI[[#This Row],[Camp Name]],CL,3,0),"")</f>
        <v>Open</v>
      </c>
      <c r="AR413" s="378" t="str">
        <f ca="1">IF(Table_NFI[[#This Row],[Pcode]]="","",OFFSET(CampList[Priority],MATCH(Table_NFI[[#This Row],[Pcode]],CampList[CP_Pcode],0)-1,0,1,1))</f>
        <v>P4</v>
      </c>
      <c r="AS413" s="377">
        <f>IFERROR(Table_NFI[[#This Row],[Kitchen Set]]/VLOOKUP(Table_NFI[[#This Row],[Camp Name]],CL,4,0),"")</f>
        <v>0.10569105691056911</v>
      </c>
      <c r="AT413" s="572"/>
      <c r="AU413" s="575"/>
    </row>
    <row r="414" spans="1:47" s="576" customFormat="1" x14ac:dyDescent="0.25">
      <c r="A414" s="381">
        <f t="shared" si="6"/>
        <v>23.3</v>
      </c>
      <c r="B414" s="571">
        <v>41823</v>
      </c>
      <c r="C414" s="572" t="s">
        <v>454</v>
      </c>
      <c r="D414" s="572"/>
      <c r="E414" s="572" t="s">
        <v>380</v>
      </c>
      <c r="F414" s="572" t="s">
        <v>151</v>
      </c>
      <c r="G414" s="572" t="s">
        <v>945</v>
      </c>
      <c r="H414" s="375"/>
      <c r="I414" s="375"/>
      <c r="J414" s="375"/>
      <c r="K414" s="375">
        <v>50</v>
      </c>
      <c r="L414" s="376">
        <v>15</v>
      </c>
      <c r="M414" s="376"/>
      <c r="N414" s="376">
        <v>15</v>
      </c>
      <c r="O414" s="376"/>
      <c r="P414" s="378">
        <v>15</v>
      </c>
      <c r="Q414" s="378">
        <v>60</v>
      </c>
      <c r="R414" s="378"/>
      <c r="S414" s="378"/>
      <c r="T414" s="378"/>
      <c r="U414" s="378"/>
      <c r="V414" s="533"/>
      <c r="W414" s="378"/>
      <c r="X414" s="378"/>
      <c r="Y414" s="378">
        <f>IF(NFI_Expiration=1,IF($A414&lt;VLOOKUP(H$5,NFI,5,0),1,0)*Table_NFI[[#This Row],[Hygiene Kit]],Table_NFI[Hygiene Kit])</f>
        <v>0</v>
      </c>
      <c r="Z414" s="378">
        <f>IF(NFI_Expiration=1,IF($A414&lt;VLOOKUP(I$5,NFI,5,0),1,0)*Table_NFI[[#This Row],[NFI Core Kit]],Table_NFI[NFI Core Kit])</f>
        <v>0</v>
      </c>
      <c r="AA414" s="378">
        <f>IF(NFI_Expiration=1,IF($A414&lt;VLOOKUP(J$5,NFI,5,0),1,0)*Table_NFI[[#This Row],[Sanitary Kit]],Table_NFI[Sanitary Kit])</f>
        <v>0</v>
      </c>
      <c r="AB414" s="378">
        <f>IF(NFI_Expiration=1,IF($A414&lt;VLOOKUP(K$5,NFI,5,0),1,0)*Table_NFI[[#This Row],[Mosquito net]],Table_NFI[Mosquito net])</f>
        <v>0</v>
      </c>
      <c r="AC414" s="378">
        <f>IF(NFI_Expiration=1,IF($A414&lt;VLOOKUP(L$5,NFI,5,0),1,0)*Table_NFI[[#This Row],[Tarpaulin]],Table_NFI[[#This Row],[Tarpaulin]])</f>
        <v>0</v>
      </c>
      <c r="AD414" s="378">
        <f>IF(NFI_Expiration=1,IF($A414&lt;VLOOKUP(M$5,NFI,5,0),1,0)*Table_NFI[[#This Row],[Blanket]],Table_NFI[[#This Row],[Blanket]])</f>
        <v>0</v>
      </c>
      <c r="AE414" s="378">
        <f>IF(NFI_Expiration=1,IF($A414&lt;VLOOKUP(N$5,NFI,5,0),1,0)*Table_NFI[[#This Row],[Kitchen Set]],Table_NFI[Kitchen Set])</f>
        <v>0</v>
      </c>
      <c r="AF414" s="378">
        <f>IF(NFI_Expiration=1,IF($A414&lt;VLOOKUP(O$5,NFI,5,0),1,0)*Table_NFI[[#This Row],[Clothes Kit]],Table_NFI[Clothes Kit])</f>
        <v>0</v>
      </c>
      <c r="AG414" s="378">
        <f>IF(NFI_Expiration=1,IF($A414&lt;VLOOKUP(P$5,NFI,5,0),1,0)*Table_NFI[[#This Row],[Plastic Bucket]],Table_NFI[Plastic Bucket])</f>
        <v>0</v>
      </c>
      <c r="AH414" s="378">
        <f>IF(NFI_Expiration=1,IF($A414&lt;VLOOKUP(Q$5,NFI,5,0),1,0)*Table_NFI[[#This Row],[Plastic Mat]],Table_NFI[Plastic Mat])*IF(Table_NFI[[#This Row],[Distribution Date]]&gt;"2014-04-01",1,2.5)</f>
        <v>0</v>
      </c>
      <c r="AI414" s="378">
        <f>IF(NFI_Expiration=1,IF($A414&lt;VLOOKUP(R$5,NFI,5,0),1,0)*Table_NFI[[#This Row],[Winter Clothes Adult]],Table_NFI[Winter Clothes Adult])</f>
        <v>0</v>
      </c>
      <c r="AJ414" s="378">
        <f>IF(NFI_Expiration=1,IF($A414&lt;VLOOKUP(S$5,NFI,5,0),1,0)*Table_NFI[[#This Row],[Winter Clothes Children]],Table_NFI[Winter Clothes Children])</f>
        <v>0</v>
      </c>
      <c r="AK414" s="378">
        <f>IF(NFI_Expiration=1,IF($A414&lt;VLOOKUP(T$5,NFI,5,0),1,0)*Table_NFI[[#This Row],[Winter Items Other]],Table_NFI[Winter Items Other])</f>
        <v>0</v>
      </c>
      <c r="AL414" s="378">
        <f>IF(NFI_Expiration=1,IF($A414&lt;VLOOKUP(M$5,NFI,5,0),1,0)*Table_NFI[[#This Row],[Winter Blanket]],Table_NFI[[#This Row],[Winter Blanket]])</f>
        <v>0</v>
      </c>
      <c r="AM414" s="378">
        <f>IF(Table_NFI[[#This Row],[Winter Clothes Adult]]+Table_NFI[[#This Row],[Winter Clothes Children]]+Table_NFI[[#This Row],[Winter Items Other]]+Table_NFI[[#This Row],[Winter Blanket]]&gt;0,1,0)</f>
        <v>0</v>
      </c>
      <c r="AN414" s="418">
        <f>IF(NFI_Expiration=1,IF($A414&lt;VLOOKUP(V$5,NFI,5,0),1,0)*Table_NFI[[#This Row],[Jerry Can]],Table_NFI[Jerry Can])</f>
        <v>0</v>
      </c>
      <c r="AO414" s="579" t="str">
        <f>IFERROR(VLOOKUP(Table_NFI[[#This Row],[Camp Name]],CL,2,0),"")</f>
        <v>MMR001CMP223</v>
      </c>
      <c r="AP414" s="574">
        <f ca="1">IF(Table_NFI[[#This Row],[Pcode]]="","",IF(OFFSET(CampList[Opening Date],MATCH(Table_NFI[[#This Row],[Pcode]],CampList[CP_Pcode],0)-1,0,1,1)&gt;=NFI_Monitor_Date,1,0))</f>
        <v>0</v>
      </c>
      <c r="AQ414" s="579" t="str">
        <f>IFERROR(VLOOKUP(Table_NFI[[#This Row],[Camp Name]],CL,3,0),"")</f>
        <v>Open</v>
      </c>
      <c r="AR414" s="378" t="str">
        <f ca="1">IF(Table_NFI[[#This Row],[Pcode]]="","",OFFSET(CampList[Priority],MATCH(Table_NFI[[#This Row],[Pcode]],CampList[CP_Pcode],0)-1,0,1,1))</f>
        <v>P4</v>
      </c>
      <c r="AS414" s="377">
        <f>IFERROR(Table_NFI[[#This Row],[Kitchen Set]]/VLOOKUP(Table_NFI[[#This Row],[Camp Name]],CL,4,0),"")</f>
        <v>0.12195121951219512</v>
      </c>
      <c r="AT414" s="572"/>
      <c r="AU414" s="575"/>
    </row>
    <row r="415" spans="1:47" s="576" customFormat="1" ht="14.45" customHeight="1" x14ac:dyDescent="0.25">
      <c r="A415" s="381">
        <f t="shared" si="6"/>
        <v>26.2</v>
      </c>
      <c r="B415" s="571">
        <v>41736</v>
      </c>
      <c r="C415" s="572" t="s">
        <v>1107</v>
      </c>
      <c r="D415" s="572" t="s">
        <v>903</v>
      </c>
      <c r="E415" s="572" t="s">
        <v>380</v>
      </c>
      <c r="F415" s="572" t="s">
        <v>151</v>
      </c>
      <c r="G415" s="572" t="s">
        <v>945</v>
      </c>
      <c r="H415" s="375"/>
      <c r="I415" s="375"/>
      <c r="J415" s="375"/>
      <c r="K415" s="375"/>
      <c r="L415" s="376"/>
      <c r="M415" s="376"/>
      <c r="N415" s="376"/>
      <c r="O415" s="376"/>
      <c r="P415" s="378"/>
      <c r="Q415" s="378"/>
      <c r="R415" s="378"/>
      <c r="S415" s="378"/>
      <c r="T415" s="378"/>
      <c r="U415" s="378">
        <v>158</v>
      </c>
      <c r="V415" s="533"/>
      <c r="W415" s="378"/>
      <c r="X415" s="378"/>
      <c r="Y415" s="378">
        <f>IF(NFI_Expiration=1,IF($A415&lt;VLOOKUP(H$5,NFI,5,0),1,0)*Table_NFI[[#This Row],[Hygiene Kit]],Table_NFI[Hygiene Kit])</f>
        <v>0</v>
      </c>
      <c r="Z415" s="378">
        <f>IF(NFI_Expiration=1,IF($A415&lt;VLOOKUP(I$5,NFI,5,0),1,0)*Table_NFI[[#This Row],[NFI Core Kit]],Table_NFI[NFI Core Kit])</f>
        <v>0</v>
      </c>
      <c r="AA415" s="378">
        <f>IF(NFI_Expiration=1,IF($A415&lt;VLOOKUP(J$5,NFI,5,0),1,0)*Table_NFI[[#This Row],[Sanitary Kit]],Table_NFI[Sanitary Kit])</f>
        <v>0</v>
      </c>
      <c r="AB415" s="378">
        <f>IF(NFI_Expiration=1,IF($A415&lt;VLOOKUP(K$5,NFI,5,0),1,0)*Table_NFI[[#This Row],[Mosquito net]],Table_NFI[Mosquito net])</f>
        <v>0</v>
      </c>
      <c r="AC415" s="378">
        <f>IF(NFI_Expiration=1,IF($A415&lt;VLOOKUP(L$5,NFI,5,0),1,0)*Table_NFI[[#This Row],[Tarpaulin]],Table_NFI[[#This Row],[Tarpaulin]])</f>
        <v>0</v>
      </c>
      <c r="AD415" s="378">
        <f>IF(NFI_Expiration=1,IF($A415&lt;VLOOKUP(M$5,NFI,5,0),1,0)*Table_NFI[[#This Row],[Blanket]],Table_NFI[[#This Row],[Blanket]])</f>
        <v>0</v>
      </c>
      <c r="AE415" s="378">
        <f>IF(NFI_Expiration=1,IF($A415&lt;VLOOKUP(N$5,NFI,5,0),1,0)*Table_NFI[[#This Row],[Kitchen Set]],Table_NFI[Kitchen Set])</f>
        <v>0</v>
      </c>
      <c r="AF415" s="378">
        <f>IF(NFI_Expiration=1,IF($A415&lt;VLOOKUP(O$5,NFI,5,0),1,0)*Table_NFI[[#This Row],[Clothes Kit]],Table_NFI[Clothes Kit])</f>
        <v>0</v>
      </c>
      <c r="AG415" s="378">
        <f>IF(NFI_Expiration=1,IF($A415&lt;VLOOKUP(P$5,NFI,5,0),1,0)*Table_NFI[[#This Row],[Plastic Bucket]],Table_NFI[Plastic Bucket])</f>
        <v>0</v>
      </c>
      <c r="AH415" s="378">
        <f>IF(NFI_Expiration=1,IF($A415&lt;VLOOKUP(Q$5,NFI,5,0),1,0)*Table_NFI[[#This Row],[Plastic Mat]],Table_NFI[Plastic Mat])*IF(Table_NFI[[#This Row],[Distribution Date]]&gt;"2014-04-01",1,2.5)</f>
        <v>0</v>
      </c>
      <c r="AI415" s="378">
        <f>IF(NFI_Expiration=1,IF($A415&lt;VLOOKUP(R$5,NFI,5,0),1,0)*Table_NFI[[#This Row],[Winter Clothes Adult]],Table_NFI[Winter Clothes Adult])</f>
        <v>0</v>
      </c>
      <c r="AJ415" s="378">
        <f>IF(NFI_Expiration=1,IF($A415&lt;VLOOKUP(S$5,NFI,5,0),1,0)*Table_NFI[[#This Row],[Winter Clothes Children]],Table_NFI[Winter Clothes Children])</f>
        <v>0</v>
      </c>
      <c r="AK415" s="378">
        <f>IF(NFI_Expiration=1,IF($A415&lt;VLOOKUP(T$5,NFI,5,0),1,0)*Table_NFI[[#This Row],[Winter Items Other]],Table_NFI[Winter Items Other])</f>
        <v>0</v>
      </c>
      <c r="AL415" s="378">
        <f>IF(NFI_Expiration=1,IF($A415&lt;VLOOKUP(M$5,NFI,5,0),1,0)*Table_NFI[[#This Row],[Winter Blanket]],Table_NFI[[#This Row],[Winter Blanket]])</f>
        <v>0</v>
      </c>
      <c r="AM415" s="378">
        <f>IF(Table_NFI[[#This Row],[Winter Clothes Adult]]+Table_NFI[[#This Row],[Winter Clothes Children]]+Table_NFI[[#This Row],[Winter Items Other]]+Table_NFI[[#This Row],[Winter Blanket]]&gt;0,1,0)</f>
        <v>1</v>
      </c>
      <c r="AN415" s="418">
        <f>IF(NFI_Expiration=1,IF($A415&lt;VLOOKUP(V$5,NFI,5,0),1,0)*Table_NFI[[#This Row],[Jerry Can]],Table_NFI[Jerry Can])</f>
        <v>0</v>
      </c>
      <c r="AO415" s="579" t="str">
        <f>IFERROR(VLOOKUP(Table_NFI[[#This Row],[Camp Name]],CL,2,0),"")</f>
        <v>MMR001CMP223</v>
      </c>
      <c r="AP415" s="574">
        <f ca="1">IF(Table_NFI[[#This Row],[Pcode]]="","",IF(OFFSET(CampList[Opening Date],MATCH(Table_NFI[[#This Row],[Pcode]],CampList[CP_Pcode],0)-1,0,1,1)&gt;=NFI_Monitor_Date,1,0))</f>
        <v>0</v>
      </c>
      <c r="AQ415" s="579" t="str">
        <f>IFERROR(VLOOKUP(Table_NFI[[#This Row],[Camp Name]],CL,3,0),"")</f>
        <v>Open</v>
      </c>
      <c r="AR415" s="378" t="str">
        <f ca="1">IF(Table_NFI[[#This Row],[Pcode]]="","",OFFSET(CampList[Priority],MATCH(Table_NFI[[#This Row],[Pcode]],CampList[CP_Pcode],0)-1,0,1,1))</f>
        <v>P4</v>
      </c>
      <c r="AS415" s="377">
        <f>IFERROR(Table_NFI[[#This Row],[Kitchen Set]]/VLOOKUP(Table_NFI[[#This Row],[Camp Name]],CL,4,0),"")</f>
        <v>0</v>
      </c>
      <c r="AT415" s="572"/>
      <c r="AU415" s="575"/>
    </row>
    <row r="416" spans="1:47" s="576" customFormat="1" x14ac:dyDescent="0.25">
      <c r="A416" s="381">
        <f t="shared" si="6"/>
        <v>28.5</v>
      </c>
      <c r="B416" s="571">
        <v>41667</v>
      </c>
      <c r="C416" s="572" t="s">
        <v>454</v>
      </c>
      <c r="D416" s="577"/>
      <c r="E416" s="572" t="s">
        <v>380</v>
      </c>
      <c r="F416" s="572" t="s">
        <v>151</v>
      </c>
      <c r="G416" s="572" t="s">
        <v>945</v>
      </c>
      <c r="H416" s="376"/>
      <c r="I416" s="376"/>
      <c r="J416" s="376"/>
      <c r="K416" s="376">
        <v>18</v>
      </c>
      <c r="L416" s="376">
        <v>10</v>
      </c>
      <c r="M416" s="376">
        <v>18</v>
      </c>
      <c r="N416" s="376">
        <v>40</v>
      </c>
      <c r="O416" s="376"/>
      <c r="P416" s="378">
        <v>10</v>
      </c>
      <c r="Q416" s="378">
        <v>50</v>
      </c>
      <c r="R416" s="378"/>
      <c r="S416" s="378"/>
      <c r="T416" s="378"/>
      <c r="U416" s="378"/>
      <c r="V416" s="533"/>
      <c r="W416" s="378"/>
      <c r="X416" s="378"/>
      <c r="Y416" s="378">
        <f>IF(NFI_Expiration=1,IF($A416&lt;VLOOKUP(H$5,NFI,5,0),1,0)*Table_NFI[[#This Row],[Hygiene Kit]],Table_NFI[Hygiene Kit])</f>
        <v>0</v>
      </c>
      <c r="Z416" s="378">
        <f>IF(NFI_Expiration=1,IF($A416&lt;VLOOKUP(I$5,NFI,5,0),1,0)*Table_NFI[[#This Row],[NFI Core Kit]],Table_NFI[NFI Core Kit])</f>
        <v>0</v>
      </c>
      <c r="AA416" s="378">
        <f>IF(NFI_Expiration=1,IF($A416&lt;VLOOKUP(J$5,NFI,5,0),1,0)*Table_NFI[[#This Row],[Sanitary Kit]],Table_NFI[Sanitary Kit])</f>
        <v>0</v>
      </c>
      <c r="AB416" s="378">
        <f>IF(NFI_Expiration=1,IF($A416&lt;VLOOKUP(K$5,NFI,5,0),1,0)*Table_NFI[[#This Row],[Mosquito net]],Table_NFI[Mosquito net])</f>
        <v>0</v>
      </c>
      <c r="AC416" s="378">
        <f>IF(NFI_Expiration=1,IF($A416&lt;VLOOKUP(L$5,NFI,5,0),1,0)*Table_NFI[[#This Row],[Tarpaulin]],Table_NFI[[#This Row],[Tarpaulin]])</f>
        <v>0</v>
      </c>
      <c r="AD416" s="378">
        <f>IF(NFI_Expiration=1,IF($A416&lt;VLOOKUP(M$5,NFI,5,0),1,0)*Table_NFI[[#This Row],[Blanket]],Table_NFI[[#This Row],[Blanket]])</f>
        <v>0</v>
      </c>
      <c r="AE416" s="378">
        <f>IF(NFI_Expiration=1,IF($A416&lt;VLOOKUP(N$5,NFI,5,0),1,0)*Table_NFI[[#This Row],[Kitchen Set]],Table_NFI[Kitchen Set])</f>
        <v>0</v>
      </c>
      <c r="AF416" s="378">
        <f>IF(NFI_Expiration=1,IF($A416&lt;VLOOKUP(O$5,NFI,5,0),1,0)*Table_NFI[[#This Row],[Clothes Kit]],Table_NFI[Clothes Kit])</f>
        <v>0</v>
      </c>
      <c r="AG416" s="378">
        <f>IF(NFI_Expiration=1,IF($A416&lt;VLOOKUP(P$5,NFI,5,0),1,0)*Table_NFI[[#This Row],[Plastic Bucket]],Table_NFI[Plastic Bucket])</f>
        <v>0</v>
      </c>
      <c r="AH416" s="378">
        <f>IF(NFI_Expiration=1,IF($A416&lt;VLOOKUP(Q$5,NFI,5,0),1,0)*Table_NFI[[#This Row],[Plastic Mat]],Table_NFI[Plastic Mat])*IF(Table_NFI[[#This Row],[Distribution Date]]&gt;"2014-04-01",1,2.5)</f>
        <v>0</v>
      </c>
      <c r="AI416" s="378">
        <f>IF(NFI_Expiration=1,IF($A416&lt;VLOOKUP(R$5,NFI,5,0),1,0)*Table_NFI[[#This Row],[Winter Clothes Adult]],Table_NFI[Winter Clothes Adult])</f>
        <v>0</v>
      </c>
      <c r="AJ416" s="378">
        <f>IF(NFI_Expiration=1,IF($A416&lt;VLOOKUP(S$5,NFI,5,0),1,0)*Table_NFI[[#This Row],[Winter Clothes Children]],Table_NFI[Winter Clothes Children])</f>
        <v>0</v>
      </c>
      <c r="AK416" s="378">
        <f>IF(NFI_Expiration=1,IF($A416&lt;VLOOKUP(T$5,NFI,5,0),1,0)*Table_NFI[[#This Row],[Winter Items Other]],Table_NFI[Winter Items Other])</f>
        <v>0</v>
      </c>
      <c r="AL416" s="378">
        <f>IF(NFI_Expiration=1,IF($A416&lt;VLOOKUP(M$5,NFI,5,0),1,0)*Table_NFI[[#This Row],[Winter Blanket]],Table_NFI[[#This Row],[Winter Blanket]])</f>
        <v>0</v>
      </c>
      <c r="AM416" s="378">
        <f>IF(Table_NFI[[#This Row],[Winter Clothes Adult]]+Table_NFI[[#This Row],[Winter Clothes Children]]+Table_NFI[[#This Row],[Winter Items Other]]+Table_NFI[[#This Row],[Winter Blanket]]&gt;0,1,0)</f>
        <v>0</v>
      </c>
      <c r="AN416" s="418">
        <f>IF(NFI_Expiration=1,IF($A416&lt;VLOOKUP(V$5,NFI,5,0),1,0)*Table_NFI[[#This Row],[Jerry Can]],Table_NFI[Jerry Can])</f>
        <v>0</v>
      </c>
      <c r="AO416" s="579" t="str">
        <f>IFERROR(VLOOKUP(Table_NFI[[#This Row],[Camp Name]],CL,2,0),"")</f>
        <v>MMR001CMP223</v>
      </c>
      <c r="AP416" s="574">
        <f ca="1">IF(Table_NFI[[#This Row],[Pcode]]="","",IF(OFFSET(CampList[Opening Date],MATCH(Table_NFI[[#This Row],[Pcode]],CampList[CP_Pcode],0)-1,0,1,1)&gt;=NFI_Monitor_Date,1,0))</f>
        <v>0</v>
      </c>
      <c r="AQ416" s="579" t="str">
        <f>IFERROR(VLOOKUP(Table_NFI[[#This Row],[Camp Name]],CL,3,0),"")</f>
        <v>Open</v>
      </c>
      <c r="AR416" s="378" t="str">
        <f ca="1">IF(Table_NFI[[#This Row],[Pcode]]="","",OFFSET(CampList[Priority],MATCH(Table_NFI[[#This Row],[Pcode]],CampList[CP_Pcode],0)-1,0,1,1))</f>
        <v>P4</v>
      </c>
      <c r="AS416" s="377">
        <f>IFERROR(Table_NFI[[#This Row],[Kitchen Set]]/VLOOKUP(Table_NFI[[#This Row],[Camp Name]],CL,4,0),"")</f>
        <v>0.32520325203252032</v>
      </c>
      <c r="AT416" s="577"/>
      <c r="AU416" s="580"/>
    </row>
    <row r="417" spans="1:47" s="576" customFormat="1" x14ac:dyDescent="0.25">
      <c r="A417" s="381">
        <f t="shared" si="6"/>
        <v>35.56666666666667</v>
      </c>
      <c r="B417" s="571">
        <v>41455</v>
      </c>
      <c r="C417" s="572" t="s">
        <v>454</v>
      </c>
      <c r="D417" s="572"/>
      <c r="E417" s="572" t="s">
        <v>380</v>
      </c>
      <c r="F417" s="572" t="s">
        <v>151</v>
      </c>
      <c r="G417" s="572" t="s">
        <v>945</v>
      </c>
      <c r="H417" s="375"/>
      <c r="I417" s="375"/>
      <c r="J417" s="375"/>
      <c r="K417" s="375">
        <v>50</v>
      </c>
      <c r="L417" s="376">
        <v>15</v>
      </c>
      <c r="M417" s="376"/>
      <c r="N417" s="376">
        <v>15</v>
      </c>
      <c r="O417" s="376"/>
      <c r="P417" s="378">
        <v>15</v>
      </c>
      <c r="Q417" s="378">
        <v>60</v>
      </c>
      <c r="R417" s="378"/>
      <c r="S417" s="378"/>
      <c r="T417" s="378"/>
      <c r="U417" s="378"/>
      <c r="V417" s="533"/>
      <c r="W417" s="378"/>
      <c r="X417" s="378"/>
      <c r="Y417" s="378">
        <f>IF(NFI_Expiration=1,IF($A417&lt;VLOOKUP(H$5,NFI,5,0),1,0)*Table_NFI[[#This Row],[Hygiene Kit]],Table_NFI[Hygiene Kit])</f>
        <v>0</v>
      </c>
      <c r="Z417" s="378">
        <f>IF(NFI_Expiration=1,IF($A417&lt;VLOOKUP(I$5,NFI,5,0),1,0)*Table_NFI[[#This Row],[NFI Core Kit]],Table_NFI[NFI Core Kit])</f>
        <v>0</v>
      </c>
      <c r="AA417" s="378">
        <f>IF(NFI_Expiration=1,IF($A417&lt;VLOOKUP(J$5,NFI,5,0),1,0)*Table_NFI[[#This Row],[Sanitary Kit]],Table_NFI[Sanitary Kit])</f>
        <v>0</v>
      </c>
      <c r="AB417" s="378">
        <f>IF(NFI_Expiration=1,IF($A417&lt;VLOOKUP(K$5,NFI,5,0),1,0)*Table_NFI[[#This Row],[Mosquito net]],Table_NFI[Mosquito net])</f>
        <v>0</v>
      </c>
      <c r="AC417" s="378">
        <f>IF(NFI_Expiration=1,IF($A417&lt;VLOOKUP(L$5,NFI,5,0),1,0)*Table_NFI[[#This Row],[Tarpaulin]],Table_NFI[[#This Row],[Tarpaulin]])</f>
        <v>0</v>
      </c>
      <c r="AD417" s="378">
        <f>IF(NFI_Expiration=1,IF($A417&lt;VLOOKUP(M$5,NFI,5,0),1,0)*Table_NFI[[#This Row],[Blanket]],Table_NFI[[#This Row],[Blanket]])</f>
        <v>0</v>
      </c>
      <c r="AE417" s="378">
        <f>IF(NFI_Expiration=1,IF($A417&lt;VLOOKUP(N$5,NFI,5,0),1,0)*Table_NFI[[#This Row],[Kitchen Set]],Table_NFI[Kitchen Set])</f>
        <v>0</v>
      </c>
      <c r="AF417" s="378">
        <f>IF(NFI_Expiration=1,IF($A417&lt;VLOOKUP(O$5,NFI,5,0),1,0)*Table_NFI[[#This Row],[Clothes Kit]],Table_NFI[Clothes Kit])</f>
        <v>0</v>
      </c>
      <c r="AG417" s="378">
        <f>IF(NFI_Expiration=1,IF($A417&lt;VLOOKUP(P$5,NFI,5,0),1,0)*Table_NFI[[#This Row],[Plastic Bucket]],Table_NFI[Plastic Bucket])</f>
        <v>0</v>
      </c>
      <c r="AH417" s="378">
        <f>IF(NFI_Expiration=1,IF($A417&lt;VLOOKUP(Q$5,NFI,5,0),1,0)*Table_NFI[[#This Row],[Plastic Mat]],Table_NFI[Plastic Mat])*IF(Table_NFI[[#This Row],[Distribution Date]]&gt;"2014-04-01",1,2.5)</f>
        <v>0</v>
      </c>
      <c r="AI417" s="378">
        <f>IF(NFI_Expiration=1,IF($A417&lt;VLOOKUP(R$5,NFI,5,0),1,0)*Table_NFI[[#This Row],[Winter Clothes Adult]],Table_NFI[Winter Clothes Adult])</f>
        <v>0</v>
      </c>
      <c r="AJ417" s="378">
        <f>IF(NFI_Expiration=1,IF($A417&lt;VLOOKUP(S$5,NFI,5,0),1,0)*Table_NFI[[#This Row],[Winter Clothes Children]],Table_NFI[Winter Clothes Children])</f>
        <v>0</v>
      </c>
      <c r="AK417" s="378">
        <f>IF(NFI_Expiration=1,IF($A417&lt;VLOOKUP(T$5,NFI,5,0),1,0)*Table_NFI[[#This Row],[Winter Items Other]],Table_NFI[Winter Items Other])</f>
        <v>0</v>
      </c>
      <c r="AL417" s="378">
        <f>IF(NFI_Expiration=1,IF($A417&lt;VLOOKUP(M$5,NFI,5,0),1,0)*Table_NFI[[#This Row],[Winter Blanket]],Table_NFI[[#This Row],[Winter Blanket]])</f>
        <v>0</v>
      </c>
      <c r="AM417" s="378">
        <f>IF(Table_NFI[[#This Row],[Winter Clothes Adult]]+Table_NFI[[#This Row],[Winter Clothes Children]]+Table_NFI[[#This Row],[Winter Items Other]]+Table_NFI[[#This Row],[Winter Blanket]]&gt;0,1,0)</f>
        <v>0</v>
      </c>
      <c r="AN417" s="418">
        <f>IF(NFI_Expiration=1,IF($A417&lt;VLOOKUP(V$5,NFI,5,0),1,0)*Table_NFI[[#This Row],[Jerry Can]],Table_NFI[Jerry Can])</f>
        <v>0</v>
      </c>
      <c r="AO417" s="579" t="str">
        <f>IFERROR(VLOOKUP(Table_NFI[[#This Row],[Camp Name]],CL,2,0),"")</f>
        <v>MMR001CMP223</v>
      </c>
      <c r="AP417" s="574">
        <f ca="1">IF(Table_NFI[[#This Row],[Pcode]]="","",IF(OFFSET(CampList[Opening Date],MATCH(Table_NFI[[#This Row],[Pcode]],CampList[CP_Pcode],0)-1,0,1,1)&gt;=NFI_Monitor_Date,1,0))</f>
        <v>0</v>
      </c>
      <c r="AQ417" s="579" t="str">
        <f>IFERROR(VLOOKUP(Table_NFI[[#This Row],[Camp Name]],CL,3,0),"")</f>
        <v>Open</v>
      </c>
      <c r="AR417" s="378" t="str">
        <f ca="1">IF(Table_NFI[[#This Row],[Pcode]]="","",OFFSET(CampList[Priority],MATCH(Table_NFI[[#This Row],[Pcode]],CampList[CP_Pcode],0)-1,0,1,1))</f>
        <v>P4</v>
      </c>
      <c r="AS417" s="377">
        <f>IFERROR(Table_NFI[[#This Row],[Kitchen Set]]/VLOOKUP(Table_NFI[[#This Row],[Camp Name]],CL,4,0),"")</f>
        <v>0.12195121951219512</v>
      </c>
      <c r="AT417" s="572"/>
      <c r="AU417" s="575"/>
    </row>
    <row r="418" spans="1:47" s="576" customFormat="1" x14ac:dyDescent="0.25">
      <c r="A418" s="381">
        <f t="shared" si="6"/>
        <v>24.766666666666666</v>
      </c>
      <c r="B418" s="571">
        <v>41779</v>
      </c>
      <c r="C418" s="572" t="s">
        <v>1107</v>
      </c>
      <c r="D418" s="572" t="s">
        <v>903</v>
      </c>
      <c r="E418" s="572" t="s">
        <v>380</v>
      </c>
      <c r="F418" s="572" t="s">
        <v>237</v>
      </c>
      <c r="G418" s="572" t="s">
        <v>259</v>
      </c>
      <c r="H418" s="375"/>
      <c r="I418" s="375"/>
      <c r="J418" s="375"/>
      <c r="K418" s="375"/>
      <c r="L418" s="376"/>
      <c r="M418" s="376"/>
      <c r="N418" s="376"/>
      <c r="O418" s="376"/>
      <c r="P418" s="378"/>
      <c r="Q418" s="378"/>
      <c r="R418" s="378"/>
      <c r="S418" s="378"/>
      <c r="T418" s="378"/>
      <c r="U418" s="378">
        <v>142</v>
      </c>
      <c r="V418" s="533"/>
      <c r="W418" s="378"/>
      <c r="X418" s="378"/>
      <c r="Y418" s="378">
        <f>IF(NFI_Expiration=1,IF($A418&lt;VLOOKUP(H$5,NFI,5,0),1,0)*Table_NFI[[#This Row],[Hygiene Kit]],Table_NFI[Hygiene Kit])</f>
        <v>0</v>
      </c>
      <c r="Z418" s="378">
        <f>IF(NFI_Expiration=1,IF($A418&lt;VLOOKUP(I$5,NFI,5,0),1,0)*Table_NFI[[#This Row],[NFI Core Kit]],Table_NFI[NFI Core Kit])</f>
        <v>0</v>
      </c>
      <c r="AA418" s="378">
        <f>IF(NFI_Expiration=1,IF($A418&lt;VLOOKUP(J$5,NFI,5,0),1,0)*Table_NFI[[#This Row],[Sanitary Kit]],Table_NFI[Sanitary Kit])</f>
        <v>0</v>
      </c>
      <c r="AB418" s="378">
        <f>IF(NFI_Expiration=1,IF($A418&lt;VLOOKUP(K$5,NFI,5,0),1,0)*Table_NFI[[#This Row],[Mosquito net]],Table_NFI[Mosquito net])</f>
        <v>0</v>
      </c>
      <c r="AC418" s="378">
        <f>IF(NFI_Expiration=1,IF($A418&lt;VLOOKUP(L$5,NFI,5,0),1,0)*Table_NFI[[#This Row],[Tarpaulin]],Table_NFI[[#This Row],[Tarpaulin]])</f>
        <v>0</v>
      </c>
      <c r="AD418" s="378">
        <f>IF(NFI_Expiration=1,IF($A418&lt;VLOOKUP(M$5,NFI,5,0),1,0)*Table_NFI[[#This Row],[Blanket]],Table_NFI[[#This Row],[Blanket]])</f>
        <v>0</v>
      </c>
      <c r="AE418" s="378">
        <f>IF(NFI_Expiration=1,IF($A418&lt;VLOOKUP(N$5,NFI,5,0),1,0)*Table_NFI[[#This Row],[Kitchen Set]],Table_NFI[Kitchen Set])</f>
        <v>0</v>
      </c>
      <c r="AF418" s="378">
        <f>IF(NFI_Expiration=1,IF($A418&lt;VLOOKUP(O$5,NFI,5,0),1,0)*Table_NFI[[#This Row],[Clothes Kit]],Table_NFI[Clothes Kit])</f>
        <v>0</v>
      </c>
      <c r="AG418" s="378">
        <f>IF(NFI_Expiration=1,IF($A418&lt;VLOOKUP(P$5,NFI,5,0),1,0)*Table_NFI[[#This Row],[Plastic Bucket]],Table_NFI[Plastic Bucket])</f>
        <v>0</v>
      </c>
      <c r="AH418" s="378">
        <f>IF(NFI_Expiration=1,IF($A418&lt;VLOOKUP(Q$5,NFI,5,0),1,0)*Table_NFI[[#This Row],[Plastic Mat]],Table_NFI[Plastic Mat])*IF(Table_NFI[[#This Row],[Distribution Date]]&gt;"2014-04-01",1,2.5)</f>
        <v>0</v>
      </c>
      <c r="AI418" s="378">
        <f>IF(NFI_Expiration=1,IF($A418&lt;VLOOKUP(R$5,NFI,5,0),1,0)*Table_NFI[[#This Row],[Winter Clothes Adult]],Table_NFI[Winter Clothes Adult])</f>
        <v>0</v>
      </c>
      <c r="AJ418" s="378">
        <f>IF(NFI_Expiration=1,IF($A418&lt;VLOOKUP(S$5,NFI,5,0),1,0)*Table_NFI[[#This Row],[Winter Clothes Children]],Table_NFI[Winter Clothes Children])</f>
        <v>0</v>
      </c>
      <c r="AK418" s="378">
        <f>IF(NFI_Expiration=1,IF($A418&lt;VLOOKUP(T$5,NFI,5,0),1,0)*Table_NFI[[#This Row],[Winter Items Other]],Table_NFI[Winter Items Other])</f>
        <v>0</v>
      </c>
      <c r="AL418" s="378">
        <f>IF(NFI_Expiration=1,IF($A418&lt;VLOOKUP(M$5,NFI,5,0),1,0)*Table_NFI[[#This Row],[Winter Blanket]],Table_NFI[[#This Row],[Winter Blanket]])</f>
        <v>0</v>
      </c>
      <c r="AM418" s="378">
        <f>IF(Table_NFI[[#This Row],[Winter Clothes Adult]]+Table_NFI[[#This Row],[Winter Clothes Children]]+Table_NFI[[#This Row],[Winter Items Other]]+Table_NFI[[#This Row],[Winter Blanket]]&gt;0,1,0)</f>
        <v>1</v>
      </c>
      <c r="AN418" s="418">
        <f>IF(NFI_Expiration=1,IF($A418&lt;VLOOKUP(V$5,NFI,5,0),1,0)*Table_NFI[[#This Row],[Jerry Can]],Table_NFI[Jerry Can])</f>
        <v>0</v>
      </c>
      <c r="AO418" s="579" t="str">
        <f>IFERROR(VLOOKUP(Table_NFI[[#This Row],[Camp Name]],CL,2,0),"")</f>
        <v>MMR001CMP016</v>
      </c>
      <c r="AP418" s="574">
        <f ca="1">IF(Table_NFI[[#This Row],[Pcode]]="","",IF(OFFSET(CampList[Opening Date],MATCH(Table_NFI[[#This Row],[Pcode]],CampList[CP_Pcode],0)-1,0,1,1)&gt;=NFI_Monitor_Date,1,0))</f>
        <v>0</v>
      </c>
      <c r="AQ418" s="579" t="str">
        <f>IFERROR(VLOOKUP(Table_NFI[[#This Row],[Camp Name]],CL,3,0),"")</f>
        <v>Open</v>
      </c>
      <c r="AR418" s="378" t="str">
        <f ca="1">IF(Table_NFI[[#This Row],[Pcode]]="","",OFFSET(CampList[Priority],MATCH(Table_NFI[[#This Row],[Pcode]],CampList[CP_Pcode],0)-1,0,1,1))</f>
        <v>P4</v>
      </c>
      <c r="AS418" s="377">
        <f>IFERROR(Table_NFI[[#This Row],[Kitchen Set]]/VLOOKUP(Table_NFI[[#This Row],[Camp Name]],CL,4,0),"")</f>
        <v>0</v>
      </c>
      <c r="AT418" s="572"/>
      <c r="AU418" s="575"/>
    </row>
    <row r="419" spans="1:47" s="576" customFormat="1" x14ac:dyDescent="0.25">
      <c r="A419" s="381">
        <f t="shared" si="6"/>
        <v>34.299999999999997</v>
      </c>
      <c r="B419" s="571">
        <v>41493</v>
      </c>
      <c r="C419" s="572" t="s">
        <v>454</v>
      </c>
      <c r="D419" s="573" t="s">
        <v>454</v>
      </c>
      <c r="E419" s="572" t="s">
        <v>380</v>
      </c>
      <c r="F419" s="374" t="s">
        <v>237</v>
      </c>
      <c r="G419" s="374" t="s">
        <v>259</v>
      </c>
      <c r="H419" s="375"/>
      <c r="I419" s="375"/>
      <c r="J419" s="375">
        <v>15</v>
      </c>
      <c r="K419" s="375">
        <v>25</v>
      </c>
      <c r="L419" s="376">
        <v>11</v>
      </c>
      <c r="M419" s="376">
        <v>25</v>
      </c>
      <c r="N419" s="376">
        <v>11</v>
      </c>
      <c r="O419" s="376">
        <v>11</v>
      </c>
      <c r="P419" s="378">
        <v>11</v>
      </c>
      <c r="Q419" s="378">
        <v>11</v>
      </c>
      <c r="R419" s="378"/>
      <c r="S419" s="378"/>
      <c r="T419" s="378"/>
      <c r="U419" s="378"/>
      <c r="V419" s="533"/>
      <c r="W419" s="378"/>
      <c r="X419" s="378"/>
      <c r="Y419" s="378">
        <f>IF(NFI_Expiration=1,IF($A419&lt;VLOOKUP(H$5,NFI,5,0),1,0)*Table_NFI[[#This Row],[Hygiene Kit]],Table_NFI[Hygiene Kit])</f>
        <v>0</v>
      </c>
      <c r="Z419" s="378">
        <f>IF(NFI_Expiration=1,IF($A419&lt;VLOOKUP(I$5,NFI,5,0),1,0)*Table_NFI[[#This Row],[NFI Core Kit]],Table_NFI[NFI Core Kit])</f>
        <v>0</v>
      </c>
      <c r="AA419" s="378">
        <f>IF(NFI_Expiration=1,IF($A419&lt;VLOOKUP(J$5,NFI,5,0),1,0)*Table_NFI[[#This Row],[Sanitary Kit]],Table_NFI[Sanitary Kit])</f>
        <v>0</v>
      </c>
      <c r="AB419" s="378">
        <f>IF(NFI_Expiration=1,IF($A419&lt;VLOOKUP(K$5,NFI,5,0),1,0)*Table_NFI[[#This Row],[Mosquito net]],Table_NFI[Mosquito net])</f>
        <v>0</v>
      </c>
      <c r="AC419" s="378">
        <f>IF(NFI_Expiration=1,IF($A419&lt;VLOOKUP(L$5,NFI,5,0),1,0)*Table_NFI[[#This Row],[Tarpaulin]],Table_NFI[[#This Row],[Tarpaulin]])</f>
        <v>0</v>
      </c>
      <c r="AD419" s="378">
        <f>IF(NFI_Expiration=1,IF($A419&lt;VLOOKUP(M$5,NFI,5,0),1,0)*Table_NFI[[#This Row],[Blanket]],Table_NFI[[#This Row],[Blanket]])</f>
        <v>0</v>
      </c>
      <c r="AE419" s="378">
        <f>IF(NFI_Expiration=1,IF($A419&lt;VLOOKUP(N$5,NFI,5,0),1,0)*Table_NFI[[#This Row],[Kitchen Set]],Table_NFI[Kitchen Set])</f>
        <v>0</v>
      </c>
      <c r="AF419" s="378">
        <f>IF(NFI_Expiration=1,IF($A419&lt;VLOOKUP(O$5,NFI,5,0),1,0)*Table_NFI[[#This Row],[Clothes Kit]],Table_NFI[Clothes Kit])</f>
        <v>0</v>
      </c>
      <c r="AG419" s="378">
        <f>IF(NFI_Expiration=1,IF($A419&lt;VLOOKUP(P$5,NFI,5,0),1,0)*Table_NFI[[#This Row],[Plastic Bucket]],Table_NFI[Plastic Bucket])</f>
        <v>0</v>
      </c>
      <c r="AH419" s="378">
        <f>IF(NFI_Expiration=1,IF($A419&lt;VLOOKUP(Q$5,NFI,5,0),1,0)*Table_NFI[[#This Row],[Plastic Mat]],Table_NFI[Plastic Mat])*IF(Table_NFI[[#This Row],[Distribution Date]]&gt;"2014-04-01",1,2.5)</f>
        <v>0</v>
      </c>
      <c r="AI419" s="378">
        <f>IF(NFI_Expiration=1,IF($A419&lt;VLOOKUP(R$5,NFI,5,0),1,0)*Table_NFI[[#This Row],[Winter Clothes Adult]],Table_NFI[Winter Clothes Adult])</f>
        <v>0</v>
      </c>
      <c r="AJ419" s="378">
        <f>IF(NFI_Expiration=1,IF($A419&lt;VLOOKUP(S$5,NFI,5,0),1,0)*Table_NFI[[#This Row],[Winter Clothes Children]],Table_NFI[Winter Clothes Children])</f>
        <v>0</v>
      </c>
      <c r="AK419" s="378">
        <f>IF(NFI_Expiration=1,IF($A419&lt;VLOOKUP(T$5,NFI,5,0),1,0)*Table_NFI[[#This Row],[Winter Items Other]],Table_NFI[Winter Items Other])</f>
        <v>0</v>
      </c>
      <c r="AL419" s="378">
        <f>IF(NFI_Expiration=1,IF($A419&lt;VLOOKUP(M$5,NFI,5,0),1,0)*Table_NFI[[#This Row],[Winter Blanket]],Table_NFI[[#This Row],[Winter Blanket]])</f>
        <v>0</v>
      </c>
      <c r="AM419" s="378">
        <f>IF(Table_NFI[[#This Row],[Winter Clothes Adult]]+Table_NFI[[#This Row],[Winter Clothes Children]]+Table_NFI[[#This Row],[Winter Items Other]]+Table_NFI[[#This Row],[Winter Blanket]]&gt;0,1,0)</f>
        <v>0</v>
      </c>
      <c r="AN419" s="418">
        <f>IF(NFI_Expiration=1,IF($A419&lt;VLOOKUP(V$5,NFI,5,0),1,0)*Table_NFI[[#This Row],[Jerry Can]],Table_NFI[Jerry Can])</f>
        <v>0</v>
      </c>
      <c r="AO419" s="579" t="str">
        <f>IFERROR(VLOOKUP(Table_NFI[[#This Row],[Camp Name]],CL,2,0),"")</f>
        <v>MMR001CMP016</v>
      </c>
      <c r="AP419" s="574">
        <f ca="1">IF(Table_NFI[[#This Row],[Pcode]]="","",IF(OFFSET(CampList[Opening Date],MATCH(Table_NFI[[#This Row],[Pcode]],CampList[CP_Pcode],0)-1,0,1,1)&gt;=NFI_Monitor_Date,1,0))</f>
        <v>0</v>
      </c>
      <c r="AQ419" s="579" t="str">
        <f>IFERROR(VLOOKUP(Table_NFI[[#This Row],[Camp Name]],CL,3,0),"")</f>
        <v>Open</v>
      </c>
      <c r="AR419" s="378" t="str">
        <f ca="1">IF(Table_NFI[[#This Row],[Pcode]]="","",OFFSET(CampList[Priority],MATCH(Table_NFI[[#This Row],[Pcode]],CampList[CP_Pcode],0)-1,0,1,1))</f>
        <v>P4</v>
      </c>
      <c r="AS419" s="377">
        <f>IFERROR(Table_NFI[[#This Row],[Kitchen Set]]/VLOOKUP(Table_NFI[[#This Row],[Camp Name]],CL,4,0),"")</f>
        <v>0.18333333333333332</v>
      </c>
      <c r="AT419" s="572" t="s">
        <v>1095</v>
      </c>
      <c r="AU419" s="575"/>
    </row>
    <row r="420" spans="1:47" s="576" customFormat="1" x14ac:dyDescent="0.25">
      <c r="A420" s="381">
        <f t="shared" si="6"/>
        <v>45.8</v>
      </c>
      <c r="B420" s="571">
        <v>41148</v>
      </c>
      <c r="C420" s="572" t="s">
        <v>454</v>
      </c>
      <c r="D420" s="572" t="s">
        <v>454</v>
      </c>
      <c r="E420" s="572" t="s">
        <v>380</v>
      </c>
      <c r="F420" s="374" t="s">
        <v>237</v>
      </c>
      <c r="G420" s="374" t="s">
        <v>259</v>
      </c>
      <c r="H420" s="375"/>
      <c r="I420" s="375"/>
      <c r="J420" s="375"/>
      <c r="K420" s="375">
        <v>2</v>
      </c>
      <c r="L420" s="376">
        <v>1</v>
      </c>
      <c r="M420" s="376">
        <v>2</v>
      </c>
      <c r="N420" s="376">
        <v>1</v>
      </c>
      <c r="O420" s="376">
        <v>1</v>
      </c>
      <c r="P420" s="378">
        <v>1</v>
      </c>
      <c r="Q420" s="378">
        <v>1</v>
      </c>
      <c r="R420" s="378"/>
      <c r="S420" s="378"/>
      <c r="T420" s="378"/>
      <c r="U420" s="378"/>
      <c r="V420" s="533"/>
      <c r="W420" s="378"/>
      <c r="X420" s="378"/>
      <c r="Y420" s="378">
        <f>IF(NFI_Expiration=1,IF($A420&lt;VLOOKUP(H$5,NFI,5,0),1,0)*Table_NFI[[#This Row],[Hygiene Kit]],Table_NFI[Hygiene Kit])</f>
        <v>0</v>
      </c>
      <c r="Z420" s="378">
        <f>IF(NFI_Expiration=1,IF($A420&lt;VLOOKUP(I$5,NFI,5,0),1,0)*Table_NFI[[#This Row],[NFI Core Kit]],Table_NFI[NFI Core Kit])</f>
        <v>0</v>
      </c>
      <c r="AA420" s="378">
        <f>IF(NFI_Expiration=1,IF($A420&lt;VLOOKUP(J$5,NFI,5,0),1,0)*Table_NFI[[#This Row],[Sanitary Kit]],Table_NFI[Sanitary Kit])</f>
        <v>0</v>
      </c>
      <c r="AB420" s="378">
        <f>IF(NFI_Expiration=1,IF($A420&lt;VLOOKUP(K$5,NFI,5,0),1,0)*Table_NFI[[#This Row],[Mosquito net]],Table_NFI[Mosquito net])</f>
        <v>0</v>
      </c>
      <c r="AC420" s="378">
        <f>IF(NFI_Expiration=1,IF($A420&lt;VLOOKUP(L$5,NFI,5,0),1,0)*Table_NFI[[#This Row],[Tarpaulin]],Table_NFI[[#This Row],[Tarpaulin]])</f>
        <v>0</v>
      </c>
      <c r="AD420" s="378">
        <f>IF(NFI_Expiration=1,IF($A420&lt;VLOOKUP(M$5,NFI,5,0),1,0)*Table_NFI[[#This Row],[Blanket]],Table_NFI[[#This Row],[Blanket]])</f>
        <v>0</v>
      </c>
      <c r="AE420" s="378">
        <f>IF(NFI_Expiration=1,IF($A420&lt;VLOOKUP(N$5,NFI,5,0),1,0)*Table_NFI[[#This Row],[Kitchen Set]],Table_NFI[Kitchen Set])</f>
        <v>0</v>
      </c>
      <c r="AF420" s="378">
        <f>IF(NFI_Expiration=1,IF($A420&lt;VLOOKUP(O$5,NFI,5,0),1,0)*Table_NFI[[#This Row],[Clothes Kit]],Table_NFI[Clothes Kit])</f>
        <v>0</v>
      </c>
      <c r="AG420" s="378">
        <f>IF(NFI_Expiration=1,IF($A420&lt;VLOOKUP(P$5,NFI,5,0),1,0)*Table_NFI[[#This Row],[Plastic Bucket]],Table_NFI[Plastic Bucket])</f>
        <v>0</v>
      </c>
      <c r="AH420" s="378">
        <f>IF(NFI_Expiration=1,IF($A420&lt;VLOOKUP(Q$5,NFI,5,0),1,0)*Table_NFI[[#This Row],[Plastic Mat]],Table_NFI[Plastic Mat])*IF(Table_NFI[[#This Row],[Distribution Date]]&gt;"2014-04-01",1,2.5)</f>
        <v>0</v>
      </c>
      <c r="AI420" s="378">
        <f>IF(NFI_Expiration=1,IF($A420&lt;VLOOKUP(R$5,NFI,5,0),1,0)*Table_NFI[[#This Row],[Winter Clothes Adult]],Table_NFI[Winter Clothes Adult])</f>
        <v>0</v>
      </c>
      <c r="AJ420" s="378">
        <f>IF(NFI_Expiration=1,IF($A420&lt;VLOOKUP(S$5,NFI,5,0),1,0)*Table_NFI[[#This Row],[Winter Clothes Children]],Table_NFI[Winter Clothes Children])</f>
        <v>0</v>
      </c>
      <c r="AK420" s="378">
        <f>IF(NFI_Expiration=1,IF($A420&lt;VLOOKUP(T$5,NFI,5,0),1,0)*Table_NFI[[#This Row],[Winter Items Other]],Table_NFI[Winter Items Other])</f>
        <v>0</v>
      </c>
      <c r="AL420" s="378">
        <f>IF(NFI_Expiration=1,IF($A420&lt;VLOOKUP(M$5,NFI,5,0),1,0)*Table_NFI[[#This Row],[Winter Blanket]],Table_NFI[[#This Row],[Winter Blanket]])</f>
        <v>0</v>
      </c>
      <c r="AM420" s="378">
        <f>IF(Table_NFI[[#This Row],[Winter Clothes Adult]]+Table_NFI[[#This Row],[Winter Clothes Children]]+Table_NFI[[#This Row],[Winter Items Other]]+Table_NFI[[#This Row],[Winter Blanket]]&gt;0,1,0)</f>
        <v>0</v>
      </c>
      <c r="AN420" s="418">
        <f>IF(NFI_Expiration=1,IF($A420&lt;VLOOKUP(V$5,NFI,5,0),1,0)*Table_NFI[[#This Row],[Jerry Can]],Table_NFI[Jerry Can])</f>
        <v>0</v>
      </c>
      <c r="AO420" s="579" t="str">
        <f>IFERROR(VLOOKUP(Table_NFI[[#This Row],[Camp Name]],CL,2,0),"")</f>
        <v>MMR001CMP016</v>
      </c>
      <c r="AP420" s="574">
        <f ca="1">IF(Table_NFI[[#This Row],[Pcode]]="","",IF(OFFSET(CampList[Opening Date],MATCH(Table_NFI[[#This Row],[Pcode]],CampList[CP_Pcode],0)-1,0,1,1)&gt;=NFI_Monitor_Date,1,0))</f>
        <v>0</v>
      </c>
      <c r="AQ420" s="579" t="str">
        <f>IFERROR(VLOOKUP(Table_NFI[[#This Row],[Camp Name]],CL,3,0),"")</f>
        <v>Open</v>
      </c>
      <c r="AR420" s="378" t="str">
        <f ca="1">IF(Table_NFI[[#This Row],[Pcode]]="","",OFFSET(CampList[Priority],MATCH(Table_NFI[[#This Row],[Pcode]],CampList[CP_Pcode],0)-1,0,1,1))</f>
        <v>P4</v>
      </c>
      <c r="AS420" s="377">
        <f>IFERROR(Table_NFI[[#This Row],[Kitchen Set]]/VLOOKUP(Table_NFI[[#This Row],[Camp Name]],CL,4,0),"")</f>
        <v>1.6666666666666666E-2</v>
      </c>
      <c r="AT420" s="572" t="s">
        <v>1095</v>
      </c>
      <c r="AU420" s="575"/>
    </row>
    <row r="421" spans="1:47" s="576" customFormat="1" x14ac:dyDescent="0.25">
      <c r="A421" s="381">
        <f t="shared" si="6"/>
        <v>46.4</v>
      </c>
      <c r="B421" s="571">
        <v>41130</v>
      </c>
      <c r="C421" s="572" t="s">
        <v>454</v>
      </c>
      <c r="D421" s="573" t="s">
        <v>454</v>
      </c>
      <c r="E421" s="572" t="s">
        <v>380</v>
      </c>
      <c r="F421" s="374" t="s">
        <v>237</v>
      </c>
      <c r="G421" s="374" t="s">
        <v>259</v>
      </c>
      <c r="H421" s="375"/>
      <c r="I421" s="375"/>
      <c r="J421" s="375"/>
      <c r="K421" s="375">
        <v>2</v>
      </c>
      <c r="L421" s="376">
        <v>1</v>
      </c>
      <c r="M421" s="376">
        <v>2</v>
      </c>
      <c r="N421" s="376">
        <v>1</v>
      </c>
      <c r="O421" s="376">
        <v>1</v>
      </c>
      <c r="P421" s="378">
        <v>1</v>
      </c>
      <c r="Q421" s="378">
        <v>1</v>
      </c>
      <c r="R421" s="378"/>
      <c r="S421" s="378"/>
      <c r="T421" s="378"/>
      <c r="U421" s="378"/>
      <c r="V421" s="533"/>
      <c r="W421" s="378"/>
      <c r="X421" s="378"/>
      <c r="Y421" s="378">
        <f>IF(NFI_Expiration=1,IF($A421&lt;VLOOKUP(H$5,NFI,5,0),1,0)*Table_NFI[[#This Row],[Hygiene Kit]],Table_NFI[Hygiene Kit])</f>
        <v>0</v>
      </c>
      <c r="Z421" s="378">
        <f>IF(NFI_Expiration=1,IF($A421&lt;VLOOKUP(I$5,NFI,5,0),1,0)*Table_NFI[[#This Row],[NFI Core Kit]],Table_NFI[NFI Core Kit])</f>
        <v>0</v>
      </c>
      <c r="AA421" s="378">
        <f>IF(NFI_Expiration=1,IF($A421&lt;VLOOKUP(J$5,NFI,5,0),1,0)*Table_NFI[[#This Row],[Sanitary Kit]],Table_NFI[Sanitary Kit])</f>
        <v>0</v>
      </c>
      <c r="AB421" s="378">
        <f>IF(NFI_Expiration=1,IF($A421&lt;VLOOKUP(K$5,NFI,5,0),1,0)*Table_NFI[[#This Row],[Mosquito net]],Table_NFI[Mosquito net])</f>
        <v>0</v>
      </c>
      <c r="AC421" s="378">
        <f>IF(NFI_Expiration=1,IF($A421&lt;VLOOKUP(L$5,NFI,5,0),1,0)*Table_NFI[[#This Row],[Tarpaulin]],Table_NFI[[#This Row],[Tarpaulin]])</f>
        <v>0</v>
      </c>
      <c r="AD421" s="378">
        <f>IF(NFI_Expiration=1,IF($A421&lt;VLOOKUP(M$5,NFI,5,0),1,0)*Table_NFI[[#This Row],[Blanket]],Table_NFI[[#This Row],[Blanket]])</f>
        <v>0</v>
      </c>
      <c r="AE421" s="378">
        <f>IF(NFI_Expiration=1,IF($A421&lt;VLOOKUP(N$5,NFI,5,0),1,0)*Table_NFI[[#This Row],[Kitchen Set]],Table_NFI[Kitchen Set])</f>
        <v>0</v>
      </c>
      <c r="AF421" s="378">
        <f>IF(NFI_Expiration=1,IF($A421&lt;VLOOKUP(O$5,NFI,5,0),1,0)*Table_NFI[[#This Row],[Clothes Kit]],Table_NFI[Clothes Kit])</f>
        <v>0</v>
      </c>
      <c r="AG421" s="378">
        <f>IF(NFI_Expiration=1,IF($A421&lt;VLOOKUP(P$5,NFI,5,0),1,0)*Table_NFI[[#This Row],[Plastic Bucket]],Table_NFI[Plastic Bucket])</f>
        <v>0</v>
      </c>
      <c r="AH421" s="378">
        <f>IF(NFI_Expiration=1,IF($A421&lt;VLOOKUP(Q$5,NFI,5,0),1,0)*Table_NFI[[#This Row],[Plastic Mat]],Table_NFI[Plastic Mat])*IF(Table_NFI[[#This Row],[Distribution Date]]&gt;"2014-04-01",1,2.5)</f>
        <v>0</v>
      </c>
      <c r="AI421" s="378">
        <f>IF(NFI_Expiration=1,IF($A421&lt;VLOOKUP(R$5,NFI,5,0),1,0)*Table_NFI[[#This Row],[Winter Clothes Adult]],Table_NFI[Winter Clothes Adult])</f>
        <v>0</v>
      </c>
      <c r="AJ421" s="378">
        <f>IF(NFI_Expiration=1,IF($A421&lt;VLOOKUP(S$5,NFI,5,0),1,0)*Table_NFI[[#This Row],[Winter Clothes Children]],Table_NFI[Winter Clothes Children])</f>
        <v>0</v>
      </c>
      <c r="AK421" s="378">
        <f>IF(NFI_Expiration=1,IF($A421&lt;VLOOKUP(T$5,NFI,5,0),1,0)*Table_NFI[[#This Row],[Winter Items Other]],Table_NFI[Winter Items Other])</f>
        <v>0</v>
      </c>
      <c r="AL421" s="378">
        <f>IF(NFI_Expiration=1,IF($A421&lt;VLOOKUP(M$5,NFI,5,0),1,0)*Table_NFI[[#This Row],[Winter Blanket]],Table_NFI[[#This Row],[Winter Blanket]])</f>
        <v>0</v>
      </c>
      <c r="AM421" s="378">
        <f>IF(Table_NFI[[#This Row],[Winter Clothes Adult]]+Table_NFI[[#This Row],[Winter Clothes Children]]+Table_NFI[[#This Row],[Winter Items Other]]+Table_NFI[[#This Row],[Winter Blanket]]&gt;0,1,0)</f>
        <v>0</v>
      </c>
      <c r="AN421" s="418">
        <f>IF(NFI_Expiration=1,IF($A421&lt;VLOOKUP(V$5,NFI,5,0),1,0)*Table_NFI[[#This Row],[Jerry Can]],Table_NFI[Jerry Can])</f>
        <v>0</v>
      </c>
      <c r="AO421" s="579" t="str">
        <f>IFERROR(VLOOKUP(Table_NFI[[#This Row],[Camp Name]],CL,2,0),"")</f>
        <v>MMR001CMP016</v>
      </c>
      <c r="AP421" s="574">
        <f ca="1">IF(Table_NFI[[#This Row],[Pcode]]="","",IF(OFFSET(CampList[Opening Date],MATCH(Table_NFI[[#This Row],[Pcode]],CampList[CP_Pcode],0)-1,0,1,1)&gt;=NFI_Monitor_Date,1,0))</f>
        <v>0</v>
      </c>
      <c r="AQ421" s="579" t="str">
        <f>IFERROR(VLOOKUP(Table_NFI[[#This Row],[Camp Name]],CL,3,0),"")</f>
        <v>Open</v>
      </c>
      <c r="AR421" s="378" t="str">
        <f ca="1">IF(Table_NFI[[#This Row],[Pcode]]="","",OFFSET(CampList[Priority],MATCH(Table_NFI[[#This Row],[Pcode]],CampList[CP_Pcode],0)-1,0,1,1))</f>
        <v>P4</v>
      </c>
      <c r="AS421" s="377">
        <f>IFERROR(Table_NFI[[#This Row],[Kitchen Set]]/VLOOKUP(Table_NFI[[#This Row],[Camp Name]],CL,4,0),"")</f>
        <v>1.6666666666666666E-2</v>
      </c>
      <c r="AT421" s="572" t="s">
        <v>1095</v>
      </c>
      <c r="AU421" s="575"/>
    </row>
    <row r="422" spans="1:47" s="576" customFormat="1" x14ac:dyDescent="0.25">
      <c r="A422" s="381">
        <f t="shared" si="6"/>
        <v>46.966666666666669</v>
      </c>
      <c r="B422" s="571">
        <v>41113</v>
      </c>
      <c r="C422" s="572" t="s">
        <v>454</v>
      </c>
      <c r="D422" s="573" t="s">
        <v>454</v>
      </c>
      <c r="E422" s="572" t="s">
        <v>380</v>
      </c>
      <c r="F422" s="374" t="s">
        <v>237</v>
      </c>
      <c r="G422" s="374" t="s">
        <v>259</v>
      </c>
      <c r="H422" s="375"/>
      <c r="I422" s="375"/>
      <c r="J422" s="375"/>
      <c r="K422" s="375">
        <v>72</v>
      </c>
      <c r="L422" s="376">
        <v>39</v>
      </c>
      <c r="M422" s="376">
        <v>72</v>
      </c>
      <c r="N422" s="376">
        <v>39</v>
      </c>
      <c r="O422" s="376">
        <v>39</v>
      </c>
      <c r="P422" s="378">
        <v>39</v>
      </c>
      <c r="Q422" s="378">
        <v>39</v>
      </c>
      <c r="R422" s="378"/>
      <c r="S422" s="378"/>
      <c r="T422" s="378"/>
      <c r="U422" s="378"/>
      <c r="V422" s="533"/>
      <c r="W422" s="378"/>
      <c r="X422" s="378"/>
      <c r="Y422" s="378">
        <f>IF(NFI_Expiration=1,IF($A422&lt;VLOOKUP(H$5,NFI,5,0),1,0)*Table_NFI[[#This Row],[Hygiene Kit]],Table_NFI[Hygiene Kit])</f>
        <v>0</v>
      </c>
      <c r="Z422" s="378">
        <f>IF(NFI_Expiration=1,IF($A422&lt;VLOOKUP(I$5,NFI,5,0),1,0)*Table_NFI[[#This Row],[NFI Core Kit]],Table_NFI[NFI Core Kit])</f>
        <v>0</v>
      </c>
      <c r="AA422" s="378">
        <f>IF(NFI_Expiration=1,IF($A422&lt;VLOOKUP(J$5,NFI,5,0),1,0)*Table_NFI[[#This Row],[Sanitary Kit]],Table_NFI[Sanitary Kit])</f>
        <v>0</v>
      </c>
      <c r="AB422" s="378">
        <f>IF(NFI_Expiration=1,IF($A422&lt;VLOOKUP(K$5,NFI,5,0),1,0)*Table_NFI[[#This Row],[Mosquito net]],Table_NFI[Mosquito net])</f>
        <v>0</v>
      </c>
      <c r="AC422" s="378">
        <f>IF(NFI_Expiration=1,IF($A422&lt;VLOOKUP(L$5,NFI,5,0),1,0)*Table_NFI[[#This Row],[Tarpaulin]],Table_NFI[[#This Row],[Tarpaulin]])</f>
        <v>0</v>
      </c>
      <c r="AD422" s="378">
        <f>IF(NFI_Expiration=1,IF($A422&lt;VLOOKUP(M$5,NFI,5,0),1,0)*Table_NFI[[#This Row],[Blanket]],Table_NFI[[#This Row],[Blanket]])</f>
        <v>0</v>
      </c>
      <c r="AE422" s="378">
        <f>IF(NFI_Expiration=1,IF($A422&lt;VLOOKUP(N$5,NFI,5,0),1,0)*Table_NFI[[#This Row],[Kitchen Set]],Table_NFI[Kitchen Set])</f>
        <v>0</v>
      </c>
      <c r="AF422" s="378">
        <f>IF(NFI_Expiration=1,IF($A422&lt;VLOOKUP(O$5,NFI,5,0),1,0)*Table_NFI[[#This Row],[Clothes Kit]],Table_NFI[Clothes Kit])</f>
        <v>0</v>
      </c>
      <c r="AG422" s="378">
        <f>IF(NFI_Expiration=1,IF($A422&lt;VLOOKUP(P$5,NFI,5,0),1,0)*Table_NFI[[#This Row],[Plastic Bucket]],Table_NFI[Plastic Bucket])</f>
        <v>0</v>
      </c>
      <c r="AH422" s="378">
        <f>IF(NFI_Expiration=1,IF($A422&lt;VLOOKUP(Q$5,NFI,5,0),1,0)*Table_NFI[[#This Row],[Plastic Mat]],Table_NFI[Plastic Mat])*IF(Table_NFI[[#This Row],[Distribution Date]]&gt;"2014-04-01",1,2.5)</f>
        <v>0</v>
      </c>
      <c r="AI422" s="378">
        <f>IF(NFI_Expiration=1,IF($A422&lt;VLOOKUP(R$5,NFI,5,0),1,0)*Table_NFI[[#This Row],[Winter Clothes Adult]],Table_NFI[Winter Clothes Adult])</f>
        <v>0</v>
      </c>
      <c r="AJ422" s="378">
        <f>IF(NFI_Expiration=1,IF($A422&lt;VLOOKUP(S$5,NFI,5,0),1,0)*Table_NFI[[#This Row],[Winter Clothes Children]],Table_NFI[Winter Clothes Children])</f>
        <v>0</v>
      </c>
      <c r="AK422" s="378">
        <f>IF(NFI_Expiration=1,IF($A422&lt;VLOOKUP(T$5,NFI,5,0),1,0)*Table_NFI[[#This Row],[Winter Items Other]],Table_NFI[Winter Items Other])</f>
        <v>0</v>
      </c>
      <c r="AL422" s="378">
        <f>IF(NFI_Expiration=1,IF($A422&lt;VLOOKUP(M$5,NFI,5,0),1,0)*Table_NFI[[#This Row],[Winter Blanket]],Table_NFI[[#This Row],[Winter Blanket]])</f>
        <v>0</v>
      </c>
      <c r="AM422" s="378">
        <f>IF(Table_NFI[[#This Row],[Winter Clothes Adult]]+Table_NFI[[#This Row],[Winter Clothes Children]]+Table_NFI[[#This Row],[Winter Items Other]]+Table_NFI[[#This Row],[Winter Blanket]]&gt;0,1,0)</f>
        <v>0</v>
      </c>
      <c r="AN422" s="418">
        <f>IF(NFI_Expiration=1,IF($A422&lt;VLOOKUP(V$5,NFI,5,0),1,0)*Table_NFI[[#This Row],[Jerry Can]],Table_NFI[Jerry Can])</f>
        <v>0</v>
      </c>
      <c r="AO422" s="579" t="str">
        <f>IFERROR(VLOOKUP(Table_NFI[[#This Row],[Camp Name]],CL,2,0),"")</f>
        <v>MMR001CMP016</v>
      </c>
      <c r="AP422" s="574">
        <f ca="1">IF(Table_NFI[[#This Row],[Pcode]]="","",IF(OFFSET(CampList[Opening Date],MATCH(Table_NFI[[#This Row],[Pcode]],CampList[CP_Pcode],0)-1,0,1,1)&gt;=NFI_Monitor_Date,1,0))</f>
        <v>0</v>
      </c>
      <c r="AQ422" s="579" t="str">
        <f>IFERROR(VLOOKUP(Table_NFI[[#This Row],[Camp Name]],CL,3,0),"")</f>
        <v>Open</v>
      </c>
      <c r="AR422" s="378" t="str">
        <f ca="1">IF(Table_NFI[[#This Row],[Pcode]]="","",OFFSET(CampList[Priority],MATCH(Table_NFI[[#This Row],[Pcode]],CampList[CP_Pcode],0)-1,0,1,1))</f>
        <v>P4</v>
      </c>
      <c r="AS422" s="377">
        <f>IFERROR(Table_NFI[[#This Row],[Kitchen Set]]/VLOOKUP(Table_NFI[[#This Row],[Camp Name]],CL,4,0),"")</f>
        <v>0.65</v>
      </c>
      <c r="AT422" s="572" t="s">
        <v>1095</v>
      </c>
      <c r="AU422" s="575"/>
    </row>
    <row r="423" spans="1:47" s="576" customFormat="1" x14ac:dyDescent="0.25">
      <c r="A423" s="381">
        <f t="shared" si="6"/>
        <v>47.2</v>
      </c>
      <c r="B423" s="571">
        <v>41106</v>
      </c>
      <c r="C423" s="572" t="s">
        <v>454</v>
      </c>
      <c r="D423" s="572" t="s">
        <v>454</v>
      </c>
      <c r="E423" s="572" t="s">
        <v>380</v>
      </c>
      <c r="F423" s="374" t="s">
        <v>237</v>
      </c>
      <c r="G423" s="374" t="s">
        <v>259</v>
      </c>
      <c r="H423" s="375"/>
      <c r="I423" s="375"/>
      <c r="J423" s="375"/>
      <c r="K423" s="375">
        <v>3</v>
      </c>
      <c r="L423" s="376">
        <v>3</v>
      </c>
      <c r="M423" s="376">
        <v>3</v>
      </c>
      <c r="N423" s="376">
        <v>3</v>
      </c>
      <c r="O423" s="376">
        <v>3</v>
      </c>
      <c r="P423" s="378">
        <v>3</v>
      </c>
      <c r="Q423" s="378">
        <v>3</v>
      </c>
      <c r="R423" s="378"/>
      <c r="S423" s="378"/>
      <c r="T423" s="378"/>
      <c r="U423" s="378"/>
      <c r="V423" s="533"/>
      <c r="W423" s="378"/>
      <c r="X423" s="378"/>
      <c r="Y423" s="378">
        <f>IF(NFI_Expiration=1,IF($A423&lt;VLOOKUP(H$5,NFI,5,0),1,0)*Table_NFI[[#This Row],[Hygiene Kit]],Table_NFI[Hygiene Kit])</f>
        <v>0</v>
      </c>
      <c r="Z423" s="378">
        <f>IF(NFI_Expiration=1,IF($A423&lt;VLOOKUP(I$5,NFI,5,0),1,0)*Table_NFI[[#This Row],[NFI Core Kit]],Table_NFI[NFI Core Kit])</f>
        <v>0</v>
      </c>
      <c r="AA423" s="378">
        <f>IF(NFI_Expiration=1,IF($A423&lt;VLOOKUP(J$5,NFI,5,0),1,0)*Table_NFI[[#This Row],[Sanitary Kit]],Table_NFI[Sanitary Kit])</f>
        <v>0</v>
      </c>
      <c r="AB423" s="378">
        <f>IF(NFI_Expiration=1,IF($A423&lt;VLOOKUP(K$5,NFI,5,0),1,0)*Table_NFI[[#This Row],[Mosquito net]],Table_NFI[Mosquito net])</f>
        <v>0</v>
      </c>
      <c r="AC423" s="378">
        <f>IF(NFI_Expiration=1,IF($A423&lt;VLOOKUP(L$5,NFI,5,0),1,0)*Table_NFI[[#This Row],[Tarpaulin]],Table_NFI[[#This Row],[Tarpaulin]])</f>
        <v>0</v>
      </c>
      <c r="AD423" s="378">
        <f>IF(NFI_Expiration=1,IF($A423&lt;VLOOKUP(M$5,NFI,5,0),1,0)*Table_NFI[[#This Row],[Blanket]],Table_NFI[[#This Row],[Blanket]])</f>
        <v>0</v>
      </c>
      <c r="AE423" s="378">
        <f>IF(NFI_Expiration=1,IF($A423&lt;VLOOKUP(N$5,NFI,5,0),1,0)*Table_NFI[[#This Row],[Kitchen Set]],Table_NFI[Kitchen Set])</f>
        <v>0</v>
      </c>
      <c r="AF423" s="378">
        <f>IF(NFI_Expiration=1,IF($A423&lt;VLOOKUP(O$5,NFI,5,0),1,0)*Table_NFI[[#This Row],[Clothes Kit]],Table_NFI[Clothes Kit])</f>
        <v>0</v>
      </c>
      <c r="AG423" s="378">
        <f>IF(NFI_Expiration=1,IF($A423&lt;VLOOKUP(P$5,NFI,5,0),1,0)*Table_NFI[[#This Row],[Plastic Bucket]],Table_NFI[Plastic Bucket])</f>
        <v>0</v>
      </c>
      <c r="AH423" s="378">
        <f>IF(NFI_Expiration=1,IF($A423&lt;VLOOKUP(Q$5,NFI,5,0),1,0)*Table_NFI[[#This Row],[Plastic Mat]],Table_NFI[Plastic Mat])*IF(Table_NFI[[#This Row],[Distribution Date]]&gt;"2014-04-01",1,2.5)</f>
        <v>0</v>
      </c>
      <c r="AI423" s="378">
        <f>IF(NFI_Expiration=1,IF($A423&lt;VLOOKUP(R$5,NFI,5,0),1,0)*Table_NFI[[#This Row],[Winter Clothes Adult]],Table_NFI[Winter Clothes Adult])</f>
        <v>0</v>
      </c>
      <c r="AJ423" s="378">
        <f>IF(NFI_Expiration=1,IF($A423&lt;VLOOKUP(S$5,NFI,5,0),1,0)*Table_NFI[[#This Row],[Winter Clothes Children]],Table_NFI[Winter Clothes Children])</f>
        <v>0</v>
      </c>
      <c r="AK423" s="378">
        <f>IF(NFI_Expiration=1,IF($A423&lt;VLOOKUP(T$5,NFI,5,0),1,0)*Table_NFI[[#This Row],[Winter Items Other]],Table_NFI[Winter Items Other])</f>
        <v>0</v>
      </c>
      <c r="AL423" s="378">
        <f>IF(NFI_Expiration=1,IF($A423&lt;VLOOKUP(M$5,NFI,5,0),1,0)*Table_NFI[[#This Row],[Winter Blanket]],Table_NFI[[#This Row],[Winter Blanket]])</f>
        <v>0</v>
      </c>
      <c r="AM423" s="378">
        <f>IF(Table_NFI[[#This Row],[Winter Clothes Adult]]+Table_NFI[[#This Row],[Winter Clothes Children]]+Table_NFI[[#This Row],[Winter Items Other]]+Table_NFI[[#This Row],[Winter Blanket]]&gt;0,1,0)</f>
        <v>0</v>
      </c>
      <c r="AN423" s="418">
        <f>IF(NFI_Expiration=1,IF($A423&lt;VLOOKUP(V$5,NFI,5,0),1,0)*Table_NFI[[#This Row],[Jerry Can]],Table_NFI[Jerry Can])</f>
        <v>0</v>
      </c>
      <c r="AO423" s="579" t="str">
        <f>IFERROR(VLOOKUP(Table_NFI[[#This Row],[Camp Name]],CL,2,0),"")</f>
        <v>MMR001CMP016</v>
      </c>
      <c r="AP423" s="574">
        <f ca="1">IF(Table_NFI[[#This Row],[Pcode]]="","",IF(OFFSET(CampList[Opening Date],MATCH(Table_NFI[[#This Row],[Pcode]],CampList[CP_Pcode],0)-1,0,1,1)&gt;=NFI_Monitor_Date,1,0))</f>
        <v>0</v>
      </c>
      <c r="AQ423" s="579" t="str">
        <f>IFERROR(VLOOKUP(Table_NFI[[#This Row],[Camp Name]],CL,3,0),"")</f>
        <v>Open</v>
      </c>
      <c r="AR423" s="378" t="str">
        <f ca="1">IF(Table_NFI[[#This Row],[Pcode]]="","",OFFSET(CampList[Priority],MATCH(Table_NFI[[#This Row],[Pcode]],CampList[CP_Pcode],0)-1,0,1,1))</f>
        <v>P4</v>
      </c>
      <c r="AS423" s="377">
        <f>IFERROR(Table_NFI[[#This Row],[Kitchen Set]]/VLOOKUP(Table_NFI[[#This Row],[Camp Name]],CL,4,0),"")</f>
        <v>0.05</v>
      </c>
      <c r="AT423" s="572" t="s">
        <v>1095</v>
      </c>
      <c r="AU423" s="575"/>
    </row>
    <row r="424" spans="1:47" s="576" customFormat="1" x14ac:dyDescent="0.25">
      <c r="A424" s="381">
        <f t="shared" si="6"/>
        <v>55.366666666666667</v>
      </c>
      <c r="B424" s="571">
        <v>40861</v>
      </c>
      <c r="C424" s="572" t="s">
        <v>454</v>
      </c>
      <c r="D424" s="573" t="s">
        <v>462</v>
      </c>
      <c r="E424" s="572" t="s">
        <v>380</v>
      </c>
      <c r="F424" s="374" t="s">
        <v>237</v>
      </c>
      <c r="G424" s="374" t="s">
        <v>259</v>
      </c>
      <c r="H424" s="375"/>
      <c r="I424" s="375"/>
      <c r="J424" s="375"/>
      <c r="K424" s="375">
        <v>57</v>
      </c>
      <c r="L424" s="376">
        <v>30</v>
      </c>
      <c r="M424" s="376">
        <v>57</v>
      </c>
      <c r="N424" s="376">
        <v>30</v>
      </c>
      <c r="O424" s="376">
        <v>30</v>
      </c>
      <c r="P424" s="378">
        <v>30</v>
      </c>
      <c r="Q424" s="378">
        <v>30</v>
      </c>
      <c r="R424" s="378"/>
      <c r="S424" s="378"/>
      <c r="T424" s="378"/>
      <c r="U424" s="378"/>
      <c r="V424" s="533"/>
      <c r="W424" s="378"/>
      <c r="X424" s="378"/>
      <c r="Y424" s="378">
        <f>IF(NFI_Expiration=1,IF($A424&lt;VLOOKUP(H$5,NFI,5,0),1,0)*Table_NFI[[#This Row],[Hygiene Kit]],Table_NFI[Hygiene Kit])</f>
        <v>0</v>
      </c>
      <c r="Z424" s="378">
        <f>IF(NFI_Expiration=1,IF($A424&lt;VLOOKUP(I$5,NFI,5,0),1,0)*Table_NFI[[#This Row],[NFI Core Kit]],Table_NFI[NFI Core Kit])</f>
        <v>0</v>
      </c>
      <c r="AA424" s="378">
        <f>IF(NFI_Expiration=1,IF($A424&lt;VLOOKUP(J$5,NFI,5,0),1,0)*Table_NFI[[#This Row],[Sanitary Kit]],Table_NFI[Sanitary Kit])</f>
        <v>0</v>
      </c>
      <c r="AB424" s="378">
        <f>IF(NFI_Expiration=1,IF($A424&lt;VLOOKUP(K$5,NFI,5,0),1,0)*Table_NFI[[#This Row],[Mosquito net]],Table_NFI[Mosquito net])</f>
        <v>0</v>
      </c>
      <c r="AC424" s="378">
        <f>IF(NFI_Expiration=1,IF($A424&lt;VLOOKUP(L$5,NFI,5,0),1,0)*Table_NFI[[#This Row],[Tarpaulin]],Table_NFI[[#This Row],[Tarpaulin]])</f>
        <v>0</v>
      </c>
      <c r="AD424" s="378">
        <f>IF(NFI_Expiration=1,IF($A424&lt;VLOOKUP(M$5,NFI,5,0),1,0)*Table_NFI[[#This Row],[Blanket]],Table_NFI[[#This Row],[Blanket]])</f>
        <v>0</v>
      </c>
      <c r="AE424" s="378">
        <f>IF(NFI_Expiration=1,IF($A424&lt;VLOOKUP(N$5,NFI,5,0),1,0)*Table_NFI[[#This Row],[Kitchen Set]],Table_NFI[Kitchen Set])</f>
        <v>0</v>
      </c>
      <c r="AF424" s="378">
        <f>IF(NFI_Expiration=1,IF($A424&lt;VLOOKUP(O$5,NFI,5,0),1,0)*Table_NFI[[#This Row],[Clothes Kit]],Table_NFI[Clothes Kit])</f>
        <v>0</v>
      </c>
      <c r="AG424" s="378">
        <f>IF(NFI_Expiration=1,IF($A424&lt;VLOOKUP(P$5,NFI,5,0),1,0)*Table_NFI[[#This Row],[Plastic Bucket]],Table_NFI[Plastic Bucket])</f>
        <v>0</v>
      </c>
      <c r="AH424" s="378">
        <f>IF(NFI_Expiration=1,IF($A424&lt;VLOOKUP(Q$5,NFI,5,0),1,0)*Table_NFI[[#This Row],[Plastic Mat]],Table_NFI[Plastic Mat])*IF(Table_NFI[[#This Row],[Distribution Date]]&gt;"2014-04-01",1,2.5)</f>
        <v>0</v>
      </c>
      <c r="AI424" s="378">
        <f>IF(NFI_Expiration=1,IF($A424&lt;VLOOKUP(R$5,NFI,5,0),1,0)*Table_NFI[[#This Row],[Winter Clothes Adult]],Table_NFI[Winter Clothes Adult])</f>
        <v>0</v>
      </c>
      <c r="AJ424" s="378">
        <f>IF(NFI_Expiration=1,IF($A424&lt;VLOOKUP(S$5,NFI,5,0),1,0)*Table_NFI[[#This Row],[Winter Clothes Children]],Table_NFI[Winter Clothes Children])</f>
        <v>0</v>
      </c>
      <c r="AK424" s="378">
        <f>IF(NFI_Expiration=1,IF($A424&lt;VLOOKUP(T$5,NFI,5,0),1,0)*Table_NFI[[#This Row],[Winter Items Other]],Table_NFI[Winter Items Other])</f>
        <v>0</v>
      </c>
      <c r="AL424" s="378">
        <f>IF(NFI_Expiration=1,IF($A424&lt;VLOOKUP(M$5,NFI,5,0),1,0)*Table_NFI[[#This Row],[Winter Blanket]],Table_NFI[[#This Row],[Winter Blanket]])</f>
        <v>0</v>
      </c>
      <c r="AM424" s="378">
        <f>IF(Table_NFI[[#This Row],[Winter Clothes Adult]]+Table_NFI[[#This Row],[Winter Clothes Children]]+Table_NFI[[#This Row],[Winter Items Other]]+Table_NFI[[#This Row],[Winter Blanket]]&gt;0,1,0)</f>
        <v>0</v>
      </c>
      <c r="AN424" s="418">
        <f>IF(NFI_Expiration=1,IF($A424&lt;VLOOKUP(V$5,NFI,5,0),1,0)*Table_NFI[[#This Row],[Jerry Can]],Table_NFI[Jerry Can])</f>
        <v>0</v>
      </c>
      <c r="AO424" s="579" t="str">
        <f>IFERROR(VLOOKUP(Table_NFI[[#This Row],[Camp Name]],CL,2,0),"")</f>
        <v>MMR001CMP016</v>
      </c>
      <c r="AP424" s="574">
        <f ca="1">IF(Table_NFI[[#This Row],[Pcode]]="","",IF(OFFSET(CampList[Opening Date],MATCH(Table_NFI[[#This Row],[Pcode]],CampList[CP_Pcode],0)-1,0,1,1)&gt;=NFI_Monitor_Date,1,0))</f>
        <v>0</v>
      </c>
      <c r="AQ424" s="579" t="str">
        <f>IFERROR(VLOOKUP(Table_NFI[[#This Row],[Camp Name]],CL,3,0),"")</f>
        <v>Open</v>
      </c>
      <c r="AR424" s="378" t="str">
        <f ca="1">IF(Table_NFI[[#This Row],[Pcode]]="","",OFFSET(CampList[Priority],MATCH(Table_NFI[[#This Row],[Pcode]],CampList[CP_Pcode],0)-1,0,1,1))</f>
        <v>P4</v>
      </c>
      <c r="AS424" s="377">
        <f>IFERROR(Table_NFI[[#This Row],[Kitchen Set]]/VLOOKUP(Table_NFI[[#This Row],[Camp Name]],CL,4,0),"")</f>
        <v>0.5</v>
      </c>
      <c r="AT424" s="572" t="s">
        <v>1095</v>
      </c>
      <c r="AU424" s="575"/>
    </row>
    <row r="425" spans="1:47" s="576" customFormat="1" x14ac:dyDescent="0.25">
      <c r="A425" s="381">
        <f t="shared" si="6"/>
        <v>12.833333333333334</v>
      </c>
      <c r="B425" s="571">
        <v>42137</v>
      </c>
      <c r="C425" s="572" t="s">
        <v>454</v>
      </c>
      <c r="D425" s="572" t="s">
        <v>1092</v>
      </c>
      <c r="E425" s="572" t="s">
        <v>380</v>
      </c>
      <c r="F425" s="572" t="s">
        <v>185</v>
      </c>
      <c r="G425" s="374" t="s">
        <v>202</v>
      </c>
      <c r="H425" s="375"/>
      <c r="I425" s="375"/>
      <c r="J425" s="375"/>
      <c r="K425" s="375"/>
      <c r="L425" s="376"/>
      <c r="M425" s="376">
        <v>28</v>
      </c>
      <c r="N425" s="376"/>
      <c r="O425" s="376"/>
      <c r="P425" s="378"/>
      <c r="Q425" s="378"/>
      <c r="R425" s="378"/>
      <c r="S425" s="378"/>
      <c r="T425" s="378"/>
      <c r="U425" s="378"/>
      <c r="V425" s="533"/>
      <c r="W425" s="378"/>
      <c r="X425" s="378"/>
      <c r="Y425" s="378">
        <f>IF(NFI_Expiration=1,IF($A425&lt;VLOOKUP(H$5,NFI,5,0),1,0)*Table_NFI[[#This Row],[Hygiene Kit]],Table_NFI[Hygiene Kit])</f>
        <v>0</v>
      </c>
      <c r="Z425" s="378">
        <f>IF(NFI_Expiration=1,IF($A425&lt;VLOOKUP(I$5,NFI,5,0),1,0)*Table_NFI[[#This Row],[NFI Core Kit]],Table_NFI[NFI Core Kit])</f>
        <v>0</v>
      </c>
      <c r="AA425" s="378">
        <f>IF(NFI_Expiration=1,IF($A425&lt;VLOOKUP(J$5,NFI,5,0),1,0)*Table_NFI[[#This Row],[Sanitary Kit]],Table_NFI[Sanitary Kit])</f>
        <v>0</v>
      </c>
      <c r="AB425" s="378">
        <f>IF(NFI_Expiration=1,IF($A425&lt;VLOOKUP(K$5,NFI,5,0),1,0)*Table_NFI[[#This Row],[Mosquito net]],Table_NFI[Mosquito net])</f>
        <v>0</v>
      </c>
      <c r="AC425" s="378">
        <f>IF(NFI_Expiration=1,IF($A425&lt;VLOOKUP(L$5,NFI,5,0),1,0)*Table_NFI[[#This Row],[Tarpaulin]],Table_NFI[[#This Row],[Tarpaulin]])</f>
        <v>0</v>
      </c>
      <c r="AD425" s="378">
        <f>IF(NFI_Expiration=1,IF($A425&lt;VLOOKUP(M$5,NFI,5,0),1,0)*Table_NFI[[#This Row],[Blanket]],Table_NFI[[#This Row],[Blanket]])</f>
        <v>0</v>
      </c>
      <c r="AE425" s="378">
        <f>IF(NFI_Expiration=1,IF($A425&lt;VLOOKUP(N$5,NFI,5,0),1,0)*Table_NFI[[#This Row],[Kitchen Set]],Table_NFI[Kitchen Set])</f>
        <v>0</v>
      </c>
      <c r="AF425" s="378">
        <f>IF(NFI_Expiration=1,IF($A425&lt;VLOOKUP(O$5,NFI,5,0),1,0)*Table_NFI[[#This Row],[Clothes Kit]],Table_NFI[Clothes Kit])</f>
        <v>0</v>
      </c>
      <c r="AG425" s="378">
        <f>IF(NFI_Expiration=1,IF($A425&lt;VLOOKUP(P$5,NFI,5,0),1,0)*Table_NFI[[#This Row],[Plastic Bucket]],Table_NFI[Plastic Bucket])</f>
        <v>0</v>
      </c>
      <c r="AH425" s="378">
        <f>IF(NFI_Expiration=1,IF($A425&lt;VLOOKUP(Q$5,NFI,5,0),1,0)*Table_NFI[[#This Row],[Plastic Mat]],Table_NFI[Plastic Mat])*IF(Table_NFI[[#This Row],[Distribution Date]]&gt;"2014-04-01",1,2.5)</f>
        <v>0</v>
      </c>
      <c r="AI425" s="378">
        <f>IF(NFI_Expiration=1,IF($A425&lt;VLOOKUP(R$5,NFI,5,0),1,0)*Table_NFI[[#This Row],[Winter Clothes Adult]],Table_NFI[Winter Clothes Adult])</f>
        <v>0</v>
      </c>
      <c r="AJ425" s="378">
        <f>IF(NFI_Expiration=1,IF($A425&lt;VLOOKUP(S$5,NFI,5,0),1,0)*Table_NFI[[#This Row],[Winter Clothes Children]],Table_NFI[Winter Clothes Children])</f>
        <v>0</v>
      </c>
      <c r="AK425" s="378">
        <f>IF(NFI_Expiration=1,IF($A425&lt;VLOOKUP(T$5,NFI,5,0),1,0)*Table_NFI[[#This Row],[Winter Items Other]],Table_NFI[Winter Items Other])</f>
        <v>0</v>
      </c>
      <c r="AL425" s="378">
        <f>IF(NFI_Expiration=1,IF($A425&lt;VLOOKUP(M$5,NFI,5,0),1,0)*Table_NFI[[#This Row],[Winter Blanket]],Table_NFI[[#This Row],[Winter Blanket]])</f>
        <v>0</v>
      </c>
      <c r="AM425" s="378">
        <f>IF(Table_NFI[[#This Row],[Winter Clothes Adult]]+Table_NFI[[#This Row],[Winter Clothes Children]]+Table_NFI[[#This Row],[Winter Items Other]]+Table_NFI[[#This Row],[Winter Blanket]]&gt;0,1,0)</f>
        <v>0</v>
      </c>
      <c r="AN425" s="418">
        <f>IF(NFI_Expiration=1,IF($A425&lt;VLOOKUP(V$5,NFI,5,0),1,0)*Table_NFI[[#This Row],[Jerry Can]],Table_NFI[Jerry Can])</f>
        <v>0</v>
      </c>
      <c r="AO425" s="579" t="str">
        <f>IFERROR(VLOOKUP(Table_NFI[[#This Row],[Camp Name]],CL,2,0),"")</f>
        <v>MMR001CMP062</v>
      </c>
      <c r="AP425" s="574">
        <f ca="1">IF(Table_NFI[[#This Row],[Pcode]]="","",IF(OFFSET(CampList[Opening Date],MATCH(Table_NFI[[#This Row],[Pcode]],CampList[CP_Pcode],0)-1,0,1,1)&gt;=NFI_Monitor_Date,1,0))</f>
        <v>0</v>
      </c>
      <c r="AQ425" s="579" t="str">
        <f>IFERROR(VLOOKUP(Table_NFI[[#This Row],[Camp Name]],CL,3,0),"")</f>
        <v>Open</v>
      </c>
      <c r="AR425" s="378" t="str">
        <f ca="1">IF(Table_NFI[[#This Row],[Pcode]]="","",OFFSET(CampList[Priority],MATCH(Table_NFI[[#This Row],[Pcode]],CampList[CP_Pcode],0)-1,0,1,1))</f>
        <v>P4</v>
      </c>
      <c r="AS425" s="377">
        <f>IFERROR(Table_NFI[[#This Row],[Kitchen Set]]/VLOOKUP(Table_NFI[[#This Row],[Camp Name]],CL,4,0),"")</f>
        <v>0</v>
      </c>
      <c r="AT425" s="572" t="s">
        <v>1095</v>
      </c>
      <c r="AU425" s="575"/>
    </row>
    <row r="426" spans="1:47" s="576" customFormat="1" x14ac:dyDescent="0.25">
      <c r="A426" s="381">
        <f t="shared" si="6"/>
        <v>19.933333333333334</v>
      </c>
      <c r="B426" s="571">
        <v>41924</v>
      </c>
      <c r="C426" s="572" t="s">
        <v>454</v>
      </c>
      <c r="D426" s="572"/>
      <c r="E426" s="572" t="s">
        <v>380</v>
      </c>
      <c r="F426" s="572" t="s">
        <v>185</v>
      </c>
      <c r="G426" s="572" t="s">
        <v>202</v>
      </c>
      <c r="H426" s="375"/>
      <c r="I426" s="375"/>
      <c r="J426" s="375"/>
      <c r="K426" s="375"/>
      <c r="L426" s="376">
        <v>25</v>
      </c>
      <c r="M426" s="376"/>
      <c r="N426" s="376"/>
      <c r="O426" s="376"/>
      <c r="P426" s="378"/>
      <c r="Q426" s="378"/>
      <c r="R426" s="378"/>
      <c r="S426" s="378"/>
      <c r="T426" s="378"/>
      <c r="U426" s="378"/>
      <c r="V426" s="533"/>
      <c r="W426" s="378"/>
      <c r="X426" s="378"/>
      <c r="Y426" s="378">
        <f>IF(NFI_Expiration=1,IF($A426&lt;VLOOKUP(H$5,NFI,5,0),1,0)*Table_NFI[[#This Row],[Hygiene Kit]],Table_NFI[Hygiene Kit])</f>
        <v>0</v>
      </c>
      <c r="Z426" s="378">
        <f>IF(NFI_Expiration=1,IF($A426&lt;VLOOKUP(I$5,NFI,5,0),1,0)*Table_NFI[[#This Row],[NFI Core Kit]],Table_NFI[NFI Core Kit])</f>
        <v>0</v>
      </c>
      <c r="AA426" s="378">
        <f>IF(NFI_Expiration=1,IF($A426&lt;VLOOKUP(J$5,NFI,5,0),1,0)*Table_NFI[[#This Row],[Sanitary Kit]],Table_NFI[Sanitary Kit])</f>
        <v>0</v>
      </c>
      <c r="AB426" s="378">
        <f>IF(NFI_Expiration=1,IF($A426&lt;VLOOKUP(K$5,NFI,5,0),1,0)*Table_NFI[[#This Row],[Mosquito net]],Table_NFI[Mosquito net])</f>
        <v>0</v>
      </c>
      <c r="AC426" s="378">
        <f>IF(NFI_Expiration=1,IF($A426&lt;VLOOKUP(L$5,NFI,5,0),1,0)*Table_NFI[[#This Row],[Tarpaulin]],Table_NFI[[#This Row],[Tarpaulin]])</f>
        <v>0</v>
      </c>
      <c r="AD426" s="378">
        <f>IF(NFI_Expiration=1,IF($A426&lt;VLOOKUP(M$5,NFI,5,0),1,0)*Table_NFI[[#This Row],[Blanket]],Table_NFI[[#This Row],[Blanket]])</f>
        <v>0</v>
      </c>
      <c r="AE426" s="378">
        <f>IF(NFI_Expiration=1,IF($A426&lt;VLOOKUP(N$5,NFI,5,0),1,0)*Table_NFI[[#This Row],[Kitchen Set]],Table_NFI[Kitchen Set])</f>
        <v>0</v>
      </c>
      <c r="AF426" s="378">
        <f>IF(NFI_Expiration=1,IF($A426&lt;VLOOKUP(O$5,NFI,5,0),1,0)*Table_NFI[[#This Row],[Clothes Kit]],Table_NFI[Clothes Kit])</f>
        <v>0</v>
      </c>
      <c r="AG426" s="378">
        <f>IF(NFI_Expiration=1,IF($A426&lt;VLOOKUP(P$5,NFI,5,0),1,0)*Table_NFI[[#This Row],[Plastic Bucket]],Table_NFI[Plastic Bucket])</f>
        <v>0</v>
      </c>
      <c r="AH426" s="378">
        <f>IF(NFI_Expiration=1,IF($A426&lt;VLOOKUP(Q$5,NFI,5,0),1,0)*Table_NFI[[#This Row],[Plastic Mat]],Table_NFI[Plastic Mat])*IF(Table_NFI[[#This Row],[Distribution Date]]&gt;"2014-04-01",1,2.5)</f>
        <v>0</v>
      </c>
      <c r="AI426" s="378">
        <f>IF(NFI_Expiration=1,IF($A426&lt;VLOOKUP(R$5,NFI,5,0),1,0)*Table_NFI[[#This Row],[Winter Clothes Adult]],Table_NFI[Winter Clothes Adult])</f>
        <v>0</v>
      </c>
      <c r="AJ426" s="378">
        <f>IF(NFI_Expiration=1,IF($A426&lt;VLOOKUP(S$5,NFI,5,0),1,0)*Table_NFI[[#This Row],[Winter Clothes Children]],Table_NFI[Winter Clothes Children])</f>
        <v>0</v>
      </c>
      <c r="AK426" s="378">
        <f>IF(NFI_Expiration=1,IF($A426&lt;VLOOKUP(T$5,NFI,5,0),1,0)*Table_NFI[[#This Row],[Winter Items Other]],Table_NFI[Winter Items Other])</f>
        <v>0</v>
      </c>
      <c r="AL426" s="378">
        <f>IF(NFI_Expiration=1,IF($A426&lt;VLOOKUP(M$5,NFI,5,0),1,0)*Table_NFI[[#This Row],[Winter Blanket]],Table_NFI[[#This Row],[Winter Blanket]])</f>
        <v>0</v>
      </c>
      <c r="AM426" s="378">
        <f>IF(Table_NFI[[#This Row],[Winter Clothes Adult]]+Table_NFI[[#This Row],[Winter Clothes Children]]+Table_NFI[[#This Row],[Winter Items Other]]+Table_NFI[[#This Row],[Winter Blanket]]&gt;0,1,0)</f>
        <v>0</v>
      </c>
      <c r="AN426" s="418">
        <f>IF(NFI_Expiration=1,IF($A426&lt;VLOOKUP(V$5,NFI,5,0),1,0)*Table_NFI[[#This Row],[Jerry Can]],Table_NFI[Jerry Can])</f>
        <v>0</v>
      </c>
      <c r="AO426" s="579" t="str">
        <f>IFERROR(VLOOKUP(Table_NFI[[#This Row],[Camp Name]],CL,2,0),"")</f>
        <v>MMR001CMP062</v>
      </c>
      <c r="AP426" s="574">
        <f ca="1">IF(Table_NFI[[#This Row],[Pcode]]="","",IF(OFFSET(CampList[Opening Date],MATCH(Table_NFI[[#This Row],[Pcode]],CampList[CP_Pcode],0)-1,0,1,1)&gt;=NFI_Monitor_Date,1,0))</f>
        <v>0</v>
      </c>
      <c r="AQ426" s="579" t="str">
        <f>IFERROR(VLOOKUP(Table_NFI[[#This Row],[Camp Name]],CL,3,0),"")</f>
        <v>Open</v>
      </c>
      <c r="AR426" s="378" t="str">
        <f ca="1">IF(Table_NFI[[#This Row],[Pcode]]="","",OFFSET(CampList[Priority],MATCH(Table_NFI[[#This Row],[Pcode]],CampList[CP_Pcode],0)-1,0,1,1))</f>
        <v>P4</v>
      </c>
      <c r="AS426" s="377">
        <f>IFERROR(Table_NFI[[#This Row],[Kitchen Set]]/VLOOKUP(Table_NFI[[#This Row],[Camp Name]],CL,4,0),"")</f>
        <v>0</v>
      </c>
      <c r="AT426" s="572"/>
      <c r="AU426" s="575"/>
    </row>
    <row r="427" spans="1:47" s="576" customFormat="1" x14ac:dyDescent="0.25">
      <c r="A427" s="381">
        <f t="shared" si="6"/>
        <v>30.466666666666665</v>
      </c>
      <c r="B427" s="571">
        <v>41608</v>
      </c>
      <c r="C427" s="572" t="s">
        <v>908</v>
      </c>
      <c r="D427" s="572"/>
      <c r="E427" s="572" t="s">
        <v>380</v>
      </c>
      <c r="F427" s="374" t="s">
        <v>185</v>
      </c>
      <c r="G427" s="374" t="s">
        <v>202</v>
      </c>
      <c r="H427" s="375"/>
      <c r="I427" s="375"/>
      <c r="J427" s="375"/>
      <c r="K427" s="375"/>
      <c r="L427" s="376"/>
      <c r="M427" s="376"/>
      <c r="N427" s="376"/>
      <c r="O427" s="376"/>
      <c r="P427" s="378"/>
      <c r="Q427" s="378">
        <v>141</v>
      </c>
      <c r="R427" s="378"/>
      <c r="S427" s="378"/>
      <c r="T427" s="378"/>
      <c r="U427" s="378"/>
      <c r="V427" s="533"/>
      <c r="W427" s="378"/>
      <c r="X427" s="378"/>
      <c r="Y427" s="378">
        <f>IF(NFI_Expiration=1,IF($A427&lt;VLOOKUP(H$5,NFI,5,0),1,0)*Table_NFI[[#This Row],[Hygiene Kit]],Table_NFI[Hygiene Kit])</f>
        <v>0</v>
      </c>
      <c r="Z427" s="378">
        <f>IF(NFI_Expiration=1,IF($A427&lt;VLOOKUP(I$5,NFI,5,0),1,0)*Table_NFI[[#This Row],[NFI Core Kit]],Table_NFI[NFI Core Kit])</f>
        <v>0</v>
      </c>
      <c r="AA427" s="378">
        <f>IF(NFI_Expiration=1,IF($A427&lt;VLOOKUP(J$5,NFI,5,0),1,0)*Table_NFI[[#This Row],[Sanitary Kit]],Table_NFI[Sanitary Kit])</f>
        <v>0</v>
      </c>
      <c r="AB427" s="378">
        <f>IF(NFI_Expiration=1,IF($A427&lt;VLOOKUP(K$5,NFI,5,0),1,0)*Table_NFI[[#This Row],[Mosquito net]],Table_NFI[Mosquito net])</f>
        <v>0</v>
      </c>
      <c r="AC427" s="378">
        <f>IF(NFI_Expiration=1,IF($A427&lt;VLOOKUP(L$5,NFI,5,0),1,0)*Table_NFI[[#This Row],[Tarpaulin]],Table_NFI[[#This Row],[Tarpaulin]])</f>
        <v>0</v>
      </c>
      <c r="AD427" s="378">
        <f>IF(NFI_Expiration=1,IF($A427&lt;VLOOKUP(M$5,NFI,5,0),1,0)*Table_NFI[[#This Row],[Blanket]],Table_NFI[[#This Row],[Blanket]])</f>
        <v>0</v>
      </c>
      <c r="AE427" s="378">
        <f>IF(NFI_Expiration=1,IF($A427&lt;VLOOKUP(N$5,NFI,5,0),1,0)*Table_NFI[[#This Row],[Kitchen Set]],Table_NFI[Kitchen Set])</f>
        <v>0</v>
      </c>
      <c r="AF427" s="378">
        <f>IF(NFI_Expiration=1,IF($A427&lt;VLOOKUP(O$5,NFI,5,0),1,0)*Table_NFI[[#This Row],[Clothes Kit]],Table_NFI[Clothes Kit])</f>
        <v>0</v>
      </c>
      <c r="AG427" s="378">
        <f>IF(NFI_Expiration=1,IF($A427&lt;VLOOKUP(P$5,NFI,5,0),1,0)*Table_NFI[[#This Row],[Plastic Bucket]],Table_NFI[Plastic Bucket])</f>
        <v>0</v>
      </c>
      <c r="AH427" s="378">
        <f>IF(NFI_Expiration=1,IF($A427&lt;VLOOKUP(Q$5,NFI,5,0),1,0)*Table_NFI[[#This Row],[Plastic Mat]],Table_NFI[Plastic Mat])*IF(Table_NFI[[#This Row],[Distribution Date]]&gt;"2014-04-01",1,2.5)</f>
        <v>0</v>
      </c>
      <c r="AI427" s="378">
        <f>IF(NFI_Expiration=1,IF($A427&lt;VLOOKUP(R$5,NFI,5,0),1,0)*Table_NFI[[#This Row],[Winter Clothes Adult]],Table_NFI[Winter Clothes Adult])</f>
        <v>0</v>
      </c>
      <c r="AJ427" s="378">
        <f>IF(NFI_Expiration=1,IF($A427&lt;VLOOKUP(S$5,NFI,5,0),1,0)*Table_NFI[[#This Row],[Winter Clothes Children]],Table_NFI[Winter Clothes Children])</f>
        <v>0</v>
      </c>
      <c r="AK427" s="378">
        <f>IF(NFI_Expiration=1,IF($A427&lt;VLOOKUP(T$5,NFI,5,0),1,0)*Table_NFI[[#This Row],[Winter Items Other]],Table_NFI[Winter Items Other])</f>
        <v>0</v>
      </c>
      <c r="AL427" s="378">
        <f>IF(NFI_Expiration=1,IF($A427&lt;VLOOKUP(M$5,NFI,5,0),1,0)*Table_NFI[[#This Row],[Winter Blanket]],Table_NFI[[#This Row],[Winter Blanket]])</f>
        <v>0</v>
      </c>
      <c r="AM427" s="378">
        <f>IF(Table_NFI[[#This Row],[Winter Clothes Adult]]+Table_NFI[[#This Row],[Winter Clothes Children]]+Table_NFI[[#This Row],[Winter Items Other]]+Table_NFI[[#This Row],[Winter Blanket]]&gt;0,1,0)</f>
        <v>0</v>
      </c>
      <c r="AN427" s="418">
        <f>IF(NFI_Expiration=1,IF($A427&lt;VLOOKUP(V$5,NFI,5,0),1,0)*Table_NFI[[#This Row],[Jerry Can]],Table_NFI[Jerry Can])</f>
        <v>0</v>
      </c>
      <c r="AO427" s="579" t="str">
        <f>IFERROR(VLOOKUP(Table_NFI[[#This Row],[Camp Name]],CL,2,0),"")</f>
        <v>MMR001CMP062</v>
      </c>
      <c r="AP427" s="574">
        <f ca="1">IF(Table_NFI[[#This Row],[Pcode]]="","",IF(OFFSET(CampList[Opening Date],MATCH(Table_NFI[[#This Row],[Pcode]],CampList[CP_Pcode],0)-1,0,1,1)&gt;=NFI_Monitor_Date,1,0))</f>
        <v>0</v>
      </c>
      <c r="AQ427" s="579" t="str">
        <f>IFERROR(VLOOKUP(Table_NFI[[#This Row],[Camp Name]],CL,3,0),"")</f>
        <v>Open</v>
      </c>
      <c r="AR427" s="378" t="str">
        <f ca="1">IF(Table_NFI[[#This Row],[Pcode]]="","",OFFSET(CampList[Priority],MATCH(Table_NFI[[#This Row],[Pcode]],CampList[CP_Pcode],0)-1,0,1,1))</f>
        <v>P4</v>
      </c>
      <c r="AS427" s="377">
        <f>IFERROR(Table_NFI[[#This Row],[Kitchen Set]]/VLOOKUP(Table_NFI[[#This Row],[Camp Name]],CL,4,0),"")</f>
        <v>0</v>
      </c>
      <c r="AT427" s="572" t="s">
        <v>1095</v>
      </c>
      <c r="AU427" s="575"/>
    </row>
    <row r="428" spans="1:47" s="576" customFormat="1" x14ac:dyDescent="0.25">
      <c r="A428" s="381">
        <f t="shared" si="6"/>
        <v>40.799999999999997</v>
      </c>
      <c r="B428" s="571">
        <v>41298</v>
      </c>
      <c r="C428" s="572" t="s">
        <v>908</v>
      </c>
      <c r="D428" s="573" t="s">
        <v>908</v>
      </c>
      <c r="E428" s="572" t="s">
        <v>380</v>
      </c>
      <c r="F428" s="374" t="s">
        <v>185</v>
      </c>
      <c r="G428" s="374" t="s">
        <v>202</v>
      </c>
      <c r="H428" s="375">
        <v>200</v>
      </c>
      <c r="I428" s="375"/>
      <c r="J428" s="375">
        <v>250</v>
      </c>
      <c r="K428" s="375"/>
      <c r="L428" s="376"/>
      <c r="M428" s="376"/>
      <c r="N428" s="376"/>
      <c r="O428" s="376"/>
      <c r="P428" s="378">
        <v>0</v>
      </c>
      <c r="Q428" s="378">
        <v>0</v>
      </c>
      <c r="R428" s="378"/>
      <c r="S428" s="378"/>
      <c r="T428" s="378"/>
      <c r="U428" s="378"/>
      <c r="V428" s="533"/>
      <c r="W428" s="378"/>
      <c r="X428" s="378"/>
      <c r="Y428" s="378">
        <f>IF(NFI_Expiration=1,IF($A428&lt;VLOOKUP(H$5,NFI,5,0),1,0)*Table_NFI[[#This Row],[Hygiene Kit]],Table_NFI[Hygiene Kit])</f>
        <v>0</v>
      </c>
      <c r="Z428" s="378">
        <f>IF(NFI_Expiration=1,IF($A428&lt;VLOOKUP(I$5,NFI,5,0),1,0)*Table_NFI[[#This Row],[NFI Core Kit]],Table_NFI[NFI Core Kit])</f>
        <v>0</v>
      </c>
      <c r="AA428" s="378">
        <f>IF(NFI_Expiration=1,IF($A428&lt;VLOOKUP(J$5,NFI,5,0),1,0)*Table_NFI[[#This Row],[Sanitary Kit]],Table_NFI[Sanitary Kit])</f>
        <v>0</v>
      </c>
      <c r="AB428" s="378">
        <f>IF(NFI_Expiration=1,IF($A428&lt;VLOOKUP(K$5,NFI,5,0),1,0)*Table_NFI[[#This Row],[Mosquito net]],Table_NFI[Mosquito net])</f>
        <v>0</v>
      </c>
      <c r="AC428" s="378">
        <f>IF(NFI_Expiration=1,IF($A428&lt;VLOOKUP(L$5,NFI,5,0),1,0)*Table_NFI[[#This Row],[Tarpaulin]],Table_NFI[[#This Row],[Tarpaulin]])</f>
        <v>0</v>
      </c>
      <c r="AD428" s="378">
        <f>IF(NFI_Expiration=1,IF($A428&lt;VLOOKUP(M$5,NFI,5,0),1,0)*Table_NFI[[#This Row],[Blanket]],Table_NFI[[#This Row],[Blanket]])</f>
        <v>0</v>
      </c>
      <c r="AE428" s="378">
        <f>IF(NFI_Expiration=1,IF($A428&lt;VLOOKUP(N$5,NFI,5,0),1,0)*Table_NFI[[#This Row],[Kitchen Set]],Table_NFI[Kitchen Set])</f>
        <v>0</v>
      </c>
      <c r="AF428" s="378">
        <f>IF(NFI_Expiration=1,IF($A428&lt;VLOOKUP(O$5,NFI,5,0),1,0)*Table_NFI[[#This Row],[Clothes Kit]],Table_NFI[Clothes Kit])</f>
        <v>0</v>
      </c>
      <c r="AG428" s="378">
        <f>IF(NFI_Expiration=1,IF($A428&lt;VLOOKUP(P$5,NFI,5,0),1,0)*Table_NFI[[#This Row],[Plastic Bucket]],Table_NFI[Plastic Bucket])</f>
        <v>0</v>
      </c>
      <c r="AH428" s="378">
        <f>IF(NFI_Expiration=1,IF($A428&lt;VLOOKUP(Q$5,NFI,5,0),1,0)*Table_NFI[[#This Row],[Plastic Mat]],Table_NFI[Plastic Mat])*IF(Table_NFI[[#This Row],[Distribution Date]]&gt;"2014-04-01",1,2.5)</f>
        <v>0</v>
      </c>
      <c r="AI428" s="378">
        <f>IF(NFI_Expiration=1,IF($A428&lt;VLOOKUP(R$5,NFI,5,0),1,0)*Table_NFI[[#This Row],[Winter Clothes Adult]],Table_NFI[Winter Clothes Adult])</f>
        <v>0</v>
      </c>
      <c r="AJ428" s="378">
        <f>IF(NFI_Expiration=1,IF($A428&lt;VLOOKUP(S$5,NFI,5,0),1,0)*Table_NFI[[#This Row],[Winter Clothes Children]],Table_NFI[Winter Clothes Children])</f>
        <v>0</v>
      </c>
      <c r="AK428" s="378">
        <f>IF(NFI_Expiration=1,IF($A428&lt;VLOOKUP(T$5,NFI,5,0),1,0)*Table_NFI[[#This Row],[Winter Items Other]],Table_NFI[Winter Items Other])</f>
        <v>0</v>
      </c>
      <c r="AL428" s="378">
        <f>IF(NFI_Expiration=1,IF($A428&lt;VLOOKUP(M$5,NFI,5,0),1,0)*Table_NFI[[#This Row],[Winter Blanket]],Table_NFI[[#This Row],[Winter Blanket]])</f>
        <v>0</v>
      </c>
      <c r="AM428" s="378">
        <f>IF(Table_NFI[[#This Row],[Winter Clothes Adult]]+Table_NFI[[#This Row],[Winter Clothes Children]]+Table_NFI[[#This Row],[Winter Items Other]]+Table_NFI[[#This Row],[Winter Blanket]]&gt;0,1,0)</f>
        <v>0</v>
      </c>
      <c r="AN428" s="418">
        <f>IF(NFI_Expiration=1,IF($A428&lt;VLOOKUP(V$5,NFI,5,0),1,0)*Table_NFI[[#This Row],[Jerry Can]],Table_NFI[Jerry Can])</f>
        <v>0</v>
      </c>
      <c r="AO428" s="579" t="str">
        <f>IFERROR(VLOOKUP(Table_NFI[[#This Row],[Camp Name]],CL,2,0),"")</f>
        <v>MMR001CMP062</v>
      </c>
      <c r="AP428" s="574">
        <f ca="1">IF(Table_NFI[[#This Row],[Pcode]]="","",IF(OFFSET(CampList[Opening Date],MATCH(Table_NFI[[#This Row],[Pcode]],CampList[CP_Pcode],0)-1,0,1,1)&gt;=NFI_Monitor_Date,1,0))</f>
        <v>0</v>
      </c>
      <c r="AQ428" s="579" t="str">
        <f>IFERROR(VLOOKUP(Table_NFI[[#This Row],[Camp Name]],CL,3,0),"")</f>
        <v>Open</v>
      </c>
      <c r="AR428" s="378" t="str">
        <f ca="1">IF(Table_NFI[[#This Row],[Pcode]]="","",OFFSET(CampList[Priority],MATCH(Table_NFI[[#This Row],[Pcode]],CampList[CP_Pcode],0)-1,0,1,1))</f>
        <v>P4</v>
      </c>
      <c r="AS428" s="377">
        <f>IFERROR(Table_NFI[[#This Row],[Kitchen Set]]/VLOOKUP(Table_NFI[[#This Row],[Camp Name]],CL,4,0),"")</f>
        <v>0</v>
      </c>
      <c r="AT428" s="572" t="s">
        <v>1095</v>
      </c>
      <c r="AU428" s="575"/>
    </row>
    <row r="429" spans="1:47" s="576" customFormat="1" x14ac:dyDescent="0.25">
      <c r="A429" s="381">
        <f t="shared" si="6"/>
        <v>45.1</v>
      </c>
      <c r="B429" s="571">
        <v>41169</v>
      </c>
      <c r="C429" s="572" t="s">
        <v>454</v>
      </c>
      <c r="D429" s="572" t="s">
        <v>454</v>
      </c>
      <c r="E429" s="572" t="s">
        <v>380</v>
      </c>
      <c r="F429" s="374" t="s">
        <v>185</v>
      </c>
      <c r="G429" s="374" t="s">
        <v>202</v>
      </c>
      <c r="H429" s="375"/>
      <c r="I429" s="375"/>
      <c r="J429" s="375"/>
      <c r="K429" s="375">
        <v>86</v>
      </c>
      <c r="L429" s="376">
        <v>43</v>
      </c>
      <c r="M429" s="376">
        <v>86</v>
      </c>
      <c r="N429" s="376">
        <v>43</v>
      </c>
      <c r="O429" s="376">
        <v>43</v>
      </c>
      <c r="P429" s="378">
        <v>43</v>
      </c>
      <c r="Q429" s="378">
        <v>43</v>
      </c>
      <c r="R429" s="378"/>
      <c r="S429" s="378"/>
      <c r="T429" s="378"/>
      <c r="U429" s="378"/>
      <c r="V429" s="533"/>
      <c r="W429" s="378"/>
      <c r="X429" s="378"/>
      <c r="Y429" s="378">
        <f>IF(NFI_Expiration=1,IF($A429&lt;VLOOKUP(H$5,NFI,5,0),1,0)*Table_NFI[[#This Row],[Hygiene Kit]],Table_NFI[Hygiene Kit])</f>
        <v>0</v>
      </c>
      <c r="Z429" s="378">
        <f>IF(NFI_Expiration=1,IF($A429&lt;VLOOKUP(I$5,NFI,5,0),1,0)*Table_NFI[[#This Row],[NFI Core Kit]],Table_NFI[NFI Core Kit])</f>
        <v>0</v>
      </c>
      <c r="AA429" s="378">
        <f>IF(NFI_Expiration=1,IF($A429&lt;VLOOKUP(J$5,NFI,5,0),1,0)*Table_NFI[[#This Row],[Sanitary Kit]],Table_NFI[Sanitary Kit])</f>
        <v>0</v>
      </c>
      <c r="AB429" s="378">
        <f>IF(NFI_Expiration=1,IF($A429&lt;VLOOKUP(K$5,NFI,5,0),1,0)*Table_NFI[[#This Row],[Mosquito net]],Table_NFI[Mosquito net])</f>
        <v>0</v>
      </c>
      <c r="AC429" s="378">
        <f>IF(NFI_Expiration=1,IF($A429&lt;VLOOKUP(L$5,NFI,5,0),1,0)*Table_NFI[[#This Row],[Tarpaulin]],Table_NFI[[#This Row],[Tarpaulin]])</f>
        <v>0</v>
      </c>
      <c r="AD429" s="378">
        <f>IF(NFI_Expiration=1,IF($A429&lt;VLOOKUP(M$5,NFI,5,0),1,0)*Table_NFI[[#This Row],[Blanket]],Table_NFI[[#This Row],[Blanket]])</f>
        <v>0</v>
      </c>
      <c r="AE429" s="378">
        <f>IF(NFI_Expiration=1,IF($A429&lt;VLOOKUP(N$5,NFI,5,0),1,0)*Table_NFI[[#This Row],[Kitchen Set]],Table_NFI[Kitchen Set])</f>
        <v>0</v>
      </c>
      <c r="AF429" s="378">
        <f>IF(NFI_Expiration=1,IF($A429&lt;VLOOKUP(O$5,NFI,5,0),1,0)*Table_NFI[[#This Row],[Clothes Kit]],Table_NFI[Clothes Kit])</f>
        <v>0</v>
      </c>
      <c r="AG429" s="378">
        <f>IF(NFI_Expiration=1,IF($A429&lt;VLOOKUP(P$5,NFI,5,0),1,0)*Table_NFI[[#This Row],[Plastic Bucket]],Table_NFI[Plastic Bucket])</f>
        <v>0</v>
      </c>
      <c r="AH429" s="378">
        <f>IF(NFI_Expiration=1,IF($A429&lt;VLOOKUP(Q$5,NFI,5,0),1,0)*Table_NFI[[#This Row],[Plastic Mat]],Table_NFI[Plastic Mat])*IF(Table_NFI[[#This Row],[Distribution Date]]&gt;"2014-04-01",1,2.5)</f>
        <v>0</v>
      </c>
      <c r="AI429" s="378">
        <f>IF(NFI_Expiration=1,IF($A429&lt;VLOOKUP(R$5,NFI,5,0),1,0)*Table_NFI[[#This Row],[Winter Clothes Adult]],Table_NFI[Winter Clothes Adult])</f>
        <v>0</v>
      </c>
      <c r="AJ429" s="378">
        <f>IF(NFI_Expiration=1,IF($A429&lt;VLOOKUP(S$5,NFI,5,0),1,0)*Table_NFI[[#This Row],[Winter Clothes Children]],Table_NFI[Winter Clothes Children])</f>
        <v>0</v>
      </c>
      <c r="AK429" s="378">
        <f>IF(NFI_Expiration=1,IF($A429&lt;VLOOKUP(T$5,NFI,5,0),1,0)*Table_NFI[[#This Row],[Winter Items Other]],Table_NFI[Winter Items Other])</f>
        <v>0</v>
      </c>
      <c r="AL429" s="378">
        <f>IF(NFI_Expiration=1,IF($A429&lt;VLOOKUP(M$5,NFI,5,0),1,0)*Table_NFI[[#This Row],[Winter Blanket]],Table_NFI[[#This Row],[Winter Blanket]])</f>
        <v>0</v>
      </c>
      <c r="AM429" s="378">
        <f>IF(Table_NFI[[#This Row],[Winter Clothes Adult]]+Table_NFI[[#This Row],[Winter Clothes Children]]+Table_NFI[[#This Row],[Winter Items Other]]+Table_NFI[[#This Row],[Winter Blanket]]&gt;0,1,0)</f>
        <v>0</v>
      </c>
      <c r="AN429" s="418">
        <f>IF(NFI_Expiration=1,IF($A429&lt;VLOOKUP(V$5,NFI,5,0),1,0)*Table_NFI[[#This Row],[Jerry Can]],Table_NFI[Jerry Can])</f>
        <v>0</v>
      </c>
      <c r="AO429" s="579" t="str">
        <f>IFERROR(VLOOKUP(Table_NFI[[#This Row],[Camp Name]],CL,2,0),"")</f>
        <v>MMR001CMP062</v>
      </c>
      <c r="AP429" s="574">
        <f ca="1">IF(Table_NFI[[#This Row],[Pcode]]="","",IF(OFFSET(CampList[Opening Date],MATCH(Table_NFI[[#This Row],[Pcode]],CampList[CP_Pcode],0)-1,0,1,1)&gt;=NFI_Monitor_Date,1,0))</f>
        <v>0</v>
      </c>
      <c r="AQ429" s="579" t="str">
        <f>IFERROR(VLOOKUP(Table_NFI[[#This Row],[Camp Name]],CL,3,0),"")</f>
        <v>Open</v>
      </c>
      <c r="AR429" s="378" t="str">
        <f ca="1">IF(Table_NFI[[#This Row],[Pcode]]="","",OFFSET(CampList[Priority],MATCH(Table_NFI[[#This Row],[Pcode]],CampList[CP_Pcode],0)-1,0,1,1))</f>
        <v>P4</v>
      </c>
      <c r="AS429" s="377">
        <f>IFERROR(Table_NFI[[#This Row],[Kitchen Set]]/VLOOKUP(Table_NFI[[#This Row],[Camp Name]],CL,4,0),"")</f>
        <v>0.16475095785440613</v>
      </c>
      <c r="AT429" s="572" t="s">
        <v>1095</v>
      </c>
      <c r="AU429" s="575"/>
    </row>
    <row r="430" spans="1:47" s="576" customFormat="1" x14ac:dyDescent="0.25">
      <c r="A430" s="381">
        <f t="shared" si="6"/>
        <v>25.033333333333335</v>
      </c>
      <c r="B430" s="571">
        <v>41771</v>
      </c>
      <c r="C430" s="572" t="s">
        <v>1107</v>
      </c>
      <c r="D430" s="572" t="s">
        <v>903</v>
      </c>
      <c r="E430" s="572" t="s">
        <v>380</v>
      </c>
      <c r="F430" s="572" t="s">
        <v>237</v>
      </c>
      <c r="G430" s="572" t="s">
        <v>261</v>
      </c>
      <c r="H430" s="375"/>
      <c r="I430" s="375"/>
      <c r="J430" s="375"/>
      <c r="K430" s="375"/>
      <c r="L430" s="376"/>
      <c r="M430" s="376"/>
      <c r="N430" s="376"/>
      <c r="O430" s="376"/>
      <c r="P430" s="378"/>
      <c r="Q430" s="378"/>
      <c r="R430" s="378"/>
      <c r="S430" s="378"/>
      <c r="T430" s="378"/>
      <c r="U430" s="378">
        <v>184</v>
      </c>
      <c r="V430" s="533"/>
      <c r="W430" s="378"/>
      <c r="X430" s="378"/>
      <c r="Y430" s="378">
        <f>IF(NFI_Expiration=1,IF($A430&lt;VLOOKUP(H$5,NFI,5,0),1,0)*Table_NFI[[#This Row],[Hygiene Kit]],Table_NFI[Hygiene Kit])</f>
        <v>0</v>
      </c>
      <c r="Z430" s="378">
        <f>IF(NFI_Expiration=1,IF($A430&lt;VLOOKUP(I$5,NFI,5,0),1,0)*Table_NFI[[#This Row],[NFI Core Kit]],Table_NFI[NFI Core Kit])</f>
        <v>0</v>
      </c>
      <c r="AA430" s="378">
        <f>IF(NFI_Expiration=1,IF($A430&lt;VLOOKUP(J$5,NFI,5,0),1,0)*Table_NFI[[#This Row],[Sanitary Kit]],Table_NFI[Sanitary Kit])</f>
        <v>0</v>
      </c>
      <c r="AB430" s="378">
        <f>IF(NFI_Expiration=1,IF($A430&lt;VLOOKUP(K$5,NFI,5,0),1,0)*Table_NFI[[#This Row],[Mosquito net]],Table_NFI[Mosquito net])</f>
        <v>0</v>
      </c>
      <c r="AC430" s="378">
        <f>IF(NFI_Expiration=1,IF($A430&lt;VLOOKUP(L$5,NFI,5,0),1,0)*Table_NFI[[#This Row],[Tarpaulin]],Table_NFI[[#This Row],[Tarpaulin]])</f>
        <v>0</v>
      </c>
      <c r="AD430" s="378">
        <f>IF(NFI_Expiration=1,IF($A430&lt;VLOOKUP(M$5,NFI,5,0),1,0)*Table_NFI[[#This Row],[Blanket]],Table_NFI[[#This Row],[Blanket]])</f>
        <v>0</v>
      </c>
      <c r="AE430" s="378">
        <f>IF(NFI_Expiration=1,IF($A430&lt;VLOOKUP(N$5,NFI,5,0),1,0)*Table_NFI[[#This Row],[Kitchen Set]],Table_NFI[Kitchen Set])</f>
        <v>0</v>
      </c>
      <c r="AF430" s="378">
        <f>IF(NFI_Expiration=1,IF($A430&lt;VLOOKUP(O$5,NFI,5,0),1,0)*Table_NFI[[#This Row],[Clothes Kit]],Table_NFI[Clothes Kit])</f>
        <v>0</v>
      </c>
      <c r="AG430" s="378">
        <f>IF(NFI_Expiration=1,IF($A430&lt;VLOOKUP(P$5,NFI,5,0),1,0)*Table_NFI[[#This Row],[Plastic Bucket]],Table_NFI[Plastic Bucket])</f>
        <v>0</v>
      </c>
      <c r="AH430" s="378">
        <f>IF(NFI_Expiration=1,IF($A430&lt;VLOOKUP(Q$5,NFI,5,0),1,0)*Table_NFI[[#This Row],[Plastic Mat]],Table_NFI[Plastic Mat])*IF(Table_NFI[[#This Row],[Distribution Date]]&gt;"2014-04-01",1,2.5)</f>
        <v>0</v>
      </c>
      <c r="AI430" s="378">
        <f>IF(NFI_Expiration=1,IF($A430&lt;VLOOKUP(R$5,NFI,5,0),1,0)*Table_NFI[[#This Row],[Winter Clothes Adult]],Table_NFI[Winter Clothes Adult])</f>
        <v>0</v>
      </c>
      <c r="AJ430" s="378">
        <f>IF(NFI_Expiration=1,IF($A430&lt;VLOOKUP(S$5,NFI,5,0),1,0)*Table_NFI[[#This Row],[Winter Clothes Children]],Table_NFI[Winter Clothes Children])</f>
        <v>0</v>
      </c>
      <c r="AK430" s="378">
        <f>IF(NFI_Expiration=1,IF($A430&lt;VLOOKUP(T$5,NFI,5,0),1,0)*Table_NFI[[#This Row],[Winter Items Other]],Table_NFI[Winter Items Other])</f>
        <v>0</v>
      </c>
      <c r="AL430" s="378">
        <f>IF(NFI_Expiration=1,IF($A430&lt;VLOOKUP(M$5,NFI,5,0),1,0)*Table_NFI[[#This Row],[Winter Blanket]],Table_NFI[[#This Row],[Winter Blanket]])</f>
        <v>0</v>
      </c>
      <c r="AM430" s="378">
        <f>IF(Table_NFI[[#This Row],[Winter Clothes Adult]]+Table_NFI[[#This Row],[Winter Clothes Children]]+Table_NFI[[#This Row],[Winter Items Other]]+Table_NFI[[#This Row],[Winter Blanket]]&gt;0,1,0)</f>
        <v>1</v>
      </c>
      <c r="AN430" s="418">
        <f>IF(NFI_Expiration=1,IF($A430&lt;VLOOKUP(V$5,NFI,5,0),1,0)*Table_NFI[[#This Row],[Jerry Can]],Table_NFI[Jerry Can])</f>
        <v>0</v>
      </c>
      <c r="AO430" s="579" t="str">
        <f>IFERROR(VLOOKUP(Table_NFI[[#This Row],[Camp Name]],CL,2,0),"")</f>
        <v>MMR001CMP008</v>
      </c>
      <c r="AP430" s="574">
        <f ca="1">IF(Table_NFI[[#This Row],[Pcode]]="","",IF(OFFSET(CampList[Opening Date],MATCH(Table_NFI[[#This Row],[Pcode]],CampList[CP_Pcode],0)-1,0,1,1)&gt;=NFI_Monitor_Date,1,0))</f>
        <v>0</v>
      </c>
      <c r="AQ430" s="579" t="str">
        <f>IFERROR(VLOOKUP(Table_NFI[[#This Row],[Camp Name]],CL,3,0),"")</f>
        <v>Open</v>
      </c>
      <c r="AR430" s="378" t="str">
        <f ca="1">IF(Table_NFI[[#This Row],[Pcode]]="","",OFFSET(CampList[Priority],MATCH(Table_NFI[[#This Row],[Pcode]],CampList[CP_Pcode],0)-1,0,1,1))</f>
        <v>P4</v>
      </c>
      <c r="AS430" s="377">
        <f>IFERROR(Table_NFI[[#This Row],[Kitchen Set]]/VLOOKUP(Table_NFI[[#This Row],[Camp Name]],CL,4,0),"")</f>
        <v>0</v>
      </c>
      <c r="AT430" s="572"/>
      <c r="AU430" s="575"/>
    </row>
    <row r="431" spans="1:47" s="576" customFormat="1" x14ac:dyDescent="0.25">
      <c r="A431" s="381">
        <f t="shared" si="6"/>
        <v>54.466666666666669</v>
      </c>
      <c r="B431" s="571">
        <v>40888</v>
      </c>
      <c r="C431" s="572" t="s">
        <v>454</v>
      </c>
      <c r="D431" s="572" t="s">
        <v>462</v>
      </c>
      <c r="E431" s="572" t="s">
        <v>380</v>
      </c>
      <c r="F431" s="374" t="s">
        <v>237</v>
      </c>
      <c r="G431" s="374" t="s">
        <v>261</v>
      </c>
      <c r="H431" s="375"/>
      <c r="I431" s="375"/>
      <c r="J431" s="375"/>
      <c r="K431" s="375">
        <v>6</v>
      </c>
      <c r="L431" s="376">
        <v>4</v>
      </c>
      <c r="M431" s="376">
        <v>6</v>
      </c>
      <c r="N431" s="376">
        <v>4</v>
      </c>
      <c r="O431" s="376">
        <v>4</v>
      </c>
      <c r="P431" s="378">
        <v>4</v>
      </c>
      <c r="Q431" s="378">
        <v>4</v>
      </c>
      <c r="R431" s="378"/>
      <c r="S431" s="378"/>
      <c r="T431" s="378"/>
      <c r="U431" s="378"/>
      <c r="V431" s="533"/>
      <c r="W431" s="378"/>
      <c r="X431" s="378"/>
      <c r="Y431" s="378">
        <f>IF(NFI_Expiration=1,IF($A431&lt;VLOOKUP(H$5,NFI,5,0),1,0)*Table_NFI[[#This Row],[Hygiene Kit]],Table_NFI[Hygiene Kit])</f>
        <v>0</v>
      </c>
      <c r="Z431" s="378">
        <f>IF(NFI_Expiration=1,IF($A431&lt;VLOOKUP(I$5,NFI,5,0),1,0)*Table_NFI[[#This Row],[NFI Core Kit]],Table_NFI[NFI Core Kit])</f>
        <v>0</v>
      </c>
      <c r="AA431" s="378">
        <f>IF(NFI_Expiration=1,IF($A431&lt;VLOOKUP(J$5,NFI,5,0),1,0)*Table_NFI[[#This Row],[Sanitary Kit]],Table_NFI[Sanitary Kit])</f>
        <v>0</v>
      </c>
      <c r="AB431" s="378">
        <f>IF(NFI_Expiration=1,IF($A431&lt;VLOOKUP(K$5,NFI,5,0),1,0)*Table_NFI[[#This Row],[Mosquito net]],Table_NFI[Mosquito net])</f>
        <v>0</v>
      </c>
      <c r="AC431" s="378">
        <f>IF(NFI_Expiration=1,IF($A431&lt;VLOOKUP(L$5,NFI,5,0),1,0)*Table_NFI[[#This Row],[Tarpaulin]],Table_NFI[[#This Row],[Tarpaulin]])</f>
        <v>0</v>
      </c>
      <c r="AD431" s="378">
        <f>IF(NFI_Expiration=1,IF($A431&lt;VLOOKUP(M$5,NFI,5,0),1,0)*Table_NFI[[#This Row],[Blanket]],Table_NFI[[#This Row],[Blanket]])</f>
        <v>0</v>
      </c>
      <c r="AE431" s="378">
        <f>IF(NFI_Expiration=1,IF($A431&lt;VLOOKUP(N$5,NFI,5,0),1,0)*Table_NFI[[#This Row],[Kitchen Set]],Table_NFI[Kitchen Set])</f>
        <v>0</v>
      </c>
      <c r="AF431" s="378">
        <f>IF(NFI_Expiration=1,IF($A431&lt;VLOOKUP(O$5,NFI,5,0),1,0)*Table_NFI[[#This Row],[Clothes Kit]],Table_NFI[Clothes Kit])</f>
        <v>0</v>
      </c>
      <c r="AG431" s="378">
        <f>IF(NFI_Expiration=1,IF($A431&lt;VLOOKUP(P$5,NFI,5,0),1,0)*Table_NFI[[#This Row],[Plastic Bucket]],Table_NFI[Plastic Bucket])</f>
        <v>0</v>
      </c>
      <c r="AH431" s="378">
        <f>IF(NFI_Expiration=1,IF($A431&lt;VLOOKUP(Q$5,NFI,5,0),1,0)*Table_NFI[[#This Row],[Plastic Mat]],Table_NFI[Plastic Mat])*IF(Table_NFI[[#This Row],[Distribution Date]]&gt;"2014-04-01",1,2.5)</f>
        <v>0</v>
      </c>
      <c r="AI431" s="378">
        <f>IF(NFI_Expiration=1,IF($A431&lt;VLOOKUP(R$5,NFI,5,0),1,0)*Table_NFI[[#This Row],[Winter Clothes Adult]],Table_NFI[Winter Clothes Adult])</f>
        <v>0</v>
      </c>
      <c r="AJ431" s="378">
        <f>IF(NFI_Expiration=1,IF($A431&lt;VLOOKUP(S$5,NFI,5,0),1,0)*Table_NFI[[#This Row],[Winter Clothes Children]],Table_NFI[Winter Clothes Children])</f>
        <v>0</v>
      </c>
      <c r="AK431" s="378">
        <f>IF(NFI_Expiration=1,IF($A431&lt;VLOOKUP(T$5,NFI,5,0),1,0)*Table_NFI[[#This Row],[Winter Items Other]],Table_NFI[Winter Items Other])</f>
        <v>0</v>
      </c>
      <c r="AL431" s="378">
        <f>IF(NFI_Expiration=1,IF($A431&lt;VLOOKUP(M$5,NFI,5,0),1,0)*Table_NFI[[#This Row],[Winter Blanket]],Table_NFI[[#This Row],[Winter Blanket]])</f>
        <v>0</v>
      </c>
      <c r="AM431" s="378">
        <f>IF(Table_NFI[[#This Row],[Winter Clothes Adult]]+Table_NFI[[#This Row],[Winter Clothes Children]]+Table_NFI[[#This Row],[Winter Items Other]]+Table_NFI[[#This Row],[Winter Blanket]]&gt;0,1,0)</f>
        <v>0</v>
      </c>
      <c r="AN431" s="418">
        <f>IF(NFI_Expiration=1,IF($A431&lt;VLOOKUP(V$5,NFI,5,0),1,0)*Table_NFI[[#This Row],[Jerry Can]],Table_NFI[Jerry Can])</f>
        <v>0</v>
      </c>
      <c r="AO431" s="579" t="str">
        <f>IFERROR(VLOOKUP(Table_NFI[[#This Row],[Camp Name]],CL,2,0),"")</f>
        <v>MMR001CMP008</v>
      </c>
      <c r="AP431" s="574">
        <f ca="1">IF(Table_NFI[[#This Row],[Pcode]]="","",IF(OFFSET(CampList[Opening Date],MATCH(Table_NFI[[#This Row],[Pcode]],CampList[CP_Pcode],0)-1,0,1,1)&gt;=NFI_Monitor_Date,1,0))</f>
        <v>0</v>
      </c>
      <c r="AQ431" s="579" t="str">
        <f>IFERROR(VLOOKUP(Table_NFI[[#This Row],[Camp Name]],CL,3,0),"")</f>
        <v>Open</v>
      </c>
      <c r="AR431" s="378" t="str">
        <f ca="1">IF(Table_NFI[[#This Row],[Pcode]]="","",OFFSET(CampList[Priority],MATCH(Table_NFI[[#This Row],[Pcode]],CampList[CP_Pcode],0)-1,0,1,1))</f>
        <v>P4</v>
      </c>
      <c r="AS431" s="377">
        <f>IFERROR(Table_NFI[[#This Row],[Kitchen Set]]/VLOOKUP(Table_NFI[[#This Row],[Camp Name]],CL,4,0),"")</f>
        <v>3.9603960396039604E-2</v>
      </c>
      <c r="AT431" s="572" t="s">
        <v>1095</v>
      </c>
      <c r="AU431" s="575"/>
    </row>
    <row r="432" spans="1:47" s="576" customFormat="1" x14ac:dyDescent="0.25">
      <c r="A432" s="381">
        <f t="shared" si="6"/>
        <v>55.766666666666666</v>
      </c>
      <c r="B432" s="571">
        <v>40849</v>
      </c>
      <c r="C432" s="572" t="s">
        <v>454</v>
      </c>
      <c r="D432" s="573" t="s">
        <v>462</v>
      </c>
      <c r="E432" s="572" t="s">
        <v>380</v>
      </c>
      <c r="F432" s="374" t="s">
        <v>237</v>
      </c>
      <c r="G432" s="374" t="s">
        <v>261</v>
      </c>
      <c r="H432" s="375"/>
      <c r="I432" s="375"/>
      <c r="J432" s="375"/>
      <c r="K432" s="375">
        <v>112</v>
      </c>
      <c r="L432" s="376">
        <v>68</v>
      </c>
      <c r="M432" s="376">
        <v>112</v>
      </c>
      <c r="N432" s="376">
        <v>68</v>
      </c>
      <c r="O432" s="376">
        <v>68</v>
      </c>
      <c r="P432" s="378">
        <v>68</v>
      </c>
      <c r="Q432" s="378">
        <v>68</v>
      </c>
      <c r="R432" s="378"/>
      <c r="S432" s="378"/>
      <c r="T432" s="378"/>
      <c r="U432" s="378"/>
      <c r="V432" s="533"/>
      <c r="W432" s="378"/>
      <c r="X432" s="378"/>
      <c r="Y432" s="378">
        <f>IF(NFI_Expiration=1,IF($A432&lt;VLOOKUP(H$5,NFI,5,0),1,0)*Table_NFI[[#This Row],[Hygiene Kit]],Table_NFI[Hygiene Kit])</f>
        <v>0</v>
      </c>
      <c r="Z432" s="378">
        <f>IF(NFI_Expiration=1,IF($A432&lt;VLOOKUP(I$5,NFI,5,0),1,0)*Table_NFI[[#This Row],[NFI Core Kit]],Table_NFI[NFI Core Kit])</f>
        <v>0</v>
      </c>
      <c r="AA432" s="378">
        <f>IF(NFI_Expiration=1,IF($A432&lt;VLOOKUP(J$5,NFI,5,0),1,0)*Table_NFI[[#This Row],[Sanitary Kit]],Table_NFI[Sanitary Kit])</f>
        <v>0</v>
      </c>
      <c r="AB432" s="378">
        <f>IF(NFI_Expiration=1,IF($A432&lt;VLOOKUP(K$5,NFI,5,0),1,0)*Table_NFI[[#This Row],[Mosquito net]],Table_NFI[Mosquito net])</f>
        <v>0</v>
      </c>
      <c r="AC432" s="378">
        <f>IF(NFI_Expiration=1,IF($A432&lt;VLOOKUP(L$5,NFI,5,0),1,0)*Table_NFI[[#This Row],[Tarpaulin]],Table_NFI[[#This Row],[Tarpaulin]])</f>
        <v>0</v>
      </c>
      <c r="AD432" s="378">
        <f>IF(NFI_Expiration=1,IF($A432&lt;VLOOKUP(M$5,NFI,5,0),1,0)*Table_NFI[[#This Row],[Blanket]],Table_NFI[[#This Row],[Blanket]])</f>
        <v>0</v>
      </c>
      <c r="AE432" s="378">
        <f>IF(NFI_Expiration=1,IF($A432&lt;VLOOKUP(N$5,NFI,5,0),1,0)*Table_NFI[[#This Row],[Kitchen Set]],Table_NFI[Kitchen Set])</f>
        <v>0</v>
      </c>
      <c r="AF432" s="378">
        <f>IF(NFI_Expiration=1,IF($A432&lt;VLOOKUP(O$5,NFI,5,0),1,0)*Table_NFI[[#This Row],[Clothes Kit]],Table_NFI[Clothes Kit])</f>
        <v>0</v>
      </c>
      <c r="AG432" s="378">
        <f>IF(NFI_Expiration=1,IF($A432&lt;VLOOKUP(P$5,NFI,5,0),1,0)*Table_NFI[[#This Row],[Plastic Bucket]],Table_NFI[Plastic Bucket])</f>
        <v>0</v>
      </c>
      <c r="AH432" s="378">
        <f>IF(NFI_Expiration=1,IF($A432&lt;VLOOKUP(Q$5,NFI,5,0),1,0)*Table_NFI[[#This Row],[Plastic Mat]],Table_NFI[Plastic Mat])*IF(Table_NFI[[#This Row],[Distribution Date]]&gt;"2014-04-01",1,2.5)</f>
        <v>0</v>
      </c>
      <c r="AI432" s="378">
        <f>IF(NFI_Expiration=1,IF($A432&lt;VLOOKUP(R$5,NFI,5,0),1,0)*Table_NFI[[#This Row],[Winter Clothes Adult]],Table_NFI[Winter Clothes Adult])</f>
        <v>0</v>
      </c>
      <c r="AJ432" s="378">
        <f>IF(NFI_Expiration=1,IF($A432&lt;VLOOKUP(S$5,NFI,5,0),1,0)*Table_NFI[[#This Row],[Winter Clothes Children]],Table_NFI[Winter Clothes Children])</f>
        <v>0</v>
      </c>
      <c r="AK432" s="378">
        <f>IF(NFI_Expiration=1,IF($A432&lt;VLOOKUP(T$5,NFI,5,0),1,0)*Table_NFI[[#This Row],[Winter Items Other]],Table_NFI[Winter Items Other])</f>
        <v>0</v>
      </c>
      <c r="AL432" s="378">
        <f>IF(NFI_Expiration=1,IF($A432&lt;VLOOKUP(M$5,NFI,5,0),1,0)*Table_NFI[[#This Row],[Winter Blanket]],Table_NFI[[#This Row],[Winter Blanket]])</f>
        <v>0</v>
      </c>
      <c r="AM432" s="378">
        <f>IF(Table_NFI[[#This Row],[Winter Clothes Adult]]+Table_NFI[[#This Row],[Winter Clothes Children]]+Table_NFI[[#This Row],[Winter Items Other]]+Table_NFI[[#This Row],[Winter Blanket]]&gt;0,1,0)</f>
        <v>0</v>
      </c>
      <c r="AN432" s="418">
        <f>IF(NFI_Expiration=1,IF($A432&lt;VLOOKUP(V$5,NFI,5,0),1,0)*Table_NFI[[#This Row],[Jerry Can]],Table_NFI[Jerry Can])</f>
        <v>0</v>
      </c>
      <c r="AO432" s="579" t="str">
        <f>IFERROR(VLOOKUP(Table_NFI[[#This Row],[Camp Name]],CL,2,0),"")</f>
        <v>MMR001CMP008</v>
      </c>
      <c r="AP432" s="574">
        <f ca="1">IF(Table_NFI[[#This Row],[Pcode]]="","",IF(OFFSET(CampList[Opening Date],MATCH(Table_NFI[[#This Row],[Pcode]],CampList[CP_Pcode],0)-1,0,1,1)&gt;=NFI_Monitor_Date,1,0))</f>
        <v>0</v>
      </c>
      <c r="AQ432" s="579" t="str">
        <f>IFERROR(VLOOKUP(Table_NFI[[#This Row],[Camp Name]],CL,3,0),"")</f>
        <v>Open</v>
      </c>
      <c r="AR432" s="378" t="str">
        <f ca="1">IF(Table_NFI[[#This Row],[Pcode]]="","",OFFSET(CampList[Priority],MATCH(Table_NFI[[#This Row],[Pcode]],CampList[CP_Pcode],0)-1,0,1,1))</f>
        <v>P4</v>
      </c>
      <c r="AS432" s="377">
        <f>IFERROR(Table_NFI[[#This Row],[Kitchen Set]]/VLOOKUP(Table_NFI[[#This Row],[Camp Name]],CL,4,0),"")</f>
        <v>0.67326732673267331</v>
      </c>
      <c r="AT432" s="572" t="s">
        <v>1095</v>
      </c>
      <c r="AU432" s="575"/>
    </row>
    <row r="433" spans="1:47" s="576" customFormat="1" x14ac:dyDescent="0.25">
      <c r="A433" s="381">
        <f t="shared" si="6"/>
        <v>30.766666666666666</v>
      </c>
      <c r="B433" s="571">
        <v>41599</v>
      </c>
      <c r="C433" s="573" t="s">
        <v>454</v>
      </c>
      <c r="D433" s="573" t="s">
        <v>575</v>
      </c>
      <c r="E433" s="572" t="s">
        <v>380</v>
      </c>
      <c r="F433" s="572" t="s">
        <v>151</v>
      </c>
      <c r="G433" s="374" t="s">
        <v>878</v>
      </c>
      <c r="H433" s="375"/>
      <c r="I433" s="375"/>
      <c r="J433" s="375"/>
      <c r="K433" s="375">
        <v>400</v>
      </c>
      <c r="L433" s="376">
        <v>210</v>
      </c>
      <c r="M433" s="376">
        <v>400</v>
      </c>
      <c r="N433" s="376">
        <v>210</v>
      </c>
      <c r="O433" s="376"/>
      <c r="P433" s="378"/>
      <c r="Q433" s="378">
        <v>210</v>
      </c>
      <c r="R433" s="378"/>
      <c r="S433" s="378"/>
      <c r="T433" s="378"/>
      <c r="U433" s="378"/>
      <c r="V433" s="533"/>
      <c r="W433" s="378"/>
      <c r="X433" s="378"/>
      <c r="Y433" s="378">
        <f>IF(NFI_Expiration=1,IF($A433&lt;VLOOKUP(H$5,NFI,5,0),1,0)*Table_NFI[[#This Row],[Hygiene Kit]],Table_NFI[Hygiene Kit])</f>
        <v>0</v>
      </c>
      <c r="Z433" s="378">
        <f>IF(NFI_Expiration=1,IF($A433&lt;VLOOKUP(I$5,NFI,5,0),1,0)*Table_NFI[[#This Row],[NFI Core Kit]],Table_NFI[NFI Core Kit])</f>
        <v>0</v>
      </c>
      <c r="AA433" s="378">
        <f>IF(NFI_Expiration=1,IF($A433&lt;VLOOKUP(J$5,NFI,5,0),1,0)*Table_NFI[[#This Row],[Sanitary Kit]],Table_NFI[Sanitary Kit])</f>
        <v>0</v>
      </c>
      <c r="AB433" s="378">
        <f>IF(NFI_Expiration=1,IF($A433&lt;VLOOKUP(K$5,NFI,5,0),1,0)*Table_NFI[[#This Row],[Mosquito net]],Table_NFI[Mosquito net])</f>
        <v>0</v>
      </c>
      <c r="AC433" s="378">
        <f>IF(NFI_Expiration=1,IF($A433&lt;VLOOKUP(L$5,NFI,5,0),1,0)*Table_NFI[[#This Row],[Tarpaulin]],Table_NFI[[#This Row],[Tarpaulin]])</f>
        <v>0</v>
      </c>
      <c r="AD433" s="378">
        <f>IF(NFI_Expiration=1,IF($A433&lt;VLOOKUP(M$5,NFI,5,0),1,0)*Table_NFI[[#This Row],[Blanket]],Table_NFI[[#This Row],[Blanket]])</f>
        <v>0</v>
      </c>
      <c r="AE433" s="378">
        <f>IF(NFI_Expiration=1,IF($A433&lt;VLOOKUP(N$5,NFI,5,0),1,0)*Table_NFI[[#This Row],[Kitchen Set]],Table_NFI[Kitchen Set])</f>
        <v>0</v>
      </c>
      <c r="AF433" s="378">
        <f>IF(NFI_Expiration=1,IF($A433&lt;VLOOKUP(O$5,NFI,5,0),1,0)*Table_NFI[[#This Row],[Clothes Kit]],Table_NFI[Clothes Kit])</f>
        <v>0</v>
      </c>
      <c r="AG433" s="378">
        <f>IF(NFI_Expiration=1,IF($A433&lt;VLOOKUP(P$5,NFI,5,0),1,0)*Table_NFI[[#This Row],[Plastic Bucket]],Table_NFI[Plastic Bucket])</f>
        <v>0</v>
      </c>
      <c r="AH433" s="378">
        <f>IF(NFI_Expiration=1,IF($A433&lt;VLOOKUP(Q$5,NFI,5,0),1,0)*Table_NFI[[#This Row],[Plastic Mat]],Table_NFI[Plastic Mat])*IF(Table_NFI[[#This Row],[Distribution Date]]&gt;"2014-04-01",1,2.5)</f>
        <v>0</v>
      </c>
      <c r="AI433" s="378">
        <f>IF(NFI_Expiration=1,IF($A433&lt;VLOOKUP(R$5,NFI,5,0),1,0)*Table_NFI[[#This Row],[Winter Clothes Adult]],Table_NFI[Winter Clothes Adult])</f>
        <v>0</v>
      </c>
      <c r="AJ433" s="378">
        <f>IF(NFI_Expiration=1,IF($A433&lt;VLOOKUP(S$5,NFI,5,0),1,0)*Table_NFI[[#This Row],[Winter Clothes Children]],Table_NFI[Winter Clothes Children])</f>
        <v>0</v>
      </c>
      <c r="AK433" s="378">
        <f>IF(NFI_Expiration=1,IF($A433&lt;VLOOKUP(T$5,NFI,5,0),1,0)*Table_NFI[[#This Row],[Winter Items Other]],Table_NFI[Winter Items Other])</f>
        <v>0</v>
      </c>
      <c r="AL433" s="378">
        <f>IF(NFI_Expiration=1,IF($A433&lt;VLOOKUP(M$5,NFI,5,0),1,0)*Table_NFI[[#This Row],[Winter Blanket]],Table_NFI[[#This Row],[Winter Blanket]])</f>
        <v>0</v>
      </c>
      <c r="AM433" s="378">
        <f>IF(Table_NFI[[#This Row],[Winter Clothes Adult]]+Table_NFI[[#This Row],[Winter Clothes Children]]+Table_NFI[[#This Row],[Winter Items Other]]+Table_NFI[[#This Row],[Winter Blanket]]&gt;0,1,0)</f>
        <v>0</v>
      </c>
      <c r="AN433" s="418">
        <f>IF(NFI_Expiration=1,IF($A433&lt;VLOOKUP(V$5,NFI,5,0),1,0)*Table_NFI[[#This Row],[Jerry Can]],Table_NFI[Jerry Can])</f>
        <v>0</v>
      </c>
      <c r="AO433" s="579" t="str">
        <f>IFERROR(VLOOKUP(Table_NFI[[#This Row],[Camp Name]],CL,2,0),"")</f>
        <v>MMR001CMP212</v>
      </c>
      <c r="AP433" s="574">
        <f ca="1">IF(Table_NFI[[#This Row],[Pcode]]="","",IF(OFFSET(CampList[Opening Date],MATCH(Table_NFI[[#This Row],[Pcode]],CampList[CP_Pcode],0)-1,0,1,1)&gt;=NFI_Monitor_Date,1,0))</f>
        <v>0</v>
      </c>
      <c r="AQ433" s="579" t="str">
        <f>IFERROR(VLOOKUP(Table_NFI[[#This Row],[Camp Name]],CL,3,0),"")</f>
        <v>Closed</v>
      </c>
      <c r="AR433" s="378" t="str">
        <f ca="1">IF(Table_NFI[[#This Row],[Pcode]]="","",OFFSET(CampList[Priority],MATCH(Table_NFI[[#This Row],[Pcode]],CampList[CP_Pcode],0)-1,0,1,1))</f>
        <v/>
      </c>
      <c r="AS433" s="377" t="str">
        <f>IFERROR(Table_NFI[[#This Row],[Kitchen Set]]/VLOOKUP(Table_NFI[[#This Row],[Camp Name]],CL,4,0),"")</f>
        <v/>
      </c>
      <c r="AT433" s="572" t="s">
        <v>1095</v>
      </c>
      <c r="AU433" s="575"/>
    </row>
    <row r="434" spans="1:47" s="576" customFormat="1" x14ac:dyDescent="0.25">
      <c r="A434" s="381">
        <f t="shared" si="6"/>
        <v>25.766666666666666</v>
      </c>
      <c r="B434" s="571">
        <v>41749</v>
      </c>
      <c r="C434" s="572" t="s">
        <v>454</v>
      </c>
      <c r="D434" s="572"/>
      <c r="E434" s="572" t="s">
        <v>380</v>
      </c>
      <c r="F434" s="572" t="s">
        <v>151</v>
      </c>
      <c r="G434" s="572" t="s">
        <v>160</v>
      </c>
      <c r="H434" s="375"/>
      <c r="I434" s="375"/>
      <c r="J434" s="375"/>
      <c r="K434" s="375">
        <v>220</v>
      </c>
      <c r="L434" s="376">
        <v>110</v>
      </c>
      <c r="M434" s="376">
        <v>1000</v>
      </c>
      <c r="N434" s="376">
        <v>110</v>
      </c>
      <c r="O434" s="376"/>
      <c r="P434" s="378">
        <v>110</v>
      </c>
      <c r="Q434" s="378">
        <v>550</v>
      </c>
      <c r="R434" s="378"/>
      <c r="S434" s="378"/>
      <c r="T434" s="378"/>
      <c r="U434" s="378"/>
      <c r="V434" s="533"/>
      <c r="W434" s="378"/>
      <c r="X434" s="378"/>
      <c r="Y434" s="378">
        <f>IF(NFI_Expiration=1,IF($A434&lt;VLOOKUP(H$5,NFI,5,0),1,0)*Table_NFI[[#This Row],[Hygiene Kit]],Table_NFI[Hygiene Kit])</f>
        <v>0</v>
      </c>
      <c r="Z434" s="378">
        <f>IF(NFI_Expiration=1,IF($A434&lt;VLOOKUP(I$5,NFI,5,0),1,0)*Table_NFI[[#This Row],[NFI Core Kit]],Table_NFI[NFI Core Kit])</f>
        <v>0</v>
      </c>
      <c r="AA434" s="378">
        <f>IF(NFI_Expiration=1,IF($A434&lt;VLOOKUP(J$5,NFI,5,0),1,0)*Table_NFI[[#This Row],[Sanitary Kit]],Table_NFI[Sanitary Kit])</f>
        <v>0</v>
      </c>
      <c r="AB434" s="378">
        <f>IF(NFI_Expiration=1,IF($A434&lt;VLOOKUP(K$5,NFI,5,0),1,0)*Table_NFI[[#This Row],[Mosquito net]],Table_NFI[Mosquito net])</f>
        <v>0</v>
      </c>
      <c r="AC434" s="378">
        <f>IF(NFI_Expiration=1,IF($A434&lt;VLOOKUP(L$5,NFI,5,0),1,0)*Table_NFI[[#This Row],[Tarpaulin]],Table_NFI[[#This Row],[Tarpaulin]])</f>
        <v>0</v>
      </c>
      <c r="AD434" s="378">
        <f>IF(NFI_Expiration=1,IF($A434&lt;VLOOKUP(M$5,NFI,5,0),1,0)*Table_NFI[[#This Row],[Blanket]],Table_NFI[[#This Row],[Blanket]])</f>
        <v>0</v>
      </c>
      <c r="AE434" s="378">
        <f>IF(NFI_Expiration=1,IF($A434&lt;VLOOKUP(N$5,NFI,5,0),1,0)*Table_NFI[[#This Row],[Kitchen Set]],Table_NFI[Kitchen Set])</f>
        <v>0</v>
      </c>
      <c r="AF434" s="378">
        <f>IF(NFI_Expiration=1,IF($A434&lt;VLOOKUP(O$5,NFI,5,0),1,0)*Table_NFI[[#This Row],[Clothes Kit]],Table_NFI[Clothes Kit])</f>
        <v>0</v>
      </c>
      <c r="AG434" s="378">
        <f>IF(NFI_Expiration=1,IF($A434&lt;VLOOKUP(P$5,NFI,5,0),1,0)*Table_NFI[[#This Row],[Plastic Bucket]],Table_NFI[Plastic Bucket])</f>
        <v>0</v>
      </c>
      <c r="AH434" s="378">
        <f>IF(NFI_Expiration=1,IF($A434&lt;VLOOKUP(Q$5,NFI,5,0),1,0)*Table_NFI[[#This Row],[Plastic Mat]],Table_NFI[Plastic Mat])*IF(Table_NFI[[#This Row],[Distribution Date]]&gt;"2014-04-01",1,2.5)</f>
        <v>0</v>
      </c>
      <c r="AI434" s="378">
        <f>IF(NFI_Expiration=1,IF($A434&lt;VLOOKUP(R$5,NFI,5,0),1,0)*Table_NFI[[#This Row],[Winter Clothes Adult]],Table_NFI[Winter Clothes Adult])</f>
        <v>0</v>
      </c>
      <c r="AJ434" s="378">
        <f>IF(NFI_Expiration=1,IF($A434&lt;VLOOKUP(S$5,NFI,5,0),1,0)*Table_NFI[[#This Row],[Winter Clothes Children]],Table_NFI[Winter Clothes Children])</f>
        <v>0</v>
      </c>
      <c r="AK434" s="378">
        <f>IF(NFI_Expiration=1,IF($A434&lt;VLOOKUP(T$5,NFI,5,0),1,0)*Table_NFI[[#This Row],[Winter Items Other]],Table_NFI[Winter Items Other])</f>
        <v>0</v>
      </c>
      <c r="AL434" s="378">
        <f>IF(NFI_Expiration=1,IF($A434&lt;VLOOKUP(M$5,NFI,5,0),1,0)*Table_NFI[[#This Row],[Winter Blanket]],Table_NFI[[#This Row],[Winter Blanket]])</f>
        <v>0</v>
      </c>
      <c r="AM434" s="378">
        <f>IF(Table_NFI[[#This Row],[Winter Clothes Adult]]+Table_NFI[[#This Row],[Winter Clothes Children]]+Table_NFI[[#This Row],[Winter Items Other]]+Table_NFI[[#This Row],[Winter Blanket]]&gt;0,1,0)</f>
        <v>0</v>
      </c>
      <c r="AN434" s="418">
        <f>IF(NFI_Expiration=1,IF($A434&lt;VLOOKUP(V$5,NFI,5,0),1,0)*Table_NFI[[#This Row],[Jerry Can]],Table_NFI[Jerry Can])</f>
        <v>0</v>
      </c>
      <c r="AO434" s="579" t="str">
        <f>IFERROR(VLOOKUP(Table_NFI[[#This Row],[Camp Name]],CL,2,0),"")</f>
        <v>MMR001CMP133</v>
      </c>
      <c r="AP434" s="574">
        <f ca="1">IF(Table_NFI[[#This Row],[Pcode]]="","",IF(OFFSET(CampList[Opening Date],MATCH(Table_NFI[[#This Row],[Pcode]],CampList[CP_Pcode],0)-1,0,1,1)&gt;=NFI_Monitor_Date,1,0))</f>
        <v>0</v>
      </c>
      <c r="AQ434" s="579" t="str">
        <f>IFERROR(VLOOKUP(Table_NFI[[#This Row],[Camp Name]],CL,3,0),"")</f>
        <v>Open</v>
      </c>
      <c r="AR434" s="378" t="str">
        <f ca="1">IF(Table_NFI[[#This Row],[Pcode]]="","",OFFSET(CampList[Priority],MATCH(Table_NFI[[#This Row],[Pcode]],CampList[CP_Pcode],0)-1,0,1,1))</f>
        <v>P4</v>
      </c>
      <c r="AS434" s="377">
        <f>IFERROR(Table_NFI[[#This Row],[Kitchen Set]]/VLOOKUP(Table_NFI[[#This Row],[Camp Name]],CL,4,0),"")</f>
        <v>1.02803738317757</v>
      </c>
      <c r="AT434" s="572"/>
      <c r="AU434" s="575"/>
    </row>
    <row r="435" spans="1:47" s="576" customFormat="1" x14ac:dyDescent="0.25">
      <c r="A435" s="381">
        <f t="shared" si="6"/>
        <v>30.466666666666665</v>
      </c>
      <c r="B435" s="571">
        <v>41608</v>
      </c>
      <c r="C435" s="572" t="s">
        <v>1100</v>
      </c>
      <c r="D435" s="573" t="s">
        <v>947</v>
      </c>
      <c r="E435" s="572" t="s">
        <v>380</v>
      </c>
      <c r="F435" s="572" t="s">
        <v>151</v>
      </c>
      <c r="G435" s="374" t="s">
        <v>160</v>
      </c>
      <c r="H435" s="375"/>
      <c r="I435" s="375"/>
      <c r="J435" s="375"/>
      <c r="K435" s="375"/>
      <c r="L435" s="376"/>
      <c r="M435" s="376">
        <v>347</v>
      </c>
      <c r="N435" s="376"/>
      <c r="O435" s="376"/>
      <c r="P435" s="378"/>
      <c r="Q435" s="378"/>
      <c r="R435" s="378">
        <v>386</v>
      </c>
      <c r="S435" s="378">
        <v>234</v>
      </c>
      <c r="T435" s="378">
        <v>0</v>
      </c>
      <c r="U435" s="378"/>
      <c r="V435" s="533"/>
      <c r="W435" s="378"/>
      <c r="X435" s="378"/>
      <c r="Y435" s="378">
        <f>IF(NFI_Expiration=1,IF($A435&lt;VLOOKUP(H$5,NFI,5,0),1,0)*Table_NFI[[#This Row],[Hygiene Kit]],Table_NFI[Hygiene Kit])</f>
        <v>0</v>
      </c>
      <c r="Z435" s="378">
        <f>IF(NFI_Expiration=1,IF($A435&lt;VLOOKUP(I$5,NFI,5,0),1,0)*Table_NFI[[#This Row],[NFI Core Kit]],Table_NFI[NFI Core Kit])</f>
        <v>0</v>
      </c>
      <c r="AA435" s="378">
        <f>IF(NFI_Expiration=1,IF($A435&lt;VLOOKUP(J$5,NFI,5,0),1,0)*Table_NFI[[#This Row],[Sanitary Kit]],Table_NFI[Sanitary Kit])</f>
        <v>0</v>
      </c>
      <c r="AB435" s="378">
        <f>IF(NFI_Expiration=1,IF($A435&lt;VLOOKUP(K$5,NFI,5,0),1,0)*Table_NFI[[#This Row],[Mosquito net]],Table_NFI[Mosquito net])</f>
        <v>0</v>
      </c>
      <c r="AC435" s="378">
        <f>IF(NFI_Expiration=1,IF($A435&lt;VLOOKUP(L$5,NFI,5,0),1,0)*Table_NFI[[#This Row],[Tarpaulin]],Table_NFI[[#This Row],[Tarpaulin]])</f>
        <v>0</v>
      </c>
      <c r="AD435" s="378">
        <f>IF(NFI_Expiration=1,IF($A435&lt;VLOOKUP(M$5,NFI,5,0),1,0)*Table_NFI[[#This Row],[Blanket]],Table_NFI[[#This Row],[Blanket]])</f>
        <v>0</v>
      </c>
      <c r="AE435" s="378">
        <f>IF(NFI_Expiration=1,IF($A435&lt;VLOOKUP(N$5,NFI,5,0),1,0)*Table_NFI[[#This Row],[Kitchen Set]],Table_NFI[Kitchen Set])</f>
        <v>0</v>
      </c>
      <c r="AF435" s="378">
        <f>IF(NFI_Expiration=1,IF($A435&lt;VLOOKUP(O$5,NFI,5,0),1,0)*Table_NFI[[#This Row],[Clothes Kit]],Table_NFI[Clothes Kit])</f>
        <v>0</v>
      </c>
      <c r="AG435" s="378">
        <f>IF(NFI_Expiration=1,IF($A435&lt;VLOOKUP(P$5,NFI,5,0),1,0)*Table_NFI[[#This Row],[Plastic Bucket]],Table_NFI[Plastic Bucket])</f>
        <v>0</v>
      </c>
      <c r="AH435" s="378">
        <f>IF(NFI_Expiration=1,IF($A435&lt;VLOOKUP(Q$5,NFI,5,0),1,0)*Table_NFI[[#This Row],[Plastic Mat]],Table_NFI[Plastic Mat])*IF(Table_NFI[[#This Row],[Distribution Date]]&gt;"2014-04-01",1,2.5)</f>
        <v>0</v>
      </c>
      <c r="AI435" s="378">
        <f>IF(NFI_Expiration=1,IF($A435&lt;VLOOKUP(R$5,NFI,5,0),1,0)*Table_NFI[[#This Row],[Winter Clothes Adult]],Table_NFI[Winter Clothes Adult])</f>
        <v>0</v>
      </c>
      <c r="AJ435" s="378">
        <f>IF(NFI_Expiration=1,IF($A435&lt;VLOOKUP(S$5,NFI,5,0),1,0)*Table_NFI[[#This Row],[Winter Clothes Children]],Table_NFI[Winter Clothes Children])</f>
        <v>0</v>
      </c>
      <c r="AK435" s="378">
        <f>IF(NFI_Expiration=1,IF($A435&lt;VLOOKUP(T$5,NFI,5,0),1,0)*Table_NFI[[#This Row],[Winter Items Other]],Table_NFI[Winter Items Other])</f>
        <v>0</v>
      </c>
      <c r="AL435" s="378">
        <f>IF(NFI_Expiration=1,IF($A435&lt;VLOOKUP(M$5,NFI,5,0),1,0)*Table_NFI[[#This Row],[Winter Blanket]],Table_NFI[[#This Row],[Winter Blanket]])</f>
        <v>0</v>
      </c>
      <c r="AM435" s="378">
        <f>IF(Table_NFI[[#This Row],[Winter Clothes Adult]]+Table_NFI[[#This Row],[Winter Clothes Children]]+Table_NFI[[#This Row],[Winter Items Other]]+Table_NFI[[#This Row],[Winter Blanket]]&gt;0,1,0)</f>
        <v>1</v>
      </c>
      <c r="AN435" s="418">
        <f>IF(NFI_Expiration=1,IF($A435&lt;VLOOKUP(V$5,NFI,5,0),1,0)*Table_NFI[[#This Row],[Jerry Can]],Table_NFI[Jerry Can])</f>
        <v>0</v>
      </c>
      <c r="AO435" s="579" t="str">
        <f>IFERROR(VLOOKUP(Table_NFI[[#This Row],[Camp Name]],CL,2,0),"")</f>
        <v>MMR001CMP133</v>
      </c>
      <c r="AP435" s="574">
        <f ca="1">IF(Table_NFI[[#This Row],[Pcode]]="","",IF(OFFSET(CampList[Opening Date],MATCH(Table_NFI[[#This Row],[Pcode]],CampList[CP_Pcode],0)-1,0,1,1)&gt;=NFI_Monitor_Date,1,0))</f>
        <v>0</v>
      </c>
      <c r="AQ435" s="579" t="str">
        <f>IFERROR(VLOOKUP(Table_NFI[[#This Row],[Camp Name]],CL,3,0),"")</f>
        <v>Open</v>
      </c>
      <c r="AR435" s="378" t="str">
        <f ca="1">IF(Table_NFI[[#This Row],[Pcode]]="","",OFFSET(CampList[Priority],MATCH(Table_NFI[[#This Row],[Pcode]],CampList[CP_Pcode],0)-1,0,1,1))</f>
        <v>P4</v>
      </c>
      <c r="AS435" s="377">
        <f>IFERROR(Table_NFI[[#This Row],[Kitchen Set]]/VLOOKUP(Table_NFI[[#This Row],[Camp Name]],CL,4,0),"")</f>
        <v>0</v>
      </c>
      <c r="AT435" s="572" t="s">
        <v>1095</v>
      </c>
      <c r="AU435" s="575"/>
    </row>
    <row r="436" spans="1:47" s="576" customFormat="1" x14ac:dyDescent="0.25">
      <c r="A436" s="381">
        <f t="shared" si="6"/>
        <v>30.466666666666665</v>
      </c>
      <c r="B436" s="571">
        <v>41608</v>
      </c>
      <c r="C436" s="572" t="s">
        <v>908</v>
      </c>
      <c r="D436" s="572"/>
      <c r="E436" s="572" t="s">
        <v>380</v>
      </c>
      <c r="F436" s="374" t="s">
        <v>151</v>
      </c>
      <c r="G436" s="374" t="s">
        <v>160</v>
      </c>
      <c r="H436" s="375"/>
      <c r="I436" s="375"/>
      <c r="J436" s="375"/>
      <c r="K436" s="375"/>
      <c r="L436" s="376"/>
      <c r="M436" s="376"/>
      <c r="N436" s="376"/>
      <c r="O436" s="376"/>
      <c r="P436" s="378"/>
      <c r="Q436" s="378">
        <v>444</v>
      </c>
      <c r="R436" s="378"/>
      <c r="S436" s="378"/>
      <c r="T436" s="378"/>
      <c r="U436" s="378"/>
      <c r="V436" s="533"/>
      <c r="W436" s="378"/>
      <c r="X436" s="378"/>
      <c r="Y436" s="378">
        <f>IF(NFI_Expiration=1,IF($A436&lt;VLOOKUP(H$5,NFI,5,0),1,0)*Table_NFI[[#This Row],[Hygiene Kit]],Table_NFI[Hygiene Kit])</f>
        <v>0</v>
      </c>
      <c r="Z436" s="378">
        <f>IF(NFI_Expiration=1,IF($A436&lt;VLOOKUP(I$5,NFI,5,0),1,0)*Table_NFI[[#This Row],[NFI Core Kit]],Table_NFI[NFI Core Kit])</f>
        <v>0</v>
      </c>
      <c r="AA436" s="378">
        <f>IF(NFI_Expiration=1,IF($A436&lt;VLOOKUP(J$5,NFI,5,0),1,0)*Table_NFI[[#This Row],[Sanitary Kit]],Table_NFI[Sanitary Kit])</f>
        <v>0</v>
      </c>
      <c r="AB436" s="378">
        <f>IF(NFI_Expiration=1,IF($A436&lt;VLOOKUP(K$5,NFI,5,0),1,0)*Table_NFI[[#This Row],[Mosquito net]],Table_NFI[Mosquito net])</f>
        <v>0</v>
      </c>
      <c r="AC436" s="378">
        <f>IF(NFI_Expiration=1,IF($A436&lt;VLOOKUP(L$5,NFI,5,0),1,0)*Table_NFI[[#This Row],[Tarpaulin]],Table_NFI[[#This Row],[Tarpaulin]])</f>
        <v>0</v>
      </c>
      <c r="AD436" s="378">
        <f>IF(NFI_Expiration=1,IF($A436&lt;VLOOKUP(M$5,NFI,5,0),1,0)*Table_NFI[[#This Row],[Blanket]],Table_NFI[[#This Row],[Blanket]])</f>
        <v>0</v>
      </c>
      <c r="AE436" s="378">
        <f>IF(NFI_Expiration=1,IF($A436&lt;VLOOKUP(N$5,NFI,5,0),1,0)*Table_NFI[[#This Row],[Kitchen Set]],Table_NFI[Kitchen Set])</f>
        <v>0</v>
      </c>
      <c r="AF436" s="378">
        <f>IF(NFI_Expiration=1,IF($A436&lt;VLOOKUP(O$5,NFI,5,0),1,0)*Table_NFI[[#This Row],[Clothes Kit]],Table_NFI[Clothes Kit])</f>
        <v>0</v>
      </c>
      <c r="AG436" s="378">
        <f>IF(NFI_Expiration=1,IF($A436&lt;VLOOKUP(P$5,NFI,5,0),1,0)*Table_NFI[[#This Row],[Plastic Bucket]],Table_NFI[Plastic Bucket])</f>
        <v>0</v>
      </c>
      <c r="AH436" s="378">
        <f>IF(NFI_Expiration=1,IF($A436&lt;VLOOKUP(Q$5,NFI,5,0),1,0)*Table_NFI[[#This Row],[Plastic Mat]],Table_NFI[Plastic Mat])*IF(Table_NFI[[#This Row],[Distribution Date]]&gt;"2014-04-01",1,2.5)</f>
        <v>0</v>
      </c>
      <c r="AI436" s="378">
        <f>IF(NFI_Expiration=1,IF($A436&lt;VLOOKUP(R$5,NFI,5,0),1,0)*Table_NFI[[#This Row],[Winter Clothes Adult]],Table_NFI[Winter Clothes Adult])</f>
        <v>0</v>
      </c>
      <c r="AJ436" s="378">
        <f>IF(NFI_Expiration=1,IF($A436&lt;VLOOKUP(S$5,NFI,5,0),1,0)*Table_NFI[[#This Row],[Winter Clothes Children]],Table_NFI[Winter Clothes Children])</f>
        <v>0</v>
      </c>
      <c r="AK436" s="378">
        <f>IF(NFI_Expiration=1,IF($A436&lt;VLOOKUP(T$5,NFI,5,0),1,0)*Table_NFI[[#This Row],[Winter Items Other]],Table_NFI[Winter Items Other])</f>
        <v>0</v>
      </c>
      <c r="AL436" s="378">
        <f>IF(NFI_Expiration=1,IF($A436&lt;VLOOKUP(M$5,NFI,5,0),1,0)*Table_NFI[[#This Row],[Winter Blanket]],Table_NFI[[#This Row],[Winter Blanket]])</f>
        <v>0</v>
      </c>
      <c r="AM436" s="378">
        <f>IF(Table_NFI[[#This Row],[Winter Clothes Adult]]+Table_NFI[[#This Row],[Winter Clothes Children]]+Table_NFI[[#This Row],[Winter Items Other]]+Table_NFI[[#This Row],[Winter Blanket]]&gt;0,1,0)</f>
        <v>0</v>
      </c>
      <c r="AN436" s="418">
        <f>IF(NFI_Expiration=1,IF($A436&lt;VLOOKUP(V$5,NFI,5,0),1,0)*Table_NFI[[#This Row],[Jerry Can]],Table_NFI[Jerry Can])</f>
        <v>0</v>
      </c>
      <c r="AO436" s="579" t="str">
        <f>IFERROR(VLOOKUP(Table_NFI[[#This Row],[Camp Name]],CL,2,0),"")</f>
        <v>MMR001CMP133</v>
      </c>
      <c r="AP436" s="574">
        <f ca="1">IF(Table_NFI[[#This Row],[Pcode]]="","",IF(OFFSET(CampList[Opening Date],MATCH(Table_NFI[[#This Row],[Pcode]],CampList[CP_Pcode],0)-1,0,1,1)&gt;=NFI_Monitor_Date,1,0))</f>
        <v>0</v>
      </c>
      <c r="AQ436" s="579" t="str">
        <f>IFERROR(VLOOKUP(Table_NFI[[#This Row],[Camp Name]],CL,3,0),"")</f>
        <v>Open</v>
      </c>
      <c r="AR436" s="378" t="str">
        <f ca="1">IF(Table_NFI[[#This Row],[Pcode]]="","",OFFSET(CampList[Priority],MATCH(Table_NFI[[#This Row],[Pcode]],CampList[CP_Pcode],0)-1,0,1,1))</f>
        <v>P4</v>
      </c>
      <c r="AS436" s="377">
        <f>IFERROR(Table_NFI[[#This Row],[Kitchen Set]]/VLOOKUP(Table_NFI[[#This Row],[Camp Name]],CL,4,0),"")</f>
        <v>0</v>
      </c>
      <c r="AT436" s="572" t="s">
        <v>1095</v>
      </c>
      <c r="AU436" s="575"/>
    </row>
    <row r="437" spans="1:47" s="576" customFormat="1" x14ac:dyDescent="0.25">
      <c r="A437" s="381">
        <f t="shared" si="6"/>
        <v>30.633333333333333</v>
      </c>
      <c r="B437" s="571">
        <v>41603</v>
      </c>
      <c r="C437" s="572" t="s">
        <v>908</v>
      </c>
      <c r="D437" s="572" t="s">
        <v>908</v>
      </c>
      <c r="E437" s="572" t="s">
        <v>380</v>
      </c>
      <c r="F437" s="572" t="s">
        <v>151</v>
      </c>
      <c r="G437" s="572" t="s">
        <v>160</v>
      </c>
      <c r="H437" s="375"/>
      <c r="I437" s="375"/>
      <c r="J437" s="375"/>
      <c r="K437" s="375"/>
      <c r="L437" s="376"/>
      <c r="M437" s="376"/>
      <c r="N437" s="376"/>
      <c r="O437" s="376"/>
      <c r="P437" s="378"/>
      <c r="Q437" s="378"/>
      <c r="R437" s="378"/>
      <c r="S437" s="378"/>
      <c r="T437" s="378"/>
      <c r="U437" s="378"/>
      <c r="V437" s="533"/>
      <c r="W437" s="378"/>
      <c r="X437" s="378"/>
      <c r="Y437" s="378">
        <f>IF(NFI_Expiration=1,IF($A437&lt;VLOOKUP(H$5,NFI,5,0),1,0)*Table_NFI[[#This Row],[Hygiene Kit]],Table_NFI[Hygiene Kit])</f>
        <v>0</v>
      </c>
      <c r="Z437" s="378">
        <f>IF(NFI_Expiration=1,IF($A437&lt;VLOOKUP(I$5,NFI,5,0),1,0)*Table_NFI[[#This Row],[NFI Core Kit]],Table_NFI[NFI Core Kit])</f>
        <v>0</v>
      </c>
      <c r="AA437" s="378">
        <f>IF(NFI_Expiration=1,IF($A437&lt;VLOOKUP(J$5,NFI,5,0),1,0)*Table_NFI[[#This Row],[Sanitary Kit]],Table_NFI[Sanitary Kit])</f>
        <v>0</v>
      </c>
      <c r="AB437" s="378">
        <f>IF(NFI_Expiration=1,IF($A437&lt;VLOOKUP(K$5,NFI,5,0),1,0)*Table_NFI[[#This Row],[Mosquito net]],Table_NFI[Mosquito net])</f>
        <v>0</v>
      </c>
      <c r="AC437" s="378">
        <f>IF(NFI_Expiration=1,IF($A437&lt;VLOOKUP(L$5,NFI,5,0),1,0)*Table_NFI[[#This Row],[Tarpaulin]],Table_NFI[[#This Row],[Tarpaulin]])</f>
        <v>0</v>
      </c>
      <c r="AD437" s="378">
        <f>IF(NFI_Expiration=1,IF($A437&lt;VLOOKUP(M$5,NFI,5,0),1,0)*Table_NFI[[#This Row],[Blanket]],Table_NFI[[#This Row],[Blanket]])</f>
        <v>0</v>
      </c>
      <c r="AE437" s="378">
        <f>IF(NFI_Expiration=1,IF($A437&lt;VLOOKUP(N$5,NFI,5,0),1,0)*Table_NFI[[#This Row],[Kitchen Set]],Table_NFI[Kitchen Set])</f>
        <v>0</v>
      </c>
      <c r="AF437" s="378">
        <f>IF(NFI_Expiration=1,IF($A437&lt;VLOOKUP(O$5,NFI,5,0),1,0)*Table_NFI[[#This Row],[Clothes Kit]],Table_NFI[Clothes Kit])</f>
        <v>0</v>
      </c>
      <c r="AG437" s="378">
        <f>IF(NFI_Expiration=1,IF($A437&lt;VLOOKUP(P$5,NFI,5,0),1,0)*Table_NFI[[#This Row],[Plastic Bucket]],Table_NFI[Plastic Bucket])</f>
        <v>0</v>
      </c>
      <c r="AH437" s="378">
        <f>IF(NFI_Expiration=1,IF($A437&lt;VLOOKUP(Q$5,NFI,5,0),1,0)*Table_NFI[[#This Row],[Plastic Mat]],Table_NFI[Plastic Mat])*IF(Table_NFI[[#This Row],[Distribution Date]]&gt;"2014-04-01",1,2.5)</f>
        <v>0</v>
      </c>
      <c r="AI437" s="378">
        <f>IF(NFI_Expiration=1,IF($A437&lt;VLOOKUP(R$5,NFI,5,0),1,0)*Table_NFI[[#This Row],[Winter Clothes Adult]],Table_NFI[Winter Clothes Adult])</f>
        <v>0</v>
      </c>
      <c r="AJ437" s="378">
        <f>IF(NFI_Expiration=1,IF($A437&lt;VLOOKUP(S$5,NFI,5,0),1,0)*Table_NFI[[#This Row],[Winter Clothes Children]],Table_NFI[Winter Clothes Children])</f>
        <v>0</v>
      </c>
      <c r="AK437" s="378">
        <f>IF(NFI_Expiration=1,IF($A437&lt;VLOOKUP(T$5,NFI,5,0),1,0)*Table_NFI[[#This Row],[Winter Items Other]],Table_NFI[Winter Items Other])</f>
        <v>0</v>
      </c>
      <c r="AL437" s="378">
        <f>IF(NFI_Expiration=1,IF($A437&lt;VLOOKUP(M$5,NFI,5,0),1,0)*Table_NFI[[#This Row],[Winter Blanket]],Table_NFI[[#This Row],[Winter Blanket]])</f>
        <v>0</v>
      </c>
      <c r="AM437" s="378">
        <f>IF(Table_NFI[[#This Row],[Winter Clothes Adult]]+Table_NFI[[#This Row],[Winter Clothes Children]]+Table_NFI[[#This Row],[Winter Items Other]]+Table_NFI[[#This Row],[Winter Blanket]]&gt;0,1,0)</f>
        <v>0</v>
      </c>
      <c r="AN437" s="418">
        <f>IF(NFI_Expiration=1,IF($A437&lt;VLOOKUP(V$5,NFI,5,0),1,0)*Table_NFI[[#This Row],[Jerry Can]],Table_NFI[Jerry Can])</f>
        <v>0</v>
      </c>
      <c r="AO437" s="579" t="str">
        <f>IFERROR(VLOOKUP(Table_NFI[[#This Row],[Camp Name]],CL,2,0),"")</f>
        <v>MMR001CMP133</v>
      </c>
      <c r="AP437" s="574">
        <f ca="1">IF(Table_NFI[[#This Row],[Pcode]]="","",IF(OFFSET(CampList[Opening Date],MATCH(Table_NFI[[#This Row],[Pcode]],CampList[CP_Pcode],0)-1,0,1,1)&gt;=NFI_Monitor_Date,1,0))</f>
        <v>0</v>
      </c>
      <c r="AQ437" s="579" t="str">
        <f>IFERROR(VLOOKUP(Table_NFI[[#This Row],[Camp Name]],CL,3,0),"")</f>
        <v>Open</v>
      </c>
      <c r="AR437" s="378" t="str">
        <f ca="1">IF(Table_NFI[[#This Row],[Pcode]]="","",OFFSET(CampList[Priority],MATCH(Table_NFI[[#This Row],[Pcode]],CampList[CP_Pcode],0)-1,0,1,1))</f>
        <v>P4</v>
      </c>
      <c r="AS437" s="377">
        <f>IFERROR(Table_NFI[[#This Row],[Kitchen Set]]/VLOOKUP(Table_NFI[[#This Row],[Camp Name]],CL,4,0),"")</f>
        <v>0</v>
      </c>
      <c r="AT437" s="572"/>
      <c r="AU437" s="575"/>
    </row>
    <row r="438" spans="1:47" s="576" customFormat="1" x14ac:dyDescent="0.25">
      <c r="A438" s="381">
        <f t="shared" si="6"/>
        <v>30.633333333333333</v>
      </c>
      <c r="B438" s="571">
        <v>41603</v>
      </c>
      <c r="C438" s="572" t="s">
        <v>908</v>
      </c>
      <c r="D438" s="572" t="s">
        <v>908</v>
      </c>
      <c r="E438" s="572" t="s">
        <v>380</v>
      </c>
      <c r="F438" s="572" t="s">
        <v>151</v>
      </c>
      <c r="G438" s="572" t="s">
        <v>160</v>
      </c>
      <c r="H438" s="375"/>
      <c r="I438" s="375"/>
      <c r="J438" s="375"/>
      <c r="K438" s="375"/>
      <c r="L438" s="376"/>
      <c r="M438" s="376"/>
      <c r="N438" s="376"/>
      <c r="O438" s="376"/>
      <c r="P438" s="378"/>
      <c r="Q438" s="378"/>
      <c r="R438" s="378">
        <v>19</v>
      </c>
      <c r="S438" s="378">
        <v>38</v>
      </c>
      <c r="T438" s="378">
        <v>114</v>
      </c>
      <c r="U438" s="378">
        <v>57</v>
      </c>
      <c r="V438" s="533"/>
      <c r="W438" s="378"/>
      <c r="X438" s="378"/>
      <c r="Y438" s="378">
        <f>IF(NFI_Expiration=1,IF($A438&lt;VLOOKUP(H$5,NFI,5,0),1,0)*Table_NFI[[#This Row],[Hygiene Kit]],Table_NFI[Hygiene Kit])</f>
        <v>0</v>
      </c>
      <c r="Z438" s="378">
        <f>IF(NFI_Expiration=1,IF($A438&lt;VLOOKUP(I$5,NFI,5,0),1,0)*Table_NFI[[#This Row],[NFI Core Kit]],Table_NFI[NFI Core Kit])</f>
        <v>0</v>
      </c>
      <c r="AA438" s="378">
        <f>IF(NFI_Expiration=1,IF($A438&lt;VLOOKUP(J$5,NFI,5,0),1,0)*Table_NFI[[#This Row],[Sanitary Kit]],Table_NFI[Sanitary Kit])</f>
        <v>0</v>
      </c>
      <c r="AB438" s="378">
        <f>IF(NFI_Expiration=1,IF($A438&lt;VLOOKUP(K$5,NFI,5,0),1,0)*Table_NFI[[#This Row],[Mosquito net]],Table_NFI[Mosquito net])</f>
        <v>0</v>
      </c>
      <c r="AC438" s="378">
        <f>IF(NFI_Expiration=1,IF($A438&lt;VLOOKUP(L$5,NFI,5,0),1,0)*Table_NFI[[#This Row],[Tarpaulin]],Table_NFI[[#This Row],[Tarpaulin]])</f>
        <v>0</v>
      </c>
      <c r="AD438" s="378">
        <f>IF(NFI_Expiration=1,IF($A438&lt;VLOOKUP(M$5,NFI,5,0),1,0)*Table_NFI[[#This Row],[Blanket]],Table_NFI[[#This Row],[Blanket]])</f>
        <v>0</v>
      </c>
      <c r="AE438" s="378">
        <f>IF(NFI_Expiration=1,IF($A438&lt;VLOOKUP(N$5,NFI,5,0),1,0)*Table_NFI[[#This Row],[Kitchen Set]],Table_NFI[Kitchen Set])</f>
        <v>0</v>
      </c>
      <c r="AF438" s="378">
        <f>IF(NFI_Expiration=1,IF($A438&lt;VLOOKUP(O$5,NFI,5,0),1,0)*Table_NFI[[#This Row],[Clothes Kit]],Table_NFI[Clothes Kit])</f>
        <v>0</v>
      </c>
      <c r="AG438" s="378">
        <f>IF(NFI_Expiration=1,IF($A438&lt;VLOOKUP(P$5,NFI,5,0),1,0)*Table_NFI[[#This Row],[Plastic Bucket]],Table_NFI[Plastic Bucket])</f>
        <v>0</v>
      </c>
      <c r="AH438" s="378">
        <f>IF(NFI_Expiration=1,IF($A438&lt;VLOOKUP(Q$5,NFI,5,0),1,0)*Table_NFI[[#This Row],[Plastic Mat]],Table_NFI[Plastic Mat])*IF(Table_NFI[[#This Row],[Distribution Date]]&gt;"2014-04-01",1,2.5)</f>
        <v>0</v>
      </c>
      <c r="AI438" s="378">
        <f>IF(NFI_Expiration=1,IF($A438&lt;VLOOKUP(R$5,NFI,5,0),1,0)*Table_NFI[[#This Row],[Winter Clothes Adult]],Table_NFI[Winter Clothes Adult])</f>
        <v>0</v>
      </c>
      <c r="AJ438" s="378">
        <f>IF(NFI_Expiration=1,IF($A438&lt;VLOOKUP(S$5,NFI,5,0),1,0)*Table_NFI[[#This Row],[Winter Clothes Children]],Table_NFI[Winter Clothes Children])</f>
        <v>0</v>
      </c>
      <c r="AK438" s="378">
        <f>IF(NFI_Expiration=1,IF($A438&lt;VLOOKUP(T$5,NFI,5,0),1,0)*Table_NFI[[#This Row],[Winter Items Other]],Table_NFI[Winter Items Other])</f>
        <v>0</v>
      </c>
      <c r="AL438" s="378">
        <f>IF(NFI_Expiration=1,IF($A438&lt;VLOOKUP(M$5,NFI,5,0),1,0)*Table_NFI[[#This Row],[Winter Blanket]],Table_NFI[[#This Row],[Winter Blanket]])</f>
        <v>0</v>
      </c>
      <c r="AM438" s="378">
        <f>IF(Table_NFI[[#This Row],[Winter Clothes Adult]]+Table_NFI[[#This Row],[Winter Clothes Children]]+Table_NFI[[#This Row],[Winter Items Other]]+Table_NFI[[#This Row],[Winter Blanket]]&gt;0,1,0)</f>
        <v>1</v>
      </c>
      <c r="AN438" s="418">
        <f>IF(NFI_Expiration=1,IF($A438&lt;VLOOKUP(V$5,NFI,5,0),1,0)*Table_NFI[[#This Row],[Jerry Can]],Table_NFI[Jerry Can])</f>
        <v>0</v>
      </c>
      <c r="AO438" s="579" t="str">
        <f>IFERROR(VLOOKUP(Table_NFI[[#This Row],[Camp Name]],CL,2,0),"")</f>
        <v>MMR001CMP133</v>
      </c>
      <c r="AP438" s="574">
        <f ca="1">IF(Table_NFI[[#This Row],[Pcode]]="","",IF(OFFSET(CampList[Opening Date],MATCH(Table_NFI[[#This Row],[Pcode]],CampList[CP_Pcode],0)-1,0,1,1)&gt;=NFI_Monitor_Date,1,0))</f>
        <v>0</v>
      </c>
      <c r="AQ438" s="579" t="str">
        <f>IFERROR(VLOOKUP(Table_NFI[[#This Row],[Camp Name]],CL,3,0),"")</f>
        <v>Open</v>
      </c>
      <c r="AR438" s="378" t="str">
        <f ca="1">IF(Table_NFI[[#This Row],[Pcode]]="","",OFFSET(CampList[Priority],MATCH(Table_NFI[[#This Row],[Pcode]],CampList[CP_Pcode],0)-1,0,1,1))</f>
        <v>P4</v>
      </c>
      <c r="AS438" s="377">
        <f>IFERROR(Table_NFI[[#This Row],[Kitchen Set]]/VLOOKUP(Table_NFI[[#This Row],[Camp Name]],CL,4,0),"")</f>
        <v>0</v>
      </c>
      <c r="AT438" s="572"/>
      <c r="AU438" s="575"/>
    </row>
    <row r="439" spans="1:47" s="576" customFormat="1" x14ac:dyDescent="0.25">
      <c r="A439" s="381">
        <f t="shared" si="6"/>
        <v>31</v>
      </c>
      <c r="B439" s="571">
        <v>41592</v>
      </c>
      <c r="C439" s="572" t="s">
        <v>455</v>
      </c>
      <c r="D439" s="572"/>
      <c r="E439" s="572" t="s">
        <v>380</v>
      </c>
      <c r="F439" s="572" t="s">
        <v>151</v>
      </c>
      <c r="G439" s="572" t="s">
        <v>160</v>
      </c>
      <c r="H439" s="375"/>
      <c r="I439" s="375"/>
      <c r="J439" s="375"/>
      <c r="K439" s="375"/>
      <c r="L439" s="376"/>
      <c r="M439" s="376"/>
      <c r="N439" s="376"/>
      <c r="O439" s="376"/>
      <c r="P439" s="378"/>
      <c r="Q439" s="378"/>
      <c r="R439" s="378"/>
      <c r="S439" s="378">
        <v>32</v>
      </c>
      <c r="T439" s="378"/>
      <c r="U439" s="378"/>
      <c r="V439" s="533"/>
      <c r="W439" s="378"/>
      <c r="X439" s="378"/>
      <c r="Y439" s="378">
        <f>IF(NFI_Expiration=1,IF($A439&lt;VLOOKUP(H$5,NFI,5,0),1,0)*Table_NFI[[#This Row],[Hygiene Kit]],Table_NFI[Hygiene Kit])</f>
        <v>0</v>
      </c>
      <c r="Z439" s="378">
        <f>IF(NFI_Expiration=1,IF($A439&lt;VLOOKUP(I$5,NFI,5,0),1,0)*Table_NFI[[#This Row],[NFI Core Kit]],Table_NFI[NFI Core Kit])</f>
        <v>0</v>
      </c>
      <c r="AA439" s="378">
        <f>IF(NFI_Expiration=1,IF($A439&lt;VLOOKUP(J$5,NFI,5,0),1,0)*Table_NFI[[#This Row],[Sanitary Kit]],Table_NFI[Sanitary Kit])</f>
        <v>0</v>
      </c>
      <c r="AB439" s="378">
        <f>IF(NFI_Expiration=1,IF($A439&lt;VLOOKUP(K$5,NFI,5,0),1,0)*Table_NFI[[#This Row],[Mosquito net]],Table_NFI[Mosquito net])</f>
        <v>0</v>
      </c>
      <c r="AC439" s="378">
        <f>IF(NFI_Expiration=1,IF($A439&lt;VLOOKUP(L$5,NFI,5,0),1,0)*Table_NFI[[#This Row],[Tarpaulin]],Table_NFI[[#This Row],[Tarpaulin]])</f>
        <v>0</v>
      </c>
      <c r="AD439" s="378">
        <f>IF(NFI_Expiration=1,IF($A439&lt;VLOOKUP(M$5,NFI,5,0),1,0)*Table_NFI[[#This Row],[Blanket]],Table_NFI[[#This Row],[Blanket]])</f>
        <v>0</v>
      </c>
      <c r="AE439" s="378">
        <f>IF(NFI_Expiration=1,IF($A439&lt;VLOOKUP(N$5,NFI,5,0),1,0)*Table_NFI[[#This Row],[Kitchen Set]],Table_NFI[Kitchen Set])</f>
        <v>0</v>
      </c>
      <c r="AF439" s="378">
        <f>IF(NFI_Expiration=1,IF($A439&lt;VLOOKUP(O$5,NFI,5,0),1,0)*Table_NFI[[#This Row],[Clothes Kit]],Table_NFI[Clothes Kit])</f>
        <v>0</v>
      </c>
      <c r="AG439" s="378">
        <f>IF(NFI_Expiration=1,IF($A439&lt;VLOOKUP(P$5,NFI,5,0),1,0)*Table_NFI[[#This Row],[Plastic Bucket]],Table_NFI[Plastic Bucket])</f>
        <v>0</v>
      </c>
      <c r="AH439" s="378">
        <f>IF(NFI_Expiration=1,IF($A439&lt;VLOOKUP(Q$5,NFI,5,0),1,0)*Table_NFI[[#This Row],[Plastic Mat]],Table_NFI[Plastic Mat])*IF(Table_NFI[[#This Row],[Distribution Date]]&gt;"2014-04-01",1,2.5)</f>
        <v>0</v>
      </c>
      <c r="AI439" s="378">
        <f>IF(NFI_Expiration=1,IF($A439&lt;VLOOKUP(R$5,NFI,5,0),1,0)*Table_NFI[[#This Row],[Winter Clothes Adult]],Table_NFI[Winter Clothes Adult])</f>
        <v>0</v>
      </c>
      <c r="AJ439" s="378">
        <f>IF(NFI_Expiration=1,IF($A439&lt;VLOOKUP(S$5,NFI,5,0),1,0)*Table_NFI[[#This Row],[Winter Clothes Children]],Table_NFI[Winter Clothes Children])</f>
        <v>0</v>
      </c>
      <c r="AK439" s="378">
        <f>IF(NFI_Expiration=1,IF($A439&lt;VLOOKUP(T$5,NFI,5,0),1,0)*Table_NFI[[#This Row],[Winter Items Other]],Table_NFI[Winter Items Other])</f>
        <v>0</v>
      </c>
      <c r="AL439" s="378">
        <f>IF(NFI_Expiration=1,IF($A439&lt;VLOOKUP(M$5,NFI,5,0),1,0)*Table_NFI[[#This Row],[Winter Blanket]],Table_NFI[[#This Row],[Winter Blanket]])</f>
        <v>0</v>
      </c>
      <c r="AM439" s="378">
        <f>IF(Table_NFI[[#This Row],[Winter Clothes Adult]]+Table_NFI[[#This Row],[Winter Clothes Children]]+Table_NFI[[#This Row],[Winter Items Other]]+Table_NFI[[#This Row],[Winter Blanket]]&gt;0,1,0)</f>
        <v>1</v>
      </c>
      <c r="AN439" s="418">
        <f>IF(NFI_Expiration=1,IF($A439&lt;VLOOKUP(V$5,NFI,5,0),1,0)*Table_NFI[[#This Row],[Jerry Can]],Table_NFI[Jerry Can])</f>
        <v>0</v>
      </c>
      <c r="AO439" s="579" t="str">
        <f>IFERROR(VLOOKUP(Table_NFI[[#This Row],[Camp Name]],CL,2,0),"")</f>
        <v>MMR001CMP133</v>
      </c>
      <c r="AP439" s="574">
        <f ca="1">IF(Table_NFI[[#This Row],[Pcode]]="","",IF(OFFSET(CampList[Opening Date],MATCH(Table_NFI[[#This Row],[Pcode]],CampList[CP_Pcode],0)-1,0,1,1)&gt;=NFI_Monitor_Date,1,0))</f>
        <v>0</v>
      </c>
      <c r="AQ439" s="579" t="str">
        <f>IFERROR(VLOOKUP(Table_NFI[[#This Row],[Camp Name]],CL,3,0),"")</f>
        <v>Open</v>
      </c>
      <c r="AR439" s="378" t="str">
        <f ca="1">IF(Table_NFI[[#This Row],[Pcode]]="","",OFFSET(CampList[Priority],MATCH(Table_NFI[[#This Row],[Pcode]],CampList[CP_Pcode],0)-1,0,1,1))</f>
        <v>P4</v>
      </c>
      <c r="AS439" s="377">
        <f>IFERROR(Table_NFI[[#This Row],[Kitchen Set]]/VLOOKUP(Table_NFI[[#This Row],[Camp Name]],CL,4,0),"")</f>
        <v>0</v>
      </c>
      <c r="AT439" s="572" t="s">
        <v>1095</v>
      </c>
      <c r="AU439" s="575"/>
    </row>
    <row r="440" spans="1:47" s="576" customFormat="1" x14ac:dyDescent="0.25">
      <c r="A440" s="381">
        <f t="shared" si="6"/>
        <v>31.033333333333335</v>
      </c>
      <c r="B440" s="571">
        <v>41591</v>
      </c>
      <c r="C440" s="572" t="s">
        <v>908</v>
      </c>
      <c r="D440" s="572" t="s">
        <v>908</v>
      </c>
      <c r="E440" s="572" t="s">
        <v>380</v>
      </c>
      <c r="F440" s="572" t="s">
        <v>151</v>
      </c>
      <c r="G440" s="572" t="s">
        <v>160</v>
      </c>
      <c r="H440" s="375"/>
      <c r="I440" s="375"/>
      <c r="J440" s="375"/>
      <c r="K440" s="375"/>
      <c r="L440" s="376"/>
      <c r="M440" s="376"/>
      <c r="N440" s="376"/>
      <c r="O440" s="376"/>
      <c r="P440" s="378"/>
      <c r="Q440" s="378"/>
      <c r="R440" s="378"/>
      <c r="S440" s="378">
        <v>160</v>
      </c>
      <c r="T440" s="378">
        <v>320</v>
      </c>
      <c r="U440" s="378">
        <v>160</v>
      </c>
      <c r="V440" s="533"/>
      <c r="W440" s="378"/>
      <c r="X440" s="378"/>
      <c r="Y440" s="378">
        <f>IF(NFI_Expiration=1,IF($A440&lt;VLOOKUP(H$5,NFI,5,0),1,0)*Table_NFI[[#This Row],[Hygiene Kit]],Table_NFI[Hygiene Kit])</f>
        <v>0</v>
      </c>
      <c r="Z440" s="378">
        <f>IF(NFI_Expiration=1,IF($A440&lt;VLOOKUP(I$5,NFI,5,0),1,0)*Table_NFI[[#This Row],[NFI Core Kit]],Table_NFI[NFI Core Kit])</f>
        <v>0</v>
      </c>
      <c r="AA440" s="378">
        <f>IF(NFI_Expiration=1,IF($A440&lt;VLOOKUP(J$5,NFI,5,0),1,0)*Table_NFI[[#This Row],[Sanitary Kit]],Table_NFI[Sanitary Kit])</f>
        <v>0</v>
      </c>
      <c r="AB440" s="378">
        <f>IF(NFI_Expiration=1,IF($A440&lt;VLOOKUP(K$5,NFI,5,0),1,0)*Table_NFI[[#This Row],[Mosquito net]],Table_NFI[Mosquito net])</f>
        <v>0</v>
      </c>
      <c r="AC440" s="378">
        <f>IF(NFI_Expiration=1,IF($A440&lt;VLOOKUP(L$5,NFI,5,0),1,0)*Table_NFI[[#This Row],[Tarpaulin]],Table_NFI[[#This Row],[Tarpaulin]])</f>
        <v>0</v>
      </c>
      <c r="AD440" s="378">
        <f>IF(NFI_Expiration=1,IF($A440&lt;VLOOKUP(M$5,NFI,5,0),1,0)*Table_NFI[[#This Row],[Blanket]],Table_NFI[[#This Row],[Blanket]])</f>
        <v>0</v>
      </c>
      <c r="AE440" s="378">
        <f>IF(NFI_Expiration=1,IF($A440&lt;VLOOKUP(N$5,NFI,5,0),1,0)*Table_NFI[[#This Row],[Kitchen Set]],Table_NFI[Kitchen Set])</f>
        <v>0</v>
      </c>
      <c r="AF440" s="378">
        <f>IF(NFI_Expiration=1,IF($A440&lt;VLOOKUP(O$5,NFI,5,0),1,0)*Table_NFI[[#This Row],[Clothes Kit]],Table_NFI[Clothes Kit])</f>
        <v>0</v>
      </c>
      <c r="AG440" s="378">
        <f>IF(NFI_Expiration=1,IF($A440&lt;VLOOKUP(P$5,NFI,5,0),1,0)*Table_NFI[[#This Row],[Plastic Bucket]],Table_NFI[Plastic Bucket])</f>
        <v>0</v>
      </c>
      <c r="AH440" s="378">
        <f>IF(NFI_Expiration=1,IF($A440&lt;VLOOKUP(Q$5,NFI,5,0),1,0)*Table_NFI[[#This Row],[Plastic Mat]],Table_NFI[Plastic Mat])*IF(Table_NFI[[#This Row],[Distribution Date]]&gt;"2014-04-01",1,2.5)</f>
        <v>0</v>
      </c>
      <c r="AI440" s="378">
        <f>IF(NFI_Expiration=1,IF($A440&lt;VLOOKUP(R$5,NFI,5,0),1,0)*Table_NFI[[#This Row],[Winter Clothes Adult]],Table_NFI[Winter Clothes Adult])</f>
        <v>0</v>
      </c>
      <c r="AJ440" s="378">
        <f>IF(NFI_Expiration=1,IF($A440&lt;VLOOKUP(S$5,NFI,5,0),1,0)*Table_NFI[[#This Row],[Winter Clothes Children]],Table_NFI[Winter Clothes Children])</f>
        <v>0</v>
      </c>
      <c r="AK440" s="378">
        <f>IF(NFI_Expiration=1,IF($A440&lt;VLOOKUP(T$5,NFI,5,0),1,0)*Table_NFI[[#This Row],[Winter Items Other]],Table_NFI[Winter Items Other])</f>
        <v>0</v>
      </c>
      <c r="AL440" s="378">
        <f>IF(NFI_Expiration=1,IF($A440&lt;VLOOKUP(M$5,NFI,5,0),1,0)*Table_NFI[[#This Row],[Winter Blanket]],Table_NFI[[#This Row],[Winter Blanket]])</f>
        <v>0</v>
      </c>
      <c r="AM440" s="378">
        <f>IF(Table_NFI[[#This Row],[Winter Clothes Adult]]+Table_NFI[[#This Row],[Winter Clothes Children]]+Table_NFI[[#This Row],[Winter Items Other]]+Table_NFI[[#This Row],[Winter Blanket]]&gt;0,1,0)</f>
        <v>1</v>
      </c>
      <c r="AN440" s="418">
        <f>IF(NFI_Expiration=1,IF($A440&lt;VLOOKUP(V$5,NFI,5,0),1,0)*Table_NFI[[#This Row],[Jerry Can]],Table_NFI[Jerry Can])</f>
        <v>0</v>
      </c>
      <c r="AO440" s="579" t="str">
        <f>IFERROR(VLOOKUP(Table_NFI[[#This Row],[Camp Name]],CL,2,0),"")</f>
        <v>MMR001CMP133</v>
      </c>
      <c r="AP440" s="574">
        <f ca="1">IF(Table_NFI[[#This Row],[Pcode]]="","",IF(OFFSET(CampList[Opening Date],MATCH(Table_NFI[[#This Row],[Pcode]],CampList[CP_Pcode],0)-1,0,1,1)&gt;=NFI_Monitor_Date,1,0))</f>
        <v>0</v>
      </c>
      <c r="AQ440" s="579" t="str">
        <f>IFERROR(VLOOKUP(Table_NFI[[#This Row],[Camp Name]],CL,3,0),"")</f>
        <v>Open</v>
      </c>
      <c r="AR440" s="378" t="str">
        <f ca="1">IF(Table_NFI[[#This Row],[Pcode]]="","",OFFSET(CampList[Priority],MATCH(Table_NFI[[#This Row],[Pcode]],CampList[CP_Pcode],0)-1,0,1,1))</f>
        <v>P4</v>
      </c>
      <c r="AS440" s="377">
        <f>IFERROR(Table_NFI[[#This Row],[Kitchen Set]]/VLOOKUP(Table_NFI[[#This Row],[Camp Name]],CL,4,0),"")</f>
        <v>0</v>
      </c>
      <c r="AT440" s="572"/>
      <c r="AU440" s="575"/>
    </row>
    <row r="441" spans="1:47" s="576" customFormat="1" x14ac:dyDescent="0.25">
      <c r="A441" s="381">
        <f t="shared" si="6"/>
        <v>39.666666666666664</v>
      </c>
      <c r="B441" s="571">
        <v>41332</v>
      </c>
      <c r="C441" s="572" t="s">
        <v>908</v>
      </c>
      <c r="D441" s="573" t="s">
        <v>908</v>
      </c>
      <c r="E441" s="572" t="s">
        <v>380</v>
      </c>
      <c r="F441" s="374" t="s">
        <v>151</v>
      </c>
      <c r="G441" s="374" t="s">
        <v>160</v>
      </c>
      <c r="H441" s="375">
        <v>595</v>
      </c>
      <c r="I441" s="375"/>
      <c r="J441" s="375">
        <v>740</v>
      </c>
      <c r="K441" s="375"/>
      <c r="L441" s="376"/>
      <c r="M441" s="376"/>
      <c r="N441" s="376"/>
      <c r="O441" s="376"/>
      <c r="P441" s="378">
        <v>0</v>
      </c>
      <c r="Q441" s="378">
        <v>0</v>
      </c>
      <c r="R441" s="378"/>
      <c r="S441" s="378"/>
      <c r="T441" s="378"/>
      <c r="U441" s="378"/>
      <c r="V441" s="533"/>
      <c r="W441" s="378"/>
      <c r="X441" s="378"/>
      <c r="Y441" s="378">
        <f>IF(NFI_Expiration=1,IF($A441&lt;VLOOKUP(H$5,NFI,5,0),1,0)*Table_NFI[[#This Row],[Hygiene Kit]],Table_NFI[Hygiene Kit])</f>
        <v>0</v>
      </c>
      <c r="Z441" s="378">
        <f>IF(NFI_Expiration=1,IF($A441&lt;VLOOKUP(I$5,NFI,5,0),1,0)*Table_NFI[[#This Row],[NFI Core Kit]],Table_NFI[NFI Core Kit])</f>
        <v>0</v>
      </c>
      <c r="AA441" s="378">
        <f>IF(NFI_Expiration=1,IF($A441&lt;VLOOKUP(J$5,NFI,5,0),1,0)*Table_NFI[[#This Row],[Sanitary Kit]],Table_NFI[Sanitary Kit])</f>
        <v>0</v>
      </c>
      <c r="AB441" s="378">
        <f>IF(NFI_Expiration=1,IF($A441&lt;VLOOKUP(K$5,NFI,5,0),1,0)*Table_NFI[[#This Row],[Mosquito net]],Table_NFI[Mosquito net])</f>
        <v>0</v>
      </c>
      <c r="AC441" s="378">
        <f>IF(NFI_Expiration=1,IF($A441&lt;VLOOKUP(L$5,NFI,5,0),1,0)*Table_NFI[[#This Row],[Tarpaulin]],Table_NFI[[#This Row],[Tarpaulin]])</f>
        <v>0</v>
      </c>
      <c r="AD441" s="378">
        <f>IF(NFI_Expiration=1,IF($A441&lt;VLOOKUP(M$5,NFI,5,0),1,0)*Table_NFI[[#This Row],[Blanket]],Table_NFI[[#This Row],[Blanket]])</f>
        <v>0</v>
      </c>
      <c r="AE441" s="378">
        <f>IF(NFI_Expiration=1,IF($A441&lt;VLOOKUP(N$5,NFI,5,0),1,0)*Table_NFI[[#This Row],[Kitchen Set]],Table_NFI[Kitchen Set])</f>
        <v>0</v>
      </c>
      <c r="AF441" s="378">
        <f>IF(NFI_Expiration=1,IF($A441&lt;VLOOKUP(O$5,NFI,5,0),1,0)*Table_NFI[[#This Row],[Clothes Kit]],Table_NFI[Clothes Kit])</f>
        <v>0</v>
      </c>
      <c r="AG441" s="378">
        <f>IF(NFI_Expiration=1,IF($A441&lt;VLOOKUP(P$5,NFI,5,0),1,0)*Table_NFI[[#This Row],[Plastic Bucket]],Table_NFI[Plastic Bucket])</f>
        <v>0</v>
      </c>
      <c r="AH441" s="378">
        <f>IF(NFI_Expiration=1,IF($A441&lt;VLOOKUP(Q$5,NFI,5,0),1,0)*Table_NFI[[#This Row],[Plastic Mat]],Table_NFI[Plastic Mat])*IF(Table_NFI[[#This Row],[Distribution Date]]&gt;"2014-04-01",1,2.5)</f>
        <v>0</v>
      </c>
      <c r="AI441" s="378">
        <f>IF(NFI_Expiration=1,IF($A441&lt;VLOOKUP(R$5,NFI,5,0),1,0)*Table_NFI[[#This Row],[Winter Clothes Adult]],Table_NFI[Winter Clothes Adult])</f>
        <v>0</v>
      </c>
      <c r="AJ441" s="378">
        <f>IF(NFI_Expiration=1,IF($A441&lt;VLOOKUP(S$5,NFI,5,0),1,0)*Table_NFI[[#This Row],[Winter Clothes Children]],Table_NFI[Winter Clothes Children])</f>
        <v>0</v>
      </c>
      <c r="AK441" s="378">
        <f>IF(NFI_Expiration=1,IF($A441&lt;VLOOKUP(T$5,NFI,5,0),1,0)*Table_NFI[[#This Row],[Winter Items Other]],Table_NFI[Winter Items Other])</f>
        <v>0</v>
      </c>
      <c r="AL441" s="378">
        <f>IF(NFI_Expiration=1,IF($A441&lt;VLOOKUP(M$5,NFI,5,0),1,0)*Table_NFI[[#This Row],[Winter Blanket]],Table_NFI[[#This Row],[Winter Blanket]])</f>
        <v>0</v>
      </c>
      <c r="AM441" s="378">
        <f>IF(Table_NFI[[#This Row],[Winter Clothes Adult]]+Table_NFI[[#This Row],[Winter Clothes Children]]+Table_NFI[[#This Row],[Winter Items Other]]+Table_NFI[[#This Row],[Winter Blanket]]&gt;0,1,0)</f>
        <v>0</v>
      </c>
      <c r="AN441" s="418">
        <f>IF(NFI_Expiration=1,IF($A441&lt;VLOOKUP(V$5,NFI,5,0),1,0)*Table_NFI[[#This Row],[Jerry Can]],Table_NFI[Jerry Can])</f>
        <v>0</v>
      </c>
      <c r="AO441" s="579" t="str">
        <f>IFERROR(VLOOKUP(Table_NFI[[#This Row],[Camp Name]],CL,2,0),"")</f>
        <v>MMR001CMP133</v>
      </c>
      <c r="AP441" s="574">
        <f ca="1">IF(Table_NFI[[#This Row],[Pcode]]="","",IF(OFFSET(CampList[Opening Date],MATCH(Table_NFI[[#This Row],[Pcode]],CampList[CP_Pcode],0)-1,0,1,1)&gt;=NFI_Monitor_Date,1,0))</f>
        <v>0</v>
      </c>
      <c r="AQ441" s="579" t="str">
        <f>IFERROR(VLOOKUP(Table_NFI[[#This Row],[Camp Name]],CL,3,0),"")</f>
        <v>Open</v>
      </c>
      <c r="AR441" s="378" t="str">
        <f ca="1">IF(Table_NFI[[#This Row],[Pcode]]="","",OFFSET(CampList[Priority],MATCH(Table_NFI[[#This Row],[Pcode]],CampList[CP_Pcode],0)-1,0,1,1))</f>
        <v>P4</v>
      </c>
      <c r="AS441" s="377">
        <f>IFERROR(Table_NFI[[#This Row],[Kitchen Set]]/VLOOKUP(Table_NFI[[#This Row],[Camp Name]],CL,4,0),"")</f>
        <v>0</v>
      </c>
      <c r="AT441" s="572" t="s">
        <v>1095</v>
      </c>
      <c r="AU441" s="575"/>
    </row>
    <row r="442" spans="1:47" s="576" customFormat="1" x14ac:dyDescent="0.25">
      <c r="A442" s="381">
        <f t="shared" si="6"/>
        <v>39.966666666666669</v>
      </c>
      <c r="B442" s="571">
        <v>41323</v>
      </c>
      <c r="C442" s="572" t="s">
        <v>454</v>
      </c>
      <c r="D442" s="572" t="s">
        <v>462</v>
      </c>
      <c r="E442" s="572" t="s">
        <v>380</v>
      </c>
      <c r="F442" s="374" t="s">
        <v>151</v>
      </c>
      <c r="G442" s="374" t="s">
        <v>160</v>
      </c>
      <c r="H442" s="375"/>
      <c r="I442" s="375"/>
      <c r="J442" s="375">
        <v>221</v>
      </c>
      <c r="K442" s="375">
        <v>221</v>
      </c>
      <c r="L442" s="376">
        <v>110</v>
      </c>
      <c r="M442" s="376">
        <v>221</v>
      </c>
      <c r="N442" s="376">
        <v>110</v>
      </c>
      <c r="O442" s="376">
        <v>110</v>
      </c>
      <c r="P442" s="378">
        <v>110</v>
      </c>
      <c r="Q442" s="378">
        <v>110</v>
      </c>
      <c r="R442" s="378"/>
      <c r="S442" s="378"/>
      <c r="T442" s="378"/>
      <c r="U442" s="378"/>
      <c r="V442" s="533"/>
      <c r="W442" s="378"/>
      <c r="X442" s="378"/>
      <c r="Y442" s="378">
        <f>IF(NFI_Expiration=1,IF($A442&lt;VLOOKUP(H$5,NFI,5,0),1,0)*Table_NFI[[#This Row],[Hygiene Kit]],Table_NFI[Hygiene Kit])</f>
        <v>0</v>
      </c>
      <c r="Z442" s="378">
        <f>IF(NFI_Expiration=1,IF($A442&lt;VLOOKUP(I$5,NFI,5,0),1,0)*Table_NFI[[#This Row],[NFI Core Kit]],Table_NFI[NFI Core Kit])</f>
        <v>0</v>
      </c>
      <c r="AA442" s="378">
        <f>IF(NFI_Expiration=1,IF($A442&lt;VLOOKUP(J$5,NFI,5,0),1,0)*Table_NFI[[#This Row],[Sanitary Kit]],Table_NFI[Sanitary Kit])</f>
        <v>0</v>
      </c>
      <c r="AB442" s="378">
        <f>IF(NFI_Expiration=1,IF($A442&lt;VLOOKUP(K$5,NFI,5,0),1,0)*Table_NFI[[#This Row],[Mosquito net]],Table_NFI[Mosquito net])</f>
        <v>0</v>
      </c>
      <c r="AC442" s="378">
        <f>IF(NFI_Expiration=1,IF($A442&lt;VLOOKUP(L$5,NFI,5,0),1,0)*Table_NFI[[#This Row],[Tarpaulin]],Table_NFI[[#This Row],[Tarpaulin]])</f>
        <v>0</v>
      </c>
      <c r="AD442" s="378">
        <f>IF(NFI_Expiration=1,IF($A442&lt;VLOOKUP(M$5,NFI,5,0),1,0)*Table_NFI[[#This Row],[Blanket]],Table_NFI[[#This Row],[Blanket]])</f>
        <v>0</v>
      </c>
      <c r="AE442" s="378">
        <f>IF(NFI_Expiration=1,IF($A442&lt;VLOOKUP(N$5,NFI,5,0),1,0)*Table_NFI[[#This Row],[Kitchen Set]],Table_NFI[Kitchen Set])</f>
        <v>0</v>
      </c>
      <c r="AF442" s="378">
        <f>IF(NFI_Expiration=1,IF($A442&lt;VLOOKUP(O$5,NFI,5,0),1,0)*Table_NFI[[#This Row],[Clothes Kit]],Table_NFI[Clothes Kit])</f>
        <v>0</v>
      </c>
      <c r="AG442" s="378">
        <f>IF(NFI_Expiration=1,IF($A442&lt;VLOOKUP(P$5,NFI,5,0),1,0)*Table_NFI[[#This Row],[Plastic Bucket]],Table_NFI[Plastic Bucket])</f>
        <v>0</v>
      </c>
      <c r="AH442" s="378">
        <f>IF(NFI_Expiration=1,IF($A442&lt;VLOOKUP(Q$5,NFI,5,0),1,0)*Table_NFI[[#This Row],[Plastic Mat]],Table_NFI[Plastic Mat])*IF(Table_NFI[[#This Row],[Distribution Date]]&gt;"2014-04-01",1,2.5)</f>
        <v>0</v>
      </c>
      <c r="AI442" s="378">
        <f>IF(NFI_Expiration=1,IF($A442&lt;VLOOKUP(R$5,NFI,5,0),1,0)*Table_NFI[[#This Row],[Winter Clothes Adult]],Table_NFI[Winter Clothes Adult])</f>
        <v>0</v>
      </c>
      <c r="AJ442" s="378">
        <f>IF(NFI_Expiration=1,IF($A442&lt;VLOOKUP(S$5,NFI,5,0),1,0)*Table_NFI[[#This Row],[Winter Clothes Children]],Table_NFI[Winter Clothes Children])</f>
        <v>0</v>
      </c>
      <c r="AK442" s="378">
        <f>IF(NFI_Expiration=1,IF($A442&lt;VLOOKUP(T$5,NFI,5,0),1,0)*Table_NFI[[#This Row],[Winter Items Other]],Table_NFI[Winter Items Other])</f>
        <v>0</v>
      </c>
      <c r="AL442" s="378">
        <f>IF(NFI_Expiration=1,IF($A442&lt;VLOOKUP(M$5,NFI,5,0),1,0)*Table_NFI[[#This Row],[Winter Blanket]],Table_NFI[[#This Row],[Winter Blanket]])</f>
        <v>0</v>
      </c>
      <c r="AM442" s="378">
        <f>IF(Table_NFI[[#This Row],[Winter Clothes Adult]]+Table_NFI[[#This Row],[Winter Clothes Children]]+Table_NFI[[#This Row],[Winter Items Other]]+Table_NFI[[#This Row],[Winter Blanket]]&gt;0,1,0)</f>
        <v>0</v>
      </c>
      <c r="AN442" s="418">
        <f>IF(NFI_Expiration=1,IF($A442&lt;VLOOKUP(V$5,NFI,5,0),1,0)*Table_NFI[[#This Row],[Jerry Can]],Table_NFI[Jerry Can])</f>
        <v>0</v>
      </c>
      <c r="AO442" s="579" t="str">
        <f>IFERROR(VLOOKUP(Table_NFI[[#This Row],[Camp Name]],CL,2,0),"")</f>
        <v>MMR001CMP133</v>
      </c>
      <c r="AP442" s="574">
        <f ca="1">IF(Table_NFI[[#This Row],[Pcode]]="","",IF(OFFSET(CampList[Opening Date],MATCH(Table_NFI[[#This Row],[Pcode]],CampList[CP_Pcode],0)-1,0,1,1)&gt;=NFI_Monitor_Date,1,0))</f>
        <v>0</v>
      </c>
      <c r="AQ442" s="579" t="str">
        <f>IFERROR(VLOOKUP(Table_NFI[[#This Row],[Camp Name]],CL,3,0),"")</f>
        <v>Open</v>
      </c>
      <c r="AR442" s="378" t="str">
        <f ca="1">IF(Table_NFI[[#This Row],[Pcode]]="","",OFFSET(CampList[Priority],MATCH(Table_NFI[[#This Row],[Pcode]],CampList[CP_Pcode],0)-1,0,1,1))</f>
        <v>P4</v>
      </c>
      <c r="AS442" s="377">
        <f>IFERROR(Table_NFI[[#This Row],[Kitchen Set]]/VLOOKUP(Table_NFI[[#This Row],[Camp Name]],CL,4,0),"")</f>
        <v>1.02803738317757</v>
      </c>
      <c r="AT442" s="572" t="s">
        <v>1095</v>
      </c>
      <c r="AU442" s="575"/>
    </row>
    <row r="443" spans="1:47" s="576" customFormat="1" x14ac:dyDescent="0.25">
      <c r="A443" s="381">
        <f t="shared" si="6"/>
        <v>47.166666666666664</v>
      </c>
      <c r="B443" s="571">
        <v>41107</v>
      </c>
      <c r="C443" s="572" t="s">
        <v>454</v>
      </c>
      <c r="D443" s="573" t="s">
        <v>454</v>
      </c>
      <c r="E443" s="572" t="s">
        <v>380</v>
      </c>
      <c r="F443" s="374" t="s">
        <v>151</v>
      </c>
      <c r="G443" s="374" t="s">
        <v>160</v>
      </c>
      <c r="H443" s="375"/>
      <c r="I443" s="375"/>
      <c r="J443" s="375"/>
      <c r="K443" s="375">
        <v>0</v>
      </c>
      <c r="L443" s="376">
        <v>0</v>
      </c>
      <c r="M443" s="376">
        <v>0</v>
      </c>
      <c r="N443" s="376">
        <v>0</v>
      </c>
      <c r="O443" s="376">
        <v>0</v>
      </c>
      <c r="P443" s="378"/>
      <c r="Q443" s="378"/>
      <c r="R443" s="378"/>
      <c r="S443" s="378"/>
      <c r="T443" s="378"/>
      <c r="U443" s="378"/>
      <c r="V443" s="533"/>
      <c r="W443" s="378"/>
      <c r="X443" s="378"/>
      <c r="Y443" s="378">
        <f>IF(NFI_Expiration=1,IF($A443&lt;VLOOKUP(H$5,NFI,5,0),1,0)*Table_NFI[[#This Row],[Hygiene Kit]],Table_NFI[Hygiene Kit])</f>
        <v>0</v>
      </c>
      <c r="Z443" s="378">
        <f>IF(NFI_Expiration=1,IF($A443&lt;VLOOKUP(I$5,NFI,5,0),1,0)*Table_NFI[[#This Row],[NFI Core Kit]],Table_NFI[NFI Core Kit])</f>
        <v>0</v>
      </c>
      <c r="AA443" s="378">
        <f>IF(NFI_Expiration=1,IF($A443&lt;VLOOKUP(J$5,NFI,5,0),1,0)*Table_NFI[[#This Row],[Sanitary Kit]],Table_NFI[Sanitary Kit])</f>
        <v>0</v>
      </c>
      <c r="AB443" s="378">
        <f>IF(NFI_Expiration=1,IF($A443&lt;VLOOKUP(K$5,NFI,5,0),1,0)*Table_NFI[[#This Row],[Mosquito net]],Table_NFI[Mosquito net])</f>
        <v>0</v>
      </c>
      <c r="AC443" s="378">
        <f>IF(NFI_Expiration=1,IF($A443&lt;VLOOKUP(L$5,NFI,5,0),1,0)*Table_NFI[[#This Row],[Tarpaulin]],Table_NFI[[#This Row],[Tarpaulin]])</f>
        <v>0</v>
      </c>
      <c r="AD443" s="378">
        <f>IF(NFI_Expiration=1,IF($A443&lt;VLOOKUP(M$5,NFI,5,0),1,0)*Table_NFI[[#This Row],[Blanket]],Table_NFI[[#This Row],[Blanket]])</f>
        <v>0</v>
      </c>
      <c r="AE443" s="378">
        <f>IF(NFI_Expiration=1,IF($A443&lt;VLOOKUP(N$5,NFI,5,0),1,0)*Table_NFI[[#This Row],[Kitchen Set]],Table_NFI[Kitchen Set])</f>
        <v>0</v>
      </c>
      <c r="AF443" s="378">
        <f>IF(NFI_Expiration=1,IF($A443&lt;VLOOKUP(O$5,NFI,5,0),1,0)*Table_NFI[[#This Row],[Clothes Kit]],Table_NFI[Clothes Kit])</f>
        <v>0</v>
      </c>
      <c r="AG443" s="378">
        <f>IF(NFI_Expiration=1,IF($A443&lt;VLOOKUP(P$5,NFI,5,0),1,0)*Table_NFI[[#This Row],[Plastic Bucket]],Table_NFI[Plastic Bucket])</f>
        <v>0</v>
      </c>
      <c r="AH443" s="378">
        <f>IF(NFI_Expiration=1,IF($A443&lt;VLOOKUP(Q$5,NFI,5,0),1,0)*Table_NFI[[#This Row],[Plastic Mat]],Table_NFI[Plastic Mat])*IF(Table_NFI[[#This Row],[Distribution Date]]&gt;"2014-04-01",1,2.5)</f>
        <v>0</v>
      </c>
      <c r="AI443" s="378">
        <f>IF(NFI_Expiration=1,IF($A443&lt;VLOOKUP(R$5,NFI,5,0),1,0)*Table_NFI[[#This Row],[Winter Clothes Adult]],Table_NFI[Winter Clothes Adult])</f>
        <v>0</v>
      </c>
      <c r="AJ443" s="378">
        <f>IF(NFI_Expiration=1,IF($A443&lt;VLOOKUP(S$5,NFI,5,0),1,0)*Table_NFI[[#This Row],[Winter Clothes Children]],Table_NFI[Winter Clothes Children])</f>
        <v>0</v>
      </c>
      <c r="AK443" s="378">
        <f>IF(NFI_Expiration=1,IF($A443&lt;VLOOKUP(T$5,NFI,5,0),1,0)*Table_NFI[[#This Row],[Winter Items Other]],Table_NFI[Winter Items Other])</f>
        <v>0</v>
      </c>
      <c r="AL443" s="378">
        <f>IF(NFI_Expiration=1,IF($A443&lt;VLOOKUP(M$5,NFI,5,0),1,0)*Table_NFI[[#This Row],[Winter Blanket]],Table_NFI[[#This Row],[Winter Blanket]])</f>
        <v>0</v>
      </c>
      <c r="AM443" s="378">
        <f>IF(Table_NFI[[#This Row],[Winter Clothes Adult]]+Table_NFI[[#This Row],[Winter Clothes Children]]+Table_NFI[[#This Row],[Winter Items Other]]+Table_NFI[[#This Row],[Winter Blanket]]&gt;0,1,0)</f>
        <v>0</v>
      </c>
      <c r="AN443" s="418">
        <f>IF(NFI_Expiration=1,IF($A443&lt;VLOOKUP(V$5,NFI,5,0),1,0)*Table_NFI[[#This Row],[Jerry Can]],Table_NFI[Jerry Can])</f>
        <v>0</v>
      </c>
      <c r="AO443" s="579" t="str">
        <f>IFERROR(VLOOKUP(Table_NFI[[#This Row],[Camp Name]],CL,2,0),"")</f>
        <v>MMR001CMP133</v>
      </c>
      <c r="AP443" s="574">
        <f ca="1">IF(Table_NFI[[#This Row],[Pcode]]="","",IF(OFFSET(CampList[Opening Date],MATCH(Table_NFI[[#This Row],[Pcode]],CampList[CP_Pcode],0)-1,0,1,1)&gt;=NFI_Monitor_Date,1,0))</f>
        <v>0</v>
      </c>
      <c r="AQ443" s="579" t="str">
        <f>IFERROR(VLOOKUP(Table_NFI[[#This Row],[Camp Name]],CL,3,0),"")</f>
        <v>Open</v>
      </c>
      <c r="AR443" s="378" t="str">
        <f ca="1">IF(Table_NFI[[#This Row],[Pcode]]="","",OFFSET(CampList[Priority],MATCH(Table_NFI[[#This Row],[Pcode]],CampList[CP_Pcode],0)-1,0,1,1))</f>
        <v>P4</v>
      </c>
      <c r="AS443" s="377">
        <f>IFERROR(Table_NFI[[#This Row],[Kitchen Set]]/VLOOKUP(Table_NFI[[#This Row],[Camp Name]],CL,4,0),"")</f>
        <v>0</v>
      </c>
      <c r="AT443" s="572" t="s">
        <v>1095</v>
      </c>
      <c r="AU443" s="575"/>
    </row>
    <row r="444" spans="1:47" s="576" customFormat="1" x14ac:dyDescent="0.25">
      <c r="A444" s="381">
        <f t="shared" si="6"/>
        <v>25.8</v>
      </c>
      <c r="B444" s="571">
        <v>41748</v>
      </c>
      <c r="C444" s="572" t="s">
        <v>454</v>
      </c>
      <c r="D444" s="572"/>
      <c r="E444" s="572" t="s">
        <v>380</v>
      </c>
      <c r="F444" s="572" t="s">
        <v>151</v>
      </c>
      <c r="G444" s="572" t="s">
        <v>154</v>
      </c>
      <c r="H444" s="375"/>
      <c r="I444" s="375"/>
      <c r="J444" s="375"/>
      <c r="K444" s="375">
        <v>400</v>
      </c>
      <c r="L444" s="376">
        <v>190</v>
      </c>
      <c r="M444" s="376">
        <v>870</v>
      </c>
      <c r="N444" s="376">
        <v>190</v>
      </c>
      <c r="O444" s="376"/>
      <c r="P444" s="378">
        <v>190</v>
      </c>
      <c r="Q444" s="378">
        <v>1000</v>
      </c>
      <c r="R444" s="378"/>
      <c r="S444" s="378"/>
      <c r="T444" s="378"/>
      <c r="U444" s="378"/>
      <c r="V444" s="533"/>
      <c r="W444" s="378"/>
      <c r="X444" s="378"/>
      <c r="Y444" s="378">
        <f>IF(NFI_Expiration=1,IF($A444&lt;VLOOKUP(H$5,NFI,5,0),1,0)*Table_NFI[[#This Row],[Hygiene Kit]],Table_NFI[Hygiene Kit])</f>
        <v>0</v>
      </c>
      <c r="Z444" s="378">
        <f>IF(NFI_Expiration=1,IF($A444&lt;VLOOKUP(I$5,NFI,5,0),1,0)*Table_NFI[[#This Row],[NFI Core Kit]],Table_NFI[NFI Core Kit])</f>
        <v>0</v>
      </c>
      <c r="AA444" s="378">
        <f>IF(NFI_Expiration=1,IF($A444&lt;VLOOKUP(J$5,NFI,5,0),1,0)*Table_NFI[[#This Row],[Sanitary Kit]],Table_NFI[Sanitary Kit])</f>
        <v>0</v>
      </c>
      <c r="AB444" s="378">
        <f>IF(NFI_Expiration=1,IF($A444&lt;VLOOKUP(K$5,NFI,5,0),1,0)*Table_NFI[[#This Row],[Mosquito net]],Table_NFI[Mosquito net])</f>
        <v>0</v>
      </c>
      <c r="AC444" s="378">
        <f>IF(NFI_Expiration=1,IF($A444&lt;VLOOKUP(L$5,NFI,5,0),1,0)*Table_NFI[[#This Row],[Tarpaulin]],Table_NFI[[#This Row],[Tarpaulin]])</f>
        <v>0</v>
      </c>
      <c r="AD444" s="378">
        <f>IF(NFI_Expiration=1,IF($A444&lt;VLOOKUP(M$5,NFI,5,0),1,0)*Table_NFI[[#This Row],[Blanket]],Table_NFI[[#This Row],[Blanket]])</f>
        <v>0</v>
      </c>
      <c r="AE444" s="378">
        <f>IF(NFI_Expiration=1,IF($A444&lt;VLOOKUP(N$5,NFI,5,0),1,0)*Table_NFI[[#This Row],[Kitchen Set]],Table_NFI[Kitchen Set])</f>
        <v>0</v>
      </c>
      <c r="AF444" s="378">
        <f>IF(NFI_Expiration=1,IF($A444&lt;VLOOKUP(O$5,NFI,5,0),1,0)*Table_NFI[[#This Row],[Clothes Kit]],Table_NFI[Clothes Kit])</f>
        <v>0</v>
      </c>
      <c r="AG444" s="378">
        <f>IF(NFI_Expiration=1,IF($A444&lt;VLOOKUP(P$5,NFI,5,0),1,0)*Table_NFI[[#This Row],[Plastic Bucket]],Table_NFI[Plastic Bucket])</f>
        <v>0</v>
      </c>
      <c r="AH444" s="378">
        <f>IF(NFI_Expiration=1,IF($A444&lt;VLOOKUP(Q$5,NFI,5,0),1,0)*Table_NFI[[#This Row],[Plastic Mat]],Table_NFI[Plastic Mat])*IF(Table_NFI[[#This Row],[Distribution Date]]&gt;"2014-04-01",1,2.5)</f>
        <v>0</v>
      </c>
      <c r="AI444" s="378">
        <f>IF(NFI_Expiration=1,IF($A444&lt;VLOOKUP(R$5,NFI,5,0),1,0)*Table_NFI[[#This Row],[Winter Clothes Adult]],Table_NFI[Winter Clothes Adult])</f>
        <v>0</v>
      </c>
      <c r="AJ444" s="378">
        <f>IF(NFI_Expiration=1,IF($A444&lt;VLOOKUP(S$5,NFI,5,0),1,0)*Table_NFI[[#This Row],[Winter Clothes Children]],Table_NFI[Winter Clothes Children])</f>
        <v>0</v>
      </c>
      <c r="AK444" s="378">
        <f>IF(NFI_Expiration=1,IF($A444&lt;VLOOKUP(T$5,NFI,5,0),1,0)*Table_NFI[[#This Row],[Winter Items Other]],Table_NFI[Winter Items Other])</f>
        <v>0</v>
      </c>
      <c r="AL444" s="378">
        <f>IF(NFI_Expiration=1,IF($A444&lt;VLOOKUP(M$5,NFI,5,0),1,0)*Table_NFI[[#This Row],[Winter Blanket]],Table_NFI[[#This Row],[Winter Blanket]])</f>
        <v>0</v>
      </c>
      <c r="AM444" s="378">
        <f>IF(Table_NFI[[#This Row],[Winter Clothes Adult]]+Table_NFI[[#This Row],[Winter Clothes Children]]+Table_NFI[[#This Row],[Winter Items Other]]+Table_NFI[[#This Row],[Winter Blanket]]&gt;0,1,0)</f>
        <v>0</v>
      </c>
      <c r="AN444" s="418">
        <f>IF(NFI_Expiration=1,IF($A444&lt;VLOOKUP(V$5,NFI,5,0),1,0)*Table_NFI[[#This Row],[Jerry Can]],Table_NFI[Jerry Can])</f>
        <v>0</v>
      </c>
      <c r="AO444" s="579" t="str">
        <f>IFERROR(VLOOKUP(Table_NFI[[#This Row],[Camp Name]],CL,2,0),"")</f>
        <v>MMR001CMP132</v>
      </c>
      <c r="AP444" s="574">
        <f ca="1">IF(Table_NFI[[#This Row],[Pcode]]="","",IF(OFFSET(CampList[Opening Date],MATCH(Table_NFI[[#This Row],[Pcode]],CampList[CP_Pcode],0)-1,0,1,1)&gt;=NFI_Monitor_Date,1,0))</f>
        <v>0</v>
      </c>
      <c r="AQ444" s="579" t="str">
        <f>IFERROR(VLOOKUP(Table_NFI[[#This Row],[Camp Name]],CL,3,0),"")</f>
        <v>Open</v>
      </c>
      <c r="AR444" s="378" t="str">
        <f ca="1">IF(Table_NFI[[#This Row],[Pcode]]="","",OFFSET(CampList[Priority],MATCH(Table_NFI[[#This Row],[Pcode]],CampList[CP_Pcode],0)-1,0,1,1))</f>
        <v>P4</v>
      </c>
      <c r="AS444" s="377">
        <f>IFERROR(Table_NFI[[#This Row],[Kitchen Set]]/VLOOKUP(Table_NFI[[#This Row],[Camp Name]],CL,4,0),"")</f>
        <v>0.41484716157205243</v>
      </c>
      <c r="AT444" s="572"/>
      <c r="AU444" s="575"/>
    </row>
    <row r="445" spans="1:47" s="576" customFormat="1" x14ac:dyDescent="0.25">
      <c r="A445" s="381">
        <f t="shared" si="6"/>
        <v>30.133333333333333</v>
      </c>
      <c r="B445" s="571">
        <v>41618</v>
      </c>
      <c r="C445" s="572" t="s">
        <v>455</v>
      </c>
      <c r="D445" s="572"/>
      <c r="E445" s="572" t="s">
        <v>380</v>
      </c>
      <c r="F445" s="572" t="s">
        <v>151</v>
      </c>
      <c r="G445" s="572" t="s">
        <v>154</v>
      </c>
      <c r="H445" s="375"/>
      <c r="I445" s="375"/>
      <c r="J445" s="375"/>
      <c r="K445" s="375"/>
      <c r="L445" s="376"/>
      <c r="M445" s="376"/>
      <c r="N445" s="376"/>
      <c r="O445" s="376"/>
      <c r="P445" s="378"/>
      <c r="Q445" s="378"/>
      <c r="R445" s="378"/>
      <c r="S445" s="378">
        <v>256</v>
      </c>
      <c r="T445" s="378"/>
      <c r="U445" s="378"/>
      <c r="V445" s="533"/>
      <c r="W445" s="378"/>
      <c r="X445" s="378"/>
      <c r="Y445" s="378">
        <f>IF(NFI_Expiration=1,IF($A445&lt;VLOOKUP(H$5,NFI,5,0),1,0)*Table_NFI[[#This Row],[Hygiene Kit]],Table_NFI[Hygiene Kit])</f>
        <v>0</v>
      </c>
      <c r="Z445" s="378">
        <f>IF(NFI_Expiration=1,IF($A445&lt;VLOOKUP(I$5,NFI,5,0),1,0)*Table_NFI[[#This Row],[NFI Core Kit]],Table_NFI[NFI Core Kit])</f>
        <v>0</v>
      </c>
      <c r="AA445" s="378">
        <f>IF(NFI_Expiration=1,IF($A445&lt;VLOOKUP(J$5,NFI,5,0),1,0)*Table_NFI[[#This Row],[Sanitary Kit]],Table_NFI[Sanitary Kit])</f>
        <v>0</v>
      </c>
      <c r="AB445" s="378">
        <f>IF(NFI_Expiration=1,IF($A445&lt;VLOOKUP(K$5,NFI,5,0),1,0)*Table_NFI[[#This Row],[Mosquito net]],Table_NFI[Mosquito net])</f>
        <v>0</v>
      </c>
      <c r="AC445" s="378">
        <f>IF(NFI_Expiration=1,IF($A445&lt;VLOOKUP(L$5,NFI,5,0),1,0)*Table_NFI[[#This Row],[Tarpaulin]],Table_NFI[[#This Row],[Tarpaulin]])</f>
        <v>0</v>
      </c>
      <c r="AD445" s="378">
        <f>IF(NFI_Expiration=1,IF($A445&lt;VLOOKUP(M$5,NFI,5,0),1,0)*Table_NFI[[#This Row],[Blanket]],Table_NFI[[#This Row],[Blanket]])</f>
        <v>0</v>
      </c>
      <c r="AE445" s="378">
        <f>IF(NFI_Expiration=1,IF($A445&lt;VLOOKUP(N$5,NFI,5,0),1,0)*Table_NFI[[#This Row],[Kitchen Set]],Table_NFI[Kitchen Set])</f>
        <v>0</v>
      </c>
      <c r="AF445" s="378">
        <f>IF(NFI_Expiration=1,IF($A445&lt;VLOOKUP(O$5,NFI,5,0),1,0)*Table_NFI[[#This Row],[Clothes Kit]],Table_NFI[Clothes Kit])</f>
        <v>0</v>
      </c>
      <c r="AG445" s="378">
        <f>IF(NFI_Expiration=1,IF($A445&lt;VLOOKUP(P$5,NFI,5,0),1,0)*Table_NFI[[#This Row],[Plastic Bucket]],Table_NFI[Plastic Bucket])</f>
        <v>0</v>
      </c>
      <c r="AH445" s="378">
        <f>IF(NFI_Expiration=1,IF($A445&lt;VLOOKUP(Q$5,NFI,5,0),1,0)*Table_NFI[[#This Row],[Plastic Mat]],Table_NFI[Plastic Mat])*IF(Table_NFI[[#This Row],[Distribution Date]]&gt;"2014-04-01",1,2.5)</f>
        <v>0</v>
      </c>
      <c r="AI445" s="378">
        <f>IF(NFI_Expiration=1,IF($A445&lt;VLOOKUP(R$5,NFI,5,0),1,0)*Table_NFI[[#This Row],[Winter Clothes Adult]],Table_NFI[Winter Clothes Adult])</f>
        <v>0</v>
      </c>
      <c r="AJ445" s="378">
        <f>IF(NFI_Expiration=1,IF($A445&lt;VLOOKUP(S$5,NFI,5,0),1,0)*Table_NFI[[#This Row],[Winter Clothes Children]],Table_NFI[Winter Clothes Children])</f>
        <v>0</v>
      </c>
      <c r="AK445" s="378">
        <f>IF(NFI_Expiration=1,IF($A445&lt;VLOOKUP(T$5,NFI,5,0),1,0)*Table_NFI[[#This Row],[Winter Items Other]],Table_NFI[Winter Items Other])</f>
        <v>0</v>
      </c>
      <c r="AL445" s="378">
        <f>IF(NFI_Expiration=1,IF($A445&lt;VLOOKUP(M$5,NFI,5,0),1,0)*Table_NFI[[#This Row],[Winter Blanket]],Table_NFI[[#This Row],[Winter Blanket]])</f>
        <v>0</v>
      </c>
      <c r="AM445" s="378">
        <f>IF(Table_NFI[[#This Row],[Winter Clothes Adult]]+Table_NFI[[#This Row],[Winter Clothes Children]]+Table_NFI[[#This Row],[Winter Items Other]]+Table_NFI[[#This Row],[Winter Blanket]]&gt;0,1,0)</f>
        <v>1</v>
      </c>
      <c r="AN445" s="418">
        <f>IF(NFI_Expiration=1,IF($A445&lt;VLOOKUP(V$5,NFI,5,0),1,0)*Table_NFI[[#This Row],[Jerry Can]],Table_NFI[Jerry Can])</f>
        <v>0</v>
      </c>
      <c r="AO445" s="579" t="str">
        <f>IFERROR(VLOOKUP(Table_NFI[[#This Row],[Camp Name]],CL,2,0),"")</f>
        <v>MMR001CMP132</v>
      </c>
      <c r="AP445" s="574">
        <f ca="1">IF(Table_NFI[[#This Row],[Pcode]]="","",IF(OFFSET(CampList[Opening Date],MATCH(Table_NFI[[#This Row],[Pcode]],CampList[CP_Pcode],0)-1,0,1,1)&gt;=NFI_Monitor_Date,1,0))</f>
        <v>0</v>
      </c>
      <c r="AQ445" s="579" t="str">
        <f>IFERROR(VLOOKUP(Table_NFI[[#This Row],[Camp Name]],CL,3,0),"")</f>
        <v>Open</v>
      </c>
      <c r="AR445" s="378" t="str">
        <f ca="1">IF(Table_NFI[[#This Row],[Pcode]]="","",OFFSET(CampList[Priority],MATCH(Table_NFI[[#This Row],[Pcode]],CampList[CP_Pcode],0)-1,0,1,1))</f>
        <v>P4</v>
      </c>
      <c r="AS445" s="377">
        <f>IFERROR(Table_NFI[[#This Row],[Kitchen Set]]/VLOOKUP(Table_NFI[[#This Row],[Camp Name]],CL,4,0),"")</f>
        <v>0</v>
      </c>
      <c r="AT445" s="572" t="s">
        <v>1095</v>
      </c>
      <c r="AU445" s="575"/>
    </row>
    <row r="446" spans="1:47" s="576" customFormat="1" x14ac:dyDescent="0.25">
      <c r="A446" s="381">
        <f t="shared" si="6"/>
        <v>30.466666666666665</v>
      </c>
      <c r="B446" s="571">
        <v>41608</v>
      </c>
      <c r="C446" s="572" t="s">
        <v>1100</v>
      </c>
      <c r="D446" s="573" t="s">
        <v>947</v>
      </c>
      <c r="E446" s="572" t="s">
        <v>380</v>
      </c>
      <c r="F446" s="572" t="s">
        <v>151</v>
      </c>
      <c r="G446" s="374" t="s">
        <v>154</v>
      </c>
      <c r="H446" s="375"/>
      <c r="I446" s="375"/>
      <c r="J446" s="375"/>
      <c r="K446" s="375"/>
      <c r="L446" s="376"/>
      <c r="M446" s="376">
        <v>770</v>
      </c>
      <c r="N446" s="376"/>
      <c r="O446" s="376"/>
      <c r="P446" s="378"/>
      <c r="Q446" s="378"/>
      <c r="R446" s="378">
        <v>889</v>
      </c>
      <c r="S446" s="378">
        <v>492</v>
      </c>
      <c r="T446" s="378">
        <v>0</v>
      </c>
      <c r="U446" s="378"/>
      <c r="V446" s="533"/>
      <c r="W446" s="378"/>
      <c r="X446" s="378"/>
      <c r="Y446" s="378">
        <f>IF(NFI_Expiration=1,IF($A446&lt;VLOOKUP(H$5,NFI,5,0),1,0)*Table_NFI[[#This Row],[Hygiene Kit]],Table_NFI[Hygiene Kit])</f>
        <v>0</v>
      </c>
      <c r="Z446" s="378">
        <f>IF(NFI_Expiration=1,IF($A446&lt;VLOOKUP(I$5,NFI,5,0),1,0)*Table_NFI[[#This Row],[NFI Core Kit]],Table_NFI[NFI Core Kit])</f>
        <v>0</v>
      </c>
      <c r="AA446" s="378">
        <f>IF(NFI_Expiration=1,IF($A446&lt;VLOOKUP(J$5,NFI,5,0),1,0)*Table_NFI[[#This Row],[Sanitary Kit]],Table_NFI[Sanitary Kit])</f>
        <v>0</v>
      </c>
      <c r="AB446" s="378">
        <f>IF(NFI_Expiration=1,IF($A446&lt;VLOOKUP(K$5,NFI,5,0),1,0)*Table_NFI[[#This Row],[Mosquito net]],Table_NFI[Mosquito net])</f>
        <v>0</v>
      </c>
      <c r="AC446" s="378">
        <f>IF(NFI_Expiration=1,IF($A446&lt;VLOOKUP(L$5,NFI,5,0),1,0)*Table_NFI[[#This Row],[Tarpaulin]],Table_NFI[[#This Row],[Tarpaulin]])</f>
        <v>0</v>
      </c>
      <c r="AD446" s="378">
        <f>IF(NFI_Expiration=1,IF($A446&lt;VLOOKUP(M$5,NFI,5,0),1,0)*Table_NFI[[#This Row],[Blanket]],Table_NFI[[#This Row],[Blanket]])</f>
        <v>0</v>
      </c>
      <c r="AE446" s="378">
        <f>IF(NFI_Expiration=1,IF($A446&lt;VLOOKUP(N$5,NFI,5,0),1,0)*Table_NFI[[#This Row],[Kitchen Set]],Table_NFI[Kitchen Set])</f>
        <v>0</v>
      </c>
      <c r="AF446" s="378">
        <f>IF(NFI_Expiration=1,IF($A446&lt;VLOOKUP(O$5,NFI,5,0),1,0)*Table_NFI[[#This Row],[Clothes Kit]],Table_NFI[Clothes Kit])</f>
        <v>0</v>
      </c>
      <c r="AG446" s="378">
        <f>IF(NFI_Expiration=1,IF($A446&lt;VLOOKUP(P$5,NFI,5,0),1,0)*Table_NFI[[#This Row],[Plastic Bucket]],Table_NFI[Plastic Bucket])</f>
        <v>0</v>
      </c>
      <c r="AH446" s="378">
        <f>IF(NFI_Expiration=1,IF($A446&lt;VLOOKUP(Q$5,NFI,5,0),1,0)*Table_NFI[[#This Row],[Plastic Mat]],Table_NFI[Plastic Mat])*IF(Table_NFI[[#This Row],[Distribution Date]]&gt;"2014-04-01",1,2.5)</f>
        <v>0</v>
      </c>
      <c r="AI446" s="378">
        <f>IF(NFI_Expiration=1,IF($A446&lt;VLOOKUP(R$5,NFI,5,0),1,0)*Table_NFI[[#This Row],[Winter Clothes Adult]],Table_NFI[Winter Clothes Adult])</f>
        <v>0</v>
      </c>
      <c r="AJ446" s="378">
        <f>IF(NFI_Expiration=1,IF($A446&lt;VLOOKUP(S$5,NFI,5,0),1,0)*Table_NFI[[#This Row],[Winter Clothes Children]],Table_NFI[Winter Clothes Children])</f>
        <v>0</v>
      </c>
      <c r="AK446" s="378">
        <f>IF(NFI_Expiration=1,IF($A446&lt;VLOOKUP(T$5,NFI,5,0),1,0)*Table_NFI[[#This Row],[Winter Items Other]],Table_NFI[Winter Items Other])</f>
        <v>0</v>
      </c>
      <c r="AL446" s="378">
        <f>IF(NFI_Expiration=1,IF($A446&lt;VLOOKUP(M$5,NFI,5,0),1,0)*Table_NFI[[#This Row],[Winter Blanket]],Table_NFI[[#This Row],[Winter Blanket]])</f>
        <v>0</v>
      </c>
      <c r="AM446" s="378">
        <f>IF(Table_NFI[[#This Row],[Winter Clothes Adult]]+Table_NFI[[#This Row],[Winter Clothes Children]]+Table_NFI[[#This Row],[Winter Items Other]]+Table_NFI[[#This Row],[Winter Blanket]]&gt;0,1,0)</f>
        <v>1</v>
      </c>
      <c r="AN446" s="418">
        <f>IF(NFI_Expiration=1,IF($A446&lt;VLOOKUP(V$5,NFI,5,0),1,0)*Table_NFI[[#This Row],[Jerry Can]],Table_NFI[Jerry Can])</f>
        <v>0</v>
      </c>
      <c r="AO446" s="579" t="str">
        <f>IFERROR(VLOOKUP(Table_NFI[[#This Row],[Camp Name]],CL,2,0),"")</f>
        <v>MMR001CMP132</v>
      </c>
      <c r="AP446" s="574">
        <f ca="1">IF(Table_NFI[[#This Row],[Pcode]]="","",IF(OFFSET(CampList[Opening Date],MATCH(Table_NFI[[#This Row],[Pcode]],CampList[CP_Pcode],0)-1,0,1,1)&gt;=NFI_Monitor_Date,1,0))</f>
        <v>0</v>
      </c>
      <c r="AQ446" s="579" t="str">
        <f>IFERROR(VLOOKUP(Table_NFI[[#This Row],[Camp Name]],CL,3,0),"")</f>
        <v>Open</v>
      </c>
      <c r="AR446" s="378" t="str">
        <f ca="1">IF(Table_NFI[[#This Row],[Pcode]]="","",OFFSET(CampList[Priority],MATCH(Table_NFI[[#This Row],[Pcode]],CampList[CP_Pcode],0)-1,0,1,1))</f>
        <v>P4</v>
      </c>
      <c r="AS446" s="377">
        <f>IFERROR(Table_NFI[[#This Row],[Kitchen Set]]/VLOOKUP(Table_NFI[[#This Row],[Camp Name]],CL,4,0),"")</f>
        <v>0</v>
      </c>
      <c r="AT446" s="572" t="s">
        <v>1095</v>
      </c>
      <c r="AU446" s="575"/>
    </row>
    <row r="447" spans="1:47" s="576" customFormat="1" x14ac:dyDescent="0.25">
      <c r="A447" s="381">
        <f t="shared" si="6"/>
        <v>30.466666666666665</v>
      </c>
      <c r="B447" s="571">
        <v>41608</v>
      </c>
      <c r="C447" s="572" t="s">
        <v>908</v>
      </c>
      <c r="D447" s="572"/>
      <c r="E447" s="572" t="s">
        <v>380</v>
      </c>
      <c r="F447" s="374" t="s">
        <v>151</v>
      </c>
      <c r="G447" s="374" t="s">
        <v>154</v>
      </c>
      <c r="H447" s="375"/>
      <c r="I447" s="375"/>
      <c r="J447" s="375"/>
      <c r="K447" s="375"/>
      <c r="L447" s="376"/>
      <c r="M447" s="376"/>
      <c r="N447" s="376"/>
      <c r="O447" s="376"/>
      <c r="P447" s="378"/>
      <c r="Q447" s="378">
        <v>1080</v>
      </c>
      <c r="R447" s="378"/>
      <c r="S447" s="378"/>
      <c r="T447" s="378"/>
      <c r="U447" s="378"/>
      <c r="V447" s="533"/>
      <c r="W447" s="378"/>
      <c r="X447" s="378"/>
      <c r="Y447" s="378">
        <f>IF(NFI_Expiration=1,IF($A447&lt;VLOOKUP(H$5,NFI,5,0),1,0)*Table_NFI[[#This Row],[Hygiene Kit]],Table_NFI[Hygiene Kit])</f>
        <v>0</v>
      </c>
      <c r="Z447" s="378">
        <f>IF(NFI_Expiration=1,IF($A447&lt;VLOOKUP(I$5,NFI,5,0),1,0)*Table_NFI[[#This Row],[NFI Core Kit]],Table_NFI[NFI Core Kit])</f>
        <v>0</v>
      </c>
      <c r="AA447" s="378">
        <f>IF(NFI_Expiration=1,IF($A447&lt;VLOOKUP(J$5,NFI,5,0),1,0)*Table_NFI[[#This Row],[Sanitary Kit]],Table_NFI[Sanitary Kit])</f>
        <v>0</v>
      </c>
      <c r="AB447" s="378">
        <f>IF(NFI_Expiration=1,IF($A447&lt;VLOOKUP(K$5,NFI,5,0),1,0)*Table_NFI[[#This Row],[Mosquito net]],Table_NFI[Mosquito net])</f>
        <v>0</v>
      </c>
      <c r="AC447" s="378">
        <f>IF(NFI_Expiration=1,IF($A447&lt;VLOOKUP(L$5,NFI,5,0),1,0)*Table_NFI[[#This Row],[Tarpaulin]],Table_NFI[[#This Row],[Tarpaulin]])</f>
        <v>0</v>
      </c>
      <c r="AD447" s="378">
        <f>IF(NFI_Expiration=1,IF($A447&lt;VLOOKUP(M$5,NFI,5,0),1,0)*Table_NFI[[#This Row],[Blanket]],Table_NFI[[#This Row],[Blanket]])</f>
        <v>0</v>
      </c>
      <c r="AE447" s="378">
        <f>IF(NFI_Expiration=1,IF($A447&lt;VLOOKUP(N$5,NFI,5,0),1,0)*Table_NFI[[#This Row],[Kitchen Set]],Table_NFI[Kitchen Set])</f>
        <v>0</v>
      </c>
      <c r="AF447" s="378">
        <f>IF(NFI_Expiration=1,IF($A447&lt;VLOOKUP(O$5,NFI,5,0),1,0)*Table_NFI[[#This Row],[Clothes Kit]],Table_NFI[Clothes Kit])</f>
        <v>0</v>
      </c>
      <c r="AG447" s="378">
        <f>IF(NFI_Expiration=1,IF($A447&lt;VLOOKUP(P$5,NFI,5,0),1,0)*Table_NFI[[#This Row],[Plastic Bucket]],Table_NFI[Plastic Bucket])</f>
        <v>0</v>
      </c>
      <c r="AH447" s="378">
        <f>IF(NFI_Expiration=1,IF($A447&lt;VLOOKUP(Q$5,NFI,5,0),1,0)*Table_NFI[[#This Row],[Plastic Mat]],Table_NFI[Plastic Mat])*IF(Table_NFI[[#This Row],[Distribution Date]]&gt;"2014-04-01",1,2.5)</f>
        <v>0</v>
      </c>
      <c r="AI447" s="378">
        <f>IF(NFI_Expiration=1,IF($A447&lt;VLOOKUP(R$5,NFI,5,0),1,0)*Table_NFI[[#This Row],[Winter Clothes Adult]],Table_NFI[Winter Clothes Adult])</f>
        <v>0</v>
      </c>
      <c r="AJ447" s="378">
        <f>IF(NFI_Expiration=1,IF($A447&lt;VLOOKUP(S$5,NFI,5,0),1,0)*Table_NFI[[#This Row],[Winter Clothes Children]],Table_NFI[Winter Clothes Children])</f>
        <v>0</v>
      </c>
      <c r="AK447" s="378">
        <f>IF(NFI_Expiration=1,IF($A447&lt;VLOOKUP(T$5,NFI,5,0),1,0)*Table_NFI[[#This Row],[Winter Items Other]],Table_NFI[Winter Items Other])</f>
        <v>0</v>
      </c>
      <c r="AL447" s="378">
        <f>IF(NFI_Expiration=1,IF($A447&lt;VLOOKUP(M$5,NFI,5,0),1,0)*Table_NFI[[#This Row],[Winter Blanket]],Table_NFI[[#This Row],[Winter Blanket]])</f>
        <v>0</v>
      </c>
      <c r="AM447" s="378">
        <f>IF(Table_NFI[[#This Row],[Winter Clothes Adult]]+Table_NFI[[#This Row],[Winter Clothes Children]]+Table_NFI[[#This Row],[Winter Items Other]]+Table_NFI[[#This Row],[Winter Blanket]]&gt;0,1,0)</f>
        <v>0</v>
      </c>
      <c r="AN447" s="418">
        <f>IF(NFI_Expiration=1,IF($A447&lt;VLOOKUP(V$5,NFI,5,0),1,0)*Table_NFI[[#This Row],[Jerry Can]],Table_NFI[Jerry Can])</f>
        <v>0</v>
      </c>
      <c r="AO447" s="579" t="str">
        <f>IFERROR(VLOOKUP(Table_NFI[[#This Row],[Camp Name]],CL,2,0),"")</f>
        <v>MMR001CMP132</v>
      </c>
      <c r="AP447" s="574">
        <f ca="1">IF(Table_NFI[[#This Row],[Pcode]]="","",IF(OFFSET(CampList[Opening Date],MATCH(Table_NFI[[#This Row],[Pcode]],CampList[CP_Pcode],0)-1,0,1,1)&gt;=NFI_Monitor_Date,1,0))</f>
        <v>0</v>
      </c>
      <c r="AQ447" s="579" t="str">
        <f>IFERROR(VLOOKUP(Table_NFI[[#This Row],[Camp Name]],CL,3,0),"")</f>
        <v>Open</v>
      </c>
      <c r="AR447" s="378" t="str">
        <f ca="1">IF(Table_NFI[[#This Row],[Pcode]]="","",OFFSET(CampList[Priority],MATCH(Table_NFI[[#This Row],[Pcode]],CampList[CP_Pcode],0)-1,0,1,1))</f>
        <v>P4</v>
      </c>
      <c r="AS447" s="377">
        <f>IFERROR(Table_NFI[[#This Row],[Kitchen Set]]/VLOOKUP(Table_NFI[[#This Row],[Camp Name]],CL,4,0),"")</f>
        <v>0</v>
      </c>
      <c r="AT447" s="572" t="s">
        <v>1095</v>
      </c>
      <c r="AU447" s="575"/>
    </row>
    <row r="448" spans="1:47" s="576" customFormat="1" x14ac:dyDescent="0.25">
      <c r="A448" s="381">
        <f t="shared" si="6"/>
        <v>30.633333333333333</v>
      </c>
      <c r="B448" s="571">
        <v>41603</v>
      </c>
      <c r="C448" s="572" t="s">
        <v>908</v>
      </c>
      <c r="D448" s="572" t="s">
        <v>908</v>
      </c>
      <c r="E448" s="572" t="s">
        <v>380</v>
      </c>
      <c r="F448" s="572" t="s">
        <v>151</v>
      </c>
      <c r="G448" s="572" t="s">
        <v>154</v>
      </c>
      <c r="H448" s="375"/>
      <c r="I448" s="375"/>
      <c r="J448" s="375"/>
      <c r="K448" s="375"/>
      <c r="L448" s="376"/>
      <c r="M448" s="376"/>
      <c r="N448" s="376"/>
      <c r="O448" s="376"/>
      <c r="P448" s="378"/>
      <c r="Q448" s="378"/>
      <c r="R448" s="378">
        <v>60</v>
      </c>
      <c r="S448" s="378">
        <v>120</v>
      </c>
      <c r="T448" s="378">
        <v>360</v>
      </c>
      <c r="U448" s="378">
        <v>180</v>
      </c>
      <c r="V448" s="533"/>
      <c r="W448" s="378"/>
      <c r="X448" s="378"/>
      <c r="Y448" s="378">
        <f>IF(NFI_Expiration=1,IF($A448&lt;VLOOKUP(H$5,NFI,5,0),1,0)*Table_NFI[[#This Row],[Hygiene Kit]],Table_NFI[Hygiene Kit])</f>
        <v>0</v>
      </c>
      <c r="Z448" s="378">
        <f>IF(NFI_Expiration=1,IF($A448&lt;VLOOKUP(I$5,NFI,5,0),1,0)*Table_NFI[[#This Row],[NFI Core Kit]],Table_NFI[NFI Core Kit])</f>
        <v>0</v>
      </c>
      <c r="AA448" s="378">
        <f>IF(NFI_Expiration=1,IF($A448&lt;VLOOKUP(J$5,NFI,5,0),1,0)*Table_NFI[[#This Row],[Sanitary Kit]],Table_NFI[Sanitary Kit])</f>
        <v>0</v>
      </c>
      <c r="AB448" s="378">
        <f>IF(NFI_Expiration=1,IF($A448&lt;VLOOKUP(K$5,NFI,5,0),1,0)*Table_NFI[[#This Row],[Mosquito net]],Table_NFI[Mosquito net])</f>
        <v>0</v>
      </c>
      <c r="AC448" s="378">
        <f>IF(NFI_Expiration=1,IF($A448&lt;VLOOKUP(L$5,NFI,5,0),1,0)*Table_NFI[[#This Row],[Tarpaulin]],Table_NFI[[#This Row],[Tarpaulin]])</f>
        <v>0</v>
      </c>
      <c r="AD448" s="378">
        <f>IF(NFI_Expiration=1,IF($A448&lt;VLOOKUP(M$5,NFI,5,0),1,0)*Table_NFI[[#This Row],[Blanket]],Table_NFI[[#This Row],[Blanket]])</f>
        <v>0</v>
      </c>
      <c r="AE448" s="378">
        <f>IF(NFI_Expiration=1,IF($A448&lt;VLOOKUP(N$5,NFI,5,0),1,0)*Table_NFI[[#This Row],[Kitchen Set]],Table_NFI[Kitchen Set])</f>
        <v>0</v>
      </c>
      <c r="AF448" s="378">
        <f>IF(NFI_Expiration=1,IF($A448&lt;VLOOKUP(O$5,NFI,5,0),1,0)*Table_NFI[[#This Row],[Clothes Kit]],Table_NFI[Clothes Kit])</f>
        <v>0</v>
      </c>
      <c r="AG448" s="378">
        <f>IF(NFI_Expiration=1,IF($A448&lt;VLOOKUP(P$5,NFI,5,0),1,0)*Table_NFI[[#This Row],[Plastic Bucket]],Table_NFI[Plastic Bucket])</f>
        <v>0</v>
      </c>
      <c r="AH448" s="378">
        <f>IF(NFI_Expiration=1,IF($A448&lt;VLOOKUP(Q$5,NFI,5,0),1,0)*Table_NFI[[#This Row],[Plastic Mat]],Table_NFI[Plastic Mat])*IF(Table_NFI[[#This Row],[Distribution Date]]&gt;"2014-04-01",1,2.5)</f>
        <v>0</v>
      </c>
      <c r="AI448" s="378">
        <f>IF(NFI_Expiration=1,IF($A448&lt;VLOOKUP(R$5,NFI,5,0),1,0)*Table_NFI[[#This Row],[Winter Clothes Adult]],Table_NFI[Winter Clothes Adult])</f>
        <v>0</v>
      </c>
      <c r="AJ448" s="378">
        <f>IF(NFI_Expiration=1,IF($A448&lt;VLOOKUP(S$5,NFI,5,0),1,0)*Table_NFI[[#This Row],[Winter Clothes Children]],Table_NFI[Winter Clothes Children])</f>
        <v>0</v>
      </c>
      <c r="AK448" s="378">
        <f>IF(NFI_Expiration=1,IF($A448&lt;VLOOKUP(T$5,NFI,5,0),1,0)*Table_NFI[[#This Row],[Winter Items Other]],Table_NFI[Winter Items Other])</f>
        <v>0</v>
      </c>
      <c r="AL448" s="378">
        <f>IF(NFI_Expiration=1,IF($A448&lt;VLOOKUP(M$5,NFI,5,0),1,0)*Table_NFI[[#This Row],[Winter Blanket]],Table_NFI[[#This Row],[Winter Blanket]])</f>
        <v>0</v>
      </c>
      <c r="AM448" s="378">
        <f>IF(Table_NFI[[#This Row],[Winter Clothes Adult]]+Table_NFI[[#This Row],[Winter Clothes Children]]+Table_NFI[[#This Row],[Winter Items Other]]+Table_NFI[[#This Row],[Winter Blanket]]&gt;0,1,0)</f>
        <v>1</v>
      </c>
      <c r="AN448" s="418">
        <f>IF(NFI_Expiration=1,IF($A448&lt;VLOOKUP(V$5,NFI,5,0),1,0)*Table_NFI[[#This Row],[Jerry Can]],Table_NFI[Jerry Can])</f>
        <v>0</v>
      </c>
      <c r="AO448" s="579" t="str">
        <f>IFERROR(VLOOKUP(Table_NFI[[#This Row],[Camp Name]],CL,2,0),"")</f>
        <v>MMR001CMP132</v>
      </c>
      <c r="AP448" s="574">
        <f ca="1">IF(Table_NFI[[#This Row],[Pcode]]="","",IF(OFFSET(CampList[Opening Date],MATCH(Table_NFI[[#This Row],[Pcode]],CampList[CP_Pcode],0)-1,0,1,1)&gt;=NFI_Monitor_Date,1,0))</f>
        <v>0</v>
      </c>
      <c r="AQ448" s="579" t="str">
        <f>IFERROR(VLOOKUP(Table_NFI[[#This Row],[Camp Name]],CL,3,0),"")</f>
        <v>Open</v>
      </c>
      <c r="AR448" s="378" t="str">
        <f ca="1">IF(Table_NFI[[#This Row],[Pcode]]="","",OFFSET(CampList[Priority],MATCH(Table_NFI[[#This Row],[Pcode]],CampList[CP_Pcode],0)-1,0,1,1))</f>
        <v>P4</v>
      </c>
      <c r="AS448" s="377">
        <f>IFERROR(Table_NFI[[#This Row],[Kitchen Set]]/VLOOKUP(Table_NFI[[#This Row],[Camp Name]],CL,4,0),"")</f>
        <v>0</v>
      </c>
      <c r="AT448" s="572"/>
      <c r="AU448" s="575"/>
    </row>
    <row r="449" spans="1:47" s="576" customFormat="1" x14ac:dyDescent="0.25">
      <c r="A449" s="381">
        <f t="shared" si="6"/>
        <v>30.9</v>
      </c>
      <c r="B449" s="571">
        <v>41595</v>
      </c>
      <c r="C449" s="573" t="s">
        <v>454</v>
      </c>
      <c r="D449" s="573" t="s">
        <v>575</v>
      </c>
      <c r="E449" s="572" t="s">
        <v>380</v>
      </c>
      <c r="F449" s="374" t="s">
        <v>151</v>
      </c>
      <c r="G449" s="374" t="s">
        <v>154</v>
      </c>
      <c r="H449" s="375"/>
      <c r="I449" s="375"/>
      <c r="J449" s="375"/>
      <c r="K449" s="375">
        <v>700</v>
      </c>
      <c r="L449" s="376">
        <v>350</v>
      </c>
      <c r="M449" s="376">
        <v>700</v>
      </c>
      <c r="N449" s="376">
        <v>350</v>
      </c>
      <c r="O449" s="376">
        <v>350</v>
      </c>
      <c r="P449" s="378"/>
      <c r="Q449" s="378"/>
      <c r="R449" s="378"/>
      <c r="S449" s="378"/>
      <c r="T449" s="378"/>
      <c r="U449" s="378"/>
      <c r="V449" s="533"/>
      <c r="W449" s="378"/>
      <c r="X449" s="378"/>
      <c r="Y449" s="378">
        <f>IF(NFI_Expiration=1,IF($A449&lt;VLOOKUP(H$5,NFI,5,0),1,0)*Table_NFI[[#This Row],[Hygiene Kit]],Table_NFI[Hygiene Kit])</f>
        <v>0</v>
      </c>
      <c r="Z449" s="378">
        <f>IF(NFI_Expiration=1,IF($A449&lt;VLOOKUP(I$5,NFI,5,0),1,0)*Table_NFI[[#This Row],[NFI Core Kit]],Table_NFI[NFI Core Kit])</f>
        <v>0</v>
      </c>
      <c r="AA449" s="378">
        <f>IF(NFI_Expiration=1,IF($A449&lt;VLOOKUP(J$5,NFI,5,0),1,0)*Table_NFI[[#This Row],[Sanitary Kit]],Table_NFI[Sanitary Kit])</f>
        <v>0</v>
      </c>
      <c r="AB449" s="378">
        <f>IF(NFI_Expiration=1,IF($A449&lt;VLOOKUP(K$5,NFI,5,0),1,0)*Table_NFI[[#This Row],[Mosquito net]],Table_NFI[Mosquito net])</f>
        <v>0</v>
      </c>
      <c r="AC449" s="378">
        <f>IF(NFI_Expiration=1,IF($A449&lt;VLOOKUP(L$5,NFI,5,0),1,0)*Table_NFI[[#This Row],[Tarpaulin]],Table_NFI[[#This Row],[Tarpaulin]])</f>
        <v>0</v>
      </c>
      <c r="AD449" s="378">
        <f>IF(NFI_Expiration=1,IF($A449&lt;VLOOKUP(M$5,NFI,5,0),1,0)*Table_NFI[[#This Row],[Blanket]],Table_NFI[[#This Row],[Blanket]])</f>
        <v>0</v>
      </c>
      <c r="AE449" s="378">
        <f>IF(NFI_Expiration=1,IF($A449&lt;VLOOKUP(N$5,NFI,5,0),1,0)*Table_NFI[[#This Row],[Kitchen Set]],Table_NFI[Kitchen Set])</f>
        <v>0</v>
      </c>
      <c r="AF449" s="378">
        <f>IF(NFI_Expiration=1,IF($A449&lt;VLOOKUP(O$5,NFI,5,0),1,0)*Table_NFI[[#This Row],[Clothes Kit]],Table_NFI[Clothes Kit])</f>
        <v>0</v>
      </c>
      <c r="AG449" s="378">
        <f>IF(NFI_Expiration=1,IF($A449&lt;VLOOKUP(P$5,NFI,5,0),1,0)*Table_NFI[[#This Row],[Plastic Bucket]],Table_NFI[Plastic Bucket])</f>
        <v>0</v>
      </c>
      <c r="AH449" s="378">
        <f>IF(NFI_Expiration=1,IF($A449&lt;VLOOKUP(Q$5,NFI,5,0),1,0)*Table_NFI[[#This Row],[Plastic Mat]],Table_NFI[Plastic Mat])*IF(Table_NFI[[#This Row],[Distribution Date]]&gt;"2014-04-01",1,2.5)</f>
        <v>0</v>
      </c>
      <c r="AI449" s="378">
        <f>IF(NFI_Expiration=1,IF($A449&lt;VLOOKUP(R$5,NFI,5,0),1,0)*Table_NFI[[#This Row],[Winter Clothes Adult]],Table_NFI[Winter Clothes Adult])</f>
        <v>0</v>
      </c>
      <c r="AJ449" s="378">
        <f>IF(NFI_Expiration=1,IF($A449&lt;VLOOKUP(S$5,NFI,5,0),1,0)*Table_NFI[[#This Row],[Winter Clothes Children]],Table_NFI[Winter Clothes Children])</f>
        <v>0</v>
      </c>
      <c r="AK449" s="378">
        <f>IF(NFI_Expiration=1,IF($A449&lt;VLOOKUP(T$5,NFI,5,0),1,0)*Table_NFI[[#This Row],[Winter Items Other]],Table_NFI[Winter Items Other])</f>
        <v>0</v>
      </c>
      <c r="AL449" s="378">
        <f>IF(NFI_Expiration=1,IF($A449&lt;VLOOKUP(M$5,NFI,5,0),1,0)*Table_NFI[[#This Row],[Winter Blanket]],Table_NFI[[#This Row],[Winter Blanket]])</f>
        <v>0</v>
      </c>
      <c r="AM449" s="378">
        <f>IF(Table_NFI[[#This Row],[Winter Clothes Adult]]+Table_NFI[[#This Row],[Winter Clothes Children]]+Table_NFI[[#This Row],[Winter Items Other]]+Table_NFI[[#This Row],[Winter Blanket]]&gt;0,1,0)</f>
        <v>0</v>
      </c>
      <c r="AN449" s="418">
        <f>IF(NFI_Expiration=1,IF($A449&lt;VLOOKUP(V$5,NFI,5,0),1,0)*Table_NFI[[#This Row],[Jerry Can]],Table_NFI[Jerry Can])</f>
        <v>0</v>
      </c>
      <c r="AO449" s="579" t="str">
        <f>IFERROR(VLOOKUP(Table_NFI[[#This Row],[Camp Name]],CL,2,0),"")</f>
        <v>MMR001CMP132</v>
      </c>
      <c r="AP449" s="574">
        <f ca="1">IF(Table_NFI[[#This Row],[Pcode]]="","",IF(OFFSET(CampList[Opening Date],MATCH(Table_NFI[[#This Row],[Pcode]],CampList[CP_Pcode],0)-1,0,1,1)&gt;=NFI_Monitor_Date,1,0))</f>
        <v>0</v>
      </c>
      <c r="AQ449" s="579" t="str">
        <f>IFERROR(VLOOKUP(Table_NFI[[#This Row],[Camp Name]],CL,3,0),"")</f>
        <v>Open</v>
      </c>
      <c r="AR449" s="378" t="str">
        <f ca="1">IF(Table_NFI[[#This Row],[Pcode]]="","",OFFSET(CampList[Priority],MATCH(Table_NFI[[#This Row],[Pcode]],CampList[CP_Pcode],0)-1,0,1,1))</f>
        <v>P4</v>
      </c>
      <c r="AS449" s="377">
        <f>IFERROR(Table_NFI[[#This Row],[Kitchen Set]]/VLOOKUP(Table_NFI[[#This Row],[Camp Name]],CL,4,0),"")</f>
        <v>0.76419213973799127</v>
      </c>
      <c r="AT449" s="572" t="s">
        <v>1095</v>
      </c>
      <c r="AU449" s="575"/>
    </row>
    <row r="450" spans="1:47" s="576" customFormat="1" x14ac:dyDescent="0.25">
      <c r="A450" s="381">
        <f t="shared" si="6"/>
        <v>31</v>
      </c>
      <c r="B450" s="571">
        <v>41592</v>
      </c>
      <c r="C450" s="572" t="s">
        <v>908</v>
      </c>
      <c r="D450" s="572" t="s">
        <v>908</v>
      </c>
      <c r="E450" s="572" t="s">
        <v>380</v>
      </c>
      <c r="F450" s="572" t="s">
        <v>151</v>
      </c>
      <c r="G450" s="572" t="s">
        <v>154</v>
      </c>
      <c r="H450" s="375"/>
      <c r="I450" s="375"/>
      <c r="J450" s="375"/>
      <c r="K450" s="375"/>
      <c r="L450" s="376"/>
      <c r="M450" s="376"/>
      <c r="N450" s="376"/>
      <c r="O450" s="376"/>
      <c r="P450" s="378"/>
      <c r="Q450" s="378"/>
      <c r="R450" s="378"/>
      <c r="S450" s="378">
        <v>176</v>
      </c>
      <c r="T450" s="378">
        <v>352</v>
      </c>
      <c r="U450" s="378">
        <v>176</v>
      </c>
      <c r="V450" s="533"/>
      <c r="W450" s="378"/>
      <c r="X450" s="378"/>
      <c r="Y450" s="378">
        <f>IF(NFI_Expiration=1,IF($A450&lt;VLOOKUP(H$5,NFI,5,0),1,0)*Table_NFI[[#This Row],[Hygiene Kit]],Table_NFI[Hygiene Kit])</f>
        <v>0</v>
      </c>
      <c r="Z450" s="378">
        <f>IF(NFI_Expiration=1,IF($A450&lt;VLOOKUP(I$5,NFI,5,0),1,0)*Table_NFI[[#This Row],[NFI Core Kit]],Table_NFI[NFI Core Kit])</f>
        <v>0</v>
      </c>
      <c r="AA450" s="378">
        <f>IF(NFI_Expiration=1,IF($A450&lt;VLOOKUP(J$5,NFI,5,0),1,0)*Table_NFI[[#This Row],[Sanitary Kit]],Table_NFI[Sanitary Kit])</f>
        <v>0</v>
      </c>
      <c r="AB450" s="378">
        <f>IF(NFI_Expiration=1,IF($A450&lt;VLOOKUP(K$5,NFI,5,0),1,0)*Table_NFI[[#This Row],[Mosquito net]],Table_NFI[Mosquito net])</f>
        <v>0</v>
      </c>
      <c r="AC450" s="378">
        <f>IF(NFI_Expiration=1,IF($A450&lt;VLOOKUP(L$5,NFI,5,0),1,0)*Table_NFI[[#This Row],[Tarpaulin]],Table_NFI[[#This Row],[Tarpaulin]])</f>
        <v>0</v>
      </c>
      <c r="AD450" s="378">
        <f>IF(NFI_Expiration=1,IF($A450&lt;VLOOKUP(M$5,NFI,5,0),1,0)*Table_NFI[[#This Row],[Blanket]],Table_NFI[[#This Row],[Blanket]])</f>
        <v>0</v>
      </c>
      <c r="AE450" s="378">
        <f>IF(NFI_Expiration=1,IF($A450&lt;VLOOKUP(N$5,NFI,5,0),1,0)*Table_NFI[[#This Row],[Kitchen Set]],Table_NFI[Kitchen Set])</f>
        <v>0</v>
      </c>
      <c r="AF450" s="378">
        <f>IF(NFI_Expiration=1,IF($A450&lt;VLOOKUP(O$5,NFI,5,0),1,0)*Table_NFI[[#This Row],[Clothes Kit]],Table_NFI[Clothes Kit])</f>
        <v>0</v>
      </c>
      <c r="AG450" s="378">
        <f>IF(NFI_Expiration=1,IF($A450&lt;VLOOKUP(P$5,NFI,5,0),1,0)*Table_NFI[[#This Row],[Plastic Bucket]],Table_NFI[Plastic Bucket])</f>
        <v>0</v>
      </c>
      <c r="AH450" s="378">
        <f>IF(NFI_Expiration=1,IF($A450&lt;VLOOKUP(Q$5,NFI,5,0),1,0)*Table_NFI[[#This Row],[Plastic Mat]],Table_NFI[Plastic Mat])*IF(Table_NFI[[#This Row],[Distribution Date]]&gt;"2014-04-01",1,2.5)</f>
        <v>0</v>
      </c>
      <c r="AI450" s="378">
        <f>IF(NFI_Expiration=1,IF($A450&lt;VLOOKUP(R$5,NFI,5,0),1,0)*Table_NFI[[#This Row],[Winter Clothes Adult]],Table_NFI[Winter Clothes Adult])</f>
        <v>0</v>
      </c>
      <c r="AJ450" s="378">
        <f>IF(NFI_Expiration=1,IF($A450&lt;VLOOKUP(S$5,NFI,5,0),1,0)*Table_NFI[[#This Row],[Winter Clothes Children]],Table_NFI[Winter Clothes Children])</f>
        <v>0</v>
      </c>
      <c r="AK450" s="378">
        <f>IF(NFI_Expiration=1,IF($A450&lt;VLOOKUP(T$5,NFI,5,0),1,0)*Table_NFI[[#This Row],[Winter Items Other]],Table_NFI[Winter Items Other])</f>
        <v>0</v>
      </c>
      <c r="AL450" s="378">
        <f>IF(NFI_Expiration=1,IF($A450&lt;VLOOKUP(M$5,NFI,5,0),1,0)*Table_NFI[[#This Row],[Winter Blanket]],Table_NFI[[#This Row],[Winter Blanket]])</f>
        <v>0</v>
      </c>
      <c r="AM450" s="378">
        <f>IF(Table_NFI[[#This Row],[Winter Clothes Adult]]+Table_NFI[[#This Row],[Winter Clothes Children]]+Table_NFI[[#This Row],[Winter Items Other]]+Table_NFI[[#This Row],[Winter Blanket]]&gt;0,1,0)</f>
        <v>1</v>
      </c>
      <c r="AN450" s="418">
        <f>IF(NFI_Expiration=1,IF($A450&lt;VLOOKUP(V$5,NFI,5,0),1,0)*Table_NFI[[#This Row],[Jerry Can]],Table_NFI[Jerry Can])</f>
        <v>0</v>
      </c>
      <c r="AO450" s="579" t="str">
        <f>IFERROR(VLOOKUP(Table_NFI[[#This Row],[Camp Name]],CL,2,0),"")</f>
        <v>MMR001CMP132</v>
      </c>
      <c r="AP450" s="574">
        <f ca="1">IF(Table_NFI[[#This Row],[Pcode]]="","",IF(OFFSET(CampList[Opening Date],MATCH(Table_NFI[[#This Row],[Pcode]],CampList[CP_Pcode],0)-1,0,1,1)&gt;=NFI_Monitor_Date,1,0))</f>
        <v>0</v>
      </c>
      <c r="AQ450" s="579" t="str">
        <f>IFERROR(VLOOKUP(Table_NFI[[#This Row],[Camp Name]],CL,3,0),"")</f>
        <v>Open</v>
      </c>
      <c r="AR450" s="378" t="str">
        <f ca="1">IF(Table_NFI[[#This Row],[Pcode]]="","",OFFSET(CampList[Priority],MATCH(Table_NFI[[#This Row],[Pcode]],CampList[CP_Pcode],0)-1,0,1,1))</f>
        <v>P4</v>
      </c>
      <c r="AS450" s="377">
        <f>IFERROR(Table_NFI[[#This Row],[Kitchen Set]]/VLOOKUP(Table_NFI[[#This Row],[Camp Name]],CL,4,0),"")</f>
        <v>0</v>
      </c>
      <c r="AT450" s="572"/>
      <c r="AU450" s="575"/>
    </row>
    <row r="451" spans="1:47" s="576" customFormat="1" x14ac:dyDescent="0.25">
      <c r="A451" s="381">
        <f t="shared" si="6"/>
        <v>39.56666666666667</v>
      </c>
      <c r="B451" s="571">
        <v>41335</v>
      </c>
      <c r="C451" s="572" t="s">
        <v>908</v>
      </c>
      <c r="D451" s="572" t="s">
        <v>908</v>
      </c>
      <c r="E451" s="572" t="s">
        <v>380</v>
      </c>
      <c r="F451" s="374" t="s">
        <v>151</v>
      </c>
      <c r="G451" s="374" t="s">
        <v>154</v>
      </c>
      <c r="H451" s="375">
        <v>1542</v>
      </c>
      <c r="I451" s="375"/>
      <c r="J451" s="375">
        <v>1800</v>
      </c>
      <c r="K451" s="375"/>
      <c r="L451" s="376"/>
      <c r="M451" s="376"/>
      <c r="N451" s="376"/>
      <c r="O451" s="376"/>
      <c r="P451" s="378">
        <v>0</v>
      </c>
      <c r="Q451" s="378">
        <v>0</v>
      </c>
      <c r="R451" s="378"/>
      <c r="S451" s="378"/>
      <c r="T451" s="378"/>
      <c r="U451" s="378"/>
      <c r="V451" s="533"/>
      <c r="W451" s="378"/>
      <c r="X451" s="378"/>
      <c r="Y451" s="378">
        <f>IF(NFI_Expiration=1,IF($A451&lt;VLOOKUP(H$5,NFI,5,0),1,0)*Table_NFI[[#This Row],[Hygiene Kit]],Table_NFI[Hygiene Kit])</f>
        <v>0</v>
      </c>
      <c r="Z451" s="378">
        <f>IF(NFI_Expiration=1,IF($A451&lt;VLOOKUP(I$5,NFI,5,0),1,0)*Table_NFI[[#This Row],[NFI Core Kit]],Table_NFI[NFI Core Kit])</f>
        <v>0</v>
      </c>
      <c r="AA451" s="378">
        <f>IF(NFI_Expiration=1,IF($A451&lt;VLOOKUP(J$5,NFI,5,0),1,0)*Table_NFI[[#This Row],[Sanitary Kit]],Table_NFI[Sanitary Kit])</f>
        <v>0</v>
      </c>
      <c r="AB451" s="378">
        <f>IF(NFI_Expiration=1,IF($A451&lt;VLOOKUP(K$5,NFI,5,0),1,0)*Table_NFI[[#This Row],[Mosquito net]],Table_NFI[Mosquito net])</f>
        <v>0</v>
      </c>
      <c r="AC451" s="378">
        <f>IF(NFI_Expiration=1,IF($A451&lt;VLOOKUP(L$5,NFI,5,0),1,0)*Table_NFI[[#This Row],[Tarpaulin]],Table_NFI[[#This Row],[Tarpaulin]])</f>
        <v>0</v>
      </c>
      <c r="AD451" s="378">
        <f>IF(NFI_Expiration=1,IF($A451&lt;VLOOKUP(M$5,NFI,5,0),1,0)*Table_NFI[[#This Row],[Blanket]],Table_NFI[[#This Row],[Blanket]])</f>
        <v>0</v>
      </c>
      <c r="AE451" s="378">
        <f>IF(NFI_Expiration=1,IF($A451&lt;VLOOKUP(N$5,NFI,5,0),1,0)*Table_NFI[[#This Row],[Kitchen Set]],Table_NFI[Kitchen Set])</f>
        <v>0</v>
      </c>
      <c r="AF451" s="378">
        <f>IF(NFI_Expiration=1,IF($A451&lt;VLOOKUP(O$5,NFI,5,0),1,0)*Table_NFI[[#This Row],[Clothes Kit]],Table_NFI[Clothes Kit])</f>
        <v>0</v>
      </c>
      <c r="AG451" s="378">
        <f>IF(NFI_Expiration=1,IF($A451&lt;VLOOKUP(P$5,NFI,5,0),1,0)*Table_NFI[[#This Row],[Plastic Bucket]],Table_NFI[Plastic Bucket])</f>
        <v>0</v>
      </c>
      <c r="AH451" s="378">
        <f>IF(NFI_Expiration=1,IF($A451&lt;VLOOKUP(Q$5,NFI,5,0),1,0)*Table_NFI[[#This Row],[Plastic Mat]],Table_NFI[Plastic Mat])*IF(Table_NFI[[#This Row],[Distribution Date]]&gt;"2014-04-01",1,2.5)</f>
        <v>0</v>
      </c>
      <c r="AI451" s="378">
        <f>IF(NFI_Expiration=1,IF($A451&lt;VLOOKUP(R$5,NFI,5,0),1,0)*Table_NFI[[#This Row],[Winter Clothes Adult]],Table_NFI[Winter Clothes Adult])</f>
        <v>0</v>
      </c>
      <c r="AJ451" s="378">
        <f>IF(NFI_Expiration=1,IF($A451&lt;VLOOKUP(S$5,NFI,5,0),1,0)*Table_NFI[[#This Row],[Winter Clothes Children]],Table_NFI[Winter Clothes Children])</f>
        <v>0</v>
      </c>
      <c r="AK451" s="378">
        <f>IF(NFI_Expiration=1,IF($A451&lt;VLOOKUP(T$5,NFI,5,0),1,0)*Table_NFI[[#This Row],[Winter Items Other]],Table_NFI[Winter Items Other])</f>
        <v>0</v>
      </c>
      <c r="AL451" s="378">
        <f>IF(NFI_Expiration=1,IF($A451&lt;VLOOKUP(M$5,NFI,5,0),1,0)*Table_NFI[[#This Row],[Winter Blanket]],Table_NFI[[#This Row],[Winter Blanket]])</f>
        <v>0</v>
      </c>
      <c r="AM451" s="378">
        <f>IF(Table_NFI[[#This Row],[Winter Clothes Adult]]+Table_NFI[[#This Row],[Winter Clothes Children]]+Table_NFI[[#This Row],[Winter Items Other]]+Table_NFI[[#This Row],[Winter Blanket]]&gt;0,1,0)</f>
        <v>0</v>
      </c>
      <c r="AN451" s="418">
        <f>IF(NFI_Expiration=1,IF($A451&lt;VLOOKUP(V$5,NFI,5,0),1,0)*Table_NFI[[#This Row],[Jerry Can]],Table_NFI[Jerry Can])</f>
        <v>0</v>
      </c>
      <c r="AO451" s="579" t="str">
        <f>IFERROR(VLOOKUP(Table_NFI[[#This Row],[Camp Name]],CL,2,0),"")</f>
        <v>MMR001CMP132</v>
      </c>
      <c r="AP451" s="574">
        <f ca="1">IF(Table_NFI[[#This Row],[Pcode]]="","",IF(OFFSET(CampList[Opening Date],MATCH(Table_NFI[[#This Row],[Pcode]],CampList[CP_Pcode],0)-1,0,1,1)&gt;=NFI_Monitor_Date,1,0))</f>
        <v>0</v>
      </c>
      <c r="AQ451" s="579" t="str">
        <f>IFERROR(VLOOKUP(Table_NFI[[#This Row],[Camp Name]],CL,3,0),"")</f>
        <v>Open</v>
      </c>
      <c r="AR451" s="378" t="str">
        <f ca="1">IF(Table_NFI[[#This Row],[Pcode]]="","",OFFSET(CampList[Priority],MATCH(Table_NFI[[#This Row],[Pcode]],CampList[CP_Pcode],0)-1,0,1,1))</f>
        <v>P4</v>
      </c>
      <c r="AS451" s="377">
        <f>IFERROR(Table_NFI[[#This Row],[Kitchen Set]]/VLOOKUP(Table_NFI[[#This Row],[Camp Name]],CL,4,0),"")</f>
        <v>0</v>
      </c>
      <c r="AT451" s="572" t="s">
        <v>1095</v>
      </c>
      <c r="AU451" s="575"/>
    </row>
    <row r="452" spans="1:47" s="576" customFormat="1" x14ac:dyDescent="0.25">
      <c r="A452" s="381">
        <f t="shared" si="6"/>
        <v>14.166666666666666</v>
      </c>
      <c r="B452" s="571">
        <v>42097</v>
      </c>
      <c r="C452" s="572" t="s">
        <v>454</v>
      </c>
      <c r="D452" s="572" t="s">
        <v>507</v>
      </c>
      <c r="E452" s="572" t="s">
        <v>380</v>
      </c>
      <c r="F452" s="572" t="s">
        <v>185</v>
      </c>
      <c r="G452" s="572" t="s">
        <v>207</v>
      </c>
      <c r="H452" s="375"/>
      <c r="I452" s="375"/>
      <c r="J452" s="375"/>
      <c r="K452" s="378"/>
      <c r="L452" s="376"/>
      <c r="M452" s="376"/>
      <c r="N452" s="376"/>
      <c r="O452" s="376"/>
      <c r="P452" s="378"/>
      <c r="Q452" s="378"/>
      <c r="R452" s="378"/>
      <c r="S452" s="378"/>
      <c r="T452" s="378"/>
      <c r="U452" s="378"/>
      <c r="V452" s="533"/>
      <c r="W452" s="378"/>
      <c r="X452" s="378"/>
      <c r="Y452" s="378">
        <f>IF(NFI_Expiration=1,IF($A452&lt;VLOOKUP(H$5,NFI,5,0),1,0)*Table_NFI[[#This Row],[Hygiene Kit]],Table_NFI[Hygiene Kit])</f>
        <v>0</v>
      </c>
      <c r="Z452" s="378">
        <f>IF(NFI_Expiration=1,IF($A452&lt;VLOOKUP(I$5,NFI,5,0),1,0)*Table_NFI[[#This Row],[NFI Core Kit]],Table_NFI[NFI Core Kit])</f>
        <v>0</v>
      </c>
      <c r="AA452" s="378">
        <f>IF(NFI_Expiration=1,IF($A452&lt;VLOOKUP(J$5,NFI,5,0),1,0)*Table_NFI[[#This Row],[Sanitary Kit]],Table_NFI[Sanitary Kit])</f>
        <v>0</v>
      </c>
      <c r="AB452" s="378">
        <f>IF(NFI_Expiration=1,IF($A452&lt;VLOOKUP(K$5,NFI,5,0),1,0)*Table_NFI[[#This Row],[Mosquito net]],Table_NFI[Mosquito net])</f>
        <v>0</v>
      </c>
      <c r="AC452" s="378">
        <f>IF(NFI_Expiration=1,IF($A452&lt;VLOOKUP(L$5,NFI,5,0),1,0)*Table_NFI[[#This Row],[Tarpaulin]],Table_NFI[[#This Row],[Tarpaulin]])</f>
        <v>0</v>
      </c>
      <c r="AD452" s="378">
        <f>IF(NFI_Expiration=1,IF($A452&lt;VLOOKUP(M$5,NFI,5,0),1,0)*Table_NFI[[#This Row],[Blanket]],Table_NFI[[#This Row],[Blanket]])</f>
        <v>0</v>
      </c>
      <c r="AE452" s="378">
        <f>IF(NFI_Expiration=1,IF($A452&lt;VLOOKUP(N$5,NFI,5,0),1,0)*Table_NFI[[#This Row],[Kitchen Set]],Table_NFI[Kitchen Set])</f>
        <v>0</v>
      </c>
      <c r="AF452" s="378">
        <f>IF(NFI_Expiration=1,IF($A452&lt;VLOOKUP(O$5,NFI,5,0),1,0)*Table_NFI[[#This Row],[Clothes Kit]],Table_NFI[Clothes Kit])</f>
        <v>0</v>
      </c>
      <c r="AG452" s="378">
        <f>IF(NFI_Expiration=1,IF($A452&lt;VLOOKUP(P$5,NFI,5,0),1,0)*Table_NFI[[#This Row],[Plastic Bucket]],Table_NFI[Plastic Bucket])</f>
        <v>0</v>
      </c>
      <c r="AH452" s="378">
        <f>IF(NFI_Expiration=1,IF($A452&lt;VLOOKUP(Q$5,NFI,5,0),1,0)*Table_NFI[[#This Row],[Plastic Mat]],Table_NFI[Plastic Mat])*IF(Table_NFI[[#This Row],[Distribution Date]]&gt;"2014-04-01",1,2.5)</f>
        <v>0</v>
      </c>
      <c r="AI452" s="378">
        <f>IF(NFI_Expiration=1,IF($A452&lt;VLOOKUP(R$5,NFI,5,0),1,0)*Table_NFI[[#This Row],[Winter Clothes Adult]],Table_NFI[Winter Clothes Adult])</f>
        <v>0</v>
      </c>
      <c r="AJ452" s="378">
        <f>IF(NFI_Expiration=1,IF($A452&lt;VLOOKUP(S$5,NFI,5,0),1,0)*Table_NFI[[#This Row],[Winter Clothes Children]],Table_NFI[Winter Clothes Children])</f>
        <v>0</v>
      </c>
      <c r="AK452" s="378">
        <f>IF(NFI_Expiration=1,IF($A452&lt;VLOOKUP(T$5,NFI,5,0),1,0)*Table_NFI[[#This Row],[Winter Items Other]],Table_NFI[Winter Items Other])</f>
        <v>0</v>
      </c>
      <c r="AL452" s="378">
        <f>IF(NFI_Expiration=1,IF($A452&lt;VLOOKUP(M$5,NFI,5,0),1,0)*Table_NFI[[#This Row],[Winter Blanket]],Table_NFI[[#This Row],[Winter Blanket]])</f>
        <v>0</v>
      </c>
      <c r="AM452" s="378">
        <f>IF(Table_NFI[[#This Row],[Winter Clothes Adult]]+Table_NFI[[#This Row],[Winter Clothes Children]]+Table_NFI[[#This Row],[Winter Items Other]]+Table_NFI[[#This Row],[Winter Blanket]]&gt;0,1,0)</f>
        <v>0</v>
      </c>
      <c r="AN452" s="418">
        <f>IF(NFI_Expiration=1,IF($A452&lt;VLOOKUP(V$5,NFI,5,0),1,0)*Table_NFI[[#This Row],[Jerry Can]],Table_NFI[Jerry Can])</f>
        <v>0</v>
      </c>
      <c r="AO452" s="579" t="str">
        <f>IFERROR(VLOOKUP(Table_NFI[[#This Row],[Camp Name]],CL,2,0),"")</f>
        <v>MMR001CMP058</v>
      </c>
      <c r="AP452" s="574">
        <f ca="1">IF(Table_NFI[[#This Row],[Pcode]]="","",IF(OFFSET(CampList[Opening Date],MATCH(Table_NFI[[#This Row],[Pcode]],CampList[CP_Pcode],0)-1,0,1,1)&gt;=NFI_Monitor_Date,1,0))</f>
        <v>0</v>
      </c>
      <c r="AQ452" s="579" t="str">
        <f>IFERROR(VLOOKUP(Table_NFI[[#This Row],[Camp Name]],CL,3,0),"")</f>
        <v>Closed</v>
      </c>
      <c r="AR452" s="378" t="str">
        <f ca="1">IF(Table_NFI[[#This Row],[Pcode]]="","",OFFSET(CampList[Priority],MATCH(Table_NFI[[#This Row],[Pcode]],CampList[CP_Pcode],0)-1,0,1,1))</f>
        <v>P4</v>
      </c>
      <c r="AS452" s="377" t="str">
        <f>IFERROR(Table_NFI[[#This Row],[Kitchen Set]]/VLOOKUP(Table_NFI[[#This Row],[Camp Name]],CL,4,0),"")</f>
        <v/>
      </c>
      <c r="AT452" s="572" t="s">
        <v>1095</v>
      </c>
      <c r="AU452" s="575"/>
    </row>
    <row r="453" spans="1:47" s="576" customFormat="1" x14ac:dyDescent="0.25">
      <c r="A453" s="381">
        <f t="shared" si="6"/>
        <v>26.166666666666668</v>
      </c>
      <c r="B453" s="571">
        <v>41737</v>
      </c>
      <c r="C453" s="572" t="s">
        <v>1107</v>
      </c>
      <c r="D453" s="572" t="s">
        <v>903</v>
      </c>
      <c r="E453" s="572" t="s">
        <v>380</v>
      </c>
      <c r="F453" s="572" t="s">
        <v>185</v>
      </c>
      <c r="G453" s="572" t="s">
        <v>207</v>
      </c>
      <c r="H453" s="375"/>
      <c r="I453" s="375"/>
      <c r="J453" s="375"/>
      <c r="K453" s="375"/>
      <c r="L453" s="376"/>
      <c r="M453" s="376"/>
      <c r="N453" s="376"/>
      <c r="O453" s="376"/>
      <c r="P453" s="378"/>
      <c r="Q453" s="378"/>
      <c r="R453" s="378"/>
      <c r="S453" s="378"/>
      <c r="T453" s="378"/>
      <c r="U453" s="378">
        <v>10</v>
      </c>
      <c r="V453" s="533"/>
      <c r="W453" s="378"/>
      <c r="X453" s="378"/>
      <c r="Y453" s="378">
        <f>IF(NFI_Expiration=1,IF($A453&lt;VLOOKUP(H$5,NFI,5,0),1,0)*Table_NFI[[#This Row],[Hygiene Kit]],Table_NFI[Hygiene Kit])</f>
        <v>0</v>
      </c>
      <c r="Z453" s="378">
        <f>IF(NFI_Expiration=1,IF($A453&lt;VLOOKUP(I$5,NFI,5,0),1,0)*Table_NFI[[#This Row],[NFI Core Kit]],Table_NFI[NFI Core Kit])</f>
        <v>0</v>
      </c>
      <c r="AA453" s="378">
        <f>IF(NFI_Expiration=1,IF($A453&lt;VLOOKUP(J$5,NFI,5,0),1,0)*Table_NFI[[#This Row],[Sanitary Kit]],Table_NFI[Sanitary Kit])</f>
        <v>0</v>
      </c>
      <c r="AB453" s="378">
        <f>IF(NFI_Expiration=1,IF($A453&lt;VLOOKUP(K$5,NFI,5,0),1,0)*Table_NFI[[#This Row],[Mosquito net]],Table_NFI[Mosquito net])</f>
        <v>0</v>
      </c>
      <c r="AC453" s="378">
        <f>IF(NFI_Expiration=1,IF($A453&lt;VLOOKUP(L$5,NFI,5,0),1,0)*Table_NFI[[#This Row],[Tarpaulin]],Table_NFI[[#This Row],[Tarpaulin]])</f>
        <v>0</v>
      </c>
      <c r="AD453" s="378">
        <f>IF(NFI_Expiration=1,IF($A453&lt;VLOOKUP(M$5,NFI,5,0),1,0)*Table_NFI[[#This Row],[Blanket]],Table_NFI[[#This Row],[Blanket]])</f>
        <v>0</v>
      </c>
      <c r="AE453" s="378">
        <f>IF(NFI_Expiration=1,IF($A453&lt;VLOOKUP(N$5,NFI,5,0),1,0)*Table_NFI[[#This Row],[Kitchen Set]],Table_NFI[Kitchen Set])</f>
        <v>0</v>
      </c>
      <c r="AF453" s="378">
        <f>IF(NFI_Expiration=1,IF($A453&lt;VLOOKUP(O$5,NFI,5,0),1,0)*Table_NFI[[#This Row],[Clothes Kit]],Table_NFI[Clothes Kit])</f>
        <v>0</v>
      </c>
      <c r="AG453" s="378">
        <f>IF(NFI_Expiration=1,IF($A453&lt;VLOOKUP(P$5,NFI,5,0),1,0)*Table_NFI[[#This Row],[Plastic Bucket]],Table_NFI[Plastic Bucket])</f>
        <v>0</v>
      </c>
      <c r="AH453" s="378">
        <f>IF(NFI_Expiration=1,IF($A453&lt;VLOOKUP(Q$5,NFI,5,0),1,0)*Table_NFI[[#This Row],[Plastic Mat]],Table_NFI[Plastic Mat])*IF(Table_NFI[[#This Row],[Distribution Date]]&gt;"2014-04-01",1,2.5)</f>
        <v>0</v>
      </c>
      <c r="AI453" s="378">
        <f>IF(NFI_Expiration=1,IF($A453&lt;VLOOKUP(R$5,NFI,5,0),1,0)*Table_NFI[[#This Row],[Winter Clothes Adult]],Table_NFI[Winter Clothes Adult])</f>
        <v>0</v>
      </c>
      <c r="AJ453" s="378">
        <f>IF(NFI_Expiration=1,IF($A453&lt;VLOOKUP(S$5,NFI,5,0),1,0)*Table_NFI[[#This Row],[Winter Clothes Children]],Table_NFI[Winter Clothes Children])</f>
        <v>0</v>
      </c>
      <c r="AK453" s="378">
        <f>IF(NFI_Expiration=1,IF($A453&lt;VLOOKUP(T$5,NFI,5,0),1,0)*Table_NFI[[#This Row],[Winter Items Other]],Table_NFI[Winter Items Other])</f>
        <v>0</v>
      </c>
      <c r="AL453" s="378">
        <f>IF(NFI_Expiration=1,IF($A453&lt;VLOOKUP(M$5,NFI,5,0),1,0)*Table_NFI[[#This Row],[Winter Blanket]],Table_NFI[[#This Row],[Winter Blanket]])</f>
        <v>0</v>
      </c>
      <c r="AM453" s="378">
        <f>IF(Table_NFI[[#This Row],[Winter Clothes Adult]]+Table_NFI[[#This Row],[Winter Clothes Children]]+Table_NFI[[#This Row],[Winter Items Other]]+Table_NFI[[#This Row],[Winter Blanket]]&gt;0,1,0)</f>
        <v>1</v>
      </c>
      <c r="AN453" s="418">
        <f>IF(NFI_Expiration=1,IF($A453&lt;VLOOKUP(V$5,NFI,5,0),1,0)*Table_NFI[[#This Row],[Jerry Can]],Table_NFI[Jerry Can])</f>
        <v>0</v>
      </c>
      <c r="AO453" s="579" t="str">
        <f>IFERROR(VLOOKUP(Table_NFI[[#This Row],[Camp Name]],CL,2,0),"")</f>
        <v>MMR001CMP058</v>
      </c>
      <c r="AP453" s="574">
        <f ca="1">IF(Table_NFI[[#This Row],[Pcode]]="","",IF(OFFSET(CampList[Opening Date],MATCH(Table_NFI[[#This Row],[Pcode]],CampList[CP_Pcode],0)-1,0,1,1)&gt;=NFI_Monitor_Date,1,0))</f>
        <v>0</v>
      </c>
      <c r="AQ453" s="579" t="s">
        <v>845</v>
      </c>
      <c r="AR453" s="378" t="str">
        <f ca="1">IF(Table_NFI[[#This Row],[Pcode]]="","",OFFSET(CampList[Priority],MATCH(Table_NFI[[#This Row],[Pcode]],CampList[CP_Pcode],0)-1,0,1,1))</f>
        <v>P4</v>
      </c>
      <c r="AS453" s="377" t="str">
        <f>IFERROR(Table_NFI[[#This Row],[Kitchen Set]]/VLOOKUP(Table_NFI[[#This Row],[Camp Name]],CL,4,0),"")</f>
        <v/>
      </c>
      <c r="AT453" s="572"/>
      <c r="AU453" s="575"/>
    </row>
    <row r="454" spans="1:47" s="576" customFormat="1" x14ac:dyDescent="0.25">
      <c r="A454" s="381">
        <f t="shared" ref="A454:A517" si="7">IF(ISBLANK(B454),"",(Report_Date-B454)/30)</f>
        <v>34.1</v>
      </c>
      <c r="B454" s="571">
        <v>41499</v>
      </c>
      <c r="C454" s="572" t="s">
        <v>454</v>
      </c>
      <c r="D454" s="573" t="s">
        <v>462</v>
      </c>
      <c r="E454" s="572" t="s">
        <v>555</v>
      </c>
      <c r="F454" s="374" t="s">
        <v>166</v>
      </c>
      <c r="G454" s="374" t="s">
        <v>167</v>
      </c>
      <c r="H454" s="375"/>
      <c r="I454" s="375"/>
      <c r="J454" s="375">
        <v>36</v>
      </c>
      <c r="K454" s="375">
        <v>84</v>
      </c>
      <c r="L454" s="376">
        <v>42</v>
      </c>
      <c r="M454" s="376">
        <v>84</v>
      </c>
      <c r="N454" s="376">
        <v>42</v>
      </c>
      <c r="O454" s="376">
        <v>42</v>
      </c>
      <c r="P454" s="378">
        <v>42</v>
      </c>
      <c r="Q454" s="378">
        <v>42</v>
      </c>
      <c r="R454" s="378"/>
      <c r="S454" s="378"/>
      <c r="T454" s="378"/>
      <c r="U454" s="378"/>
      <c r="V454" s="533"/>
      <c r="W454" s="378"/>
      <c r="X454" s="378"/>
      <c r="Y454" s="378">
        <f>IF(NFI_Expiration=1,IF($A454&lt;VLOOKUP(H$5,NFI,5,0),1,0)*Table_NFI[[#This Row],[Hygiene Kit]],Table_NFI[Hygiene Kit])</f>
        <v>0</v>
      </c>
      <c r="Z454" s="378">
        <f>IF(NFI_Expiration=1,IF($A454&lt;VLOOKUP(I$5,NFI,5,0),1,0)*Table_NFI[[#This Row],[NFI Core Kit]],Table_NFI[NFI Core Kit])</f>
        <v>0</v>
      </c>
      <c r="AA454" s="378">
        <f>IF(NFI_Expiration=1,IF($A454&lt;VLOOKUP(J$5,NFI,5,0),1,0)*Table_NFI[[#This Row],[Sanitary Kit]],Table_NFI[Sanitary Kit])</f>
        <v>0</v>
      </c>
      <c r="AB454" s="378">
        <f>IF(NFI_Expiration=1,IF($A454&lt;VLOOKUP(K$5,NFI,5,0),1,0)*Table_NFI[[#This Row],[Mosquito net]],Table_NFI[Mosquito net])</f>
        <v>0</v>
      </c>
      <c r="AC454" s="378">
        <f>IF(NFI_Expiration=1,IF($A454&lt;VLOOKUP(L$5,NFI,5,0),1,0)*Table_NFI[[#This Row],[Tarpaulin]],Table_NFI[[#This Row],[Tarpaulin]])</f>
        <v>0</v>
      </c>
      <c r="AD454" s="378">
        <f>IF(NFI_Expiration=1,IF($A454&lt;VLOOKUP(M$5,NFI,5,0),1,0)*Table_NFI[[#This Row],[Blanket]],Table_NFI[[#This Row],[Blanket]])</f>
        <v>0</v>
      </c>
      <c r="AE454" s="378">
        <f>IF(NFI_Expiration=1,IF($A454&lt;VLOOKUP(N$5,NFI,5,0),1,0)*Table_NFI[[#This Row],[Kitchen Set]],Table_NFI[Kitchen Set])</f>
        <v>0</v>
      </c>
      <c r="AF454" s="378">
        <f>IF(NFI_Expiration=1,IF($A454&lt;VLOOKUP(O$5,NFI,5,0),1,0)*Table_NFI[[#This Row],[Clothes Kit]],Table_NFI[Clothes Kit])</f>
        <v>0</v>
      </c>
      <c r="AG454" s="378">
        <f>IF(NFI_Expiration=1,IF($A454&lt;VLOOKUP(P$5,NFI,5,0),1,0)*Table_NFI[[#This Row],[Plastic Bucket]],Table_NFI[Plastic Bucket])</f>
        <v>0</v>
      </c>
      <c r="AH454" s="378">
        <f>IF(NFI_Expiration=1,IF($A454&lt;VLOOKUP(Q$5,NFI,5,0),1,0)*Table_NFI[[#This Row],[Plastic Mat]],Table_NFI[Plastic Mat])*IF(Table_NFI[[#This Row],[Distribution Date]]&gt;"2014-04-01",1,2.5)</f>
        <v>0</v>
      </c>
      <c r="AI454" s="378">
        <f>IF(NFI_Expiration=1,IF($A454&lt;VLOOKUP(R$5,NFI,5,0),1,0)*Table_NFI[[#This Row],[Winter Clothes Adult]],Table_NFI[Winter Clothes Adult])</f>
        <v>0</v>
      </c>
      <c r="AJ454" s="378">
        <f>IF(NFI_Expiration=1,IF($A454&lt;VLOOKUP(S$5,NFI,5,0),1,0)*Table_NFI[[#This Row],[Winter Clothes Children]],Table_NFI[Winter Clothes Children])</f>
        <v>0</v>
      </c>
      <c r="AK454" s="378">
        <f>IF(NFI_Expiration=1,IF($A454&lt;VLOOKUP(T$5,NFI,5,0),1,0)*Table_NFI[[#This Row],[Winter Items Other]],Table_NFI[Winter Items Other])</f>
        <v>0</v>
      </c>
      <c r="AL454" s="378">
        <f>IF(NFI_Expiration=1,IF($A454&lt;VLOOKUP(M$5,NFI,5,0),1,0)*Table_NFI[[#This Row],[Winter Blanket]],Table_NFI[[#This Row],[Winter Blanket]])</f>
        <v>0</v>
      </c>
      <c r="AM454" s="378">
        <f>IF(Table_NFI[[#This Row],[Winter Clothes Adult]]+Table_NFI[[#This Row],[Winter Clothes Children]]+Table_NFI[[#This Row],[Winter Items Other]]+Table_NFI[[#This Row],[Winter Blanket]]&gt;0,1,0)</f>
        <v>0</v>
      </c>
      <c r="AN454" s="418">
        <f>IF(NFI_Expiration=1,IF($A454&lt;VLOOKUP(V$5,NFI,5,0),1,0)*Table_NFI[[#This Row],[Jerry Can]],Table_NFI[Jerry Can])</f>
        <v>0</v>
      </c>
      <c r="AO454" s="579" t="str">
        <f>IFERROR(VLOOKUP(Table_NFI[[#This Row],[Camp Name]],CL,2,0),"")</f>
        <v>MMR015CMP009</v>
      </c>
      <c r="AP454" s="574">
        <f ca="1">IF(Table_NFI[[#This Row],[Pcode]]="","",IF(OFFSET(CampList[Opening Date],MATCH(Table_NFI[[#This Row],[Pcode]],CampList[CP_Pcode],0)-1,0,1,1)&gt;=NFI_Monitor_Date,1,0))</f>
        <v>0</v>
      </c>
      <c r="AQ454" s="579" t="str">
        <f>IFERROR(VLOOKUP(Table_NFI[[#This Row],[Camp Name]],CL,3,0),"")</f>
        <v>Open</v>
      </c>
      <c r="AR454" s="378" t="str">
        <f ca="1">IF(Table_NFI[[#This Row],[Pcode]]="","",OFFSET(CampList[Priority],MATCH(Table_NFI[[#This Row],[Pcode]],CampList[CP_Pcode],0)-1,0,1,1))</f>
        <v>P2</v>
      </c>
      <c r="AS454" s="377">
        <f>IFERROR(Table_NFI[[#This Row],[Kitchen Set]]/VLOOKUP(Table_NFI[[#This Row],[Camp Name]],CL,4,0),"")</f>
        <v>1.1351351351351351</v>
      </c>
      <c r="AT454" s="572" t="s">
        <v>1095</v>
      </c>
      <c r="AU454" s="575"/>
    </row>
    <row r="455" spans="1:47" s="576" customFormat="1" x14ac:dyDescent="0.25">
      <c r="A455" s="381">
        <f t="shared" si="7"/>
        <v>39.966666666666669</v>
      </c>
      <c r="B455" s="571">
        <v>41323</v>
      </c>
      <c r="C455" s="572" t="s">
        <v>454</v>
      </c>
      <c r="D455" s="573" t="s">
        <v>462</v>
      </c>
      <c r="E455" s="572" t="s">
        <v>555</v>
      </c>
      <c r="F455" s="374" t="s">
        <v>166</v>
      </c>
      <c r="G455" s="374" t="s">
        <v>167</v>
      </c>
      <c r="H455" s="375"/>
      <c r="I455" s="375"/>
      <c r="J455" s="375">
        <v>57</v>
      </c>
      <c r="K455" s="375">
        <v>57</v>
      </c>
      <c r="L455" s="376">
        <v>29</v>
      </c>
      <c r="M455" s="376">
        <v>57</v>
      </c>
      <c r="N455" s="376">
        <v>29</v>
      </c>
      <c r="O455" s="376">
        <v>29</v>
      </c>
      <c r="P455" s="378">
        <v>29</v>
      </c>
      <c r="Q455" s="378">
        <v>29</v>
      </c>
      <c r="R455" s="378"/>
      <c r="S455" s="378"/>
      <c r="T455" s="378"/>
      <c r="U455" s="378"/>
      <c r="V455" s="533"/>
      <c r="W455" s="378"/>
      <c r="X455" s="378"/>
      <c r="Y455" s="378">
        <f>IF(NFI_Expiration=1,IF($A455&lt;VLOOKUP(H$5,NFI,5,0),1,0)*Table_NFI[[#This Row],[Hygiene Kit]],Table_NFI[Hygiene Kit])</f>
        <v>0</v>
      </c>
      <c r="Z455" s="378">
        <f>IF(NFI_Expiration=1,IF($A455&lt;VLOOKUP(I$5,NFI,5,0),1,0)*Table_NFI[[#This Row],[NFI Core Kit]],Table_NFI[NFI Core Kit])</f>
        <v>0</v>
      </c>
      <c r="AA455" s="378">
        <f>IF(NFI_Expiration=1,IF($A455&lt;VLOOKUP(J$5,NFI,5,0),1,0)*Table_NFI[[#This Row],[Sanitary Kit]],Table_NFI[Sanitary Kit])</f>
        <v>0</v>
      </c>
      <c r="AB455" s="378">
        <f>IF(NFI_Expiration=1,IF($A455&lt;VLOOKUP(K$5,NFI,5,0),1,0)*Table_NFI[[#This Row],[Mosquito net]],Table_NFI[Mosquito net])</f>
        <v>0</v>
      </c>
      <c r="AC455" s="378">
        <f>IF(NFI_Expiration=1,IF($A455&lt;VLOOKUP(L$5,NFI,5,0),1,0)*Table_NFI[[#This Row],[Tarpaulin]],Table_NFI[[#This Row],[Tarpaulin]])</f>
        <v>0</v>
      </c>
      <c r="AD455" s="378">
        <f>IF(NFI_Expiration=1,IF($A455&lt;VLOOKUP(M$5,NFI,5,0),1,0)*Table_NFI[[#This Row],[Blanket]],Table_NFI[[#This Row],[Blanket]])</f>
        <v>0</v>
      </c>
      <c r="AE455" s="378">
        <f>IF(NFI_Expiration=1,IF($A455&lt;VLOOKUP(N$5,NFI,5,0),1,0)*Table_NFI[[#This Row],[Kitchen Set]],Table_NFI[Kitchen Set])</f>
        <v>0</v>
      </c>
      <c r="AF455" s="378">
        <f>IF(NFI_Expiration=1,IF($A455&lt;VLOOKUP(O$5,NFI,5,0),1,0)*Table_NFI[[#This Row],[Clothes Kit]],Table_NFI[Clothes Kit])</f>
        <v>0</v>
      </c>
      <c r="AG455" s="378">
        <f>IF(NFI_Expiration=1,IF($A455&lt;VLOOKUP(P$5,NFI,5,0),1,0)*Table_NFI[[#This Row],[Plastic Bucket]],Table_NFI[Plastic Bucket])</f>
        <v>0</v>
      </c>
      <c r="AH455" s="378">
        <f>IF(NFI_Expiration=1,IF($A455&lt;VLOOKUP(Q$5,NFI,5,0),1,0)*Table_NFI[[#This Row],[Plastic Mat]],Table_NFI[Plastic Mat])*IF(Table_NFI[[#This Row],[Distribution Date]]&gt;"2014-04-01",1,2.5)</f>
        <v>0</v>
      </c>
      <c r="AI455" s="378">
        <f>IF(NFI_Expiration=1,IF($A455&lt;VLOOKUP(R$5,NFI,5,0),1,0)*Table_NFI[[#This Row],[Winter Clothes Adult]],Table_NFI[Winter Clothes Adult])</f>
        <v>0</v>
      </c>
      <c r="AJ455" s="378">
        <f>IF(NFI_Expiration=1,IF($A455&lt;VLOOKUP(S$5,NFI,5,0),1,0)*Table_NFI[[#This Row],[Winter Clothes Children]],Table_NFI[Winter Clothes Children])</f>
        <v>0</v>
      </c>
      <c r="AK455" s="378">
        <f>IF(NFI_Expiration=1,IF($A455&lt;VLOOKUP(T$5,NFI,5,0),1,0)*Table_NFI[[#This Row],[Winter Items Other]],Table_NFI[Winter Items Other])</f>
        <v>0</v>
      </c>
      <c r="AL455" s="378">
        <f>IF(NFI_Expiration=1,IF($A455&lt;VLOOKUP(M$5,NFI,5,0),1,0)*Table_NFI[[#This Row],[Winter Blanket]],Table_NFI[[#This Row],[Winter Blanket]])</f>
        <v>0</v>
      </c>
      <c r="AM455" s="378">
        <f>IF(Table_NFI[[#This Row],[Winter Clothes Adult]]+Table_NFI[[#This Row],[Winter Clothes Children]]+Table_NFI[[#This Row],[Winter Items Other]]+Table_NFI[[#This Row],[Winter Blanket]]&gt;0,1,0)</f>
        <v>0</v>
      </c>
      <c r="AN455" s="418">
        <f>IF(NFI_Expiration=1,IF($A455&lt;VLOOKUP(V$5,NFI,5,0),1,0)*Table_NFI[[#This Row],[Jerry Can]],Table_NFI[Jerry Can])</f>
        <v>0</v>
      </c>
      <c r="AO455" s="579" t="str">
        <f>IFERROR(VLOOKUP(Table_NFI[[#This Row],[Camp Name]],CL,2,0),"")</f>
        <v>MMR015CMP009</v>
      </c>
      <c r="AP455" s="574">
        <f ca="1">IF(Table_NFI[[#This Row],[Pcode]]="","",IF(OFFSET(CampList[Opening Date],MATCH(Table_NFI[[#This Row],[Pcode]],CampList[CP_Pcode],0)-1,0,1,1)&gt;=NFI_Monitor_Date,1,0))</f>
        <v>0</v>
      </c>
      <c r="AQ455" s="579" t="str">
        <f>IFERROR(VLOOKUP(Table_NFI[[#This Row],[Camp Name]],CL,3,0),"")</f>
        <v>Open</v>
      </c>
      <c r="AR455" s="378" t="str">
        <f ca="1">IF(Table_NFI[[#This Row],[Pcode]]="","",OFFSET(CampList[Priority],MATCH(Table_NFI[[#This Row],[Pcode]],CampList[CP_Pcode],0)-1,0,1,1))</f>
        <v>P2</v>
      </c>
      <c r="AS455" s="377">
        <f>IFERROR(Table_NFI[[#This Row],[Kitchen Set]]/VLOOKUP(Table_NFI[[#This Row],[Camp Name]],CL,4,0),"")</f>
        <v>0.78378378378378377</v>
      </c>
      <c r="AT455" s="572" t="s">
        <v>1095</v>
      </c>
      <c r="AU455" s="575"/>
    </row>
    <row r="456" spans="1:47" s="576" customFormat="1" x14ac:dyDescent="0.25">
      <c r="A456" s="381">
        <f t="shared" si="7"/>
        <v>27.566666666666666</v>
      </c>
      <c r="B456" s="571">
        <v>41695</v>
      </c>
      <c r="C456" s="572" t="s">
        <v>1107</v>
      </c>
      <c r="D456" s="572" t="s">
        <v>903</v>
      </c>
      <c r="E456" s="572" t="s">
        <v>380</v>
      </c>
      <c r="F456" s="572" t="s">
        <v>173</v>
      </c>
      <c r="G456" s="572" t="s">
        <v>176</v>
      </c>
      <c r="H456" s="375"/>
      <c r="I456" s="375"/>
      <c r="J456" s="375"/>
      <c r="K456" s="375"/>
      <c r="L456" s="376"/>
      <c r="M456" s="376"/>
      <c r="N456" s="376"/>
      <c r="O456" s="376"/>
      <c r="P456" s="378"/>
      <c r="Q456" s="378"/>
      <c r="R456" s="378"/>
      <c r="S456" s="378"/>
      <c r="T456" s="378"/>
      <c r="U456" s="378">
        <v>26</v>
      </c>
      <c r="V456" s="533"/>
      <c r="W456" s="378"/>
      <c r="X456" s="378"/>
      <c r="Y456" s="378">
        <f>IF(NFI_Expiration=1,IF($A456&lt;VLOOKUP(H$5,NFI,5,0),1,0)*Table_NFI[[#This Row],[Hygiene Kit]],Table_NFI[Hygiene Kit])</f>
        <v>0</v>
      </c>
      <c r="Z456" s="378">
        <f>IF(NFI_Expiration=1,IF($A456&lt;VLOOKUP(I$5,NFI,5,0),1,0)*Table_NFI[[#This Row],[NFI Core Kit]],Table_NFI[NFI Core Kit])</f>
        <v>0</v>
      </c>
      <c r="AA456" s="378">
        <f>IF(NFI_Expiration=1,IF($A456&lt;VLOOKUP(J$5,NFI,5,0),1,0)*Table_NFI[[#This Row],[Sanitary Kit]],Table_NFI[Sanitary Kit])</f>
        <v>0</v>
      </c>
      <c r="AB456" s="378">
        <f>IF(NFI_Expiration=1,IF($A456&lt;VLOOKUP(K$5,NFI,5,0),1,0)*Table_NFI[[#This Row],[Mosquito net]],Table_NFI[Mosquito net])</f>
        <v>0</v>
      </c>
      <c r="AC456" s="378">
        <f>IF(NFI_Expiration=1,IF($A456&lt;VLOOKUP(L$5,NFI,5,0),1,0)*Table_NFI[[#This Row],[Tarpaulin]],Table_NFI[[#This Row],[Tarpaulin]])</f>
        <v>0</v>
      </c>
      <c r="AD456" s="378">
        <f>IF(NFI_Expiration=1,IF($A456&lt;VLOOKUP(M$5,NFI,5,0),1,0)*Table_NFI[[#This Row],[Blanket]],Table_NFI[[#This Row],[Blanket]])</f>
        <v>0</v>
      </c>
      <c r="AE456" s="378">
        <f>IF(NFI_Expiration=1,IF($A456&lt;VLOOKUP(N$5,NFI,5,0),1,0)*Table_NFI[[#This Row],[Kitchen Set]],Table_NFI[Kitchen Set])</f>
        <v>0</v>
      </c>
      <c r="AF456" s="378">
        <f>IF(NFI_Expiration=1,IF($A456&lt;VLOOKUP(O$5,NFI,5,0),1,0)*Table_NFI[[#This Row],[Clothes Kit]],Table_NFI[Clothes Kit])</f>
        <v>0</v>
      </c>
      <c r="AG456" s="378">
        <f>IF(NFI_Expiration=1,IF($A456&lt;VLOOKUP(P$5,NFI,5,0),1,0)*Table_NFI[[#This Row],[Plastic Bucket]],Table_NFI[Plastic Bucket])</f>
        <v>0</v>
      </c>
      <c r="AH456" s="378">
        <f>IF(NFI_Expiration=1,IF($A456&lt;VLOOKUP(Q$5,NFI,5,0),1,0)*Table_NFI[[#This Row],[Plastic Mat]],Table_NFI[Plastic Mat])*IF(Table_NFI[[#This Row],[Distribution Date]]&gt;"2014-04-01",1,2.5)</f>
        <v>0</v>
      </c>
      <c r="AI456" s="378">
        <f>IF(NFI_Expiration=1,IF($A456&lt;VLOOKUP(R$5,NFI,5,0),1,0)*Table_NFI[[#This Row],[Winter Clothes Adult]],Table_NFI[Winter Clothes Adult])</f>
        <v>0</v>
      </c>
      <c r="AJ456" s="378">
        <f>IF(NFI_Expiration=1,IF($A456&lt;VLOOKUP(S$5,NFI,5,0),1,0)*Table_NFI[[#This Row],[Winter Clothes Children]],Table_NFI[Winter Clothes Children])</f>
        <v>0</v>
      </c>
      <c r="AK456" s="378">
        <f>IF(NFI_Expiration=1,IF($A456&lt;VLOOKUP(T$5,NFI,5,0),1,0)*Table_NFI[[#This Row],[Winter Items Other]],Table_NFI[Winter Items Other])</f>
        <v>0</v>
      </c>
      <c r="AL456" s="378">
        <f>IF(NFI_Expiration=1,IF($A456&lt;VLOOKUP(M$5,NFI,5,0),1,0)*Table_NFI[[#This Row],[Winter Blanket]],Table_NFI[[#This Row],[Winter Blanket]])</f>
        <v>0</v>
      </c>
      <c r="AM456" s="378">
        <f>IF(Table_NFI[[#This Row],[Winter Clothes Adult]]+Table_NFI[[#This Row],[Winter Clothes Children]]+Table_NFI[[#This Row],[Winter Items Other]]+Table_NFI[[#This Row],[Winter Blanket]]&gt;0,1,0)</f>
        <v>1</v>
      </c>
      <c r="AN456" s="418">
        <f>IF(NFI_Expiration=1,IF($A456&lt;VLOOKUP(V$5,NFI,5,0),1,0)*Table_NFI[[#This Row],[Jerry Can]],Table_NFI[Jerry Can])</f>
        <v>0</v>
      </c>
      <c r="AO456" s="579" t="str">
        <f>IFERROR(VLOOKUP(Table_NFI[[#This Row],[Camp Name]],CL,2,0),"")</f>
        <v>MMR001CMP077</v>
      </c>
      <c r="AP456" s="574">
        <f ca="1">IF(Table_NFI[[#This Row],[Pcode]]="","",IF(OFFSET(CampList[Opening Date],MATCH(Table_NFI[[#This Row],[Pcode]],CampList[CP_Pcode],0)-1,0,1,1)&gt;=NFI_Monitor_Date,1,0))</f>
        <v>0</v>
      </c>
      <c r="AQ456" s="579" t="str">
        <f>IFERROR(VLOOKUP(Table_NFI[[#This Row],[Camp Name]],CL,3,0),"")</f>
        <v>Open</v>
      </c>
      <c r="AR456" s="378" t="str">
        <f ca="1">IF(Table_NFI[[#This Row],[Pcode]]="","",OFFSET(CampList[Priority],MATCH(Table_NFI[[#This Row],[Pcode]],CampList[CP_Pcode],0)-1,0,1,1))</f>
        <v>P4</v>
      </c>
      <c r="AS456" s="377">
        <f>IFERROR(Table_NFI[[#This Row],[Kitchen Set]]/VLOOKUP(Table_NFI[[#This Row],[Camp Name]],CL,4,0),"")</f>
        <v>0</v>
      </c>
      <c r="AT456" s="572"/>
      <c r="AU456" s="575"/>
    </row>
    <row r="457" spans="1:47" s="576" customFormat="1" x14ac:dyDescent="0.25">
      <c r="A457" s="381">
        <f t="shared" si="7"/>
        <v>29.4</v>
      </c>
      <c r="B457" s="571">
        <v>41640</v>
      </c>
      <c r="C457" s="572" t="s">
        <v>1040</v>
      </c>
      <c r="D457" s="572" t="s">
        <v>903</v>
      </c>
      <c r="E457" s="572" t="s">
        <v>380</v>
      </c>
      <c r="F457" s="572" t="s">
        <v>173</v>
      </c>
      <c r="G457" s="572" t="s">
        <v>176</v>
      </c>
      <c r="H457" s="375"/>
      <c r="I457" s="375"/>
      <c r="J457" s="375"/>
      <c r="K457" s="375"/>
      <c r="L457" s="376"/>
      <c r="M457" s="376"/>
      <c r="N457" s="376">
        <v>14</v>
      </c>
      <c r="O457" s="376"/>
      <c r="P457" s="378"/>
      <c r="Q457" s="378"/>
      <c r="R457" s="378"/>
      <c r="S457" s="378"/>
      <c r="T457" s="378"/>
      <c r="U457" s="378"/>
      <c r="V457" s="533"/>
      <c r="W457" s="378"/>
      <c r="X457" s="378"/>
      <c r="Y457" s="378">
        <f>IF(NFI_Expiration=1,IF($A457&lt;VLOOKUP(H$5,NFI,5,0),1,0)*Table_NFI[[#This Row],[Hygiene Kit]],Table_NFI[Hygiene Kit])</f>
        <v>0</v>
      </c>
      <c r="Z457" s="378">
        <f>IF(NFI_Expiration=1,IF($A457&lt;VLOOKUP(I$5,NFI,5,0),1,0)*Table_NFI[[#This Row],[NFI Core Kit]],Table_NFI[NFI Core Kit])</f>
        <v>0</v>
      </c>
      <c r="AA457" s="378">
        <f>IF(NFI_Expiration=1,IF($A457&lt;VLOOKUP(J$5,NFI,5,0),1,0)*Table_NFI[[#This Row],[Sanitary Kit]],Table_NFI[Sanitary Kit])</f>
        <v>0</v>
      </c>
      <c r="AB457" s="378">
        <f>IF(NFI_Expiration=1,IF($A457&lt;VLOOKUP(K$5,NFI,5,0),1,0)*Table_NFI[[#This Row],[Mosquito net]],Table_NFI[Mosquito net])</f>
        <v>0</v>
      </c>
      <c r="AC457" s="378">
        <f>IF(NFI_Expiration=1,IF($A457&lt;VLOOKUP(L$5,NFI,5,0),1,0)*Table_NFI[[#This Row],[Tarpaulin]],Table_NFI[[#This Row],[Tarpaulin]])</f>
        <v>0</v>
      </c>
      <c r="AD457" s="378">
        <f>IF(NFI_Expiration=1,IF($A457&lt;VLOOKUP(M$5,NFI,5,0),1,0)*Table_NFI[[#This Row],[Blanket]],Table_NFI[[#This Row],[Blanket]])</f>
        <v>0</v>
      </c>
      <c r="AE457" s="378">
        <f>IF(NFI_Expiration=1,IF($A457&lt;VLOOKUP(N$5,NFI,5,0),1,0)*Table_NFI[[#This Row],[Kitchen Set]],Table_NFI[Kitchen Set])</f>
        <v>0</v>
      </c>
      <c r="AF457" s="378">
        <f>IF(NFI_Expiration=1,IF($A457&lt;VLOOKUP(O$5,NFI,5,0),1,0)*Table_NFI[[#This Row],[Clothes Kit]],Table_NFI[Clothes Kit])</f>
        <v>0</v>
      </c>
      <c r="AG457" s="378">
        <f>IF(NFI_Expiration=1,IF($A457&lt;VLOOKUP(P$5,NFI,5,0),1,0)*Table_NFI[[#This Row],[Plastic Bucket]],Table_NFI[Plastic Bucket])</f>
        <v>0</v>
      </c>
      <c r="AH457" s="378">
        <f>IF(NFI_Expiration=1,IF($A457&lt;VLOOKUP(Q$5,NFI,5,0),1,0)*Table_NFI[[#This Row],[Plastic Mat]],Table_NFI[Plastic Mat])*IF(Table_NFI[[#This Row],[Distribution Date]]&gt;"2014-04-01",1,2.5)</f>
        <v>0</v>
      </c>
      <c r="AI457" s="378">
        <f>IF(NFI_Expiration=1,IF($A457&lt;VLOOKUP(R$5,NFI,5,0),1,0)*Table_NFI[[#This Row],[Winter Clothes Adult]],Table_NFI[Winter Clothes Adult])</f>
        <v>0</v>
      </c>
      <c r="AJ457" s="378">
        <f>IF(NFI_Expiration=1,IF($A457&lt;VLOOKUP(S$5,NFI,5,0),1,0)*Table_NFI[[#This Row],[Winter Clothes Children]],Table_NFI[Winter Clothes Children])</f>
        <v>0</v>
      </c>
      <c r="AK457" s="378">
        <f>IF(NFI_Expiration=1,IF($A457&lt;VLOOKUP(T$5,NFI,5,0),1,0)*Table_NFI[[#This Row],[Winter Items Other]],Table_NFI[Winter Items Other])</f>
        <v>0</v>
      </c>
      <c r="AL457" s="378">
        <f>IF(NFI_Expiration=1,IF($A457&lt;VLOOKUP(M$5,NFI,5,0),1,0)*Table_NFI[[#This Row],[Winter Blanket]],Table_NFI[[#This Row],[Winter Blanket]])</f>
        <v>0</v>
      </c>
      <c r="AM457" s="378">
        <f>IF(Table_NFI[[#This Row],[Winter Clothes Adult]]+Table_NFI[[#This Row],[Winter Clothes Children]]+Table_NFI[[#This Row],[Winter Items Other]]+Table_NFI[[#This Row],[Winter Blanket]]&gt;0,1,0)</f>
        <v>0</v>
      </c>
      <c r="AN457" s="418">
        <f>IF(NFI_Expiration=1,IF($A457&lt;VLOOKUP(V$5,NFI,5,0),1,0)*Table_NFI[[#This Row],[Jerry Can]],Table_NFI[Jerry Can])</f>
        <v>0</v>
      </c>
      <c r="AO457" s="579" t="str">
        <f>IFERROR(VLOOKUP(Table_NFI[[#This Row],[Camp Name]],CL,2,0),"")</f>
        <v>MMR001CMP077</v>
      </c>
      <c r="AP457" s="574">
        <f ca="1">IF(Table_NFI[[#This Row],[Pcode]]="","",IF(OFFSET(CampList[Opening Date],MATCH(Table_NFI[[#This Row],[Pcode]],CampList[CP_Pcode],0)-1,0,1,1)&gt;=NFI_Monitor_Date,1,0))</f>
        <v>0</v>
      </c>
      <c r="AQ457" s="579" t="str">
        <f>IFERROR(VLOOKUP(Table_NFI[[#This Row],[Camp Name]],CL,3,0),"")</f>
        <v>Open</v>
      </c>
      <c r="AR457" s="378" t="str">
        <f ca="1">IF(Table_NFI[[#This Row],[Pcode]]="","",OFFSET(CampList[Priority],MATCH(Table_NFI[[#This Row],[Pcode]],CampList[CP_Pcode],0)-1,0,1,1))</f>
        <v>P4</v>
      </c>
      <c r="AS457" s="377">
        <f>IFERROR(Table_NFI[[#This Row],[Kitchen Set]]/VLOOKUP(Table_NFI[[#This Row],[Camp Name]],CL,4,0),"")</f>
        <v>0.82352941176470584</v>
      </c>
      <c r="AT457" s="572" t="s">
        <v>1095</v>
      </c>
      <c r="AU457" s="575"/>
    </row>
    <row r="458" spans="1:47" s="576" customFormat="1" x14ac:dyDescent="0.25">
      <c r="A458" s="381">
        <f t="shared" si="7"/>
        <v>46.866666666666667</v>
      </c>
      <c r="B458" s="571">
        <v>41116</v>
      </c>
      <c r="C458" s="572" t="s">
        <v>454</v>
      </c>
      <c r="D458" s="572" t="s">
        <v>454</v>
      </c>
      <c r="E458" s="572" t="s">
        <v>380</v>
      </c>
      <c r="F458" s="572" t="s">
        <v>173</v>
      </c>
      <c r="G458" s="374" t="s">
        <v>176</v>
      </c>
      <c r="H458" s="375"/>
      <c r="I458" s="375"/>
      <c r="J458" s="375"/>
      <c r="K458" s="375">
        <v>31</v>
      </c>
      <c r="L458" s="376">
        <v>15</v>
      </c>
      <c r="M458" s="376">
        <v>31</v>
      </c>
      <c r="N458" s="376">
        <v>15</v>
      </c>
      <c r="O458" s="376">
        <v>16</v>
      </c>
      <c r="P458" s="378">
        <v>16</v>
      </c>
      <c r="Q458" s="378">
        <v>16</v>
      </c>
      <c r="R458" s="378"/>
      <c r="S458" s="378"/>
      <c r="T458" s="378"/>
      <c r="U458" s="378"/>
      <c r="V458" s="533"/>
      <c r="W458" s="378"/>
      <c r="X458" s="378"/>
      <c r="Y458" s="378">
        <f>IF(NFI_Expiration=1,IF($A458&lt;VLOOKUP(H$5,NFI,5,0),1,0)*Table_NFI[[#This Row],[Hygiene Kit]],Table_NFI[Hygiene Kit])</f>
        <v>0</v>
      </c>
      <c r="Z458" s="378">
        <f>IF(NFI_Expiration=1,IF($A458&lt;VLOOKUP(I$5,NFI,5,0),1,0)*Table_NFI[[#This Row],[NFI Core Kit]],Table_NFI[NFI Core Kit])</f>
        <v>0</v>
      </c>
      <c r="AA458" s="378">
        <f>IF(NFI_Expiration=1,IF($A458&lt;VLOOKUP(J$5,NFI,5,0),1,0)*Table_NFI[[#This Row],[Sanitary Kit]],Table_NFI[Sanitary Kit])</f>
        <v>0</v>
      </c>
      <c r="AB458" s="378">
        <f>IF(NFI_Expiration=1,IF($A458&lt;VLOOKUP(K$5,NFI,5,0),1,0)*Table_NFI[[#This Row],[Mosquito net]],Table_NFI[Mosquito net])</f>
        <v>0</v>
      </c>
      <c r="AC458" s="378">
        <f>IF(NFI_Expiration=1,IF($A458&lt;VLOOKUP(L$5,NFI,5,0),1,0)*Table_NFI[[#This Row],[Tarpaulin]],Table_NFI[[#This Row],[Tarpaulin]])</f>
        <v>0</v>
      </c>
      <c r="AD458" s="378">
        <f>IF(NFI_Expiration=1,IF($A458&lt;VLOOKUP(M$5,NFI,5,0),1,0)*Table_NFI[[#This Row],[Blanket]],Table_NFI[[#This Row],[Blanket]])</f>
        <v>0</v>
      </c>
      <c r="AE458" s="378">
        <f>IF(NFI_Expiration=1,IF($A458&lt;VLOOKUP(N$5,NFI,5,0),1,0)*Table_NFI[[#This Row],[Kitchen Set]],Table_NFI[Kitchen Set])</f>
        <v>0</v>
      </c>
      <c r="AF458" s="378">
        <f>IF(NFI_Expiration=1,IF($A458&lt;VLOOKUP(O$5,NFI,5,0),1,0)*Table_NFI[[#This Row],[Clothes Kit]],Table_NFI[Clothes Kit])</f>
        <v>0</v>
      </c>
      <c r="AG458" s="378">
        <f>IF(NFI_Expiration=1,IF($A458&lt;VLOOKUP(P$5,NFI,5,0),1,0)*Table_NFI[[#This Row],[Plastic Bucket]],Table_NFI[Plastic Bucket])</f>
        <v>0</v>
      </c>
      <c r="AH458" s="378">
        <f>IF(NFI_Expiration=1,IF($A458&lt;VLOOKUP(Q$5,NFI,5,0),1,0)*Table_NFI[[#This Row],[Plastic Mat]],Table_NFI[Plastic Mat])*IF(Table_NFI[[#This Row],[Distribution Date]]&gt;"2014-04-01",1,2.5)</f>
        <v>0</v>
      </c>
      <c r="AI458" s="378">
        <f>IF(NFI_Expiration=1,IF($A458&lt;VLOOKUP(R$5,NFI,5,0),1,0)*Table_NFI[[#This Row],[Winter Clothes Adult]],Table_NFI[Winter Clothes Adult])</f>
        <v>0</v>
      </c>
      <c r="AJ458" s="378">
        <f>IF(NFI_Expiration=1,IF($A458&lt;VLOOKUP(S$5,NFI,5,0),1,0)*Table_NFI[[#This Row],[Winter Clothes Children]],Table_NFI[Winter Clothes Children])</f>
        <v>0</v>
      </c>
      <c r="AK458" s="378">
        <f>IF(NFI_Expiration=1,IF($A458&lt;VLOOKUP(T$5,NFI,5,0),1,0)*Table_NFI[[#This Row],[Winter Items Other]],Table_NFI[Winter Items Other])</f>
        <v>0</v>
      </c>
      <c r="AL458" s="378">
        <f>IF(NFI_Expiration=1,IF($A458&lt;VLOOKUP(M$5,NFI,5,0),1,0)*Table_NFI[[#This Row],[Winter Blanket]],Table_NFI[[#This Row],[Winter Blanket]])</f>
        <v>0</v>
      </c>
      <c r="AM458" s="378">
        <f>IF(Table_NFI[[#This Row],[Winter Clothes Adult]]+Table_NFI[[#This Row],[Winter Clothes Children]]+Table_NFI[[#This Row],[Winter Items Other]]+Table_NFI[[#This Row],[Winter Blanket]]&gt;0,1,0)</f>
        <v>0</v>
      </c>
      <c r="AN458" s="418">
        <f>IF(NFI_Expiration=1,IF($A458&lt;VLOOKUP(V$5,NFI,5,0),1,0)*Table_NFI[[#This Row],[Jerry Can]],Table_NFI[Jerry Can])</f>
        <v>0</v>
      </c>
      <c r="AO458" s="579" t="str">
        <f>IFERROR(VLOOKUP(Table_NFI[[#This Row],[Camp Name]],CL,2,0),"")</f>
        <v>MMR001CMP077</v>
      </c>
      <c r="AP458" s="574">
        <f ca="1">IF(Table_NFI[[#This Row],[Pcode]]="","",IF(OFFSET(CampList[Opening Date],MATCH(Table_NFI[[#This Row],[Pcode]],CampList[CP_Pcode],0)-1,0,1,1)&gt;=NFI_Monitor_Date,1,0))</f>
        <v>0</v>
      </c>
      <c r="AQ458" s="579" t="str">
        <f>IFERROR(VLOOKUP(Table_NFI[[#This Row],[Camp Name]],CL,3,0),"")</f>
        <v>Open</v>
      </c>
      <c r="AR458" s="378" t="str">
        <f ca="1">IF(Table_NFI[[#This Row],[Pcode]]="","",OFFSET(CampList[Priority],MATCH(Table_NFI[[#This Row],[Pcode]],CampList[CP_Pcode],0)-1,0,1,1))</f>
        <v>P4</v>
      </c>
      <c r="AS458" s="377">
        <f>IFERROR(Table_NFI[[#This Row],[Kitchen Set]]/VLOOKUP(Table_NFI[[#This Row],[Camp Name]],CL,4,0),"")</f>
        <v>0.88235294117647056</v>
      </c>
      <c r="AT458" s="572" t="s">
        <v>1095</v>
      </c>
      <c r="AU458" s="575"/>
    </row>
    <row r="459" spans="1:47" s="576" customFormat="1" x14ac:dyDescent="0.25">
      <c r="A459" s="381">
        <f t="shared" si="7"/>
        <v>5.6333333333333337</v>
      </c>
      <c r="B459" s="571">
        <v>42353</v>
      </c>
      <c r="C459" s="577" t="s">
        <v>454</v>
      </c>
      <c r="D459" s="577" t="s">
        <v>462</v>
      </c>
      <c r="E459" s="577" t="s">
        <v>380</v>
      </c>
      <c r="F459" s="577" t="s">
        <v>237</v>
      </c>
      <c r="G459" s="577" t="s">
        <v>1375</v>
      </c>
      <c r="H459" s="376"/>
      <c r="I459" s="376"/>
      <c r="J459" s="376"/>
      <c r="K459" s="376">
        <v>7</v>
      </c>
      <c r="L459" s="376">
        <v>7</v>
      </c>
      <c r="M459" s="376"/>
      <c r="N459" s="376">
        <v>7</v>
      </c>
      <c r="O459" s="376"/>
      <c r="P459" s="378">
        <v>7</v>
      </c>
      <c r="Q459" s="378">
        <v>27</v>
      </c>
      <c r="R459" s="378"/>
      <c r="S459" s="378"/>
      <c r="T459" s="378"/>
      <c r="U459" s="378">
        <v>27</v>
      </c>
      <c r="V459" s="533">
        <v>7</v>
      </c>
      <c r="W459" s="378"/>
      <c r="X459" s="378"/>
      <c r="Y459" s="378">
        <f>IF(NFI_Expiration=1,IF($A459&lt;VLOOKUP(H$5,NFI,5,0),1,0)*Table_NFI[[#This Row],[Hygiene Kit]],Table_NFI[Hygiene Kit])</f>
        <v>0</v>
      </c>
      <c r="Z459" s="378">
        <f>IF(NFI_Expiration=1,IF($A459&lt;VLOOKUP(I$5,NFI,5,0),1,0)*Table_NFI[[#This Row],[NFI Core Kit]],Table_NFI[NFI Core Kit])</f>
        <v>0</v>
      </c>
      <c r="AA459" s="378">
        <f>IF(NFI_Expiration=1,IF($A459&lt;VLOOKUP(J$5,NFI,5,0),1,0)*Table_NFI[[#This Row],[Sanitary Kit]],Table_NFI[Sanitary Kit])</f>
        <v>0</v>
      </c>
      <c r="AB459" s="378">
        <f>IF(NFI_Expiration=1,IF($A459&lt;VLOOKUP(K$5,NFI,5,0),1,0)*Table_NFI[[#This Row],[Mosquito net]],Table_NFI[Mosquito net])</f>
        <v>7</v>
      </c>
      <c r="AC459" s="378">
        <f>IF(NFI_Expiration=1,IF($A459&lt;VLOOKUP(L$5,NFI,5,0),1,0)*Table_NFI[[#This Row],[Tarpaulin]],Table_NFI[[#This Row],[Tarpaulin]])</f>
        <v>7</v>
      </c>
      <c r="AD459" s="378">
        <f>IF(NFI_Expiration=1,IF($A459&lt;VLOOKUP(M$5,NFI,5,0),1,0)*Table_NFI[[#This Row],[Blanket]],Table_NFI[[#This Row],[Blanket]])</f>
        <v>0</v>
      </c>
      <c r="AE459" s="378">
        <f>IF(NFI_Expiration=1,IF($A459&lt;VLOOKUP(N$5,NFI,5,0),1,0)*Table_NFI[[#This Row],[Kitchen Set]],Table_NFI[Kitchen Set])</f>
        <v>7</v>
      </c>
      <c r="AF459" s="378">
        <f>IF(NFI_Expiration=1,IF($A459&lt;VLOOKUP(O$5,NFI,5,0),1,0)*Table_NFI[[#This Row],[Clothes Kit]],Table_NFI[Clothes Kit])</f>
        <v>0</v>
      </c>
      <c r="AG459" s="378">
        <f>IF(NFI_Expiration=1,IF($A459&lt;VLOOKUP(P$5,NFI,5,0),1,0)*Table_NFI[[#This Row],[Plastic Bucket]],Table_NFI[Plastic Bucket])</f>
        <v>7</v>
      </c>
      <c r="AH459" s="378">
        <f>IF(NFI_Expiration=1,IF($A459&lt;VLOOKUP(Q$5,NFI,5,0),1,0)*Table_NFI[[#This Row],[Plastic Mat]],Table_NFI[Plastic Mat])*IF(Table_NFI[[#This Row],[Distribution Date]]&gt;"2014-04-01",1,2.5)</f>
        <v>67.5</v>
      </c>
      <c r="AI459" s="378">
        <f>IF(NFI_Expiration=1,IF($A459&lt;VLOOKUP(R$5,NFI,5,0),1,0)*Table_NFI[[#This Row],[Winter Clothes Adult]],Table_NFI[Winter Clothes Adult])</f>
        <v>0</v>
      </c>
      <c r="AJ459" s="378">
        <f>IF(NFI_Expiration=1,IF($A459&lt;VLOOKUP(S$5,NFI,5,0),1,0)*Table_NFI[[#This Row],[Winter Clothes Children]],Table_NFI[Winter Clothes Children])</f>
        <v>0</v>
      </c>
      <c r="AK459" s="378">
        <f>IF(NFI_Expiration=1,IF($A459&lt;VLOOKUP(T$5,NFI,5,0),1,0)*Table_NFI[[#This Row],[Winter Items Other]],Table_NFI[Winter Items Other])</f>
        <v>0</v>
      </c>
      <c r="AL459" s="378">
        <f>IF(NFI_Expiration=1,IF($A459&lt;VLOOKUP(M$5,NFI,5,0),1,0)*Table_NFI[[#This Row],[Winter Blanket]],Table_NFI[[#This Row],[Winter Blanket]])</f>
        <v>27</v>
      </c>
      <c r="AM459" s="378">
        <f>IF(Table_NFI[[#This Row],[Winter Clothes Adult]]+Table_NFI[[#This Row],[Winter Clothes Children]]+Table_NFI[[#This Row],[Winter Items Other]]+Table_NFI[[#This Row],[Winter Blanket]]&gt;0,1,0)</f>
        <v>1</v>
      </c>
      <c r="AN459" s="418">
        <f>IF(NFI_Expiration=1,IF($A459&lt;VLOOKUP(V$5,NFI,5,0),1,0)*Table_NFI[[#This Row],[Jerry Can]],Table_NFI[Jerry Can])</f>
        <v>7</v>
      </c>
      <c r="AO459" s="579" t="str">
        <f>IFERROR(VLOOKUP(Table_NFI[[#This Row],[Camp Name]],CL,2,0),"")</f>
        <v/>
      </c>
      <c r="AP459" s="574" t="str">
        <f ca="1">IF(Table_NFI[[#This Row],[Pcode]]="","",IF(OFFSET(CampList[Opening Date],MATCH(Table_NFI[[#This Row],[Pcode]],CampList[CP_Pcode],0)-1,0,1,1)&gt;=NFI_Monitor_Date,1,0))</f>
        <v/>
      </c>
      <c r="AQ459" s="579" t="str">
        <f>IFERROR(VLOOKUP(Table_NFI[[#This Row],[Camp Name]],CL,3,0),"")</f>
        <v/>
      </c>
      <c r="AR459" s="378" t="str">
        <f ca="1">IF(Table_NFI[[#This Row],[Pcode]]="","",OFFSET(CampList[Priority],MATCH(Table_NFI[[#This Row],[Pcode]],CampList[CP_Pcode],0)-1,0,1,1))</f>
        <v/>
      </c>
      <c r="AS459" s="377" t="str">
        <f>IFERROR(Table_NFI[[#This Row],[Kitchen Set]]/VLOOKUP(Table_NFI[[#This Row],[Camp Name]],CL,4,0),"")</f>
        <v/>
      </c>
      <c r="AT459" s="572" t="s">
        <v>1095</v>
      </c>
      <c r="AU459" s="580"/>
    </row>
    <row r="460" spans="1:47" s="576" customFormat="1" x14ac:dyDescent="0.25">
      <c r="A460" s="381">
        <f t="shared" si="7"/>
        <v>25.733333333333334</v>
      </c>
      <c r="B460" s="571">
        <v>41750</v>
      </c>
      <c r="C460" s="572" t="s">
        <v>454</v>
      </c>
      <c r="D460" s="572" t="s">
        <v>454</v>
      </c>
      <c r="E460" s="572" t="s">
        <v>380</v>
      </c>
      <c r="F460" s="572" t="s">
        <v>151</v>
      </c>
      <c r="G460" s="572" t="s">
        <v>152</v>
      </c>
      <c r="H460" s="375"/>
      <c r="I460" s="375"/>
      <c r="J460" s="375">
        <v>20</v>
      </c>
      <c r="K460" s="375">
        <v>30</v>
      </c>
      <c r="L460" s="376">
        <v>13</v>
      </c>
      <c r="M460" s="376">
        <v>40</v>
      </c>
      <c r="N460" s="376">
        <v>13</v>
      </c>
      <c r="O460" s="376">
        <v>13</v>
      </c>
      <c r="P460" s="378">
        <v>13</v>
      </c>
      <c r="Q460" s="378">
        <v>25</v>
      </c>
      <c r="R460" s="378"/>
      <c r="S460" s="378"/>
      <c r="T460" s="378"/>
      <c r="U460" s="378"/>
      <c r="V460" s="533"/>
      <c r="W460" s="378"/>
      <c r="X460" s="378"/>
      <c r="Y460" s="378">
        <f>IF(NFI_Expiration=1,IF($A460&lt;VLOOKUP(H$5,NFI,5,0),1,0)*Table_NFI[[#This Row],[Hygiene Kit]],Table_NFI[Hygiene Kit])</f>
        <v>0</v>
      </c>
      <c r="Z460" s="378">
        <f>IF(NFI_Expiration=1,IF($A460&lt;VLOOKUP(I$5,NFI,5,0),1,0)*Table_NFI[[#This Row],[NFI Core Kit]],Table_NFI[NFI Core Kit])</f>
        <v>0</v>
      </c>
      <c r="AA460" s="378">
        <f>IF(NFI_Expiration=1,IF($A460&lt;VLOOKUP(J$5,NFI,5,0),1,0)*Table_NFI[[#This Row],[Sanitary Kit]],Table_NFI[Sanitary Kit])</f>
        <v>0</v>
      </c>
      <c r="AB460" s="378">
        <f>IF(NFI_Expiration=1,IF($A460&lt;VLOOKUP(K$5,NFI,5,0),1,0)*Table_NFI[[#This Row],[Mosquito net]],Table_NFI[Mosquito net])</f>
        <v>0</v>
      </c>
      <c r="AC460" s="378">
        <f>IF(NFI_Expiration=1,IF($A460&lt;VLOOKUP(L$5,NFI,5,0),1,0)*Table_NFI[[#This Row],[Tarpaulin]],Table_NFI[[#This Row],[Tarpaulin]])</f>
        <v>0</v>
      </c>
      <c r="AD460" s="378">
        <f>IF(NFI_Expiration=1,IF($A460&lt;VLOOKUP(M$5,NFI,5,0),1,0)*Table_NFI[[#This Row],[Blanket]],Table_NFI[[#This Row],[Blanket]])</f>
        <v>0</v>
      </c>
      <c r="AE460" s="378">
        <f>IF(NFI_Expiration=1,IF($A460&lt;VLOOKUP(N$5,NFI,5,0),1,0)*Table_NFI[[#This Row],[Kitchen Set]],Table_NFI[Kitchen Set])</f>
        <v>0</v>
      </c>
      <c r="AF460" s="378">
        <f>IF(NFI_Expiration=1,IF($A460&lt;VLOOKUP(O$5,NFI,5,0),1,0)*Table_NFI[[#This Row],[Clothes Kit]],Table_NFI[Clothes Kit])</f>
        <v>0</v>
      </c>
      <c r="AG460" s="378">
        <f>IF(NFI_Expiration=1,IF($A460&lt;VLOOKUP(P$5,NFI,5,0),1,0)*Table_NFI[[#This Row],[Plastic Bucket]],Table_NFI[Plastic Bucket])</f>
        <v>0</v>
      </c>
      <c r="AH460" s="378">
        <f>IF(NFI_Expiration=1,IF($A460&lt;VLOOKUP(Q$5,NFI,5,0),1,0)*Table_NFI[[#This Row],[Plastic Mat]],Table_NFI[Plastic Mat])*IF(Table_NFI[[#This Row],[Distribution Date]]&gt;"2014-04-01",1,2.5)</f>
        <v>0</v>
      </c>
      <c r="AI460" s="378">
        <f>IF(NFI_Expiration=1,IF($A460&lt;VLOOKUP(R$5,NFI,5,0),1,0)*Table_NFI[[#This Row],[Winter Clothes Adult]],Table_NFI[Winter Clothes Adult])</f>
        <v>0</v>
      </c>
      <c r="AJ460" s="378">
        <f>IF(NFI_Expiration=1,IF($A460&lt;VLOOKUP(S$5,NFI,5,0),1,0)*Table_NFI[[#This Row],[Winter Clothes Children]],Table_NFI[Winter Clothes Children])</f>
        <v>0</v>
      </c>
      <c r="AK460" s="378">
        <f>IF(NFI_Expiration=1,IF($A460&lt;VLOOKUP(T$5,NFI,5,0),1,0)*Table_NFI[[#This Row],[Winter Items Other]],Table_NFI[Winter Items Other])</f>
        <v>0</v>
      </c>
      <c r="AL460" s="378">
        <f>IF(NFI_Expiration=1,IF($A460&lt;VLOOKUP(M$5,NFI,5,0),1,0)*Table_NFI[[#This Row],[Winter Blanket]],Table_NFI[[#This Row],[Winter Blanket]])</f>
        <v>0</v>
      </c>
      <c r="AM460" s="378">
        <f>IF(Table_NFI[[#This Row],[Winter Clothes Adult]]+Table_NFI[[#This Row],[Winter Clothes Children]]+Table_NFI[[#This Row],[Winter Items Other]]+Table_NFI[[#This Row],[Winter Blanket]]&gt;0,1,0)</f>
        <v>0</v>
      </c>
      <c r="AN460" s="418">
        <f>IF(NFI_Expiration=1,IF($A460&lt;VLOOKUP(V$5,NFI,5,0),1,0)*Table_NFI[[#This Row],[Jerry Can]],Table_NFI[Jerry Can])</f>
        <v>0</v>
      </c>
      <c r="AO460" s="579" t="str">
        <f>IFERROR(VLOOKUP(Table_NFI[[#This Row],[Camp Name]],CL,2,0),"")</f>
        <v>MMR001CMP066</v>
      </c>
      <c r="AP460" s="574">
        <f ca="1">IF(Table_NFI[[#This Row],[Pcode]]="","",IF(OFFSET(CampList[Opening Date],MATCH(Table_NFI[[#This Row],[Pcode]],CampList[CP_Pcode],0)-1,0,1,1)&gt;=NFI_Monitor_Date,1,0))</f>
        <v>0</v>
      </c>
      <c r="AQ460" s="579" t="str">
        <f>IFERROR(VLOOKUP(Table_NFI[[#This Row],[Camp Name]],CL,3,0),"")</f>
        <v>Open</v>
      </c>
      <c r="AR460" s="378" t="str">
        <f ca="1">IF(Table_NFI[[#This Row],[Pcode]]="","",OFFSET(CampList[Priority],MATCH(Table_NFI[[#This Row],[Pcode]],CampList[CP_Pcode],0)-1,0,1,1))</f>
        <v>P4</v>
      </c>
      <c r="AS460" s="377">
        <f>IFERROR(Table_NFI[[#This Row],[Kitchen Set]]/VLOOKUP(Table_NFI[[#This Row],[Camp Name]],CL,4,0),"")</f>
        <v>5.8823529411764705E-2</v>
      </c>
      <c r="AT460" s="572" t="s">
        <v>1095</v>
      </c>
      <c r="AU460" s="575"/>
    </row>
    <row r="461" spans="1:47" s="576" customFormat="1" x14ac:dyDescent="0.25">
      <c r="A461" s="381">
        <f t="shared" si="7"/>
        <v>26.2</v>
      </c>
      <c r="B461" s="571">
        <v>41736</v>
      </c>
      <c r="C461" s="572" t="s">
        <v>1107</v>
      </c>
      <c r="D461" s="572" t="s">
        <v>903</v>
      </c>
      <c r="E461" s="572" t="s">
        <v>380</v>
      </c>
      <c r="F461" s="572" t="s">
        <v>151</v>
      </c>
      <c r="G461" s="572" t="s">
        <v>152</v>
      </c>
      <c r="H461" s="375"/>
      <c r="I461" s="375"/>
      <c r="J461" s="375"/>
      <c r="K461" s="375"/>
      <c r="L461" s="376"/>
      <c r="M461" s="376"/>
      <c r="N461" s="376"/>
      <c r="O461" s="376"/>
      <c r="P461" s="378"/>
      <c r="Q461" s="378"/>
      <c r="R461" s="378"/>
      <c r="S461" s="378"/>
      <c r="T461" s="378"/>
      <c r="U461" s="378">
        <v>262</v>
      </c>
      <c r="V461" s="533"/>
      <c r="W461" s="378"/>
      <c r="X461" s="378"/>
      <c r="Y461" s="378">
        <f>IF(NFI_Expiration=1,IF($A461&lt;VLOOKUP(H$5,NFI,5,0),1,0)*Table_NFI[[#This Row],[Hygiene Kit]],Table_NFI[Hygiene Kit])</f>
        <v>0</v>
      </c>
      <c r="Z461" s="378">
        <f>IF(NFI_Expiration=1,IF($A461&lt;VLOOKUP(I$5,NFI,5,0),1,0)*Table_NFI[[#This Row],[NFI Core Kit]],Table_NFI[NFI Core Kit])</f>
        <v>0</v>
      </c>
      <c r="AA461" s="378">
        <f>IF(NFI_Expiration=1,IF($A461&lt;VLOOKUP(J$5,NFI,5,0),1,0)*Table_NFI[[#This Row],[Sanitary Kit]],Table_NFI[Sanitary Kit])</f>
        <v>0</v>
      </c>
      <c r="AB461" s="378">
        <f>IF(NFI_Expiration=1,IF($A461&lt;VLOOKUP(K$5,NFI,5,0),1,0)*Table_NFI[[#This Row],[Mosquito net]],Table_NFI[Mosquito net])</f>
        <v>0</v>
      </c>
      <c r="AC461" s="378">
        <f>IF(NFI_Expiration=1,IF($A461&lt;VLOOKUP(L$5,NFI,5,0),1,0)*Table_NFI[[#This Row],[Tarpaulin]],Table_NFI[[#This Row],[Tarpaulin]])</f>
        <v>0</v>
      </c>
      <c r="AD461" s="378">
        <f>IF(NFI_Expiration=1,IF($A461&lt;VLOOKUP(M$5,NFI,5,0),1,0)*Table_NFI[[#This Row],[Blanket]],Table_NFI[[#This Row],[Blanket]])</f>
        <v>0</v>
      </c>
      <c r="AE461" s="378">
        <f>IF(NFI_Expiration=1,IF($A461&lt;VLOOKUP(N$5,NFI,5,0),1,0)*Table_NFI[[#This Row],[Kitchen Set]],Table_NFI[Kitchen Set])</f>
        <v>0</v>
      </c>
      <c r="AF461" s="378">
        <f>IF(NFI_Expiration=1,IF($A461&lt;VLOOKUP(O$5,NFI,5,0),1,0)*Table_NFI[[#This Row],[Clothes Kit]],Table_NFI[Clothes Kit])</f>
        <v>0</v>
      </c>
      <c r="AG461" s="378">
        <f>IF(NFI_Expiration=1,IF($A461&lt;VLOOKUP(P$5,NFI,5,0),1,0)*Table_NFI[[#This Row],[Plastic Bucket]],Table_NFI[Plastic Bucket])</f>
        <v>0</v>
      </c>
      <c r="AH461" s="378">
        <f>IF(NFI_Expiration=1,IF($A461&lt;VLOOKUP(Q$5,NFI,5,0),1,0)*Table_NFI[[#This Row],[Plastic Mat]],Table_NFI[Plastic Mat])*IF(Table_NFI[[#This Row],[Distribution Date]]&gt;"2014-04-01",1,2.5)</f>
        <v>0</v>
      </c>
      <c r="AI461" s="378">
        <f>IF(NFI_Expiration=1,IF($A461&lt;VLOOKUP(R$5,NFI,5,0),1,0)*Table_NFI[[#This Row],[Winter Clothes Adult]],Table_NFI[Winter Clothes Adult])</f>
        <v>0</v>
      </c>
      <c r="AJ461" s="378">
        <f>IF(NFI_Expiration=1,IF($A461&lt;VLOOKUP(S$5,NFI,5,0),1,0)*Table_NFI[[#This Row],[Winter Clothes Children]],Table_NFI[Winter Clothes Children])</f>
        <v>0</v>
      </c>
      <c r="AK461" s="378">
        <f>IF(NFI_Expiration=1,IF($A461&lt;VLOOKUP(T$5,NFI,5,0),1,0)*Table_NFI[[#This Row],[Winter Items Other]],Table_NFI[Winter Items Other])</f>
        <v>0</v>
      </c>
      <c r="AL461" s="378">
        <f>IF(NFI_Expiration=1,IF($A461&lt;VLOOKUP(M$5,NFI,5,0),1,0)*Table_NFI[[#This Row],[Winter Blanket]],Table_NFI[[#This Row],[Winter Blanket]])</f>
        <v>0</v>
      </c>
      <c r="AM461" s="378">
        <f>IF(Table_NFI[[#This Row],[Winter Clothes Adult]]+Table_NFI[[#This Row],[Winter Clothes Children]]+Table_NFI[[#This Row],[Winter Items Other]]+Table_NFI[[#This Row],[Winter Blanket]]&gt;0,1,0)</f>
        <v>1</v>
      </c>
      <c r="AN461" s="418">
        <f>IF(NFI_Expiration=1,IF($A461&lt;VLOOKUP(V$5,NFI,5,0),1,0)*Table_NFI[[#This Row],[Jerry Can]],Table_NFI[Jerry Can])</f>
        <v>0</v>
      </c>
      <c r="AO461" s="579" t="str">
        <f>IFERROR(VLOOKUP(Table_NFI[[#This Row],[Camp Name]],CL,2,0),"")</f>
        <v>MMR001CMP066</v>
      </c>
      <c r="AP461" s="574">
        <f ca="1">IF(Table_NFI[[#This Row],[Pcode]]="","",IF(OFFSET(CampList[Opening Date],MATCH(Table_NFI[[#This Row],[Pcode]],CampList[CP_Pcode],0)-1,0,1,1)&gt;=NFI_Monitor_Date,1,0))</f>
        <v>0</v>
      </c>
      <c r="AQ461" s="579" t="str">
        <f>IFERROR(VLOOKUP(Table_NFI[[#This Row],[Camp Name]],CL,3,0),"")</f>
        <v>Open</v>
      </c>
      <c r="AR461" s="378" t="str">
        <f ca="1">IF(Table_NFI[[#This Row],[Pcode]]="","",OFFSET(CampList[Priority],MATCH(Table_NFI[[#This Row],[Pcode]],CampList[CP_Pcode],0)-1,0,1,1))</f>
        <v>P4</v>
      </c>
      <c r="AS461" s="377">
        <f>IFERROR(Table_NFI[[#This Row],[Kitchen Set]]/VLOOKUP(Table_NFI[[#This Row],[Camp Name]],CL,4,0),"")</f>
        <v>0</v>
      </c>
      <c r="AT461" s="572"/>
      <c r="AU461" s="575"/>
    </row>
    <row r="462" spans="1:47" s="576" customFormat="1" x14ac:dyDescent="0.25">
      <c r="A462" s="381">
        <f t="shared" si="7"/>
        <v>30.033333333333335</v>
      </c>
      <c r="B462" s="571">
        <v>41621</v>
      </c>
      <c r="C462" s="572" t="s">
        <v>908</v>
      </c>
      <c r="D462" s="572" t="s">
        <v>908</v>
      </c>
      <c r="E462" s="572" t="s">
        <v>380</v>
      </c>
      <c r="F462" s="572" t="s">
        <v>151</v>
      </c>
      <c r="G462" s="572" t="s">
        <v>152</v>
      </c>
      <c r="H462" s="375"/>
      <c r="I462" s="375"/>
      <c r="J462" s="375"/>
      <c r="K462" s="375"/>
      <c r="L462" s="376"/>
      <c r="M462" s="376"/>
      <c r="N462" s="376"/>
      <c r="O462" s="376"/>
      <c r="P462" s="378"/>
      <c r="Q462" s="378"/>
      <c r="R462" s="378">
        <v>13</v>
      </c>
      <c r="S462" s="378">
        <v>53</v>
      </c>
      <c r="T462" s="378">
        <v>132</v>
      </c>
      <c r="U462" s="378">
        <v>66</v>
      </c>
      <c r="V462" s="533"/>
      <c r="W462" s="378"/>
      <c r="X462" s="378"/>
      <c r="Y462" s="378">
        <f>IF(NFI_Expiration=1,IF($A462&lt;VLOOKUP(H$5,NFI,5,0),1,0)*Table_NFI[[#This Row],[Hygiene Kit]],Table_NFI[Hygiene Kit])</f>
        <v>0</v>
      </c>
      <c r="Z462" s="378">
        <f>IF(NFI_Expiration=1,IF($A462&lt;VLOOKUP(I$5,NFI,5,0),1,0)*Table_NFI[[#This Row],[NFI Core Kit]],Table_NFI[NFI Core Kit])</f>
        <v>0</v>
      </c>
      <c r="AA462" s="378">
        <f>IF(NFI_Expiration=1,IF($A462&lt;VLOOKUP(J$5,NFI,5,0),1,0)*Table_NFI[[#This Row],[Sanitary Kit]],Table_NFI[Sanitary Kit])</f>
        <v>0</v>
      </c>
      <c r="AB462" s="378">
        <f>IF(NFI_Expiration=1,IF($A462&lt;VLOOKUP(K$5,NFI,5,0),1,0)*Table_NFI[[#This Row],[Mosquito net]],Table_NFI[Mosquito net])</f>
        <v>0</v>
      </c>
      <c r="AC462" s="378">
        <f>IF(NFI_Expiration=1,IF($A462&lt;VLOOKUP(L$5,NFI,5,0),1,0)*Table_NFI[[#This Row],[Tarpaulin]],Table_NFI[[#This Row],[Tarpaulin]])</f>
        <v>0</v>
      </c>
      <c r="AD462" s="378">
        <f>IF(NFI_Expiration=1,IF($A462&lt;VLOOKUP(M$5,NFI,5,0),1,0)*Table_NFI[[#This Row],[Blanket]],Table_NFI[[#This Row],[Blanket]])</f>
        <v>0</v>
      </c>
      <c r="AE462" s="378">
        <f>IF(NFI_Expiration=1,IF($A462&lt;VLOOKUP(N$5,NFI,5,0),1,0)*Table_NFI[[#This Row],[Kitchen Set]],Table_NFI[Kitchen Set])</f>
        <v>0</v>
      </c>
      <c r="AF462" s="378">
        <f>IF(NFI_Expiration=1,IF($A462&lt;VLOOKUP(O$5,NFI,5,0),1,0)*Table_NFI[[#This Row],[Clothes Kit]],Table_NFI[Clothes Kit])</f>
        <v>0</v>
      </c>
      <c r="AG462" s="378">
        <f>IF(NFI_Expiration=1,IF($A462&lt;VLOOKUP(P$5,NFI,5,0),1,0)*Table_NFI[[#This Row],[Plastic Bucket]],Table_NFI[Plastic Bucket])</f>
        <v>0</v>
      </c>
      <c r="AH462" s="378">
        <f>IF(NFI_Expiration=1,IF($A462&lt;VLOOKUP(Q$5,NFI,5,0),1,0)*Table_NFI[[#This Row],[Plastic Mat]],Table_NFI[Plastic Mat])*IF(Table_NFI[[#This Row],[Distribution Date]]&gt;"2014-04-01",1,2.5)</f>
        <v>0</v>
      </c>
      <c r="AI462" s="378">
        <f>IF(NFI_Expiration=1,IF($A462&lt;VLOOKUP(R$5,NFI,5,0),1,0)*Table_NFI[[#This Row],[Winter Clothes Adult]],Table_NFI[Winter Clothes Adult])</f>
        <v>0</v>
      </c>
      <c r="AJ462" s="378">
        <f>IF(NFI_Expiration=1,IF($A462&lt;VLOOKUP(S$5,NFI,5,0),1,0)*Table_NFI[[#This Row],[Winter Clothes Children]],Table_NFI[Winter Clothes Children])</f>
        <v>0</v>
      </c>
      <c r="AK462" s="378">
        <f>IF(NFI_Expiration=1,IF($A462&lt;VLOOKUP(T$5,NFI,5,0),1,0)*Table_NFI[[#This Row],[Winter Items Other]],Table_NFI[Winter Items Other])</f>
        <v>0</v>
      </c>
      <c r="AL462" s="378">
        <f>IF(NFI_Expiration=1,IF($A462&lt;VLOOKUP(M$5,NFI,5,0),1,0)*Table_NFI[[#This Row],[Winter Blanket]],Table_NFI[[#This Row],[Winter Blanket]])</f>
        <v>0</v>
      </c>
      <c r="AM462" s="378">
        <f>IF(Table_NFI[[#This Row],[Winter Clothes Adult]]+Table_NFI[[#This Row],[Winter Clothes Children]]+Table_NFI[[#This Row],[Winter Items Other]]+Table_NFI[[#This Row],[Winter Blanket]]&gt;0,1,0)</f>
        <v>1</v>
      </c>
      <c r="AN462" s="418">
        <f>IF(NFI_Expiration=1,IF($A462&lt;VLOOKUP(V$5,NFI,5,0),1,0)*Table_NFI[[#This Row],[Jerry Can]],Table_NFI[Jerry Can])</f>
        <v>0</v>
      </c>
      <c r="AO462" s="579" t="str">
        <f>IFERROR(VLOOKUP(Table_NFI[[#This Row],[Camp Name]],CL,2,0),"")</f>
        <v>MMR001CMP066</v>
      </c>
      <c r="AP462" s="574">
        <f ca="1">IF(Table_NFI[[#This Row],[Pcode]]="","",IF(OFFSET(CampList[Opening Date],MATCH(Table_NFI[[#This Row],[Pcode]],CampList[CP_Pcode],0)-1,0,1,1)&gt;=NFI_Monitor_Date,1,0))</f>
        <v>0</v>
      </c>
      <c r="AQ462" s="579" t="str">
        <f>IFERROR(VLOOKUP(Table_NFI[[#This Row],[Camp Name]],CL,3,0),"")</f>
        <v>Open</v>
      </c>
      <c r="AR462" s="378" t="str">
        <f ca="1">IF(Table_NFI[[#This Row],[Pcode]]="","",OFFSET(CampList[Priority],MATCH(Table_NFI[[#This Row],[Pcode]],CampList[CP_Pcode],0)-1,0,1,1))</f>
        <v>P4</v>
      </c>
      <c r="AS462" s="377">
        <f>IFERROR(Table_NFI[[#This Row],[Kitchen Set]]/VLOOKUP(Table_NFI[[#This Row],[Camp Name]],CL,4,0),"")</f>
        <v>0</v>
      </c>
      <c r="AT462" s="572"/>
      <c r="AU462" s="575"/>
    </row>
    <row r="463" spans="1:47" s="576" customFormat="1" x14ac:dyDescent="0.25">
      <c r="A463" s="381">
        <f t="shared" si="7"/>
        <v>30.466666666666665</v>
      </c>
      <c r="B463" s="571">
        <v>41608</v>
      </c>
      <c r="C463" s="572" t="s">
        <v>908</v>
      </c>
      <c r="D463" s="572"/>
      <c r="E463" s="572" t="s">
        <v>380</v>
      </c>
      <c r="F463" s="374" t="s">
        <v>151</v>
      </c>
      <c r="G463" s="374" t="s">
        <v>152</v>
      </c>
      <c r="H463" s="375"/>
      <c r="I463" s="375"/>
      <c r="J463" s="375"/>
      <c r="K463" s="375"/>
      <c r="L463" s="376"/>
      <c r="M463" s="376"/>
      <c r="N463" s="376"/>
      <c r="O463" s="376"/>
      <c r="P463" s="378"/>
      <c r="Q463" s="378">
        <v>225</v>
      </c>
      <c r="R463" s="378"/>
      <c r="S463" s="378"/>
      <c r="T463" s="378"/>
      <c r="U463" s="378"/>
      <c r="V463" s="533"/>
      <c r="W463" s="378"/>
      <c r="X463" s="378"/>
      <c r="Y463" s="378">
        <f>IF(NFI_Expiration=1,IF($A463&lt;VLOOKUP(H$5,NFI,5,0),1,0)*Table_NFI[[#This Row],[Hygiene Kit]],Table_NFI[Hygiene Kit])</f>
        <v>0</v>
      </c>
      <c r="Z463" s="378">
        <f>IF(NFI_Expiration=1,IF($A463&lt;VLOOKUP(I$5,NFI,5,0),1,0)*Table_NFI[[#This Row],[NFI Core Kit]],Table_NFI[NFI Core Kit])</f>
        <v>0</v>
      </c>
      <c r="AA463" s="378">
        <f>IF(NFI_Expiration=1,IF($A463&lt;VLOOKUP(J$5,NFI,5,0),1,0)*Table_NFI[[#This Row],[Sanitary Kit]],Table_NFI[Sanitary Kit])</f>
        <v>0</v>
      </c>
      <c r="AB463" s="378">
        <f>IF(NFI_Expiration=1,IF($A463&lt;VLOOKUP(K$5,NFI,5,0),1,0)*Table_NFI[[#This Row],[Mosquito net]],Table_NFI[Mosquito net])</f>
        <v>0</v>
      </c>
      <c r="AC463" s="378">
        <f>IF(NFI_Expiration=1,IF($A463&lt;VLOOKUP(L$5,NFI,5,0),1,0)*Table_NFI[[#This Row],[Tarpaulin]],Table_NFI[[#This Row],[Tarpaulin]])</f>
        <v>0</v>
      </c>
      <c r="AD463" s="378">
        <f>IF(NFI_Expiration=1,IF($A463&lt;VLOOKUP(M$5,NFI,5,0),1,0)*Table_NFI[[#This Row],[Blanket]],Table_NFI[[#This Row],[Blanket]])</f>
        <v>0</v>
      </c>
      <c r="AE463" s="378">
        <f>IF(NFI_Expiration=1,IF($A463&lt;VLOOKUP(N$5,NFI,5,0),1,0)*Table_NFI[[#This Row],[Kitchen Set]],Table_NFI[Kitchen Set])</f>
        <v>0</v>
      </c>
      <c r="AF463" s="378">
        <f>IF(NFI_Expiration=1,IF($A463&lt;VLOOKUP(O$5,NFI,5,0),1,0)*Table_NFI[[#This Row],[Clothes Kit]],Table_NFI[Clothes Kit])</f>
        <v>0</v>
      </c>
      <c r="AG463" s="378">
        <f>IF(NFI_Expiration=1,IF($A463&lt;VLOOKUP(P$5,NFI,5,0),1,0)*Table_NFI[[#This Row],[Plastic Bucket]],Table_NFI[Plastic Bucket])</f>
        <v>0</v>
      </c>
      <c r="AH463" s="378">
        <f>IF(NFI_Expiration=1,IF($A463&lt;VLOOKUP(Q$5,NFI,5,0),1,0)*Table_NFI[[#This Row],[Plastic Mat]],Table_NFI[Plastic Mat])*IF(Table_NFI[[#This Row],[Distribution Date]]&gt;"2014-04-01",1,2.5)</f>
        <v>0</v>
      </c>
      <c r="AI463" s="378">
        <f>IF(NFI_Expiration=1,IF($A463&lt;VLOOKUP(R$5,NFI,5,0),1,0)*Table_NFI[[#This Row],[Winter Clothes Adult]],Table_NFI[Winter Clothes Adult])</f>
        <v>0</v>
      </c>
      <c r="AJ463" s="378">
        <f>IF(NFI_Expiration=1,IF($A463&lt;VLOOKUP(S$5,NFI,5,0),1,0)*Table_NFI[[#This Row],[Winter Clothes Children]],Table_NFI[Winter Clothes Children])</f>
        <v>0</v>
      </c>
      <c r="AK463" s="378">
        <f>IF(NFI_Expiration=1,IF($A463&lt;VLOOKUP(T$5,NFI,5,0),1,0)*Table_NFI[[#This Row],[Winter Items Other]],Table_NFI[Winter Items Other])</f>
        <v>0</v>
      </c>
      <c r="AL463" s="378">
        <f>IF(NFI_Expiration=1,IF($A463&lt;VLOOKUP(M$5,NFI,5,0),1,0)*Table_NFI[[#This Row],[Winter Blanket]],Table_NFI[[#This Row],[Winter Blanket]])</f>
        <v>0</v>
      </c>
      <c r="AM463" s="378">
        <f>IF(Table_NFI[[#This Row],[Winter Clothes Adult]]+Table_NFI[[#This Row],[Winter Clothes Children]]+Table_NFI[[#This Row],[Winter Items Other]]+Table_NFI[[#This Row],[Winter Blanket]]&gt;0,1,0)</f>
        <v>0</v>
      </c>
      <c r="AN463" s="418">
        <f>IF(NFI_Expiration=1,IF($A463&lt;VLOOKUP(V$5,NFI,5,0),1,0)*Table_NFI[[#This Row],[Jerry Can]],Table_NFI[Jerry Can])</f>
        <v>0</v>
      </c>
      <c r="AO463" s="579" t="str">
        <f>IFERROR(VLOOKUP(Table_NFI[[#This Row],[Camp Name]],CL,2,0),"")</f>
        <v>MMR001CMP066</v>
      </c>
      <c r="AP463" s="574">
        <f ca="1">IF(Table_NFI[[#This Row],[Pcode]]="","",IF(OFFSET(CampList[Opening Date],MATCH(Table_NFI[[#This Row],[Pcode]],CampList[CP_Pcode],0)-1,0,1,1)&gt;=NFI_Monitor_Date,1,0))</f>
        <v>0</v>
      </c>
      <c r="AQ463" s="579" t="str">
        <f>IFERROR(VLOOKUP(Table_NFI[[#This Row],[Camp Name]],CL,3,0),"")</f>
        <v>Open</v>
      </c>
      <c r="AR463" s="378" t="str">
        <f ca="1">IF(Table_NFI[[#This Row],[Pcode]]="","",OFFSET(CampList[Priority],MATCH(Table_NFI[[#This Row],[Pcode]],CampList[CP_Pcode],0)-1,0,1,1))</f>
        <v>P4</v>
      </c>
      <c r="AS463" s="377">
        <f>IFERROR(Table_NFI[[#This Row],[Kitchen Set]]/VLOOKUP(Table_NFI[[#This Row],[Camp Name]],CL,4,0),"")</f>
        <v>0</v>
      </c>
      <c r="AT463" s="572" t="s">
        <v>1095</v>
      </c>
      <c r="AU463" s="575"/>
    </row>
    <row r="464" spans="1:47" s="576" customFormat="1" x14ac:dyDescent="0.25">
      <c r="A464" s="381">
        <f t="shared" si="7"/>
        <v>30.533333333333335</v>
      </c>
      <c r="B464" s="571">
        <v>41606</v>
      </c>
      <c r="C464" s="573" t="s">
        <v>454</v>
      </c>
      <c r="D464" s="573" t="s">
        <v>454</v>
      </c>
      <c r="E464" s="572" t="s">
        <v>380</v>
      </c>
      <c r="F464" s="374" t="s">
        <v>151</v>
      </c>
      <c r="G464" s="374" t="s">
        <v>152</v>
      </c>
      <c r="H464" s="375"/>
      <c r="I464" s="375"/>
      <c r="J464" s="375"/>
      <c r="K464" s="375">
        <v>20</v>
      </c>
      <c r="L464" s="376">
        <v>7</v>
      </c>
      <c r="M464" s="376">
        <v>22</v>
      </c>
      <c r="N464" s="376">
        <v>7</v>
      </c>
      <c r="O464" s="376">
        <v>7</v>
      </c>
      <c r="P464" s="378"/>
      <c r="Q464" s="378"/>
      <c r="R464" s="378"/>
      <c r="S464" s="378"/>
      <c r="T464" s="378"/>
      <c r="U464" s="378"/>
      <c r="V464" s="533"/>
      <c r="W464" s="378"/>
      <c r="X464" s="378"/>
      <c r="Y464" s="378">
        <f>IF(NFI_Expiration=1,IF($A464&lt;VLOOKUP(H$5,NFI,5,0),1,0)*Table_NFI[[#This Row],[Hygiene Kit]],Table_NFI[Hygiene Kit])</f>
        <v>0</v>
      </c>
      <c r="Z464" s="378">
        <f>IF(NFI_Expiration=1,IF($A464&lt;VLOOKUP(I$5,NFI,5,0),1,0)*Table_NFI[[#This Row],[NFI Core Kit]],Table_NFI[NFI Core Kit])</f>
        <v>0</v>
      </c>
      <c r="AA464" s="378">
        <f>IF(NFI_Expiration=1,IF($A464&lt;VLOOKUP(J$5,NFI,5,0),1,0)*Table_NFI[[#This Row],[Sanitary Kit]],Table_NFI[Sanitary Kit])</f>
        <v>0</v>
      </c>
      <c r="AB464" s="378">
        <f>IF(NFI_Expiration=1,IF($A464&lt;VLOOKUP(K$5,NFI,5,0),1,0)*Table_NFI[[#This Row],[Mosquito net]],Table_NFI[Mosquito net])</f>
        <v>0</v>
      </c>
      <c r="AC464" s="378">
        <f>IF(NFI_Expiration=1,IF($A464&lt;VLOOKUP(L$5,NFI,5,0),1,0)*Table_NFI[[#This Row],[Tarpaulin]],Table_NFI[[#This Row],[Tarpaulin]])</f>
        <v>0</v>
      </c>
      <c r="AD464" s="378">
        <f>IF(NFI_Expiration=1,IF($A464&lt;VLOOKUP(M$5,NFI,5,0),1,0)*Table_NFI[[#This Row],[Blanket]],Table_NFI[[#This Row],[Blanket]])</f>
        <v>0</v>
      </c>
      <c r="AE464" s="378">
        <f>IF(NFI_Expiration=1,IF($A464&lt;VLOOKUP(N$5,NFI,5,0),1,0)*Table_NFI[[#This Row],[Kitchen Set]],Table_NFI[Kitchen Set])</f>
        <v>0</v>
      </c>
      <c r="AF464" s="378">
        <f>IF(NFI_Expiration=1,IF($A464&lt;VLOOKUP(O$5,NFI,5,0),1,0)*Table_NFI[[#This Row],[Clothes Kit]],Table_NFI[Clothes Kit])</f>
        <v>0</v>
      </c>
      <c r="AG464" s="378">
        <f>IF(NFI_Expiration=1,IF($A464&lt;VLOOKUP(P$5,NFI,5,0),1,0)*Table_NFI[[#This Row],[Plastic Bucket]],Table_NFI[Plastic Bucket])</f>
        <v>0</v>
      </c>
      <c r="AH464" s="378">
        <f>IF(NFI_Expiration=1,IF($A464&lt;VLOOKUP(Q$5,NFI,5,0),1,0)*Table_NFI[[#This Row],[Plastic Mat]],Table_NFI[Plastic Mat])*IF(Table_NFI[[#This Row],[Distribution Date]]&gt;"2014-04-01",1,2.5)</f>
        <v>0</v>
      </c>
      <c r="AI464" s="378">
        <f>IF(NFI_Expiration=1,IF($A464&lt;VLOOKUP(R$5,NFI,5,0),1,0)*Table_NFI[[#This Row],[Winter Clothes Adult]],Table_NFI[Winter Clothes Adult])</f>
        <v>0</v>
      </c>
      <c r="AJ464" s="378">
        <f>IF(NFI_Expiration=1,IF($A464&lt;VLOOKUP(S$5,NFI,5,0),1,0)*Table_NFI[[#This Row],[Winter Clothes Children]],Table_NFI[Winter Clothes Children])</f>
        <v>0</v>
      </c>
      <c r="AK464" s="378">
        <f>IF(NFI_Expiration=1,IF($A464&lt;VLOOKUP(T$5,NFI,5,0),1,0)*Table_NFI[[#This Row],[Winter Items Other]],Table_NFI[Winter Items Other])</f>
        <v>0</v>
      </c>
      <c r="AL464" s="378">
        <f>IF(NFI_Expiration=1,IF($A464&lt;VLOOKUP(M$5,NFI,5,0),1,0)*Table_NFI[[#This Row],[Winter Blanket]],Table_NFI[[#This Row],[Winter Blanket]])</f>
        <v>0</v>
      </c>
      <c r="AM464" s="378">
        <f>IF(Table_NFI[[#This Row],[Winter Clothes Adult]]+Table_NFI[[#This Row],[Winter Clothes Children]]+Table_NFI[[#This Row],[Winter Items Other]]+Table_NFI[[#This Row],[Winter Blanket]]&gt;0,1,0)</f>
        <v>0</v>
      </c>
      <c r="AN464" s="418">
        <f>IF(NFI_Expiration=1,IF($A464&lt;VLOOKUP(V$5,NFI,5,0),1,0)*Table_NFI[[#This Row],[Jerry Can]],Table_NFI[Jerry Can])</f>
        <v>0</v>
      </c>
      <c r="AO464" s="579" t="str">
        <f>IFERROR(VLOOKUP(Table_NFI[[#This Row],[Camp Name]],CL,2,0),"")</f>
        <v>MMR001CMP066</v>
      </c>
      <c r="AP464" s="574">
        <f ca="1">IF(Table_NFI[[#This Row],[Pcode]]="","",IF(OFFSET(CampList[Opening Date],MATCH(Table_NFI[[#This Row],[Pcode]],CampList[CP_Pcode],0)-1,0,1,1)&gt;=NFI_Monitor_Date,1,0))</f>
        <v>0</v>
      </c>
      <c r="AQ464" s="579" t="str">
        <f>IFERROR(VLOOKUP(Table_NFI[[#This Row],[Camp Name]],CL,3,0),"")</f>
        <v>Open</v>
      </c>
      <c r="AR464" s="378" t="str">
        <f ca="1">IF(Table_NFI[[#This Row],[Pcode]]="","",OFFSET(CampList[Priority],MATCH(Table_NFI[[#This Row],[Pcode]],CampList[CP_Pcode],0)-1,0,1,1))</f>
        <v>P4</v>
      </c>
      <c r="AS464" s="377">
        <f>IFERROR(Table_NFI[[#This Row],[Kitchen Set]]/VLOOKUP(Table_NFI[[#This Row],[Camp Name]],CL,4,0),"")</f>
        <v>3.1674208144796379E-2</v>
      </c>
      <c r="AT464" s="572" t="s">
        <v>1095</v>
      </c>
      <c r="AU464" s="575"/>
    </row>
    <row r="465" spans="1:47" s="576" customFormat="1" x14ac:dyDescent="0.25">
      <c r="A465" s="381">
        <f t="shared" si="7"/>
        <v>31</v>
      </c>
      <c r="B465" s="571">
        <v>41592</v>
      </c>
      <c r="C465" s="572" t="s">
        <v>454</v>
      </c>
      <c r="D465" s="572" t="s">
        <v>454</v>
      </c>
      <c r="E465" s="572" t="s">
        <v>380</v>
      </c>
      <c r="F465" s="374" t="s">
        <v>151</v>
      </c>
      <c r="G465" s="374" t="s">
        <v>152</v>
      </c>
      <c r="H465" s="375"/>
      <c r="I465" s="375"/>
      <c r="J465" s="375">
        <v>18</v>
      </c>
      <c r="K465" s="375">
        <v>31</v>
      </c>
      <c r="L465" s="376">
        <v>18</v>
      </c>
      <c r="M465" s="376">
        <v>31</v>
      </c>
      <c r="N465" s="376">
        <v>18</v>
      </c>
      <c r="O465" s="376">
        <v>18</v>
      </c>
      <c r="P465" s="378"/>
      <c r="Q465" s="378"/>
      <c r="R465" s="378"/>
      <c r="S465" s="378"/>
      <c r="T465" s="378"/>
      <c r="U465" s="378"/>
      <c r="V465" s="533"/>
      <c r="W465" s="378"/>
      <c r="X465" s="378"/>
      <c r="Y465" s="378">
        <f>IF(NFI_Expiration=1,IF($A465&lt;VLOOKUP(H$5,NFI,5,0),1,0)*Table_NFI[[#This Row],[Hygiene Kit]],Table_NFI[Hygiene Kit])</f>
        <v>0</v>
      </c>
      <c r="Z465" s="378">
        <f>IF(NFI_Expiration=1,IF($A465&lt;VLOOKUP(I$5,NFI,5,0),1,0)*Table_NFI[[#This Row],[NFI Core Kit]],Table_NFI[NFI Core Kit])</f>
        <v>0</v>
      </c>
      <c r="AA465" s="378">
        <f>IF(NFI_Expiration=1,IF($A465&lt;VLOOKUP(J$5,NFI,5,0),1,0)*Table_NFI[[#This Row],[Sanitary Kit]],Table_NFI[Sanitary Kit])</f>
        <v>0</v>
      </c>
      <c r="AB465" s="378">
        <f>IF(NFI_Expiration=1,IF($A465&lt;VLOOKUP(K$5,NFI,5,0),1,0)*Table_NFI[[#This Row],[Mosquito net]],Table_NFI[Mosquito net])</f>
        <v>0</v>
      </c>
      <c r="AC465" s="378">
        <f>IF(NFI_Expiration=1,IF($A465&lt;VLOOKUP(L$5,NFI,5,0),1,0)*Table_NFI[[#This Row],[Tarpaulin]],Table_NFI[[#This Row],[Tarpaulin]])</f>
        <v>0</v>
      </c>
      <c r="AD465" s="378">
        <f>IF(NFI_Expiration=1,IF($A465&lt;VLOOKUP(M$5,NFI,5,0),1,0)*Table_NFI[[#This Row],[Blanket]],Table_NFI[[#This Row],[Blanket]])</f>
        <v>0</v>
      </c>
      <c r="AE465" s="378">
        <f>IF(NFI_Expiration=1,IF($A465&lt;VLOOKUP(N$5,NFI,5,0),1,0)*Table_NFI[[#This Row],[Kitchen Set]],Table_NFI[Kitchen Set])</f>
        <v>0</v>
      </c>
      <c r="AF465" s="378">
        <f>IF(NFI_Expiration=1,IF($A465&lt;VLOOKUP(O$5,NFI,5,0),1,0)*Table_NFI[[#This Row],[Clothes Kit]],Table_NFI[Clothes Kit])</f>
        <v>0</v>
      </c>
      <c r="AG465" s="378">
        <f>IF(NFI_Expiration=1,IF($A465&lt;VLOOKUP(P$5,NFI,5,0),1,0)*Table_NFI[[#This Row],[Plastic Bucket]],Table_NFI[Plastic Bucket])</f>
        <v>0</v>
      </c>
      <c r="AH465" s="378">
        <f>IF(NFI_Expiration=1,IF($A465&lt;VLOOKUP(Q$5,NFI,5,0),1,0)*Table_NFI[[#This Row],[Plastic Mat]],Table_NFI[Plastic Mat])*IF(Table_NFI[[#This Row],[Distribution Date]]&gt;"2014-04-01",1,2.5)</f>
        <v>0</v>
      </c>
      <c r="AI465" s="378">
        <f>IF(NFI_Expiration=1,IF($A465&lt;VLOOKUP(R$5,NFI,5,0),1,0)*Table_NFI[[#This Row],[Winter Clothes Adult]],Table_NFI[Winter Clothes Adult])</f>
        <v>0</v>
      </c>
      <c r="AJ465" s="378">
        <f>IF(NFI_Expiration=1,IF($A465&lt;VLOOKUP(S$5,NFI,5,0),1,0)*Table_NFI[[#This Row],[Winter Clothes Children]],Table_NFI[Winter Clothes Children])</f>
        <v>0</v>
      </c>
      <c r="AK465" s="378">
        <f>IF(NFI_Expiration=1,IF($A465&lt;VLOOKUP(T$5,NFI,5,0),1,0)*Table_NFI[[#This Row],[Winter Items Other]],Table_NFI[Winter Items Other])</f>
        <v>0</v>
      </c>
      <c r="AL465" s="378">
        <f>IF(NFI_Expiration=1,IF($A465&lt;VLOOKUP(M$5,NFI,5,0),1,0)*Table_NFI[[#This Row],[Winter Blanket]],Table_NFI[[#This Row],[Winter Blanket]])</f>
        <v>0</v>
      </c>
      <c r="AM465" s="378">
        <f>IF(Table_NFI[[#This Row],[Winter Clothes Adult]]+Table_NFI[[#This Row],[Winter Clothes Children]]+Table_NFI[[#This Row],[Winter Items Other]]+Table_NFI[[#This Row],[Winter Blanket]]&gt;0,1,0)</f>
        <v>0</v>
      </c>
      <c r="AN465" s="418">
        <f>IF(NFI_Expiration=1,IF($A465&lt;VLOOKUP(V$5,NFI,5,0),1,0)*Table_NFI[[#This Row],[Jerry Can]],Table_NFI[Jerry Can])</f>
        <v>0</v>
      </c>
      <c r="AO465" s="579" t="str">
        <f>IFERROR(VLOOKUP(Table_NFI[[#This Row],[Camp Name]],CL,2,0),"")</f>
        <v>MMR001CMP066</v>
      </c>
      <c r="AP465" s="574">
        <f ca="1">IF(Table_NFI[[#This Row],[Pcode]]="","",IF(OFFSET(CampList[Opening Date],MATCH(Table_NFI[[#This Row],[Pcode]],CampList[CP_Pcode],0)-1,0,1,1)&gt;=NFI_Monitor_Date,1,0))</f>
        <v>0</v>
      </c>
      <c r="AQ465" s="579" t="str">
        <f>IFERROR(VLOOKUP(Table_NFI[[#This Row],[Camp Name]],CL,3,0),"")</f>
        <v>Open</v>
      </c>
      <c r="AR465" s="378" t="str">
        <f ca="1">IF(Table_NFI[[#This Row],[Pcode]]="","",OFFSET(CampList[Priority],MATCH(Table_NFI[[#This Row],[Pcode]],CampList[CP_Pcode],0)-1,0,1,1))</f>
        <v>P4</v>
      </c>
      <c r="AS465" s="377">
        <f>IFERROR(Table_NFI[[#This Row],[Kitchen Set]]/VLOOKUP(Table_NFI[[#This Row],[Camp Name]],CL,4,0),"")</f>
        <v>8.1447963800904979E-2</v>
      </c>
      <c r="AT465" s="572" t="s">
        <v>1095</v>
      </c>
      <c r="AU465" s="575"/>
    </row>
    <row r="466" spans="1:47" s="576" customFormat="1" x14ac:dyDescent="0.25">
      <c r="A466" s="381">
        <f t="shared" si="7"/>
        <v>31.3</v>
      </c>
      <c r="B466" s="571">
        <v>41583</v>
      </c>
      <c r="C466" s="572" t="s">
        <v>454</v>
      </c>
      <c r="D466" s="572" t="s">
        <v>454</v>
      </c>
      <c r="E466" s="572" t="s">
        <v>380</v>
      </c>
      <c r="F466" s="374" t="s">
        <v>151</v>
      </c>
      <c r="G466" s="374" t="s">
        <v>152</v>
      </c>
      <c r="H466" s="375"/>
      <c r="I466" s="375"/>
      <c r="J466" s="375">
        <v>60</v>
      </c>
      <c r="K466" s="375">
        <v>54</v>
      </c>
      <c r="L466" s="376">
        <v>30</v>
      </c>
      <c r="M466" s="376">
        <v>54</v>
      </c>
      <c r="N466" s="376">
        <v>30</v>
      </c>
      <c r="O466" s="376">
        <v>30</v>
      </c>
      <c r="P466" s="378"/>
      <c r="Q466" s="378"/>
      <c r="R466" s="378"/>
      <c r="S466" s="378"/>
      <c r="T466" s="378"/>
      <c r="U466" s="378"/>
      <c r="V466" s="533"/>
      <c r="W466" s="378"/>
      <c r="X466" s="378"/>
      <c r="Y466" s="378">
        <f>IF(NFI_Expiration=1,IF($A466&lt;VLOOKUP(H$5,NFI,5,0),1,0)*Table_NFI[[#This Row],[Hygiene Kit]],Table_NFI[Hygiene Kit])</f>
        <v>0</v>
      </c>
      <c r="Z466" s="378">
        <f>IF(NFI_Expiration=1,IF($A466&lt;VLOOKUP(I$5,NFI,5,0),1,0)*Table_NFI[[#This Row],[NFI Core Kit]],Table_NFI[NFI Core Kit])</f>
        <v>0</v>
      </c>
      <c r="AA466" s="378">
        <f>IF(NFI_Expiration=1,IF($A466&lt;VLOOKUP(J$5,NFI,5,0),1,0)*Table_NFI[[#This Row],[Sanitary Kit]],Table_NFI[Sanitary Kit])</f>
        <v>0</v>
      </c>
      <c r="AB466" s="378">
        <f>IF(NFI_Expiration=1,IF($A466&lt;VLOOKUP(K$5,NFI,5,0),1,0)*Table_NFI[[#This Row],[Mosquito net]],Table_NFI[Mosquito net])</f>
        <v>0</v>
      </c>
      <c r="AC466" s="378">
        <f>IF(NFI_Expiration=1,IF($A466&lt;VLOOKUP(L$5,NFI,5,0),1,0)*Table_NFI[[#This Row],[Tarpaulin]],Table_NFI[[#This Row],[Tarpaulin]])</f>
        <v>0</v>
      </c>
      <c r="AD466" s="378">
        <f>IF(NFI_Expiration=1,IF($A466&lt;VLOOKUP(M$5,NFI,5,0),1,0)*Table_NFI[[#This Row],[Blanket]],Table_NFI[[#This Row],[Blanket]])</f>
        <v>0</v>
      </c>
      <c r="AE466" s="378">
        <f>IF(NFI_Expiration=1,IF($A466&lt;VLOOKUP(N$5,NFI,5,0),1,0)*Table_NFI[[#This Row],[Kitchen Set]],Table_NFI[Kitchen Set])</f>
        <v>0</v>
      </c>
      <c r="AF466" s="378">
        <f>IF(NFI_Expiration=1,IF($A466&lt;VLOOKUP(O$5,NFI,5,0),1,0)*Table_NFI[[#This Row],[Clothes Kit]],Table_NFI[Clothes Kit])</f>
        <v>0</v>
      </c>
      <c r="AG466" s="378">
        <f>IF(NFI_Expiration=1,IF($A466&lt;VLOOKUP(P$5,NFI,5,0),1,0)*Table_NFI[[#This Row],[Plastic Bucket]],Table_NFI[Plastic Bucket])</f>
        <v>0</v>
      </c>
      <c r="AH466" s="378">
        <f>IF(NFI_Expiration=1,IF($A466&lt;VLOOKUP(Q$5,NFI,5,0),1,0)*Table_NFI[[#This Row],[Plastic Mat]],Table_NFI[Plastic Mat])*IF(Table_NFI[[#This Row],[Distribution Date]]&gt;"2014-04-01",1,2.5)</f>
        <v>0</v>
      </c>
      <c r="AI466" s="378">
        <f>IF(NFI_Expiration=1,IF($A466&lt;VLOOKUP(R$5,NFI,5,0),1,0)*Table_NFI[[#This Row],[Winter Clothes Adult]],Table_NFI[Winter Clothes Adult])</f>
        <v>0</v>
      </c>
      <c r="AJ466" s="378">
        <f>IF(NFI_Expiration=1,IF($A466&lt;VLOOKUP(S$5,NFI,5,0),1,0)*Table_NFI[[#This Row],[Winter Clothes Children]],Table_NFI[Winter Clothes Children])</f>
        <v>0</v>
      </c>
      <c r="AK466" s="378">
        <f>IF(NFI_Expiration=1,IF($A466&lt;VLOOKUP(T$5,NFI,5,0),1,0)*Table_NFI[[#This Row],[Winter Items Other]],Table_NFI[Winter Items Other])</f>
        <v>0</v>
      </c>
      <c r="AL466" s="378">
        <f>IF(NFI_Expiration=1,IF($A466&lt;VLOOKUP(M$5,NFI,5,0),1,0)*Table_NFI[[#This Row],[Winter Blanket]],Table_NFI[[#This Row],[Winter Blanket]])</f>
        <v>0</v>
      </c>
      <c r="AM466" s="378">
        <f>IF(Table_NFI[[#This Row],[Winter Clothes Adult]]+Table_NFI[[#This Row],[Winter Clothes Children]]+Table_NFI[[#This Row],[Winter Items Other]]+Table_NFI[[#This Row],[Winter Blanket]]&gt;0,1,0)</f>
        <v>0</v>
      </c>
      <c r="AN466" s="418">
        <f>IF(NFI_Expiration=1,IF($A466&lt;VLOOKUP(V$5,NFI,5,0),1,0)*Table_NFI[[#This Row],[Jerry Can]],Table_NFI[Jerry Can])</f>
        <v>0</v>
      </c>
      <c r="AO466" s="579" t="str">
        <f>IFERROR(VLOOKUP(Table_NFI[[#This Row],[Camp Name]],CL,2,0),"")</f>
        <v>MMR001CMP066</v>
      </c>
      <c r="AP466" s="574">
        <f ca="1">IF(Table_NFI[[#This Row],[Pcode]]="","",IF(OFFSET(CampList[Opening Date],MATCH(Table_NFI[[#This Row],[Pcode]],CampList[CP_Pcode],0)-1,0,1,1)&gt;=NFI_Monitor_Date,1,0))</f>
        <v>0</v>
      </c>
      <c r="AQ466" s="579" t="str">
        <f>IFERROR(VLOOKUP(Table_NFI[[#This Row],[Camp Name]],CL,3,0),"")</f>
        <v>Open</v>
      </c>
      <c r="AR466" s="378" t="str">
        <f ca="1">IF(Table_NFI[[#This Row],[Pcode]]="","",OFFSET(CampList[Priority],MATCH(Table_NFI[[#This Row],[Pcode]],CampList[CP_Pcode],0)-1,0,1,1))</f>
        <v>P4</v>
      </c>
      <c r="AS466" s="377">
        <f>IFERROR(Table_NFI[[#This Row],[Kitchen Set]]/VLOOKUP(Table_NFI[[#This Row],[Camp Name]],CL,4,0),"")</f>
        <v>0.13574660633484162</v>
      </c>
      <c r="AT466" s="572" t="s">
        <v>1095</v>
      </c>
      <c r="AU466" s="575"/>
    </row>
    <row r="467" spans="1:47" s="576" customFormat="1" x14ac:dyDescent="0.25">
      <c r="A467" s="381">
        <f t="shared" si="7"/>
        <v>31.366666666666667</v>
      </c>
      <c r="B467" s="571">
        <v>41581</v>
      </c>
      <c r="C467" s="572" t="s">
        <v>903</v>
      </c>
      <c r="D467" s="573" t="s">
        <v>903</v>
      </c>
      <c r="E467" s="572" t="s">
        <v>380</v>
      </c>
      <c r="F467" s="374" t="s">
        <v>151</v>
      </c>
      <c r="G467" s="374" t="s">
        <v>152</v>
      </c>
      <c r="H467" s="375"/>
      <c r="I467" s="375"/>
      <c r="J467" s="375">
        <v>29</v>
      </c>
      <c r="K467" s="375"/>
      <c r="L467" s="376"/>
      <c r="M467" s="376"/>
      <c r="N467" s="376">
        <v>29</v>
      </c>
      <c r="O467" s="376"/>
      <c r="P467" s="378"/>
      <c r="Q467" s="378"/>
      <c r="R467" s="378"/>
      <c r="S467" s="378"/>
      <c r="T467" s="378"/>
      <c r="U467" s="378"/>
      <c r="V467" s="533"/>
      <c r="W467" s="378"/>
      <c r="X467" s="378"/>
      <c r="Y467" s="378">
        <f>IF(NFI_Expiration=1,IF($A467&lt;VLOOKUP(H$5,NFI,5,0),1,0)*Table_NFI[[#This Row],[Hygiene Kit]],Table_NFI[Hygiene Kit])</f>
        <v>0</v>
      </c>
      <c r="Z467" s="378">
        <f>IF(NFI_Expiration=1,IF($A467&lt;VLOOKUP(I$5,NFI,5,0),1,0)*Table_NFI[[#This Row],[NFI Core Kit]],Table_NFI[NFI Core Kit])</f>
        <v>0</v>
      </c>
      <c r="AA467" s="378">
        <f>IF(NFI_Expiration=1,IF($A467&lt;VLOOKUP(J$5,NFI,5,0),1,0)*Table_NFI[[#This Row],[Sanitary Kit]],Table_NFI[Sanitary Kit])</f>
        <v>0</v>
      </c>
      <c r="AB467" s="378">
        <f>IF(NFI_Expiration=1,IF($A467&lt;VLOOKUP(K$5,NFI,5,0),1,0)*Table_NFI[[#This Row],[Mosquito net]],Table_NFI[Mosquito net])</f>
        <v>0</v>
      </c>
      <c r="AC467" s="378">
        <f>IF(NFI_Expiration=1,IF($A467&lt;VLOOKUP(L$5,NFI,5,0),1,0)*Table_NFI[[#This Row],[Tarpaulin]],Table_NFI[[#This Row],[Tarpaulin]])</f>
        <v>0</v>
      </c>
      <c r="AD467" s="378">
        <f>IF(NFI_Expiration=1,IF($A467&lt;VLOOKUP(M$5,NFI,5,0),1,0)*Table_NFI[[#This Row],[Blanket]],Table_NFI[[#This Row],[Blanket]])</f>
        <v>0</v>
      </c>
      <c r="AE467" s="378">
        <f>IF(NFI_Expiration=1,IF($A467&lt;VLOOKUP(N$5,NFI,5,0),1,0)*Table_NFI[[#This Row],[Kitchen Set]],Table_NFI[Kitchen Set])</f>
        <v>0</v>
      </c>
      <c r="AF467" s="378">
        <f>IF(NFI_Expiration=1,IF($A467&lt;VLOOKUP(O$5,NFI,5,0),1,0)*Table_NFI[[#This Row],[Clothes Kit]],Table_NFI[Clothes Kit])</f>
        <v>0</v>
      </c>
      <c r="AG467" s="378">
        <f>IF(NFI_Expiration=1,IF($A467&lt;VLOOKUP(P$5,NFI,5,0),1,0)*Table_NFI[[#This Row],[Plastic Bucket]],Table_NFI[Plastic Bucket])</f>
        <v>0</v>
      </c>
      <c r="AH467" s="378">
        <f>IF(NFI_Expiration=1,IF($A467&lt;VLOOKUP(Q$5,NFI,5,0),1,0)*Table_NFI[[#This Row],[Plastic Mat]],Table_NFI[Plastic Mat])*IF(Table_NFI[[#This Row],[Distribution Date]]&gt;"2014-04-01",1,2.5)</f>
        <v>0</v>
      </c>
      <c r="AI467" s="378">
        <f>IF(NFI_Expiration=1,IF($A467&lt;VLOOKUP(R$5,NFI,5,0),1,0)*Table_NFI[[#This Row],[Winter Clothes Adult]],Table_NFI[Winter Clothes Adult])</f>
        <v>0</v>
      </c>
      <c r="AJ467" s="378">
        <f>IF(NFI_Expiration=1,IF($A467&lt;VLOOKUP(S$5,NFI,5,0),1,0)*Table_NFI[[#This Row],[Winter Clothes Children]],Table_NFI[Winter Clothes Children])</f>
        <v>0</v>
      </c>
      <c r="AK467" s="378">
        <f>IF(NFI_Expiration=1,IF($A467&lt;VLOOKUP(T$5,NFI,5,0),1,0)*Table_NFI[[#This Row],[Winter Items Other]],Table_NFI[Winter Items Other])</f>
        <v>0</v>
      </c>
      <c r="AL467" s="378">
        <f>IF(NFI_Expiration=1,IF($A467&lt;VLOOKUP(M$5,NFI,5,0),1,0)*Table_NFI[[#This Row],[Winter Blanket]],Table_NFI[[#This Row],[Winter Blanket]])</f>
        <v>0</v>
      </c>
      <c r="AM467" s="378">
        <f>IF(Table_NFI[[#This Row],[Winter Clothes Adult]]+Table_NFI[[#This Row],[Winter Clothes Children]]+Table_NFI[[#This Row],[Winter Items Other]]+Table_NFI[[#This Row],[Winter Blanket]]&gt;0,1,0)</f>
        <v>0</v>
      </c>
      <c r="AN467" s="418">
        <f>IF(NFI_Expiration=1,IF($A467&lt;VLOOKUP(V$5,NFI,5,0),1,0)*Table_NFI[[#This Row],[Jerry Can]],Table_NFI[Jerry Can])</f>
        <v>0</v>
      </c>
      <c r="AO467" s="579" t="str">
        <f>IFERROR(VLOOKUP(Table_NFI[[#This Row],[Camp Name]],CL,2,0),"")</f>
        <v>MMR001CMP066</v>
      </c>
      <c r="AP467" s="574">
        <f ca="1">IF(Table_NFI[[#This Row],[Pcode]]="","",IF(OFFSET(CampList[Opening Date],MATCH(Table_NFI[[#This Row],[Pcode]],CampList[CP_Pcode],0)-1,0,1,1)&gt;=NFI_Monitor_Date,1,0))</f>
        <v>0</v>
      </c>
      <c r="AQ467" s="579" t="str">
        <f>IFERROR(VLOOKUP(Table_NFI[[#This Row],[Camp Name]],CL,3,0),"")</f>
        <v>Open</v>
      </c>
      <c r="AR467" s="378" t="str">
        <f ca="1">IF(Table_NFI[[#This Row],[Pcode]]="","",OFFSET(CampList[Priority],MATCH(Table_NFI[[#This Row],[Pcode]],CampList[CP_Pcode],0)-1,0,1,1))</f>
        <v>P4</v>
      </c>
      <c r="AS467" s="377">
        <f>IFERROR(Table_NFI[[#This Row],[Kitchen Set]]/VLOOKUP(Table_NFI[[#This Row],[Camp Name]],CL,4,0),"")</f>
        <v>0.13122171945701358</v>
      </c>
      <c r="AT467" s="572" t="s">
        <v>1095</v>
      </c>
      <c r="AU467" s="575"/>
    </row>
    <row r="468" spans="1:47" s="576" customFormat="1" x14ac:dyDescent="0.25">
      <c r="A468" s="381">
        <f t="shared" si="7"/>
        <v>41.4</v>
      </c>
      <c r="B468" s="571">
        <v>41280</v>
      </c>
      <c r="C468" s="572" t="s">
        <v>908</v>
      </c>
      <c r="D468" s="573" t="s">
        <v>908</v>
      </c>
      <c r="E468" s="572" t="s">
        <v>380</v>
      </c>
      <c r="F468" s="374" t="s">
        <v>151</v>
      </c>
      <c r="G468" s="374" t="s">
        <v>152</v>
      </c>
      <c r="H468" s="375">
        <v>351</v>
      </c>
      <c r="I468" s="375"/>
      <c r="J468" s="375">
        <v>415</v>
      </c>
      <c r="K468" s="375"/>
      <c r="L468" s="376"/>
      <c r="M468" s="376"/>
      <c r="N468" s="376"/>
      <c r="O468" s="376"/>
      <c r="P468" s="378">
        <v>0</v>
      </c>
      <c r="Q468" s="378">
        <v>0</v>
      </c>
      <c r="R468" s="378"/>
      <c r="S468" s="378"/>
      <c r="T468" s="378"/>
      <c r="U468" s="378"/>
      <c r="V468" s="533"/>
      <c r="W468" s="378"/>
      <c r="X468" s="378"/>
      <c r="Y468" s="378">
        <f>IF(NFI_Expiration=1,IF($A468&lt;VLOOKUP(H$5,NFI,5,0),1,0)*Table_NFI[[#This Row],[Hygiene Kit]],Table_NFI[Hygiene Kit])</f>
        <v>0</v>
      </c>
      <c r="Z468" s="378">
        <f>IF(NFI_Expiration=1,IF($A468&lt;VLOOKUP(I$5,NFI,5,0),1,0)*Table_NFI[[#This Row],[NFI Core Kit]],Table_NFI[NFI Core Kit])</f>
        <v>0</v>
      </c>
      <c r="AA468" s="378">
        <f>IF(NFI_Expiration=1,IF($A468&lt;VLOOKUP(J$5,NFI,5,0),1,0)*Table_NFI[[#This Row],[Sanitary Kit]],Table_NFI[Sanitary Kit])</f>
        <v>0</v>
      </c>
      <c r="AB468" s="378">
        <f>IF(NFI_Expiration=1,IF($A468&lt;VLOOKUP(K$5,NFI,5,0),1,0)*Table_NFI[[#This Row],[Mosquito net]],Table_NFI[Mosquito net])</f>
        <v>0</v>
      </c>
      <c r="AC468" s="378">
        <f>IF(NFI_Expiration=1,IF($A468&lt;VLOOKUP(L$5,NFI,5,0),1,0)*Table_NFI[[#This Row],[Tarpaulin]],Table_NFI[[#This Row],[Tarpaulin]])</f>
        <v>0</v>
      </c>
      <c r="AD468" s="378">
        <f>IF(NFI_Expiration=1,IF($A468&lt;VLOOKUP(M$5,NFI,5,0),1,0)*Table_NFI[[#This Row],[Blanket]],Table_NFI[[#This Row],[Blanket]])</f>
        <v>0</v>
      </c>
      <c r="AE468" s="378">
        <f>IF(NFI_Expiration=1,IF($A468&lt;VLOOKUP(N$5,NFI,5,0),1,0)*Table_NFI[[#This Row],[Kitchen Set]],Table_NFI[Kitchen Set])</f>
        <v>0</v>
      </c>
      <c r="AF468" s="378">
        <f>IF(NFI_Expiration=1,IF($A468&lt;VLOOKUP(O$5,NFI,5,0),1,0)*Table_NFI[[#This Row],[Clothes Kit]],Table_NFI[Clothes Kit])</f>
        <v>0</v>
      </c>
      <c r="AG468" s="378">
        <f>IF(NFI_Expiration=1,IF($A468&lt;VLOOKUP(P$5,NFI,5,0),1,0)*Table_NFI[[#This Row],[Plastic Bucket]],Table_NFI[Plastic Bucket])</f>
        <v>0</v>
      </c>
      <c r="AH468" s="378">
        <f>IF(NFI_Expiration=1,IF($A468&lt;VLOOKUP(Q$5,NFI,5,0),1,0)*Table_NFI[[#This Row],[Plastic Mat]],Table_NFI[Plastic Mat])*IF(Table_NFI[[#This Row],[Distribution Date]]&gt;"2014-04-01",1,2.5)</f>
        <v>0</v>
      </c>
      <c r="AI468" s="378">
        <f>IF(NFI_Expiration=1,IF($A468&lt;VLOOKUP(R$5,NFI,5,0),1,0)*Table_NFI[[#This Row],[Winter Clothes Adult]],Table_NFI[Winter Clothes Adult])</f>
        <v>0</v>
      </c>
      <c r="AJ468" s="378">
        <f>IF(NFI_Expiration=1,IF($A468&lt;VLOOKUP(S$5,NFI,5,0),1,0)*Table_NFI[[#This Row],[Winter Clothes Children]],Table_NFI[Winter Clothes Children])</f>
        <v>0</v>
      </c>
      <c r="AK468" s="378">
        <f>IF(NFI_Expiration=1,IF($A468&lt;VLOOKUP(T$5,NFI,5,0),1,0)*Table_NFI[[#This Row],[Winter Items Other]],Table_NFI[Winter Items Other])</f>
        <v>0</v>
      </c>
      <c r="AL468" s="378">
        <f>IF(NFI_Expiration=1,IF($A468&lt;VLOOKUP(M$5,NFI,5,0),1,0)*Table_NFI[[#This Row],[Winter Blanket]],Table_NFI[[#This Row],[Winter Blanket]])</f>
        <v>0</v>
      </c>
      <c r="AM468" s="378">
        <f>IF(Table_NFI[[#This Row],[Winter Clothes Adult]]+Table_NFI[[#This Row],[Winter Clothes Children]]+Table_NFI[[#This Row],[Winter Items Other]]+Table_NFI[[#This Row],[Winter Blanket]]&gt;0,1,0)</f>
        <v>0</v>
      </c>
      <c r="AN468" s="418">
        <f>IF(NFI_Expiration=1,IF($A468&lt;VLOOKUP(V$5,NFI,5,0),1,0)*Table_NFI[[#This Row],[Jerry Can]],Table_NFI[Jerry Can])</f>
        <v>0</v>
      </c>
      <c r="AO468" s="579" t="str">
        <f>IFERROR(VLOOKUP(Table_NFI[[#This Row],[Camp Name]],CL,2,0),"")</f>
        <v>MMR001CMP066</v>
      </c>
      <c r="AP468" s="574">
        <f ca="1">IF(Table_NFI[[#This Row],[Pcode]]="","",IF(OFFSET(CampList[Opening Date],MATCH(Table_NFI[[#This Row],[Pcode]],CampList[CP_Pcode],0)-1,0,1,1)&gt;=NFI_Monitor_Date,1,0))</f>
        <v>0</v>
      </c>
      <c r="AQ468" s="579" t="str">
        <f>IFERROR(VLOOKUP(Table_NFI[[#This Row],[Camp Name]],CL,3,0),"")</f>
        <v>Open</v>
      </c>
      <c r="AR468" s="378" t="str">
        <f ca="1">IF(Table_NFI[[#This Row],[Pcode]]="","",OFFSET(CampList[Priority],MATCH(Table_NFI[[#This Row],[Pcode]],CampList[CP_Pcode],0)-1,0,1,1))</f>
        <v>P4</v>
      </c>
      <c r="AS468" s="377">
        <f>IFERROR(Table_NFI[[#This Row],[Kitchen Set]]/VLOOKUP(Table_NFI[[#This Row],[Camp Name]],CL,4,0),"")</f>
        <v>0</v>
      </c>
      <c r="AT468" s="572" t="s">
        <v>1095</v>
      </c>
      <c r="AU468" s="575"/>
    </row>
    <row r="469" spans="1:47" s="576" customFormat="1" x14ac:dyDescent="0.25">
      <c r="A469" s="381">
        <f t="shared" si="7"/>
        <v>46.466666666666669</v>
      </c>
      <c r="B469" s="571">
        <v>41128</v>
      </c>
      <c r="C469" s="572" t="s">
        <v>454</v>
      </c>
      <c r="D469" s="573" t="s">
        <v>575</v>
      </c>
      <c r="E469" s="572" t="s">
        <v>380</v>
      </c>
      <c r="F469" s="374" t="s">
        <v>151</v>
      </c>
      <c r="G469" s="374" t="s">
        <v>152</v>
      </c>
      <c r="H469" s="375"/>
      <c r="I469" s="375"/>
      <c r="J469" s="375"/>
      <c r="K469" s="375">
        <v>0</v>
      </c>
      <c r="L469" s="376">
        <v>73</v>
      </c>
      <c r="M469" s="376">
        <v>0</v>
      </c>
      <c r="N469" s="376">
        <v>73</v>
      </c>
      <c r="O469" s="376">
        <v>73</v>
      </c>
      <c r="P469" s="378">
        <v>73</v>
      </c>
      <c r="Q469" s="378">
        <v>73</v>
      </c>
      <c r="R469" s="378"/>
      <c r="S469" s="378"/>
      <c r="T469" s="378"/>
      <c r="U469" s="378"/>
      <c r="V469" s="533"/>
      <c r="W469" s="378"/>
      <c r="X469" s="378"/>
      <c r="Y469" s="378">
        <f>IF(NFI_Expiration=1,IF($A469&lt;VLOOKUP(H$5,NFI,5,0),1,0)*Table_NFI[[#This Row],[Hygiene Kit]],Table_NFI[Hygiene Kit])</f>
        <v>0</v>
      </c>
      <c r="Z469" s="378">
        <f>IF(NFI_Expiration=1,IF($A469&lt;VLOOKUP(I$5,NFI,5,0),1,0)*Table_NFI[[#This Row],[NFI Core Kit]],Table_NFI[NFI Core Kit])</f>
        <v>0</v>
      </c>
      <c r="AA469" s="378">
        <f>IF(NFI_Expiration=1,IF($A469&lt;VLOOKUP(J$5,NFI,5,0),1,0)*Table_NFI[[#This Row],[Sanitary Kit]],Table_NFI[Sanitary Kit])</f>
        <v>0</v>
      </c>
      <c r="AB469" s="378">
        <f>IF(NFI_Expiration=1,IF($A469&lt;VLOOKUP(K$5,NFI,5,0),1,0)*Table_NFI[[#This Row],[Mosquito net]],Table_NFI[Mosquito net])</f>
        <v>0</v>
      </c>
      <c r="AC469" s="378">
        <f>IF(NFI_Expiration=1,IF($A469&lt;VLOOKUP(L$5,NFI,5,0),1,0)*Table_NFI[[#This Row],[Tarpaulin]],Table_NFI[[#This Row],[Tarpaulin]])</f>
        <v>0</v>
      </c>
      <c r="AD469" s="378">
        <f>IF(NFI_Expiration=1,IF($A469&lt;VLOOKUP(M$5,NFI,5,0),1,0)*Table_NFI[[#This Row],[Blanket]],Table_NFI[[#This Row],[Blanket]])</f>
        <v>0</v>
      </c>
      <c r="AE469" s="378">
        <f>IF(NFI_Expiration=1,IF($A469&lt;VLOOKUP(N$5,NFI,5,0),1,0)*Table_NFI[[#This Row],[Kitchen Set]],Table_NFI[Kitchen Set])</f>
        <v>0</v>
      </c>
      <c r="AF469" s="378">
        <f>IF(NFI_Expiration=1,IF($A469&lt;VLOOKUP(O$5,NFI,5,0),1,0)*Table_NFI[[#This Row],[Clothes Kit]],Table_NFI[Clothes Kit])</f>
        <v>0</v>
      </c>
      <c r="AG469" s="378">
        <f>IF(NFI_Expiration=1,IF($A469&lt;VLOOKUP(P$5,NFI,5,0),1,0)*Table_NFI[[#This Row],[Plastic Bucket]],Table_NFI[Plastic Bucket])</f>
        <v>0</v>
      </c>
      <c r="AH469" s="378">
        <f>IF(NFI_Expiration=1,IF($A469&lt;VLOOKUP(Q$5,NFI,5,0),1,0)*Table_NFI[[#This Row],[Plastic Mat]],Table_NFI[Plastic Mat])*IF(Table_NFI[[#This Row],[Distribution Date]]&gt;"2014-04-01",1,2.5)</f>
        <v>0</v>
      </c>
      <c r="AI469" s="378">
        <f>IF(NFI_Expiration=1,IF($A469&lt;VLOOKUP(R$5,NFI,5,0),1,0)*Table_NFI[[#This Row],[Winter Clothes Adult]],Table_NFI[Winter Clothes Adult])</f>
        <v>0</v>
      </c>
      <c r="AJ469" s="378">
        <f>IF(NFI_Expiration=1,IF($A469&lt;VLOOKUP(S$5,NFI,5,0),1,0)*Table_NFI[[#This Row],[Winter Clothes Children]],Table_NFI[Winter Clothes Children])</f>
        <v>0</v>
      </c>
      <c r="AK469" s="378">
        <f>IF(NFI_Expiration=1,IF($A469&lt;VLOOKUP(T$5,NFI,5,0),1,0)*Table_NFI[[#This Row],[Winter Items Other]],Table_NFI[Winter Items Other])</f>
        <v>0</v>
      </c>
      <c r="AL469" s="378">
        <f>IF(NFI_Expiration=1,IF($A469&lt;VLOOKUP(M$5,NFI,5,0),1,0)*Table_NFI[[#This Row],[Winter Blanket]],Table_NFI[[#This Row],[Winter Blanket]])</f>
        <v>0</v>
      </c>
      <c r="AM469" s="378">
        <f>IF(Table_NFI[[#This Row],[Winter Clothes Adult]]+Table_NFI[[#This Row],[Winter Clothes Children]]+Table_NFI[[#This Row],[Winter Items Other]]+Table_NFI[[#This Row],[Winter Blanket]]&gt;0,1,0)</f>
        <v>0</v>
      </c>
      <c r="AN469" s="418">
        <f>IF(NFI_Expiration=1,IF($A469&lt;VLOOKUP(V$5,NFI,5,0),1,0)*Table_NFI[[#This Row],[Jerry Can]],Table_NFI[Jerry Can])</f>
        <v>0</v>
      </c>
      <c r="AO469" s="579" t="str">
        <f>IFERROR(VLOOKUP(Table_NFI[[#This Row],[Camp Name]],CL,2,0),"")</f>
        <v>MMR001CMP066</v>
      </c>
      <c r="AP469" s="574">
        <f ca="1">IF(Table_NFI[[#This Row],[Pcode]]="","",IF(OFFSET(CampList[Opening Date],MATCH(Table_NFI[[#This Row],[Pcode]],CampList[CP_Pcode],0)-1,0,1,1)&gt;=NFI_Monitor_Date,1,0))</f>
        <v>0</v>
      </c>
      <c r="AQ469" s="579" t="str">
        <f>IFERROR(VLOOKUP(Table_NFI[[#This Row],[Camp Name]],CL,3,0),"")</f>
        <v>Open</v>
      </c>
      <c r="AR469" s="378" t="str">
        <f ca="1">IF(Table_NFI[[#This Row],[Pcode]]="","",OFFSET(CampList[Priority],MATCH(Table_NFI[[#This Row],[Pcode]],CampList[CP_Pcode],0)-1,0,1,1))</f>
        <v>P4</v>
      </c>
      <c r="AS469" s="377">
        <f>IFERROR(Table_NFI[[#This Row],[Kitchen Set]]/VLOOKUP(Table_NFI[[#This Row],[Camp Name]],CL,4,0),"")</f>
        <v>0.33031674208144796</v>
      </c>
      <c r="AT469" s="572" t="s">
        <v>1095</v>
      </c>
      <c r="AU469" s="575"/>
    </row>
    <row r="470" spans="1:47" s="576" customFormat="1" x14ac:dyDescent="0.25">
      <c r="A470" s="381">
        <f t="shared" si="7"/>
        <v>36.866666666666667</v>
      </c>
      <c r="B470" s="571">
        <v>41416</v>
      </c>
      <c r="C470" s="572" t="s">
        <v>454</v>
      </c>
      <c r="D470" s="572" t="s">
        <v>454</v>
      </c>
      <c r="E470" s="572" t="s">
        <v>380</v>
      </c>
      <c r="F470" s="374" t="s">
        <v>529</v>
      </c>
      <c r="G470" s="374" t="s">
        <v>54</v>
      </c>
      <c r="H470" s="375"/>
      <c r="I470" s="375"/>
      <c r="J470" s="375">
        <v>48</v>
      </c>
      <c r="K470" s="375">
        <v>74</v>
      </c>
      <c r="L470" s="376">
        <v>31</v>
      </c>
      <c r="M470" s="376">
        <v>74</v>
      </c>
      <c r="N470" s="376">
        <v>31</v>
      </c>
      <c r="O470" s="376">
        <v>31</v>
      </c>
      <c r="P470" s="378">
        <v>31</v>
      </c>
      <c r="Q470" s="378">
        <v>31</v>
      </c>
      <c r="R470" s="378"/>
      <c r="S470" s="378"/>
      <c r="T470" s="378"/>
      <c r="U470" s="378"/>
      <c r="V470" s="533"/>
      <c r="W470" s="378"/>
      <c r="X470" s="378"/>
      <c r="Y470" s="378">
        <f>IF(NFI_Expiration=1,IF($A470&lt;VLOOKUP(H$5,NFI,5,0),1,0)*Table_NFI[[#This Row],[Hygiene Kit]],Table_NFI[Hygiene Kit])</f>
        <v>0</v>
      </c>
      <c r="Z470" s="378">
        <f>IF(NFI_Expiration=1,IF($A470&lt;VLOOKUP(I$5,NFI,5,0),1,0)*Table_NFI[[#This Row],[NFI Core Kit]],Table_NFI[NFI Core Kit])</f>
        <v>0</v>
      </c>
      <c r="AA470" s="378">
        <f>IF(NFI_Expiration=1,IF($A470&lt;VLOOKUP(J$5,NFI,5,0),1,0)*Table_NFI[[#This Row],[Sanitary Kit]],Table_NFI[Sanitary Kit])</f>
        <v>0</v>
      </c>
      <c r="AB470" s="378">
        <f>IF(NFI_Expiration=1,IF($A470&lt;VLOOKUP(K$5,NFI,5,0),1,0)*Table_NFI[[#This Row],[Mosquito net]],Table_NFI[Mosquito net])</f>
        <v>0</v>
      </c>
      <c r="AC470" s="378">
        <f>IF(NFI_Expiration=1,IF($A470&lt;VLOOKUP(L$5,NFI,5,0),1,0)*Table_NFI[[#This Row],[Tarpaulin]],Table_NFI[[#This Row],[Tarpaulin]])</f>
        <v>0</v>
      </c>
      <c r="AD470" s="378">
        <f>IF(NFI_Expiration=1,IF($A470&lt;VLOOKUP(M$5,NFI,5,0),1,0)*Table_NFI[[#This Row],[Blanket]],Table_NFI[[#This Row],[Blanket]])</f>
        <v>0</v>
      </c>
      <c r="AE470" s="378">
        <f>IF(NFI_Expiration=1,IF($A470&lt;VLOOKUP(N$5,NFI,5,0),1,0)*Table_NFI[[#This Row],[Kitchen Set]],Table_NFI[Kitchen Set])</f>
        <v>0</v>
      </c>
      <c r="AF470" s="378">
        <f>IF(NFI_Expiration=1,IF($A470&lt;VLOOKUP(O$5,NFI,5,0),1,0)*Table_NFI[[#This Row],[Clothes Kit]],Table_NFI[Clothes Kit])</f>
        <v>0</v>
      </c>
      <c r="AG470" s="378">
        <f>IF(NFI_Expiration=1,IF($A470&lt;VLOOKUP(P$5,NFI,5,0),1,0)*Table_NFI[[#This Row],[Plastic Bucket]],Table_NFI[Plastic Bucket])</f>
        <v>0</v>
      </c>
      <c r="AH470" s="378">
        <f>IF(NFI_Expiration=1,IF($A470&lt;VLOOKUP(Q$5,NFI,5,0),1,0)*Table_NFI[[#This Row],[Plastic Mat]],Table_NFI[Plastic Mat])*IF(Table_NFI[[#This Row],[Distribution Date]]&gt;"2014-04-01",1,2.5)</f>
        <v>0</v>
      </c>
      <c r="AI470" s="378">
        <f>IF(NFI_Expiration=1,IF($A470&lt;VLOOKUP(R$5,NFI,5,0),1,0)*Table_NFI[[#This Row],[Winter Clothes Adult]],Table_NFI[Winter Clothes Adult])</f>
        <v>0</v>
      </c>
      <c r="AJ470" s="378">
        <f>IF(NFI_Expiration=1,IF($A470&lt;VLOOKUP(S$5,NFI,5,0),1,0)*Table_NFI[[#This Row],[Winter Clothes Children]],Table_NFI[Winter Clothes Children])</f>
        <v>0</v>
      </c>
      <c r="AK470" s="378">
        <f>IF(NFI_Expiration=1,IF($A470&lt;VLOOKUP(T$5,NFI,5,0),1,0)*Table_NFI[[#This Row],[Winter Items Other]],Table_NFI[Winter Items Other])</f>
        <v>0</v>
      </c>
      <c r="AL470" s="378">
        <f>IF(NFI_Expiration=1,IF($A470&lt;VLOOKUP(M$5,NFI,5,0),1,0)*Table_NFI[[#This Row],[Winter Blanket]],Table_NFI[[#This Row],[Winter Blanket]])</f>
        <v>0</v>
      </c>
      <c r="AM470" s="378">
        <f>IF(Table_NFI[[#This Row],[Winter Clothes Adult]]+Table_NFI[[#This Row],[Winter Clothes Children]]+Table_NFI[[#This Row],[Winter Items Other]]+Table_NFI[[#This Row],[Winter Blanket]]&gt;0,1,0)</f>
        <v>0</v>
      </c>
      <c r="AN470" s="418">
        <f>IF(NFI_Expiration=1,IF($A470&lt;VLOOKUP(V$5,NFI,5,0),1,0)*Table_NFI[[#This Row],[Jerry Can]],Table_NFI[Jerry Can])</f>
        <v>0</v>
      </c>
      <c r="AO470" s="579" t="str">
        <f>IFERROR(VLOOKUP(Table_NFI[[#This Row],[Camp Name]],CL,2,0),"")</f>
        <v>MMR001CMP094</v>
      </c>
      <c r="AP470" s="574">
        <f ca="1">IF(Table_NFI[[#This Row],[Pcode]]="","",IF(OFFSET(CampList[Opening Date],MATCH(Table_NFI[[#This Row],[Pcode]],CampList[CP_Pcode],0)-1,0,1,1)&gt;=NFI_Monitor_Date,1,0))</f>
        <v>0</v>
      </c>
      <c r="AQ470" s="579" t="str">
        <f>IFERROR(VLOOKUP(Table_NFI[[#This Row],[Camp Name]],CL,3,0),"")</f>
        <v>Closed</v>
      </c>
      <c r="AR470" s="378" t="str">
        <f ca="1">IF(Table_NFI[[#This Row],[Pcode]]="","",OFFSET(CampList[Priority],MATCH(Table_NFI[[#This Row],[Pcode]],CampList[CP_Pcode],0)-1,0,1,1))</f>
        <v/>
      </c>
      <c r="AS470" s="377" t="str">
        <f>IFERROR(Table_NFI[[#This Row],[Kitchen Set]]/VLOOKUP(Table_NFI[[#This Row],[Camp Name]],CL,4,0),"")</f>
        <v/>
      </c>
      <c r="AT470" s="572" t="s">
        <v>1095</v>
      </c>
      <c r="AU470" s="575"/>
    </row>
    <row r="471" spans="1:47" s="576" customFormat="1" x14ac:dyDescent="0.25">
      <c r="A471" s="381">
        <f t="shared" si="7"/>
        <v>39.9</v>
      </c>
      <c r="B471" s="571">
        <v>41325</v>
      </c>
      <c r="C471" s="572" t="s">
        <v>454</v>
      </c>
      <c r="D471" s="573" t="s">
        <v>454</v>
      </c>
      <c r="E471" s="572" t="s">
        <v>380</v>
      </c>
      <c r="F471" s="374" t="s">
        <v>529</v>
      </c>
      <c r="G471" s="374" t="s">
        <v>54</v>
      </c>
      <c r="H471" s="375"/>
      <c r="I471" s="375"/>
      <c r="J471" s="375">
        <v>74</v>
      </c>
      <c r="K471" s="375">
        <v>0</v>
      </c>
      <c r="L471" s="376">
        <v>0</v>
      </c>
      <c r="M471" s="376">
        <v>0</v>
      </c>
      <c r="N471" s="376">
        <v>0</v>
      </c>
      <c r="O471" s="376">
        <v>0</v>
      </c>
      <c r="P471" s="378"/>
      <c r="Q471" s="378"/>
      <c r="R471" s="378"/>
      <c r="S471" s="378"/>
      <c r="T471" s="378"/>
      <c r="U471" s="378"/>
      <c r="V471" s="533"/>
      <c r="W471" s="378"/>
      <c r="X471" s="378"/>
      <c r="Y471" s="378">
        <f>IF(NFI_Expiration=1,IF($A471&lt;VLOOKUP(H$5,NFI,5,0),1,0)*Table_NFI[[#This Row],[Hygiene Kit]],Table_NFI[Hygiene Kit])</f>
        <v>0</v>
      </c>
      <c r="Z471" s="378">
        <f>IF(NFI_Expiration=1,IF($A471&lt;VLOOKUP(I$5,NFI,5,0),1,0)*Table_NFI[[#This Row],[NFI Core Kit]],Table_NFI[NFI Core Kit])</f>
        <v>0</v>
      </c>
      <c r="AA471" s="378">
        <f>IF(NFI_Expiration=1,IF($A471&lt;VLOOKUP(J$5,NFI,5,0),1,0)*Table_NFI[[#This Row],[Sanitary Kit]],Table_NFI[Sanitary Kit])</f>
        <v>0</v>
      </c>
      <c r="AB471" s="378">
        <f>IF(NFI_Expiration=1,IF($A471&lt;VLOOKUP(K$5,NFI,5,0),1,0)*Table_NFI[[#This Row],[Mosquito net]],Table_NFI[Mosquito net])</f>
        <v>0</v>
      </c>
      <c r="AC471" s="378">
        <f>IF(NFI_Expiration=1,IF($A471&lt;VLOOKUP(L$5,NFI,5,0),1,0)*Table_NFI[[#This Row],[Tarpaulin]],Table_NFI[[#This Row],[Tarpaulin]])</f>
        <v>0</v>
      </c>
      <c r="AD471" s="378">
        <f>IF(NFI_Expiration=1,IF($A471&lt;VLOOKUP(M$5,NFI,5,0),1,0)*Table_NFI[[#This Row],[Blanket]],Table_NFI[[#This Row],[Blanket]])</f>
        <v>0</v>
      </c>
      <c r="AE471" s="378">
        <f>IF(NFI_Expiration=1,IF($A471&lt;VLOOKUP(N$5,NFI,5,0),1,0)*Table_NFI[[#This Row],[Kitchen Set]],Table_NFI[Kitchen Set])</f>
        <v>0</v>
      </c>
      <c r="AF471" s="378">
        <f>IF(NFI_Expiration=1,IF($A471&lt;VLOOKUP(O$5,NFI,5,0),1,0)*Table_NFI[[#This Row],[Clothes Kit]],Table_NFI[Clothes Kit])</f>
        <v>0</v>
      </c>
      <c r="AG471" s="378">
        <f>IF(NFI_Expiration=1,IF($A471&lt;VLOOKUP(P$5,NFI,5,0),1,0)*Table_NFI[[#This Row],[Plastic Bucket]],Table_NFI[Plastic Bucket])</f>
        <v>0</v>
      </c>
      <c r="AH471" s="378">
        <f>IF(NFI_Expiration=1,IF($A471&lt;VLOOKUP(Q$5,NFI,5,0),1,0)*Table_NFI[[#This Row],[Plastic Mat]],Table_NFI[Plastic Mat])*IF(Table_NFI[[#This Row],[Distribution Date]]&gt;"2014-04-01",1,2.5)</f>
        <v>0</v>
      </c>
      <c r="AI471" s="378">
        <f>IF(NFI_Expiration=1,IF($A471&lt;VLOOKUP(R$5,NFI,5,0),1,0)*Table_NFI[[#This Row],[Winter Clothes Adult]],Table_NFI[Winter Clothes Adult])</f>
        <v>0</v>
      </c>
      <c r="AJ471" s="378">
        <f>IF(NFI_Expiration=1,IF($A471&lt;VLOOKUP(S$5,NFI,5,0),1,0)*Table_NFI[[#This Row],[Winter Clothes Children]],Table_NFI[Winter Clothes Children])</f>
        <v>0</v>
      </c>
      <c r="AK471" s="378">
        <f>IF(NFI_Expiration=1,IF($A471&lt;VLOOKUP(T$5,NFI,5,0),1,0)*Table_NFI[[#This Row],[Winter Items Other]],Table_NFI[Winter Items Other])</f>
        <v>0</v>
      </c>
      <c r="AL471" s="378">
        <f>IF(NFI_Expiration=1,IF($A471&lt;VLOOKUP(M$5,NFI,5,0),1,0)*Table_NFI[[#This Row],[Winter Blanket]],Table_NFI[[#This Row],[Winter Blanket]])</f>
        <v>0</v>
      </c>
      <c r="AM471" s="378">
        <f>IF(Table_NFI[[#This Row],[Winter Clothes Adult]]+Table_NFI[[#This Row],[Winter Clothes Children]]+Table_NFI[[#This Row],[Winter Items Other]]+Table_NFI[[#This Row],[Winter Blanket]]&gt;0,1,0)</f>
        <v>0</v>
      </c>
      <c r="AN471" s="418">
        <f>IF(NFI_Expiration=1,IF($A471&lt;VLOOKUP(V$5,NFI,5,0),1,0)*Table_NFI[[#This Row],[Jerry Can]],Table_NFI[Jerry Can])</f>
        <v>0</v>
      </c>
      <c r="AO471" s="579" t="str">
        <f>IFERROR(VLOOKUP(Table_NFI[[#This Row],[Camp Name]],CL,2,0),"")</f>
        <v>MMR001CMP094</v>
      </c>
      <c r="AP471" s="574">
        <f ca="1">IF(Table_NFI[[#This Row],[Pcode]]="","",IF(OFFSET(CampList[Opening Date],MATCH(Table_NFI[[#This Row],[Pcode]],CampList[CP_Pcode],0)-1,0,1,1)&gt;=NFI_Monitor_Date,1,0))</f>
        <v>0</v>
      </c>
      <c r="AQ471" s="579" t="str">
        <f>IFERROR(VLOOKUP(Table_NFI[[#This Row],[Camp Name]],CL,3,0),"")</f>
        <v>Closed</v>
      </c>
      <c r="AR471" s="378" t="str">
        <f ca="1">IF(Table_NFI[[#This Row],[Pcode]]="","",OFFSET(CampList[Priority],MATCH(Table_NFI[[#This Row],[Pcode]],CampList[CP_Pcode],0)-1,0,1,1))</f>
        <v/>
      </c>
      <c r="AS471" s="377" t="str">
        <f>IFERROR(Table_NFI[[#This Row],[Kitchen Set]]/VLOOKUP(Table_NFI[[#This Row],[Camp Name]],CL,4,0),"")</f>
        <v/>
      </c>
      <c r="AT471" s="572" t="s">
        <v>1095</v>
      </c>
      <c r="AU471" s="575"/>
    </row>
    <row r="472" spans="1:47" s="576" customFormat="1" x14ac:dyDescent="0.25">
      <c r="A472" s="381">
        <f t="shared" si="7"/>
        <v>41.6</v>
      </c>
      <c r="B472" s="571">
        <v>41274</v>
      </c>
      <c r="C472" s="572" t="s">
        <v>455</v>
      </c>
      <c r="D472" s="573" t="s">
        <v>455</v>
      </c>
      <c r="E472" s="572" t="s">
        <v>380</v>
      </c>
      <c r="F472" s="374" t="s">
        <v>529</v>
      </c>
      <c r="G472" s="374" t="s">
        <v>54</v>
      </c>
      <c r="H472" s="375">
        <v>57</v>
      </c>
      <c r="I472" s="375"/>
      <c r="J472" s="375"/>
      <c r="K472" s="375"/>
      <c r="L472" s="376"/>
      <c r="M472" s="376"/>
      <c r="N472" s="376"/>
      <c r="O472" s="376"/>
      <c r="P472" s="378">
        <v>0</v>
      </c>
      <c r="Q472" s="378">
        <v>0</v>
      </c>
      <c r="R472" s="378"/>
      <c r="S472" s="378"/>
      <c r="T472" s="378"/>
      <c r="U472" s="378"/>
      <c r="V472" s="533"/>
      <c r="W472" s="378"/>
      <c r="X472" s="378"/>
      <c r="Y472" s="378">
        <f>IF(NFI_Expiration=1,IF($A472&lt;VLOOKUP(H$5,NFI,5,0),1,0)*Table_NFI[[#This Row],[Hygiene Kit]],Table_NFI[Hygiene Kit])</f>
        <v>0</v>
      </c>
      <c r="Z472" s="378">
        <f>IF(NFI_Expiration=1,IF($A472&lt;VLOOKUP(I$5,NFI,5,0),1,0)*Table_NFI[[#This Row],[NFI Core Kit]],Table_NFI[NFI Core Kit])</f>
        <v>0</v>
      </c>
      <c r="AA472" s="378">
        <f>IF(NFI_Expiration=1,IF($A472&lt;VLOOKUP(J$5,NFI,5,0),1,0)*Table_NFI[[#This Row],[Sanitary Kit]],Table_NFI[Sanitary Kit])</f>
        <v>0</v>
      </c>
      <c r="AB472" s="378">
        <f>IF(NFI_Expiration=1,IF($A472&lt;VLOOKUP(K$5,NFI,5,0),1,0)*Table_NFI[[#This Row],[Mosquito net]],Table_NFI[Mosquito net])</f>
        <v>0</v>
      </c>
      <c r="AC472" s="378">
        <f>IF(NFI_Expiration=1,IF($A472&lt;VLOOKUP(L$5,NFI,5,0),1,0)*Table_NFI[[#This Row],[Tarpaulin]],Table_NFI[[#This Row],[Tarpaulin]])</f>
        <v>0</v>
      </c>
      <c r="AD472" s="378">
        <f>IF(NFI_Expiration=1,IF($A472&lt;VLOOKUP(M$5,NFI,5,0),1,0)*Table_NFI[[#This Row],[Blanket]],Table_NFI[[#This Row],[Blanket]])</f>
        <v>0</v>
      </c>
      <c r="AE472" s="378">
        <f>IF(NFI_Expiration=1,IF($A472&lt;VLOOKUP(N$5,NFI,5,0),1,0)*Table_NFI[[#This Row],[Kitchen Set]],Table_NFI[Kitchen Set])</f>
        <v>0</v>
      </c>
      <c r="AF472" s="378">
        <f>IF(NFI_Expiration=1,IF($A472&lt;VLOOKUP(O$5,NFI,5,0),1,0)*Table_NFI[[#This Row],[Clothes Kit]],Table_NFI[Clothes Kit])</f>
        <v>0</v>
      </c>
      <c r="AG472" s="378">
        <f>IF(NFI_Expiration=1,IF($A472&lt;VLOOKUP(P$5,NFI,5,0),1,0)*Table_NFI[[#This Row],[Plastic Bucket]],Table_NFI[Plastic Bucket])</f>
        <v>0</v>
      </c>
      <c r="AH472" s="378">
        <f>IF(NFI_Expiration=1,IF($A472&lt;VLOOKUP(Q$5,NFI,5,0),1,0)*Table_NFI[[#This Row],[Plastic Mat]],Table_NFI[Plastic Mat])*IF(Table_NFI[[#This Row],[Distribution Date]]&gt;"2014-04-01",1,2.5)</f>
        <v>0</v>
      </c>
      <c r="AI472" s="378">
        <f>IF(NFI_Expiration=1,IF($A472&lt;VLOOKUP(R$5,NFI,5,0),1,0)*Table_NFI[[#This Row],[Winter Clothes Adult]],Table_NFI[Winter Clothes Adult])</f>
        <v>0</v>
      </c>
      <c r="AJ472" s="378">
        <f>IF(NFI_Expiration=1,IF($A472&lt;VLOOKUP(S$5,NFI,5,0),1,0)*Table_NFI[[#This Row],[Winter Clothes Children]],Table_NFI[Winter Clothes Children])</f>
        <v>0</v>
      </c>
      <c r="AK472" s="378">
        <f>IF(NFI_Expiration=1,IF($A472&lt;VLOOKUP(T$5,NFI,5,0),1,0)*Table_NFI[[#This Row],[Winter Items Other]],Table_NFI[Winter Items Other])</f>
        <v>0</v>
      </c>
      <c r="AL472" s="378">
        <f>IF(NFI_Expiration=1,IF($A472&lt;VLOOKUP(M$5,NFI,5,0),1,0)*Table_NFI[[#This Row],[Winter Blanket]],Table_NFI[[#This Row],[Winter Blanket]])</f>
        <v>0</v>
      </c>
      <c r="AM472" s="378">
        <f>IF(Table_NFI[[#This Row],[Winter Clothes Adult]]+Table_NFI[[#This Row],[Winter Clothes Children]]+Table_NFI[[#This Row],[Winter Items Other]]+Table_NFI[[#This Row],[Winter Blanket]]&gt;0,1,0)</f>
        <v>0</v>
      </c>
      <c r="AN472" s="418">
        <f>IF(NFI_Expiration=1,IF($A472&lt;VLOOKUP(V$5,NFI,5,0),1,0)*Table_NFI[[#This Row],[Jerry Can]],Table_NFI[Jerry Can])</f>
        <v>0</v>
      </c>
      <c r="AO472" s="579" t="str">
        <f>IFERROR(VLOOKUP(Table_NFI[[#This Row],[Camp Name]],CL,2,0),"")</f>
        <v>MMR001CMP094</v>
      </c>
      <c r="AP472" s="574">
        <f ca="1">IF(Table_NFI[[#This Row],[Pcode]]="","",IF(OFFSET(CampList[Opening Date],MATCH(Table_NFI[[#This Row],[Pcode]],CampList[CP_Pcode],0)-1,0,1,1)&gt;=NFI_Monitor_Date,1,0))</f>
        <v>0</v>
      </c>
      <c r="AQ472" s="579" t="str">
        <f>IFERROR(VLOOKUP(Table_NFI[[#This Row],[Camp Name]],CL,3,0),"")</f>
        <v>Closed</v>
      </c>
      <c r="AR472" s="378" t="str">
        <f ca="1">IF(Table_NFI[[#This Row],[Pcode]]="","",OFFSET(CampList[Priority],MATCH(Table_NFI[[#This Row],[Pcode]],CampList[CP_Pcode],0)-1,0,1,1))</f>
        <v/>
      </c>
      <c r="AS472" s="377" t="str">
        <f>IFERROR(Table_NFI[[#This Row],[Kitchen Set]]/VLOOKUP(Table_NFI[[#This Row],[Camp Name]],CL,4,0),"")</f>
        <v/>
      </c>
      <c r="AT472" s="572" t="s">
        <v>1095</v>
      </c>
      <c r="AU472" s="575"/>
    </row>
    <row r="473" spans="1:47" s="576" customFormat="1" x14ac:dyDescent="0.25">
      <c r="A473" s="381">
        <f t="shared" si="7"/>
        <v>39.9</v>
      </c>
      <c r="B473" s="571">
        <v>41325</v>
      </c>
      <c r="C473" s="572" t="s">
        <v>454</v>
      </c>
      <c r="D473" s="573" t="s">
        <v>454</v>
      </c>
      <c r="E473" s="572" t="s">
        <v>380</v>
      </c>
      <c r="F473" s="374" t="s">
        <v>529</v>
      </c>
      <c r="G473" s="374" t="s">
        <v>66</v>
      </c>
      <c r="H473" s="375"/>
      <c r="I473" s="375"/>
      <c r="J473" s="375">
        <v>16</v>
      </c>
      <c r="K473" s="375">
        <v>26</v>
      </c>
      <c r="L473" s="376">
        <v>13</v>
      </c>
      <c r="M473" s="376">
        <v>26</v>
      </c>
      <c r="N473" s="376">
        <v>13</v>
      </c>
      <c r="O473" s="376">
        <v>13</v>
      </c>
      <c r="P473" s="378">
        <v>13</v>
      </c>
      <c r="Q473" s="378">
        <v>13</v>
      </c>
      <c r="R473" s="378"/>
      <c r="S473" s="378"/>
      <c r="T473" s="378"/>
      <c r="U473" s="378"/>
      <c r="V473" s="533"/>
      <c r="W473" s="378"/>
      <c r="X473" s="378"/>
      <c r="Y473" s="378">
        <f>IF(NFI_Expiration=1,IF($A473&lt;VLOOKUP(H$5,NFI,5,0),1,0)*Table_NFI[[#This Row],[Hygiene Kit]],Table_NFI[Hygiene Kit])</f>
        <v>0</v>
      </c>
      <c r="Z473" s="378">
        <f>IF(NFI_Expiration=1,IF($A473&lt;VLOOKUP(I$5,NFI,5,0),1,0)*Table_NFI[[#This Row],[NFI Core Kit]],Table_NFI[NFI Core Kit])</f>
        <v>0</v>
      </c>
      <c r="AA473" s="378">
        <f>IF(NFI_Expiration=1,IF($A473&lt;VLOOKUP(J$5,NFI,5,0),1,0)*Table_NFI[[#This Row],[Sanitary Kit]],Table_NFI[Sanitary Kit])</f>
        <v>0</v>
      </c>
      <c r="AB473" s="378">
        <f>IF(NFI_Expiration=1,IF($A473&lt;VLOOKUP(K$5,NFI,5,0),1,0)*Table_NFI[[#This Row],[Mosquito net]],Table_NFI[Mosquito net])</f>
        <v>0</v>
      </c>
      <c r="AC473" s="378">
        <f>IF(NFI_Expiration=1,IF($A473&lt;VLOOKUP(L$5,NFI,5,0),1,0)*Table_NFI[[#This Row],[Tarpaulin]],Table_NFI[[#This Row],[Tarpaulin]])</f>
        <v>0</v>
      </c>
      <c r="AD473" s="378">
        <f>IF(NFI_Expiration=1,IF($A473&lt;VLOOKUP(M$5,NFI,5,0),1,0)*Table_NFI[[#This Row],[Blanket]],Table_NFI[[#This Row],[Blanket]])</f>
        <v>0</v>
      </c>
      <c r="AE473" s="378">
        <f>IF(NFI_Expiration=1,IF($A473&lt;VLOOKUP(N$5,NFI,5,0),1,0)*Table_NFI[[#This Row],[Kitchen Set]],Table_NFI[Kitchen Set])</f>
        <v>0</v>
      </c>
      <c r="AF473" s="378">
        <f>IF(NFI_Expiration=1,IF($A473&lt;VLOOKUP(O$5,NFI,5,0),1,0)*Table_NFI[[#This Row],[Clothes Kit]],Table_NFI[Clothes Kit])</f>
        <v>0</v>
      </c>
      <c r="AG473" s="378">
        <f>IF(NFI_Expiration=1,IF($A473&lt;VLOOKUP(P$5,NFI,5,0),1,0)*Table_NFI[[#This Row],[Plastic Bucket]],Table_NFI[Plastic Bucket])</f>
        <v>0</v>
      </c>
      <c r="AH473" s="378">
        <f>IF(NFI_Expiration=1,IF($A473&lt;VLOOKUP(Q$5,NFI,5,0),1,0)*Table_NFI[[#This Row],[Plastic Mat]],Table_NFI[Plastic Mat])*IF(Table_NFI[[#This Row],[Distribution Date]]&gt;"2014-04-01",1,2.5)</f>
        <v>0</v>
      </c>
      <c r="AI473" s="378">
        <f>IF(NFI_Expiration=1,IF($A473&lt;VLOOKUP(R$5,NFI,5,0),1,0)*Table_NFI[[#This Row],[Winter Clothes Adult]],Table_NFI[Winter Clothes Adult])</f>
        <v>0</v>
      </c>
      <c r="AJ473" s="378">
        <f>IF(NFI_Expiration=1,IF($A473&lt;VLOOKUP(S$5,NFI,5,0),1,0)*Table_NFI[[#This Row],[Winter Clothes Children]],Table_NFI[Winter Clothes Children])</f>
        <v>0</v>
      </c>
      <c r="AK473" s="378">
        <f>IF(NFI_Expiration=1,IF($A473&lt;VLOOKUP(T$5,NFI,5,0),1,0)*Table_NFI[[#This Row],[Winter Items Other]],Table_NFI[Winter Items Other])</f>
        <v>0</v>
      </c>
      <c r="AL473" s="378">
        <f>IF(NFI_Expiration=1,IF($A473&lt;VLOOKUP(M$5,NFI,5,0),1,0)*Table_NFI[[#This Row],[Winter Blanket]],Table_NFI[[#This Row],[Winter Blanket]])</f>
        <v>0</v>
      </c>
      <c r="AM473" s="378">
        <f>IF(Table_NFI[[#This Row],[Winter Clothes Adult]]+Table_NFI[[#This Row],[Winter Clothes Children]]+Table_NFI[[#This Row],[Winter Items Other]]+Table_NFI[[#This Row],[Winter Blanket]]&gt;0,1,0)</f>
        <v>0</v>
      </c>
      <c r="AN473" s="418">
        <f>IF(NFI_Expiration=1,IF($A473&lt;VLOOKUP(V$5,NFI,5,0),1,0)*Table_NFI[[#This Row],[Jerry Can]],Table_NFI[Jerry Can])</f>
        <v>0</v>
      </c>
      <c r="AO473" s="579" t="str">
        <f>IFERROR(VLOOKUP(Table_NFI[[#This Row],[Camp Name]],CL,2,0),"")</f>
        <v>MMR001CMP093</v>
      </c>
      <c r="AP473" s="574">
        <f ca="1">IF(Table_NFI[[#This Row],[Pcode]]="","",IF(OFFSET(CampList[Opening Date],MATCH(Table_NFI[[#This Row],[Pcode]],CampList[CP_Pcode],0)-1,0,1,1)&gt;=NFI_Monitor_Date,1,0))</f>
        <v>0</v>
      </c>
      <c r="AQ473" s="579" t="str">
        <f>IFERROR(VLOOKUP(Table_NFI[[#This Row],[Camp Name]],CL,3,0),"")</f>
        <v>Closed</v>
      </c>
      <c r="AR473" s="378" t="str">
        <f ca="1">IF(Table_NFI[[#This Row],[Pcode]]="","",OFFSET(CampList[Priority],MATCH(Table_NFI[[#This Row],[Pcode]],CampList[CP_Pcode],0)-1,0,1,1))</f>
        <v/>
      </c>
      <c r="AS473" s="377" t="str">
        <f>IFERROR(Table_NFI[[#This Row],[Kitchen Set]]/VLOOKUP(Table_NFI[[#This Row],[Camp Name]],CL,4,0),"")</f>
        <v/>
      </c>
      <c r="AT473" s="572" t="s">
        <v>1095</v>
      </c>
      <c r="AU473" s="575"/>
    </row>
    <row r="474" spans="1:47" s="576" customFormat="1" x14ac:dyDescent="0.25">
      <c r="A474" s="381">
        <f t="shared" si="7"/>
        <v>41.6</v>
      </c>
      <c r="B474" s="571">
        <v>41274</v>
      </c>
      <c r="C474" s="572" t="s">
        <v>455</v>
      </c>
      <c r="D474" s="573" t="s">
        <v>455</v>
      </c>
      <c r="E474" s="572" t="s">
        <v>380</v>
      </c>
      <c r="F474" s="374" t="s">
        <v>529</v>
      </c>
      <c r="G474" s="374" t="s">
        <v>66</v>
      </c>
      <c r="H474" s="375">
        <v>2</v>
      </c>
      <c r="I474" s="375"/>
      <c r="J474" s="375"/>
      <c r="K474" s="375"/>
      <c r="L474" s="376"/>
      <c r="M474" s="376"/>
      <c r="N474" s="376"/>
      <c r="O474" s="376"/>
      <c r="P474" s="378">
        <v>0</v>
      </c>
      <c r="Q474" s="378">
        <v>0</v>
      </c>
      <c r="R474" s="378"/>
      <c r="S474" s="378"/>
      <c r="T474" s="378"/>
      <c r="U474" s="378"/>
      <c r="V474" s="533"/>
      <c r="W474" s="378"/>
      <c r="X474" s="378"/>
      <c r="Y474" s="378">
        <f>IF(NFI_Expiration=1,IF($A474&lt;VLOOKUP(H$5,NFI,5,0),1,0)*Table_NFI[[#This Row],[Hygiene Kit]],Table_NFI[Hygiene Kit])</f>
        <v>0</v>
      </c>
      <c r="Z474" s="378">
        <f>IF(NFI_Expiration=1,IF($A474&lt;VLOOKUP(I$5,NFI,5,0),1,0)*Table_NFI[[#This Row],[NFI Core Kit]],Table_NFI[NFI Core Kit])</f>
        <v>0</v>
      </c>
      <c r="AA474" s="378">
        <f>IF(NFI_Expiration=1,IF($A474&lt;VLOOKUP(J$5,NFI,5,0),1,0)*Table_NFI[[#This Row],[Sanitary Kit]],Table_NFI[Sanitary Kit])</f>
        <v>0</v>
      </c>
      <c r="AB474" s="378">
        <f>IF(NFI_Expiration=1,IF($A474&lt;VLOOKUP(K$5,NFI,5,0),1,0)*Table_NFI[[#This Row],[Mosquito net]],Table_NFI[Mosquito net])</f>
        <v>0</v>
      </c>
      <c r="AC474" s="378">
        <f>IF(NFI_Expiration=1,IF($A474&lt;VLOOKUP(L$5,NFI,5,0),1,0)*Table_NFI[[#This Row],[Tarpaulin]],Table_NFI[[#This Row],[Tarpaulin]])</f>
        <v>0</v>
      </c>
      <c r="AD474" s="378">
        <f>IF(NFI_Expiration=1,IF($A474&lt;VLOOKUP(M$5,NFI,5,0),1,0)*Table_NFI[[#This Row],[Blanket]],Table_NFI[[#This Row],[Blanket]])</f>
        <v>0</v>
      </c>
      <c r="AE474" s="378">
        <f>IF(NFI_Expiration=1,IF($A474&lt;VLOOKUP(N$5,NFI,5,0),1,0)*Table_NFI[[#This Row],[Kitchen Set]],Table_NFI[Kitchen Set])</f>
        <v>0</v>
      </c>
      <c r="AF474" s="378">
        <f>IF(NFI_Expiration=1,IF($A474&lt;VLOOKUP(O$5,NFI,5,0),1,0)*Table_NFI[[#This Row],[Clothes Kit]],Table_NFI[Clothes Kit])</f>
        <v>0</v>
      </c>
      <c r="AG474" s="378">
        <f>IF(NFI_Expiration=1,IF($A474&lt;VLOOKUP(P$5,NFI,5,0),1,0)*Table_NFI[[#This Row],[Plastic Bucket]],Table_NFI[Plastic Bucket])</f>
        <v>0</v>
      </c>
      <c r="AH474" s="378">
        <f>IF(NFI_Expiration=1,IF($A474&lt;VLOOKUP(Q$5,NFI,5,0),1,0)*Table_NFI[[#This Row],[Plastic Mat]],Table_NFI[Plastic Mat])*IF(Table_NFI[[#This Row],[Distribution Date]]&gt;"2014-04-01",1,2.5)</f>
        <v>0</v>
      </c>
      <c r="AI474" s="378">
        <f>IF(NFI_Expiration=1,IF($A474&lt;VLOOKUP(R$5,NFI,5,0),1,0)*Table_NFI[[#This Row],[Winter Clothes Adult]],Table_NFI[Winter Clothes Adult])</f>
        <v>0</v>
      </c>
      <c r="AJ474" s="378">
        <f>IF(NFI_Expiration=1,IF($A474&lt;VLOOKUP(S$5,NFI,5,0),1,0)*Table_NFI[[#This Row],[Winter Clothes Children]],Table_NFI[Winter Clothes Children])</f>
        <v>0</v>
      </c>
      <c r="AK474" s="378">
        <f>IF(NFI_Expiration=1,IF($A474&lt;VLOOKUP(T$5,NFI,5,0),1,0)*Table_NFI[[#This Row],[Winter Items Other]],Table_NFI[Winter Items Other])</f>
        <v>0</v>
      </c>
      <c r="AL474" s="378">
        <f>IF(NFI_Expiration=1,IF($A474&lt;VLOOKUP(M$5,NFI,5,0),1,0)*Table_NFI[[#This Row],[Winter Blanket]],Table_NFI[[#This Row],[Winter Blanket]])</f>
        <v>0</v>
      </c>
      <c r="AM474" s="378">
        <f>IF(Table_NFI[[#This Row],[Winter Clothes Adult]]+Table_NFI[[#This Row],[Winter Clothes Children]]+Table_NFI[[#This Row],[Winter Items Other]]+Table_NFI[[#This Row],[Winter Blanket]]&gt;0,1,0)</f>
        <v>0</v>
      </c>
      <c r="AN474" s="418">
        <f>IF(NFI_Expiration=1,IF($A474&lt;VLOOKUP(V$5,NFI,5,0),1,0)*Table_NFI[[#This Row],[Jerry Can]],Table_NFI[Jerry Can])</f>
        <v>0</v>
      </c>
      <c r="AO474" s="579" t="str">
        <f>IFERROR(VLOOKUP(Table_NFI[[#This Row],[Camp Name]],CL,2,0),"")</f>
        <v>MMR001CMP093</v>
      </c>
      <c r="AP474" s="574">
        <f ca="1">IF(Table_NFI[[#This Row],[Pcode]]="","",IF(OFFSET(CampList[Opening Date],MATCH(Table_NFI[[#This Row],[Pcode]],CampList[CP_Pcode],0)-1,0,1,1)&gt;=NFI_Monitor_Date,1,0))</f>
        <v>0</v>
      </c>
      <c r="AQ474" s="579" t="str">
        <f>IFERROR(VLOOKUP(Table_NFI[[#This Row],[Camp Name]],CL,3,0),"")</f>
        <v>Closed</v>
      </c>
      <c r="AR474" s="378" t="str">
        <f ca="1">IF(Table_NFI[[#This Row],[Pcode]]="","",OFFSET(CampList[Priority],MATCH(Table_NFI[[#This Row],[Pcode]],CampList[CP_Pcode],0)-1,0,1,1))</f>
        <v/>
      </c>
      <c r="AS474" s="377" t="str">
        <f>IFERROR(Table_NFI[[#This Row],[Kitchen Set]]/VLOOKUP(Table_NFI[[#This Row],[Camp Name]],CL,4,0),"")</f>
        <v/>
      </c>
      <c r="AT474" s="572" t="s">
        <v>1095</v>
      </c>
      <c r="AU474" s="575"/>
    </row>
    <row r="475" spans="1:47" s="576" customFormat="1" x14ac:dyDescent="0.25">
      <c r="A475" s="381">
        <f t="shared" si="7"/>
        <v>20.3</v>
      </c>
      <c r="B475" s="571">
        <v>41913</v>
      </c>
      <c r="C475" s="572" t="s">
        <v>454</v>
      </c>
      <c r="D475" s="577" t="s">
        <v>507</v>
      </c>
      <c r="E475" s="577" t="s">
        <v>380</v>
      </c>
      <c r="F475" s="577" t="s">
        <v>237</v>
      </c>
      <c r="G475" s="577" t="s">
        <v>263</v>
      </c>
      <c r="H475" s="376"/>
      <c r="I475" s="376"/>
      <c r="J475" s="376"/>
      <c r="K475" s="376">
        <v>52</v>
      </c>
      <c r="L475" s="376"/>
      <c r="M475" s="376"/>
      <c r="N475" s="376"/>
      <c r="O475" s="376"/>
      <c r="P475" s="378"/>
      <c r="Q475" s="378"/>
      <c r="R475" s="378"/>
      <c r="S475" s="378"/>
      <c r="T475" s="378"/>
      <c r="U475" s="378"/>
      <c r="V475" s="533"/>
      <c r="W475" s="378"/>
      <c r="X475" s="378"/>
      <c r="Y475" s="378">
        <f>IF(NFI_Expiration=1,IF($A475&lt;VLOOKUP(H$5,NFI,5,0),1,0)*Table_NFI[[#This Row],[Hygiene Kit]],Table_NFI[Hygiene Kit])</f>
        <v>0</v>
      </c>
      <c r="Z475" s="378">
        <f>IF(NFI_Expiration=1,IF($A475&lt;VLOOKUP(I$5,NFI,5,0),1,0)*Table_NFI[[#This Row],[NFI Core Kit]],Table_NFI[NFI Core Kit])</f>
        <v>0</v>
      </c>
      <c r="AA475" s="378">
        <f>IF(NFI_Expiration=1,IF($A475&lt;VLOOKUP(J$5,NFI,5,0),1,0)*Table_NFI[[#This Row],[Sanitary Kit]],Table_NFI[Sanitary Kit])</f>
        <v>0</v>
      </c>
      <c r="AB475" s="378">
        <f>IF(NFI_Expiration=1,IF($A475&lt;VLOOKUP(K$5,NFI,5,0),1,0)*Table_NFI[[#This Row],[Mosquito net]],Table_NFI[Mosquito net])</f>
        <v>0</v>
      </c>
      <c r="AC475" s="378">
        <f>IF(NFI_Expiration=1,IF($A475&lt;VLOOKUP(L$5,NFI,5,0),1,0)*Table_NFI[[#This Row],[Tarpaulin]],Table_NFI[[#This Row],[Tarpaulin]])</f>
        <v>0</v>
      </c>
      <c r="AD475" s="378">
        <f>IF(NFI_Expiration=1,IF($A475&lt;VLOOKUP(M$5,NFI,5,0),1,0)*Table_NFI[[#This Row],[Blanket]],Table_NFI[[#This Row],[Blanket]])</f>
        <v>0</v>
      </c>
      <c r="AE475" s="378">
        <f>IF(NFI_Expiration=1,IF($A475&lt;VLOOKUP(N$5,NFI,5,0),1,0)*Table_NFI[[#This Row],[Kitchen Set]],Table_NFI[Kitchen Set])</f>
        <v>0</v>
      </c>
      <c r="AF475" s="378">
        <f>IF(NFI_Expiration=1,IF($A475&lt;VLOOKUP(O$5,NFI,5,0),1,0)*Table_NFI[[#This Row],[Clothes Kit]],Table_NFI[Clothes Kit])</f>
        <v>0</v>
      </c>
      <c r="AG475" s="378">
        <f>IF(NFI_Expiration=1,IF($A475&lt;VLOOKUP(P$5,NFI,5,0),1,0)*Table_NFI[[#This Row],[Plastic Bucket]],Table_NFI[Plastic Bucket])</f>
        <v>0</v>
      </c>
      <c r="AH475" s="378">
        <f>IF(NFI_Expiration=1,IF($A475&lt;VLOOKUP(Q$5,NFI,5,0),1,0)*Table_NFI[[#This Row],[Plastic Mat]],Table_NFI[Plastic Mat])*IF(Table_NFI[[#This Row],[Distribution Date]]&gt;"2014-04-01",1,2.5)</f>
        <v>0</v>
      </c>
      <c r="AI475" s="378">
        <f>IF(NFI_Expiration=1,IF($A475&lt;VLOOKUP(R$5,NFI,5,0),1,0)*Table_NFI[[#This Row],[Winter Clothes Adult]],Table_NFI[Winter Clothes Adult])</f>
        <v>0</v>
      </c>
      <c r="AJ475" s="378">
        <f>IF(NFI_Expiration=1,IF($A475&lt;VLOOKUP(S$5,NFI,5,0),1,0)*Table_NFI[[#This Row],[Winter Clothes Children]],Table_NFI[Winter Clothes Children])</f>
        <v>0</v>
      </c>
      <c r="AK475" s="378">
        <f>IF(NFI_Expiration=1,IF($A475&lt;VLOOKUP(T$5,NFI,5,0),1,0)*Table_NFI[[#This Row],[Winter Items Other]],Table_NFI[Winter Items Other])</f>
        <v>0</v>
      </c>
      <c r="AL475" s="378">
        <f>IF(NFI_Expiration=1,IF($A475&lt;VLOOKUP(M$5,NFI,5,0),1,0)*Table_NFI[[#This Row],[Winter Blanket]],Table_NFI[[#This Row],[Winter Blanket]])</f>
        <v>0</v>
      </c>
      <c r="AM475" s="378">
        <f>IF(Table_NFI[[#This Row],[Winter Clothes Adult]]+Table_NFI[[#This Row],[Winter Clothes Children]]+Table_NFI[[#This Row],[Winter Items Other]]+Table_NFI[[#This Row],[Winter Blanket]]&gt;0,1,0)</f>
        <v>0</v>
      </c>
      <c r="AN475" s="418">
        <f>IF(NFI_Expiration=1,IF($A475&lt;VLOOKUP(V$5,NFI,5,0),1,0)*Table_NFI[[#This Row],[Jerry Can]],Table_NFI[Jerry Can])</f>
        <v>0</v>
      </c>
      <c r="AO475" s="579" t="str">
        <f>IFERROR(VLOOKUP(Table_NFI[[#This Row],[Camp Name]],CL,2,0),"")</f>
        <v>MMR001CMP020</v>
      </c>
      <c r="AP475" s="574">
        <f ca="1">IF(Table_NFI[[#This Row],[Pcode]]="","",IF(OFFSET(CampList[Opening Date],MATCH(Table_NFI[[#This Row],[Pcode]],CampList[CP_Pcode],0)-1,0,1,1)&gt;=NFI_Monitor_Date,1,0))</f>
        <v>0</v>
      </c>
      <c r="AQ475" s="579" t="str">
        <f>IFERROR(VLOOKUP(Table_NFI[[#This Row],[Camp Name]],CL,3,0),"")</f>
        <v>Open</v>
      </c>
      <c r="AR475" s="378" t="str">
        <f ca="1">IF(Table_NFI[[#This Row],[Pcode]]="","",OFFSET(CampList[Priority],MATCH(Table_NFI[[#This Row],[Pcode]],CampList[CP_Pcode],0)-1,0,1,1))</f>
        <v>P4</v>
      </c>
      <c r="AS475" s="377">
        <f>IFERROR(Table_NFI[[#This Row],[Kitchen Set]]/VLOOKUP(Table_NFI[[#This Row],[Camp Name]],CL,4,0),"")</f>
        <v>0</v>
      </c>
      <c r="AT475" s="577"/>
      <c r="AU475" s="580"/>
    </row>
    <row r="476" spans="1:47" s="576" customFormat="1" x14ac:dyDescent="0.25">
      <c r="A476" s="381">
        <f t="shared" si="7"/>
        <v>23.6</v>
      </c>
      <c r="B476" s="571">
        <v>41814</v>
      </c>
      <c r="C476" s="572" t="s">
        <v>1107</v>
      </c>
      <c r="D476" s="572" t="s">
        <v>903</v>
      </c>
      <c r="E476" s="572" t="s">
        <v>380</v>
      </c>
      <c r="F476" s="572" t="s">
        <v>237</v>
      </c>
      <c r="G476" s="572" t="s">
        <v>263</v>
      </c>
      <c r="H476" s="375"/>
      <c r="I476" s="375"/>
      <c r="J476" s="375"/>
      <c r="K476" s="375"/>
      <c r="L476" s="376"/>
      <c r="M476" s="376"/>
      <c r="N476" s="376"/>
      <c r="O476" s="376"/>
      <c r="P476" s="378"/>
      <c r="Q476" s="378"/>
      <c r="R476" s="378"/>
      <c r="S476" s="378"/>
      <c r="T476" s="378"/>
      <c r="U476" s="378">
        <v>44</v>
      </c>
      <c r="V476" s="533"/>
      <c r="W476" s="378"/>
      <c r="X476" s="378"/>
      <c r="Y476" s="378">
        <f>IF(NFI_Expiration=1,IF($A476&lt;VLOOKUP(H$5,NFI,5,0),1,0)*Table_NFI[[#This Row],[Hygiene Kit]],Table_NFI[Hygiene Kit])</f>
        <v>0</v>
      </c>
      <c r="Z476" s="378">
        <f>IF(NFI_Expiration=1,IF($A476&lt;VLOOKUP(I$5,NFI,5,0),1,0)*Table_NFI[[#This Row],[NFI Core Kit]],Table_NFI[NFI Core Kit])</f>
        <v>0</v>
      </c>
      <c r="AA476" s="378">
        <f>IF(NFI_Expiration=1,IF($A476&lt;VLOOKUP(J$5,NFI,5,0),1,0)*Table_NFI[[#This Row],[Sanitary Kit]],Table_NFI[Sanitary Kit])</f>
        <v>0</v>
      </c>
      <c r="AB476" s="378">
        <f>IF(NFI_Expiration=1,IF($A476&lt;VLOOKUP(K$5,NFI,5,0),1,0)*Table_NFI[[#This Row],[Mosquito net]],Table_NFI[Mosquito net])</f>
        <v>0</v>
      </c>
      <c r="AC476" s="378">
        <f>IF(NFI_Expiration=1,IF($A476&lt;VLOOKUP(L$5,NFI,5,0),1,0)*Table_NFI[[#This Row],[Tarpaulin]],Table_NFI[[#This Row],[Tarpaulin]])</f>
        <v>0</v>
      </c>
      <c r="AD476" s="378">
        <f>IF(NFI_Expiration=1,IF($A476&lt;VLOOKUP(M$5,NFI,5,0),1,0)*Table_NFI[[#This Row],[Blanket]],Table_NFI[[#This Row],[Blanket]])</f>
        <v>0</v>
      </c>
      <c r="AE476" s="378">
        <f>IF(NFI_Expiration=1,IF($A476&lt;VLOOKUP(N$5,NFI,5,0),1,0)*Table_NFI[[#This Row],[Kitchen Set]],Table_NFI[Kitchen Set])</f>
        <v>0</v>
      </c>
      <c r="AF476" s="378">
        <f>IF(NFI_Expiration=1,IF($A476&lt;VLOOKUP(O$5,NFI,5,0),1,0)*Table_NFI[[#This Row],[Clothes Kit]],Table_NFI[Clothes Kit])</f>
        <v>0</v>
      </c>
      <c r="AG476" s="378">
        <f>IF(NFI_Expiration=1,IF($A476&lt;VLOOKUP(P$5,NFI,5,0),1,0)*Table_NFI[[#This Row],[Plastic Bucket]],Table_NFI[Plastic Bucket])</f>
        <v>0</v>
      </c>
      <c r="AH476" s="378">
        <f>IF(NFI_Expiration=1,IF($A476&lt;VLOOKUP(Q$5,NFI,5,0),1,0)*Table_NFI[[#This Row],[Plastic Mat]],Table_NFI[Plastic Mat])*IF(Table_NFI[[#This Row],[Distribution Date]]&gt;"2014-04-01",1,2.5)</f>
        <v>0</v>
      </c>
      <c r="AI476" s="378">
        <f>IF(NFI_Expiration=1,IF($A476&lt;VLOOKUP(R$5,NFI,5,0),1,0)*Table_NFI[[#This Row],[Winter Clothes Adult]],Table_NFI[Winter Clothes Adult])</f>
        <v>0</v>
      </c>
      <c r="AJ476" s="378">
        <f>IF(NFI_Expiration=1,IF($A476&lt;VLOOKUP(S$5,NFI,5,0),1,0)*Table_NFI[[#This Row],[Winter Clothes Children]],Table_NFI[Winter Clothes Children])</f>
        <v>0</v>
      </c>
      <c r="AK476" s="378">
        <f>IF(NFI_Expiration=1,IF($A476&lt;VLOOKUP(T$5,NFI,5,0),1,0)*Table_NFI[[#This Row],[Winter Items Other]],Table_NFI[Winter Items Other])</f>
        <v>0</v>
      </c>
      <c r="AL476" s="378">
        <f>IF(NFI_Expiration=1,IF($A476&lt;VLOOKUP(M$5,NFI,5,0),1,0)*Table_NFI[[#This Row],[Winter Blanket]],Table_NFI[[#This Row],[Winter Blanket]])</f>
        <v>0</v>
      </c>
      <c r="AM476" s="378">
        <f>IF(Table_NFI[[#This Row],[Winter Clothes Adult]]+Table_NFI[[#This Row],[Winter Clothes Children]]+Table_NFI[[#This Row],[Winter Items Other]]+Table_NFI[[#This Row],[Winter Blanket]]&gt;0,1,0)</f>
        <v>1</v>
      </c>
      <c r="AN476" s="418">
        <f>IF(NFI_Expiration=1,IF($A476&lt;VLOOKUP(V$5,NFI,5,0),1,0)*Table_NFI[[#This Row],[Jerry Can]],Table_NFI[Jerry Can])</f>
        <v>0</v>
      </c>
      <c r="AO476" s="579" t="str">
        <f>IFERROR(VLOOKUP(Table_NFI[[#This Row],[Camp Name]],CL,2,0),"")</f>
        <v>MMR001CMP020</v>
      </c>
      <c r="AP476" s="574">
        <f ca="1">IF(Table_NFI[[#This Row],[Pcode]]="","",IF(OFFSET(CampList[Opening Date],MATCH(Table_NFI[[#This Row],[Pcode]],CampList[CP_Pcode],0)-1,0,1,1)&gt;=NFI_Monitor_Date,1,0))</f>
        <v>0</v>
      </c>
      <c r="AQ476" s="579" t="str">
        <f>IFERROR(VLOOKUP(Table_NFI[[#This Row],[Camp Name]],CL,3,0),"")</f>
        <v>Open</v>
      </c>
      <c r="AR476" s="378" t="str">
        <f ca="1">IF(Table_NFI[[#This Row],[Pcode]]="","",OFFSET(CampList[Priority],MATCH(Table_NFI[[#This Row],[Pcode]],CampList[CP_Pcode],0)-1,0,1,1))</f>
        <v>P4</v>
      </c>
      <c r="AS476" s="377">
        <f>IFERROR(Table_NFI[[#This Row],[Kitchen Set]]/VLOOKUP(Table_NFI[[#This Row],[Camp Name]],CL,4,0),"")</f>
        <v>0</v>
      </c>
      <c r="AT476" s="572"/>
      <c r="AU476" s="575"/>
    </row>
    <row r="477" spans="1:47" s="576" customFormat="1" x14ac:dyDescent="0.25">
      <c r="A477" s="381">
        <f t="shared" si="7"/>
        <v>24.533333333333335</v>
      </c>
      <c r="B477" s="571">
        <v>41786</v>
      </c>
      <c r="C477" s="572" t="s">
        <v>454</v>
      </c>
      <c r="D477" s="572" t="s">
        <v>507</v>
      </c>
      <c r="E477" s="572" t="s">
        <v>380</v>
      </c>
      <c r="F477" s="572" t="s">
        <v>237</v>
      </c>
      <c r="G477" s="572" t="s">
        <v>263</v>
      </c>
      <c r="H477" s="375"/>
      <c r="I477" s="375"/>
      <c r="J477" s="375">
        <v>12</v>
      </c>
      <c r="K477" s="375">
        <v>6</v>
      </c>
      <c r="L477" s="376">
        <v>12</v>
      </c>
      <c r="M477" s="376">
        <v>6</v>
      </c>
      <c r="N477" s="376"/>
      <c r="O477" s="376">
        <v>6</v>
      </c>
      <c r="P477" s="378">
        <v>30</v>
      </c>
      <c r="Q477" s="378"/>
      <c r="R477" s="378"/>
      <c r="S477" s="378"/>
      <c r="T477" s="378"/>
      <c r="U477" s="378"/>
      <c r="V477" s="533"/>
      <c r="W477" s="378"/>
      <c r="X477" s="378"/>
      <c r="Y477" s="378">
        <f>IF(NFI_Expiration=1,IF($A477&lt;VLOOKUP(H$5,NFI,5,0),1,0)*Table_NFI[[#This Row],[Hygiene Kit]],Table_NFI[Hygiene Kit])</f>
        <v>0</v>
      </c>
      <c r="Z477" s="378">
        <f>IF(NFI_Expiration=1,IF($A477&lt;VLOOKUP(I$5,NFI,5,0),1,0)*Table_NFI[[#This Row],[NFI Core Kit]],Table_NFI[NFI Core Kit])</f>
        <v>0</v>
      </c>
      <c r="AA477" s="378">
        <f>IF(NFI_Expiration=1,IF($A477&lt;VLOOKUP(J$5,NFI,5,0),1,0)*Table_NFI[[#This Row],[Sanitary Kit]],Table_NFI[Sanitary Kit])</f>
        <v>0</v>
      </c>
      <c r="AB477" s="378">
        <f>IF(NFI_Expiration=1,IF($A477&lt;VLOOKUP(K$5,NFI,5,0),1,0)*Table_NFI[[#This Row],[Mosquito net]],Table_NFI[Mosquito net])</f>
        <v>0</v>
      </c>
      <c r="AC477" s="378">
        <f>IF(NFI_Expiration=1,IF($A477&lt;VLOOKUP(L$5,NFI,5,0),1,0)*Table_NFI[[#This Row],[Tarpaulin]],Table_NFI[[#This Row],[Tarpaulin]])</f>
        <v>0</v>
      </c>
      <c r="AD477" s="378">
        <f>IF(NFI_Expiration=1,IF($A477&lt;VLOOKUP(M$5,NFI,5,0),1,0)*Table_NFI[[#This Row],[Blanket]],Table_NFI[[#This Row],[Blanket]])</f>
        <v>0</v>
      </c>
      <c r="AE477" s="378">
        <f>IF(NFI_Expiration=1,IF($A477&lt;VLOOKUP(N$5,NFI,5,0),1,0)*Table_NFI[[#This Row],[Kitchen Set]],Table_NFI[Kitchen Set])</f>
        <v>0</v>
      </c>
      <c r="AF477" s="378">
        <f>IF(NFI_Expiration=1,IF($A477&lt;VLOOKUP(O$5,NFI,5,0),1,0)*Table_NFI[[#This Row],[Clothes Kit]],Table_NFI[Clothes Kit])</f>
        <v>0</v>
      </c>
      <c r="AG477" s="378">
        <f>IF(NFI_Expiration=1,IF($A477&lt;VLOOKUP(P$5,NFI,5,0),1,0)*Table_NFI[[#This Row],[Plastic Bucket]],Table_NFI[Plastic Bucket])</f>
        <v>0</v>
      </c>
      <c r="AH477" s="378">
        <f>IF(NFI_Expiration=1,IF($A477&lt;VLOOKUP(Q$5,NFI,5,0),1,0)*Table_NFI[[#This Row],[Plastic Mat]],Table_NFI[Plastic Mat])*IF(Table_NFI[[#This Row],[Distribution Date]]&gt;"2014-04-01",1,2.5)</f>
        <v>0</v>
      </c>
      <c r="AI477" s="378">
        <f>IF(NFI_Expiration=1,IF($A477&lt;VLOOKUP(R$5,NFI,5,0),1,0)*Table_NFI[[#This Row],[Winter Clothes Adult]],Table_NFI[Winter Clothes Adult])</f>
        <v>0</v>
      </c>
      <c r="AJ477" s="378">
        <f>IF(NFI_Expiration=1,IF($A477&lt;VLOOKUP(S$5,NFI,5,0),1,0)*Table_NFI[[#This Row],[Winter Clothes Children]],Table_NFI[Winter Clothes Children])</f>
        <v>0</v>
      </c>
      <c r="AK477" s="378">
        <f>IF(NFI_Expiration=1,IF($A477&lt;VLOOKUP(T$5,NFI,5,0),1,0)*Table_NFI[[#This Row],[Winter Items Other]],Table_NFI[Winter Items Other])</f>
        <v>0</v>
      </c>
      <c r="AL477" s="378">
        <f>IF(NFI_Expiration=1,IF($A477&lt;VLOOKUP(M$5,NFI,5,0),1,0)*Table_NFI[[#This Row],[Winter Blanket]],Table_NFI[[#This Row],[Winter Blanket]])</f>
        <v>0</v>
      </c>
      <c r="AM477" s="378">
        <f>IF(Table_NFI[[#This Row],[Winter Clothes Adult]]+Table_NFI[[#This Row],[Winter Clothes Children]]+Table_NFI[[#This Row],[Winter Items Other]]+Table_NFI[[#This Row],[Winter Blanket]]&gt;0,1,0)</f>
        <v>0</v>
      </c>
      <c r="AN477" s="418">
        <f>IF(NFI_Expiration=1,IF($A477&lt;VLOOKUP(V$5,NFI,5,0),1,0)*Table_NFI[[#This Row],[Jerry Can]],Table_NFI[Jerry Can])</f>
        <v>0</v>
      </c>
      <c r="AO477" s="579" t="str">
        <f>IFERROR(VLOOKUP(Table_NFI[[#This Row],[Camp Name]],CL,2,0),"")</f>
        <v>MMR001CMP020</v>
      </c>
      <c r="AP477" s="574">
        <f ca="1">IF(Table_NFI[[#This Row],[Pcode]]="","",IF(OFFSET(CampList[Opening Date],MATCH(Table_NFI[[#This Row],[Pcode]],CampList[CP_Pcode],0)-1,0,1,1)&gt;=NFI_Monitor_Date,1,0))</f>
        <v>0</v>
      </c>
      <c r="AQ477" s="579" t="str">
        <f>IFERROR(VLOOKUP(Table_NFI[[#This Row],[Camp Name]],CL,3,0),"")</f>
        <v>Open</v>
      </c>
      <c r="AR477" s="378" t="str">
        <f ca="1">IF(Table_NFI[[#This Row],[Pcode]]="","",OFFSET(CampList[Priority],MATCH(Table_NFI[[#This Row],[Pcode]],CampList[CP_Pcode],0)-1,0,1,1))</f>
        <v>P4</v>
      </c>
      <c r="AS477" s="377">
        <f>IFERROR(Table_NFI[[#This Row],[Kitchen Set]]/VLOOKUP(Table_NFI[[#This Row],[Camp Name]],CL,4,0),"")</f>
        <v>0</v>
      </c>
      <c r="AT477" s="572"/>
      <c r="AU477" s="575"/>
    </row>
    <row r="478" spans="1:47" s="576" customFormat="1" x14ac:dyDescent="0.25">
      <c r="A478" s="381">
        <f t="shared" si="7"/>
        <v>41.6</v>
      </c>
      <c r="B478" s="571">
        <v>41274</v>
      </c>
      <c r="C478" s="572" t="s">
        <v>455</v>
      </c>
      <c r="D478" s="573" t="s">
        <v>455</v>
      </c>
      <c r="E478" s="572" t="s">
        <v>380</v>
      </c>
      <c r="F478" s="374" t="s">
        <v>237</v>
      </c>
      <c r="G478" s="374" t="s">
        <v>263</v>
      </c>
      <c r="H478" s="375">
        <v>14</v>
      </c>
      <c r="I478" s="375"/>
      <c r="J478" s="375"/>
      <c r="K478" s="375"/>
      <c r="L478" s="376"/>
      <c r="M478" s="376"/>
      <c r="N478" s="376"/>
      <c r="O478" s="376"/>
      <c r="P478" s="378">
        <v>0</v>
      </c>
      <c r="Q478" s="378">
        <v>0</v>
      </c>
      <c r="R478" s="378"/>
      <c r="S478" s="378"/>
      <c r="T478" s="378"/>
      <c r="U478" s="378"/>
      <c r="V478" s="533"/>
      <c r="W478" s="378"/>
      <c r="X478" s="378"/>
      <c r="Y478" s="378">
        <f>IF(NFI_Expiration=1,IF($A478&lt;VLOOKUP(H$5,NFI,5,0),1,0)*Table_NFI[[#This Row],[Hygiene Kit]],Table_NFI[Hygiene Kit])</f>
        <v>0</v>
      </c>
      <c r="Z478" s="378">
        <f>IF(NFI_Expiration=1,IF($A478&lt;VLOOKUP(I$5,NFI,5,0),1,0)*Table_NFI[[#This Row],[NFI Core Kit]],Table_NFI[NFI Core Kit])</f>
        <v>0</v>
      </c>
      <c r="AA478" s="378">
        <f>IF(NFI_Expiration=1,IF($A478&lt;VLOOKUP(J$5,NFI,5,0),1,0)*Table_NFI[[#This Row],[Sanitary Kit]],Table_NFI[Sanitary Kit])</f>
        <v>0</v>
      </c>
      <c r="AB478" s="378">
        <f>IF(NFI_Expiration=1,IF($A478&lt;VLOOKUP(K$5,NFI,5,0),1,0)*Table_NFI[[#This Row],[Mosquito net]],Table_NFI[Mosquito net])</f>
        <v>0</v>
      </c>
      <c r="AC478" s="378">
        <f>IF(NFI_Expiration=1,IF($A478&lt;VLOOKUP(L$5,NFI,5,0),1,0)*Table_NFI[[#This Row],[Tarpaulin]],Table_NFI[[#This Row],[Tarpaulin]])</f>
        <v>0</v>
      </c>
      <c r="AD478" s="378">
        <f>IF(NFI_Expiration=1,IF($A478&lt;VLOOKUP(M$5,NFI,5,0),1,0)*Table_NFI[[#This Row],[Blanket]],Table_NFI[[#This Row],[Blanket]])</f>
        <v>0</v>
      </c>
      <c r="AE478" s="378">
        <f>IF(NFI_Expiration=1,IF($A478&lt;VLOOKUP(N$5,NFI,5,0),1,0)*Table_NFI[[#This Row],[Kitchen Set]],Table_NFI[Kitchen Set])</f>
        <v>0</v>
      </c>
      <c r="AF478" s="378">
        <f>IF(NFI_Expiration=1,IF($A478&lt;VLOOKUP(O$5,NFI,5,0),1,0)*Table_NFI[[#This Row],[Clothes Kit]],Table_NFI[Clothes Kit])</f>
        <v>0</v>
      </c>
      <c r="AG478" s="378">
        <f>IF(NFI_Expiration=1,IF($A478&lt;VLOOKUP(P$5,NFI,5,0),1,0)*Table_NFI[[#This Row],[Plastic Bucket]],Table_NFI[Plastic Bucket])</f>
        <v>0</v>
      </c>
      <c r="AH478" s="378">
        <f>IF(NFI_Expiration=1,IF($A478&lt;VLOOKUP(Q$5,NFI,5,0),1,0)*Table_NFI[[#This Row],[Plastic Mat]],Table_NFI[Plastic Mat])*IF(Table_NFI[[#This Row],[Distribution Date]]&gt;"2014-04-01",1,2.5)</f>
        <v>0</v>
      </c>
      <c r="AI478" s="378">
        <f>IF(NFI_Expiration=1,IF($A478&lt;VLOOKUP(R$5,NFI,5,0),1,0)*Table_NFI[[#This Row],[Winter Clothes Adult]],Table_NFI[Winter Clothes Adult])</f>
        <v>0</v>
      </c>
      <c r="AJ478" s="378">
        <f>IF(NFI_Expiration=1,IF($A478&lt;VLOOKUP(S$5,NFI,5,0),1,0)*Table_NFI[[#This Row],[Winter Clothes Children]],Table_NFI[Winter Clothes Children])</f>
        <v>0</v>
      </c>
      <c r="AK478" s="378">
        <f>IF(NFI_Expiration=1,IF($A478&lt;VLOOKUP(T$5,NFI,5,0),1,0)*Table_NFI[[#This Row],[Winter Items Other]],Table_NFI[Winter Items Other])</f>
        <v>0</v>
      </c>
      <c r="AL478" s="378">
        <f>IF(NFI_Expiration=1,IF($A478&lt;VLOOKUP(M$5,NFI,5,0),1,0)*Table_NFI[[#This Row],[Winter Blanket]],Table_NFI[[#This Row],[Winter Blanket]])</f>
        <v>0</v>
      </c>
      <c r="AM478" s="378">
        <f>IF(Table_NFI[[#This Row],[Winter Clothes Adult]]+Table_NFI[[#This Row],[Winter Clothes Children]]+Table_NFI[[#This Row],[Winter Items Other]]+Table_NFI[[#This Row],[Winter Blanket]]&gt;0,1,0)</f>
        <v>0</v>
      </c>
      <c r="AN478" s="418">
        <f>IF(NFI_Expiration=1,IF($A478&lt;VLOOKUP(V$5,NFI,5,0),1,0)*Table_NFI[[#This Row],[Jerry Can]],Table_NFI[Jerry Can])</f>
        <v>0</v>
      </c>
      <c r="AO478" s="579" t="str">
        <f>IFERROR(VLOOKUP(Table_NFI[[#This Row],[Camp Name]],CL,2,0),"")</f>
        <v>MMR001CMP020</v>
      </c>
      <c r="AP478" s="574">
        <f ca="1">IF(Table_NFI[[#This Row],[Pcode]]="","",IF(OFFSET(CampList[Opening Date],MATCH(Table_NFI[[#This Row],[Pcode]],CampList[CP_Pcode],0)-1,0,1,1)&gt;=NFI_Monitor_Date,1,0))</f>
        <v>0</v>
      </c>
      <c r="AQ478" s="579" t="str">
        <f>IFERROR(VLOOKUP(Table_NFI[[#This Row],[Camp Name]],CL,3,0),"")</f>
        <v>Open</v>
      </c>
      <c r="AR478" s="378" t="str">
        <f ca="1">IF(Table_NFI[[#This Row],[Pcode]]="","",OFFSET(CampList[Priority],MATCH(Table_NFI[[#This Row],[Pcode]],CampList[CP_Pcode],0)-1,0,1,1))</f>
        <v>P4</v>
      </c>
      <c r="AS478" s="377">
        <f>IFERROR(Table_NFI[[#This Row],[Kitchen Set]]/VLOOKUP(Table_NFI[[#This Row],[Camp Name]],CL,4,0),"")</f>
        <v>0</v>
      </c>
      <c r="AT478" s="572" t="s">
        <v>1095</v>
      </c>
      <c r="AU478" s="575"/>
    </row>
    <row r="479" spans="1:47" s="576" customFormat="1" x14ac:dyDescent="0.25">
      <c r="A479" s="381">
        <f t="shared" si="7"/>
        <v>45.8</v>
      </c>
      <c r="B479" s="571">
        <v>41148</v>
      </c>
      <c r="C479" s="572" t="s">
        <v>454</v>
      </c>
      <c r="D479" s="573" t="s">
        <v>454</v>
      </c>
      <c r="E479" s="572" t="s">
        <v>380</v>
      </c>
      <c r="F479" s="374" t="s">
        <v>237</v>
      </c>
      <c r="G479" s="374" t="s">
        <v>263</v>
      </c>
      <c r="H479" s="375"/>
      <c r="I479" s="375"/>
      <c r="J479" s="375"/>
      <c r="K479" s="375">
        <v>2</v>
      </c>
      <c r="L479" s="376">
        <v>1</v>
      </c>
      <c r="M479" s="376">
        <v>2</v>
      </c>
      <c r="N479" s="376">
        <v>1</v>
      </c>
      <c r="O479" s="376">
        <v>1</v>
      </c>
      <c r="P479" s="378">
        <v>1</v>
      </c>
      <c r="Q479" s="378">
        <v>1</v>
      </c>
      <c r="R479" s="378"/>
      <c r="S479" s="378"/>
      <c r="T479" s="378"/>
      <c r="U479" s="378"/>
      <c r="V479" s="533"/>
      <c r="W479" s="378"/>
      <c r="X479" s="378"/>
      <c r="Y479" s="378">
        <f>IF(NFI_Expiration=1,IF($A479&lt;VLOOKUP(H$5,NFI,5,0),1,0)*Table_NFI[[#This Row],[Hygiene Kit]],Table_NFI[Hygiene Kit])</f>
        <v>0</v>
      </c>
      <c r="Z479" s="378">
        <f>IF(NFI_Expiration=1,IF($A479&lt;VLOOKUP(I$5,NFI,5,0),1,0)*Table_NFI[[#This Row],[NFI Core Kit]],Table_NFI[NFI Core Kit])</f>
        <v>0</v>
      </c>
      <c r="AA479" s="378">
        <f>IF(NFI_Expiration=1,IF($A479&lt;VLOOKUP(J$5,NFI,5,0),1,0)*Table_NFI[[#This Row],[Sanitary Kit]],Table_NFI[Sanitary Kit])</f>
        <v>0</v>
      </c>
      <c r="AB479" s="378">
        <f>IF(NFI_Expiration=1,IF($A479&lt;VLOOKUP(K$5,NFI,5,0),1,0)*Table_NFI[[#This Row],[Mosquito net]],Table_NFI[Mosquito net])</f>
        <v>0</v>
      </c>
      <c r="AC479" s="378">
        <f>IF(NFI_Expiration=1,IF($A479&lt;VLOOKUP(L$5,NFI,5,0),1,0)*Table_NFI[[#This Row],[Tarpaulin]],Table_NFI[[#This Row],[Tarpaulin]])</f>
        <v>0</v>
      </c>
      <c r="AD479" s="378">
        <f>IF(NFI_Expiration=1,IF($A479&lt;VLOOKUP(M$5,NFI,5,0),1,0)*Table_NFI[[#This Row],[Blanket]],Table_NFI[[#This Row],[Blanket]])</f>
        <v>0</v>
      </c>
      <c r="AE479" s="378">
        <f>IF(NFI_Expiration=1,IF($A479&lt;VLOOKUP(N$5,NFI,5,0),1,0)*Table_NFI[[#This Row],[Kitchen Set]],Table_NFI[Kitchen Set])</f>
        <v>0</v>
      </c>
      <c r="AF479" s="378">
        <f>IF(NFI_Expiration=1,IF($A479&lt;VLOOKUP(O$5,NFI,5,0),1,0)*Table_NFI[[#This Row],[Clothes Kit]],Table_NFI[Clothes Kit])</f>
        <v>0</v>
      </c>
      <c r="AG479" s="378">
        <f>IF(NFI_Expiration=1,IF($A479&lt;VLOOKUP(P$5,NFI,5,0),1,0)*Table_NFI[[#This Row],[Plastic Bucket]],Table_NFI[Plastic Bucket])</f>
        <v>0</v>
      </c>
      <c r="AH479" s="378">
        <f>IF(NFI_Expiration=1,IF($A479&lt;VLOOKUP(Q$5,NFI,5,0),1,0)*Table_NFI[[#This Row],[Plastic Mat]],Table_NFI[Plastic Mat])*IF(Table_NFI[[#This Row],[Distribution Date]]&gt;"2014-04-01",1,2.5)</f>
        <v>0</v>
      </c>
      <c r="AI479" s="378">
        <f>IF(NFI_Expiration=1,IF($A479&lt;VLOOKUP(R$5,NFI,5,0),1,0)*Table_NFI[[#This Row],[Winter Clothes Adult]],Table_NFI[Winter Clothes Adult])</f>
        <v>0</v>
      </c>
      <c r="AJ479" s="378">
        <f>IF(NFI_Expiration=1,IF($A479&lt;VLOOKUP(S$5,NFI,5,0),1,0)*Table_NFI[[#This Row],[Winter Clothes Children]],Table_NFI[Winter Clothes Children])</f>
        <v>0</v>
      </c>
      <c r="AK479" s="378">
        <f>IF(NFI_Expiration=1,IF($A479&lt;VLOOKUP(T$5,NFI,5,0),1,0)*Table_NFI[[#This Row],[Winter Items Other]],Table_NFI[Winter Items Other])</f>
        <v>0</v>
      </c>
      <c r="AL479" s="378">
        <f>IF(NFI_Expiration=1,IF($A479&lt;VLOOKUP(M$5,NFI,5,0),1,0)*Table_NFI[[#This Row],[Winter Blanket]],Table_NFI[[#This Row],[Winter Blanket]])</f>
        <v>0</v>
      </c>
      <c r="AM479" s="378">
        <f>IF(Table_NFI[[#This Row],[Winter Clothes Adult]]+Table_NFI[[#This Row],[Winter Clothes Children]]+Table_NFI[[#This Row],[Winter Items Other]]+Table_NFI[[#This Row],[Winter Blanket]]&gt;0,1,0)</f>
        <v>0</v>
      </c>
      <c r="AN479" s="418">
        <f>IF(NFI_Expiration=1,IF($A479&lt;VLOOKUP(V$5,NFI,5,0),1,0)*Table_NFI[[#This Row],[Jerry Can]],Table_NFI[Jerry Can])</f>
        <v>0</v>
      </c>
      <c r="AO479" s="579" t="str">
        <f>IFERROR(VLOOKUP(Table_NFI[[#This Row],[Camp Name]],CL,2,0),"")</f>
        <v>MMR001CMP020</v>
      </c>
      <c r="AP479" s="574">
        <f ca="1">IF(Table_NFI[[#This Row],[Pcode]]="","",IF(OFFSET(CampList[Opening Date],MATCH(Table_NFI[[#This Row],[Pcode]],CampList[CP_Pcode],0)-1,0,1,1)&gt;=NFI_Monitor_Date,1,0))</f>
        <v>0</v>
      </c>
      <c r="AQ479" s="579" t="str">
        <f>IFERROR(VLOOKUP(Table_NFI[[#This Row],[Camp Name]],CL,3,0),"")</f>
        <v>Open</v>
      </c>
      <c r="AR479" s="378" t="str">
        <f ca="1">IF(Table_NFI[[#This Row],[Pcode]]="","",OFFSET(CampList[Priority],MATCH(Table_NFI[[#This Row],[Pcode]],CampList[CP_Pcode],0)-1,0,1,1))</f>
        <v>P4</v>
      </c>
      <c r="AS479" s="377">
        <f>IFERROR(Table_NFI[[#This Row],[Kitchen Set]]/VLOOKUP(Table_NFI[[#This Row],[Camp Name]],CL,4,0),"")</f>
        <v>4.7619047619047616E-2</v>
      </c>
      <c r="AT479" s="572" t="s">
        <v>1095</v>
      </c>
      <c r="AU479" s="575"/>
    </row>
    <row r="480" spans="1:47" s="576" customFormat="1" x14ac:dyDescent="0.25">
      <c r="A480" s="381">
        <f t="shared" si="7"/>
        <v>46.4</v>
      </c>
      <c r="B480" s="571">
        <v>41130</v>
      </c>
      <c r="C480" s="572" t="s">
        <v>454</v>
      </c>
      <c r="D480" s="572" t="s">
        <v>454</v>
      </c>
      <c r="E480" s="572" t="s">
        <v>380</v>
      </c>
      <c r="F480" s="374" t="s">
        <v>237</v>
      </c>
      <c r="G480" s="374" t="s">
        <v>263</v>
      </c>
      <c r="H480" s="375"/>
      <c r="I480" s="375"/>
      <c r="J480" s="375"/>
      <c r="K480" s="375">
        <v>2</v>
      </c>
      <c r="L480" s="376">
        <v>1</v>
      </c>
      <c r="M480" s="376">
        <v>2</v>
      </c>
      <c r="N480" s="376">
        <v>1</v>
      </c>
      <c r="O480" s="376">
        <v>1</v>
      </c>
      <c r="P480" s="378">
        <v>1</v>
      </c>
      <c r="Q480" s="378">
        <v>1</v>
      </c>
      <c r="R480" s="378"/>
      <c r="S480" s="378"/>
      <c r="T480" s="378"/>
      <c r="U480" s="378"/>
      <c r="V480" s="533"/>
      <c r="W480" s="378"/>
      <c r="X480" s="378"/>
      <c r="Y480" s="378">
        <f>IF(NFI_Expiration=1,IF($A480&lt;VLOOKUP(H$5,NFI,5,0),1,0)*Table_NFI[[#This Row],[Hygiene Kit]],Table_NFI[Hygiene Kit])</f>
        <v>0</v>
      </c>
      <c r="Z480" s="378">
        <f>IF(NFI_Expiration=1,IF($A480&lt;VLOOKUP(I$5,NFI,5,0),1,0)*Table_NFI[[#This Row],[NFI Core Kit]],Table_NFI[NFI Core Kit])</f>
        <v>0</v>
      </c>
      <c r="AA480" s="378">
        <f>IF(NFI_Expiration=1,IF($A480&lt;VLOOKUP(J$5,NFI,5,0),1,0)*Table_NFI[[#This Row],[Sanitary Kit]],Table_NFI[Sanitary Kit])</f>
        <v>0</v>
      </c>
      <c r="AB480" s="378">
        <f>IF(NFI_Expiration=1,IF($A480&lt;VLOOKUP(K$5,NFI,5,0),1,0)*Table_NFI[[#This Row],[Mosquito net]],Table_NFI[Mosquito net])</f>
        <v>0</v>
      </c>
      <c r="AC480" s="378">
        <f>IF(NFI_Expiration=1,IF($A480&lt;VLOOKUP(L$5,NFI,5,0),1,0)*Table_NFI[[#This Row],[Tarpaulin]],Table_NFI[[#This Row],[Tarpaulin]])</f>
        <v>0</v>
      </c>
      <c r="AD480" s="378">
        <f>IF(NFI_Expiration=1,IF($A480&lt;VLOOKUP(M$5,NFI,5,0),1,0)*Table_NFI[[#This Row],[Blanket]],Table_NFI[[#This Row],[Blanket]])</f>
        <v>0</v>
      </c>
      <c r="AE480" s="378">
        <f>IF(NFI_Expiration=1,IF($A480&lt;VLOOKUP(N$5,NFI,5,0),1,0)*Table_NFI[[#This Row],[Kitchen Set]],Table_NFI[Kitchen Set])</f>
        <v>0</v>
      </c>
      <c r="AF480" s="378">
        <f>IF(NFI_Expiration=1,IF($A480&lt;VLOOKUP(O$5,NFI,5,0),1,0)*Table_NFI[[#This Row],[Clothes Kit]],Table_NFI[Clothes Kit])</f>
        <v>0</v>
      </c>
      <c r="AG480" s="378">
        <f>IF(NFI_Expiration=1,IF($A480&lt;VLOOKUP(P$5,NFI,5,0),1,0)*Table_NFI[[#This Row],[Plastic Bucket]],Table_NFI[Plastic Bucket])</f>
        <v>0</v>
      </c>
      <c r="AH480" s="378">
        <f>IF(NFI_Expiration=1,IF($A480&lt;VLOOKUP(Q$5,NFI,5,0),1,0)*Table_NFI[[#This Row],[Plastic Mat]],Table_NFI[Plastic Mat])*IF(Table_NFI[[#This Row],[Distribution Date]]&gt;"2014-04-01",1,2.5)</f>
        <v>0</v>
      </c>
      <c r="AI480" s="378">
        <f>IF(NFI_Expiration=1,IF($A480&lt;VLOOKUP(R$5,NFI,5,0),1,0)*Table_NFI[[#This Row],[Winter Clothes Adult]],Table_NFI[Winter Clothes Adult])</f>
        <v>0</v>
      </c>
      <c r="AJ480" s="378">
        <f>IF(NFI_Expiration=1,IF($A480&lt;VLOOKUP(S$5,NFI,5,0),1,0)*Table_NFI[[#This Row],[Winter Clothes Children]],Table_NFI[Winter Clothes Children])</f>
        <v>0</v>
      </c>
      <c r="AK480" s="378">
        <f>IF(NFI_Expiration=1,IF($A480&lt;VLOOKUP(T$5,NFI,5,0),1,0)*Table_NFI[[#This Row],[Winter Items Other]],Table_NFI[Winter Items Other])</f>
        <v>0</v>
      </c>
      <c r="AL480" s="378">
        <f>IF(NFI_Expiration=1,IF($A480&lt;VLOOKUP(M$5,NFI,5,0),1,0)*Table_NFI[[#This Row],[Winter Blanket]],Table_NFI[[#This Row],[Winter Blanket]])</f>
        <v>0</v>
      </c>
      <c r="AM480" s="378">
        <f>IF(Table_NFI[[#This Row],[Winter Clothes Adult]]+Table_NFI[[#This Row],[Winter Clothes Children]]+Table_NFI[[#This Row],[Winter Items Other]]+Table_NFI[[#This Row],[Winter Blanket]]&gt;0,1,0)</f>
        <v>0</v>
      </c>
      <c r="AN480" s="418">
        <f>IF(NFI_Expiration=1,IF($A480&lt;VLOOKUP(V$5,NFI,5,0),1,0)*Table_NFI[[#This Row],[Jerry Can]],Table_NFI[Jerry Can])</f>
        <v>0</v>
      </c>
      <c r="AO480" s="579" t="str">
        <f>IFERROR(VLOOKUP(Table_NFI[[#This Row],[Camp Name]],CL,2,0),"")</f>
        <v>MMR001CMP020</v>
      </c>
      <c r="AP480" s="574">
        <f ca="1">IF(Table_NFI[[#This Row],[Pcode]]="","",IF(OFFSET(CampList[Opening Date],MATCH(Table_NFI[[#This Row],[Pcode]],CampList[CP_Pcode],0)-1,0,1,1)&gt;=NFI_Monitor_Date,1,0))</f>
        <v>0</v>
      </c>
      <c r="AQ480" s="579" t="str">
        <f>IFERROR(VLOOKUP(Table_NFI[[#This Row],[Camp Name]],CL,3,0),"")</f>
        <v>Open</v>
      </c>
      <c r="AR480" s="378" t="str">
        <f ca="1">IF(Table_NFI[[#This Row],[Pcode]]="","",OFFSET(CampList[Priority],MATCH(Table_NFI[[#This Row],[Pcode]],CampList[CP_Pcode],0)-1,0,1,1))</f>
        <v>P4</v>
      </c>
      <c r="AS480" s="377">
        <f>IFERROR(Table_NFI[[#This Row],[Kitchen Set]]/VLOOKUP(Table_NFI[[#This Row],[Camp Name]],CL,4,0),"")</f>
        <v>4.7619047619047616E-2</v>
      </c>
      <c r="AT480" s="572" t="s">
        <v>1095</v>
      </c>
      <c r="AU480" s="575"/>
    </row>
    <row r="481" spans="1:47" s="576" customFormat="1" x14ac:dyDescent="0.25">
      <c r="A481" s="381">
        <f t="shared" si="7"/>
        <v>47.166666666666664</v>
      </c>
      <c r="B481" s="571">
        <v>41107</v>
      </c>
      <c r="C481" s="572" t="s">
        <v>454</v>
      </c>
      <c r="D481" s="573" t="s">
        <v>454</v>
      </c>
      <c r="E481" s="572" t="s">
        <v>380</v>
      </c>
      <c r="F481" s="374" t="s">
        <v>237</v>
      </c>
      <c r="G481" s="374" t="s">
        <v>263</v>
      </c>
      <c r="H481" s="375"/>
      <c r="I481" s="375"/>
      <c r="J481" s="375"/>
      <c r="K481" s="375">
        <v>0</v>
      </c>
      <c r="L481" s="376">
        <v>0</v>
      </c>
      <c r="M481" s="376">
        <v>0</v>
      </c>
      <c r="N481" s="376">
        <v>0</v>
      </c>
      <c r="O481" s="376">
        <v>0</v>
      </c>
      <c r="P481" s="378"/>
      <c r="Q481" s="378"/>
      <c r="R481" s="378"/>
      <c r="S481" s="378"/>
      <c r="T481" s="378"/>
      <c r="U481" s="378"/>
      <c r="V481" s="533"/>
      <c r="W481" s="378"/>
      <c r="X481" s="378"/>
      <c r="Y481" s="378">
        <f>IF(NFI_Expiration=1,IF($A481&lt;VLOOKUP(H$5,NFI,5,0),1,0)*Table_NFI[[#This Row],[Hygiene Kit]],Table_NFI[Hygiene Kit])</f>
        <v>0</v>
      </c>
      <c r="Z481" s="378">
        <f>IF(NFI_Expiration=1,IF($A481&lt;VLOOKUP(I$5,NFI,5,0),1,0)*Table_NFI[[#This Row],[NFI Core Kit]],Table_NFI[NFI Core Kit])</f>
        <v>0</v>
      </c>
      <c r="AA481" s="378">
        <f>IF(NFI_Expiration=1,IF($A481&lt;VLOOKUP(J$5,NFI,5,0),1,0)*Table_NFI[[#This Row],[Sanitary Kit]],Table_NFI[Sanitary Kit])</f>
        <v>0</v>
      </c>
      <c r="AB481" s="378">
        <f>IF(NFI_Expiration=1,IF($A481&lt;VLOOKUP(K$5,NFI,5,0),1,0)*Table_NFI[[#This Row],[Mosquito net]],Table_NFI[Mosquito net])</f>
        <v>0</v>
      </c>
      <c r="AC481" s="378">
        <f>IF(NFI_Expiration=1,IF($A481&lt;VLOOKUP(L$5,NFI,5,0),1,0)*Table_NFI[[#This Row],[Tarpaulin]],Table_NFI[[#This Row],[Tarpaulin]])</f>
        <v>0</v>
      </c>
      <c r="AD481" s="378">
        <f>IF(NFI_Expiration=1,IF($A481&lt;VLOOKUP(M$5,NFI,5,0),1,0)*Table_NFI[[#This Row],[Blanket]],Table_NFI[[#This Row],[Blanket]])</f>
        <v>0</v>
      </c>
      <c r="AE481" s="378">
        <f>IF(NFI_Expiration=1,IF($A481&lt;VLOOKUP(N$5,NFI,5,0),1,0)*Table_NFI[[#This Row],[Kitchen Set]],Table_NFI[Kitchen Set])</f>
        <v>0</v>
      </c>
      <c r="AF481" s="378">
        <f>IF(NFI_Expiration=1,IF($A481&lt;VLOOKUP(O$5,NFI,5,0),1,0)*Table_NFI[[#This Row],[Clothes Kit]],Table_NFI[Clothes Kit])</f>
        <v>0</v>
      </c>
      <c r="AG481" s="378">
        <f>IF(NFI_Expiration=1,IF($A481&lt;VLOOKUP(P$5,NFI,5,0),1,0)*Table_NFI[[#This Row],[Plastic Bucket]],Table_NFI[Plastic Bucket])</f>
        <v>0</v>
      </c>
      <c r="AH481" s="378">
        <f>IF(NFI_Expiration=1,IF($A481&lt;VLOOKUP(Q$5,NFI,5,0),1,0)*Table_NFI[[#This Row],[Plastic Mat]],Table_NFI[Plastic Mat])*IF(Table_NFI[[#This Row],[Distribution Date]]&gt;"2014-04-01",1,2.5)</f>
        <v>0</v>
      </c>
      <c r="AI481" s="378">
        <f>IF(NFI_Expiration=1,IF($A481&lt;VLOOKUP(R$5,NFI,5,0),1,0)*Table_NFI[[#This Row],[Winter Clothes Adult]],Table_NFI[Winter Clothes Adult])</f>
        <v>0</v>
      </c>
      <c r="AJ481" s="378">
        <f>IF(NFI_Expiration=1,IF($A481&lt;VLOOKUP(S$5,NFI,5,0),1,0)*Table_NFI[[#This Row],[Winter Clothes Children]],Table_NFI[Winter Clothes Children])</f>
        <v>0</v>
      </c>
      <c r="AK481" s="378">
        <f>IF(NFI_Expiration=1,IF($A481&lt;VLOOKUP(T$5,NFI,5,0),1,0)*Table_NFI[[#This Row],[Winter Items Other]],Table_NFI[Winter Items Other])</f>
        <v>0</v>
      </c>
      <c r="AL481" s="378">
        <f>IF(NFI_Expiration=1,IF($A481&lt;VLOOKUP(M$5,NFI,5,0),1,0)*Table_NFI[[#This Row],[Winter Blanket]],Table_NFI[[#This Row],[Winter Blanket]])</f>
        <v>0</v>
      </c>
      <c r="AM481" s="378">
        <f>IF(Table_NFI[[#This Row],[Winter Clothes Adult]]+Table_NFI[[#This Row],[Winter Clothes Children]]+Table_NFI[[#This Row],[Winter Items Other]]+Table_NFI[[#This Row],[Winter Blanket]]&gt;0,1,0)</f>
        <v>0</v>
      </c>
      <c r="AN481" s="418">
        <f>IF(NFI_Expiration=1,IF($A481&lt;VLOOKUP(V$5,NFI,5,0),1,0)*Table_NFI[[#This Row],[Jerry Can]],Table_NFI[Jerry Can])</f>
        <v>0</v>
      </c>
      <c r="AO481" s="579" t="str">
        <f>IFERROR(VLOOKUP(Table_NFI[[#This Row],[Camp Name]],CL,2,0),"")</f>
        <v>MMR001CMP020</v>
      </c>
      <c r="AP481" s="574">
        <f ca="1">IF(Table_NFI[[#This Row],[Pcode]]="","",IF(OFFSET(CampList[Opening Date],MATCH(Table_NFI[[#This Row],[Pcode]],CampList[CP_Pcode],0)-1,0,1,1)&gt;=NFI_Monitor_Date,1,0))</f>
        <v>0</v>
      </c>
      <c r="AQ481" s="579" t="str">
        <f>IFERROR(VLOOKUP(Table_NFI[[#This Row],[Camp Name]],CL,3,0),"")</f>
        <v>Open</v>
      </c>
      <c r="AR481" s="378" t="str">
        <f ca="1">IF(Table_NFI[[#This Row],[Pcode]]="","",OFFSET(CampList[Priority],MATCH(Table_NFI[[#This Row],[Pcode]],CampList[CP_Pcode],0)-1,0,1,1))</f>
        <v>P4</v>
      </c>
      <c r="AS481" s="377">
        <f>IFERROR(Table_NFI[[#This Row],[Kitchen Set]]/VLOOKUP(Table_NFI[[#This Row],[Camp Name]],CL,4,0),"")</f>
        <v>0</v>
      </c>
      <c r="AT481" s="572" t="s">
        <v>1095</v>
      </c>
      <c r="AU481" s="575"/>
    </row>
    <row r="482" spans="1:47" s="576" customFormat="1" x14ac:dyDescent="0.25">
      <c r="A482" s="381">
        <f t="shared" si="7"/>
        <v>47.166666666666664</v>
      </c>
      <c r="B482" s="571">
        <v>41107</v>
      </c>
      <c r="C482" s="572" t="s">
        <v>454</v>
      </c>
      <c r="D482" s="573" t="s">
        <v>454</v>
      </c>
      <c r="E482" s="572" t="s">
        <v>380</v>
      </c>
      <c r="F482" s="374" t="s">
        <v>237</v>
      </c>
      <c r="G482" s="374" t="s">
        <v>263</v>
      </c>
      <c r="H482" s="375"/>
      <c r="I482" s="375"/>
      <c r="J482" s="375"/>
      <c r="K482" s="375">
        <v>19</v>
      </c>
      <c r="L482" s="376">
        <v>19</v>
      </c>
      <c r="M482" s="376">
        <v>19</v>
      </c>
      <c r="N482" s="376">
        <v>19</v>
      </c>
      <c r="O482" s="376">
        <v>19</v>
      </c>
      <c r="P482" s="378">
        <v>19</v>
      </c>
      <c r="Q482" s="378">
        <v>19</v>
      </c>
      <c r="R482" s="378"/>
      <c r="S482" s="378"/>
      <c r="T482" s="378"/>
      <c r="U482" s="378"/>
      <c r="V482" s="533"/>
      <c r="W482" s="378"/>
      <c r="X482" s="378"/>
      <c r="Y482" s="378">
        <f>IF(NFI_Expiration=1,IF($A482&lt;VLOOKUP(H$5,NFI,5,0),1,0)*Table_NFI[[#This Row],[Hygiene Kit]],Table_NFI[Hygiene Kit])</f>
        <v>0</v>
      </c>
      <c r="Z482" s="378">
        <f>IF(NFI_Expiration=1,IF($A482&lt;VLOOKUP(I$5,NFI,5,0),1,0)*Table_NFI[[#This Row],[NFI Core Kit]],Table_NFI[NFI Core Kit])</f>
        <v>0</v>
      </c>
      <c r="AA482" s="378">
        <f>IF(NFI_Expiration=1,IF($A482&lt;VLOOKUP(J$5,NFI,5,0),1,0)*Table_NFI[[#This Row],[Sanitary Kit]],Table_NFI[Sanitary Kit])</f>
        <v>0</v>
      </c>
      <c r="AB482" s="378">
        <f>IF(NFI_Expiration=1,IF($A482&lt;VLOOKUP(K$5,NFI,5,0),1,0)*Table_NFI[[#This Row],[Mosquito net]],Table_NFI[Mosquito net])</f>
        <v>0</v>
      </c>
      <c r="AC482" s="378">
        <f>IF(NFI_Expiration=1,IF($A482&lt;VLOOKUP(L$5,NFI,5,0),1,0)*Table_NFI[[#This Row],[Tarpaulin]],Table_NFI[[#This Row],[Tarpaulin]])</f>
        <v>0</v>
      </c>
      <c r="AD482" s="378">
        <f>IF(NFI_Expiration=1,IF($A482&lt;VLOOKUP(M$5,NFI,5,0),1,0)*Table_NFI[[#This Row],[Blanket]],Table_NFI[[#This Row],[Blanket]])</f>
        <v>0</v>
      </c>
      <c r="AE482" s="378">
        <f>IF(NFI_Expiration=1,IF($A482&lt;VLOOKUP(N$5,NFI,5,0),1,0)*Table_NFI[[#This Row],[Kitchen Set]],Table_NFI[Kitchen Set])</f>
        <v>0</v>
      </c>
      <c r="AF482" s="378">
        <f>IF(NFI_Expiration=1,IF($A482&lt;VLOOKUP(O$5,NFI,5,0),1,0)*Table_NFI[[#This Row],[Clothes Kit]],Table_NFI[Clothes Kit])</f>
        <v>0</v>
      </c>
      <c r="AG482" s="378">
        <f>IF(NFI_Expiration=1,IF($A482&lt;VLOOKUP(P$5,NFI,5,0),1,0)*Table_NFI[[#This Row],[Plastic Bucket]],Table_NFI[Plastic Bucket])</f>
        <v>0</v>
      </c>
      <c r="AH482" s="378">
        <f>IF(NFI_Expiration=1,IF($A482&lt;VLOOKUP(Q$5,NFI,5,0),1,0)*Table_NFI[[#This Row],[Plastic Mat]],Table_NFI[Plastic Mat])*IF(Table_NFI[[#This Row],[Distribution Date]]&gt;"2014-04-01",1,2.5)</f>
        <v>0</v>
      </c>
      <c r="AI482" s="378">
        <f>IF(NFI_Expiration=1,IF($A482&lt;VLOOKUP(R$5,NFI,5,0),1,0)*Table_NFI[[#This Row],[Winter Clothes Adult]],Table_NFI[Winter Clothes Adult])</f>
        <v>0</v>
      </c>
      <c r="AJ482" s="378">
        <f>IF(NFI_Expiration=1,IF($A482&lt;VLOOKUP(S$5,NFI,5,0),1,0)*Table_NFI[[#This Row],[Winter Clothes Children]],Table_NFI[Winter Clothes Children])</f>
        <v>0</v>
      </c>
      <c r="AK482" s="378">
        <f>IF(NFI_Expiration=1,IF($A482&lt;VLOOKUP(T$5,NFI,5,0),1,0)*Table_NFI[[#This Row],[Winter Items Other]],Table_NFI[Winter Items Other])</f>
        <v>0</v>
      </c>
      <c r="AL482" s="378">
        <f>IF(NFI_Expiration=1,IF($A482&lt;VLOOKUP(M$5,NFI,5,0),1,0)*Table_NFI[[#This Row],[Winter Blanket]],Table_NFI[[#This Row],[Winter Blanket]])</f>
        <v>0</v>
      </c>
      <c r="AM482" s="378">
        <f>IF(Table_NFI[[#This Row],[Winter Clothes Adult]]+Table_NFI[[#This Row],[Winter Clothes Children]]+Table_NFI[[#This Row],[Winter Items Other]]+Table_NFI[[#This Row],[Winter Blanket]]&gt;0,1,0)</f>
        <v>0</v>
      </c>
      <c r="AN482" s="418">
        <f>IF(NFI_Expiration=1,IF($A482&lt;VLOOKUP(V$5,NFI,5,0),1,0)*Table_NFI[[#This Row],[Jerry Can]],Table_NFI[Jerry Can])</f>
        <v>0</v>
      </c>
      <c r="AO482" s="579" t="str">
        <f>IFERROR(VLOOKUP(Table_NFI[[#This Row],[Camp Name]],CL,2,0),"")</f>
        <v>MMR001CMP020</v>
      </c>
      <c r="AP482" s="574">
        <f ca="1">IF(Table_NFI[[#This Row],[Pcode]]="","",IF(OFFSET(CampList[Opening Date],MATCH(Table_NFI[[#This Row],[Pcode]],CampList[CP_Pcode],0)-1,0,1,1)&gt;=NFI_Monitor_Date,1,0))</f>
        <v>0</v>
      </c>
      <c r="AQ482" s="579" t="str">
        <f>IFERROR(VLOOKUP(Table_NFI[[#This Row],[Camp Name]],CL,3,0),"")</f>
        <v>Open</v>
      </c>
      <c r="AR482" s="378" t="str">
        <f ca="1">IF(Table_NFI[[#This Row],[Pcode]]="","",OFFSET(CampList[Priority],MATCH(Table_NFI[[#This Row],[Pcode]],CampList[CP_Pcode],0)-1,0,1,1))</f>
        <v>P4</v>
      </c>
      <c r="AS482" s="377">
        <f>IFERROR(Table_NFI[[#This Row],[Kitchen Set]]/VLOOKUP(Table_NFI[[#This Row],[Camp Name]],CL,4,0),"")</f>
        <v>0.90476190476190477</v>
      </c>
      <c r="AT482" s="572" t="s">
        <v>1095</v>
      </c>
      <c r="AU482" s="575"/>
    </row>
    <row r="483" spans="1:47" s="576" customFormat="1" x14ac:dyDescent="0.25">
      <c r="A483" s="381">
        <f t="shared" si="7"/>
        <v>48.7</v>
      </c>
      <c r="B483" s="571">
        <v>41061</v>
      </c>
      <c r="C483" s="572" t="s">
        <v>454</v>
      </c>
      <c r="D483" s="572" t="s">
        <v>454</v>
      </c>
      <c r="E483" s="572" t="s">
        <v>380</v>
      </c>
      <c r="F483" s="374" t="s">
        <v>237</v>
      </c>
      <c r="G483" s="374" t="s">
        <v>263</v>
      </c>
      <c r="H483" s="375"/>
      <c r="I483" s="375"/>
      <c r="J483" s="375"/>
      <c r="K483" s="375">
        <v>22</v>
      </c>
      <c r="L483" s="376">
        <v>11</v>
      </c>
      <c r="M483" s="376">
        <v>22</v>
      </c>
      <c r="N483" s="376">
        <v>11</v>
      </c>
      <c r="O483" s="376">
        <v>11</v>
      </c>
      <c r="P483" s="378">
        <v>11</v>
      </c>
      <c r="Q483" s="378">
        <v>11</v>
      </c>
      <c r="R483" s="378"/>
      <c r="S483" s="378"/>
      <c r="T483" s="378"/>
      <c r="U483" s="378"/>
      <c r="V483" s="533"/>
      <c r="W483" s="378"/>
      <c r="X483" s="378"/>
      <c r="Y483" s="378">
        <f>IF(NFI_Expiration=1,IF($A483&lt;VLOOKUP(H$5,NFI,5,0),1,0)*Table_NFI[[#This Row],[Hygiene Kit]],Table_NFI[Hygiene Kit])</f>
        <v>0</v>
      </c>
      <c r="Z483" s="378">
        <f>IF(NFI_Expiration=1,IF($A483&lt;VLOOKUP(I$5,NFI,5,0),1,0)*Table_NFI[[#This Row],[NFI Core Kit]],Table_NFI[NFI Core Kit])</f>
        <v>0</v>
      </c>
      <c r="AA483" s="378">
        <f>IF(NFI_Expiration=1,IF($A483&lt;VLOOKUP(J$5,NFI,5,0),1,0)*Table_NFI[[#This Row],[Sanitary Kit]],Table_NFI[Sanitary Kit])</f>
        <v>0</v>
      </c>
      <c r="AB483" s="378">
        <f>IF(NFI_Expiration=1,IF($A483&lt;VLOOKUP(K$5,NFI,5,0),1,0)*Table_NFI[[#This Row],[Mosquito net]],Table_NFI[Mosquito net])</f>
        <v>0</v>
      </c>
      <c r="AC483" s="378">
        <f>IF(NFI_Expiration=1,IF($A483&lt;VLOOKUP(L$5,NFI,5,0),1,0)*Table_NFI[[#This Row],[Tarpaulin]],Table_NFI[[#This Row],[Tarpaulin]])</f>
        <v>0</v>
      </c>
      <c r="AD483" s="378">
        <f>IF(NFI_Expiration=1,IF($A483&lt;VLOOKUP(M$5,NFI,5,0),1,0)*Table_NFI[[#This Row],[Blanket]],Table_NFI[[#This Row],[Blanket]])</f>
        <v>0</v>
      </c>
      <c r="AE483" s="378">
        <f>IF(NFI_Expiration=1,IF($A483&lt;VLOOKUP(N$5,NFI,5,0),1,0)*Table_NFI[[#This Row],[Kitchen Set]],Table_NFI[Kitchen Set])</f>
        <v>0</v>
      </c>
      <c r="AF483" s="378">
        <f>IF(NFI_Expiration=1,IF($A483&lt;VLOOKUP(O$5,NFI,5,0),1,0)*Table_NFI[[#This Row],[Clothes Kit]],Table_NFI[Clothes Kit])</f>
        <v>0</v>
      </c>
      <c r="AG483" s="378">
        <f>IF(NFI_Expiration=1,IF($A483&lt;VLOOKUP(P$5,NFI,5,0),1,0)*Table_NFI[[#This Row],[Plastic Bucket]],Table_NFI[Plastic Bucket])</f>
        <v>0</v>
      </c>
      <c r="AH483" s="378">
        <f>IF(NFI_Expiration=1,IF($A483&lt;VLOOKUP(Q$5,NFI,5,0),1,0)*Table_NFI[[#This Row],[Plastic Mat]],Table_NFI[Plastic Mat])*IF(Table_NFI[[#This Row],[Distribution Date]]&gt;"2014-04-01",1,2.5)</f>
        <v>0</v>
      </c>
      <c r="AI483" s="378">
        <f>IF(NFI_Expiration=1,IF($A483&lt;VLOOKUP(R$5,NFI,5,0),1,0)*Table_NFI[[#This Row],[Winter Clothes Adult]],Table_NFI[Winter Clothes Adult])</f>
        <v>0</v>
      </c>
      <c r="AJ483" s="378">
        <f>IF(NFI_Expiration=1,IF($A483&lt;VLOOKUP(S$5,NFI,5,0),1,0)*Table_NFI[[#This Row],[Winter Clothes Children]],Table_NFI[Winter Clothes Children])</f>
        <v>0</v>
      </c>
      <c r="AK483" s="378">
        <f>IF(NFI_Expiration=1,IF($A483&lt;VLOOKUP(T$5,NFI,5,0),1,0)*Table_NFI[[#This Row],[Winter Items Other]],Table_NFI[Winter Items Other])</f>
        <v>0</v>
      </c>
      <c r="AL483" s="378">
        <f>IF(NFI_Expiration=1,IF($A483&lt;VLOOKUP(M$5,NFI,5,0),1,0)*Table_NFI[[#This Row],[Winter Blanket]],Table_NFI[[#This Row],[Winter Blanket]])</f>
        <v>0</v>
      </c>
      <c r="AM483" s="378">
        <f>IF(Table_NFI[[#This Row],[Winter Clothes Adult]]+Table_NFI[[#This Row],[Winter Clothes Children]]+Table_NFI[[#This Row],[Winter Items Other]]+Table_NFI[[#This Row],[Winter Blanket]]&gt;0,1,0)</f>
        <v>0</v>
      </c>
      <c r="AN483" s="418">
        <f>IF(NFI_Expiration=1,IF($A483&lt;VLOOKUP(V$5,NFI,5,0),1,0)*Table_NFI[[#This Row],[Jerry Can]],Table_NFI[Jerry Can])</f>
        <v>0</v>
      </c>
      <c r="AO483" s="579" t="str">
        <f>IFERROR(VLOOKUP(Table_NFI[[#This Row],[Camp Name]],CL,2,0),"")</f>
        <v>MMR001CMP020</v>
      </c>
      <c r="AP483" s="574">
        <f ca="1">IF(Table_NFI[[#This Row],[Pcode]]="","",IF(OFFSET(CampList[Opening Date],MATCH(Table_NFI[[#This Row],[Pcode]],CampList[CP_Pcode],0)-1,0,1,1)&gt;=NFI_Monitor_Date,1,0))</f>
        <v>0</v>
      </c>
      <c r="AQ483" s="579" t="str">
        <f>IFERROR(VLOOKUP(Table_NFI[[#This Row],[Camp Name]],CL,3,0),"")</f>
        <v>Open</v>
      </c>
      <c r="AR483" s="378" t="str">
        <f ca="1">IF(Table_NFI[[#This Row],[Pcode]]="","",OFFSET(CampList[Priority],MATCH(Table_NFI[[#This Row],[Pcode]],CampList[CP_Pcode],0)-1,0,1,1))</f>
        <v>P4</v>
      </c>
      <c r="AS483" s="377">
        <f>IFERROR(Table_NFI[[#This Row],[Kitchen Set]]/VLOOKUP(Table_NFI[[#This Row],[Camp Name]],CL,4,0),"")</f>
        <v>0.52380952380952384</v>
      </c>
      <c r="AT483" s="572" t="s">
        <v>1095</v>
      </c>
      <c r="AU483" s="575"/>
    </row>
    <row r="484" spans="1:47" s="576" customFormat="1" x14ac:dyDescent="0.25">
      <c r="A484" s="381">
        <f t="shared" si="7"/>
        <v>52.533333333333331</v>
      </c>
      <c r="B484" s="571">
        <v>40946</v>
      </c>
      <c r="C484" s="572" t="s">
        <v>454</v>
      </c>
      <c r="D484" s="573" t="s">
        <v>905</v>
      </c>
      <c r="E484" s="572" t="s">
        <v>380</v>
      </c>
      <c r="F484" s="374" t="s">
        <v>237</v>
      </c>
      <c r="G484" s="374" t="s">
        <v>263</v>
      </c>
      <c r="H484" s="375"/>
      <c r="I484" s="375"/>
      <c r="J484" s="375"/>
      <c r="K484" s="375">
        <v>38</v>
      </c>
      <c r="L484" s="376">
        <v>18</v>
      </c>
      <c r="M484" s="376">
        <v>38</v>
      </c>
      <c r="N484" s="376">
        <v>18</v>
      </c>
      <c r="O484" s="376">
        <v>18</v>
      </c>
      <c r="P484" s="378">
        <v>18</v>
      </c>
      <c r="Q484" s="378">
        <v>18</v>
      </c>
      <c r="R484" s="378"/>
      <c r="S484" s="378"/>
      <c r="T484" s="378"/>
      <c r="U484" s="378"/>
      <c r="V484" s="533"/>
      <c r="W484" s="378"/>
      <c r="X484" s="378"/>
      <c r="Y484" s="378">
        <f>IF(NFI_Expiration=1,IF($A484&lt;VLOOKUP(H$5,NFI,5,0),1,0)*Table_NFI[[#This Row],[Hygiene Kit]],Table_NFI[Hygiene Kit])</f>
        <v>0</v>
      </c>
      <c r="Z484" s="378">
        <f>IF(NFI_Expiration=1,IF($A484&lt;VLOOKUP(I$5,NFI,5,0),1,0)*Table_NFI[[#This Row],[NFI Core Kit]],Table_NFI[NFI Core Kit])</f>
        <v>0</v>
      </c>
      <c r="AA484" s="378">
        <f>IF(NFI_Expiration=1,IF($A484&lt;VLOOKUP(J$5,NFI,5,0),1,0)*Table_NFI[[#This Row],[Sanitary Kit]],Table_NFI[Sanitary Kit])</f>
        <v>0</v>
      </c>
      <c r="AB484" s="378">
        <f>IF(NFI_Expiration=1,IF($A484&lt;VLOOKUP(K$5,NFI,5,0),1,0)*Table_NFI[[#This Row],[Mosquito net]],Table_NFI[Mosquito net])</f>
        <v>0</v>
      </c>
      <c r="AC484" s="378">
        <f>IF(NFI_Expiration=1,IF($A484&lt;VLOOKUP(L$5,NFI,5,0),1,0)*Table_NFI[[#This Row],[Tarpaulin]],Table_NFI[[#This Row],[Tarpaulin]])</f>
        <v>0</v>
      </c>
      <c r="AD484" s="378">
        <f>IF(NFI_Expiration=1,IF($A484&lt;VLOOKUP(M$5,NFI,5,0),1,0)*Table_NFI[[#This Row],[Blanket]],Table_NFI[[#This Row],[Blanket]])</f>
        <v>0</v>
      </c>
      <c r="AE484" s="378">
        <f>IF(NFI_Expiration=1,IF($A484&lt;VLOOKUP(N$5,NFI,5,0),1,0)*Table_NFI[[#This Row],[Kitchen Set]],Table_NFI[Kitchen Set])</f>
        <v>0</v>
      </c>
      <c r="AF484" s="378">
        <f>IF(NFI_Expiration=1,IF($A484&lt;VLOOKUP(O$5,NFI,5,0),1,0)*Table_NFI[[#This Row],[Clothes Kit]],Table_NFI[Clothes Kit])</f>
        <v>0</v>
      </c>
      <c r="AG484" s="378">
        <f>IF(NFI_Expiration=1,IF($A484&lt;VLOOKUP(P$5,NFI,5,0),1,0)*Table_NFI[[#This Row],[Plastic Bucket]],Table_NFI[Plastic Bucket])</f>
        <v>0</v>
      </c>
      <c r="AH484" s="378">
        <f>IF(NFI_Expiration=1,IF($A484&lt;VLOOKUP(Q$5,NFI,5,0),1,0)*Table_NFI[[#This Row],[Plastic Mat]],Table_NFI[Plastic Mat])*IF(Table_NFI[[#This Row],[Distribution Date]]&gt;"2014-04-01",1,2.5)</f>
        <v>0</v>
      </c>
      <c r="AI484" s="378">
        <f>IF(NFI_Expiration=1,IF($A484&lt;VLOOKUP(R$5,NFI,5,0),1,0)*Table_NFI[[#This Row],[Winter Clothes Adult]],Table_NFI[Winter Clothes Adult])</f>
        <v>0</v>
      </c>
      <c r="AJ484" s="378">
        <f>IF(NFI_Expiration=1,IF($A484&lt;VLOOKUP(S$5,NFI,5,0),1,0)*Table_NFI[[#This Row],[Winter Clothes Children]],Table_NFI[Winter Clothes Children])</f>
        <v>0</v>
      </c>
      <c r="AK484" s="378">
        <f>IF(NFI_Expiration=1,IF($A484&lt;VLOOKUP(T$5,NFI,5,0),1,0)*Table_NFI[[#This Row],[Winter Items Other]],Table_NFI[Winter Items Other])</f>
        <v>0</v>
      </c>
      <c r="AL484" s="378">
        <f>IF(NFI_Expiration=1,IF($A484&lt;VLOOKUP(M$5,NFI,5,0),1,0)*Table_NFI[[#This Row],[Winter Blanket]],Table_NFI[[#This Row],[Winter Blanket]])</f>
        <v>0</v>
      </c>
      <c r="AM484" s="378">
        <f>IF(Table_NFI[[#This Row],[Winter Clothes Adult]]+Table_NFI[[#This Row],[Winter Clothes Children]]+Table_NFI[[#This Row],[Winter Items Other]]+Table_NFI[[#This Row],[Winter Blanket]]&gt;0,1,0)</f>
        <v>0</v>
      </c>
      <c r="AN484" s="418">
        <f>IF(NFI_Expiration=1,IF($A484&lt;VLOOKUP(V$5,NFI,5,0),1,0)*Table_NFI[[#This Row],[Jerry Can]],Table_NFI[Jerry Can])</f>
        <v>0</v>
      </c>
      <c r="AO484" s="579" t="str">
        <f>IFERROR(VLOOKUP(Table_NFI[[#This Row],[Camp Name]],CL,2,0),"")</f>
        <v>MMR001CMP020</v>
      </c>
      <c r="AP484" s="574">
        <f ca="1">IF(Table_NFI[[#This Row],[Pcode]]="","",IF(OFFSET(CampList[Opening Date],MATCH(Table_NFI[[#This Row],[Pcode]],CampList[CP_Pcode],0)-1,0,1,1)&gt;=NFI_Monitor_Date,1,0))</f>
        <v>0</v>
      </c>
      <c r="AQ484" s="579" t="str">
        <f>IFERROR(VLOOKUP(Table_NFI[[#This Row],[Camp Name]],CL,3,0),"")</f>
        <v>Open</v>
      </c>
      <c r="AR484" s="378" t="str">
        <f ca="1">IF(Table_NFI[[#This Row],[Pcode]]="","",OFFSET(CampList[Priority],MATCH(Table_NFI[[#This Row],[Pcode]],CampList[CP_Pcode],0)-1,0,1,1))</f>
        <v>P4</v>
      </c>
      <c r="AS484" s="377">
        <f>IFERROR(Table_NFI[[#This Row],[Kitchen Set]]/VLOOKUP(Table_NFI[[#This Row],[Camp Name]],CL,4,0),"")</f>
        <v>0.8571428571428571</v>
      </c>
      <c r="AT484" s="572" t="s">
        <v>1095</v>
      </c>
      <c r="AU484" s="575"/>
    </row>
    <row r="485" spans="1:47" s="576" customFormat="1" x14ac:dyDescent="0.25">
      <c r="A485" s="381">
        <f t="shared" si="7"/>
        <v>20.3</v>
      </c>
      <c r="B485" s="571">
        <v>41913</v>
      </c>
      <c r="C485" s="572" t="s">
        <v>454</v>
      </c>
      <c r="D485" s="577" t="s">
        <v>507</v>
      </c>
      <c r="E485" s="577" t="s">
        <v>380</v>
      </c>
      <c r="F485" s="577" t="s">
        <v>237</v>
      </c>
      <c r="G485" s="577" t="s">
        <v>265</v>
      </c>
      <c r="H485" s="376"/>
      <c r="I485" s="376"/>
      <c r="J485" s="376"/>
      <c r="K485" s="376">
        <v>42</v>
      </c>
      <c r="L485" s="376"/>
      <c r="M485" s="376"/>
      <c r="N485" s="376"/>
      <c r="O485" s="376"/>
      <c r="P485" s="378"/>
      <c r="Q485" s="378"/>
      <c r="R485" s="378"/>
      <c r="S485" s="378"/>
      <c r="T485" s="378"/>
      <c r="U485" s="378"/>
      <c r="V485" s="533"/>
      <c r="W485" s="378"/>
      <c r="X485" s="378"/>
      <c r="Y485" s="378">
        <f>IF(NFI_Expiration=1,IF($A485&lt;VLOOKUP(H$5,NFI,5,0),1,0)*Table_NFI[[#This Row],[Hygiene Kit]],Table_NFI[Hygiene Kit])</f>
        <v>0</v>
      </c>
      <c r="Z485" s="378">
        <f>IF(NFI_Expiration=1,IF($A485&lt;VLOOKUP(I$5,NFI,5,0),1,0)*Table_NFI[[#This Row],[NFI Core Kit]],Table_NFI[NFI Core Kit])</f>
        <v>0</v>
      </c>
      <c r="AA485" s="378">
        <f>IF(NFI_Expiration=1,IF($A485&lt;VLOOKUP(J$5,NFI,5,0),1,0)*Table_NFI[[#This Row],[Sanitary Kit]],Table_NFI[Sanitary Kit])</f>
        <v>0</v>
      </c>
      <c r="AB485" s="378">
        <f>IF(NFI_Expiration=1,IF($A485&lt;VLOOKUP(K$5,NFI,5,0),1,0)*Table_NFI[[#This Row],[Mosquito net]],Table_NFI[Mosquito net])</f>
        <v>0</v>
      </c>
      <c r="AC485" s="378">
        <f>IF(NFI_Expiration=1,IF($A485&lt;VLOOKUP(L$5,NFI,5,0),1,0)*Table_NFI[[#This Row],[Tarpaulin]],Table_NFI[[#This Row],[Tarpaulin]])</f>
        <v>0</v>
      </c>
      <c r="AD485" s="378">
        <f>IF(NFI_Expiration=1,IF($A485&lt;VLOOKUP(M$5,NFI,5,0),1,0)*Table_NFI[[#This Row],[Blanket]],Table_NFI[[#This Row],[Blanket]])</f>
        <v>0</v>
      </c>
      <c r="AE485" s="378">
        <f>IF(NFI_Expiration=1,IF($A485&lt;VLOOKUP(N$5,NFI,5,0),1,0)*Table_NFI[[#This Row],[Kitchen Set]],Table_NFI[Kitchen Set])</f>
        <v>0</v>
      </c>
      <c r="AF485" s="378">
        <f>IF(NFI_Expiration=1,IF($A485&lt;VLOOKUP(O$5,NFI,5,0),1,0)*Table_NFI[[#This Row],[Clothes Kit]],Table_NFI[Clothes Kit])</f>
        <v>0</v>
      </c>
      <c r="AG485" s="378">
        <f>IF(NFI_Expiration=1,IF($A485&lt;VLOOKUP(P$5,NFI,5,0),1,0)*Table_NFI[[#This Row],[Plastic Bucket]],Table_NFI[Plastic Bucket])</f>
        <v>0</v>
      </c>
      <c r="AH485" s="378">
        <f>IF(NFI_Expiration=1,IF($A485&lt;VLOOKUP(Q$5,NFI,5,0),1,0)*Table_NFI[[#This Row],[Plastic Mat]],Table_NFI[Plastic Mat])*IF(Table_NFI[[#This Row],[Distribution Date]]&gt;"2014-04-01",1,2.5)</f>
        <v>0</v>
      </c>
      <c r="AI485" s="378">
        <f>IF(NFI_Expiration=1,IF($A485&lt;VLOOKUP(R$5,NFI,5,0),1,0)*Table_NFI[[#This Row],[Winter Clothes Adult]],Table_NFI[Winter Clothes Adult])</f>
        <v>0</v>
      </c>
      <c r="AJ485" s="378">
        <f>IF(NFI_Expiration=1,IF($A485&lt;VLOOKUP(S$5,NFI,5,0),1,0)*Table_NFI[[#This Row],[Winter Clothes Children]],Table_NFI[Winter Clothes Children])</f>
        <v>0</v>
      </c>
      <c r="AK485" s="378">
        <f>IF(NFI_Expiration=1,IF($A485&lt;VLOOKUP(T$5,NFI,5,0),1,0)*Table_NFI[[#This Row],[Winter Items Other]],Table_NFI[Winter Items Other])</f>
        <v>0</v>
      </c>
      <c r="AL485" s="378">
        <f>IF(NFI_Expiration=1,IF($A485&lt;VLOOKUP(M$5,NFI,5,0),1,0)*Table_NFI[[#This Row],[Winter Blanket]],Table_NFI[[#This Row],[Winter Blanket]])</f>
        <v>0</v>
      </c>
      <c r="AM485" s="378">
        <f>IF(Table_NFI[[#This Row],[Winter Clothes Adult]]+Table_NFI[[#This Row],[Winter Clothes Children]]+Table_NFI[[#This Row],[Winter Items Other]]+Table_NFI[[#This Row],[Winter Blanket]]&gt;0,1,0)</f>
        <v>0</v>
      </c>
      <c r="AN485" s="418">
        <f>IF(NFI_Expiration=1,IF($A485&lt;VLOOKUP(V$5,NFI,5,0),1,0)*Table_NFI[[#This Row],[Jerry Can]],Table_NFI[Jerry Can])</f>
        <v>0</v>
      </c>
      <c r="AO485" s="579" t="str">
        <f>IFERROR(VLOOKUP(Table_NFI[[#This Row],[Camp Name]],CL,2,0),"")</f>
        <v>MMR001CMP021</v>
      </c>
      <c r="AP485" s="574">
        <f ca="1">IF(Table_NFI[[#This Row],[Pcode]]="","",IF(OFFSET(CampList[Opening Date],MATCH(Table_NFI[[#This Row],[Pcode]],CampList[CP_Pcode],0)-1,0,1,1)&gt;=NFI_Monitor_Date,1,0))</f>
        <v>0</v>
      </c>
      <c r="AQ485" s="579" t="str">
        <f>IFERROR(VLOOKUP(Table_NFI[[#This Row],[Camp Name]],CL,3,0),"")</f>
        <v>Open</v>
      </c>
      <c r="AR485" s="378" t="str">
        <f ca="1">IF(Table_NFI[[#This Row],[Pcode]]="","",OFFSET(CampList[Priority],MATCH(Table_NFI[[#This Row],[Pcode]],CampList[CP_Pcode],0)-1,0,1,1))</f>
        <v>P4</v>
      </c>
      <c r="AS485" s="377">
        <f>IFERROR(Table_NFI[[#This Row],[Kitchen Set]]/VLOOKUP(Table_NFI[[#This Row],[Camp Name]],CL,4,0),"")</f>
        <v>0</v>
      </c>
      <c r="AT485" s="577"/>
      <c r="AU485" s="580"/>
    </row>
    <row r="486" spans="1:47" s="576" customFormat="1" x14ac:dyDescent="0.25">
      <c r="A486" s="381">
        <f t="shared" si="7"/>
        <v>23.6</v>
      </c>
      <c r="B486" s="571">
        <v>41814</v>
      </c>
      <c r="C486" s="572" t="s">
        <v>1107</v>
      </c>
      <c r="D486" s="572" t="s">
        <v>903</v>
      </c>
      <c r="E486" s="572" t="s">
        <v>380</v>
      </c>
      <c r="F486" s="572" t="s">
        <v>237</v>
      </c>
      <c r="G486" s="572" t="s">
        <v>265</v>
      </c>
      <c r="H486" s="375"/>
      <c r="I486" s="375"/>
      <c r="J486" s="375"/>
      <c r="K486" s="375"/>
      <c r="L486" s="376"/>
      <c r="M486" s="376"/>
      <c r="N486" s="376"/>
      <c r="O486" s="376"/>
      <c r="P486" s="378"/>
      <c r="Q486" s="378"/>
      <c r="R486" s="378"/>
      <c r="S486" s="378"/>
      <c r="T486" s="378"/>
      <c r="U486" s="378">
        <v>28</v>
      </c>
      <c r="V486" s="533"/>
      <c r="W486" s="378"/>
      <c r="X486" s="378"/>
      <c r="Y486" s="378">
        <f>IF(NFI_Expiration=1,IF($A486&lt;VLOOKUP(H$5,NFI,5,0),1,0)*Table_NFI[[#This Row],[Hygiene Kit]],Table_NFI[Hygiene Kit])</f>
        <v>0</v>
      </c>
      <c r="Z486" s="378">
        <f>IF(NFI_Expiration=1,IF($A486&lt;VLOOKUP(I$5,NFI,5,0),1,0)*Table_NFI[[#This Row],[NFI Core Kit]],Table_NFI[NFI Core Kit])</f>
        <v>0</v>
      </c>
      <c r="AA486" s="378">
        <f>IF(NFI_Expiration=1,IF($A486&lt;VLOOKUP(J$5,NFI,5,0),1,0)*Table_NFI[[#This Row],[Sanitary Kit]],Table_NFI[Sanitary Kit])</f>
        <v>0</v>
      </c>
      <c r="AB486" s="378">
        <f>IF(NFI_Expiration=1,IF($A486&lt;VLOOKUP(K$5,NFI,5,0),1,0)*Table_NFI[[#This Row],[Mosquito net]],Table_NFI[Mosquito net])</f>
        <v>0</v>
      </c>
      <c r="AC486" s="378">
        <f>IF(NFI_Expiration=1,IF($A486&lt;VLOOKUP(L$5,NFI,5,0),1,0)*Table_NFI[[#This Row],[Tarpaulin]],Table_NFI[[#This Row],[Tarpaulin]])</f>
        <v>0</v>
      </c>
      <c r="AD486" s="378">
        <f>IF(NFI_Expiration=1,IF($A486&lt;VLOOKUP(M$5,NFI,5,0),1,0)*Table_NFI[[#This Row],[Blanket]],Table_NFI[[#This Row],[Blanket]])</f>
        <v>0</v>
      </c>
      <c r="AE486" s="378">
        <f>IF(NFI_Expiration=1,IF($A486&lt;VLOOKUP(N$5,NFI,5,0),1,0)*Table_NFI[[#This Row],[Kitchen Set]],Table_NFI[Kitchen Set])</f>
        <v>0</v>
      </c>
      <c r="AF486" s="378">
        <f>IF(NFI_Expiration=1,IF($A486&lt;VLOOKUP(O$5,NFI,5,0),1,0)*Table_NFI[[#This Row],[Clothes Kit]],Table_NFI[Clothes Kit])</f>
        <v>0</v>
      </c>
      <c r="AG486" s="378">
        <f>IF(NFI_Expiration=1,IF($A486&lt;VLOOKUP(P$5,NFI,5,0),1,0)*Table_NFI[[#This Row],[Plastic Bucket]],Table_NFI[Plastic Bucket])</f>
        <v>0</v>
      </c>
      <c r="AH486" s="378">
        <f>IF(NFI_Expiration=1,IF($A486&lt;VLOOKUP(Q$5,NFI,5,0),1,0)*Table_NFI[[#This Row],[Plastic Mat]],Table_NFI[Plastic Mat])*IF(Table_NFI[[#This Row],[Distribution Date]]&gt;"2014-04-01",1,2.5)</f>
        <v>0</v>
      </c>
      <c r="AI486" s="378">
        <f>IF(NFI_Expiration=1,IF($A486&lt;VLOOKUP(R$5,NFI,5,0),1,0)*Table_NFI[[#This Row],[Winter Clothes Adult]],Table_NFI[Winter Clothes Adult])</f>
        <v>0</v>
      </c>
      <c r="AJ486" s="378">
        <f>IF(NFI_Expiration=1,IF($A486&lt;VLOOKUP(S$5,NFI,5,0),1,0)*Table_NFI[[#This Row],[Winter Clothes Children]],Table_NFI[Winter Clothes Children])</f>
        <v>0</v>
      </c>
      <c r="AK486" s="378">
        <f>IF(NFI_Expiration=1,IF($A486&lt;VLOOKUP(T$5,NFI,5,0),1,0)*Table_NFI[[#This Row],[Winter Items Other]],Table_NFI[Winter Items Other])</f>
        <v>0</v>
      </c>
      <c r="AL486" s="378">
        <f>IF(NFI_Expiration=1,IF($A486&lt;VLOOKUP(M$5,NFI,5,0),1,0)*Table_NFI[[#This Row],[Winter Blanket]],Table_NFI[[#This Row],[Winter Blanket]])</f>
        <v>0</v>
      </c>
      <c r="AM486" s="378">
        <f>IF(Table_NFI[[#This Row],[Winter Clothes Adult]]+Table_NFI[[#This Row],[Winter Clothes Children]]+Table_NFI[[#This Row],[Winter Items Other]]+Table_NFI[[#This Row],[Winter Blanket]]&gt;0,1,0)</f>
        <v>1</v>
      </c>
      <c r="AN486" s="418">
        <f>IF(NFI_Expiration=1,IF($A486&lt;VLOOKUP(V$5,NFI,5,0),1,0)*Table_NFI[[#This Row],[Jerry Can]],Table_NFI[Jerry Can])</f>
        <v>0</v>
      </c>
      <c r="AO486" s="579" t="str">
        <f>IFERROR(VLOOKUP(Table_NFI[[#This Row],[Camp Name]],CL,2,0),"")</f>
        <v>MMR001CMP021</v>
      </c>
      <c r="AP486" s="574">
        <f ca="1">IF(Table_NFI[[#This Row],[Pcode]]="","",IF(OFFSET(CampList[Opening Date],MATCH(Table_NFI[[#This Row],[Pcode]],CampList[CP_Pcode],0)-1,0,1,1)&gt;=NFI_Monitor_Date,1,0))</f>
        <v>0</v>
      </c>
      <c r="AQ486" s="579" t="str">
        <f>IFERROR(VLOOKUP(Table_NFI[[#This Row],[Camp Name]],CL,3,0),"")</f>
        <v>Open</v>
      </c>
      <c r="AR486" s="378" t="str">
        <f ca="1">IF(Table_NFI[[#This Row],[Pcode]]="","",OFFSET(CampList[Priority],MATCH(Table_NFI[[#This Row],[Pcode]],CampList[CP_Pcode],0)-1,0,1,1))</f>
        <v>P4</v>
      </c>
      <c r="AS486" s="377">
        <f>IFERROR(Table_NFI[[#This Row],[Kitchen Set]]/VLOOKUP(Table_NFI[[#This Row],[Camp Name]],CL,4,0),"")</f>
        <v>0</v>
      </c>
      <c r="AT486" s="572"/>
      <c r="AU486" s="575"/>
    </row>
    <row r="487" spans="1:47" s="576" customFormat="1" x14ac:dyDescent="0.25">
      <c r="A487" s="381">
        <f t="shared" si="7"/>
        <v>40.4</v>
      </c>
      <c r="B487" s="571">
        <v>41310</v>
      </c>
      <c r="C487" s="572" t="s">
        <v>454</v>
      </c>
      <c r="D487" s="573" t="s">
        <v>454</v>
      </c>
      <c r="E487" s="572" t="s">
        <v>380</v>
      </c>
      <c r="F487" s="374" t="s">
        <v>237</v>
      </c>
      <c r="G487" s="374" t="s">
        <v>265</v>
      </c>
      <c r="H487" s="375"/>
      <c r="I487" s="375"/>
      <c r="J487" s="375">
        <v>10</v>
      </c>
      <c r="K487" s="375">
        <v>16</v>
      </c>
      <c r="L487" s="376">
        <v>7</v>
      </c>
      <c r="M487" s="376">
        <v>16</v>
      </c>
      <c r="N487" s="376">
        <v>7</v>
      </c>
      <c r="O487" s="376">
        <v>7</v>
      </c>
      <c r="P487" s="378">
        <v>7</v>
      </c>
      <c r="Q487" s="378">
        <v>7</v>
      </c>
      <c r="R487" s="378"/>
      <c r="S487" s="378"/>
      <c r="T487" s="378"/>
      <c r="U487" s="378"/>
      <c r="V487" s="533"/>
      <c r="W487" s="378"/>
      <c r="X487" s="378"/>
      <c r="Y487" s="378">
        <f>IF(NFI_Expiration=1,IF($A487&lt;VLOOKUP(H$5,NFI,5,0),1,0)*Table_NFI[[#This Row],[Hygiene Kit]],Table_NFI[Hygiene Kit])</f>
        <v>0</v>
      </c>
      <c r="Z487" s="378">
        <f>IF(NFI_Expiration=1,IF($A487&lt;VLOOKUP(I$5,NFI,5,0),1,0)*Table_NFI[[#This Row],[NFI Core Kit]],Table_NFI[NFI Core Kit])</f>
        <v>0</v>
      </c>
      <c r="AA487" s="378">
        <f>IF(NFI_Expiration=1,IF($A487&lt;VLOOKUP(J$5,NFI,5,0),1,0)*Table_NFI[[#This Row],[Sanitary Kit]],Table_NFI[Sanitary Kit])</f>
        <v>0</v>
      </c>
      <c r="AB487" s="378">
        <f>IF(NFI_Expiration=1,IF($A487&lt;VLOOKUP(K$5,NFI,5,0),1,0)*Table_NFI[[#This Row],[Mosquito net]],Table_NFI[Mosquito net])</f>
        <v>0</v>
      </c>
      <c r="AC487" s="378">
        <f>IF(NFI_Expiration=1,IF($A487&lt;VLOOKUP(L$5,NFI,5,0),1,0)*Table_NFI[[#This Row],[Tarpaulin]],Table_NFI[[#This Row],[Tarpaulin]])</f>
        <v>0</v>
      </c>
      <c r="AD487" s="378">
        <f>IF(NFI_Expiration=1,IF($A487&lt;VLOOKUP(M$5,NFI,5,0),1,0)*Table_NFI[[#This Row],[Blanket]],Table_NFI[[#This Row],[Blanket]])</f>
        <v>0</v>
      </c>
      <c r="AE487" s="378">
        <f>IF(NFI_Expiration=1,IF($A487&lt;VLOOKUP(N$5,NFI,5,0),1,0)*Table_NFI[[#This Row],[Kitchen Set]],Table_NFI[Kitchen Set])</f>
        <v>0</v>
      </c>
      <c r="AF487" s="378">
        <f>IF(NFI_Expiration=1,IF($A487&lt;VLOOKUP(O$5,NFI,5,0),1,0)*Table_NFI[[#This Row],[Clothes Kit]],Table_NFI[Clothes Kit])</f>
        <v>0</v>
      </c>
      <c r="AG487" s="378">
        <f>IF(NFI_Expiration=1,IF($A487&lt;VLOOKUP(P$5,NFI,5,0),1,0)*Table_NFI[[#This Row],[Plastic Bucket]],Table_NFI[Plastic Bucket])</f>
        <v>0</v>
      </c>
      <c r="AH487" s="378">
        <f>IF(NFI_Expiration=1,IF($A487&lt;VLOOKUP(Q$5,NFI,5,0),1,0)*Table_NFI[[#This Row],[Plastic Mat]],Table_NFI[Plastic Mat])*IF(Table_NFI[[#This Row],[Distribution Date]]&gt;"2014-04-01",1,2.5)</f>
        <v>0</v>
      </c>
      <c r="AI487" s="378">
        <f>IF(NFI_Expiration=1,IF($A487&lt;VLOOKUP(R$5,NFI,5,0),1,0)*Table_NFI[[#This Row],[Winter Clothes Adult]],Table_NFI[Winter Clothes Adult])</f>
        <v>0</v>
      </c>
      <c r="AJ487" s="378">
        <f>IF(NFI_Expiration=1,IF($A487&lt;VLOOKUP(S$5,NFI,5,0),1,0)*Table_NFI[[#This Row],[Winter Clothes Children]],Table_NFI[Winter Clothes Children])</f>
        <v>0</v>
      </c>
      <c r="AK487" s="378">
        <f>IF(NFI_Expiration=1,IF($A487&lt;VLOOKUP(T$5,NFI,5,0),1,0)*Table_NFI[[#This Row],[Winter Items Other]],Table_NFI[Winter Items Other])</f>
        <v>0</v>
      </c>
      <c r="AL487" s="378">
        <f>IF(NFI_Expiration=1,IF($A487&lt;VLOOKUP(M$5,NFI,5,0),1,0)*Table_NFI[[#This Row],[Winter Blanket]],Table_NFI[[#This Row],[Winter Blanket]])</f>
        <v>0</v>
      </c>
      <c r="AM487" s="378">
        <f>IF(Table_NFI[[#This Row],[Winter Clothes Adult]]+Table_NFI[[#This Row],[Winter Clothes Children]]+Table_NFI[[#This Row],[Winter Items Other]]+Table_NFI[[#This Row],[Winter Blanket]]&gt;0,1,0)</f>
        <v>0</v>
      </c>
      <c r="AN487" s="418">
        <f>IF(NFI_Expiration=1,IF($A487&lt;VLOOKUP(V$5,NFI,5,0),1,0)*Table_NFI[[#This Row],[Jerry Can]],Table_NFI[Jerry Can])</f>
        <v>0</v>
      </c>
      <c r="AO487" s="579" t="str">
        <f>IFERROR(VLOOKUP(Table_NFI[[#This Row],[Camp Name]],CL,2,0),"")</f>
        <v>MMR001CMP021</v>
      </c>
      <c r="AP487" s="574">
        <f ca="1">IF(Table_NFI[[#This Row],[Pcode]]="","",IF(OFFSET(CampList[Opening Date],MATCH(Table_NFI[[#This Row],[Pcode]],CampList[CP_Pcode],0)-1,0,1,1)&gt;=NFI_Monitor_Date,1,0))</f>
        <v>0</v>
      </c>
      <c r="AQ487" s="579" t="str">
        <f>IFERROR(VLOOKUP(Table_NFI[[#This Row],[Camp Name]],CL,3,0),"")</f>
        <v>Open</v>
      </c>
      <c r="AR487" s="378" t="str">
        <f ca="1">IF(Table_NFI[[#This Row],[Pcode]]="","",OFFSET(CampList[Priority],MATCH(Table_NFI[[#This Row],[Pcode]],CampList[CP_Pcode],0)-1,0,1,1))</f>
        <v>P4</v>
      </c>
      <c r="AS487" s="377">
        <f>IFERROR(Table_NFI[[#This Row],[Kitchen Set]]/VLOOKUP(Table_NFI[[#This Row],[Camp Name]],CL,4,0),"")</f>
        <v>0.5</v>
      </c>
      <c r="AT487" s="572" t="s">
        <v>1095</v>
      </c>
      <c r="AU487" s="575"/>
    </row>
    <row r="488" spans="1:47" s="576" customFormat="1" x14ac:dyDescent="0.25">
      <c r="A488" s="381">
        <f t="shared" si="7"/>
        <v>41.6</v>
      </c>
      <c r="B488" s="571">
        <v>41274</v>
      </c>
      <c r="C488" s="572" t="s">
        <v>455</v>
      </c>
      <c r="D488" s="572" t="s">
        <v>455</v>
      </c>
      <c r="E488" s="572" t="s">
        <v>380</v>
      </c>
      <c r="F488" s="572" t="s">
        <v>237</v>
      </c>
      <c r="G488" s="374" t="s">
        <v>265</v>
      </c>
      <c r="H488" s="375">
        <v>23</v>
      </c>
      <c r="I488" s="375"/>
      <c r="J488" s="375"/>
      <c r="K488" s="375"/>
      <c r="L488" s="376"/>
      <c r="M488" s="376"/>
      <c r="N488" s="376"/>
      <c r="O488" s="376"/>
      <c r="P488" s="378">
        <v>0</v>
      </c>
      <c r="Q488" s="378">
        <v>0</v>
      </c>
      <c r="R488" s="378"/>
      <c r="S488" s="378"/>
      <c r="T488" s="378"/>
      <c r="U488" s="378"/>
      <c r="V488" s="533"/>
      <c r="W488" s="378"/>
      <c r="X488" s="378"/>
      <c r="Y488" s="378">
        <f>IF(NFI_Expiration=1,IF($A488&lt;VLOOKUP(H$5,NFI,5,0),1,0)*Table_NFI[[#This Row],[Hygiene Kit]],Table_NFI[Hygiene Kit])</f>
        <v>0</v>
      </c>
      <c r="Z488" s="378">
        <f>IF(NFI_Expiration=1,IF($A488&lt;VLOOKUP(I$5,NFI,5,0),1,0)*Table_NFI[[#This Row],[NFI Core Kit]],Table_NFI[NFI Core Kit])</f>
        <v>0</v>
      </c>
      <c r="AA488" s="378">
        <f>IF(NFI_Expiration=1,IF($A488&lt;VLOOKUP(J$5,NFI,5,0),1,0)*Table_NFI[[#This Row],[Sanitary Kit]],Table_NFI[Sanitary Kit])</f>
        <v>0</v>
      </c>
      <c r="AB488" s="378">
        <f>IF(NFI_Expiration=1,IF($A488&lt;VLOOKUP(K$5,NFI,5,0),1,0)*Table_NFI[[#This Row],[Mosquito net]],Table_NFI[Mosquito net])</f>
        <v>0</v>
      </c>
      <c r="AC488" s="378">
        <f>IF(NFI_Expiration=1,IF($A488&lt;VLOOKUP(L$5,NFI,5,0),1,0)*Table_NFI[[#This Row],[Tarpaulin]],Table_NFI[[#This Row],[Tarpaulin]])</f>
        <v>0</v>
      </c>
      <c r="AD488" s="378">
        <f>IF(NFI_Expiration=1,IF($A488&lt;VLOOKUP(M$5,NFI,5,0),1,0)*Table_NFI[[#This Row],[Blanket]],Table_NFI[[#This Row],[Blanket]])</f>
        <v>0</v>
      </c>
      <c r="AE488" s="378">
        <f>IF(NFI_Expiration=1,IF($A488&lt;VLOOKUP(N$5,NFI,5,0),1,0)*Table_NFI[[#This Row],[Kitchen Set]],Table_NFI[Kitchen Set])</f>
        <v>0</v>
      </c>
      <c r="AF488" s="378">
        <f>IF(NFI_Expiration=1,IF($A488&lt;VLOOKUP(O$5,NFI,5,0),1,0)*Table_NFI[[#This Row],[Clothes Kit]],Table_NFI[Clothes Kit])</f>
        <v>0</v>
      </c>
      <c r="AG488" s="378">
        <f>IF(NFI_Expiration=1,IF($A488&lt;VLOOKUP(P$5,NFI,5,0),1,0)*Table_NFI[[#This Row],[Plastic Bucket]],Table_NFI[Plastic Bucket])</f>
        <v>0</v>
      </c>
      <c r="AH488" s="378">
        <f>IF(NFI_Expiration=1,IF($A488&lt;VLOOKUP(Q$5,NFI,5,0),1,0)*Table_NFI[[#This Row],[Plastic Mat]],Table_NFI[Plastic Mat])*IF(Table_NFI[[#This Row],[Distribution Date]]&gt;"2014-04-01",1,2.5)</f>
        <v>0</v>
      </c>
      <c r="AI488" s="378">
        <f>IF(NFI_Expiration=1,IF($A488&lt;VLOOKUP(R$5,NFI,5,0),1,0)*Table_NFI[[#This Row],[Winter Clothes Adult]],Table_NFI[Winter Clothes Adult])</f>
        <v>0</v>
      </c>
      <c r="AJ488" s="378">
        <f>IF(NFI_Expiration=1,IF($A488&lt;VLOOKUP(S$5,NFI,5,0),1,0)*Table_NFI[[#This Row],[Winter Clothes Children]],Table_NFI[Winter Clothes Children])</f>
        <v>0</v>
      </c>
      <c r="AK488" s="378">
        <f>IF(NFI_Expiration=1,IF($A488&lt;VLOOKUP(T$5,NFI,5,0),1,0)*Table_NFI[[#This Row],[Winter Items Other]],Table_NFI[Winter Items Other])</f>
        <v>0</v>
      </c>
      <c r="AL488" s="378">
        <f>IF(NFI_Expiration=1,IF($A488&lt;VLOOKUP(M$5,NFI,5,0),1,0)*Table_NFI[[#This Row],[Winter Blanket]],Table_NFI[[#This Row],[Winter Blanket]])</f>
        <v>0</v>
      </c>
      <c r="AM488" s="378">
        <f>IF(Table_NFI[[#This Row],[Winter Clothes Adult]]+Table_NFI[[#This Row],[Winter Clothes Children]]+Table_NFI[[#This Row],[Winter Items Other]]+Table_NFI[[#This Row],[Winter Blanket]]&gt;0,1,0)</f>
        <v>0</v>
      </c>
      <c r="AN488" s="418">
        <f>IF(NFI_Expiration=1,IF($A488&lt;VLOOKUP(V$5,NFI,5,0),1,0)*Table_NFI[[#This Row],[Jerry Can]],Table_NFI[Jerry Can])</f>
        <v>0</v>
      </c>
      <c r="AO488" s="579" t="str">
        <f>IFERROR(VLOOKUP(Table_NFI[[#This Row],[Camp Name]],CL,2,0),"")</f>
        <v>MMR001CMP021</v>
      </c>
      <c r="AP488" s="574">
        <f ca="1">IF(Table_NFI[[#This Row],[Pcode]]="","",IF(OFFSET(CampList[Opening Date],MATCH(Table_NFI[[#This Row],[Pcode]],CampList[CP_Pcode],0)-1,0,1,1)&gt;=NFI_Monitor_Date,1,0))</f>
        <v>0</v>
      </c>
      <c r="AQ488" s="579" t="str">
        <f>IFERROR(VLOOKUP(Table_NFI[[#This Row],[Camp Name]],CL,3,0),"")</f>
        <v>Open</v>
      </c>
      <c r="AR488" s="378" t="str">
        <f ca="1">IF(Table_NFI[[#This Row],[Pcode]]="","",OFFSET(CampList[Priority],MATCH(Table_NFI[[#This Row],[Pcode]],CampList[CP_Pcode],0)-1,0,1,1))</f>
        <v>P4</v>
      </c>
      <c r="AS488" s="377">
        <f>IFERROR(Table_NFI[[#This Row],[Kitchen Set]]/VLOOKUP(Table_NFI[[#This Row],[Camp Name]],CL,4,0),"")</f>
        <v>0</v>
      </c>
      <c r="AT488" s="572" t="s">
        <v>1095</v>
      </c>
      <c r="AU488" s="575"/>
    </row>
    <row r="489" spans="1:47" s="576" customFormat="1" x14ac:dyDescent="0.25">
      <c r="A489" s="381">
        <f t="shared" si="7"/>
        <v>45.8</v>
      </c>
      <c r="B489" s="571">
        <v>41148</v>
      </c>
      <c r="C489" s="572" t="s">
        <v>454</v>
      </c>
      <c r="D489" s="573" t="s">
        <v>454</v>
      </c>
      <c r="E489" s="572" t="s">
        <v>380</v>
      </c>
      <c r="F489" s="374" t="s">
        <v>237</v>
      </c>
      <c r="G489" s="374" t="s">
        <v>265</v>
      </c>
      <c r="H489" s="375"/>
      <c r="I489" s="375"/>
      <c r="J489" s="375"/>
      <c r="K489" s="375">
        <v>10</v>
      </c>
      <c r="L489" s="376">
        <v>5</v>
      </c>
      <c r="M489" s="376">
        <v>10</v>
      </c>
      <c r="N489" s="376">
        <v>5</v>
      </c>
      <c r="O489" s="376">
        <v>5</v>
      </c>
      <c r="P489" s="378">
        <v>5</v>
      </c>
      <c r="Q489" s="378">
        <v>5</v>
      </c>
      <c r="R489" s="378"/>
      <c r="S489" s="378"/>
      <c r="T489" s="378"/>
      <c r="U489" s="378"/>
      <c r="V489" s="533"/>
      <c r="W489" s="378"/>
      <c r="X489" s="378"/>
      <c r="Y489" s="378">
        <f>IF(NFI_Expiration=1,IF($A489&lt;VLOOKUP(H$5,NFI,5,0),1,0)*Table_NFI[[#This Row],[Hygiene Kit]],Table_NFI[Hygiene Kit])</f>
        <v>0</v>
      </c>
      <c r="Z489" s="378">
        <f>IF(NFI_Expiration=1,IF($A489&lt;VLOOKUP(I$5,NFI,5,0),1,0)*Table_NFI[[#This Row],[NFI Core Kit]],Table_NFI[NFI Core Kit])</f>
        <v>0</v>
      </c>
      <c r="AA489" s="378">
        <f>IF(NFI_Expiration=1,IF($A489&lt;VLOOKUP(J$5,NFI,5,0),1,0)*Table_NFI[[#This Row],[Sanitary Kit]],Table_NFI[Sanitary Kit])</f>
        <v>0</v>
      </c>
      <c r="AB489" s="378">
        <f>IF(NFI_Expiration=1,IF($A489&lt;VLOOKUP(K$5,NFI,5,0),1,0)*Table_NFI[[#This Row],[Mosquito net]],Table_NFI[Mosquito net])</f>
        <v>0</v>
      </c>
      <c r="AC489" s="378">
        <f>IF(NFI_Expiration=1,IF($A489&lt;VLOOKUP(L$5,NFI,5,0),1,0)*Table_NFI[[#This Row],[Tarpaulin]],Table_NFI[[#This Row],[Tarpaulin]])</f>
        <v>0</v>
      </c>
      <c r="AD489" s="378">
        <f>IF(NFI_Expiration=1,IF($A489&lt;VLOOKUP(M$5,NFI,5,0),1,0)*Table_NFI[[#This Row],[Blanket]],Table_NFI[[#This Row],[Blanket]])</f>
        <v>0</v>
      </c>
      <c r="AE489" s="378">
        <f>IF(NFI_Expiration=1,IF($A489&lt;VLOOKUP(N$5,NFI,5,0),1,0)*Table_NFI[[#This Row],[Kitchen Set]],Table_NFI[Kitchen Set])</f>
        <v>0</v>
      </c>
      <c r="AF489" s="378">
        <f>IF(NFI_Expiration=1,IF($A489&lt;VLOOKUP(O$5,NFI,5,0),1,0)*Table_NFI[[#This Row],[Clothes Kit]],Table_NFI[Clothes Kit])</f>
        <v>0</v>
      </c>
      <c r="AG489" s="378">
        <f>IF(NFI_Expiration=1,IF($A489&lt;VLOOKUP(P$5,NFI,5,0),1,0)*Table_NFI[[#This Row],[Plastic Bucket]],Table_NFI[Plastic Bucket])</f>
        <v>0</v>
      </c>
      <c r="AH489" s="378">
        <f>IF(NFI_Expiration=1,IF($A489&lt;VLOOKUP(Q$5,NFI,5,0),1,0)*Table_NFI[[#This Row],[Plastic Mat]],Table_NFI[Plastic Mat])*IF(Table_NFI[[#This Row],[Distribution Date]]&gt;"2014-04-01",1,2.5)</f>
        <v>0</v>
      </c>
      <c r="AI489" s="378">
        <f>IF(NFI_Expiration=1,IF($A489&lt;VLOOKUP(R$5,NFI,5,0),1,0)*Table_NFI[[#This Row],[Winter Clothes Adult]],Table_NFI[Winter Clothes Adult])</f>
        <v>0</v>
      </c>
      <c r="AJ489" s="378">
        <f>IF(NFI_Expiration=1,IF($A489&lt;VLOOKUP(S$5,NFI,5,0),1,0)*Table_NFI[[#This Row],[Winter Clothes Children]],Table_NFI[Winter Clothes Children])</f>
        <v>0</v>
      </c>
      <c r="AK489" s="378">
        <f>IF(NFI_Expiration=1,IF($A489&lt;VLOOKUP(T$5,NFI,5,0),1,0)*Table_NFI[[#This Row],[Winter Items Other]],Table_NFI[Winter Items Other])</f>
        <v>0</v>
      </c>
      <c r="AL489" s="378">
        <f>IF(NFI_Expiration=1,IF($A489&lt;VLOOKUP(M$5,NFI,5,0),1,0)*Table_NFI[[#This Row],[Winter Blanket]],Table_NFI[[#This Row],[Winter Blanket]])</f>
        <v>0</v>
      </c>
      <c r="AM489" s="378">
        <f>IF(Table_NFI[[#This Row],[Winter Clothes Adult]]+Table_NFI[[#This Row],[Winter Clothes Children]]+Table_NFI[[#This Row],[Winter Items Other]]+Table_NFI[[#This Row],[Winter Blanket]]&gt;0,1,0)</f>
        <v>0</v>
      </c>
      <c r="AN489" s="418">
        <f>IF(NFI_Expiration=1,IF($A489&lt;VLOOKUP(V$5,NFI,5,0),1,0)*Table_NFI[[#This Row],[Jerry Can]],Table_NFI[Jerry Can])</f>
        <v>0</v>
      </c>
      <c r="AO489" s="579" t="str">
        <f>IFERROR(VLOOKUP(Table_NFI[[#This Row],[Camp Name]],CL,2,0),"")</f>
        <v>MMR001CMP021</v>
      </c>
      <c r="AP489" s="574">
        <f ca="1">IF(Table_NFI[[#This Row],[Pcode]]="","",IF(OFFSET(CampList[Opening Date],MATCH(Table_NFI[[#This Row],[Pcode]],CampList[CP_Pcode],0)-1,0,1,1)&gt;=NFI_Monitor_Date,1,0))</f>
        <v>0</v>
      </c>
      <c r="AQ489" s="579" t="str">
        <f>IFERROR(VLOOKUP(Table_NFI[[#This Row],[Camp Name]],CL,3,0),"")</f>
        <v>Open</v>
      </c>
      <c r="AR489" s="378" t="str">
        <f ca="1">IF(Table_NFI[[#This Row],[Pcode]]="","",OFFSET(CampList[Priority],MATCH(Table_NFI[[#This Row],[Pcode]],CampList[CP_Pcode],0)-1,0,1,1))</f>
        <v>P4</v>
      </c>
      <c r="AS489" s="377">
        <f>IFERROR(Table_NFI[[#This Row],[Kitchen Set]]/VLOOKUP(Table_NFI[[#This Row],[Camp Name]],CL,4,0),"")</f>
        <v>0.35714285714285715</v>
      </c>
      <c r="AT489" s="572" t="s">
        <v>1095</v>
      </c>
      <c r="AU489" s="575"/>
    </row>
    <row r="490" spans="1:47" s="576" customFormat="1" x14ac:dyDescent="0.25">
      <c r="A490" s="381">
        <f t="shared" si="7"/>
        <v>46.4</v>
      </c>
      <c r="B490" s="571">
        <v>41130</v>
      </c>
      <c r="C490" s="572" t="s">
        <v>454</v>
      </c>
      <c r="D490" s="572" t="s">
        <v>454</v>
      </c>
      <c r="E490" s="572" t="s">
        <v>380</v>
      </c>
      <c r="F490" s="374" t="s">
        <v>237</v>
      </c>
      <c r="G490" s="374" t="s">
        <v>265</v>
      </c>
      <c r="H490" s="375"/>
      <c r="I490" s="375"/>
      <c r="J490" s="375"/>
      <c r="K490" s="375">
        <v>10</v>
      </c>
      <c r="L490" s="376">
        <v>5</v>
      </c>
      <c r="M490" s="376">
        <v>10</v>
      </c>
      <c r="N490" s="376">
        <v>5</v>
      </c>
      <c r="O490" s="376">
        <v>5</v>
      </c>
      <c r="P490" s="378">
        <v>5</v>
      </c>
      <c r="Q490" s="378">
        <v>5</v>
      </c>
      <c r="R490" s="378"/>
      <c r="S490" s="378"/>
      <c r="T490" s="378"/>
      <c r="U490" s="378"/>
      <c r="V490" s="533"/>
      <c r="W490" s="378"/>
      <c r="X490" s="378"/>
      <c r="Y490" s="378">
        <f>IF(NFI_Expiration=1,IF($A490&lt;VLOOKUP(H$5,NFI,5,0),1,0)*Table_NFI[[#This Row],[Hygiene Kit]],Table_NFI[Hygiene Kit])</f>
        <v>0</v>
      </c>
      <c r="Z490" s="378">
        <f>IF(NFI_Expiration=1,IF($A490&lt;VLOOKUP(I$5,NFI,5,0),1,0)*Table_NFI[[#This Row],[NFI Core Kit]],Table_NFI[NFI Core Kit])</f>
        <v>0</v>
      </c>
      <c r="AA490" s="378">
        <f>IF(NFI_Expiration=1,IF($A490&lt;VLOOKUP(J$5,NFI,5,0),1,0)*Table_NFI[[#This Row],[Sanitary Kit]],Table_NFI[Sanitary Kit])</f>
        <v>0</v>
      </c>
      <c r="AB490" s="378">
        <f>IF(NFI_Expiration=1,IF($A490&lt;VLOOKUP(K$5,NFI,5,0),1,0)*Table_NFI[[#This Row],[Mosquito net]],Table_NFI[Mosquito net])</f>
        <v>0</v>
      </c>
      <c r="AC490" s="378">
        <f>IF(NFI_Expiration=1,IF($A490&lt;VLOOKUP(L$5,NFI,5,0),1,0)*Table_NFI[[#This Row],[Tarpaulin]],Table_NFI[[#This Row],[Tarpaulin]])</f>
        <v>0</v>
      </c>
      <c r="AD490" s="378">
        <f>IF(NFI_Expiration=1,IF($A490&lt;VLOOKUP(M$5,NFI,5,0),1,0)*Table_NFI[[#This Row],[Blanket]],Table_NFI[[#This Row],[Blanket]])</f>
        <v>0</v>
      </c>
      <c r="AE490" s="378">
        <f>IF(NFI_Expiration=1,IF($A490&lt;VLOOKUP(N$5,NFI,5,0),1,0)*Table_NFI[[#This Row],[Kitchen Set]],Table_NFI[Kitchen Set])</f>
        <v>0</v>
      </c>
      <c r="AF490" s="378">
        <f>IF(NFI_Expiration=1,IF($A490&lt;VLOOKUP(O$5,NFI,5,0),1,0)*Table_NFI[[#This Row],[Clothes Kit]],Table_NFI[Clothes Kit])</f>
        <v>0</v>
      </c>
      <c r="AG490" s="378">
        <f>IF(NFI_Expiration=1,IF($A490&lt;VLOOKUP(P$5,NFI,5,0),1,0)*Table_NFI[[#This Row],[Plastic Bucket]],Table_NFI[Plastic Bucket])</f>
        <v>0</v>
      </c>
      <c r="AH490" s="378">
        <f>IF(NFI_Expiration=1,IF($A490&lt;VLOOKUP(Q$5,NFI,5,0),1,0)*Table_NFI[[#This Row],[Plastic Mat]],Table_NFI[Plastic Mat])*IF(Table_NFI[[#This Row],[Distribution Date]]&gt;"2014-04-01",1,2.5)</f>
        <v>0</v>
      </c>
      <c r="AI490" s="378">
        <f>IF(NFI_Expiration=1,IF($A490&lt;VLOOKUP(R$5,NFI,5,0),1,0)*Table_NFI[[#This Row],[Winter Clothes Adult]],Table_NFI[Winter Clothes Adult])</f>
        <v>0</v>
      </c>
      <c r="AJ490" s="378">
        <f>IF(NFI_Expiration=1,IF($A490&lt;VLOOKUP(S$5,NFI,5,0),1,0)*Table_NFI[[#This Row],[Winter Clothes Children]],Table_NFI[Winter Clothes Children])</f>
        <v>0</v>
      </c>
      <c r="AK490" s="378">
        <f>IF(NFI_Expiration=1,IF($A490&lt;VLOOKUP(T$5,NFI,5,0),1,0)*Table_NFI[[#This Row],[Winter Items Other]],Table_NFI[Winter Items Other])</f>
        <v>0</v>
      </c>
      <c r="AL490" s="378">
        <f>IF(NFI_Expiration=1,IF($A490&lt;VLOOKUP(M$5,NFI,5,0),1,0)*Table_NFI[[#This Row],[Winter Blanket]],Table_NFI[[#This Row],[Winter Blanket]])</f>
        <v>0</v>
      </c>
      <c r="AM490" s="378">
        <f>IF(Table_NFI[[#This Row],[Winter Clothes Adult]]+Table_NFI[[#This Row],[Winter Clothes Children]]+Table_NFI[[#This Row],[Winter Items Other]]+Table_NFI[[#This Row],[Winter Blanket]]&gt;0,1,0)</f>
        <v>0</v>
      </c>
      <c r="AN490" s="418">
        <f>IF(NFI_Expiration=1,IF($A490&lt;VLOOKUP(V$5,NFI,5,0),1,0)*Table_NFI[[#This Row],[Jerry Can]],Table_NFI[Jerry Can])</f>
        <v>0</v>
      </c>
      <c r="AO490" s="579" t="str">
        <f>IFERROR(VLOOKUP(Table_NFI[[#This Row],[Camp Name]],CL,2,0),"")</f>
        <v>MMR001CMP021</v>
      </c>
      <c r="AP490" s="574">
        <f ca="1">IF(Table_NFI[[#This Row],[Pcode]]="","",IF(OFFSET(CampList[Opening Date],MATCH(Table_NFI[[#This Row],[Pcode]],CampList[CP_Pcode],0)-1,0,1,1)&gt;=NFI_Monitor_Date,1,0))</f>
        <v>0</v>
      </c>
      <c r="AQ490" s="579" t="str">
        <f>IFERROR(VLOOKUP(Table_NFI[[#This Row],[Camp Name]],CL,3,0),"")</f>
        <v>Open</v>
      </c>
      <c r="AR490" s="378" t="str">
        <f ca="1">IF(Table_NFI[[#This Row],[Pcode]]="","",OFFSET(CampList[Priority],MATCH(Table_NFI[[#This Row],[Pcode]],CampList[CP_Pcode],0)-1,0,1,1))</f>
        <v>P4</v>
      </c>
      <c r="AS490" s="377">
        <f>IFERROR(Table_NFI[[#This Row],[Kitchen Set]]/VLOOKUP(Table_NFI[[#This Row],[Camp Name]],CL,4,0),"")</f>
        <v>0.35714285714285715</v>
      </c>
      <c r="AT490" s="572" t="s">
        <v>1095</v>
      </c>
      <c r="AU490" s="575"/>
    </row>
    <row r="491" spans="1:47" s="576" customFormat="1" x14ac:dyDescent="0.25">
      <c r="A491" s="381">
        <f t="shared" si="7"/>
        <v>48.7</v>
      </c>
      <c r="B491" s="571">
        <v>41061</v>
      </c>
      <c r="C491" s="572" t="s">
        <v>454</v>
      </c>
      <c r="D491" s="572" t="s">
        <v>454</v>
      </c>
      <c r="E491" s="572" t="s">
        <v>380</v>
      </c>
      <c r="F491" s="374" t="s">
        <v>237</v>
      </c>
      <c r="G491" s="374" t="s">
        <v>265</v>
      </c>
      <c r="H491" s="375"/>
      <c r="I491" s="375"/>
      <c r="J491" s="375"/>
      <c r="K491" s="375">
        <v>35</v>
      </c>
      <c r="L491" s="376">
        <v>17</v>
      </c>
      <c r="M491" s="376">
        <v>35</v>
      </c>
      <c r="N491" s="376">
        <v>17</v>
      </c>
      <c r="O491" s="376">
        <v>17</v>
      </c>
      <c r="P491" s="378">
        <v>17</v>
      </c>
      <c r="Q491" s="378">
        <v>17</v>
      </c>
      <c r="R491" s="378"/>
      <c r="S491" s="378"/>
      <c r="T491" s="378"/>
      <c r="U491" s="378"/>
      <c r="V491" s="533"/>
      <c r="W491" s="378"/>
      <c r="X491" s="378"/>
      <c r="Y491" s="378">
        <f>IF(NFI_Expiration=1,IF($A491&lt;VLOOKUP(H$5,NFI,5,0),1,0)*Table_NFI[[#This Row],[Hygiene Kit]],Table_NFI[Hygiene Kit])</f>
        <v>0</v>
      </c>
      <c r="Z491" s="378">
        <f>IF(NFI_Expiration=1,IF($A491&lt;VLOOKUP(I$5,NFI,5,0),1,0)*Table_NFI[[#This Row],[NFI Core Kit]],Table_NFI[NFI Core Kit])</f>
        <v>0</v>
      </c>
      <c r="AA491" s="378">
        <f>IF(NFI_Expiration=1,IF($A491&lt;VLOOKUP(J$5,NFI,5,0),1,0)*Table_NFI[[#This Row],[Sanitary Kit]],Table_NFI[Sanitary Kit])</f>
        <v>0</v>
      </c>
      <c r="AB491" s="378">
        <f>IF(NFI_Expiration=1,IF($A491&lt;VLOOKUP(K$5,NFI,5,0),1,0)*Table_NFI[[#This Row],[Mosquito net]],Table_NFI[Mosquito net])</f>
        <v>0</v>
      </c>
      <c r="AC491" s="378">
        <f>IF(NFI_Expiration=1,IF($A491&lt;VLOOKUP(L$5,NFI,5,0),1,0)*Table_NFI[[#This Row],[Tarpaulin]],Table_NFI[[#This Row],[Tarpaulin]])</f>
        <v>0</v>
      </c>
      <c r="AD491" s="378">
        <f>IF(NFI_Expiration=1,IF($A491&lt;VLOOKUP(M$5,NFI,5,0),1,0)*Table_NFI[[#This Row],[Blanket]],Table_NFI[[#This Row],[Blanket]])</f>
        <v>0</v>
      </c>
      <c r="AE491" s="378">
        <f>IF(NFI_Expiration=1,IF($A491&lt;VLOOKUP(N$5,NFI,5,0),1,0)*Table_NFI[[#This Row],[Kitchen Set]],Table_NFI[Kitchen Set])</f>
        <v>0</v>
      </c>
      <c r="AF491" s="378">
        <f>IF(NFI_Expiration=1,IF($A491&lt;VLOOKUP(O$5,NFI,5,0),1,0)*Table_NFI[[#This Row],[Clothes Kit]],Table_NFI[Clothes Kit])</f>
        <v>0</v>
      </c>
      <c r="AG491" s="378">
        <f>IF(NFI_Expiration=1,IF($A491&lt;VLOOKUP(P$5,NFI,5,0),1,0)*Table_NFI[[#This Row],[Plastic Bucket]],Table_NFI[Plastic Bucket])</f>
        <v>0</v>
      </c>
      <c r="AH491" s="378">
        <f>IF(NFI_Expiration=1,IF($A491&lt;VLOOKUP(Q$5,NFI,5,0),1,0)*Table_NFI[[#This Row],[Plastic Mat]],Table_NFI[Plastic Mat])*IF(Table_NFI[[#This Row],[Distribution Date]]&gt;"2014-04-01",1,2.5)</f>
        <v>0</v>
      </c>
      <c r="AI491" s="378">
        <f>IF(NFI_Expiration=1,IF($A491&lt;VLOOKUP(R$5,NFI,5,0),1,0)*Table_NFI[[#This Row],[Winter Clothes Adult]],Table_NFI[Winter Clothes Adult])</f>
        <v>0</v>
      </c>
      <c r="AJ491" s="378">
        <f>IF(NFI_Expiration=1,IF($A491&lt;VLOOKUP(S$5,NFI,5,0),1,0)*Table_NFI[[#This Row],[Winter Clothes Children]],Table_NFI[Winter Clothes Children])</f>
        <v>0</v>
      </c>
      <c r="AK491" s="378">
        <f>IF(NFI_Expiration=1,IF($A491&lt;VLOOKUP(T$5,NFI,5,0),1,0)*Table_NFI[[#This Row],[Winter Items Other]],Table_NFI[Winter Items Other])</f>
        <v>0</v>
      </c>
      <c r="AL491" s="378">
        <f>IF(NFI_Expiration=1,IF($A491&lt;VLOOKUP(M$5,NFI,5,0),1,0)*Table_NFI[[#This Row],[Winter Blanket]],Table_NFI[[#This Row],[Winter Blanket]])</f>
        <v>0</v>
      </c>
      <c r="AM491" s="378">
        <f>IF(Table_NFI[[#This Row],[Winter Clothes Adult]]+Table_NFI[[#This Row],[Winter Clothes Children]]+Table_NFI[[#This Row],[Winter Items Other]]+Table_NFI[[#This Row],[Winter Blanket]]&gt;0,1,0)</f>
        <v>0</v>
      </c>
      <c r="AN491" s="418">
        <f>IF(NFI_Expiration=1,IF($A491&lt;VLOOKUP(V$5,NFI,5,0),1,0)*Table_NFI[[#This Row],[Jerry Can]],Table_NFI[Jerry Can])</f>
        <v>0</v>
      </c>
      <c r="AO491" s="579" t="str">
        <f>IFERROR(VLOOKUP(Table_NFI[[#This Row],[Camp Name]],CL,2,0),"")</f>
        <v>MMR001CMP021</v>
      </c>
      <c r="AP491" s="574">
        <f ca="1">IF(Table_NFI[[#This Row],[Pcode]]="","",IF(OFFSET(CampList[Opening Date],MATCH(Table_NFI[[#This Row],[Pcode]],CampList[CP_Pcode],0)-1,0,1,1)&gt;=NFI_Monitor_Date,1,0))</f>
        <v>0</v>
      </c>
      <c r="AQ491" s="579" t="str">
        <f>IFERROR(VLOOKUP(Table_NFI[[#This Row],[Camp Name]],CL,3,0),"")</f>
        <v>Open</v>
      </c>
      <c r="AR491" s="378" t="str">
        <f ca="1">IF(Table_NFI[[#This Row],[Pcode]]="","",OFFSET(CampList[Priority],MATCH(Table_NFI[[#This Row],[Pcode]],CampList[CP_Pcode],0)-1,0,1,1))</f>
        <v>P4</v>
      </c>
      <c r="AS491" s="377">
        <f>IFERROR(Table_NFI[[#This Row],[Kitchen Set]]/VLOOKUP(Table_NFI[[#This Row],[Camp Name]],CL,4,0),"")</f>
        <v>1.2142857142857142</v>
      </c>
      <c r="AT491" s="572" t="s">
        <v>1095</v>
      </c>
      <c r="AU491" s="575"/>
    </row>
    <row r="492" spans="1:47" s="576" customFormat="1" x14ac:dyDescent="0.25">
      <c r="A492" s="381">
        <f t="shared" si="7"/>
        <v>41.6</v>
      </c>
      <c r="B492" s="571">
        <v>41274</v>
      </c>
      <c r="C492" s="572" t="s">
        <v>455</v>
      </c>
      <c r="D492" s="573" t="s">
        <v>455</v>
      </c>
      <c r="E492" s="572" t="s">
        <v>380</v>
      </c>
      <c r="F492" s="374" t="s">
        <v>529</v>
      </c>
      <c r="G492" s="374" t="s">
        <v>136</v>
      </c>
      <c r="H492" s="375">
        <v>3</v>
      </c>
      <c r="I492" s="375"/>
      <c r="J492" s="375"/>
      <c r="K492" s="375"/>
      <c r="L492" s="376"/>
      <c r="M492" s="376"/>
      <c r="N492" s="376"/>
      <c r="O492" s="376"/>
      <c r="P492" s="378">
        <v>0</v>
      </c>
      <c r="Q492" s="378">
        <v>0</v>
      </c>
      <c r="R492" s="378"/>
      <c r="S492" s="378"/>
      <c r="T492" s="378"/>
      <c r="U492" s="378"/>
      <c r="V492" s="533"/>
      <c r="W492" s="378"/>
      <c r="X492" s="378"/>
      <c r="Y492" s="378">
        <f>IF(NFI_Expiration=1,IF($A492&lt;VLOOKUP(H$5,NFI,5,0),1,0)*Table_NFI[[#This Row],[Hygiene Kit]],Table_NFI[Hygiene Kit])</f>
        <v>0</v>
      </c>
      <c r="Z492" s="378">
        <f>IF(NFI_Expiration=1,IF($A492&lt;VLOOKUP(I$5,NFI,5,0),1,0)*Table_NFI[[#This Row],[NFI Core Kit]],Table_NFI[NFI Core Kit])</f>
        <v>0</v>
      </c>
      <c r="AA492" s="378">
        <f>IF(NFI_Expiration=1,IF($A492&lt;VLOOKUP(J$5,NFI,5,0),1,0)*Table_NFI[[#This Row],[Sanitary Kit]],Table_NFI[Sanitary Kit])</f>
        <v>0</v>
      </c>
      <c r="AB492" s="378">
        <f>IF(NFI_Expiration=1,IF($A492&lt;VLOOKUP(K$5,NFI,5,0),1,0)*Table_NFI[[#This Row],[Mosquito net]],Table_NFI[Mosquito net])</f>
        <v>0</v>
      </c>
      <c r="AC492" s="378">
        <f>IF(NFI_Expiration=1,IF($A492&lt;VLOOKUP(L$5,NFI,5,0),1,0)*Table_NFI[[#This Row],[Tarpaulin]],Table_NFI[[#This Row],[Tarpaulin]])</f>
        <v>0</v>
      </c>
      <c r="AD492" s="378">
        <f>IF(NFI_Expiration=1,IF($A492&lt;VLOOKUP(M$5,NFI,5,0),1,0)*Table_NFI[[#This Row],[Blanket]],Table_NFI[[#This Row],[Blanket]])</f>
        <v>0</v>
      </c>
      <c r="AE492" s="378">
        <f>IF(NFI_Expiration=1,IF($A492&lt;VLOOKUP(N$5,NFI,5,0),1,0)*Table_NFI[[#This Row],[Kitchen Set]],Table_NFI[Kitchen Set])</f>
        <v>0</v>
      </c>
      <c r="AF492" s="378">
        <f>IF(NFI_Expiration=1,IF($A492&lt;VLOOKUP(O$5,NFI,5,0),1,0)*Table_NFI[[#This Row],[Clothes Kit]],Table_NFI[Clothes Kit])</f>
        <v>0</v>
      </c>
      <c r="AG492" s="378">
        <f>IF(NFI_Expiration=1,IF($A492&lt;VLOOKUP(P$5,NFI,5,0),1,0)*Table_NFI[[#This Row],[Plastic Bucket]],Table_NFI[Plastic Bucket])</f>
        <v>0</v>
      </c>
      <c r="AH492" s="378">
        <f>IF(NFI_Expiration=1,IF($A492&lt;VLOOKUP(Q$5,NFI,5,0),1,0)*Table_NFI[[#This Row],[Plastic Mat]],Table_NFI[Plastic Mat])*IF(Table_NFI[[#This Row],[Distribution Date]]&gt;"2014-04-01",1,2.5)</f>
        <v>0</v>
      </c>
      <c r="AI492" s="378">
        <f>IF(NFI_Expiration=1,IF($A492&lt;VLOOKUP(R$5,NFI,5,0),1,0)*Table_NFI[[#This Row],[Winter Clothes Adult]],Table_NFI[Winter Clothes Adult])</f>
        <v>0</v>
      </c>
      <c r="AJ492" s="378">
        <f>IF(NFI_Expiration=1,IF($A492&lt;VLOOKUP(S$5,NFI,5,0),1,0)*Table_NFI[[#This Row],[Winter Clothes Children]],Table_NFI[Winter Clothes Children])</f>
        <v>0</v>
      </c>
      <c r="AK492" s="378">
        <f>IF(NFI_Expiration=1,IF($A492&lt;VLOOKUP(T$5,NFI,5,0),1,0)*Table_NFI[[#This Row],[Winter Items Other]],Table_NFI[Winter Items Other])</f>
        <v>0</v>
      </c>
      <c r="AL492" s="378">
        <f>IF(NFI_Expiration=1,IF($A492&lt;VLOOKUP(M$5,NFI,5,0),1,0)*Table_NFI[[#This Row],[Winter Blanket]],Table_NFI[[#This Row],[Winter Blanket]])</f>
        <v>0</v>
      </c>
      <c r="AM492" s="378">
        <f>IF(Table_NFI[[#This Row],[Winter Clothes Adult]]+Table_NFI[[#This Row],[Winter Clothes Children]]+Table_NFI[[#This Row],[Winter Items Other]]+Table_NFI[[#This Row],[Winter Blanket]]&gt;0,1,0)</f>
        <v>0</v>
      </c>
      <c r="AN492" s="418">
        <f>IF(NFI_Expiration=1,IF($A492&lt;VLOOKUP(V$5,NFI,5,0),1,0)*Table_NFI[[#This Row],[Jerry Can]],Table_NFI[Jerry Can])</f>
        <v>0</v>
      </c>
      <c r="AO492" s="579" t="str">
        <f>IFERROR(VLOOKUP(Table_NFI[[#This Row],[Camp Name]],CL,2,0),"")</f>
        <v>MMR001CMP106</v>
      </c>
      <c r="AP492" s="574">
        <f ca="1">IF(Table_NFI[[#This Row],[Pcode]]="","",IF(OFFSET(CampList[Opening Date],MATCH(Table_NFI[[#This Row],[Pcode]],CampList[CP_Pcode],0)-1,0,1,1)&gt;=NFI_Monitor_Date,1,0))</f>
        <v>0</v>
      </c>
      <c r="AQ492" s="579" t="str">
        <f>IFERROR(VLOOKUP(Table_NFI[[#This Row],[Camp Name]],CL,3,0),"")</f>
        <v>Closed</v>
      </c>
      <c r="AR492" s="378" t="str">
        <f ca="1">IF(Table_NFI[[#This Row],[Pcode]]="","",OFFSET(CampList[Priority],MATCH(Table_NFI[[#This Row],[Pcode]],CampList[CP_Pcode],0)-1,0,1,1))</f>
        <v/>
      </c>
      <c r="AS492" s="377" t="str">
        <f>IFERROR(Table_NFI[[#This Row],[Kitchen Set]]/VLOOKUP(Table_NFI[[#This Row],[Camp Name]],CL,4,0),"")</f>
        <v/>
      </c>
      <c r="AT492" s="572" t="s">
        <v>1095</v>
      </c>
      <c r="AU492" s="575"/>
    </row>
    <row r="493" spans="1:47" s="576" customFormat="1" ht="25.5" x14ac:dyDescent="0.25">
      <c r="A493" s="381">
        <f t="shared" si="7"/>
        <v>53.366666666666667</v>
      </c>
      <c r="B493" s="571">
        <v>40921</v>
      </c>
      <c r="C493" s="572" t="s">
        <v>454</v>
      </c>
      <c r="D493" s="573" t="s">
        <v>462</v>
      </c>
      <c r="E493" s="572" t="s">
        <v>380</v>
      </c>
      <c r="F493" s="374" t="s">
        <v>529</v>
      </c>
      <c r="G493" s="379" t="s">
        <v>136</v>
      </c>
      <c r="H493" s="375"/>
      <c r="I493" s="375"/>
      <c r="J493" s="375"/>
      <c r="K493" s="375">
        <v>224</v>
      </c>
      <c r="L493" s="376">
        <v>112</v>
      </c>
      <c r="M493" s="376">
        <v>112</v>
      </c>
      <c r="N493" s="376">
        <v>0</v>
      </c>
      <c r="O493" s="376">
        <v>112</v>
      </c>
      <c r="P493" s="378">
        <v>112</v>
      </c>
      <c r="Q493" s="378">
        <v>112</v>
      </c>
      <c r="R493" s="378"/>
      <c r="S493" s="378"/>
      <c r="T493" s="378"/>
      <c r="U493" s="378"/>
      <c r="V493" s="533"/>
      <c r="W493" s="378"/>
      <c r="X493" s="378"/>
      <c r="Y493" s="378">
        <f>IF(NFI_Expiration=1,IF($A493&lt;VLOOKUP(H$5,NFI,5,0),1,0)*Table_NFI[[#This Row],[Hygiene Kit]],Table_NFI[Hygiene Kit])</f>
        <v>0</v>
      </c>
      <c r="Z493" s="378">
        <f>IF(NFI_Expiration=1,IF($A493&lt;VLOOKUP(I$5,NFI,5,0),1,0)*Table_NFI[[#This Row],[NFI Core Kit]],Table_NFI[NFI Core Kit])</f>
        <v>0</v>
      </c>
      <c r="AA493" s="378">
        <f>IF(NFI_Expiration=1,IF($A493&lt;VLOOKUP(J$5,NFI,5,0),1,0)*Table_NFI[[#This Row],[Sanitary Kit]],Table_NFI[Sanitary Kit])</f>
        <v>0</v>
      </c>
      <c r="AB493" s="378">
        <f>IF(NFI_Expiration=1,IF($A493&lt;VLOOKUP(K$5,NFI,5,0),1,0)*Table_NFI[[#This Row],[Mosquito net]],Table_NFI[Mosquito net])</f>
        <v>0</v>
      </c>
      <c r="AC493" s="378">
        <f>IF(NFI_Expiration=1,IF($A493&lt;VLOOKUP(L$5,NFI,5,0),1,0)*Table_NFI[[#This Row],[Tarpaulin]],Table_NFI[[#This Row],[Tarpaulin]])</f>
        <v>0</v>
      </c>
      <c r="AD493" s="378">
        <f>IF(NFI_Expiration=1,IF($A493&lt;VLOOKUP(M$5,NFI,5,0),1,0)*Table_NFI[[#This Row],[Blanket]],Table_NFI[[#This Row],[Blanket]])</f>
        <v>0</v>
      </c>
      <c r="AE493" s="378">
        <f>IF(NFI_Expiration=1,IF($A493&lt;VLOOKUP(N$5,NFI,5,0),1,0)*Table_NFI[[#This Row],[Kitchen Set]],Table_NFI[Kitchen Set])</f>
        <v>0</v>
      </c>
      <c r="AF493" s="378">
        <f>IF(NFI_Expiration=1,IF($A493&lt;VLOOKUP(O$5,NFI,5,0),1,0)*Table_NFI[[#This Row],[Clothes Kit]],Table_NFI[Clothes Kit])</f>
        <v>0</v>
      </c>
      <c r="AG493" s="378">
        <f>IF(NFI_Expiration=1,IF($A493&lt;VLOOKUP(P$5,NFI,5,0),1,0)*Table_NFI[[#This Row],[Plastic Bucket]],Table_NFI[Plastic Bucket])</f>
        <v>0</v>
      </c>
      <c r="AH493" s="378">
        <f>IF(NFI_Expiration=1,IF($A493&lt;VLOOKUP(Q$5,NFI,5,0),1,0)*Table_NFI[[#This Row],[Plastic Mat]],Table_NFI[Plastic Mat])*IF(Table_NFI[[#This Row],[Distribution Date]]&gt;"2014-04-01",1,2.5)</f>
        <v>0</v>
      </c>
      <c r="AI493" s="378">
        <f>IF(NFI_Expiration=1,IF($A493&lt;VLOOKUP(R$5,NFI,5,0),1,0)*Table_NFI[[#This Row],[Winter Clothes Adult]],Table_NFI[Winter Clothes Adult])</f>
        <v>0</v>
      </c>
      <c r="AJ493" s="378">
        <f>IF(NFI_Expiration=1,IF($A493&lt;VLOOKUP(S$5,NFI,5,0),1,0)*Table_NFI[[#This Row],[Winter Clothes Children]],Table_NFI[Winter Clothes Children])</f>
        <v>0</v>
      </c>
      <c r="AK493" s="378">
        <f>IF(NFI_Expiration=1,IF($A493&lt;VLOOKUP(T$5,NFI,5,0),1,0)*Table_NFI[[#This Row],[Winter Items Other]],Table_NFI[Winter Items Other])</f>
        <v>0</v>
      </c>
      <c r="AL493" s="378">
        <f>IF(NFI_Expiration=1,IF($A493&lt;VLOOKUP(M$5,NFI,5,0),1,0)*Table_NFI[[#This Row],[Winter Blanket]],Table_NFI[[#This Row],[Winter Blanket]])</f>
        <v>0</v>
      </c>
      <c r="AM493" s="378">
        <f>IF(Table_NFI[[#This Row],[Winter Clothes Adult]]+Table_NFI[[#This Row],[Winter Clothes Children]]+Table_NFI[[#This Row],[Winter Items Other]]+Table_NFI[[#This Row],[Winter Blanket]]&gt;0,1,0)</f>
        <v>0</v>
      </c>
      <c r="AN493" s="418">
        <f>IF(NFI_Expiration=1,IF($A493&lt;VLOOKUP(V$5,NFI,5,0),1,0)*Table_NFI[[#This Row],[Jerry Can]],Table_NFI[Jerry Can])</f>
        <v>0</v>
      </c>
      <c r="AO493" s="579" t="str">
        <f>IFERROR(VLOOKUP(Table_NFI[[#This Row],[Camp Name]],CL,2,0),"")</f>
        <v>MMR001CMP106</v>
      </c>
      <c r="AP493" s="574">
        <f ca="1">IF(Table_NFI[[#This Row],[Pcode]]="","",IF(OFFSET(CampList[Opening Date],MATCH(Table_NFI[[#This Row],[Pcode]],CampList[CP_Pcode],0)-1,0,1,1)&gt;=NFI_Monitor_Date,1,0))</f>
        <v>0</v>
      </c>
      <c r="AQ493" s="579" t="str">
        <f>IFERROR(VLOOKUP(Table_NFI[[#This Row],[Camp Name]],CL,3,0),"")</f>
        <v>Closed</v>
      </c>
      <c r="AR493" s="378" t="str">
        <f ca="1">IF(Table_NFI[[#This Row],[Pcode]]="","",OFFSET(CampList[Priority],MATCH(Table_NFI[[#This Row],[Pcode]],CampList[CP_Pcode],0)-1,0,1,1))</f>
        <v/>
      </c>
      <c r="AS493" s="377" t="str">
        <f>IFERROR(Table_NFI[[#This Row],[Kitchen Set]]/VLOOKUP(Table_NFI[[#This Row],[Camp Name]],CL,4,0),"")</f>
        <v/>
      </c>
      <c r="AT493" s="572" t="s">
        <v>1095</v>
      </c>
      <c r="AU493" s="575"/>
    </row>
    <row r="494" spans="1:47" s="576" customFormat="1" x14ac:dyDescent="0.25">
      <c r="A494" s="381">
        <f t="shared" si="7"/>
        <v>38.966666666666669</v>
      </c>
      <c r="B494" s="571">
        <v>41353</v>
      </c>
      <c r="C494" s="572" t="s">
        <v>454</v>
      </c>
      <c r="D494" s="572" t="s">
        <v>454</v>
      </c>
      <c r="E494" s="572" t="s">
        <v>380</v>
      </c>
      <c r="F494" s="572" t="s">
        <v>529</v>
      </c>
      <c r="G494" s="374" t="s">
        <v>84</v>
      </c>
      <c r="H494" s="375"/>
      <c r="I494" s="375"/>
      <c r="J494" s="375">
        <v>18</v>
      </c>
      <c r="K494" s="375">
        <v>17</v>
      </c>
      <c r="L494" s="376">
        <v>17</v>
      </c>
      <c r="M494" s="376">
        <v>42</v>
      </c>
      <c r="N494" s="376">
        <v>17</v>
      </c>
      <c r="O494" s="376">
        <v>42</v>
      </c>
      <c r="P494" s="378">
        <v>42</v>
      </c>
      <c r="Q494" s="378">
        <v>42</v>
      </c>
      <c r="R494" s="378"/>
      <c r="S494" s="378"/>
      <c r="T494" s="378"/>
      <c r="U494" s="378"/>
      <c r="V494" s="533"/>
      <c r="W494" s="378"/>
      <c r="X494" s="378"/>
      <c r="Y494" s="378">
        <f>IF(NFI_Expiration=1,IF($A494&lt;VLOOKUP(H$5,NFI,5,0),1,0)*Table_NFI[[#This Row],[Hygiene Kit]],Table_NFI[Hygiene Kit])</f>
        <v>0</v>
      </c>
      <c r="Z494" s="378">
        <f>IF(NFI_Expiration=1,IF($A494&lt;VLOOKUP(I$5,NFI,5,0),1,0)*Table_NFI[[#This Row],[NFI Core Kit]],Table_NFI[NFI Core Kit])</f>
        <v>0</v>
      </c>
      <c r="AA494" s="378">
        <f>IF(NFI_Expiration=1,IF($A494&lt;VLOOKUP(J$5,NFI,5,0),1,0)*Table_NFI[[#This Row],[Sanitary Kit]],Table_NFI[Sanitary Kit])</f>
        <v>0</v>
      </c>
      <c r="AB494" s="378">
        <f>IF(NFI_Expiration=1,IF($A494&lt;VLOOKUP(K$5,NFI,5,0),1,0)*Table_NFI[[#This Row],[Mosquito net]],Table_NFI[Mosquito net])</f>
        <v>0</v>
      </c>
      <c r="AC494" s="378">
        <f>IF(NFI_Expiration=1,IF($A494&lt;VLOOKUP(L$5,NFI,5,0),1,0)*Table_NFI[[#This Row],[Tarpaulin]],Table_NFI[[#This Row],[Tarpaulin]])</f>
        <v>0</v>
      </c>
      <c r="AD494" s="378">
        <f>IF(NFI_Expiration=1,IF($A494&lt;VLOOKUP(M$5,NFI,5,0),1,0)*Table_NFI[[#This Row],[Blanket]],Table_NFI[[#This Row],[Blanket]])</f>
        <v>0</v>
      </c>
      <c r="AE494" s="378">
        <f>IF(NFI_Expiration=1,IF($A494&lt;VLOOKUP(N$5,NFI,5,0),1,0)*Table_NFI[[#This Row],[Kitchen Set]],Table_NFI[Kitchen Set])</f>
        <v>0</v>
      </c>
      <c r="AF494" s="378">
        <f>IF(NFI_Expiration=1,IF($A494&lt;VLOOKUP(O$5,NFI,5,0),1,0)*Table_NFI[[#This Row],[Clothes Kit]],Table_NFI[Clothes Kit])</f>
        <v>0</v>
      </c>
      <c r="AG494" s="378">
        <f>IF(NFI_Expiration=1,IF($A494&lt;VLOOKUP(P$5,NFI,5,0),1,0)*Table_NFI[[#This Row],[Plastic Bucket]],Table_NFI[Plastic Bucket])</f>
        <v>0</v>
      </c>
      <c r="AH494" s="378">
        <f>IF(NFI_Expiration=1,IF($A494&lt;VLOOKUP(Q$5,NFI,5,0),1,0)*Table_NFI[[#This Row],[Plastic Mat]],Table_NFI[Plastic Mat])*IF(Table_NFI[[#This Row],[Distribution Date]]&gt;"2014-04-01",1,2.5)</f>
        <v>0</v>
      </c>
      <c r="AI494" s="378">
        <f>IF(NFI_Expiration=1,IF($A494&lt;VLOOKUP(R$5,NFI,5,0),1,0)*Table_NFI[[#This Row],[Winter Clothes Adult]],Table_NFI[Winter Clothes Adult])</f>
        <v>0</v>
      </c>
      <c r="AJ494" s="378">
        <f>IF(NFI_Expiration=1,IF($A494&lt;VLOOKUP(S$5,NFI,5,0),1,0)*Table_NFI[[#This Row],[Winter Clothes Children]],Table_NFI[Winter Clothes Children])</f>
        <v>0</v>
      </c>
      <c r="AK494" s="378">
        <f>IF(NFI_Expiration=1,IF($A494&lt;VLOOKUP(T$5,NFI,5,0),1,0)*Table_NFI[[#This Row],[Winter Items Other]],Table_NFI[Winter Items Other])</f>
        <v>0</v>
      </c>
      <c r="AL494" s="378">
        <f>IF(NFI_Expiration=1,IF($A494&lt;VLOOKUP(M$5,NFI,5,0),1,0)*Table_NFI[[#This Row],[Winter Blanket]],Table_NFI[[#This Row],[Winter Blanket]])</f>
        <v>0</v>
      </c>
      <c r="AM494" s="378">
        <f>IF(Table_NFI[[#This Row],[Winter Clothes Adult]]+Table_NFI[[#This Row],[Winter Clothes Children]]+Table_NFI[[#This Row],[Winter Items Other]]+Table_NFI[[#This Row],[Winter Blanket]]&gt;0,1,0)</f>
        <v>0</v>
      </c>
      <c r="AN494" s="418">
        <f>IF(NFI_Expiration=1,IF($A494&lt;VLOOKUP(V$5,NFI,5,0),1,0)*Table_NFI[[#This Row],[Jerry Can]],Table_NFI[Jerry Can])</f>
        <v>0</v>
      </c>
      <c r="AO494" s="579" t="str">
        <f>IFERROR(VLOOKUP(Table_NFI[[#This Row],[Camp Name]],CL,2,0),"")</f>
        <v>MMR001CMP085</v>
      </c>
      <c r="AP494" s="574">
        <f ca="1">IF(Table_NFI[[#This Row],[Pcode]]="","",IF(OFFSET(CampList[Opening Date],MATCH(Table_NFI[[#This Row],[Pcode]],CampList[CP_Pcode],0)-1,0,1,1)&gt;=NFI_Monitor_Date,1,0))</f>
        <v>0</v>
      </c>
      <c r="AQ494" s="579" t="str">
        <f>IFERROR(VLOOKUP(Table_NFI[[#This Row],[Camp Name]],CL,3,0),"")</f>
        <v>Closed</v>
      </c>
      <c r="AR494" s="378" t="str">
        <f ca="1">IF(Table_NFI[[#This Row],[Pcode]]="","",OFFSET(CampList[Priority],MATCH(Table_NFI[[#This Row],[Pcode]],CampList[CP_Pcode],0)-1,0,1,1))</f>
        <v/>
      </c>
      <c r="AS494" s="377" t="str">
        <f>IFERROR(Table_NFI[[#This Row],[Kitchen Set]]/VLOOKUP(Table_NFI[[#This Row],[Camp Name]],CL,4,0),"")</f>
        <v/>
      </c>
      <c r="AT494" s="572" t="s">
        <v>1095</v>
      </c>
      <c r="AU494" s="575"/>
    </row>
    <row r="495" spans="1:47" s="576" customFormat="1" x14ac:dyDescent="0.25">
      <c r="A495" s="381">
        <f t="shared" si="7"/>
        <v>39.9</v>
      </c>
      <c r="B495" s="571">
        <v>41325</v>
      </c>
      <c r="C495" s="572" t="s">
        <v>454</v>
      </c>
      <c r="D495" s="572" t="s">
        <v>454</v>
      </c>
      <c r="E495" s="572" t="s">
        <v>380</v>
      </c>
      <c r="F495" s="572" t="s">
        <v>529</v>
      </c>
      <c r="G495" s="374" t="s">
        <v>84</v>
      </c>
      <c r="H495" s="375"/>
      <c r="I495" s="375"/>
      <c r="J495" s="375">
        <v>85</v>
      </c>
      <c r="K495" s="375">
        <v>138</v>
      </c>
      <c r="L495" s="376">
        <v>65</v>
      </c>
      <c r="M495" s="376">
        <v>138</v>
      </c>
      <c r="N495" s="376">
        <v>65</v>
      </c>
      <c r="O495" s="376">
        <v>65</v>
      </c>
      <c r="P495" s="378">
        <v>65</v>
      </c>
      <c r="Q495" s="378">
        <v>65</v>
      </c>
      <c r="R495" s="378"/>
      <c r="S495" s="378"/>
      <c r="T495" s="378"/>
      <c r="U495" s="378"/>
      <c r="V495" s="533"/>
      <c r="W495" s="378"/>
      <c r="X495" s="378"/>
      <c r="Y495" s="378">
        <f>IF(NFI_Expiration=1,IF($A495&lt;VLOOKUP(H$5,NFI,5,0),1,0)*Table_NFI[[#This Row],[Hygiene Kit]],Table_NFI[Hygiene Kit])</f>
        <v>0</v>
      </c>
      <c r="Z495" s="378">
        <f>IF(NFI_Expiration=1,IF($A495&lt;VLOOKUP(I$5,NFI,5,0),1,0)*Table_NFI[[#This Row],[NFI Core Kit]],Table_NFI[NFI Core Kit])</f>
        <v>0</v>
      </c>
      <c r="AA495" s="378">
        <f>IF(NFI_Expiration=1,IF($A495&lt;VLOOKUP(J$5,NFI,5,0),1,0)*Table_NFI[[#This Row],[Sanitary Kit]],Table_NFI[Sanitary Kit])</f>
        <v>0</v>
      </c>
      <c r="AB495" s="378">
        <f>IF(NFI_Expiration=1,IF($A495&lt;VLOOKUP(K$5,NFI,5,0),1,0)*Table_NFI[[#This Row],[Mosquito net]],Table_NFI[Mosquito net])</f>
        <v>0</v>
      </c>
      <c r="AC495" s="378">
        <f>IF(NFI_Expiration=1,IF($A495&lt;VLOOKUP(L$5,NFI,5,0),1,0)*Table_NFI[[#This Row],[Tarpaulin]],Table_NFI[[#This Row],[Tarpaulin]])</f>
        <v>0</v>
      </c>
      <c r="AD495" s="378">
        <f>IF(NFI_Expiration=1,IF($A495&lt;VLOOKUP(M$5,NFI,5,0),1,0)*Table_NFI[[#This Row],[Blanket]],Table_NFI[[#This Row],[Blanket]])</f>
        <v>0</v>
      </c>
      <c r="AE495" s="378">
        <f>IF(NFI_Expiration=1,IF($A495&lt;VLOOKUP(N$5,NFI,5,0),1,0)*Table_NFI[[#This Row],[Kitchen Set]],Table_NFI[Kitchen Set])</f>
        <v>0</v>
      </c>
      <c r="AF495" s="378">
        <f>IF(NFI_Expiration=1,IF($A495&lt;VLOOKUP(O$5,NFI,5,0),1,0)*Table_NFI[[#This Row],[Clothes Kit]],Table_NFI[Clothes Kit])</f>
        <v>0</v>
      </c>
      <c r="AG495" s="378">
        <f>IF(NFI_Expiration=1,IF($A495&lt;VLOOKUP(P$5,NFI,5,0),1,0)*Table_NFI[[#This Row],[Plastic Bucket]],Table_NFI[Plastic Bucket])</f>
        <v>0</v>
      </c>
      <c r="AH495" s="378">
        <f>IF(NFI_Expiration=1,IF($A495&lt;VLOOKUP(Q$5,NFI,5,0),1,0)*Table_NFI[[#This Row],[Plastic Mat]],Table_NFI[Plastic Mat])*IF(Table_NFI[[#This Row],[Distribution Date]]&gt;"2014-04-01",1,2.5)</f>
        <v>0</v>
      </c>
      <c r="AI495" s="378">
        <f>IF(NFI_Expiration=1,IF($A495&lt;VLOOKUP(R$5,NFI,5,0),1,0)*Table_NFI[[#This Row],[Winter Clothes Adult]],Table_NFI[Winter Clothes Adult])</f>
        <v>0</v>
      </c>
      <c r="AJ495" s="378">
        <f>IF(NFI_Expiration=1,IF($A495&lt;VLOOKUP(S$5,NFI,5,0),1,0)*Table_NFI[[#This Row],[Winter Clothes Children]],Table_NFI[Winter Clothes Children])</f>
        <v>0</v>
      </c>
      <c r="AK495" s="378">
        <f>IF(NFI_Expiration=1,IF($A495&lt;VLOOKUP(T$5,NFI,5,0),1,0)*Table_NFI[[#This Row],[Winter Items Other]],Table_NFI[Winter Items Other])</f>
        <v>0</v>
      </c>
      <c r="AL495" s="378">
        <f>IF(NFI_Expiration=1,IF($A495&lt;VLOOKUP(M$5,NFI,5,0),1,0)*Table_NFI[[#This Row],[Winter Blanket]],Table_NFI[[#This Row],[Winter Blanket]])</f>
        <v>0</v>
      </c>
      <c r="AM495" s="378">
        <f>IF(Table_NFI[[#This Row],[Winter Clothes Adult]]+Table_NFI[[#This Row],[Winter Clothes Children]]+Table_NFI[[#This Row],[Winter Items Other]]+Table_NFI[[#This Row],[Winter Blanket]]&gt;0,1,0)</f>
        <v>0</v>
      </c>
      <c r="AN495" s="418">
        <f>IF(NFI_Expiration=1,IF($A495&lt;VLOOKUP(V$5,NFI,5,0),1,0)*Table_NFI[[#This Row],[Jerry Can]],Table_NFI[Jerry Can])</f>
        <v>0</v>
      </c>
      <c r="AO495" s="579" t="str">
        <f>IFERROR(VLOOKUP(Table_NFI[[#This Row],[Camp Name]],CL,2,0),"")</f>
        <v>MMR001CMP085</v>
      </c>
      <c r="AP495" s="574">
        <f ca="1">IF(Table_NFI[[#This Row],[Pcode]]="","",IF(OFFSET(CampList[Opening Date],MATCH(Table_NFI[[#This Row],[Pcode]],CampList[CP_Pcode],0)-1,0,1,1)&gt;=NFI_Monitor_Date,1,0))</f>
        <v>0</v>
      </c>
      <c r="AQ495" s="579" t="str">
        <f>IFERROR(VLOOKUP(Table_NFI[[#This Row],[Camp Name]],CL,3,0),"")</f>
        <v>Closed</v>
      </c>
      <c r="AR495" s="378" t="str">
        <f ca="1">IF(Table_NFI[[#This Row],[Pcode]]="","",OFFSET(CampList[Priority],MATCH(Table_NFI[[#This Row],[Pcode]],CampList[CP_Pcode],0)-1,0,1,1))</f>
        <v/>
      </c>
      <c r="AS495" s="377" t="str">
        <f>IFERROR(Table_NFI[[#This Row],[Kitchen Set]]/VLOOKUP(Table_NFI[[#This Row],[Camp Name]],CL,4,0),"")</f>
        <v/>
      </c>
      <c r="AT495" s="572" t="s">
        <v>1095</v>
      </c>
      <c r="AU495" s="575"/>
    </row>
    <row r="496" spans="1:47" s="576" customFormat="1" x14ac:dyDescent="0.25">
      <c r="A496" s="381">
        <f t="shared" si="7"/>
        <v>41.6</v>
      </c>
      <c r="B496" s="571">
        <v>41274</v>
      </c>
      <c r="C496" s="572" t="s">
        <v>455</v>
      </c>
      <c r="D496" s="572" t="s">
        <v>455</v>
      </c>
      <c r="E496" s="572" t="s">
        <v>380</v>
      </c>
      <c r="F496" s="374" t="s">
        <v>529</v>
      </c>
      <c r="G496" s="374" t="s">
        <v>84</v>
      </c>
      <c r="H496" s="375">
        <v>10</v>
      </c>
      <c r="I496" s="375"/>
      <c r="J496" s="375"/>
      <c r="K496" s="375"/>
      <c r="L496" s="376"/>
      <c r="M496" s="376"/>
      <c r="N496" s="376"/>
      <c r="O496" s="376"/>
      <c r="P496" s="378">
        <v>0</v>
      </c>
      <c r="Q496" s="378">
        <v>0</v>
      </c>
      <c r="R496" s="378"/>
      <c r="S496" s="378"/>
      <c r="T496" s="378"/>
      <c r="U496" s="378"/>
      <c r="V496" s="533"/>
      <c r="W496" s="378"/>
      <c r="X496" s="378"/>
      <c r="Y496" s="378">
        <f>IF(NFI_Expiration=1,IF($A496&lt;VLOOKUP(H$5,NFI,5,0),1,0)*Table_NFI[[#This Row],[Hygiene Kit]],Table_NFI[Hygiene Kit])</f>
        <v>0</v>
      </c>
      <c r="Z496" s="378">
        <f>IF(NFI_Expiration=1,IF($A496&lt;VLOOKUP(I$5,NFI,5,0),1,0)*Table_NFI[[#This Row],[NFI Core Kit]],Table_NFI[NFI Core Kit])</f>
        <v>0</v>
      </c>
      <c r="AA496" s="378">
        <f>IF(NFI_Expiration=1,IF($A496&lt;VLOOKUP(J$5,NFI,5,0),1,0)*Table_NFI[[#This Row],[Sanitary Kit]],Table_NFI[Sanitary Kit])</f>
        <v>0</v>
      </c>
      <c r="AB496" s="378">
        <f>IF(NFI_Expiration=1,IF($A496&lt;VLOOKUP(K$5,NFI,5,0),1,0)*Table_NFI[[#This Row],[Mosquito net]],Table_NFI[Mosquito net])</f>
        <v>0</v>
      </c>
      <c r="AC496" s="378">
        <f>IF(NFI_Expiration=1,IF($A496&lt;VLOOKUP(L$5,NFI,5,0),1,0)*Table_NFI[[#This Row],[Tarpaulin]],Table_NFI[[#This Row],[Tarpaulin]])</f>
        <v>0</v>
      </c>
      <c r="AD496" s="378">
        <f>IF(NFI_Expiration=1,IF($A496&lt;VLOOKUP(M$5,NFI,5,0),1,0)*Table_NFI[[#This Row],[Blanket]],Table_NFI[[#This Row],[Blanket]])</f>
        <v>0</v>
      </c>
      <c r="AE496" s="378">
        <f>IF(NFI_Expiration=1,IF($A496&lt;VLOOKUP(N$5,NFI,5,0),1,0)*Table_NFI[[#This Row],[Kitchen Set]],Table_NFI[Kitchen Set])</f>
        <v>0</v>
      </c>
      <c r="AF496" s="378">
        <f>IF(NFI_Expiration=1,IF($A496&lt;VLOOKUP(O$5,NFI,5,0),1,0)*Table_NFI[[#This Row],[Clothes Kit]],Table_NFI[Clothes Kit])</f>
        <v>0</v>
      </c>
      <c r="AG496" s="378">
        <f>IF(NFI_Expiration=1,IF($A496&lt;VLOOKUP(P$5,NFI,5,0),1,0)*Table_NFI[[#This Row],[Plastic Bucket]],Table_NFI[Plastic Bucket])</f>
        <v>0</v>
      </c>
      <c r="AH496" s="378">
        <f>IF(NFI_Expiration=1,IF($A496&lt;VLOOKUP(Q$5,NFI,5,0),1,0)*Table_NFI[[#This Row],[Plastic Mat]],Table_NFI[Plastic Mat])*IF(Table_NFI[[#This Row],[Distribution Date]]&gt;"2014-04-01",1,2.5)</f>
        <v>0</v>
      </c>
      <c r="AI496" s="378">
        <f>IF(NFI_Expiration=1,IF($A496&lt;VLOOKUP(R$5,NFI,5,0),1,0)*Table_NFI[[#This Row],[Winter Clothes Adult]],Table_NFI[Winter Clothes Adult])</f>
        <v>0</v>
      </c>
      <c r="AJ496" s="378">
        <f>IF(NFI_Expiration=1,IF($A496&lt;VLOOKUP(S$5,NFI,5,0),1,0)*Table_NFI[[#This Row],[Winter Clothes Children]],Table_NFI[Winter Clothes Children])</f>
        <v>0</v>
      </c>
      <c r="AK496" s="378">
        <f>IF(NFI_Expiration=1,IF($A496&lt;VLOOKUP(T$5,NFI,5,0),1,0)*Table_NFI[[#This Row],[Winter Items Other]],Table_NFI[Winter Items Other])</f>
        <v>0</v>
      </c>
      <c r="AL496" s="378">
        <f>IF(NFI_Expiration=1,IF($A496&lt;VLOOKUP(M$5,NFI,5,0),1,0)*Table_NFI[[#This Row],[Winter Blanket]],Table_NFI[[#This Row],[Winter Blanket]])</f>
        <v>0</v>
      </c>
      <c r="AM496" s="378">
        <f>IF(Table_NFI[[#This Row],[Winter Clothes Adult]]+Table_NFI[[#This Row],[Winter Clothes Children]]+Table_NFI[[#This Row],[Winter Items Other]]+Table_NFI[[#This Row],[Winter Blanket]]&gt;0,1,0)</f>
        <v>0</v>
      </c>
      <c r="AN496" s="418">
        <f>IF(NFI_Expiration=1,IF($A496&lt;VLOOKUP(V$5,NFI,5,0),1,0)*Table_NFI[[#This Row],[Jerry Can]],Table_NFI[Jerry Can])</f>
        <v>0</v>
      </c>
      <c r="AO496" s="579" t="str">
        <f>IFERROR(VLOOKUP(Table_NFI[[#This Row],[Camp Name]],CL,2,0),"")</f>
        <v>MMR001CMP085</v>
      </c>
      <c r="AP496" s="574">
        <f ca="1">IF(Table_NFI[[#This Row],[Pcode]]="","",IF(OFFSET(CampList[Opening Date],MATCH(Table_NFI[[#This Row],[Pcode]],CampList[CP_Pcode],0)-1,0,1,1)&gt;=NFI_Monitor_Date,1,0))</f>
        <v>0</v>
      </c>
      <c r="AQ496" s="579" t="str">
        <f>IFERROR(VLOOKUP(Table_NFI[[#This Row],[Camp Name]],CL,3,0),"")</f>
        <v>Closed</v>
      </c>
      <c r="AR496" s="378" t="str">
        <f ca="1">IF(Table_NFI[[#This Row],[Pcode]]="","",OFFSET(CampList[Priority],MATCH(Table_NFI[[#This Row],[Pcode]],CampList[CP_Pcode],0)-1,0,1,1))</f>
        <v/>
      </c>
      <c r="AS496" s="377" t="str">
        <f>IFERROR(Table_NFI[[#This Row],[Kitchen Set]]/VLOOKUP(Table_NFI[[#This Row],[Camp Name]],CL,4,0),"")</f>
        <v/>
      </c>
      <c r="AT496" s="572" t="s">
        <v>1095</v>
      </c>
      <c r="AU496" s="575"/>
    </row>
    <row r="497" spans="1:47" s="576" customFormat="1" x14ac:dyDescent="0.25">
      <c r="A497" s="381">
        <f t="shared" si="7"/>
        <v>53.366666666666667</v>
      </c>
      <c r="B497" s="571">
        <v>40921</v>
      </c>
      <c r="C497" s="572" t="s">
        <v>454</v>
      </c>
      <c r="D497" s="573" t="s">
        <v>462</v>
      </c>
      <c r="E497" s="572" t="s">
        <v>380</v>
      </c>
      <c r="F497" s="374" t="s">
        <v>529</v>
      </c>
      <c r="G497" s="374" t="s">
        <v>84</v>
      </c>
      <c r="H497" s="375"/>
      <c r="I497" s="375"/>
      <c r="J497" s="375"/>
      <c r="K497" s="375">
        <v>34</v>
      </c>
      <c r="L497" s="376">
        <v>17</v>
      </c>
      <c r="M497" s="376">
        <v>17</v>
      </c>
      <c r="N497" s="376">
        <v>0</v>
      </c>
      <c r="O497" s="376">
        <v>17</v>
      </c>
      <c r="P497" s="378">
        <v>17</v>
      </c>
      <c r="Q497" s="378">
        <v>17</v>
      </c>
      <c r="R497" s="378"/>
      <c r="S497" s="378"/>
      <c r="T497" s="378"/>
      <c r="U497" s="378"/>
      <c r="V497" s="533"/>
      <c r="W497" s="378"/>
      <c r="X497" s="378"/>
      <c r="Y497" s="378">
        <f>IF(NFI_Expiration=1,IF($A497&lt;VLOOKUP(H$5,NFI,5,0),1,0)*Table_NFI[[#This Row],[Hygiene Kit]],Table_NFI[Hygiene Kit])</f>
        <v>0</v>
      </c>
      <c r="Z497" s="378">
        <f>IF(NFI_Expiration=1,IF($A497&lt;VLOOKUP(I$5,NFI,5,0),1,0)*Table_NFI[[#This Row],[NFI Core Kit]],Table_NFI[NFI Core Kit])</f>
        <v>0</v>
      </c>
      <c r="AA497" s="378">
        <f>IF(NFI_Expiration=1,IF($A497&lt;VLOOKUP(J$5,NFI,5,0),1,0)*Table_NFI[[#This Row],[Sanitary Kit]],Table_NFI[Sanitary Kit])</f>
        <v>0</v>
      </c>
      <c r="AB497" s="378">
        <f>IF(NFI_Expiration=1,IF($A497&lt;VLOOKUP(K$5,NFI,5,0),1,0)*Table_NFI[[#This Row],[Mosquito net]],Table_NFI[Mosquito net])</f>
        <v>0</v>
      </c>
      <c r="AC497" s="378">
        <f>IF(NFI_Expiration=1,IF($A497&lt;VLOOKUP(L$5,NFI,5,0),1,0)*Table_NFI[[#This Row],[Tarpaulin]],Table_NFI[[#This Row],[Tarpaulin]])</f>
        <v>0</v>
      </c>
      <c r="AD497" s="378">
        <f>IF(NFI_Expiration=1,IF($A497&lt;VLOOKUP(M$5,NFI,5,0),1,0)*Table_NFI[[#This Row],[Blanket]],Table_NFI[[#This Row],[Blanket]])</f>
        <v>0</v>
      </c>
      <c r="AE497" s="378">
        <f>IF(NFI_Expiration=1,IF($A497&lt;VLOOKUP(N$5,NFI,5,0),1,0)*Table_NFI[[#This Row],[Kitchen Set]],Table_NFI[Kitchen Set])</f>
        <v>0</v>
      </c>
      <c r="AF497" s="378">
        <f>IF(NFI_Expiration=1,IF($A497&lt;VLOOKUP(O$5,NFI,5,0),1,0)*Table_NFI[[#This Row],[Clothes Kit]],Table_NFI[Clothes Kit])</f>
        <v>0</v>
      </c>
      <c r="AG497" s="378">
        <f>IF(NFI_Expiration=1,IF($A497&lt;VLOOKUP(P$5,NFI,5,0),1,0)*Table_NFI[[#This Row],[Plastic Bucket]],Table_NFI[Plastic Bucket])</f>
        <v>0</v>
      </c>
      <c r="AH497" s="378">
        <f>IF(NFI_Expiration=1,IF($A497&lt;VLOOKUP(Q$5,NFI,5,0),1,0)*Table_NFI[[#This Row],[Plastic Mat]],Table_NFI[Plastic Mat])*IF(Table_NFI[[#This Row],[Distribution Date]]&gt;"2014-04-01",1,2.5)</f>
        <v>0</v>
      </c>
      <c r="AI497" s="378">
        <f>IF(NFI_Expiration=1,IF($A497&lt;VLOOKUP(R$5,NFI,5,0),1,0)*Table_NFI[[#This Row],[Winter Clothes Adult]],Table_NFI[Winter Clothes Adult])</f>
        <v>0</v>
      </c>
      <c r="AJ497" s="378">
        <f>IF(NFI_Expiration=1,IF($A497&lt;VLOOKUP(S$5,NFI,5,0),1,0)*Table_NFI[[#This Row],[Winter Clothes Children]],Table_NFI[Winter Clothes Children])</f>
        <v>0</v>
      </c>
      <c r="AK497" s="378">
        <f>IF(NFI_Expiration=1,IF($A497&lt;VLOOKUP(T$5,NFI,5,0),1,0)*Table_NFI[[#This Row],[Winter Items Other]],Table_NFI[Winter Items Other])</f>
        <v>0</v>
      </c>
      <c r="AL497" s="378">
        <f>IF(NFI_Expiration=1,IF($A497&lt;VLOOKUP(M$5,NFI,5,0),1,0)*Table_NFI[[#This Row],[Winter Blanket]],Table_NFI[[#This Row],[Winter Blanket]])</f>
        <v>0</v>
      </c>
      <c r="AM497" s="378">
        <f>IF(Table_NFI[[#This Row],[Winter Clothes Adult]]+Table_NFI[[#This Row],[Winter Clothes Children]]+Table_NFI[[#This Row],[Winter Items Other]]+Table_NFI[[#This Row],[Winter Blanket]]&gt;0,1,0)</f>
        <v>0</v>
      </c>
      <c r="AN497" s="418">
        <f>IF(NFI_Expiration=1,IF($A497&lt;VLOOKUP(V$5,NFI,5,0),1,0)*Table_NFI[[#This Row],[Jerry Can]],Table_NFI[Jerry Can])</f>
        <v>0</v>
      </c>
      <c r="AO497" s="579" t="str">
        <f>IFERROR(VLOOKUP(Table_NFI[[#This Row],[Camp Name]],CL,2,0),"")</f>
        <v>MMR001CMP085</v>
      </c>
      <c r="AP497" s="574">
        <f ca="1">IF(Table_NFI[[#This Row],[Pcode]]="","",IF(OFFSET(CampList[Opening Date],MATCH(Table_NFI[[#This Row],[Pcode]],CampList[CP_Pcode],0)-1,0,1,1)&gt;=NFI_Monitor_Date,1,0))</f>
        <v>0</v>
      </c>
      <c r="AQ497" s="579" t="str">
        <f>IFERROR(VLOOKUP(Table_NFI[[#This Row],[Camp Name]],CL,3,0),"")</f>
        <v>Closed</v>
      </c>
      <c r="AR497" s="378" t="str">
        <f ca="1">IF(Table_NFI[[#This Row],[Pcode]]="","",OFFSET(CampList[Priority],MATCH(Table_NFI[[#This Row],[Pcode]],CampList[CP_Pcode],0)-1,0,1,1))</f>
        <v/>
      </c>
      <c r="AS497" s="377" t="str">
        <f>IFERROR(Table_NFI[[#This Row],[Kitchen Set]]/VLOOKUP(Table_NFI[[#This Row],[Camp Name]],CL,4,0),"")</f>
        <v/>
      </c>
      <c r="AT497" s="572" t="s">
        <v>1095</v>
      </c>
      <c r="AU497" s="575"/>
    </row>
    <row r="498" spans="1:47" s="576" customFormat="1" x14ac:dyDescent="0.25">
      <c r="A498" s="381">
        <f t="shared" si="7"/>
        <v>19.3</v>
      </c>
      <c r="B498" s="571">
        <v>41943</v>
      </c>
      <c r="C498" s="572" t="s">
        <v>1097</v>
      </c>
      <c r="D498" s="572" t="s">
        <v>903</v>
      </c>
      <c r="E498" s="572" t="s">
        <v>380</v>
      </c>
      <c r="F498" s="572" t="s">
        <v>529</v>
      </c>
      <c r="G498" s="572" t="s">
        <v>100</v>
      </c>
      <c r="H498" s="375"/>
      <c r="I498" s="375"/>
      <c r="J498" s="375"/>
      <c r="K498" s="375"/>
      <c r="L498" s="376"/>
      <c r="M498" s="376"/>
      <c r="N498" s="376"/>
      <c r="O498" s="376"/>
      <c r="P498" s="378"/>
      <c r="Q498" s="378"/>
      <c r="R498" s="378">
        <v>11</v>
      </c>
      <c r="S498" s="378">
        <v>15</v>
      </c>
      <c r="T498" s="378"/>
      <c r="U498" s="378"/>
      <c r="V498" s="533"/>
      <c r="W498" s="378"/>
      <c r="X498" s="378"/>
      <c r="Y498" s="378">
        <f>IF(NFI_Expiration=1,IF($A498&lt;VLOOKUP(H$5,NFI,5,0),1,0)*Table_NFI[[#This Row],[Hygiene Kit]],Table_NFI[Hygiene Kit])</f>
        <v>0</v>
      </c>
      <c r="Z498" s="378">
        <f>IF(NFI_Expiration=1,IF($A498&lt;VLOOKUP(I$5,NFI,5,0),1,0)*Table_NFI[[#This Row],[NFI Core Kit]],Table_NFI[NFI Core Kit])</f>
        <v>0</v>
      </c>
      <c r="AA498" s="378">
        <f>IF(NFI_Expiration=1,IF($A498&lt;VLOOKUP(J$5,NFI,5,0),1,0)*Table_NFI[[#This Row],[Sanitary Kit]],Table_NFI[Sanitary Kit])</f>
        <v>0</v>
      </c>
      <c r="AB498" s="378">
        <f>IF(NFI_Expiration=1,IF($A498&lt;VLOOKUP(K$5,NFI,5,0),1,0)*Table_NFI[[#This Row],[Mosquito net]],Table_NFI[Mosquito net])</f>
        <v>0</v>
      </c>
      <c r="AC498" s="378">
        <f>IF(NFI_Expiration=1,IF($A498&lt;VLOOKUP(L$5,NFI,5,0),1,0)*Table_NFI[[#This Row],[Tarpaulin]],Table_NFI[[#This Row],[Tarpaulin]])</f>
        <v>0</v>
      </c>
      <c r="AD498" s="378">
        <f>IF(NFI_Expiration=1,IF($A498&lt;VLOOKUP(M$5,NFI,5,0),1,0)*Table_NFI[[#This Row],[Blanket]],Table_NFI[[#This Row],[Blanket]])</f>
        <v>0</v>
      </c>
      <c r="AE498" s="378">
        <f>IF(NFI_Expiration=1,IF($A498&lt;VLOOKUP(N$5,NFI,5,0),1,0)*Table_NFI[[#This Row],[Kitchen Set]],Table_NFI[Kitchen Set])</f>
        <v>0</v>
      </c>
      <c r="AF498" s="378">
        <f>IF(NFI_Expiration=1,IF($A498&lt;VLOOKUP(O$5,NFI,5,0),1,0)*Table_NFI[[#This Row],[Clothes Kit]],Table_NFI[Clothes Kit])</f>
        <v>0</v>
      </c>
      <c r="AG498" s="378">
        <f>IF(NFI_Expiration=1,IF($A498&lt;VLOOKUP(P$5,NFI,5,0),1,0)*Table_NFI[[#This Row],[Plastic Bucket]],Table_NFI[Plastic Bucket])</f>
        <v>0</v>
      </c>
      <c r="AH498" s="378">
        <f>IF(NFI_Expiration=1,IF($A498&lt;VLOOKUP(Q$5,NFI,5,0),1,0)*Table_NFI[[#This Row],[Plastic Mat]],Table_NFI[Plastic Mat])*IF(Table_NFI[[#This Row],[Distribution Date]]&gt;"2014-04-01",1,2.5)</f>
        <v>0</v>
      </c>
      <c r="AI498" s="378">
        <f>IF(NFI_Expiration=1,IF($A498&lt;VLOOKUP(R$5,NFI,5,0),1,0)*Table_NFI[[#This Row],[Winter Clothes Adult]],Table_NFI[Winter Clothes Adult])</f>
        <v>0</v>
      </c>
      <c r="AJ498" s="378">
        <f>IF(NFI_Expiration=1,IF($A498&lt;VLOOKUP(S$5,NFI,5,0),1,0)*Table_NFI[[#This Row],[Winter Clothes Children]],Table_NFI[Winter Clothes Children])</f>
        <v>0</v>
      </c>
      <c r="AK498" s="378">
        <f>IF(NFI_Expiration=1,IF($A498&lt;VLOOKUP(T$5,NFI,5,0),1,0)*Table_NFI[[#This Row],[Winter Items Other]],Table_NFI[Winter Items Other])</f>
        <v>0</v>
      </c>
      <c r="AL498" s="378">
        <f>IF(NFI_Expiration=1,IF($A498&lt;VLOOKUP(M$5,NFI,5,0),1,0)*Table_NFI[[#This Row],[Winter Blanket]],Table_NFI[[#This Row],[Winter Blanket]])</f>
        <v>0</v>
      </c>
      <c r="AM498" s="378">
        <f>IF(Table_NFI[[#This Row],[Winter Clothes Adult]]+Table_NFI[[#This Row],[Winter Clothes Children]]+Table_NFI[[#This Row],[Winter Items Other]]+Table_NFI[[#This Row],[Winter Blanket]]&gt;0,1,0)</f>
        <v>1</v>
      </c>
      <c r="AN498" s="418">
        <f>IF(NFI_Expiration=1,IF($A498&lt;VLOOKUP(V$5,NFI,5,0),1,0)*Table_NFI[[#This Row],[Jerry Can]],Table_NFI[Jerry Can])</f>
        <v>0</v>
      </c>
      <c r="AO498" s="579" t="str">
        <f>IFERROR(VLOOKUP(Table_NFI[[#This Row],[Camp Name]],CL,2,0),"")</f>
        <v>MMR001CMP091</v>
      </c>
      <c r="AP498" s="574">
        <f ca="1">IF(Table_NFI[[#This Row],[Pcode]]="","",IF(OFFSET(CampList[Opening Date],MATCH(Table_NFI[[#This Row],[Pcode]],CampList[CP_Pcode],0)-1,0,1,1)&gt;=NFI_Monitor_Date,1,0))</f>
        <v>0</v>
      </c>
      <c r="AQ498" s="579" t="str">
        <f>IFERROR(VLOOKUP(Table_NFI[[#This Row],[Camp Name]],CL,3,0),"")</f>
        <v>Open</v>
      </c>
      <c r="AR498" s="378" t="str">
        <f ca="1">IF(Table_NFI[[#This Row],[Pcode]]="","",OFFSET(CampList[Priority],MATCH(Table_NFI[[#This Row],[Pcode]],CampList[CP_Pcode],0)-1,0,1,1))</f>
        <v>P4</v>
      </c>
      <c r="AS498" s="377">
        <f>IFERROR(Table_NFI[[#This Row],[Kitchen Set]]/VLOOKUP(Table_NFI[[#This Row],[Camp Name]],CL,4,0),"")</f>
        <v>0</v>
      </c>
      <c r="AT498" s="572"/>
      <c r="AU498" s="575"/>
    </row>
    <row r="499" spans="1:47" s="576" customFormat="1" x14ac:dyDescent="0.25">
      <c r="A499" s="381">
        <f t="shared" si="7"/>
        <v>19.3</v>
      </c>
      <c r="B499" s="571">
        <v>41943</v>
      </c>
      <c r="C499" s="572" t="s">
        <v>454</v>
      </c>
      <c r="D499" s="572"/>
      <c r="E499" s="572" t="s">
        <v>380</v>
      </c>
      <c r="F499" s="572" t="s">
        <v>529</v>
      </c>
      <c r="G499" s="572" t="s">
        <v>100</v>
      </c>
      <c r="H499" s="375"/>
      <c r="I499" s="375"/>
      <c r="J499" s="375">
        <v>5</v>
      </c>
      <c r="K499" s="375">
        <v>10</v>
      </c>
      <c r="L499" s="376">
        <v>5</v>
      </c>
      <c r="M499" s="376">
        <v>10</v>
      </c>
      <c r="N499" s="376">
        <v>5</v>
      </c>
      <c r="O499" s="376"/>
      <c r="P499" s="378">
        <v>5</v>
      </c>
      <c r="Q499" s="378">
        <v>25</v>
      </c>
      <c r="R499" s="378"/>
      <c r="S499" s="378"/>
      <c r="T499" s="378"/>
      <c r="U499" s="378"/>
      <c r="V499" s="533"/>
      <c r="W499" s="378"/>
      <c r="X499" s="378"/>
      <c r="Y499" s="378">
        <f>IF(NFI_Expiration=1,IF($A499&lt;VLOOKUP(H$5,NFI,5,0),1,0)*Table_NFI[[#This Row],[Hygiene Kit]],Table_NFI[Hygiene Kit])</f>
        <v>0</v>
      </c>
      <c r="Z499" s="378">
        <f>IF(NFI_Expiration=1,IF($A499&lt;VLOOKUP(I$5,NFI,5,0),1,0)*Table_NFI[[#This Row],[NFI Core Kit]],Table_NFI[NFI Core Kit])</f>
        <v>0</v>
      </c>
      <c r="AA499" s="378">
        <f>IF(NFI_Expiration=1,IF($A499&lt;VLOOKUP(J$5,NFI,5,0),1,0)*Table_NFI[[#This Row],[Sanitary Kit]],Table_NFI[Sanitary Kit])</f>
        <v>0</v>
      </c>
      <c r="AB499" s="378">
        <f>IF(NFI_Expiration=1,IF($A499&lt;VLOOKUP(K$5,NFI,5,0),1,0)*Table_NFI[[#This Row],[Mosquito net]],Table_NFI[Mosquito net])</f>
        <v>0</v>
      </c>
      <c r="AC499" s="378">
        <f>IF(NFI_Expiration=1,IF($A499&lt;VLOOKUP(L$5,NFI,5,0),1,0)*Table_NFI[[#This Row],[Tarpaulin]],Table_NFI[[#This Row],[Tarpaulin]])</f>
        <v>0</v>
      </c>
      <c r="AD499" s="378">
        <f>IF(NFI_Expiration=1,IF($A499&lt;VLOOKUP(M$5,NFI,5,0),1,0)*Table_NFI[[#This Row],[Blanket]],Table_NFI[[#This Row],[Blanket]])</f>
        <v>0</v>
      </c>
      <c r="AE499" s="378">
        <f>IF(NFI_Expiration=1,IF($A499&lt;VLOOKUP(N$5,NFI,5,0),1,0)*Table_NFI[[#This Row],[Kitchen Set]],Table_NFI[Kitchen Set])</f>
        <v>0</v>
      </c>
      <c r="AF499" s="378">
        <f>IF(NFI_Expiration=1,IF($A499&lt;VLOOKUP(O$5,NFI,5,0),1,0)*Table_NFI[[#This Row],[Clothes Kit]],Table_NFI[Clothes Kit])</f>
        <v>0</v>
      </c>
      <c r="AG499" s="378">
        <f>IF(NFI_Expiration=1,IF($A499&lt;VLOOKUP(P$5,NFI,5,0),1,0)*Table_NFI[[#This Row],[Plastic Bucket]],Table_NFI[Plastic Bucket])</f>
        <v>0</v>
      </c>
      <c r="AH499" s="378">
        <f>IF(NFI_Expiration=1,IF($A499&lt;VLOOKUP(Q$5,NFI,5,0),1,0)*Table_NFI[[#This Row],[Plastic Mat]],Table_NFI[Plastic Mat])*IF(Table_NFI[[#This Row],[Distribution Date]]&gt;"2014-04-01",1,2.5)</f>
        <v>0</v>
      </c>
      <c r="AI499" s="378">
        <f>IF(NFI_Expiration=1,IF($A499&lt;VLOOKUP(R$5,NFI,5,0),1,0)*Table_NFI[[#This Row],[Winter Clothes Adult]],Table_NFI[Winter Clothes Adult])</f>
        <v>0</v>
      </c>
      <c r="AJ499" s="378">
        <f>IF(NFI_Expiration=1,IF($A499&lt;VLOOKUP(S$5,NFI,5,0),1,0)*Table_NFI[[#This Row],[Winter Clothes Children]],Table_NFI[Winter Clothes Children])</f>
        <v>0</v>
      </c>
      <c r="AK499" s="378">
        <f>IF(NFI_Expiration=1,IF($A499&lt;VLOOKUP(T$5,NFI,5,0),1,0)*Table_NFI[[#This Row],[Winter Items Other]],Table_NFI[Winter Items Other])</f>
        <v>0</v>
      </c>
      <c r="AL499" s="378">
        <f>IF(NFI_Expiration=1,IF($A499&lt;VLOOKUP(M$5,NFI,5,0),1,0)*Table_NFI[[#This Row],[Winter Blanket]],Table_NFI[[#This Row],[Winter Blanket]])</f>
        <v>0</v>
      </c>
      <c r="AM499" s="378">
        <f>IF(Table_NFI[[#This Row],[Winter Clothes Adult]]+Table_NFI[[#This Row],[Winter Clothes Children]]+Table_NFI[[#This Row],[Winter Items Other]]+Table_NFI[[#This Row],[Winter Blanket]]&gt;0,1,0)</f>
        <v>0</v>
      </c>
      <c r="AN499" s="418">
        <f>IF(NFI_Expiration=1,IF($A499&lt;VLOOKUP(V$5,NFI,5,0),1,0)*Table_NFI[[#This Row],[Jerry Can]],Table_NFI[Jerry Can])</f>
        <v>0</v>
      </c>
      <c r="AO499" s="579" t="str">
        <f>IFERROR(VLOOKUP(Table_NFI[[#This Row],[Camp Name]],CL,2,0),"")</f>
        <v>MMR001CMP091</v>
      </c>
      <c r="AP499" s="574">
        <f ca="1">IF(Table_NFI[[#This Row],[Pcode]]="","",IF(OFFSET(CampList[Opening Date],MATCH(Table_NFI[[#This Row],[Pcode]],CampList[CP_Pcode],0)-1,0,1,1)&gt;=NFI_Monitor_Date,1,0))</f>
        <v>0</v>
      </c>
      <c r="AQ499" s="579" t="str">
        <f>IFERROR(VLOOKUP(Table_NFI[[#This Row],[Camp Name]],CL,3,0),"")</f>
        <v>Open</v>
      </c>
      <c r="AR499" s="378" t="str">
        <f ca="1">IF(Table_NFI[[#This Row],[Pcode]]="","",OFFSET(CampList[Priority],MATCH(Table_NFI[[#This Row],[Pcode]],CampList[CP_Pcode],0)-1,0,1,1))</f>
        <v>P4</v>
      </c>
      <c r="AS499" s="377">
        <f>IFERROR(Table_NFI[[#This Row],[Kitchen Set]]/VLOOKUP(Table_NFI[[#This Row],[Camp Name]],CL,4,0),"")</f>
        <v>1</v>
      </c>
      <c r="AT499" s="572"/>
      <c r="AU499" s="575"/>
    </row>
    <row r="500" spans="1:47" s="576" customFormat="1" x14ac:dyDescent="0.25">
      <c r="A500" s="381">
        <f t="shared" si="7"/>
        <v>20.3</v>
      </c>
      <c r="B500" s="571">
        <v>41913</v>
      </c>
      <c r="C500" s="572" t="s">
        <v>454</v>
      </c>
      <c r="D500" s="577" t="s">
        <v>507</v>
      </c>
      <c r="E500" s="577" t="s">
        <v>380</v>
      </c>
      <c r="F500" s="577" t="s">
        <v>529</v>
      </c>
      <c r="G500" s="577" t="s">
        <v>100</v>
      </c>
      <c r="H500" s="376"/>
      <c r="I500" s="376"/>
      <c r="J500" s="376"/>
      <c r="K500" s="376">
        <v>10</v>
      </c>
      <c r="L500" s="376"/>
      <c r="M500" s="376"/>
      <c r="N500" s="376"/>
      <c r="O500" s="376"/>
      <c r="P500" s="378"/>
      <c r="Q500" s="378"/>
      <c r="R500" s="378"/>
      <c r="S500" s="378"/>
      <c r="T500" s="378"/>
      <c r="U500" s="378"/>
      <c r="V500" s="533"/>
      <c r="W500" s="378"/>
      <c r="X500" s="378"/>
      <c r="Y500" s="378">
        <f>IF(NFI_Expiration=1,IF($A500&lt;VLOOKUP(H$5,NFI,5,0),1,0)*Table_NFI[[#This Row],[Hygiene Kit]],Table_NFI[Hygiene Kit])</f>
        <v>0</v>
      </c>
      <c r="Z500" s="378">
        <f>IF(NFI_Expiration=1,IF($A500&lt;VLOOKUP(I$5,NFI,5,0),1,0)*Table_NFI[[#This Row],[NFI Core Kit]],Table_NFI[NFI Core Kit])</f>
        <v>0</v>
      </c>
      <c r="AA500" s="378">
        <f>IF(NFI_Expiration=1,IF($A500&lt;VLOOKUP(J$5,NFI,5,0),1,0)*Table_NFI[[#This Row],[Sanitary Kit]],Table_NFI[Sanitary Kit])</f>
        <v>0</v>
      </c>
      <c r="AB500" s="378">
        <f>IF(NFI_Expiration=1,IF($A500&lt;VLOOKUP(K$5,NFI,5,0),1,0)*Table_NFI[[#This Row],[Mosquito net]],Table_NFI[Mosquito net])</f>
        <v>0</v>
      </c>
      <c r="AC500" s="378">
        <f>IF(NFI_Expiration=1,IF($A500&lt;VLOOKUP(L$5,NFI,5,0),1,0)*Table_NFI[[#This Row],[Tarpaulin]],Table_NFI[[#This Row],[Tarpaulin]])</f>
        <v>0</v>
      </c>
      <c r="AD500" s="378">
        <f>IF(NFI_Expiration=1,IF($A500&lt;VLOOKUP(M$5,NFI,5,0),1,0)*Table_NFI[[#This Row],[Blanket]],Table_NFI[[#This Row],[Blanket]])</f>
        <v>0</v>
      </c>
      <c r="AE500" s="378">
        <f>IF(NFI_Expiration=1,IF($A500&lt;VLOOKUP(N$5,NFI,5,0),1,0)*Table_NFI[[#This Row],[Kitchen Set]],Table_NFI[Kitchen Set])</f>
        <v>0</v>
      </c>
      <c r="AF500" s="378">
        <f>IF(NFI_Expiration=1,IF($A500&lt;VLOOKUP(O$5,NFI,5,0),1,0)*Table_NFI[[#This Row],[Clothes Kit]],Table_NFI[Clothes Kit])</f>
        <v>0</v>
      </c>
      <c r="AG500" s="378">
        <f>IF(NFI_Expiration=1,IF($A500&lt;VLOOKUP(P$5,NFI,5,0),1,0)*Table_NFI[[#This Row],[Plastic Bucket]],Table_NFI[Plastic Bucket])</f>
        <v>0</v>
      </c>
      <c r="AH500" s="378">
        <f>IF(NFI_Expiration=1,IF($A500&lt;VLOOKUP(Q$5,NFI,5,0),1,0)*Table_NFI[[#This Row],[Plastic Mat]],Table_NFI[Plastic Mat])*IF(Table_NFI[[#This Row],[Distribution Date]]&gt;"2014-04-01",1,2.5)</f>
        <v>0</v>
      </c>
      <c r="AI500" s="378">
        <f>IF(NFI_Expiration=1,IF($A500&lt;VLOOKUP(R$5,NFI,5,0),1,0)*Table_NFI[[#This Row],[Winter Clothes Adult]],Table_NFI[Winter Clothes Adult])</f>
        <v>0</v>
      </c>
      <c r="AJ500" s="378">
        <f>IF(NFI_Expiration=1,IF($A500&lt;VLOOKUP(S$5,NFI,5,0),1,0)*Table_NFI[[#This Row],[Winter Clothes Children]],Table_NFI[Winter Clothes Children])</f>
        <v>0</v>
      </c>
      <c r="AK500" s="378">
        <f>IF(NFI_Expiration=1,IF($A500&lt;VLOOKUP(T$5,NFI,5,0),1,0)*Table_NFI[[#This Row],[Winter Items Other]],Table_NFI[Winter Items Other])</f>
        <v>0</v>
      </c>
      <c r="AL500" s="378">
        <f>IF(NFI_Expiration=1,IF($A500&lt;VLOOKUP(M$5,NFI,5,0),1,0)*Table_NFI[[#This Row],[Winter Blanket]],Table_NFI[[#This Row],[Winter Blanket]])</f>
        <v>0</v>
      </c>
      <c r="AM500" s="378">
        <f>IF(Table_NFI[[#This Row],[Winter Clothes Adult]]+Table_NFI[[#This Row],[Winter Clothes Children]]+Table_NFI[[#This Row],[Winter Items Other]]+Table_NFI[[#This Row],[Winter Blanket]]&gt;0,1,0)</f>
        <v>0</v>
      </c>
      <c r="AN500" s="418">
        <f>IF(NFI_Expiration=1,IF($A500&lt;VLOOKUP(V$5,NFI,5,0),1,0)*Table_NFI[[#This Row],[Jerry Can]],Table_NFI[Jerry Can])</f>
        <v>0</v>
      </c>
      <c r="AO500" s="579" t="str">
        <f>IFERROR(VLOOKUP(Table_NFI[[#This Row],[Camp Name]],CL,2,0),"")</f>
        <v>MMR001CMP091</v>
      </c>
      <c r="AP500" s="574">
        <f ca="1">IF(Table_NFI[[#This Row],[Pcode]]="","",IF(OFFSET(CampList[Opening Date],MATCH(Table_NFI[[#This Row],[Pcode]],CampList[CP_Pcode],0)-1,0,1,1)&gt;=NFI_Monitor_Date,1,0))</f>
        <v>0</v>
      </c>
      <c r="AQ500" s="579" t="str">
        <f>IFERROR(VLOOKUP(Table_NFI[[#This Row],[Camp Name]],CL,3,0),"")</f>
        <v>Open</v>
      </c>
      <c r="AR500" s="378" t="str">
        <f ca="1">IF(Table_NFI[[#This Row],[Pcode]]="","",OFFSET(CampList[Priority],MATCH(Table_NFI[[#This Row],[Pcode]],CampList[CP_Pcode],0)-1,0,1,1))</f>
        <v>P4</v>
      </c>
      <c r="AS500" s="377">
        <f>IFERROR(Table_NFI[[#This Row],[Kitchen Set]]/VLOOKUP(Table_NFI[[#This Row],[Camp Name]],CL,4,0),"")</f>
        <v>0</v>
      </c>
      <c r="AT500" s="577"/>
      <c r="AU500" s="580"/>
    </row>
    <row r="501" spans="1:47" s="576" customFormat="1" x14ac:dyDescent="0.25">
      <c r="A501" s="381">
        <f t="shared" si="7"/>
        <v>38.966666666666669</v>
      </c>
      <c r="B501" s="571">
        <v>41353</v>
      </c>
      <c r="C501" s="572" t="s">
        <v>454</v>
      </c>
      <c r="D501" s="573" t="s">
        <v>454</v>
      </c>
      <c r="E501" s="572" t="s">
        <v>380</v>
      </c>
      <c r="F501" s="374" t="s">
        <v>529</v>
      </c>
      <c r="G501" s="374" t="s">
        <v>100</v>
      </c>
      <c r="H501" s="375"/>
      <c r="I501" s="375"/>
      <c r="J501" s="375">
        <v>17</v>
      </c>
      <c r="K501" s="375">
        <v>17</v>
      </c>
      <c r="L501" s="376">
        <v>17</v>
      </c>
      <c r="M501" s="376">
        <v>41</v>
      </c>
      <c r="N501" s="376">
        <v>17</v>
      </c>
      <c r="O501" s="376">
        <v>41</v>
      </c>
      <c r="P501" s="378">
        <v>41</v>
      </c>
      <c r="Q501" s="378">
        <v>41</v>
      </c>
      <c r="R501" s="378"/>
      <c r="S501" s="378"/>
      <c r="T501" s="378"/>
      <c r="U501" s="378"/>
      <c r="V501" s="533"/>
      <c r="W501" s="378"/>
      <c r="X501" s="378"/>
      <c r="Y501" s="378">
        <f>IF(NFI_Expiration=1,IF($A501&lt;VLOOKUP(H$5,NFI,5,0),1,0)*Table_NFI[[#This Row],[Hygiene Kit]],Table_NFI[Hygiene Kit])</f>
        <v>0</v>
      </c>
      <c r="Z501" s="378">
        <f>IF(NFI_Expiration=1,IF($A501&lt;VLOOKUP(I$5,NFI,5,0),1,0)*Table_NFI[[#This Row],[NFI Core Kit]],Table_NFI[NFI Core Kit])</f>
        <v>0</v>
      </c>
      <c r="AA501" s="378">
        <f>IF(NFI_Expiration=1,IF($A501&lt;VLOOKUP(J$5,NFI,5,0),1,0)*Table_NFI[[#This Row],[Sanitary Kit]],Table_NFI[Sanitary Kit])</f>
        <v>0</v>
      </c>
      <c r="AB501" s="378">
        <f>IF(NFI_Expiration=1,IF($A501&lt;VLOOKUP(K$5,NFI,5,0),1,0)*Table_NFI[[#This Row],[Mosquito net]],Table_NFI[Mosquito net])</f>
        <v>0</v>
      </c>
      <c r="AC501" s="378">
        <f>IF(NFI_Expiration=1,IF($A501&lt;VLOOKUP(L$5,NFI,5,0),1,0)*Table_NFI[[#This Row],[Tarpaulin]],Table_NFI[[#This Row],[Tarpaulin]])</f>
        <v>0</v>
      </c>
      <c r="AD501" s="378">
        <f>IF(NFI_Expiration=1,IF($A501&lt;VLOOKUP(M$5,NFI,5,0),1,0)*Table_NFI[[#This Row],[Blanket]],Table_NFI[[#This Row],[Blanket]])</f>
        <v>0</v>
      </c>
      <c r="AE501" s="378">
        <f>IF(NFI_Expiration=1,IF($A501&lt;VLOOKUP(N$5,NFI,5,0),1,0)*Table_NFI[[#This Row],[Kitchen Set]],Table_NFI[Kitchen Set])</f>
        <v>0</v>
      </c>
      <c r="AF501" s="378">
        <f>IF(NFI_Expiration=1,IF($A501&lt;VLOOKUP(O$5,NFI,5,0),1,0)*Table_NFI[[#This Row],[Clothes Kit]],Table_NFI[Clothes Kit])</f>
        <v>0</v>
      </c>
      <c r="AG501" s="378">
        <f>IF(NFI_Expiration=1,IF($A501&lt;VLOOKUP(P$5,NFI,5,0),1,0)*Table_NFI[[#This Row],[Plastic Bucket]],Table_NFI[Plastic Bucket])</f>
        <v>0</v>
      </c>
      <c r="AH501" s="378">
        <f>IF(NFI_Expiration=1,IF($A501&lt;VLOOKUP(Q$5,NFI,5,0),1,0)*Table_NFI[[#This Row],[Plastic Mat]],Table_NFI[Plastic Mat])*IF(Table_NFI[[#This Row],[Distribution Date]]&gt;"2014-04-01",1,2.5)</f>
        <v>0</v>
      </c>
      <c r="AI501" s="378">
        <f>IF(NFI_Expiration=1,IF($A501&lt;VLOOKUP(R$5,NFI,5,0),1,0)*Table_NFI[[#This Row],[Winter Clothes Adult]],Table_NFI[Winter Clothes Adult])</f>
        <v>0</v>
      </c>
      <c r="AJ501" s="378">
        <f>IF(NFI_Expiration=1,IF($A501&lt;VLOOKUP(S$5,NFI,5,0),1,0)*Table_NFI[[#This Row],[Winter Clothes Children]],Table_NFI[Winter Clothes Children])</f>
        <v>0</v>
      </c>
      <c r="AK501" s="378">
        <f>IF(NFI_Expiration=1,IF($A501&lt;VLOOKUP(T$5,NFI,5,0),1,0)*Table_NFI[[#This Row],[Winter Items Other]],Table_NFI[Winter Items Other])</f>
        <v>0</v>
      </c>
      <c r="AL501" s="378">
        <f>IF(NFI_Expiration=1,IF($A501&lt;VLOOKUP(M$5,NFI,5,0),1,0)*Table_NFI[[#This Row],[Winter Blanket]],Table_NFI[[#This Row],[Winter Blanket]])</f>
        <v>0</v>
      </c>
      <c r="AM501" s="378">
        <f>IF(Table_NFI[[#This Row],[Winter Clothes Adult]]+Table_NFI[[#This Row],[Winter Clothes Children]]+Table_NFI[[#This Row],[Winter Items Other]]+Table_NFI[[#This Row],[Winter Blanket]]&gt;0,1,0)</f>
        <v>0</v>
      </c>
      <c r="AN501" s="418">
        <f>IF(NFI_Expiration=1,IF($A501&lt;VLOOKUP(V$5,NFI,5,0),1,0)*Table_NFI[[#This Row],[Jerry Can]],Table_NFI[Jerry Can])</f>
        <v>0</v>
      </c>
      <c r="AO501" s="579" t="str">
        <f>IFERROR(VLOOKUP(Table_NFI[[#This Row],[Camp Name]],CL,2,0),"")</f>
        <v>MMR001CMP091</v>
      </c>
      <c r="AP501" s="574">
        <f ca="1">IF(Table_NFI[[#This Row],[Pcode]]="","",IF(OFFSET(CampList[Opening Date],MATCH(Table_NFI[[#This Row],[Pcode]],CampList[CP_Pcode],0)-1,0,1,1)&gt;=NFI_Monitor_Date,1,0))</f>
        <v>0</v>
      </c>
      <c r="AQ501" s="579" t="str">
        <f>IFERROR(VLOOKUP(Table_NFI[[#This Row],[Camp Name]],CL,3,0),"")</f>
        <v>Open</v>
      </c>
      <c r="AR501" s="378" t="str">
        <f ca="1">IF(Table_NFI[[#This Row],[Pcode]]="","",OFFSET(CampList[Priority],MATCH(Table_NFI[[#This Row],[Pcode]],CampList[CP_Pcode],0)-1,0,1,1))</f>
        <v>P4</v>
      </c>
      <c r="AS501" s="377">
        <f>IFERROR(Table_NFI[[#This Row],[Kitchen Set]]/VLOOKUP(Table_NFI[[#This Row],[Camp Name]],CL,4,0),"")</f>
        <v>3.4</v>
      </c>
      <c r="AT501" s="572" t="s">
        <v>1095</v>
      </c>
      <c r="AU501" s="575"/>
    </row>
    <row r="502" spans="1:47" s="576" customFormat="1" x14ac:dyDescent="0.25">
      <c r="A502" s="381">
        <f t="shared" si="7"/>
        <v>41.6</v>
      </c>
      <c r="B502" s="571">
        <v>41274</v>
      </c>
      <c r="C502" s="572" t="s">
        <v>455</v>
      </c>
      <c r="D502" s="573" t="s">
        <v>455</v>
      </c>
      <c r="E502" s="572" t="s">
        <v>380</v>
      </c>
      <c r="F502" s="374" t="s">
        <v>529</v>
      </c>
      <c r="G502" s="374" t="s">
        <v>100</v>
      </c>
      <c r="H502" s="375">
        <v>2</v>
      </c>
      <c r="I502" s="375"/>
      <c r="J502" s="375"/>
      <c r="K502" s="375"/>
      <c r="L502" s="376"/>
      <c r="M502" s="376"/>
      <c r="N502" s="376"/>
      <c r="O502" s="376"/>
      <c r="P502" s="378">
        <v>0</v>
      </c>
      <c r="Q502" s="378">
        <v>0</v>
      </c>
      <c r="R502" s="378"/>
      <c r="S502" s="378"/>
      <c r="T502" s="378"/>
      <c r="U502" s="378"/>
      <c r="V502" s="533"/>
      <c r="W502" s="378"/>
      <c r="X502" s="378"/>
      <c r="Y502" s="378">
        <f>IF(NFI_Expiration=1,IF($A502&lt;VLOOKUP(H$5,NFI,5,0),1,0)*Table_NFI[[#This Row],[Hygiene Kit]],Table_NFI[Hygiene Kit])</f>
        <v>0</v>
      </c>
      <c r="Z502" s="378">
        <f>IF(NFI_Expiration=1,IF($A502&lt;VLOOKUP(I$5,NFI,5,0),1,0)*Table_NFI[[#This Row],[NFI Core Kit]],Table_NFI[NFI Core Kit])</f>
        <v>0</v>
      </c>
      <c r="AA502" s="378">
        <f>IF(NFI_Expiration=1,IF($A502&lt;VLOOKUP(J$5,NFI,5,0),1,0)*Table_NFI[[#This Row],[Sanitary Kit]],Table_NFI[Sanitary Kit])</f>
        <v>0</v>
      </c>
      <c r="AB502" s="378">
        <f>IF(NFI_Expiration=1,IF($A502&lt;VLOOKUP(K$5,NFI,5,0),1,0)*Table_NFI[[#This Row],[Mosquito net]],Table_NFI[Mosquito net])</f>
        <v>0</v>
      </c>
      <c r="AC502" s="378">
        <f>IF(NFI_Expiration=1,IF($A502&lt;VLOOKUP(L$5,NFI,5,0),1,0)*Table_NFI[[#This Row],[Tarpaulin]],Table_NFI[[#This Row],[Tarpaulin]])</f>
        <v>0</v>
      </c>
      <c r="AD502" s="378">
        <f>IF(NFI_Expiration=1,IF($A502&lt;VLOOKUP(M$5,NFI,5,0),1,0)*Table_NFI[[#This Row],[Blanket]],Table_NFI[[#This Row],[Blanket]])</f>
        <v>0</v>
      </c>
      <c r="AE502" s="378">
        <f>IF(NFI_Expiration=1,IF($A502&lt;VLOOKUP(N$5,NFI,5,0),1,0)*Table_NFI[[#This Row],[Kitchen Set]],Table_NFI[Kitchen Set])</f>
        <v>0</v>
      </c>
      <c r="AF502" s="378">
        <f>IF(NFI_Expiration=1,IF($A502&lt;VLOOKUP(O$5,NFI,5,0),1,0)*Table_NFI[[#This Row],[Clothes Kit]],Table_NFI[Clothes Kit])</f>
        <v>0</v>
      </c>
      <c r="AG502" s="378">
        <f>IF(NFI_Expiration=1,IF($A502&lt;VLOOKUP(P$5,NFI,5,0),1,0)*Table_NFI[[#This Row],[Plastic Bucket]],Table_NFI[Plastic Bucket])</f>
        <v>0</v>
      </c>
      <c r="AH502" s="378">
        <f>IF(NFI_Expiration=1,IF($A502&lt;VLOOKUP(Q$5,NFI,5,0),1,0)*Table_NFI[[#This Row],[Plastic Mat]],Table_NFI[Plastic Mat])*IF(Table_NFI[[#This Row],[Distribution Date]]&gt;"2014-04-01",1,2.5)</f>
        <v>0</v>
      </c>
      <c r="AI502" s="378">
        <f>IF(NFI_Expiration=1,IF($A502&lt;VLOOKUP(R$5,NFI,5,0),1,0)*Table_NFI[[#This Row],[Winter Clothes Adult]],Table_NFI[Winter Clothes Adult])</f>
        <v>0</v>
      </c>
      <c r="AJ502" s="378">
        <f>IF(NFI_Expiration=1,IF($A502&lt;VLOOKUP(S$5,NFI,5,0),1,0)*Table_NFI[[#This Row],[Winter Clothes Children]],Table_NFI[Winter Clothes Children])</f>
        <v>0</v>
      </c>
      <c r="AK502" s="378">
        <f>IF(NFI_Expiration=1,IF($A502&lt;VLOOKUP(T$5,NFI,5,0),1,0)*Table_NFI[[#This Row],[Winter Items Other]],Table_NFI[Winter Items Other])</f>
        <v>0</v>
      </c>
      <c r="AL502" s="378">
        <f>IF(NFI_Expiration=1,IF($A502&lt;VLOOKUP(M$5,NFI,5,0),1,0)*Table_NFI[[#This Row],[Winter Blanket]],Table_NFI[[#This Row],[Winter Blanket]])</f>
        <v>0</v>
      </c>
      <c r="AM502" s="378">
        <f>IF(Table_NFI[[#This Row],[Winter Clothes Adult]]+Table_NFI[[#This Row],[Winter Clothes Children]]+Table_NFI[[#This Row],[Winter Items Other]]+Table_NFI[[#This Row],[Winter Blanket]]&gt;0,1,0)</f>
        <v>0</v>
      </c>
      <c r="AN502" s="418">
        <f>IF(NFI_Expiration=1,IF($A502&lt;VLOOKUP(V$5,NFI,5,0),1,0)*Table_NFI[[#This Row],[Jerry Can]],Table_NFI[Jerry Can])</f>
        <v>0</v>
      </c>
      <c r="AO502" s="579" t="str">
        <f>IFERROR(VLOOKUP(Table_NFI[[#This Row],[Camp Name]],CL,2,0),"")</f>
        <v>MMR001CMP091</v>
      </c>
      <c r="AP502" s="574">
        <f ca="1">IF(Table_NFI[[#This Row],[Pcode]]="","",IF(OFFSET(CampList[Opening Date],MATCH(Table_NFI[[#This Row],[Pcode]],CampList[CP_Pcode],0)-1,0,1,1)&gt;=NFI_Monitor_Date,1,0))</f>
        <v>0</v>
      </c>
      <c r="AQ502" s="579" t="str">
        <f>IFERROR(VLOOKUP(Table_NFI[[#This Row],[Camp Name]],CL,3,0),"")</f>
        <v>Open</v>
      </c>
      <c r="AR502" s="378" t="str">
        <f ca="1">IF(Table_NFI[[#This Row],[Pcode]]="","",OFFSET(CampList[Priority],MATCH(Table_NFI[[#This Row],[Pcode]],CampList[CP_Pcode],0)-1,0,1,1))</f>
        <v>P4</v>
      </c>
      <c r="AS502" s="377">
        <f>IFERROR(Table_NFI[[#This Row],[Kitchen Set]]/VLOOKUP(Table_NFI[[#This Row],[Camp Name]],CL,4,0),"")</f>
        <v>0</v>
      </c>
      <c r="AT502" s="572" t="s">
        <v>1095</v>
      </c>
      <c r="AU502" s="575"/>
    </row>
    <row r="503" spans="1:47" s="576" customFormat="1" x14ac:dyDescent="0.25">
      <c r="A503" s="381">
        <f t="shared" si="7"/>
        <v>39.93333333333333</v>
      </c>
      <c r="B503" s="571">
        <v>41324</v>
      </c>
      <c r="C503" s="572" t="s">
        <v>454</v>
      </c>
      <c r="D503" s="573" t="s">
        <v>454</v>
      </c>
      <c r="E503" s="572" t="s">
        <v>380</v>
      </c>
      <c r="F503" s="374" t="s">
        <v>529</v>
      </c>
      <c r="G503" s="374" t="s">
        <v>98</v>
      </c>
      <c r="H503" s="375"/>
      <c r="I503" s="375"/>
      <c r="J503" s="375">
        <v>9</v>
      </c>
      <c r="K503" s="375">
        <v>21</v>
      </c>
      <c r="L503" s="376">
        <v>9</v>
      </c>
      <c r="M503" s="376">
        <v>21</v>
      </c>
      <c r="N503" s="376">
        <v>9</v>
      </c>
      <c r="O503" s="376">
        <v>9</v>
      </c>
      <c r="P503" s="378">
        <v>9</v>
      </c>
      <c r="Q503" s="378">
        <v>9</v>
      </c>
      <c r="R503" s="378"/>
      <c r="S503" s="378"/>
      <c r="T503" s="378"/>
      <c r="U503" s="378"/>
      <c r="V503" s="533"/>
      <c r="W503" s="378"/>
      <c r="X503" s="378"/>
      <c r="Y503" s="378">
        <f>IF(NFI_Expiration=1,IF($A503&lt;VLOOKUP(H$5,NFI,5,0),1,0)*Table_NFI[[#This Row],[Hygiene Kit]],Table_NFI[Hygiene Kit])</f>
        <v>0</v>
      </c>
      <c r="Z503" s="378">
        <f>IF(NFI_Expiration=1,IF($A503&lt;VLOOKUP(I$5,NFI,5,0),1,0)*Table_NFI[[#This Row],[NFI Core Kit]],Table_NFI[NFI Core Kit])</f>
        <v>0</v>
      </c>
      <c r="AA503" s="378">
        <f>IF(NFI_Expiration=1,IF($A503&lt;VLOOKUP(J$5,NFI,5,0),1,0)*Table_NFI[[#This Row],[Sanitary Kit]],Table_NFI[Sanitary Kit])</f>
        <v>0</v>
      </c>
      <c r="AB503" s="378">
        <f>IF(NFI_Expiration=1,IF($A503&lt;VLOOKUP(K$5,NFI,5,0),1,0)*Table_NFI[[#This Row],[Mosquito net]],Table_NFI[Mosquito net])</f>
        <v>0</v>
      </c>
      <c r="AC503" s="378">
        <f>IF(NFI_Expiration=1,IF($A503&lt;VLOOKUP(L$5,NFI,5,0),1,0)*Table_NFI[[#This Row],[Tarpaulin]],Table_NFI[[#This Row],[Tarpaulin]])</f>
        <v>0</v>
      </c>
      <c r="AD503" s="378">
        <f>IF(NFI_Expiration=1,IF($A503&lt;VLOOKUP(M$5,NFI,5,0),1,0)*Table_NFI[[#This Row],[Blanket]],Table_NFI[[#This Row],[Blanket]])</f>
        <v>0</v>
      </c>
      <c r="AE503" s="378">
        <f>IF(NFI_Expiration=1,IF($A503&lt;VLOOKUP(N$5,NFI,5,0),1,0)*Table_NFI[[#This Row],[Kitchen Set]],Table_NFI[Kitchen Set])</f>
        <v>0</v>
      </c>
      <c r="AF503" s="378">
        <f>IF(NFI_Expiration=1,IF($A503&lt;VLOOKUP(O$5,NFI,5,0),1,0)*Table_NFI[[#This Row],[Clothes Kit]],Table_NFI[Clothes Kit])</f>
        <v>0</v>
      </c>
      <c r="AG503" s="378">
        <f>IF(NFI_Expiration=1,IF($A503&lt;VLOOKUP(P$5,NFI,5,0),1,0)*Table_NFI[[#This Row],[Plastic Bucket]],Table_NFI[Plastic Bucket])</f>
        <v>0</v>
      </c>
      <c r="AH503" s="378">
        <f>IF(NFI_Expiration=1,IF($A503&lt;VLOOKUP(Q$5,NFI,5,0),1,0)*Table_NFI[[#This Row],[Plastic Mat]],Table_NFI[Plastic Mat])*IF(Table_NFI[[#This Row],[Distribution Date]]&gt;"2014-04-01",1,2.5)</f>
        <v>0</v>
      </c>
      <c r="AI503" s="378">
        <f>IF(NFI_Expiration=1,IF($A503&lt;VLOOKUP(R$5,NFI,5,0),1,0)*Table_NFI[[#This Row],[Winter Clothes Adult]],Table_NFI[Winter Clothes Adult])</f>
        <v>0</v>
      </c>
      <c r="AJ503" s="378">
        <f>IF(NFI_Expiration=1,IF($A503&lt;VLOOKUP(S$5,NFI,5,0),1,0)*Table_NFI[[#This Row],[Winter Clothes Children]],Table_NFI[Winter Clothes Children])</f>
        <v>0</v>
      </c>
      <c r="AK503" s="378">
        <f>IF(NFI_Expiration=1,IF($A503&lt;VLOOKUP(T$5,NFI,5,0),1,0)*Table_NFI[[#This Row],[Winter Items Other]],Table_NFI[Winter Items Other])</f>
        <v>0</v>
      </c>
      <c r="AL503" s="378">
        <f>IF(NFI_Expiration=1,IF($A503&lt;VLOOKUP(M$5,NFI,5,0),1,0)*Table_NFI[[#This Row],[Winter Blanket]],Table_NFI[[#This Row],[Winter Blanket]])</f>
        <v>0</v>
      </c>
      <c r="AM503" s="378">
        <f>IF(Table_NFI[[#This Row],[Winter Clothes Adult]]+Table_NFI[[#This Row],[Winter Clothes Children]]+Table_NFI[[#This Row],[Winter Items Other]]+Table_NFI[[#This Row],[Winter Blanket]]&gt;0,1,0)</f>
        <v>0</v>
      </c>
      <c r="AN503" s="418">
        <f>IF(NFI_Expiration=1,IF($A503&lt;VLOOKUP(V$5,NFI,5,0),1,0)*Table_NFI[[#This Row],[Jerry Can]],Table_NFI[Jerry Can])</f>
        <v>0</v>
      </c>
      <c r="AO503" s="579" t="str">
        <f>IFERROR(VLOOKUP(Table_NFI[[#This Row],[Camp Name]],CL,2,0),"")</f>
        <v>MMR001CMP178</v>
      </c>
      <c r="AP503" s="574">
        <f ca="1">IF(Table_NFI[[#This Row],[Pcode]]="","",IF(OFFSET(CampList[Opening Date],MATCH(Table_NFI[[#This Row],[Pcode]],CampList[CP_Pcode],0)-1,0,1,1)&gt;=NFI_Monitor_Date,1,0))</f>
        <v>0</v>
      </c>
      <c r="AQ503" s="579" t="str">
        <f>IFERROR(VLOOKUP(Table_NFI[[#This Row],[Camp Name]],CL,3,0),"")</f>
        <v>Closed</v>
      </c>
      <c r="AR503" s="378" t="str">
        <f ca="1">IF(Table_NFI[[#This Row],[Pcode]]="","",OFFSET(CampList[Priority],MATCH(Table_NFI[[#This Row],[Pcode]],CampList[CP_Pcode],0)-1,0,1,1))</f>
        <v/>
      </c>
      <c r="AS503" s="377" t="str">
        <f>IFERROR(Table_NFI[[#This Row],[Kitchen Set]]/VLOOKUP(Table_NFI[[#This Row],[Camp Name]],CL,4,0),"")</f>
        <v/>
      </c>
      <c r="AT503" s="572" t="s">
        <v>1095</v>
      </c>
      <c r="AU503" s="575"/>
    </row>
    <row r="504" spans="1:47" s="576" customFormat="1" x14ac:dyDescent="0.25">
      <c r="A504" s="381">
        <f t="shared" si="7"/>
        <v>41.6</v>
      </c>
      <c r="B504" s="571">
        <v>41274</v>
      </c>
      <c r="C504" s="572" t="s">
        <v>455</v>
      </c>
      <c r="D504" s="572" t="s">
        <v>455</v>
      </c>
      <c r="E504" s="572" t="s">
        <v>380</v>
      </c>
      <c r="F504" s="374" t="s">
        <v>529</v>
      </c>
      <c r="G504" s="374" t="s">
        <v>98</v>
      </c>
      <c r="H504" s="375">
        <v>5</v>
      </c>
      <c r="I504" s="375"/>
      <c r="J504" s="375"/>
      <c r="K504" s="375"/>
      <c r="L504" s="376"/>
      <c r="M504" s="376"/>
      <c r="N504" s="376"/>
      <c r="O504" s="376"/>
      <c r="P504" s="378">
        <v>0</v>
      </c>
      <c r="Q504" s="378">
        <v>0</v>
      </c>
      <c r="R504" s="378"/>
      <c r="S504" s="378"/>
      <c r="T504" s="378"/>
      <c r="U504" s="378"/>
      <c r="V504" s="533"/>
      <c r="W504" s="378"/>
      <c r="X504" s="378"/>
      <c r="Y504" s="378">
        <f>IF(NFI_Expiration=1,IF($A504&lt;VLOOKUP(H$5,NFI,5,0),1,0)*Table_NFI[[#This Row],[Hygiene Kit]],Table_NFI[Hygiene Kit])</f>
        <v>0</v>
      </c>
      <c r="Z504" s="378">
        <f>IF(NFI_Expiration=1,IF($A504&lt;VLOOKUP(I$5,NFI,5,0),1,0)*Table_NFI[[#This Row],[NFI Core Kit]],Table_NFI[NFI Core Kit])</f>
        <v>0</v>
      </c>
      <c r="AA504" s="378">
        <f>IF(NFI_Expiration=1,IF($A504&lt;VLOOKUP(J$5,NFI,5,0),1,0)*Table_NFI[[#This Row],[Sanitary Kit]],Table_NFI[Sanitary Kit])</f>
        <v>0</v>
      </c>
      <c r="AB504" s="378">
        <f>IF(NFI_Expiration=1,IF($A504&lt;VLOOKUP(K$5,NFI,5,0),1,0)*Table_NFI[[#This Row],[Mosquito net]],Table_NFI[Mosquito net])</f>
        <v>0</v>
      </c>
      <c r="AC504" s="378">
        <f>IF(NFI_Expiration=1,IF($A504&lt;VLOOKUP(L$5,NFI,5,0),1,0)*Table_NFI[[#This Row],[Tarpaulin]],Table_NFI[[#This Row],[Tarpaulin]])</f>
        <v>0</v>
      </c>
      <c r="AD504" s="378">
        <f>IF(NFI_Expiration=1,IF($A504&lt;VLOOKUP(M$5,NFI,5,0),1,0)*Table_NFI[[#This Row],[Blanket]],Table_NFI[[#This Row],[Blanket]])</f>
        <v>0</v>
      </c>
      <c r="AE504" s="378">
        <f>IF(NFI_Expiration=1,IF($A504&lt;VLOOKUP(N$5,NFI,5,0),1,0)*Table_NFI[[#This Row],[Kitchen Set]],Table_NFI[Kitchen Set])</f>
        <v>0</v>
      </c>
      <c r="AF504" s="378">
        <f>IF(NFI_Expiration=1,IF($A504&lt;VLOOKUP(O$5,NFI,5,0),1,0)*Table_NFI[[#This Row],[Clothes Kit]],Table_NFI[Clothes Kit])</f>
        <v>0</v>
      </c>
      <c r="AG504" s="378">
        <f>IF(NFI_Expiration=1,IF($A504&lt;VLOOKUP(P$5,NFI,5,0),1,0)*Table_NFI[[#This Row],[Plastic Bucket]],Table_NFI[Plastic Bucket])</f>
        <v>0</v>
      </c>
      <c r="AH504" s="378">
        <f>IF(NFI_Expiration=1,IF($A504&lt;VLOOKUP(Q$5,NFI,5,0),1,0)*Table_NFI[[#This Row],[Plastic Mat]],Table_NFI[Plastic Mat])*IF(Table_NFI[[#This Row],[Distribution Date]]&gt;"2014-04-01",1,2.5)</f>
        <v>0</v>
      </c>
      <c r="AI504" s="378">
        <f>IF(NFI_Expiration=1,IF($A504&lt;VLOOKUP(R$5,NFI,5,0),1,0)*Table_NFI[[#This Row],[Winter Clothes Adult]],Table_NFI[Winter Clothes Adult])</f>
        <v>0</v>
      </c>
      <c r="AJ504" s="378">
        <f>IF(NFI_Expiration=1,IF($A504&lt;VLOOKUP(S$5,NFI,5,0),1,0)*Table_NFI[[#This Row],[Winter Clothes Children]],Table_NFI[Winter Clothes Children])</f>
        <v>0</v>
      </c>
      <c r="AK504" s="378">
        <f>IF(NFI_Expiration=1,IF($A504&lt;VLOOKUP(T$5,NFI,5,0),1,0)*Table_NFI[[#This Row],[Winter Items Other]],Table_NFI[Winter Items Other])</f>
        <v>0</v>
      </c>
      <c r="AL504" s="378">
        <f>IF(NFI_Expiration=1,IF($A504&lt;VLOOKUP(M$5,NFI,5,0),1,0)*Table_NFI[[#This Row],[Winter Blanket]],Table_NFI[[#This Row],[Winter Blanket]])</f>
        <v>0</v>
      </c>
      <c r="AM504" s="378">
        <f>IF(Table_NFI[[#This Row],[Winter Clothes Adult]]+Table_NFI[[#This Row],[Winter Clothes Children]]+Table_NFI[[#This Row],[Winter Items Other]]+Table_NFI[[#This Row],[Winter Blanket]]&gt;0,1,0)</f>
        <v>0</v>
      </c>
      <c r="AN504" s="418">
        <f>IF(NFI_Expiration=1,IF($A504&lt;VLOOKUP(V$5,NFI,5,0),1,0)*Table_NFI[[#This Row],[Jerry Can]],Table_NFI[Jerry Can])</f>
        <v>0</v>
      </c>
      <c r="AO504" s="579" t="str">
        <f>IFERROR(VLOOKUP(Table_NFI[[#This Row],[Camp Name]],CL,2,0),"")</f>
        <v>MMR001CMP178</v>
      </c>
      <c r="AP504" s="574">
        <f ca="1">IF(Table_NFI[[#This Row],[Pcode]]="","",IF(OFFSET(CampList[Opening Date],MATCH(Table_NFI[[#This Row],[Pcode]],CampList[CP_Pcode],0)-1,0,1,1)&gt;=NFI_Monitor_Date,1,0))</f>
        <v>0</v>
      </c>
      <c r="AQ504" s="579" t="str">
        <f>IFERROR(VLOOKUP(Table_NFI[[#This Row],[Camp Name]],CL,3,0),"")</f>
        <v>Closed</v>
      </c>
      <c r="AR504" s="378" t="str">
        <f ca="1">IF(Table_NFI[[#This Row],[Pcode]]="","",OFFSET(CampList[Priority],MATCH(Table_NFI[[#This Row],[Pcode]],CampList[CP_Pcode],0)-1,0,1,1))</f>
        <v/>
      </c>
      <c r="AS504" s="377" t="str">
        <f>IFERROR(Table_NFI[[#This Row],[Kitchen Set]]/VLOOKUP(Table_NFI[[#This Row],[Camp Name]],CL,4,0),"")</f>
        <v/>
      </c>
      <c r="AT504" s="572" t="s">
        <v>1095</v>
      </c>
      <c r="AU504" s="575"/>
    </row>
    <row r="505" spans="1:47" s="576" customFormat="1" x14ac:dyDescent="0.25">
      <c r="A505" s="381">
        <f t="shared" si="7"/>
        <v>30.466666666666665</v>
      </c>
      <c r="B505" s="571">
        <v>41608</v>
      </c>
      <c r="C505" s="572" t="s">
        <v>1100</v>
      </c>
      <c r="D505" s="573" t="s">
        <v>947</v>
      </c>
      <c r="E505" s="572" t="s">
        <v>555</v>
      </c>
      <c r="F505" s="374" t="s">
        <v>146</v>
      </c>
      <c r="G505" s="374" t="s">
        <v>368</v>
      </c>
      <c r="H505" s="375"/>
      <c r="I505" s="375"/>
      <c r="J505" s="375"/>
      <c r="K505" s="375"/>
      <c r="L505" s="376"/>
      <c r="M505" s="376">
        <v>258</v>
      </c>
      <c r="N505" s="376"/>
      <c r="O505" s="376"/>
      <c r="P505" s="378"/>
      <c r="Q505" s="378"/>
      <c r="R505" s="378">
        <v>349</v>
      </c>
      <c r="S505" s="378">
        <v>175</v>
      </c>
      <c r="T505" s="378">
        <v>0</v>
      </c>
      <c r="U505" s="378"/>
      <c r="V505" s="533"/>
      <c r="W505" s="378"/>
      <c r="X505" s="378"/>
      <c r="Y505" s="378">
        <f>IF(NFI_Expiration=1,IF($A505&lt;VLOOKUP(H$5,NFI,5,0),1,0)*Table_NFI[[#This Row],[Hygiene Kit]],Table_NFI[Hygiene Kit])</f>
        <v>0</v>
      </c>
      <c r="Z505" s="378">
        <f>IF(NFI_Expiration=1,IF($A505&lt;VLOOKUP(I$5,NFI,5,0),1,0)*Table_NFI[[#This Row],[NFI Core Kit]],Table_NFI[NFI Core Kit])</f>
        <v>0</v>
      </c>
      <c r="AA505" s="378">
        <f>IF(NFI_Expiration=1,IF($A505&lt;VLOOKUP(J$5,NFI,5,0),1,0)*Table_NFI[[#This Row],[Sanitary Kit]],Table_NFI[Sanitary Kit])</f>
        <v>0</v>
      </c>
      <c r="AB505" s="378">
        <f>IF(NFI_Expiration=1,IF($A505&lt;VLOOKUP(K$5,NFI,5,0),1,0)*Table_NFI[[#This Row],[Mosquito net]],Table_NFI[Mosquito net])</f>
        <v>0</v>
      </c>
      <c r="AC505" s="378">
        <f>IF(NFI_Expiration=1,IF($A505&lt;VLOOKUP(L$5,NFI,5,0),1,0)*Table_NFI[[#This Row],[Tarpaulin]],Table_NFI[[#This Row],[Tarpaulin]])</f>
        <v>0</v>
      </c>
      <c r="AD505" s="378">
        <f>IF(NFI_Expiration=1,IF($A505&lt;VLOOKUP(M$5,NFI,5,0),1,0)*Table_NFI[[#This Row],[Blanket]],Table_NFI[[#This Row],[Blanket]])</f>
        <v>0</v>
      </c>
      <c r="AE505" s="378">
        <f>IF(NFI_Expiration=1,IF($A505&lt;VLOOKUP(N$5,NFI,5,0),1,0)*Table_NFI[[#This Row],[Kitchen Set]],Table_NFI[Kitchen Set])</f>
        <v>0</v>
      </c>
      <c r="AF505" s="378">
        <f>IF(NFI_Expiration=1,IF($A505&lt;VLOOKUP(O$5,NFI,5,0),1,0)*Table_NFI[[#This Row],[Clothes Kit]],Table_NFI[Clothes Kit])</f>
        <v>0</v>
      </c>
      <c r="AG505" s="378">
        <f>IF(NFI_Expiration=1,IF($A505&lt;VLOOKUP(P$5,NFI,5,0),1,0)*Table_NFI[[#This Row],[Plastic Bucket]],Table_NFI[Plastic Bucket])</f>
        <v>0</v>
      </c>
      <c r="AH505" s="378">
        <f>IF(NFI_Expiration=1,IF($A505&lt;VLOOKUP(Q$5,NFI,5,0),1,0)*Table_NFI[[#This Row],[Plastic Mat]],Table_NFI[Plastic Mat])*IF(Table_NFI[[#This Row],[Distribution Date]]&gt;"2014-04-01",1,2.5)</f>
        <v>0</v>
      </c>
      <c r="AI505" s="378">
        <f>IF(NFI_Expiration=1,IF($A505&lt;VLOOKUP(R$5,NFI,5,0),1,0)*Table_NFI[[#This Row],[Winter Clothes Adult]],Table_NFI[Winter Clothes Adult])</f>
        <v>0</v>
      </c>
      <c r="AJ505" s="378">
        <f>IF(NFI_Expiration=1,IF($A505&lt;VLOOKUP(S$5,NFI,5,0),1,0)*Table_NFI[[#This Row],[Winter Clothes Children]],Table_NFI[Winter Clothes Children])</f>
        <v>0</v>
      </c>
      <c r="AK505" s="378">
        <f>IF(NFI_Expiration=1,IF($A505&lt;VLOOKUP(T$5,NFI,5,0),1,0)*Table_NFI[[#This Row],[Winter Items Other]],Table_NFI[Winter Items Other])</f>
        <v>0</v>
      </c>
      <c r="AL505" s="378">
        <f>IF(NFI_Expiration=1,IF($A505&lt;VLOOKUP(M$5,NFI,5,0),1,0)*Table_NFI[[#This Row],[Winter Blanket]],Table_NFI[[#This Row],[Winter Blanket]])</f>
        <v>0</v>
      </c>
      <c r="AM505" s="378">
        <f>IF(Table_NFI[[#This Row],[Winter Clothes Adult]]+Table_NFI[[#This Row],[Winter Clothes Children]]+Table_NFI[[#This Row],[Winter Items Other]]+Table_NFI[[#This Row],[Winter Blanket]]&gt;0,1,0)</f>
        <v>1</v>
      </c>
      <c r="AN505" s="418">
        <f>IF(NFI_Expiration=1,IF($A505&lt;VLOOKUP(V$5,NFI,5,0),1,0)*Table_NFI[[#This Row],[Jerry Can]],Table_NFI[Jerry Can])</f>
        <v>0</v>
      </c>
      <c r="AO505" s="579" t="str">
        <f>IFERROR(VLOOKUP(Table_NFI[[#This Row],[Camp Name]],CL,2,0),"")</f>
        <v>MMR015CMP018</v>
      </c>
      <c r="AP505" s="574">
        <f ca="1">IF(Table_NFI[[#This Row],[Pcode]]="","",IF(OFFSET(CampList[Opening Date],MATCH(Table_NFI[[#This Row],[Pcode]],CampList[CP_Pcode],0)-1,0,1,1)&gt;=NFI_Monitor_Date,1,0))</f>
        <v>0</v>
      </c>
      <c r="AQ505" s="579" t="str">
        <f>IFERROR(VLOOKUP(Table_NFI[[#This Row],[Camp Name]],CL,3,0),"")</f>
        <v>Open</v>
      </c>
      <c r="AR505" s="378" t="str">
        <f ca="1">IF(Table_NFI[[#This Row],[Pcode]]="","",OFFSET(CampList[Priority],MATCH(Table_NFI[[#This Row],[Pcode]],CampList[CP_Pcode],0)-1,0,1,1))</f>
        <v>P3</v>
      </c>
      <c r="AS505" s="377">
        <f>IFERROR(Table_NFI[[#This Row],[Kitchen Set]]/VLOOKUP(Table_NFI[[#This Row],[Camp Name]],CL,4,0),"")</f>
        <v>0</v>
      </c>
      <c r="AT505" s="572" t="s">
        <v>1095</v>
      </c>
      <c r="AU505" s="575"/>
    </row>
    <row r="506" spans="1:47" s="576" customFormat="1" x14ac:dyDescent="0.25">
      <c r="A506" s="381">
        <f t="shared" si="7"/>
        <v>34.1</v>
      </c>
      <c r="B506" s="571">
        <v>41499</v>
      </c>
      <c r="C506" s="572" t="s">
        <v>454</v>
      </c>
      <c r="D506" s="573" t="s">
        <v>462</v>
      </c>
      <c r="E506" s="572" t="s">
        <v>555</v>
      </c>
      <c r="F506" s="374" t="s">
        <v>146</v>
      </c>
      <c r="G506" s="374" t="s">
        <v>368</v>
      </c>
      <c r="H506" s="375"/>
      <c r="I506" s="375"/>
      <c r="J506" s="375">
        <v>113</v>
      </c>
      <c r="K506" s="375">
        <v>160</v>
      </c>
      <c r="L506" s="376">
        <v>32</v>
      </c>
      <c r="M506" s="376">
        <v>160</v>
      </c>
      <c r="N506" s="376">
        <v>32</v>
      </c>
      <c r="O506" s="376">
        <v>32</v>
      </c>
      <c r="P506" s="378">
        <v>32</v>
      </c>
      <c r="Q506" s="378">
        <v>32</v>
      </c>
      <c r="R506" s="378"/>
      <c r="S506" s="378"/>
      <c r="T506" s="378"/>
      <c r="U506" s="378"/>
      <c r="V506" s="533"/>
      <c r="W506" s="378"/>
      <c r="X506" s="378"/>
      <c r="Y506" s="378">
        <f>IF(NFI_Expiration=1,IF($A506&lt;VLOOKUP(H$5,NFI,5,0),1,0)*Table_NFI[[#This Row],[Hygiene Kit]],Table_NFI[Hygiene Kit])</f>
        <v>0</v>
      </c>
      <c r="Z506" s="378">
        <f>IF(NFI_Expiration=1,IF($A506&lt;VLOOKUP(I$5,NFI,5,0),1,0)*Table_NFI[[#This Row],[NFI Core Kit]],Table_NFI[NFI Core Kit])</f>
        <v>0</v>
      </c>
      <c r="AA506" s="378">
        <f>IF(NFI_Expiration=1,IF($A506&lt;VLOOKUP(J$5,NFI,5,0),1,0)*Table_NFI[[#This Row],[Sanitary Kit]],Table_NFI[Sanitary Kit])</f>
        <v>0</v>
      </c>
      <c r="AB506" s="378">
        <f>IF(NFI_Expiration=1,IF($A506&lt;VLOOKUP(K$5,NFI,5,0),1,0)*Table_NFI[[#This Row],[Mosquito net]],Table_NFI[Mosquito net])</f>
        <v>0</v>
      </c>
      <c r="AC506" s="378">
        <f>IF(NFI_Expiration=1,IF($A506&lt;VLOOKUP(L$5,NFI,5,0),1,0)*Table_NFI[[#This Row],[Tarpaulin]],Table_NFI[[#This Row],[Tarpaulin]])</f>
        <v>0</v>
      </c>
      <c r="AD506" s="378">
        <f>IF(NFI_Expiration=1,IF($A506&lt;VLOOKUP(M$5,NFI,5,0),1,0)*Table_NFI[[#This Row],[Blanket]],Table_NFI[[#This Row],[Blanket]])</f>
        <v>0</v>
      </c>
      <c r="AE506" s="378">
        <f>IF(NFI_Expiration=1,IF($A506&lt;VLOOKUP(N$5,NFI,5,0),1,0)*Table_NFI[[#This Row],[Kitchen Set]],Table_NFI[Kitchen Set])</f>
        <v>0</v>
      </c>
      <c r="AF506" s="378">
        <f>IF(NFI_Expiration=1,IF($A506&lt;VLOOKUP(O$5,NFI,5,0),1,0)*Table_NFI[[#This Row],[Clothes Kit]],Table_NFI[Clothes Kit])</f>
        <v>0</v>
      </c>
      <c r="AG506" s="378">
        <f>IF(NFI_Expiration=1,IF($A506&lt;VLOOKUP(P$5,NFI,5,0),1,0)*Table_NFI[[#This Row],[Plastic Bucket]],Table_NFI[Plastic Bucket])</f>
        <v>0</v>
      </c>
      <c r="AH506" s="378">
        <f>IF(NFI_Expiration=1,IF($A506&lt;VLOOKUP(Q$5,NFI,5,0),1,0)*Table_NFI[[#This Row],[Plastic Mat]],Table_NFI[Plastic Mat])*IF(Table_NFI[[#This Row],[Distribution Date]]&gt;"2014-04-01",1,2.5)</f>
        <v>0</v>
      </c>
      <c r="AI506" s="378">
        <f>IF(NFI_Expiration=1,IF($A506&lt;VLOOKUP(R$5,NFI,5,0),1,0)*Table_NFI[[#This Row],[Winter Clothes Adult]],Table_NFI[Winter Clothes Adult])</f>
        <v>0</v>
      </c>
      <c r="AJ506" s="378">
        <f>IF(NFI_Expiration=1,IF($A506&lt;VLOOKUP(S$5,NFI,5,0),1,0)*Table_NFI[[#This Row],[Winter Clothes Children]],Table_NFI[Winter Clothes Children])</f>
        <v>0</v>
      </c>
      <c r="AK506" s="378">
        <f>IF(NFI_Expiration=1,IF($A506&lt;VLOOKUP(T$5,NFI,5,0),1,0)*Table_NFI[[#This Row],[Winter Items Other]],Table_NFI[Winter Items Other])</f>
        <v>0</v>
      </c>
      <c r="AL506" s="378">
        <f>IF(NFI_Expiration=1,IF($A506&lt;VLOOKUP(M$5,NFI,5,0),1,0)*Table_NFI[[#This Row],[Winter Blanket]],Table_NFI[[#This Row],[Winter Blanket]])</f>
        <v>0</v>
      </c>
      <c r="AM506" s="378">
        <f>IF(Table_NFI[[#This Row],[Winter Clothes Adult]]+Table_NFI[[#This Row],[Winter Clothes Children]]+Table_NFI[[#This Row],[Winter Items Other]]+Table_NFI[[#This Row],[Winter Blanket]]&gt;0,1,0)</f>
        <v>0</v>
      </c>
      <c r="AN506" s="418">
        <f>IF(NFI_Expiration=1,IF($A506&lt;VLOOKUP(V$5,NFI,5,0),1,0)*Table_NFI[[#This Row],[Jerry Can]],Table_NFI[Jerry Can])</f>
        <v>0</v>
      </c>
      <c r="AO506" s="579" t="str">
        <f>IFERROR(VLOOKUP(Table_NFI[[#This Row],[Camp Name]],CL,2,0),"")</f>
        <v>MMR015CMP018</v>
      </c>
      <c r="AP506" s="574">
        <f ca="1">IF(Table_NFI[[#This Row],[Pcode]]="","",IF(OFFSET(CampList[Opening Date],MATCH(Table_NFI[[#This Row],[Pcode]],CampList[CP_Pcode],0)-1,0,1,1)&gt;=NFI_Monitor_Date,1,0))</f>
        <v>0</v>
      </c>
      <c r="AQ506" s="579" t="str">
        <f>IFERROR(VLOOKUP(Table_NFI[[#This Row],[Camp Name]],CL,3,0),"")</f>
        <v>Open</v>
      </c>
      <c r="AR506" s="378" t="str">
        <f ca="1">IF(Table_NFI[[#This Row],[Pcode]]="","",OFFSET(CampList[Priority],MATCH(Table_NFI[[#This Row],[Pcode]],CampList[CP_Pcode],0)-1,0,1,1))</f>
        <v>P3</v>
      </c>
      <c r="AS506" s="377">
        <f>IFERROR(Table_NFI[[#This Row],[Kitchen Set]]/VLOOKUP(Table_NFI[[#This Row],[Camp Name]],CL,4,0),"")</f>
        <v>0.50793650793650791</v>
      </c>
      <c r="AT506" s="572" t="s">
        <v>1095</v>
      </c>
      <c r="AU506" s="575"/>
    </row>
    <row r="507" spans="1:47" s="576" customFormat="1" x14ac:dyDescent="0.25">
      <c r="A507" s="381">
        <f t="shared" si="7"/>
        <v>15.9</v>
      </c>
      <c r="B507" s="571">
        <v>42045</v>
      </c>
      <c r="C507" s="572" t="s">
        <v>454</v>
      </c>
      <c r="D507" s="577" t="s">
        <v>454</v>
      </c>
      <c r="E507" s="577" t="s">
        <v>555</v>
      </c>
      <c r="F507" s="577" t="s">
        <v>151</v>
      </c>
      <c r="G507" s="577" t="s">
        <v>1370</v>
      </c>
      <c r="H507" s="376"/>
      <c r="I507" s="376"/>
      <c r="J507" s="376"/>
      <c r="K507" s="376">
        <v>49</v>
      </c>
      <c r="L507" s="376">
        <v>16</v>
      </c>
      <c r="M507" s="376">
        <v>49</v>
      </c>
      <c r="N507" s="376">
        <v>16</v>
      </c>
      <c r="O507" s="376"/>
      <c r="P507" s="378">
        <v>16</v>
      </c>
      <c r="Q507" s="378">
        <v>92</v>
      </c>
      <c r="R507" s="378"/>
      <c r="S507" s="378"/>
      <c r="T507" s="378"/>
      <c r="U507" s="378"/>
      <c r="V507" s="533">
        <v>15</v>
      </c>
      <c r="W507" s="378"/>
      <c r="X507" s="378"/>
      <c r="Y507" s="378">
        <f>IF(NFI_Expiration=1,IF($A507&lt;VLOOKUP(H$5,NFI,5,0),1,0)*Table_NFI[[#This Row],[Hygiene Kit]],Table_NFI[Hygiene Kit])</f>
        <v>0</v>
      </c>
      <c r="Z507" s="378">
        <f>IF(NFI_Expiration=1,IF($A507&lt;VLOOKUP(I$5,NFI,5,0),1,0)*Table_NFI[[#This Row],[NFI Core Kit]],Table_NFI[NFI Core Kit])</f>
        <v>0</v>
      </c>
      <c r="AA507" s="378">
        <f>IF(NFI_Expiration=1,IF($A507&lt;VLOOKUP(J$5,NFI,5,0),1,0)*Table_NFI[[#This Row],[Sanitary Kit]],Table_NFI[Sanitary Kit])</f>
        <v>0</v>
      </c>
      <c r="AB507" s="378">
        <f>IF(NFI_Expiration=1,IF($A507&lt;VLOOKUP(K$5,NFI,5,0),1,0)*Table_NFI[[#This Row],[Mosquito net]],Table_NFI[Mosquito net])</f>
        <v>0</v>
      </c>
      <c r="AC507" s="378">
        <f>IF(NFI_Expiration=1,IF($A507&lt;VLOOKUP(L$5,NFI,5,0),1,0)*Table_NFI[[#This Row],[Tarpaulin]],Table_NFI[[#This Row],[Tarpaulin]])</f>
        <v>0</v>
      </c>
      <c r="AD507" s="378">
        <f>IF(NFI_Expiration=1,IF($A507&lt;VLOOKUP(M$5,NFI,5,0),1,0)*Table_NFI[[#This Row],[Blanket]],Table_NFI[[#This Row],[Blanket]])</f>
        <v>0</v>
      </c>
      <c r="AE507" s="378">
        <f>IF(NFI_Expiration=1,IF($A507&lt;VLOOKUP(N$5,NFI,5,0),1,0)*Table_NFI[[#This Row],[Kitchen Set]],Table_NFI[Kitchen Set])</f>
        <v>0</v>
      </c>
      <c r="AF507" s="378">
        <f>IF(NFI_Expiration=1,IF($A507&lt;VLOOKUP(O$5,NFI,5,0),1,0)*Table_NFI[[#This Row],[Clothes Kit]],Table_NFI[Clothes Kit])</f>
        <v>0</v>
      </c>
      <c r="AG507" s="378">
        <f>IF(NFI_Expiration=1,IF($A507&lt;VLOOKUP(P$5,NFI,5,0),1,0)*Table_NFI[[#This Row],[Plastic Bucket]],Table_NFI[Plastic Bucket])</f>
        <v>0</v>
      </c>
      <c r="AH507" s="378">
        <f>IF(NFI_Expiration=1,IF($A507&lt;VLOOKUP(Q$5,NFI,5,0),1,0)*Table_NFI[[#This Row],[Plastic Mat]],Table_NFI[Plastic Mat])*IF(Table_NFI[[#This Row],[Distribution Date]]&gt;"2014-04-01",1,2.5)</f>
        <v>0</v>
      </c>
      <c r="AI507" s="378">
        <f>IF(NFI_Expiration=1,IF($A507&lt;VLOOKUP(R$5,NFI,5,0),1,0)*Table_NFI[[#This Row],[Winter Clothes Adult]],Table_NFI[Winter Clothes Adult])</f>
        <v>0</v>
      </c>
      <c r="AJ507" s="378">
        <f>IF(NFI_Expiration=1,IF($A507&lt;VLOOKUP(S$5,NFI,5,0),1,0)*Table_NFI[[#This Row],[Winter Clothes Children]],Table_NFI[Winter Clothes Children])</f>
        <v>0</v>
      </c>
      <c r="AK507" s="378">
        <f>IF(NFI_Expiration=1,IF($A507&lt;VLOOKUP(T$5,NFI,5,0),1,0)*Table_NFI[[#This Row],[Winter Items Other]],Table_NFI[Winter Items Other])</f>
        <v>0</v>
      </c>
      <c r="AL507" s="378">
        <f>IF(NFI_Expiration=1,IF($A507&lt;VLOOKUP(M$5,NFI,5,0),1,0)*Table_NFI[[#This Row],[Winter Blanket]],Table_NFI[[#This Row],[Winter Blanket]])</f>
        <v>0</v>
      </c>
      <c r="AM507" s="378">
        <f>IF(Table_NFI[[#This Row],[Winter Clothes Adult]]+Table_NFI[[#This Row],[Winter Clothes Children]]+Table_NFI[[#This Row],[Winter Items Other]]+Table_NFI[[#This Row],[Winter Blanket]]&gt;0,1,0)</f>
        <v>0</v>
      </c>
      <c r="AN507" s="418">
        <f>IF(NFI_Expiration=1,IF($A507&lt;VLOOKUP(V$5,NFI,5,0),1,0)*Table_NFI[[#This Row],[Jerry Can]],Table_NFI[Jerry Can])</f>
        <v>0</v>
      </c>
      <c r="AO507" s="579" t="str">
        <f>IFERROR(VLOOKUP(Table_NFI[[#This Row],[Camp Name]],CL,2,0),"")</f>
        <v/>
      </c>
      <c r="AP507" s="574" t="str">
        <f ca="1">IF(Table_NFI[[#This Row],[Pcode]]="","",IF(OFFSET(CampList[Opening Date],MATCH(Table_NFI[[#This Row],[Pcode]],CampList[CP_Pcode],0)-1,0,1,1)&gt;=NFI_Monitor_Date,1,0))</f>
        <v/>
      </c>
      <c r="AQ507" s="579" t="str">
        <f>IFERROR(VLOOKUP(Table_NFI[[#This Row],[Camp Name]],CL,3,0),"")</f>
        <v/>
      </c>
      <c r="AR507" s="378" t="str">
        <f ca="1">IF(Table_NFI[[#This Row],[Pcode]]="","",OFFSET(CampList[Priority],MATCH(Table_NFI[[#This Row],[Pcode]],CampList[CP_Pcode],0)-1,0,1,1))</f>
        <v/>
      </c>
      <c r="AS507" s="377" t="str">
        <f>IFERROR(Table_NFI[[#This Row],[Kitchen Set]]/VLOOKUP(Table_NFI[[#This Row],[Camp Name]],CL,4,0),"")</f>
        <v/>
      </c>
      <c r="AT507" s="572" t="s">
        <v>1095</v>
      </c>
      <c r="AU507" s="575"/>
    </row>
    <row r="508" spans="1:47" s="576" customFormat="1" x14ac:dyDescent="0.25">
      <c r="A508" s="381">
        <f t="shared" si="7"/>
        <v>15.9</v>
      </c>
      <c r="B508" s="571">
        <v>42045</v>
      </c>
      <c r="C508" s="572" t="s">
        <v>454</v>
      </c>
      <c r="D508" s="577" t="s">
        <v>454</v>
      </c>
      <c r="E508" s="577" t="s">
        <v>555</v>
      </c>
      <c r="F508" s="577" t="s">
        <v>151</v>
      </c>
      <c r="G508" s="577" t="s">
        <v>1371</v>
      </c>
      <c r="H508" s="376"/>
      <c r="I508" s="376"/>
      <c r="J508" s="376"/>
      <c r="K508" s="376">
        <v>75</v>
      </c>
      <c r="L508" s="376">
        <v>13</v>
      </c>
      <c r="M508" s="376">
        <v>110</v>
      </c>
      <c r="N508" s="376">
        <v>13</v>
      </c>
      <c r="O508" s="376"/>
      <c r="P508" s="378">
        <v>13</v>
      </c>
      <c r="Q508" s="378">
        <v>45</v>
      </c>
      <c r="R508" s="378"/>
      <c r="S508" s="378"/>
      <c r="T508" s="378"/>
      <c r="U508" s="378"/>
      <c r="V508" s="533"/>
      <c r="W508" s="378"/>
      <c r="X508" s="378"/>
      <c r="Y508" s="378">
        <f>IF(NFI_Expiration=1,IF($A508&lt;VLOOKUP(H$5,NFI,5,0),1,0)*Table_NFI[[#This Row],[Hygiene Kit]],Table_NFI[Hygiene Kit])</f>
        <v>0</v>
      </c>
      <c r="Z508" s="378">
        <f>IF(NFI_Expiration=1,IF($A508&lt;VLOOKUP(I$5,NFI,5,0),1,0)*Table_NFI[[#This Row],[NFI Core Kit]],Table_NFI[NFI Core Kit])</f>
        <v>0</v>
      </c>
      <c r="AA508" s="378">
        <f>IF(NFI_Expiration=1,IF($A508&lt;VLOOKUP(J$5,NFI,5,0),1,0)*Table_NFI[[#This Row],[Sanitary Kit]],Table_NFI[Sanitary Kit])</f>
        <v>0</v>
      </c>
      <c r="AB508" s="378">
        <f>IF(NFI_Expiration=1,IF($A508&lt;VLOOKUP(K$5,NFI,5,0),1,0)*Table_NFI[[#This Row],[Mosquito net]],Table_NFI[Mosquito net])</f>
        <v>0</v>
      </c>
      <c r="AC508" s="378">
        <f>IF(NFI_Expiration=1,IF($A508&lt;VLOOKUP(L$5,NFI,5,0),1,0)*Table_NFI[[#This Row],[Tarpaulin]],Table_NFI[[#This Row],[Tarpaulin]])</f>
        <v>0</v>
      </c>
      <c r="AD508" s="378">
        <f>IF(NFI_Expiration=1,IF($A508&lt;VLOOKUP(M$5,NFI,5,0),1,0)*Table_NFI[[#This Row],[Blanket]],Table_NFI[[#This Row],[Blanket]])</f>
        <v>0</v>
      </c>
      <c r="AE508" s="378">
        <f>IF(NFI_Expiration=1,IF($A508&lt;VLOOKUP(N$5,NFI,5,0),1,0)*Table_NFI[[#This Row],[Kitchen Set]],Table_NFI[Kitchen Set])</f>
        <v>0</v>
      </c>
      <c r="AF508" s="378">
        <f>IF(NFI_Expiration=1,IF($A508&lt;VLOOKUP(O$5,NFI,5,0),1,0)*Table_NFI[[#This Row],[Clothes Kit]],Table_NFI[Clothes Kit])</f>
        <v>0</v>
      </c>
      <c r="AG508" s="378">
        <f>IF(NFI_Expiration=1,IF($A508&lt;VLOOKUP(P$5,NFI,5,0),1,0)*Table_NFI[[#This Row],[Plastic Bucket]],Table_NFI[Plastic Bucket])</f>
        <v>0</v>
      </c>
      <c r="AH508" s="378">
        <f>IF(NFI_Expiration=1,IF($A508&lt;VLOOKUP(Q$5,NFI,5,0),1,0)*Table_NFI[[#This Row],[Plastic Mat]],Table_NFI[Plastic Mat])*IF(Table_NFI[[#This Row],[Distribution Date]]&gt;"2014-04-01",1,2.5)</f>
        <v>0</v>
      </c>
      <c r="AI508" s="378">
        <f>IF(NFI_Expiration=1,IF($A508&lt;VLOOKUP(R$5,NFI,5,0),1,0)*Table_NFI[[#This Row],[Winter Clothes Adult]],Table_NFI[Winter Clothes Adult])</f>
        <v>0</v>
      </c>
      <c r="AJ508" s="378">
        <f>IF(NFI_Expiration=1,IF($A508&lt;VLOOKUP(S$5,NFI,5,0),1,0)*Table_NFI[[#This Row],[Winter Clothes Children]],Table_NFI[Winter Clothes Children])</f>
        <v>0</v>
      </c>
      <c r="AK508" s="378">
        <f>IF(NFI_Expiration=1,IF($A508&lt;VLOOKUP(T$5,NFI,5,0),1,0)*Table_NFI[[#This Row],[Winter Items Other]],Table_NFI[Winter Items Other])</f>
        <v>0</v>
      </c>
      <c r="AL508" s="378">
        <f>IF(NFI_Expiration=1,IF($A508&lt;VLOOKUP(M$5,NFI,5,0),1,0)*Table_NFI[[#This Row],[Winter Blanket]],Table_NFI[[#This Row],[Winter Blanket]])</f>
        <v>0</v>
      </c>
      <c r="AM508" s="378">
        <f>IF(Table_NFI[[#This Row],[Winter Clothes Adult]]+Table_NFI[[#This Row],[Winter Clothes Children]]+Table_NFI[[#This Row],[Winter Items Other]]+Table_NFI[[#This Row],[Winter Blanket]]&gt;0,1,0)</f>
        <v>0</v>
      </c>
      <c r="AN508" s="418">
        <f>IF(NFI_Expiration=1,IF($A508&lt;VLOOKUP(V$5,NFI,5,0),1,0)*Table_NFI[[#This Row],[Jerry Can]],Table_NFI[Jerry Can])</f>
        <v>0</v>
      </c>
      <c r="AO508" s="579" t="str">
        <f>IFERROR(VLOOKUP(Table_NFI[[#This Row],[Camp Name]],CL,2,0),"")</f>
        <v/>
      </c>
      <c r="AP508" s="574" t="str">
        <f ca="1">IF(Table_NFI[[#This Row],[Pcode]]="","",IF(OFFSET(CampList[Opening Date],MATCH(Table_NFI[[#This Row],[Pcode]],CampList[CP_Pcode],0)-1,0,1,1)&gt;=NFI_Monitor_Date,1,0))</f>
        <v/>
      </c>
      <c r="AQ508" s="579" t="str">
        <f>IFERROR(VLOOKUP(Table_NFI[[#This Row],[Camp Name]],CL,3,0),"")</f>
        <v/>
      </c>
      <c r="AR508" s="378" t="str">
        <f ca="1">IF(Table_NFI[[#This Row],[Pcode]]="","",OFFSET(CampList[Priority],MATCH(Table_NFI[[#This Row],[Pcode]],CampList[CP_Pcode],0)-1,0,1,1))</f>
        <v/>
      </c>
      <c r="AS508" s="377" t="str">
        <f>IFERROR(Table_NFI[[#This Row],[Kitchen Set]]/VLOOKUP(Table_NFI[[#This Row],[Camp Name]],CL,4,0),"")</f>
        <v/>
      </c>
      <c r="AT508" s="572" t="s">
        <v>1095</v>
      </c>
      <c r="AU508" s="575"/>
    </row>
    <row r="509" spans="1:47" s="576" customFormat="1" x14ac:dyDescent="0.25">
      <c r="A509" s="381">
        <f t="shared" si="7"/>
        <v>15.9</v>
      </c>
      <c r="B509" s="571">
        <v>42045</v>
      </c>
      <c r="C509" s="577" t="s">
        <v>454</v>
      </c>
      <c r="D509" s="577" t="s">
        <v>454</v>
      </c>
      <c r="E509" s="577" t="s">
        <v>555</v>
      </c>
      <c r="F509" s="577" t="s">
        <v>151</v>
      </c>
      <c r="G509" s="577" t="s">
        <v>1369</v>
      </c>
      <c r="H509" s="376"/>
      <c r="I509" s="376">
        <v>200</v>
      </c>
      <c r="J509" s="376"/>
      <c r="K509" s="376">
        <v>86</v>
      </c>
      <c r="L509" s="376">
        <v>28</v>
      </c>
      <c r="M509" s="376">
        <v>173</v>
      </c>
      <c r="N509" s="376">
        <v>28</v>
      </c>
      <c r="O509" s="376"/>
      <c r="P509" s="378">
        <v>43</v>
      </c>
      <c r="Q509" s="378">
        <v>199</v>
      </c>
      <c r="R509" s="378"/>
      <c r="S509" s="378"/>
      <c r="T509" s="378"/>
      <c r="U509" s="378"/>
      <c r="V509" s="533">
        <v>42</v>
      </c>
      <c r="W509" s="378"/>
      <c r="X509" s="378"/>
      <c r="Y509" s="378">
        <f>IF(NFI_Expiration=1,IF($A509&lt;VLOOKUP(H$5,NFI,5,0),1,0)*Table_NFI[[#This Row],[Hygiene Kit]],Table_NFI[Hygiene Kit])</f>
        <v>0</v>
      </c>
      <c r="Z509" s="378">
        <f>IF(NFI_Expiration=1,IF($A509&lt;VLOOKUP(I$5,NFI,5,0),1,0)*Table_NFI[[#This Row],[NFI Core Kit]],Table_NFI[NFI Core Kit])</f>
        <v>0</v>
      </c>
      <c r="AA509" s="378">
        <f>IF(NFI_Expiration=1,IF($A509&lt;VLOOKUP(J$5,NFI,5,0),1,0)*Table_NFI[[#This Row],[Sanitary Kit]],Table_NFI[Sanitary Kit])</f>
        <v>0</v>
      </c>
      <c r="AB509" s="378">
        <f>IF(NFI_Expiration=1,IF($A509&lt;VLOOKUP(K$5,NFI,5,0),1,0)*Table_NFI[[#This Row],[Mosquito net]],Table_NFI[Mosquito net])</f>
        <v>0</v>
      </c>
      <c r="AC509" s="378">
        <f>IF(NFI_Expiration=1,IF($A509&lt;VLOOKUP(L$5,NFI,5,0),1,0)*Table_NFI[[#This Row],[Tarpaulin]],Table_NFI[[#This Row],[Tarpaulin]])</f>
        <v>0</v>
      </c>
      <c r="AD509" s="378">
        <f>IF(NFI_Expiration=1,IF($A509&lt;VLOOKUP(M$5,NFI,5,0),1,0)*Table_NFI[[#This Row],[Blanket]],Table_NFI[[#This Row],[Blanket]])</f>
        <v>0</v>
      </c>
      <c r="AE509" s="378">
        <f>IF(NFI_Expiration=1,IF($A509&lt;VLOOKUP(N$5,NFI,5,0),1,0)*Table_NFI[[#This Row],[Kitchen Set]],Table_NFI[Kitchen Set])</f>
        <v>0</v>
      </c>
      <c r="AF509" s="378">
        <f>IF(NFI_Expiration=1,IF($A509&lt;VLOOKUP(O$5,NFI,5,0),1,0)*Table_NFI[[#This Row],[Clothes Kit]],Table_NFI[Clothes Kit])</f>
        <v>0</v>
      </c>
      <c r="AG509" s="378">
        <f>IF(NFI_Expiration=1,IF($A509&lt;VLOOKUP(P$5,NFI,5,0),1,0)*Table_NFI[[#This Row],[Plastic Bucket]],Table_NFI[Plastic Bucket])</f>
        <v>0</v>
      </c>
      <c r="AH509" s="378">
        <f>IF(NFI_Expiration=1,IF($A509&lt;VLOOKUP(Q$5,NFI,5,0),1,0)*Table_NFI[[#This Row],[Plastic Mat]],Table_NFI[Plastic Mat])*IF(Table_NFI[[#This Row],[Distribution Date]]&gt;"2014-04-01",1,2.5)</f>
        <v>0</v>
      </c>
      <c r="AI509" s="378">
        <f>IF(NFI_Expiration=1,IF($A509&lt;VLOOKUP(R$5,NFI,5,0),1,0)*Table_NFI[[#This Row],[Winter Clothes Adult]],Table_NFI[Winter Clothes Adult])</f>
        <v>0</v>
      </c>
      <c r="AJ509" s="378">
        <f>IF(NFI_Expiration=1,IF($A509&lt;VLOOKUP(S$5,NFI,5,0),1,0)*Table_NFI[[#This Row],[Winter Clothes Children]],Table_NFI[Winter Clothes Children])</f>
        <v>0</v>
      </c>
      <c r="AK509" s="378">
        <f>IF(NFI_Expiration=1,IF($A509&lt;VLOOKUP(T$5,NFI,5,0),1,0)*Table_NFI[[#This Row],[Winter Items Other]],Table_NFI[Winter Items Other])</f>
        <v>0</v>
      </c>
      <c r="AL509" s="378">
        <f>IF(NFI_Expiration=1,IF($A509&lt;VLOOKUP(M$5,NFI,5,0),1,0)*Table_NFI[[#This Row],[Winter Blanket]],Table_NFI[[#This Row],[Winter Blanket]])</f>
        <v>0</v>
      </c>
      <c r="AM509" s="378">
        <f>IF(Table_NFI[[#This Row],[Winter Clothes Adult]]+Table_NFI[[#This Row],[Winter Clothes Children]]+Table_NFI[[#This Row],[Winter Items Other]]+Table_NFI[[#This Row],[Winter Blanket]]&gt;0,1,0)</f>
        <v>0</v>
      </c>
      <c r="AN509" s="418">
        <f>IF(NFI_Expiration=1,IF($A509&lt;VLOOKUP(V$5,NFI,5,0),1,0)*Table_NFI[[#This Row],[Jerry Can]],Table_NFI[Jerry Can])</f>
        <v>0</v>
      </c>
      <c r="AO509" s="579" t="str">
        <f>IFERROR(VLOOKUP(Table_NFI[[#This Row],[Camp Name]],CL,2,0),"")</f>
        <v/>
      </c>
      <c r="AP509" s="574" t="str">
        <f ca="1">IF(Table_NFI[[#This Row],[Pcode]]="","",IF(OFFSET(CampList[Opening Date],MATCH(Table_NFI[[#This Row],[Pcode]],CampList[CP_Pcode],0)-1,0,1,1)&gt;=NFI_Monitor_Date,1,0))</f>
        <v/>
      </c>
      <c r="AQ509" s="579" t="str">
        <f>IFERROR(VLOOKUP(Table_NFI[[#This Row],[Camp Name]],CL,3,0),"")</f>
        <v/>
      </c>
      <c r="AR509" s="378" t="str">
        <f ca="1">IF(Table_NFI[[#This Row],[Pcode]]="","",OFFSET(CampList[Priority],MATCH(Table_NFI[[#This Row],[Pcode]],CampList[CP_Pcode],0)-1,0,1,1))</f>
        <v/>
      </c>
      <c r="AS509" s="377" t="str">
        <f>IFERROR(Table_NFI[[#This Row],[Kitchen Set]]/VLOOKUP(Table_NFI[[#This Row],[Camp Name]],CL,4,0),"")</f>
        <v/>
      </c>
      <c r="AT509" s="572" t="s">
        <v>1095</v>
      </c>
      <c r="AU509" s="580"/>
    </row>
    <row r="510" spans="1:47" s="576" customFormat="1" x14ac:dyDescent="0.25">
      <c r="A510" s="381">
        <f t="shared" si="7"/>
        <v>15.9</v>
      </c>
      <c r="B510" s="571">
        <v>42045</v>
      </c>
      <c r="C510" s="572" t="s">
        <v>454</v>
      </c>
      <c r="D510" s="577" t="s">
        <v>454</v>
      </c>
      <c r="E510" s="577" t="s">
        <v>555</v>
      </c>
      <c r="F510" s="577" t="s">
        <v>151</v>
      </c>
      <c r="G510" s="577" t="s">
        <v>1372</v>
      </c>
      <c r="H510" s="376"/>
      <c r="I510" s="376"/>
      <c r="J510" s="376"/>
      <c r="K510" s="376">
        <v>90</v>
      </c>
      <c r="L510" s="376">
        <v>43</v>
      </c>
      <c r="M510" s="376">
        <v>93</v>
      </c>
      <c r="N510" s="376">
        <v>43</v>
      </c>
      <c r="O510" s="376"/>
      <c r="P510" s="378">
        <v>32</v>
      </c>
      <c r="Q510" s="378">
        <v>164</v>
      </c>
      <c r="R510" s="378"/>
      <c r="S510" s="378"/>
      <c r="T510" s="378"/>
      <c r="U510" s="378"/>
      <c r="V510" s="533">
        <v>43</v>
      </c>
      <c r="W510" s="378"/>
      <c r="X510" s="378"/>
      <c r="Y510" s="378">
        <f>IF(NFI_Expiration=1,IF($A510&lt;VLOOKUP(H$5,NFI,5,0),1,0)*Table_NFI[[#This Row],[Hygiene Kit]],Table_NFI[Hygiene Kit])</f>
        <v>0</v>
      </c>
      <c r="Z510" s="378">
        <f>IF(NFI_Expiration=1,IF($A510&lt;VLOOKUP(I$5,NFI,5,0),1,0)*Table_NFI[[#This Row],[NFI Core Kit]],Table_NFI[NFI Core Kit])</f>
        <v>0</v>
      </c>
      <c r="AA510" s="378">
        <f>IF(NFI_Expiration=1,IF($A510&lt;VLOOKUP(J$5,NFI,5,0),1,0)*Table_NFI[[#This Row],[Sanitary Kit]],Table_NFI[Sanitary Kit])</f>
        <v>0</v>
      </c>
      <c r="AB510" s="378">
        <f>IF(NFI_Expiration=1,IF($A510&lt;VLOOKUP(K$5,NFI,5,0),1,0)*Table_NFI[[#This Row],[Mosquito net]],Table_NFI[Mosquito net])</f>
        <v>0</v>
      </c>
      <c r="AC510" s="378">
        <f>IF(NFI_Expiration=1,IF($A510&lt;VLOOKUP(L$5,NFI,5,0),1,0)*Table_NFI[[#This Row],[Tarpaulin]],Table_NFI[[#This Row],[Tarpaulin]])</f>
        <v>0</v>
      </c>
      <c r="AD510" s="378">
        <f>IF(NFI_Expiration=1,IF($A510&lt;VLOOKUP(M$5,NFI,5,0),1,0)*Table_NFI[[#This Row],[Blanket]],Table_NFI[[#This Row],[Blanket]])</f>
        <v>0</v>
      </c>
      <c r="AE510" s="378">
        <f>IF(NFI_Expiration=1,IF($A510&lt;VLOOKUP(N$5,NFI,5,0),1,0)*Table_NFI[[#This Row],[Kitchen Set]],Table_NFI[Kitchen Set])</f>
        <v>0</v>
      </c>
      <c r="AF510" s="378">
        <f>IF(NFI_Expiration=1,IF($A510&lt;VLOOKUP(O$5,NFI,5,0),1,0)*Table_NFI[[#This Row],[Clothes Kit]],Table_NFI[Clothes Kit])</f>
        <v>0</v>
      </c>
      <c r="AG510" s="378">
        <f>IF(NFI_Expiration=1,IF($A510&lt;VLOOKUP(P$5,NFI,5,0),1,0)*Table_NFI[[#This Row],[Plastic Bucket]],Table_NFI[Plastic Bucket])</f>
        <v>0</v>
      </c>
      <c r="AH510" s="378">
        <f>IF(NFI_Expiration=1,IF($A510&lt;VLOOKUP(Q$5,NFI,5,0),1,0)*Table_NFI[[#This Row],[Plastic Mat]],Table_NFI[Plastic Mat])*IF(Table_NFI[[#This Row],[Distribution Date]]&gt;"2014-04-01",1,2.5)</f>
        <v>0</v>
      </c>
      <c r="AI510" s="378">
        <f>IF(NFI_Expiration=1,IF($A510&lt;VLOOKUP(R$5,NFI,5,0),1,0)*Table_NFI[[#This Row],[Winter Clothes Adult]],Table_NFI[Winter Clothes Adult])</f>
        <v>0</v>
      </c>
      <c r="AJ510" s="378">
        <f>IF(NFI_Expiration=1,IF($A510&lt;VLOOKUP(S$5,NFI,5,0),1,0)*Table_NFI[[#This Row],[Winter Clothes Children]],Table_NFI[Winter Clothes Children])</f>
        <v>0</v>
      </c>
      <c r="AK510" s="378">
        <f>IF(NFI_Expiration=1,IF($A510&lt;VLOOKUP(T$5,NFI,5,0),1,0)*Table_NFI[[#This Row],[Winter Items Other]],Table_NFI[Winter Items Other])</f>
        <v>0</v>
      </c>
      <c r="AL510" s="378">
        <f>IF(NFI_Expiration=1,IF($A510&lt;VLOOKUP(M$5,NFI,5,0),1,0)*Table_NFI[[#This Row],[Winter Blanket]],Table_NFI[[#This Row],[Winter Blanket]])</f>
        <v>0</v>
      </c>
      <c r="AM510" s="378">
        <f>IF(Table_NFI[[#This Row],[Winter Clothes Adult]]+Table_NFI[[#This Row],[Winter Clothes Children]]+Table_NFI[[#This Row],[Winter Items Other]]+Table_NFI[[#This Row],[Winter Blanket]]&gt;0,1,0)</f>
        <v>0</v>
      </c>
      <c r="AN510" s="418">
        <f>IF(NFI_Expiration=1,IF($A510&lt;VLOOKUP(V$5,NFI,5,0),1,0)*Table_NFI[[#This Row],[Jerry Can]],Table_NFI[Jerry Can])</f>
        <v>0</v>
      </c>
      <c r="AO510" s="579" t="str">
        <f>IFERROR(VLOOKUP(Table_NFI[[#This Row],[Camp Name]],CL,2,0),"")</f>
        <v/>
      </c>
      <c r="AP510" s="574" t="str">
        <f ca="1">IF(Table_NFI[[#This Row],[Pcode]]="","",IF(OFFSET(CampList[Opening Date],MATCH(Table_NFI[[#This Row],[Pcode]],CampList[CP_Pcode],0)-1,0,1,1)&gt;=NFI_Monitor_Date,1,0))</f>
        <v/>
      </c>
      <c r="AQ510" s="579" t="str">
        <f>IFERROR(VLOOKUP(Table_NFI[[#This Row],[Camp Name]],CL,3,0),"")</f>
        <v/>
      </c>
      <c r="AR510" s="378" t="str">
        <f ca="1">IF(Table_NFI[[#This Row],[Pcode]]="","",OFFSET(CampList[Priority],MATCH(Table_NFI[[#This Row],[Pcode]],CampList[CP_Pcode],0)-1,0,1,1))</f>
        <v/>
      </c>
      <c r="AS510" s="377" t="str">
        <f>IFERROR(Table_NFI[[#This Row],[Kitchen Set]]/VLOOKUP(Table_NFI[[#This Row],[Camp Name]],CL,4,0),"")</f>
        <v/>
      </c>
      <c r="AT510" s="572" t="s">
        <v>1095</v>
      </c>
      <c r="AU510" s="575"/>
    </row>
    <row r="511" spans="1:47" s="576" customFormat="1" x14ac:dyDescent="0.25">
      <c r="A511" s="381">
        <f t="shared" si="7"/>
        <v>47.166666666666664</v>
      </c>
      <c r="B511" s="571">
        <v>41107</v>
      </c>
      <c r="C511" s="572" t="s">
        <v>454</v>
      </c>
      <c r="D511" s="573" t="s">
        <v>454</v>
      </c>
      <c r="E511" s="572" t="s">
        <v>380</v>
      </c>
      <c r="F511" s="374" t="s">
        <v>310</v>
      </c>
      <c r="G511" s="374" t="s">
        <v>1250</v>
      </c>
      <c r="H511" s="375"/>
      <c r="I511" s="375"/>
      <c r="J511" s="375"/>
      <c r="K511" s="375">
        <v>0</v>
      </c>
      <c r="L511" s="376">
        <v>0</v>
      </c>
      <c r="M511" s="376">
        <v>0</v>
      </c>
      <c r="N511" s="376">
        <v>0</v>
      </c>
      <c r="O511" s="376">
        <v>0</v>
      </c>
      <c r="P511" s="378"/>
      <c r="Q511" s="378"/>
      <c r="R511" s="378"/>
      <c r="S511" s="378"/>
      <c r="T511" s="378"/>
      <c r="U511" s="378"/>
      <c r="V511" s="533"/>
      <c r="W511" s="378"/>
      <c r="X511" s="378"/>
      <c r="Y511" s="378">
        <f>IF(NFI_Expiration=1,IF($A511&lt;VLOOKUP(H$5,NFI,5,0),1,0)*Table_NFI[[#This Row],[Hygiene Kit]],Table_NFI[Hygiene Kit])</f>
        <v>0</v>
      </c>
      <c r="Z511" s="378">
        <f>IF(NFI_Expiration=1,IF($A511&lt;VLOOKUP(I$5,NFI,5,0),1,0)*Table_NFI[[#This Row],[NFI Core Kit]],Table_NFI[NFI Core Kit])</f>
        <v>0</v>
      </c>
      <c r="AA511" s="378">
        <f>IF(NFI_Expiration=1,IF($A511&lt;VLOOKUP(J$5,NFI,5,0),1,0)*Table_NFI[[#This Row],[Sanitary Kit]],Table_NFI[Sanitary Kit])</f>
        <v>0</v>
      </c>
      <c r="AB511" s="378">
        <f>IF(NFI_Expiration=1,IF($A511&lt;VLOOKUP(K$5,NFI,5,0),1,0)*Table_NFI[[#This Row],[Mosquito net]],Table_NFI[Mosquito net])</f>
        <v>0</v>
      </c>
      <c r="AC511" s="378">
        <f>IF(NFI_Expiration=1,IF($A511&lt;VLOOKUP(L$5,NFI,5,0),1,0)*Table_NFI[[#This Row],[Tarpaulin]],Table_NFI[[#This Row],[Tarpaulin]])</f>
        <v>0</v>
      </c>
      <c r="AD511" s="378">
        <f>IF(NFI_Expiration=1,IF($A511&lt;VLOOKUP(M$5,NFI,5,0),1,0)*Table_NFI[[#This Row],[Blanket]],Table_NFI[[#This Row],[Blanket]])</f>
        <v>0</v>
      </c>
      <c r="AE511" s="378">
        <f>IF(NFI_Expiration=1,IF($A511&lt;VLOOKUP(N$5,NFI,5,0),1,0)*Table_NFI[[#This Row],[Kitchen Set]],Table_NFI[Kitchen Set])</f>
        <v>0</v>
      </c>
      <c r="AF511" s="378">
        <f>IF(NFI_Expiration=1,IF($A511&lt;VLOOKUP(O$5,NFI,5,0),1,0)*Table_NFI[[#This Row],[Clothes Kit]],Table_NFI[Clothes Kit])</f>
        <v>0</v>
      </c>
      <c r="AG511" s="378">
        <f>IF(NFI_Expiration=1,IF($A511&lt;VLOOKUP(P$5,NFI,5,0),1,0)*Table_NFI[[#This Row],[Plastic Bucket]],Table_NFI[Plastic Bucket])</f>
        <v>0</v>
      </c>
      <c r="AH511" s="378">
        <f>IF(NFI_Expiration=1,IF($A511&lt;VLOOKUP(Q$5,NFI,5,0),1,0)*Table_NFI[[#This Row],[Plastic Mat]],Table_NFI[Plastic Mat])*IF(Table_NFI[[#This Row],[Distribution Date]]&gt;"2014-04-01",1,2.5)</f>
        <v>0</v>
      </c>
      <c r="AI511" s="378">
        <f>IF(NFI_Expiration=1,IF($A511&lt;VLOOKUP(R$5,NFI,5,0),1,0)*Table_NFI[[#This Row],[Winter Clothes Adult]],Table_NFI[Winter Clothes Adult])</f>
        <v>0</v>
      </c>
      <c r="AJ511" s="378">
        <f>IF(NFI_Expiration=1,IF($A511&lt;VLOOKUP(S$5,NFI,5,0),1,0)*Table_NFI[[#This Row],[Winter Clothes Children]],Table_NFI[Winter Clothes Children])</f>
        <v>0</v>
      </c>
      <c r="AK511" s="378">
        <f>IF(NFI_Expiration=1,IF($A511&lt;VLOOKUP(T$5,NFI,5,0),1,0)*Table_NFI[[#This Row],[Winter Items Other]],Table_NFI[Winter Items Other])</f>
        <v>0</v>
      </c>
      <c r="AL511" s="378">
        <f>IF(NFI_Expiration=1,IF($A511&lt;VLOOKUP(M$5,NFI,5,0),1,0)*Table_NFI[[#This Row],[Winter Blanket]],Table_NFI[[#This Row],[Winter Blanket]])</f>
        <v>0</v>
      </c>
      <c r="AM511" s="378">
        <f>IF(Table_NFI[[#This Row],[Winter Clothes Adult]]+Table_NFI[[#This Row],[Winter Clothes Children]]+Table_NFI[[#This Row],[Winter Items Other]]+Table_NFI[[#This Row],[Winter Blanket]]&gt;0,1,0)</f>
        <v>0</v>
      </c>
      <c r="AN511" s="418">
        <f>IF(NFI_Expiration=1,IF($A511&lt;VLOOKUP(V$5,NFI,5,0),1,0)*Table_NFI[[#This Row],[Jerry Can]],Table_NFI[Jerry Can])</f>
        <v>0</v>
      </c>
      <c r="AO511" s="579" t="str">
        <f>IFERROR(VLOOKUP(Table_NFI[[#This Row],[Camp Name]],CL,2,0),"")</f>
        <v>MMR001CMP035</v>
      </c>
      <c r="AP511" s="574">
        <f ca="1">IF(Table_NFI[[#This Row],[Pcode]]="","",IF(OFFSET(CampList[Opening Date],MATCH(Table_NFI[[#This Row],[Pcode]],CampList[CP_Pcode],0)-1,0,1,1)&gt;=NFI_Monitor_Date,1,0))</f>
        <v>0</v>
      </c>
      <c r="AQ511" s="579" t="str">
        <f>IFERROR(VLOOKUP(Table_NFI[[#This Row],[Camp Name]],CL,3,0),"")</f>
        <v>Closed</v>
      </c>
      <c r="AR511" s="378" t="str">
        <f ca="1">IF(Table_NFI[[#This Row],[Pcode]]="","",OFFSET(CampList[Priority],MATCH(Table_NFI[[#This Row],[Pcode]],CampList[CP_Pcode],0)-1,0,1,1))</f>
        <v/>
      </c>
      <c r="AS511" s="377" t="str">
        <f>IFERROR(Table_NFI[[#This Row],[Kitchen Set]]/VLOOKUP(Table_NFI[[#This Row],[Camp Name]],CL,4,0),"")</f>
        <v/>
      </c>
      <c r="AT511" s="572" t="s">
        <v>1095</v>
      </c>
      <c r="AU511" s="575"/>
    </row>
    <row r="512" spans="1:47" s="576" customFormat="1" x14ac:dyDescent="0.25">
      <c r="A512" s="381">
        <f t="shared" si="7"/>
        <v>12.1</v>
      </c>
      <c r="B512" s="571">
        <v>42159</v>
      </c>
      <c r="C512" s="572" t="s">
        <v>454</v>
      </c>
      <c r="D512" s="572" t="s">
        <v>462</v>
      </c>
      <c r="E512" s="572" t="s">
        <v>380</v>
      </c>
      <c r="F512" s="572" t="s">
        <v>185</v>
      </c>
      <c r="G512" s="374" t="s">
        <v>209</v>
      </c>
      <c r="H512" s="375"/>
      <c r="I512" s="375"/>
      <c r="J512" s="375"/>
      <c r="K512" s="378"/>
      <c r="L512" s="376">
        <v>80</v>
      </c>
      <c r="M512" s="376"/>
      <c r="N512" s="376"/>
      <c r="O512" s="376"/>
      <c r="P512" s="378"/>
      <c r="Q512" s="378"/>
      <c r="R512" s="378"/>
      <c r="S512" s="378"/>
      <c r="T512" s="378"/>
      <c r="U512" s="378"/>
      <c r="V512" s="533"/>
      <c r="W512" s="378"/>
      <c r="X512" s="378"/>
      <c r="Y512" s="378">
        <f>IF(NFI_Expiration=1,IF($A512&lt;VLOOKUP(H$5,NFI,5,0),1,0)*Table_NFI[[#This Row],[Hygiene Kit]],Table_NFI[Hygiene Kit])</f>
        <v>0</v>
      </c>
      <c r="Z512" s="378">
        <f>IF(NFI_Expiration=1,IF($A512&lt;VLOOKUP(I$5,NFI,5,0),1,0)*Table_NFI[[#This Row],[NFI Core Kit]],Table_NFI[NFI Core Kit])</f>
        <v>0</v>
      </c>
      <c r="AA512" s="378">
        <f>IF(NFI_Expiration=1,IF($A512&lt;VLOOKUP(J$5,NFI,5,0),1,0)*Table_NFI[[#This Row],[Sanitary Kit]],Table_NFI[Sanitary Kit])</f>
        <v>0</v>
      </c>
      <c r="AB512" s="378">
        <f>IF(NFI_Expiration=1,IF($A512&lt;VLOOKUP(K$5,NFI,5,0),1,0)*Table_NFI[[#This Row],[Mosquito net]],Table_NFI[Mosquito net])</f>
        <v>0</v>
      </c>
      <c r="AC512" s="378">
        <f>IF(NFI_Expiration=1,IF($A512&lt;VLOOKUP(L$5,NFI,5,0),1,0)*Table_NFI[[#This Row],[Tarpaulin]],Table_NFI[[#This Row],[Tarpaulin]])</f>
        <v>0</v>
      </c>
      <c r="AD512" s="378">
        <f>IF(NFI_Expiration=1,IF($A512&lt;VLOOKUP(M$5,NFI,5,0),1,0)*Table_NFI[[#This Row],[Blanket]],Table_NFI[[#This Row],[Blanket]])</f>
        <v>0</v>
      </c>
      <c r="AE512" s="378">
        <f>IF(NFI_Expiration=1,IF($A512&lt;VLOOKUP(N$5,NFI,5,0),1,0)*Table_NFI[[#This Row],[Kitchen Set]],Table_NFI[Kitchen Set])</f>
        <v>0</v>
      </c>
      <c r="AF512" s="378">
        <f>IF(NFI_Expiration=1,IF($A512&lt;VLOOKUP(O$5,NFI,5,0),1,0)*Table_NFI[[#This Row],[Clothes Kit]],Table_NFI[Clothes Kit])</f>
        <v>0</v>
      </c>
      <c r="AG512" s="378">
        <f>IF(NFI_Expiration=1,IF($A512&lt;VLOOKUP(P$5,NFI,5,0),1,0)*Table_NFI[[#This Row],[Plastic Bucket]],Table_NFI[Plastic Bucket])</f>
        <v>0</v>
      </c>
      <c r="AH512" s="378">
        <f>IF(NFI_Expiration=1,IF($A512&lt;VLOOKUP(Q$5,NFI,5,0),1,0)*Table_NFI[[#This Row],[Plastic Mat]],Table_NFI[Plastic Mat])*IF(Table_NFI[[#This Row],[Distribution Date]]&gt;"2014-04-01",1,2.5)</f>
        <v>0</v>
      </c>
      <c r="AI512" s="378">
        <f>IF(NFI_Expiration=1,IF($A512&lt;VLOOKUP(R$5,NFI,5,0),1,0)*Table_NFI[[#This Row],[Winter Clothes Adult]],Table_NFI[Winter Clothes Adult])</f>
        <v>0</v>
      </c>
      <c r="AJ512" s="378">
        <f>IF(NFI_Expiration=1,IF($A512&lt;VLOOKUP(S$5,NFI,5,0),1,0)*Table_NFI[[#This Row],[Winter Clothes Children]],Table_NFI[Winter Clothes Children])</f>
        <v>0</v>
      </c>
      <c r="AK512" s="378">
        <f>IF(NFI_Expiration=1,IF($A512&lt;VLOOKUP(T$5,NFI,5,0),1,0)*Table_NFI[[#This Row],[Winter Items Other]],Table_NFI[Winter Items Other])</f>
        <v>0</v>
      </c>
      <c r="AL512" s="378">
        <f>IF(NFI_Expiration=1,IF($A512&lt;VLOOKUP(M$5,NFI,5,0),1,0)*Table_NFI[[#This Row],[Winter Blanket]],Table_NFI[[#This Row],[Winter Blanket]])</f>
        <v>0</v>
      </c>
      <c r="AM512" s="378">
        <f>IF(Table_NFI[[#This Row],[Winter Clothes Adult]]+Table_NFI[[#This Row],[Winter Clothes Children]]+Table_NFI[[#This Row],[Winter Items Other]]+Table_NFI[[#This Row],[Winter Blanket]]&gt;0,1,0)</f>
        <v>0</v>
      </c>
      <c r="AN512" s="418">
        <f>IF(NFI_Expiration=1,IF($A512&lt;VLOOKUP(V$5,NFI,5,0),1,0)*Table_NFI[[#This Row],[Jerry Can]],Table_NFI[Jerry Can])</f>
        <v>0</v>
      </c>
      <c r="AO512" s="579" t="str">
        <f>IFERROR(VLOOKUP(Table_NFI[[#This Row],[Camp Name]],CL,2,0),"")</f>
        <v>MMR001CMP056</v>
      </c>
      <c r="AP512" s="574">
        <f ca="1">IF(Table_NFI[[#This Row],[Pcode]]="","",IF(OFFSET(CampList[Opening Date],MATCH(Table_NFI[[#This Row],[Pcode]],CampList[CP_Pcode],0)-1,0,1,1)&gt;=NFI_Monitor_Date,1,0))</f>
        <v>0</v>
      </c>
      <c r="AQ512" s="579" t="str">
        <f>IFERROR(VLOOKUP(Table_NFI[[#This Row],[Camp Name]],CL,3,0),"")</f>
        <v>Open</v>
      </c>
      <c r="AR512" s="378" t="str">
        <f ca="1">IF(Table_NFI[[#This Row],[Pcode]]="","",OFFSET(CampList[Priority],MATCH(Table_NFI[[#This Row],[Pcode]],CampList[CP_Pcode],0)-1,0,1,1))</f>
        <v>P4</v>
      </c>
      <c r="AS512" s="377">
        <f>IFERROR(Table_NFI[[#This Row],[Kitchen Set]]/VLOOKUP(Table_NFI[[#This Row],[Camp Name]],CL,4,0),"")</f>
        <v>0</v>
      </c>
      <c r="AT512" s="572" t="s">
        <v>1095</v>
      </c>
      <c r="AU512" s="575"/>
    </row>
    <row r="513" spans="1:47" s="576" customFormat="1" x14ac:dyDescent="0.25">
      <c r="A513" s="381">
        <f t="shared" si="7"/>
        <v>22.7</v>
      </c>
      <c r="B513" s="571">
        <v>41841</v>
      </c>
      <c r="C513" s="572" t="s">
        <v>454</v>
      </c>
      <c r="D513" s="572"/>
      <c r="E513" s="572" t="s">
        <v>380</v>
      </c>
      <c r="F513" s="572" t="s">
        <v>185</v>
      </c>
      <c r="G513" s="572" t="s">
        <v>209</v>
      </c>
      <c r="H513" s="375"/>
      <c r="I513" s="375"/>
      <c r="J513" s="375"/>
      <c r="K513" s="375"/>
      <c r="L513" s="376">
        <v>75</v>
      </c>
      <c r="M513" s="376"/>
      <c r="N513" s="376"/>
      <c r="O513" s="376"/>
      <c r="P513" s="378"/>
      <c r="Q513" s="378"/>
      <c r="R513" s="378"/>
      <c r="S513" s="378"/>
      <c r="T513" s="378"/>
      <c r="U513" s="378"/>
      <c r="V513" s="533"/>
      <c r="W513" s="378"/>
      <c r="X513" s="378"/>
      <c r="Y513" s="378">
        <f>IF(NFI_Expiration=1,IF($A513&lt;VLOOKUP(H$5,NFI,5,0),1,0)*Table_NFI[[#This Row],[Hygiene Kit]],Table_NFI[Hygiene Kit])</f>
        <v>0</v>
      </c>
      <c r="Z513" s="378">
        <f>IF(NFI_Expiration=1,IF($A513&lt;VLOOKUP(I$5,NFI,5,0),1,0)*Table_NFI[[#This Row],[NFI Core Kit]],Table_NFI[NFI Core Kit])</f>
        <v>0</v>
      </c>
      <c r="AA513" s="378">
        <f>IF(NFI_Expiration=1,IF($A513&lt;VLOOKUP(J$5,NFI,5,0),1,0)*Table_NFI[[#This Row],[Sanitary Kit]],Table_NFI[Sanitary Kit])</f>
        <v>0</v>
      </c>
      <c r="AB513" s="378">
        <f>IF(NFI_Expiration=1,IF($A513&lt;VLOOKUP(K$5,NFI,5,0),1,0)*Table_NFI[[#This Row],[Mosquito net]],Table_NFI[Mosquito net])</f>
        <v>0</v>
      </c>
      <c r="AC513" s="378">
        <f>IF(NFI_Expiration=1,IF($A513&lt;VLOOKUP(L$5,NFI,5,0),1,0)*Table_NFI[[#This Row],[Tarpaulin]],Table_NFI[[#This Row],[Tarpaulin]])</f>
        <v>0</v>
      </c>
      <c r="AD513" s="378">
        <f>IF(NFI_Expiration=1,IF($A513&lt;VLOOKUP(M$5,NFI,5,0),1,0)*Table_NFI[[#This Row],[Blanket]],Table_NFI[[#This Row],[Blanket]])</f>
        <v>0</v>
      </c>
      <c r="AE513" s="378">
        <f>IF(NFI_Expiration=1,IF($A513&lt;VLOOKUP(N$5,NFI,5,0),1,0)*Table_NFI[[#This Row],[Kitchen Set]],Table_NFI[Kitchen Set])</f>
        <v>0</v>
      </c>
      <c r="AF513" s="378">
        <f>IF(NFI_Expiration=1,IF($A513&lt;VLOOKUP(O$5,NFI,5,0),1,0)*Table_NFI[[#This Row],[Clothes Kit]],Table_NFI[Clothes Kit])</f>
        <v>0</v>
      </c>
      <c r="AG513" s="378">
        <f>IF(NFI_Expiration=1,IF($A513&lt;VLOOKUP(P$5,NFI,5,0),1,0)*Table_NFI[[#This Row],[Plastic Bucket]],Table_NFI[Plastic Bucket])</f>
        <v>0</v>
      </c>
      <c r="AH513" s="378">
        <f>IF(NFI_Expiration=1,IF($A513&lt;VLOOKUP(Q$5,NFI,5,0),1,0)*Table_NFI[[#This Row],[Plastic Mat]],Table_NFI[Plastic Mat])*IF(Table_NFI[[#This Row],[Distribution Date]]&gt;"2014-04-01",1,2.5)</f>
        <v>0</v>
      </c>
      <c r="AI513" s="378">
        <f>IF(NFI_Expiration=1,IF($A513&lt;VLOOKUP(R$5,NFI,5,0),1,0)*Table_NFI[[#This Row],[Winter Clothes Adult]],Table_NFI[Winter Clothes Adult])</f>
        <v>0</v>
      </c>
      <c r="AJ513" s="378">
        <f>IF(NFI_Expiration=1,IF($A513&lt;VLOOKUP(S$5,NFI,5,0),1,0)*Table_NFI[[#This Row],[Winter Clothes Children]],Table_NFI[Winter Clothes Children])</f>
        <v>0</v>
      </c>
      <c r="AK513" s="378">
        <f>IF(NFI_Expiration=1,IF($A513&lt;VLOOKUP(T$5,NFI,5,0),1,0)*Table_NFI[[#This Row],[Winter Items Other]],Table_NFI[Winter Items Other])</f>
        <v>0</v>
      </c>
      <c r="AL513" s="378">
        <f>IF(NFI_Expiration=1,IF($A513&lt;VLOOKUP(M$5,NFI,5,0),1,0)*Table_NFI[[#This Row],[Winter Blanket]],Table_NFI[[#This Row],[Winter Blanket]])</f>
        <v>0</v>
      </c>
      <c r="AM513" s="378">
        <f>IF(Table_NFI[[#This Row],[Winter Clothes Adult]]+Table_NFI[[#This Row],[Winter Clothes Children]]+Table_NFI[[#This Row],[Winter Items Other]]+Table_NFI[[#This Row],[Winter Blanket]]&gt;0,1,0)</f>
        <v>0</v>
      </c>
      <c r="AN513" s="418">
        <f>IF(NFI_Expiration=1,IF($A513&lt;VLOOKUP(V$5,NFI,5,0),1,0)*Table_NFI[[#This Row],[Jerry Can]],Table_NFI[Jerry Can])</f>
        <v>0</v>
      </c>
      <c r="AO513" s="579" t="str">
        <f>IFERROR(VLOOKUP(Table_NFI[[#This Row],[Camp Name]],CL,2,0),"")</f>
        <v>MMR001CMP056</v>
      </c>
      <c r="AP513" s="574">
        <f ca="1">IF(Table_NFI[[#This Row],[Pcode]]="","",IF(OFFSET(CampList[Opening Date],MATCH(Table_NFI[[#This Row],[Pcode]],CampList[CP_Pcode],0)-1,0,1,1)&gt;=NFI_Monitor_Date,1,0))</f>
        <v>0</v>
      </c>
      <c r="AQ513" s="579" t="str">
        <f>IFERROR(VLOOKUP(Table_NFI[[#This Row],[Camp Name]],CL,3,0),"")</f>
        <v>Open</v>
      </c>
      <c r="AR513" s="378" t="str">
        <f ca="1">IF(Table_NFI[[#This Row],[Pcode]]="","",OFFSET(CampList[Priority],MATCH(Table_NFI[[#This Row],[Pcode]],CampList[CP_Pcode],0)-1,0,1,1))</f>
        <v>P4</v>
      </c>
      <c r="AS513" s="377">
        <f>IFERROR(Table_NFI[[#This Row],[Kitchen Set]]/VLOOKUP(Table_NFI[[#This Row],[Camp Name]],CL,4,0),"")</f>
        <v>0</v>
      </c>
      <c r="AT513" s="572"/>
      <c r="AU513" s="575"/>
    </row>
    <row r="514" spans="1:47" s="576" customFormat="1" x14ac:dyDescent="0.25">
      <c r="A514" s="381">
        <f t="shared" si="7"/>
        <v>23.566666666666666</v>
      </c>
      <c r="B514" s="571">
        <v>41815</v>
      </c>
      <c r="C514" s="572" t="s">
        <v>1107</v>
      </c>
      <c r="D514" s="572" t="s">
        <v>903</v>
      </c>
      <c r="E514" s="572" t="s">
        <v>380</v>
      </c>
      <c r="F514" s="572" t="s">
        <v>185</v>
      </c>
      <c r="G514" s="572" t="s">
        <v>209</v>
      </c>
      <c r="H514" s="375"/>
      <c r="I514" s="375"/>
      <c r="J514" s="375"/>
      <c r="K514" s="375"/>
      <c r="L514" s="376"/>
      <c r="M514" s="376"/>
      <c r="N514" s="376"/>
      <c r="O514" s="376"/>
      <c r="P514" s="378"/>
      <c r="Q514" s="378"/>
      <c r="R514" s="378"/>
      <c r="S514" s="378"/>
      <c r="T514" s="378"/>
      <c r="U514" s="378">
        <v>832</v>
      </c>
      <c r="V514" s="533"/>
      <c r="W514" s="378"/>
      <c r="X514" s="378"/>
      <c r="Y514" s="378">
        <f>IF(NFI_Expiration=1,IF($A514&lt;VLOOKUP(H$5,NFI,5,0),1,0)*Table_NFI[[#This Row],[Hygiene Kit]],Table_NFI[Hygiene Kit])</f>
        <v>0</v>
      </c>
      <c r="Z514" s="378">
        <f>IF(NFI_Expiration=1,IF($A514&lt;VLOOKUP(I$5,NFI,5,0),1,0)*Table_NFI[[#This Row],[NFI Core Kit]],Table_NFI[NFI Core Kit])</f>
        <v>0</v>
      </c>
      <c r="AA514" s="378">
        <f>IF(NFI_Expiration=1,IF($A514&lt;VLOOKUP(J$5,NFI,5,0),1,0)*Table_NFI[[#This Row],[Sanitary Kit]],Table_NFI[Sanitary Kit])</f>
        <v>0</v>
      </c>
      <c r="AB514" s="378">
        <f>IF(NFI_Expiration=1,IF($A514&lt;VLOOKUP(K$5,NFI,5,0),1,0)*Table_NFI[[#This Row],[Mosquito net]],Table_NFI[Mosquito net])</f>
        <v>0</v>
      </c>
      <c r="AC514" s="378">
        <f>IF(NFI_Expiration=1,IF($A514&lt;VLOOKUP(L$5,NFI,5,0),1,0)*Table_NFI[[#This Row],[Tarpaulin]],Table_NFI[[#This Row],[Tarpaulin]])</f>
        <v>0</v>
      </c>
      <c r="AD514" s="378">
        <f>IF(NFI_Expiration=1,IF($A514&lt;VLOOKUP(M$5,NFI,5,0),1,0)*Table_NFI[[#This Row],[Blanket]],Table_NFI[[#This Row],[Blanket]])</f>
        <v>0</v>
      </c>
      <c r="AE514" s="378">
        <f>IF(NFI_Expiration=1,IF($A514&lt;VLOOKUP(N$5,NFI,5,0),1,0)*Table_NFI[[#This Row],[Kitchen Set]],Table_NFI[Kitchen Set])</f>
        <v>0</v>
      </c>
      <c r="AF514" s="378">
        <f>IF(NFI_Expiration=1,IF($A514&lt;VLOOKUP(O$5,NFI,5,0),1,0)*Table_NFI[[#This Row],[Clothes Kit]],Table_NFI[Clothes Kit])</f>
        <v>0</v>
      </c>
      <c r="AG514" s="378">
        <f>IF(NFI_Expiration=1,IF($A514&lt;VLOOKUP(P$5,NFI,5,0),1,0)*Table_NFI[[#This Row],[Plastic Bucket]],Table_NFI[Plastic Bucket])</f>
        <v>0</v>
      </c>
      <c r="AH514" s="378">
        <f>IF(NFI_Expiration=1,IF($A514&lt;VLOOKUP(Q$5,NFI,5,0),1,0)*Table_NFI[[#This Row],[Plastic Mat]],Table_NFI[Plastic Mat])*IF(Table_NFI[[#This Row],[Distribution Date]]&gt;"2014-04-01",1,2.5)</f>
        <v>0</v>
      </c>
      <c r="AI514" s="378">
        <f>IF(NFI_Expiration=1,IF($A514&lt;VLOOKUP(R$5,NFI,5,0),1,0)*Table_NFI[[#This Row],[Winter Clothes Adult]],Table_NFI[Winter Clothes Adult])</f>
        <v>0</v>
      </c>
      <c r="AJ514" s="378">
        <f>IF(NFI_Expiration=1,IF($A514&lt;VLOOKUP(S$5,NFI,5,0),1,0)*Table_NFI[[#This Row],[Winter Clothes Children]],Table_NFI[Winter Clothes Children])</f>
        <v>0</v>
      </c>
      <c r="AK514" s="378">
        <f>IF(NFI_Expiration=1,IF($A514&lt;VLOOKUP(T$5,NFI,5,0),1,0)*Table_NFI[[#This Row],[Winter Items Other]],Table_NFI[Winter Items Other])</f>
        <v>0</v>
      </c>
      <c r="AL514" s="378">
        <f>IF(NFI_Expiration=1,IF($A514&lt;VLOOKUP(M$5,NFI,5,0),1,0)*Table_NFI[[#This Row],[Winter Blanket]],Table_NFI[[#This Row],[Winter Blanket]])</f>
        <v>0</v>
      </c>
      <c r="AM514" s="378">
        <f>IF(Table_NFI[[#This Row],[Winter Clothes Adult]]+Table_NFI[[#This Row],[Winter Clothes Children]]+Table_NFI[[#This Row],[Winter Items Other]]+Table_NFI[[#This Row],[Winter Blanket]]&gt;0,1,0)</f>
        <v>1</v>
      </c>
      <c r="AN514" s="418">
        <f>IF(NFI_Expiration=1,IF($A514&lt;VLOOKUP(V$5,NFI,5,0),1,0)*Table_NFI[[#This Row],[Jerry Can]],Table_NFI[Jerry Can])</f>
        <v>0</v>
      </c>
      <c r="AO514" s="579" t="str">
        <f>IFERROR(VLOOKUP(Table_NFI[[#This Row],[Camp Name]],CL,2,0),"")</f>
        <v>MMR001CMP056</v>
      </c>
      <c r="AP514" s="574">
        <f ca="1">IF(Table_NFI[[#This Row],[Pcode]]="","",IF(OFFSET(CampList[Opening Date],MATCH(Table_NFI[[#This Row],[Pcode]],CampList[CP_Pcode],0)-1,0,1,1)&gt;=NFI_Monitor_Date,1,0))</f>
        <v>0</v>
      </c>
      <c r="AQ514" s="579" t="str">
        <f>IFERROR(VLOOKUP(Table_NFI[[#This Row],[Camp Name]],CL,3,0),"")</f>
        <v>Open</v>
      </c>
      <c r="AR514" s="378" t="str">
        <f ca="1">IF(Table_NFI[[#This Row],[Pcode]]="","",OFFSET(CampList[Priority],MATCH(Table_NFI[[#This Row],[Pcode]],CampList[CP_Pcode],0)-1,0,1,1))</f>
        <v>P4</v>
      </c>
      <c r="AS514" s="377">
        <f>IFERROR(Table_NFI[[#This Row],[Kitchen Set]]/VLOOKUP(Table_NFI[[#This Row],[Camp Name]],CL,4,0),"")</f>
        <v>0</v>
      </c>
      <c r="AT514" s="572"/>
      <c r="AU514" s="575"/>
    </row>
    <row r="515" spans="1:47" s="576" customFormat="1" x14ac:dyDescent="0.25">
      <c r="A515" s="381">
        <f t="shared" si="7"/>
        <v>24.266666666666666</v>
      </c>
      <c r="B515" s="571">
        <v>41794</v>
      </c>
      <c r="C515" s="572" t="s">
        <v>454</v>
      </c>
      <c r="D515" s="572" t="s">
        <v>462</v>
      </c>
      <c r="E515" s="572" t="s">
        <v>380</v>
      </c>
      <c r="F515" s="572" t="s">
        <v>185</v>
      </c>
      <c r="G515" s="572" t="s">
        <v>209</v>
      </c>
      <c r="H515" s="375"/>
      <c r="I515" s="375"/>
      <c r="J515" s="375"/>
      <c r="K515" s="375"/>
      <c r="L515" s="376">
        <v>80</v>
      </c>
      <c r="M515" s="376"/>
      <c r="N515" s="376"/>
      <c r="O515" s="376"/>
      <c r="P515" s="378"/>
      <c r="Q515" s="378"/>
      <c r="R515" s="378"/>
      <c r="S515" s="378"/>
      <c r="T515" s="378"/>
      <c r="U515" s="378"/>
      <c r="V515" s="533"/>
      <c r="W515" s="378"/>
      <c r="X515" s="378"/>
      <c r="Y515" s="378">
        <f>IF(NFI_Expiration=1,IF($A515&lt;VLOOKUP(H$5,NFI,5,0),1,0)*Table_NFI[[#This Row],[Hygiene Kit]],Table_NFI[Hygiene Kit])</f>
        <v>0</v>
      </c>
      <c r="Z515" s="378">
        <f>IF(NFI_Expiration=1,IF($A515&lt;VLOOKUP(I$5,NFI,5,0),1,0)*Table_NFI[[#This Row],[NFI Core Kit]],Table_NFI[NFI Core Kit])</f>
        <v>0</v>
      </c>
      <c r="AA515" s="378">
        <f>IF(NFI_Expiration=1,IF($A515&lt;VLOOKUP(J$5,NFI,5,0),1,0)*Table_NFI[[#This Row],[Sanitary Kit]],Table_NFI[Sanitary Kit])</f>
        <v>0</v>
      </c>
      <c r="AB515" s="378">
        <f>IF(NFI_Expiration=1,IF($A515&lt;VLOOKUP(K$5,NFI,5,0),1,0)*Table_NFI[[#This Row],[Mosquito net]],Table_NFI[Mosquito net])</f>
        <v>0</v>
      </c>
      <c r="AC515" s="378">
        <f>IF(NFI_Expiration=1,IF($A515&lt;VLOOKUP(L$5,NFI,5,0),1,0)*Table_NFI[[#This Row],[Tarpaulin]],Table_NFI[[#This Row],[Tarpaulin]])</f>
        <v>0</v>
      </c>
      <c r="AD515" s="378">
        <f>IF(NFI_Expiration=1,IF($A515&lt;VLOOKUP(M$5,NFI,5,0),1,0)*Table_NFI[[#This Row],[Blanket]],Table_NFI[[#This Row],[Blanket]])</f>
        <v>0</v>
      </c>
      <c r="AE515" s="378">
        <f>IF(NFI_Expiration=1,IF($A515&lt;VLOOKUP(N$5,NFI,5,0),1,0)*Table_NFI[[#This Row],[Kitchen Set]],Table_NFI[Kitchen Set])</f>
        <v>0</v>
      </c>
      <c r="AF515" s="378">
        <f>IF(NFI_Expiration=1,IF($A515&lt;VLOOKUP(O$5,NFI,5,0),1,0)*Table_NFI[[#This Row],[Clothes Kit]],Table_NFI[Clothes Kit])</f>
        <v>0</v>
      </c>
      <c r="AG515" s="378">
        <f>IF(NFI_Expiration=1,IF($A515&lt;VLOOKUP(P$5,NFI,5,0),1,0)*Table_NFI[[#This Row],[Plastic Bucket]],Table_NFI[Plastic Bucket])</f>
        <v>0</v>
      </c>
      <c r="AH515" s="378">
        <f>IF(NFI_Expiration=1,IF($A515&lt;VLOOKUP(Q$5,NFI,5,0),1,0)*Table_NFI[[#This Row],[Plastic Mat]],Table_NFI[Plastic Mat])*IF(Table_NFI[[#This Row],[Distribution Date]]&gt;"2014-04-01",1,2.5)</f>
        <v>0</v>
      </c>
      <c r="AI515" s="378">
        <f>IF(NFI_Expiration=1,IF($A515&lt;VLOOKUP(R$5,NFI,5,0),1,0)*Table_NFI[[#This Row],[Winter Clothes Adult]],Table_NFI[Winter Clothes Adult])</f>
        <v>0</v>
      </c>
      <c r="AJ515" s="378">
        <f>IF(NFI_Expiration=1,IF($A515&lt;VLOOKUP(S$5,NFI,5,0),1,0)*Table_NFI[[#This Row],[Winter Clothes Children]],Table_NFI[Winter Clothes Children])</f>
        <v>0</v>
      </c>
      <c r="AK515" s="378">
        <f>IF(NFI_Expiration=1,IF($A515&lt;VLOOKUP(T$5,NFI,5,0),1,0)*Table_NFI[[#This Row],[Winter Items Other]],Table_NFI[Winter Items Other])</f>
        <v>0</v>
      </c>
      <c r="AL515" s="378">
        <f>IF(NFI_Expiration=1,IF($A515&lt;VLOOKUP(M$5,NFI,5,0),1,0)*Table_NFI[[#This Row],[Winter Blanket]],Table_NFI[[#This Row],[Winter Blanket]])</f>
        <v>0</v>
      </c>
      <c r="AM515" s="378">
        <f>IF(Table_NFI[[#This Row],[Winter Clothes Adult]]+Table_NFI[[#This Row],[Winter Clothes Children]]+Table_NFI[[#This Row],[Winter Items Other]]+Table_NFI[[#This Row],[Winter Blanket]]&gt;0,1,0)</f>
        <v>0</v>
      </c>
      <c r="AN515" s="418">
        <f>IF(NFI_Expiration=1,IF($A515&lt;VLOOKUP(V$5,NFI,5,0),1,0)*Table_NFI[[#This Row],[Jerry Can]],Table_NFI[Jerry Can])</f>
        <v>0</v>
      </c>
      <c r="AO515" s="579" t="str">
        <f>IFERROR(VLOOKUP(Table_NFI[[#This Row],[Camp Name]],CL,2,0),"")</f>
        <v>MMR001CMP056</v>
      </c>
      <c r="AP515" s="574">
        <f ca="1">IF(Table_NFI[[#This Row],[Pcode]]="","",IF(OFFSET(CampList[Opening Date],MATCH(Table_NFI[[#This Row],[Pcode]],CampList[CP_Pcode],0)-1,0,1,1)&gt;=NFI_Monitor_Date,1,0))</f>
        <v>0</v>
      </c>
      <c r="AQ515" s="579" t="str">
        <f>IFERROR(VLOOKUP(Table_NFI[[#This Row],[Camp Name]],CL,3,0),"")</f>
        <v>Open</v>
      </c>
      <c r="AR515" s="378" t="str">
        <f ca="1">IF(Table_NFI[[#This Row],[Pcode]]="","",OFFSET(CampList[Priority],MATCH(Table_NFI[[#This Row],[Pcode]],CampList[CP_Pcode],0)-1,0,1,1))</f>
        <v>P4</v>
      </c>
      <c r="AS515" s="377">
        <f>IFERROR(Table_NFI[[#This Row],[Kitchen Set]]/VLOOKUP(Table_NFI[[#This Row],[Camp Name]],CL,4,0),"")</f>
        <v>0</v>
      </c>
      <c r="AT515" s="572" t="s">
        <v>1095</v>
      </c>
      <c r="AU515" s="575"/>
    </row>
    <row r="516" spans="1:47" s="576" customFormat="1" x14ac:dyDescent="0.25">
      <c r="A516" s="381">
        <f t="shared" si="7"/>
        <v>24.966666666666665</v>
      </c>
      <c r="B516" s="571">
        <v>41773</v>
      </c>
      <c r="C516" s="572" t="s">
        <v>454</v>
      </c>
      <c r="D516" s="572" t="s">
        <v>454</v>
      </c>
      <c r="E516" s="572" t="s">
        <v>380</v>
      </c>
      <c r="F516" s="572" t="s">
        <v>185</v>
      </c>
      <c r="G516" s="572" t="s">
        <v>209</v>
      </c>
      <c r="H516" s="375"/>
      <c r="I516" s="375"/>
      <c r="J516" s="375">
        <v>5</v>
      </c>
      <c r="K516" s="375">
        <v>6</v>
      </c>
      <c r="L516" s="376">
        <v>32</v>
      </c>
      <c r="M516" s="376">
        <v>6</v>
      </c>
      <c r="N516" s="376">
        <v>2</v>
      </c>
      <c r="O516" s="376">
        <v>2</v>
      </c>
      <c r="P516" s="378">
        <v>2</v>
      </c>
      <c r="Q516" s="378">
        <v>10</v>
      </c>
      <c r="R516" s="378"/>
      <c r="S516" s="378"/>
      <c r="T516" s="378"/>
      <c r="U516" s="378"/>
      <c r="V516" s="533"/>
      <c r="W516" s="378"/>
      <c r="X516" s="378"/>
      <c r="Y516" s="378">
        <f>IF(NFI_Expiration=1,IF($A516&lt;VLOOKUP(H$5,NFI,5,0),1,0)*Table_NFI[[#This Row],[Hygiene Kit]],Table_NFI[Hygiene Kit])</f>
        <v>0</v>
      </c>
      <c r="Z516" s="378">
        <f>IF(NFI_Expiration=1,IF($A516&lt;VLOOKUP(I$5,NFI,5,0),1,0)*Table_NFI[[#This Row],[NFI Core Kit]],Table_NFI[NFI Core Kit])</f>
        <v>0</v>
      </c>
      <c r="AA516" s="378">
        <f>IF(NFI_Expiration=1,IF($A516&lt;VLOOKUP(J$5,NFI,5,0),1,0)*Table_NFI[[#This Row],[Sanitary Kit]],Table_NFI[Sanitary Kit])</f>
        <v>0</v>
      </c>
      <c r="AB516" s="378">
        <f>IF(NFI_Expiration=1,IF($A516&lt;VLOOKUP(K$5,NFI,5,0),1,0)*Table_NFI[[#This Row],[Mosquito net]],Table_NFI[Mosquito net])</f>
        <v>0</v>
      </c>
      <c r="AC516" s="378">
        <f>IF(NFI_Expiration=1,IF($A516&lt;VLOOKUP(L$5,NFI,5,0),1,0)*Table_NFI[[#This Row],[Tarpaulin]],Table_NFI[[#This Row],[Tarpaulin]])</f>
        <v>0</v>
      </c>
      <c r="AD516" s="378">
        <f>IF(NFI_Expiration=1,IF($A516&lt;VLOOKUP(M$5,NFI,5,0),1,0)*Table_NFI[[#This Row],[Blanket]],Table_NFI[[#This Row],[Blanket]])</f>
        <v>0</v>
      </c>
      <c r="AE516" s="378">
        <f>IF(NFI_Expiration=1,IF($A516&lt;VLOOKUP(N$5,NFI,5,0),1,0)*Table_NFI[[#This Row],[Kitchen Set]],Table_NFI[Kitchen Set])</f>
        <v>0</v>
      </c>
      <c r="AF516" s="378">
        <f>IF(NFI_Expiration=1,IF($A516&lt;VLOOKUP(O$5,NFI,5,0),1,0)*Table_NFI[[#This Row],[Clothes Kit]],Table_NFI[Clothes Kit])</f>
        <v>0</v>
      </c>
      <c r="AG516" s="378">
        <f>IF(NFI_Expiration=1,IF($A516&lt;VLOOKUP(P$5,NFI,5,0),1,0)*Table_NFI[[#This Row],[Plastic Bucket]],Table_NFI[Plastic Bucket])</f>
        <v>0</v>
      </c>
      <c r="AH516" s="378">
        <f>IF(NFI_Expiration=1,IF($A516&lt;VLOOKUP(Q$5,NFI,5,0),1,0)*Table_NFI[[#This Row],[Plastic Mat]],Table_NFI[Plastic Mat])*IF(Table_NFI[[#This Row],[Distribution Date]]&gt;"2014-04-01",1,2.5)</f>
        <v>0</v>
      </c>
      <c r="AI516" s="378">
        <f>IF(NFI_Expiration=1,IF($A516&lt;VLOOKUP(R$5,NFI,5,0),1,0)*Table_NFI[[#This Row],[Winter Clothes Adult]],Table_NFI[Winter Clothes Adult])</f>
        <v>0</v>
      </c>
      <c r="AJ516" s="378">
        <f>IF(NFI_Expiration=1,IF($A516&lt;VLOOKUP(S$5,NFI,5,0),1,0)*Table_NFI[[#This Row],[Winter Clothes Children]],Table_NFI[Winter Clothes Children])</f>
        <v>0</v>
      </c>
      <c r="AK516" s="378">
        <f>IF(NFI_Expiration=1,IF($A516&lt;VLOOKUP(T$5,NFI,5,0),1,0)*Table_NFI[[#This Row],[Winter Items Other]],Table_NFI[Winter Items Other])</f>
        <v>0</v>
      </c>
      <c r="AL516" s="378">
        <f>IF(NFI_Expiration=1,IF($A516&lt;VLOOKUP(M$5,NFI,5,0),1,0)*Table_NFI[[#This Row],[Winter Blanket]],Table_NFI[[#This Row],[Winter Blanket]])</f>
        <v>0</v>
      </c>
      <c r="AM516" s="378">
        <f>IF(Table_NFI[[#This Row],[Winter Clothes Adult]]+Table_NFI[[#This Row],[Winter Clothes Children]]+Table_NFI[[#This Row],[Winter Items Other]]+Table_NFI[[#This Row],[Winter Blanket]]&gt;0,1,0)</f>
        <v>0</v>
      </c>
      <c r="AN516" s="418">
        <f>IF(NFI_Expiration=1,IF($A516&lt;VLOOKUP(V$5,NFI,5,0),1,0)*Table_NFI[[#This Row],[Jerry Can]],Table_NFI[Jerry Can])</f>
        <v>0</v>
      </c>
      <c r="AO516" s="579" t="str">
        <f>IFERROR(VLOOKUP(Table_NFI[[#This Row],[Camp Name]],CL,2,0),"")</f>
        <v>MMR001CMP056</v>
      </c>
      <c r="AP516" s="574">
        <f ca="1">IF(Table_NFI[[#This Row],[Pcode]]="","",IF(OFFSET(CampList[Opening Date],MATCH(Table_NFI[[#This Row],[Pcode]],CampList[CP_Pcode],0)-1,0,1,1)&gt;=NFI_Monitor_Date,1,0))</f>
        <v>0</v>
      </c>
      <c r="AQ516" s="579" t="str">
        <f>IFERROR(VLOOKUP(Table_NFI[[#This Row],[Camp Name]],CL,3,0),"")</f>
        <v>Open</v>
      </c>
      <c r="AR516" s="378" t="str">
        <f ca="1">IF(Table_NFI[[#This Row],[Pcode]]="","",OFFSET(CampList[Priority],MATCH(Table_NFI[[#This Row],[Pcode]],CampList[CP_Pcode],0)-1,0,1,1))</f>
        <v>P4</v>
      </c>
      <c r="AS516" s="377">
        <f>IFERROR(Table_NFI[[#This Row],[Kitchen Set]]/VLOOKUP(Table_NFI[[#This Row],[Camp Name]],CL,4,0),"")</f>
        <v>8.8495575221238937E-3</v>
      </c>
      <c r="AT516" s="572" t="s">
        <v>1095</v>
      </c>
      <c r="AU516" s="575"/>
    </row>
    <row r="517" spans="1:47" s="576" customFormat="1" x14ac:dyDescent="0.25">
      <c r="A517" s="381">
        <f t="shared" si="7"/>
        <v>25.733333333333334</v>
      </c>
      <c r="B517" s="571">
        <v>41750</v>
      </c>
      <c r="C517" s="572" t="s">
        <v>454</v>
      </c>
      <c r="D517" s="572" t="s">
        <v>454</v>
      </c>
      <c r="E517" s="572" t="s">
        <v>380</v>
      </c>
      <c r="F517" s="572" t="s">
        <v>185</v>
      </c>
      <c r="G517" s="572" t="s">
        <v>209</v>
      </c>
      <c r="H517" s="375"/>
      <c r="I517" s="375"/>
      <c r="J517" s="375">
        <v>15</v>
      </c>
      <c r="K517" s="375">
        <v>16</v>
      </c>
      <c r="L517" s="376">
        <v>50</v>
      </c>
      <c r="M517" s="376">
        <v>16</v>
      </c>
      <c r="N517" s="376">
        <v>7</v>
      </c>
      <c r="O517" s="376">
        <v>7</v>
      </c>
      <c r="P517" s="378">
        <v>7</v>
      </c>
      <c r="Q517" s="378">
        <v>13</v>
      </c>
      <c r="R517" s="378"/>
      <c r="S517" s="378"/>
      <c r="T517" s="378"/>
      <c r="U517" s="378"/>
      <c r="V517" s="533"/>
      <c r="W517" s="378"/>
      <c r="X517" s="378"/>
      <c r="Y517" s="378">
        <f>IF(NFI_Expiration=1,IF($A517&lt;VLOOKUP(H$5,NFI,5,0),1,0)*Table_NFI[[#This Row],[Hygiene Kit]],Table_NFI[Hygiene Kit])</f>
        <v>0</v>
      </c>
      <c r="Z517" s="378">
        <f>IF(NFI_Expiration=1,IF($A517&lt;VLOOKUP(I$5,NFI,5,0),1,0)*Table_NFI[[#This Row],[NFI Core Kit]],Table_NFI[NFI Core Kit])</f>
        <v>0</v>
      </c>
      <c r="AA517" s="378">
        <f>IF(NFI_Expiration=1,IF($A517&lt;VLOOKUP(J$5,NFI,5,0),1,0)*Table_NFI[[#This Row],[Sanitary Kit]],Table_NFI[Sanitary Kit])</f>
        <v>0</v>
      </c>
      <c r="AB517" s="378">
        <f>IF(NFI_Expiration=1,IF($A517&lt;VLOOKUP(K$5,NFI,5,0),1,0)*Table_NFI[[#This Row],[Mosquito net]],Table_NFI[Mosquito net])</f>
        <v>0</v>
      </c>
      <c r="AC517" s="378">
        <f>IF(NFI_Expiration=1,IF($A517&lt;VLOOKUP(L$5,NFI,5,0),1,0)*Table_NFI[[#This Row],[Tarpaulin]],Table_NFI[[#This Row],[Tarpaulin]])</f>
        <v>0</v>
      </c>
      <c r="AD517" s="378">
        <f>IF(NFI_Expiration=1,IF($A517&lt;VLOOKUP(M$5,NFI,5,0),1,0)*Table_NFI[[#This Row],[Blanket]],Table_NFI[[#This Row],[Blanket]])</f>
        <v>0</v>
      </c>
      <c r="AE517" s="378">
        <f>IF(NFI_Expiration=1,IF($A517&lt;VLOOKUP(N$5,NFI,5,0),1,0)*Table_NFI[[#This Row],[Kitchen Set]],Table_NFI[Kitchen Set])</f>
        <v>0</v>
      </c>
      <c r="AF517" s="378">
        <f>IF(NFI_Expiration=1,IF($A517&lt;VLOOKUP(O$5,NFI,5,0),1,0)*Table_NFI[[#This Row],[Clothes Kit]],Table_NFI[Clothes Kit])</f>
        <v>0</v>
      </c>
      <c r="AG517" s="378">
        <f>IF(NFI_Expiration=1,IF($A517&lt;VLOOKUP(P$5,NFI,5,0),1,0)*Table_NFI[[#This Row],[Plastic Bucket]],Table_NFI[Plastic Bucket])</f>
        <v>0</v>
      </c>
      <c r="AH517" s="378">
        <f>IF(NFI_Expiration=1,IF($A517&lt;VLOOKUP(Q$5,NFI,5,0),1,0)*Table_NFI[[#This Row],[Plastic Mat]],Table_NFI[Plastic Mat])*IF(Table_NFI[[#This Row],[Distribution Date]]&gt;"2014-04-01",1,2.5)</f>
        <v>0</v>
      </c>
      <c r="AI517" s="378">
        <f>IF(NFI_Expiration=1,IF($A517&lt;VLOOKUP(R$5,NFI,5,0),1,0)*Table_NFI[[#This Row],[Winter Clothes Adult]],Table_NFI[Winter Clothes Adult])</f>
        <v>0</v>
      </c>
      <c r="AJ517" s="378">
        <f>IF(NFI_Expiration=1,IF($A517&lt;VLOOKUP(S$5,NFI,5,0),1,0)*Table_NFI[[#This Row],[Winter Clothes Children]],Table_NFI[Winter Clothes Children])</f>
        <v>0</v>
      </c>
      <c r="AK517" s="378">
        <f>IF(NFI_Expiration=1,IF($A517&lt;VLOOKUP(T$5,NFI,5,0),1,0)*Table_NFI[[#This Row],[Winter Items Other]],Table_NFI[Winter Items Other])</f>
        <v>0</v>
      </c>
      <c r="AL517" s="378">
        <f>IF(NFI_Expiration=1,IF($A517&lt;VLOOKUP(M$5,NFI,5,0),1,0)*Table_NFI[[#This Row],[Winter Blanket]],Table_NFI[[#This Row],[Winter Blanket]])</f>
        <v>0</v>
      </c>
      <c r="AM517" s="378">
        <f>IF(Table_NFI[[#This Row],[Winter Clothes Adult]]+Table_NFI[[#This Row],[Winter Clothes Children]]+Table_NFI[[#This Row],[Winter Items Other]]+Table_NFI[[#This Row],[Winter Blanket]]&gt;0,1,0)</f>
        <v>0</v>
      </c>
      <c r="AN517" s="418">
        <f>IF(NFI_Expiration=1,IF($A517&lt;VLOOKUP(V$5,NFI,5,0),1,0)*Table_NFI[[#This Row],[Jerry Can]],Table_NFI[Jerry Can])</f>
        <v>0</v>
      </c>
      <c r="AO517" s="579" t="str">
        <f>IFERROR(VLOOKUP(Table_NFI[[#This Row],[Camp Name]],CL,2,0),"")</f>
        <v>MMR001CMP056</v>
      </c>
      <c r="AP517" s="574">
        <f ca="1">IF(Table_NFI[[#This Row],[Pcode]]="","",IF(OFFSET(CampList[Opening Date],MATCH(Table_NFI[[#This Row],[Pcode]],CampList[CP_Pcode],0)-1,0,1,1)&gt;=NFI_Monitor_Date,1,0))</f>
        <v>0</v>
      </c>
      <c r="AQ517" s="579" t="str">
        <f>IFERROR(VLOOKUP(Table_NFI[[#This Row],[Camp Name]],CL,3,0),"")</f>
        <v>Open</v>
      </c>
      <c r="AR517" s="378" t="str">
        <f ca="1">IF(Table_NFI[[#This Row],[Pcode]]="","",OFFSET(CampList[Priority],MATCH(Table_NFI[[#This Row],[Pcode]],CampList[CP_Pcode],0)-1,0,1,1))</f>
        <v>P4</v>
      </c>
      <c r="AS517" s="377">
        <f>IFERROR(Table_NFI[[#This Row],[Kitchen Set]]/VLOOKUP(Table_NFI[[#This Row],[Camp Name]],CL,4,0),"")</f>
        <v>3.0973451327433628E-2</v>
      </c>
      <c r="AT517" s="572" t="s">
        <v>1095</v>
      </c>
      <c r="AU517" s="575"/>
    </row>
    <row r="518" spans="1:47" s="576" customFormat="1" x14ac:dyDescent="0.25">
      <c r="A518" s="381">
        <f t="shared" ref="A518:A581" si="8">IF(ISBLANK(B518),"",(Report_Date-B518)/30)</f>
        <v>25.866666666666667</v>
      </c>
      <c r="B518" s="571">
        <v>41746</v>
      </c>
      <c r="C518" s="572" t="s">
        <v>454</v>
      </c>
      <c r="D518" s="572" t="s">
        <v>454</v>
      </c>
      <c r="E518" s="572" t="s">
        <v>380</v>
      </c>
      <c r="F518" s="572" t="s">
        <v>185</v>
      </c>
      <c r="G518" s="572" t="s">
        <v>209</v>
      </c>
      <c r="H518" s="375"/>
      <c r="I518" s="375"/>
      <c r="J518" s="375"/>
      <c r="K518" s="375">
        <v>8</v>
      </c>
      <c r="L518" s="376">
        <v>4</v>
      </c>
      <c r="M518" s="376">
        <v>12</v>
      </c>
      <c r="N518" s="376">
        <v>4</v>
      </c>
      <c r="O518" s="376">
        <v>4</v>
      </c>
      <c r="P518" s="378">
        <v>4</v>
      </c>
      <c r="Q518" s="378">
        <v>41</v>
      </c>
      <c r="R518" s="378"/>
      <c r="S518" s="378"/>
      <c r="T518" s="378"/>
      <c r="U518" s="378"/>
      <c r="V518" s="533"/>
      <c r="W518" s="378"/>
      <c r="X518" s="378"/>
      <c r="Y518" s="378">
        <f>IF(NFI_Expiration=1,IF($A518&lt;VLOOKUP(H$5,NFI,5,0),1,0)*Table_NFI[[#This Row],[Hygiene Kit]],Table_NFI[Hygiene Kit])</f>
        <v>0</v>
      </c>
      <c r="Z518" s="378">
        <f>IF(NFI_Expiration=1,IF($A518&lt;VLOOKUP(I$5,NFI,5,0),1,0)*Table_NFI[[#This Row],[NFI Core Kit]],Table_NFI[NFI Core Kit])</f>
        <v>0</v>
      </c>
      <c r="AA518" s="378">
        <f>IF(NFI_Expiration=1,IF($A518&lt;VLOOKUP(J$5,NFI,5,0),1,0)*Table_NFI[[#This Row],[Sanitary Kit]],Table_NFI[Sanitary Kit])</f>
        <v>0</v>
      </c>
      <c r="AB518" s="378">
        <f>IF(NFI_Expiration=1,IF($A518&lt;VLOOKUP(K$5,NFI,5,0),1,0)*Table_NFI[[#This Row],[Mosquito net]],Table_NFI[Mosquito net])</f>
        <v>0</v>
      </c>
      <c r="AC518" s="378">
        <f>IF(NFI_Expiration=1,IF($A518&lt;VLOOKUP(L$5,NFI,5,0),1,0)*Table_NFI[[#This Row],[Tarpaulin]],Table_NFI[[#This Row],[Tarpaulin]])</f>
        <v>0</v>
      </c>
      <c r="AD518" s="378">
        <f>IF(NFI_Expiration=1,IF($A518&lt;VLOOKUP(M$5,NFI,5,0),1,0)*Table_NFI[[#This Row],[Blanket]],Table_NFI[[#This Row],[Blanket]])</f>
        <v>0</v>
      </c>
      <c r="AE518" s="378">
        <f>IF(NFI_Expiration=1,IF($A518&lt;VLOOKUP(N$5,NFI,5,0),1,0)*Table_NFI[[#This Row],[Kitchen Set]],Table_NFI[Kitchen Set])</f>
        <v>0</v>
      </c>
      <c r="AF518" s="378">
        <f>IF(NFI_Expiration=1,IF($A518&lt;VLOOKUP(O$5,NFI,5,0),1,0)*Table_NFI[[#This Row],[Clothes Kit]],Table_NFI[Clothes Kit])</f>
        <v>0</v>
      </c>
      <c r="AG518" s="378">
        <f>IF(NFI_Expiration=1,IF($A518&lt;VLOOKUP(P$5,NFI,5,0),1,0)*Table_NFI[[#This Row],[Plastic Bucket]],Table_NFI[Plastic Bucket])</f>
        <v>0</v>
      </c>
      <c r="AH518" s="378">
        <f>IF(NFI_Expiration=1,IF($A518&lt;VLOOKUP(Q$5,NFI,5,0),1,0)*Table_NFI[[#This Row],[Plastic Mat]],Table_NFI[Plastic Mat])*IF(Table_NFI[[#This Row],[Distribution Date]]&gt;"2014-04-01",1,2.5)</f>
        <v>0</v>
      </c>
      <c r="AI518" s="378">
        <f>IF(NFI_Expiration=1,IF($A518&lt;VLOOKUP(R$5,NFI,5,0),1,0)*Table_NFI[[#This Row],[Winter Clothes Adult]],Table_NFI[Winter Clothes Adult])</f>
        <v>0</v>
      </c>
      <c r="AJ518" s="378">
        <f>IF(NFI_Expiration=1,IF($A518&lt;VLOOKUP(S$5,NFI,5,0),1,0)*Table_NFI[[#This Row],[Winter Clothes Children]],Table_NFI[Winter Clothes Children])</f>
        <v>0</v>
      </c>
      <c r="AK518" s="378">
        <f>IF(NFI_Expiration=1,IF($A518&lt;VLOOKUP(T$5,NFI,5,0),1,0)*Table_NFI[[#This Row],[Winter Items Other]],Table_NFI[Winter Items Other])</f>
        <v>0</v>
      </c>
      <c r="AL518" s="378">
        <f>IF(NFI_Expiration=1,IF($A518&lt;VLOOKUP(M$5,NFI,5,0),1,0)*Table_NFI[[#This Row],[Winter Blanket]],Table_NFI[[#This Row],[Winter Blanket]])</f>
        <v>0</v>
      </c>
      <c r="AM518" s="378">
        <f>IF(Table_NFI[[#This Row],[Winter Clothes Adult]]+Table_NFI[[#This Row],[Winter Clothes Children]]+Table_NFI[[#This Row],[Winter Items Other]]+Table_NFI[[#This Row],[Winter Blanket]]&gt;0,1,0)</f>
        <v>0</v>
      </c>
      <c r="AN518" s="418">
        <f>IF(NFI_Expiration=1,IF($A518&lt;VLOOKUP(V$5,NFI,5,0),1,0)*Table_NFI[[#This Row],[Jerry Can]],Table_NFI[Jerry Can])</f>
        <v>0</v>
      </c>
      <c r="AO518" s="579" t="str">
        <f>IFERROR(VLOOKUP(Table_NFI[[#This Row],[Camp Name]],CL,2,0),"")</f>
        <v>MMR001CMP056</v>
      </c>
      <c r="AP518" s="574">
        <f ca="1">IF(Table_NFI[[#This Row],[Pcode]]="","",IF(OFFSET(CampList[Opening Date],MATCH(Table_NFI[[#This Row],[Pcode]],CampList[CP_Pcode],0)-1,0,1,1)&gt;=NFI_Monitor_Date,1,0))</f>
        <v>0</v>
      </c>
      <c r="AQ518" s="579" t="str">
        <f>IFERROR(VLOOKUP(Table_NFI[[#This Row],[Camp Name]],CL,3,0),"")</f>
        <v>Open</v>
      </c>
      <c r="AR518" s="378" t="str">
        <f ca="1">IF(Table_NFI[[#This Row],[Pcode]]="","",OFFSET(CampList[Priority],MATCH(Table_NFI[[#This Row],[Pcode]],CampList[CP_Pcode],0)-1,0,1,1))</f>
        <v>P4</v>
      </c>
      <c r="AS518" s="377">
        <f>IFERROR(Table_NFI[[#This Row],[Kitchen Set]]/VLOOKUP(Table_NFI[[#This Row],[Camp Name]],CL,4,0),"")</f>
        <v>1.7699115044247787E-2</v>
      </c>
      <c r="AT518" s="572" t="s">
        <v>1095</v>
      </c>
      <c r="AU518" s="575"/>
    </row>
    <row r="519" spans="1:47" s="576" customFormat="1" x14ac:dyDescent="0.25">
      <c r="A519" s="381">
        <f t="shared" si="8"/>
        <v>25.966666666666665</v>
      </c>
      <c r="B519" s="571">
        <v>41743</v>
      </c>
      <c r="C519" s="572" t="s">
        <v>454</v>
      </c>
      <c r="D519" s="572" t="s">
        <v>454</v>
      </c>
      <c r="E519" s="572" t="s">
        <v>380</v>
      </c>
      <c r="F519" s="572" t="s">
        <v>185</v>
      </c>
      <c r="G519" s="572" t="s">
        <v>209</v>
      </c>
      <c r="H519" s="375"/>
      <c r="I519" s="375"/>
      <c r="J519" s="375"/>
      <c r="K519" s="375">
        <v>10</v>
      </c>
      <c r="L519" s="376">
        <v>5</v>
      </c>
      <c r="M519" s="376">
        <v>15</v>
      </c>
      <c r="N519" s="376">
        <v>5</v>
      </c>
      <c r="O519" s="376">
        <v>5</v>
      </c>
      <c r="P519" s="378">
        <v>5</v>
      </c>
      <c r="Q519" s="378"/>
      <c r="R519" s="378"/>
      <c r="S519" s="378"/>
      <c r="T519" s="378"/>
      <c r="U519" s="378"/>
      <c r="V519" s="533"/>
      <c r="W519" s="378"/>
      <c r="X519" s="378"/>
      <c r="Y519" s="378">
        <f>IF(NFI_Expiration=1,IF($A519&lt;VLOOKUP(H$5,NFI,5,0),1,0)*Table_NFI[[#This Row],[Hygiene Kit]],Table_NFI[Hygiene Kit])</f>
        <v>0</v>
      </c>
      <c r="Z519" s="378">
        <f>IF(NFI_Expiration=1,IF($A519&lt;VLOOKUP(I$5,NFI,5,0),1,0)*Table_NFI[[#This Row],[NFI Core Kit]],Table_NFI[NFI Core Kit])</f>
        <v>0</v>
      </c>
      <c r="AA519" s="378">
        <f>IF(NFI_Expiration=1,IF($A519&lt;VLOOKUP(J$5,NFI,5,0),1,0)*Table_NFI[[#This Row],[Sanitary Kit]],Table_NFI[Sanitary Kit])</f>
        <v>0</v>
      </c>
      <c r="AB519" s="378">
        <f>IF(NFI_Expiration=1,IF($A519&lt;VLOOKUP(K$5,NFI,5,0),1,0)*Table_NFI[[#This Row],[Mosquito net]],Table_NFI[Mosquito net])</f>
        <v>0</v>
      </c>
      <c r="AC519" s="378">
        <f>IF(NFI_Expiration=1,IF($A519&lt;VLOOKUP(L$5,NFI,5,0),1,0)*Table_NFI[[#This Row],[Tarpaulin]],Table_NFI[[#This Row],[Tarpaulin]])</f>
        <v>0</v>
      </c>
      <c r="AD519" s="378">
        <f>IF(NFI_Expiration=1,IF($A519&lt;VLOOKUP(M$5,NFI,5,0),1,0)*Table_NFI[[#This Row],[Blanket]],Table_NFI[[#This Row],[Blanket]])</f>
        <v>0</v>
      </c>
      <c r="AE519" s="378">
        <f>IF(NFI_Expiration=1,IF($A519&lt;VLOOKUP(N$5,NFI,5,0),1,0)*Table_NFI[[#This Row],[Kitchen Set]],Table_NFI[Kitchen Set])</f>
        <v>0</v>
      </c>
      <c r="AF519" s="378">
        <f>IF(NFI_Expiration=1,IF($A519&lt;VLOOKUP(O$5,NFI,5,0),1,0)*Table_NFI[[#This Row],[Clothes Kit]],Table_NFI[Clothes Kit])</f>
        <v>0</v>
      </c>
      <c r="AG519" s="378">
        <f>IF(NFI_Expiration=1,IF($A519&lt;VLOOKUP(P$5,NFI,5,0),1,0)*Table_NFI[[#This Row],[Plastic Bucket]],Table_NFI[Plastic Bucket])</f>
        <v>0</v>
      </c>
      <c r="AH519" s="378">
        <f>IF(NFI_Expiration=1,IF($A519&lt;VLOOKUP(Q$5,NFI,5,0),1,0)*Table_NFI[[#This Row],[Plastic Mat]],Table_NFI[Plastic Mat])*IF(Table_NFI[[#This Row],[Distribution Date]]&gt;"2014-04-01",1,2.5)</f>
        <v>0</v>
      </c>
      <c r="AI519" s="378">
        <f>IF(NFI_Expiration=1,IF($A519&lt;VLOOKUP(R$5,NFI,5,0),1,0)*Table_NFI[[#This Row],[Winter Clothes Adult]],Table_NFI[Winter Clothes Adult])</f>
        <v>0</v>
      </c>
      <c r="AJ519" s="378">
        <f>IF(NFI_Expiration=1,IF($A519&lt;VLOOKUP(S$5,NFI,5,0),1,0)*Table_NFI[[#This Row],[Winter Clothes Children]],Table_NFI[Winter Clothes Children])</f>
        <v>0</v>
      </c>
      <c r="AK519" s="378">
        <f>IF(NFI_Expiration=1,IF($A519&lt;VLOOKUP(T$5,NFI,5,0),1,0)*Table_NFI[[#This Row],[Winter Items Other]],Table_NFI[Winter Items Other])</f>
        <v>0</v>
      </c>
      <c r="AL519" s="378">
        <f>IF(NFI_Expiration=1,IF($A519&lt;VLOOKUP(M$5,NFI,5,0),1,0)*Table_NFI[[#This Row],[Winter Blanket]],Table_NFI[[#This Row],[Winter Blanket]])</f>
        <v>0</v>
      </c>
      <c r="AM519" s="378">
        <f>IF(Table_NFI[[#This Row],[Winter Clothes Adult]]+Table_NFI[[#This Row],[Winter Clothes Children]]+Table_NFI[[#This Row],[Winter Items Other]]+Table_NFI[[#This Row],[Winter Blanket]]&gt;0,1,0)</f>
        <v>0</v>
      </c>
      <c r="AN519" s="418">
        <f>IF(NFI_Expiration=1,IF($A519&lt;VLOOKUP(V$5,NFI,5,0),1,0)*Table_NFI[[#This Row],[Jerry Can]],Table_NFI[Jerry Can])</f>
        <v>0</v>
      </c>
      <c r="AO519" s="579" t="str">
        <f>IFERROR(VLOOKUP(Table_NFI[[#This Row],[Camp Name]],CL,2,0),"")</f>
        <v>MMR001CMP056</v>
      </c>
      <c r="AP519" s="574">
        <f ca="1">IF(Table_NFI[[#This Row],[Pcode]]="","",IF(OFFSET(CampList[Opening Date],MATCH(Table_NFI[[#This Row],[Pcode]],CampList[CP_Pcode],0)-1,0,1,1)&gt;=NFI_Monitor_Date,1,0))</f>
        <v>0</v>
      </c>
      <c r="AQ519" s="579" t="str">
        <f>IFERROR(VLOOKUP(Table_NFI[[#This Row],[Camp Name]],CL,3,0),"")</f>
        <v>Open</v>
      </c>
      <c r="AR519" s="378" t="str">
        <f ca="1">IF(Table_NFI[[#This Row],[Pcode]]="","",OFFSET(CampList[Priority],MATCH(Table_NFI[[#This Row],[Pcode]],CampList[CP_Pcode],0)-1,0,1,1))</f>
        <v>P4</v>
      </c>
      <c r="AS519" s="377">
        <f>IFERROR(Table_NFI[[#This Row],[Kitchen Set]]/VLOOKUP(Table_NFI[[#This Row],[Camp Name]],CL,4,0),"")</f>
        <v>2.2123893805309734E-2</v>
      </c>
      <c r="AT519" s="572" t="s">
        <v>1095</v>
      </c>
      <c r="AU519" s="575"/>
    </row>
    <row r="520" spans="1:47" s="576" customFormat="1" x14ac:dyDescent="0.25">
      <c r="A520" s="381">
        <f t="shared" si="8"/>
        <v>30.366666666666667</v>
      </c>
      <c r="B520" s="571">
        <v>41611</v>
      </c>
      <c r="C520" s="572" t="s">
        <v>454</v>
      </c>
      <c r="D520" s="573" t="s">
        <v>454</v>
      </c>
      <c r="E520" s="572" t="s">
        <v>380</v>
      </c>
      <c r="F520" s="374" t="s">
        <v>185</v>
      </c>
      <c r="G520" s="374" t="s">
        <v>209</v>
      </c>
      <c r="H520" s="375"/>
      <c r="I520" s="375"/>
      <c r="J520" s="375"/>
      <c r="K520" s="375">
        <v>25</v>
      </c>
      <c r="L520" s="376">
        <v>13</v>
      </c>
      <c r="M520" s="376">
        <v>25</v>
      </c>
      <c r="N520" s="376">
        <v>13</v>
      </c>
      <c r="O520" s="376">
        <v>13</v>
      </c>
      <c r="P520" s="378"/>
      <c r="Q520" s="378"/>
      <c r="R520" s="378"/>
      <c r="S520" s="378"/>
      <c r="T520" s="378"/>
      <c r="U520" s="378"/>
      <c r="V520" s="533"/>
      <c r="W520" s="378"/>
      <c r="X520" s="378"/>
      <c r="Y520" s="378">
        <f>IF(NFI_Expiration=1,IF($A520&lt;VLOOKUP(H$5,NFI,5,0),1,0)*Table_NFI[[#This Row],[Hygiene Kit]],Table_NFI[Hygiene Kit])</f>
        <v>0</v>
      </c>
      <c r="Z520" s="378">
        <f>IF(NFI_Expiration=1,IF($A520&lt;VLOOKUP(I$5,NFI,5,0),1,0)*Table_NFI[[#This Row],[NFI Core Kit]],Table_NFI[NFI Core Kit])</f>
        <v>0</v>
      </c>
      <c r="AA520" s="378">
        <f>IF(NFI_Expiration=1,IF($A520&lt;VLOOKUP(J$5,NFI,5,0),1,0)*Table_NFI[[#This Row],[Sanitary Kit]],Table_NFI[Sanitary Kit])</f>
        <v>0</v>
      </c>
      <c r="AB520" s="378">
        <f>IF(NFI_Expiration=1,IF($A520&lt;VLOOKUP(K$5,NFI,5,0),1,0)*Table_NFI[[#This Row],[Mosquito net]],Table_NFI[Mosquito net])</f>
        <v>0</v>
      </c>
      <c r="AC520" s="378">
        <f>IF(NFI_Expiration=1,IF($A520&lt;VLOOKUP(L$5,NFI,5,0),1,0)*Table_NFI[[#This Row],[Tarpaulin]],Table_NFI[[#This Row],[Tarpaulin]])</f>
        <v>0</v>
      </c>
      <c r="AD520" s="378">
        <f>IF(NFI_Expiration=1,IF($A520&lt;VLOOKUP(M$5,NFI,5,0),1,0)*Table_NFI[[#This Row],[Blanket]],Table_NFI[[#This Row],[Blanket]])</f>
        <v>0</v>
      </c>
      <c r="AE520" s="378">
        <f>IF(NFI_Expiration=1,IF($A520&lt;VLOOKUP(N$5,NFI,5,0),1,0)*Table_NFI[[#This Row],[Kitchen Set]],Table_NFI[Kitchen Set])</f>
        <v>0</v>
      </c>
      <c r="AF520" s="378">
        <f>IF(NFI_Expiration=1,IF($A520&lt;VLOOKUP(O$5,NFI,5,0),1,0)*Table_NFI[[#This Row],[Clothes Kit]],Table_NFI[Clothes Kit])</f>
        <v>0</v>
      </c>
      <c r="AG520" s="378">
        <f>IF(NFI_Expiration=1,IF($A520&lt;VLOOKUP(P$5,NFI,5,0),1,0)*Table_NFI[[#This Row],[Plastic Bucket]],Table_NFI[Plastic Bucket])</f>
        <v>0</v>
      </c>
      <c r="AH520" s="378">
        <f>IF(NFI_Expiration=1,IF($A520&lt;VLOOKUP(Q$5,NFI,5,0),1,0)*Table_NFI[[#This Row],[Plastic Mat]],Table_NFI[Plastic Mat])*IF(Table_NFI[[#This Row],[Distribution Date]]&gt;"2014-04-01",1,2.5)</f>
        <v>0</v>
      </c>
      <c r="AI520" s="378">
        <f>IF(NFI_Expiration=1,IF($A520&lt;VLOOKUP(R$5,NFI,5,0),1,0)*Table_NFI[[#This Row],[Winter Clothes Adult]],Table_NFI[Winter Clothes Adult])</f>
        <v>0</v>
      </c>
      <c r="AJ520" s="378">
        <f>IF(NFI_Expiration=1,IF($A520&lt;VLOOKUP(S$5,NFI,5,0),1,0)*Table_NFI[[#This Row],[Winter Clothes Children]],Table_NFI[Winter Clothes Children])</f>
        <v>0</v>
      </c>
      <c r="AK520" s="378">
        <f>IF(NFI_Expiration=1,IF($A520&lt;VLOOKUP(T$5,NFI,5,0),1,0)*Table_NFI[[#This Row],[Winter Items Other]],Table_NFI[Winter Items Other])</f>
        <v>0</v>
      </c>
      <c r="AL520" s="378">
        <f>IF(NFI_Expiration=1,IF($A520&lt;VLOOKUP(M$5,NFI,5,0),1,0)*Table_NFI[[#This Row],[Winter Blanket]],Table_NFI[[#This Row],[Winter Blanket]])</f>
        <v>0</v>
      </c>
      <c r="AM520" s="378">
        <f>IF(Table_NFI[[#This Row],[Winter Clothes Adult]]+Table_NFI[[#This Row],[Winter Clothes Children]]+Table_NFI[[#This Row],[Winter Items Other]]+Table_NFI[[#This Row],[Winter Blanket]]&gt;0,1,0)</f>
        <v>0</v>
      </c>
      <c r="AN520" s="418">
        <f>IF(NFI_Expiration=1,IF($A520&lt;VLOOKUP(V$5,NFI,5,0),1,0)*Table_NFI[[#This Row],[Jerry Can]],Table_NFI[Jerry Can])</f>
        <v>0</v>
      </c>
      <c r="AO520" s="579" t="str">
        <f>IFERROR(VLOOKUP(Table_NFI[[#This Row],[Camp Name]],CL,2,0),"")</f>
        <v>MMR001CMP056</v>
      </c>
      <c r="AP520" s="574">
        <f ca="1">IF(Table_NFI[[#This Row],[Pcode]]="","",IF(OFFSET(CampList[Opening Date],MATCH(Table_NFI[[#This Row],[Pcode]],CampList[CP_Pcode],0)-1,0,1,1)&gt;=NFI_Monitor_Date,1,0))</f>
        <v>0</v>
      </c>
      <c r="AQ520" s="579" t="str">
        <f>IFERROR(VLOOKUP(Table_NFI[[#This Row],[Camp Name]],CL,3,0),"")</f>
        <v>Open</v>
      </c>
      <c r="AR520" s="378" t="str">
        <f ca="1">IF(Table_NFI[[#This Row],[Pcode]]="","",OFFSET(CampList[Priority],MATCH(Table_NFI[[#This Row],[Pcode]],CampList[CP_Pcode],0)-1,0,1,1))</f>
        <v>P4</v>
      </c>
      <c r="AS520" s="377">
        <f>IFERROR(Table_NFI[[#This Row],[Kitchen Set]]/VLOOKUP(Table_NFI[[#This Row],[Camp Name]],CL,4,0),"")</f>
        <v>5.7522123893805309E-2</v>
      </c>
      <c r="AT520" s="572" t="s">
        <v>1095</v>
      </c>
      <c r="AU520" s="575"/>
    </row>
    <row r="521" spans="1:47" s="576" customFormat="1" x14ac:dyDescent="0.25">
      <c r="A521" s="381">
        <f t="shared" si="8"/>
        <v>30.466666666666665</v>
      </c>
      <c r="B521" s="571">
        <v>41608</v>
      </c>
      <c r="C521" s="572" t="s">
        <v>908</v>
      </c>
      <c r="D521" s="572"/>
      <c r="E521" s="572" t="s">
        <v>380</v>
      </c>
      <c r="F521" s="374" t="s">
        <v>185</v>
      </c>
      <c r="G521" s="374" t="s">
        <v>209</v>
      </c>
      <c r="H521" s="375"/>
      <c r="I521" s="375"/>
      <c r="J521" s="375"/>
      <c r="K521" s="375"/>
      <c r="L521" s="376"/>
      <c r="M521" s="376"/>
      <c r="N521" s="376"/>
      <c r="O521" s="376"/>
      <c r="P521" s="378"/>
      <c r="Q521" s="378">
        <v>906</v>
      </c>
      <c r="R521" s="378"/>
      <c r="S521" s="378"/>
      <c r="T521" s="378"/>
      <c r="U521" s="378"/>
      <c r="V521" s="533"/>
      <c r="W521" s="378"/>
      <c r="X521" s="378"/>
      <c r="Y521" s="378">
        <f>IF(NFI_Expiration=1,IF($A521&lt;VLOOKUP(H$5,NFI,5,0),1,0)*Table_NFI[[#This Row],[Hygiene Kit]],Table_NFI[Hygiene Kit])</f>
        <v>0</v>
      </c>
      <c r="Z521" s="378">
        <f>IF(NFI_Expiration=1,IF($A521&lt;VLOOKUP(I$5,NFI,5,0),1,0)*Table_NFI[[#This Row],[NFI Core Kit]],Table_NFI[NFI Core Kit])</f>
        <v>0</v>
      </c>
      <c r="AA521" s="378">
        <f>IF(NFI_Expiration=1,IF($A521&lt;VLOOKUP(J$5,NFI,5,0),1,0)*Table_NFI[[#This Row],[Sanitary Kit]],Table_NFI[Sanitary Kit])</f>
        <v>0</v>
      </c>
      <c r="AB521" s="378">
        <f>IF(NFI_Expiration=1,IF($A521&lt;VLOOKUP(K$5,NFI,5,0),1,0)*Table_NFI[[#This Row],[Mosquito net]],Table_NFI[Mosquito net])</f>
        <v>0</v>
      </c>
      <c r="AC521" s="378">
        <f>IF(NFI_Expiration=1,IF($A521&lt;VLOOKUP(L$5,NFI,5,0),1,0)*Table_NFI[[#This Row],[Tarpaulin]],Table_NFI[[#This Row],[Tarpaulin]])</f>
        <v>0</v>
      </c>
      <c r="AD521" s="378">
        <f>IF(NFI_Expiration=1,IF($A521&lt;VLOOKUP(M$5,NFI,5,0),1,0)*Table_NFI[[#This Row],[Blanket]],Table_NFI[[#This Row],[Blanket]])</f>
        <v>0</v>
      </c>
      <c r="AE521" s="378">
        <f>IF(NFI_Expiration=1,IF($A521&lt;VLOOKUP(N$5,NFI,5,0),1,0)*Table_NFI[[#This Row],[Kitchen Set]],Table_NFI[Kitchen Set])</f>
        <v>0</v>
      </c>
      <c r="AF521" s="378">
        <f>IF(NFI_Expiration=1,IF($A521&lt;VLOOKUP(O$5,NFI,5,0),1,0)*Table_NFI[[#This Row],[Clothes Kit]],Table_NFI[Clothes Kit])</f>
        <v>0</v>
      </c>
      <c r="AG521" s="378">
        <f>IF(NFI_Expiration=1,IF($A521&lt;VLOOKUP(P$5,NFI,5,0),1,0)*Table_NFI[[#This Row],[Plastic Bucket]],Table_NFI[Plastic Bucket])</f>
        <v>0</v>
      </c>
      <c r="AH521" s="378">
        <f>IF(NFI_Expiration=1,IF($A521&lt;VLOOKUP(Q$5,NFI,5,0),1,0)*Table_NFI[[#This Row],[Plastic Mat]],Table_NFI[Plastic Mat])*IF(Table_NFI[[#This Row],[Distribution Date]]&gt;"2014-04-01",1,2.5)</f>
        <v>0</v>
      </c>
      <c r="AI521" s="378">
        <f>IF(NFI_Expiration=1,IF($A521&lt;VLOOKUP(R$5,NFI,5,0),1,0)*Table_NFI[[#This Row],[Winter Clothes Adult]],Table_NFI[Winter Clothes Adult])</f>
        <v>0</v>
      </c>
      <c r="AJ521" s="378">
        <f>IF(NFI_Expiration=1,IF($A521&lt;VLOOKUP(S$5,NFI,5,0),1,0)*Table_NFI[[#This Row],[Winter Clothes Children]],Table_NFI[Winter Clothes Children])</f>
        <v>0</v>
      </c>
      <c r="AK521" s="378">
        <f>IF(NFI_Expiration=1,IF($A521&lt;VLOOKUP(T$5,NFI,5,0),1,0)*Table_NFI[[#This Row],[Winter Items Other]],Table_NFI[Winter Items Other])</f>
        <v>0</v>
      </c>
      <c r="AL521" s="378">
        <f>IF(NFI_Expiration=1,IF($A521&lt;VLOOKUP(M$5,NFI,5,0),1,0)*Table_NFI[[#This Row],[Winter Blanket]],Table_NFI[[#This Row],[Winter Blanket]])</f>
        <v>0</v>
      </c>
      <c r="AM521" s="378">
        <f>IF(Table_NFI[[#This Row],[Winter Clothes Adult]]+Table_NFI[[#This Row],[Winter Clothes Children]]+Table_NFI[[#This Row],[Winter Items Other]]+Table_NFI[[#This Row],[Winter Blanket]]&gt;0,1,0)</f>
        <v>0</v>
      </c>
      <c r="AN521" s="418">
        <f>IF(NFI_Expiration=1,IF($A521&lt;VLOOKUP(V$5,NFI,5,0),1,0)*Table_NFI[[#This Row],[Jerry Can]],Table_NFI[Jerry Can])</f>
        <v>0</v>
      </c>
      <c r="AO521" s="579" t="str">
        <f>IFERROR(VLOOKUP(Table_NFI[[#This Row],[Camp Name]],CL,2,0),"")</f>
        <v>MMR001CMP056</v>
      </c>
      <c r="AP521" s="574">
        <f ca="1">IF(Table_NFI[[#This Row],[Pcode]]="","",IF(OFFSET(CampList[Opening Date],MATCH(Table_NFI[[#This Row],[Pcode]],CampList[CP_Pcode],0)-1,0,1,1)&gt;=NFI_Monitor_Date,1,0))</f>
        <v>0</v>
      </c>
      <c r="AQ521" s="579" t="str">
        <f>IFERROR(VLOOKUP(Table_NFI[[#This Row],[Camp Name]],CL,3,0),"")</f>
        <v>Open</v>
      </c>
      <c r="AR521" s="378" t="str">
        <f ca="1">IF(Table_NFI[[#This Row],[Pcode]]="","",OFFSET(CampList[Priority],MATCH(Table_NFI[[#This Row],[Pcode]],CampList[CP_Pcode],0)-1,0,1,1))</f>
        <v>P4</v>
      </c>
      <c r="AS521" s="377">
        <f>IFERROR(Table_NFI[[#This Row],[Kitchen Set]]/VLOOKUP(Table_NFI[[#This Row],[Camp Name]],CL,4,0),"")</f>
        <v>0</v>
      </c>
      <c r="AT521" s="572" t="s">
        <v>1095</v>
      </c>
      <c r="AU521" s="575"/>
    </row>
    <row r="522" spans="1:47" s="576" customFormat="1" x14ac:dyDescent="0.25">
      <c r="A522" s="381">
        <f t="shared" si="8"/>
        <v>41.06666666666667</v>
      </c>
      <c r="B522" s="571">
        <v>41290</v>
      </c>
      <c r="C522" s="572" t="s">
        <v>908</v>
      </c>
      <c r="D522" s="573" t="s">
        <v>908</v>
      </c>
      <c r="E522" s="572" t="s">
        <v>380</v>
      </c>
      <c r="F522" s="374" t="s">
        <v>185</v>
      </c>
      <c r="G522" s="374" t="s">
        <v>209</v>
      </c>
      <c r="H522" s="375">
        <v>1215</v>
      </c>
      <c r="I522" s="375"/>
      <c r="J522" s="375">
        <v>1735</v>
      </c>
      <c r="K522" s="375"/>
      <c r="L522" s="376"/>
      <c r="M522" s="376"/>
      <c r="N522" s="376"/>
      <c r="O522" s="376"/>
      <c r="P522" s="378">
        <v>0</v>
      </c>
      <c r="Q522" s="378">
        <v>0</v>
      </c>
      <c r="R522" s="378"/>
      <c r="S522" s="378"/>
      <c r="T522" s="378"/>
      <c r="U522" s="378"/>
      <c r="V522" s="533"/>
      <c r="W522" s="378"/>
      <c r="X522" s="378"/>
      <c r="Y522" s="378">
        <f>IF(NFI_Expiration=1,IF($A522&lt;VLOOKUP(H$5,NFI,5,0),1,0)*Table_NFI[[#This Row],[Hygiene Kit]],Table_NFI[Hygiene Kit])</f>
        <v>0</v>
      </c>
      <c r="Z522" s="378">
        <f>IF(NFI_Expiration=1,IF($A522&lt;VLOOKUP(I$5,NFI,5,0),1,0)*Table_NFI[[#This Row],[NFI Core Kit]],Table_NFI[NFI Core Kit])</f>
        <v>0</v>
      </c>
      <c r="AA522" s="378">
        <f>IF(NFI_Expiration=1,IF($A522&lt;VLOOKUP(J$5,NFI,5,0),1,0)*Table_NFI[[#This Row],[Sanitary Kit]],Table_NFI[Sanitary Kit])</f>
        <v>0</v>
      </c>
      <c r="AB522" s="378">
        <f>IF(NFI_Expiration=1,IF($A522&lt;VLOOKUP(K$5,NFI,5,0),1,0)*Table_NFI[[#This Row],[Mosquito net]],Table_NFI[Mosquito net])</f>
        <v>0</v>
      </c>
      <c r="AC522" s="378">
        <f>IF(NFI_Expiration=1,IF($A522&lt;VLOOKUP(L$5,NFI,5,0),1,0)*Table_NFI[[#This Row],[Tarpaulin]],Table_NFI[[#This Row],[Tarpaulin]])</f>
        <v>0</v>
      </c>
      <c r="AD522" s="378">
        <f>IF(NFI_Expiration=1,IF($A522&lt;VLOOKUP(M$5,NFI,5,0),1,0)*Table_NFI[[#This Row],[Blanket]],Table_NFI[[#This Row],[Blanket]])</f>
        <v>0</v>
      </c>
      <c r="AE522" s="378">
        <f>IF(NFI_Expiration=1,IF($A522&lt;VLOOKUP(N$5,NFI,5,0),1,0)*Table_NFI[[#This Row],[Kitchen Set]],Table_NFI[Kitchen Set])</f>
        <v>0</v>
      </c>
      <c r="AF522" s="378">
        <f>IF(NFI_Expiration=1,IF($A522&lt;VLOOKUP(O$5,NFI,5,0),1,0)*Table_NFI[[#This Row],[Clothes Kit]],Table_NFI[Clothes Kit])</f>
        <v>0</v>
      </c>
      <c r="AG522" s="378">
        <f>IF(NFI_Expiration=1,IF($A522&lt;VLOOKUP(P$5,NFI,5,0),1,0)*Table_NFI[[#This Row],[Plastic Bucket]],Table_NFI[Plastic Bucket])</f>
        <v>0</v>
      </c>
      <c r="AH522" s="378">
        <f>IF(NFI_Expiration=1,IF($A522&lt;VLOOKUP(Q$5,NFI,5,0),1,0)*Table_NFI[[#This Row],[Plastic Mat]],Table_NFI[Plastic Mat])*IF(Table_NFI[[#This Row],[Distribution Date]]&gt;"2014-04-01",1,2.5)</f>
        <v>0</v>
      </c>
      <c r="AI522" s="378">
        <f>IF(NFI_Expiration=1,IF($A522&lt;VLOOKUP(R$5,NFI,5,0),1,0)*Table_NFI[[#This Row],[Winter Clothes Adult]],Table_NFI[Winter Clothes Adult])</f>
        <v>0</v>
      </c>
      <c r="AJ522" s="378">
        <f>IF(NFI_Expiration=1,IF($A522&lt;VLOOKUP(S$5,NFI,5,0),1,0)*Table_NFI[[#This Row],[Winter Clothes Children]],Table_NFI[Winter Clothes Children])</f>
        <v>0</v>
      </c>
      <c r="AK522" s="378">
        <f>IF(NFI_Expiration=1,IF($A522&lt;VLOOKUP(T$5,NFI,5,0),1,0)*Table_NFI[[#This Row],[Winter Items Other]],Table_NFI[Winter Items Other])</f>
        <v>0</v>
      </c>
      <c r="AL522" s="378">
        <f>IF(NFI_Expiration=1,IF($A522&lt;VLOOKUP(M$5,NFI,5,0),1,0)*Table_NFI[[#This Row],[Winter Blanket]],Table_NFI[[#This Row],[Winter Blanket]])</f>
        <v>0</v>
      </c>
      <c r="AM522" s="378">
        <f>IF(Table_NFI[[#This Row],[Winter Clothes Adult]]+Table_NFI[[#This Row],[Winter Clothes Children]]+Table_NFI[[#This Row],[Winter Items Other]]+Table_NFI[[#This Row],[Winter Blanket]]&gt;0,1,0)</f>
        <v>0</v>
      </c>
      <c r="AN522" s="418">
        <f>IF(NFI_Expiration=1,IF($A522&lt;VLOOKUP(V$5,NFI,5,0),1,0)*Table_NFI[[#This Row],[Jerry Can]],Table_NFI[Jerry Can])</f>
        <v>0</v>
      </c>
      <c r="AO522" s="579" t="str">
        <f>IFERROR(VLOOKUP(Table_NFI[[#This Row],[Camp Name]],CL,2,0),"")</f>
        <v>MMR001CMP056</v>
      </c>
      <c r="AP522" s="574">
        <f ca="1">IF(Table_NFI[[#This Row],[Pcode]]="","",IF(OFFSET(CampList[Opening Date],MATCH(Table_NFI[[#This Row],[Pcode]],CampList[CP_Pcode],0)-1,0,1,1)&gt;=NFI_Monitor_Date,1,0))</f>
        <v>0</v>
      </c>
      <c r="AQ522" s="579" t="str">
        <f>IFERROR(VLOOKUP(Table_NFI[[#This Row],[Camp Name]],CL,3,0),"")</f>
        <v>Open</v>
      </c>
      <c r="AR522" s="378" t="str">
        <f ca="1">IF(Table_NFI[[#This Row],[Pcode]]="","",OFFSET(CampList[Priority],MATCH(Table_NFI[[#This Row],[Pcode]],CampList[CP_Pcode],0)-1,0,1,1))</f>
        <v>P4</v>
      </c>
      <c r="AS522" s="377">
        <f>IFERROR(Table_NFI[[#This Row],[Kitchen Set]]/VLOOKUP(Table_NFI[[#This Row],[Camp Name]],CL,4,0),"")</f>
        <v>0</v>
      </c>
      <c r="AT522" s="572" t="s">
        <v>1095</v>
      </c>
      <c r="AU522" s="575"/>
    </row>
    <row r="523" spans="1:47" s="576" customFormat="1" x14ac:dyDescent="0.25">
      <c r="A523" s="381">
        <f t="shared" si="8"/>
        <v>47.9</v>
      </c>
      <c r="B523" s="571">
        <v>41085</v>
      </c>
      <c r="C523" s="572" t="s">
        <v>454</v>
      </c>
      <c r="D523" s="573" t="s">
        <v>454</v>
      </c>
      <c r="E523" s="572" t="s">
        <v>380</v>
      </c>
      <c r="F523" s="374" t="s">
        <v>185</v>
      </c>
      <c r="G523" s="374" t="s">
        <v>209</v>
      </c>
      <c r="H523" s="375"/>
      <c r="I523" s="380"/>
      <c r="J523" s="373"/>
      <c r="K523" s="373">
        <v>290</v>
      </c>
      <c r="L523" s="373">
        <v>145</v>
      </c>
      <c r="M523" s="373">
        <v>290</v>
      </c>
      <c r="N523" s="373">
        <v>145</v>
      </c>
      <c r="O523" s="373">
        <v>145</v>
      </c>
      <c r="P523" s="378">
        <v>145</v>
      </c>
      <c r="Q523" s="378">
        <v>145</v>
      </c>
      <c r="R523" s="378"/>
      <c r="S523" s="378"/>
      <c r="T523" s="378"/>
      <c r="U523" s="378"/>
      <c r="V523" s="533"/>
      <c r="W523" s="378"/>
      <c r="X523" s="378"/>
      <c r="Y523" s="378">
        <f>IF(NFI_Expiration=1,IF($A523&lt;VLOOKUP(H$5,NFI,5,0),1,0)*Table_NFI[[#This Row],[Hygiene Kit]],Table_NFI[Hygiene Kit])</f>
        <v>0</v>
      </c>
      <c r="Z523" s="378">
        <f>IF(NFI_Expiration=1,IF($A523&lt;VLOOKUP(I$5,NFI,5,0),1,0)*Table_NFI[[#This Row],[NFI Core Kit]],Table_NFI[NFI Core Kit])</f>
        <v>0</v>
      </c>
      <c r="AA523" s="378">
        <f>IF(NFI_Expiration=1,IF($A523&lt;VLOOKUP(J$5,NFI,5,0),1,0)*Table_NFI[[#This Row],[Sanitary Kit]],Table_NFI[Sanitary Kit])</f>
        <v>0</v>
      </c>
      <c r="AB523" s="378">
        <f>IF(NFI_Expiration=1,IF($A523&lt;VLOOKUP(K$5,NFI,5,0),1,0)*Table_NFI[[#This Row],[Mosquito net]],Table_NFI[Mosquito net])</f>
        <v>0</v>
      </c>
      <c r="AC523" s="378">
        <f>IF(NFI_Expiration=1,IF($A523&lt;VLOOKUP(L$5,NFI,5,0),1,0)*Table_NFI[[#This Row],[Tarpaulin]],Table_NFI[[#This Row],[Tarpaulin]])</f>
        <v>0</v>
      </c>
      <c r="AD523" s="378">
        <f>IF(NFI_Expiration=1,IF($A523&lt;VLOOKUP(M$5,NFI,5,0),1,0)*Table_NFI[[#This Row],[Blanket]],Table_NFI[[#This Row],[Blanket]])</f>
        <v>0</v>
      </c>
      <c r="AE523" s="378">
        <f>IF(NFI_Expiration=1,IF($A523&lt;VLOOKUP(N$5,NFI,5,0),1,0)*Table_NFI[[#This Row],[Kitchen Set]],Table_NFI[Kitchen Set])</f>
        <v>0</v>
      </c>
      <c r="AF523" s="378">
        <f>IF(NFI_Expiration=1,IF($A523&lt;VLOOKUP(O$5,NFI,5,0),1,0)*Table_NFI[[#This Row],[Clothes Kit]],Table_NFI[Clothes Kit])</f>
        <v>0</v>
      </c>
      <c r="AG523" s="378">
        <f>IF(NFI_Expiration=1,IF($A523&lt;VLOOKUP(P$5,NFI,5,0),1,0)*Table_NFI[[#This Row],[Plastic Bucket]],Table_NFI[Plastic Bucket])</f>
        <v>0</v>
      </c>
      <c r="AH523" s="378">
        <f>IF(NFI_Expiration=1,IF($A523&lt;VLOOKUP(Q$5,NFI,5,0),1,0)*Table_NFI[[#This Row],[Plastic Mat]],Table_NFI[Plastic Mat])*IF(Table_NFI[[#This Row],[Distribution Date]]&gt;"2014-04-01",1,2.5)</f>
        <v>0</v>
      </c>
      <c r="AI523" s="378">
        <f>IF(NFI_Expiration=1,IF($A523&lt;VLOOKUP(R$5,NFI,5,0),1,0)*Table_NFI[[#This Row],[Winter Clothes Adult]],Table_NFI[Winter Clothes Adult])</f>
        <v>0</v>
      </c>
      <c r="AJ523" s="378">
        <f>IF(NFI_Expiration=1,IF($A523&lt;VLOOKUP(S$5,NFI,5,0),1,0)*Table_NFI[[#This Row],[Winter Clothes Children]],Table_NFI[Winter Clothes Children])</f>
        <v>0</v>
      </c>
      <c r="AK523" s="378">
        <f>IF(NFI_Expiration=1,IF($A523&lt;VLOOKUP(T$5,NFI,5,0),1,0)*Table_NFI[[#This Row],[Winter Items Other]],Table_NFI[Winter Items Other])</f>
        <v>0</v>
      </c>
      <c r="AL523" s="378">
        <f>IF(NFI_Expiration=1,IF($A523&lt;VLOOKUP(M$5,NFI,5,0),1,0)*Table_NFI[[#This Row],[Winter Blanket]],Table_NFI[[#This Row],[Winter Blanket]])</f>
        <v>0</v>
      </c>
      <c r="AM523" s="378">
        <f>IF(Table_NFI[[#This Row],[Winter Clothes Adult]]+Table_NFI[[#This Row],[Winter Clothes Children]]+Table_NFI[[#This Row],[Winter Items Other]]+Table_NFI[[#This Row],[Winter Blanket]]&gt;0,1,0)</f>
        <v>0</v>
      </c>
      <c r="AN523" s="418">
        <f>IF(NFI_Expiration=1,IF($A523&lt;VLOOKUP(V$5,NFI,5,0),1,0)*Table_NFI[[#This Row],[Jerry Can]],Table_NFI[Jerry Can])</f>
        <v>0</v>
      </c>
      <c r="AO523" s="579" t="str">
        <f>IFERROR(VLOOKUP(Table_NFI[[#This Row],[Camp Name]],CL,2,0),"")</f>
        <v>MMR001CMP056</v>
      </c>
      <c r="AP523" s="574">
        <f ca="1">IF(Table_NFI[[#This Row],[Pcode]]="","",IF(OFFSET(CampList[Opening Date],MATCH(Table_NFI[[#This Row],[Pcode]],CampList[CP_Pcode],0)-1,0,1,1)&gt;=NFI_Monitor_Date,1,0))</f>
        <v>0</v>
      </c>
      <c r="AQ523" s="579" t="str">
        <f>IFERROR(VLOOKUP(Table_NFI[[#This Row],[Camp Name]],CL,3,0),"")</f>
        <v>Open</v>
      </c>
      <c r="AR523" s="378" t="str">
        <f ca="1">IF(Table_NFI[[#This Row],[Pcode]]="","",OFFSET(CampList[Priority],MATCH(Table_NFI[[#This Row],[Pcode]],CampList[CP_Pcode],0)-1,0,1,1))</f>
        <v>P4</v>
      </c>
      <c r="AS523" s="377">
        <f>IFERROR(Table_NFI[[#This Row],[Kitchen Set]]/VLOOKUP(Table_NFI[[#This Row],[Camp Name]],CL,4,0),"")</f>
        <v>0.6415929203539823</v>
      </c>
      <c r="AT523" s="572" t="s">
        <v>1095</v>
      </c>
      <c r="AU523" s="575"/>
    </row>
    <row r="524" spans="1:47" s="576" customFormat="1" x14ac:dyDescent="0.25">
      <c r="A524" s="381">
        <f t="shared" si="8"/>
        <v>23.666666666666668</v>
      </c>
      <c r="B524" s="571">
        <v>41812</v>
      </c>
      <c r="C524" s="572" t="s">
        <v>1107</v>
      </c>
      <c r="D524" s="572" t="s">
        <v>903</v>
      </c>
      <c r="E524" s="572" t="s">
        <v>380</v>
      </c>
      <c r="F524" s="572" t="s">
        <v>185</v>
      </c>
      <c r="G524" s="572" t="s">
        <v>211</v>
      </c>
      <c r="H524" s="375"/>
      <c r="I524" s="375"/>
      <c r="J524" s="375"/>
      <c r="K524" s="375"/>
      <c r="L524" s="376"/>
      <c r="M524" s="376"/>
      <c r="N524" s="376"/>
      <c r="O524" s="376"/>
      <c r="P524" s="378"/>
      <c r="Q524" s="378"/>
      <c r="R524" s="378"/>
      <c r="S524" s="378"/>
      <c r="T524" s="378"/>
      <c r="U524" s="378">
        <v>462</v>
      </c>
      <c r="V524" s="533"/>
      <c r="W524" s="378"/>
      <c r="X524" s="378"/>
      <c r="Y524" s="378">
        <f>IF(NFI_Expiration=1,IF($A524&lt;VLOOKUP(H$5,NFI,5,0),1,0)*Table_NFI[[#This Row],[Hygiene Kit]],Table_NFI[Hygiene Kit])</f>
        <v>0</v>
      </c>
      <c r="Z524" s="378">
        <f>IF(NFI_Expiration=1,IF($A524&lt;VLOOKUP(I$5,NFI,5,0),1,0)*Table_NFI[[#This Row],[NFI Core Kit]],Table_NFI[NFI Core Kit])</f>
        <v>0</v>
      </c>
      <c r="AA524" s="378">
        <f>IF(NFI_Expiration=1,IF($A524&lt;VLOOKUP(J$5,NFI,5,0),1,0)*Table_NFI[[#This Row],[Sanitary Kit]],Table_NFI[Sanitary Kit])</f>
        <v>0</v>
      </c>
      <c r="AB524" s="378">
        <f>IF(NFI_Expiration=1,IF($A524&lt;VLOOKUP(K$5,NFI,5,0),1,0)*Table_NFI[[#This Row],[Mosquito net]],Table_NFI[Mosquito net])</f>
        <v>0</v>
      </c>
      <c r="AC524" s="378">
        <f>IF(NFI_Expiration=1,IF($A524&lt;VLOOKUP(L$5,NFI,5,0),1,0)*Table_NFI[[#This Row],[Tarpaulin]],Table_NFI[[#This Row],[Tarpaulin]])</f>
        <v>0</v>
      </c>
      <c r="AD524" s="378">
        <f>IF(NFI_Expiration=1,IF($A524&lt;VLOOKUP(M$5,NFI,5,0),1,0)*Table_NFI[[#This Row],[Blanket]],Table_NFI[[#This Row],[Blanket]])</f>
        <v>0</v>
      </c>
      <c r="AE524" s="378">
        <f>IF(NFI_Expiration=1,IF($A524&lt;VLOOKUP(N$5,NFI,5,0),1,0)*Table_NFI[[#This Row],[Kitchen Set]],Table_NFI[Kitchen Set])</f>
        <v>0</v>
      </c>
      <c r="AF524" s="378">
        <f>IF(NFI_Expiration=1,IF($A524&lt;VLOOKUP(O$5,NFI,5,0),1,0)*Table_NFI[[#This Row],[Clothes Kit]],Table_NFI[Clothes Kit])</f>
        <v>0</v>
      </c>
      <c r="AG524" s="378">
        <f>IF(NFI_Expiration=1,IF($A524&lt;VLOOKUP(P$5,NFI,5,0),1,0)*Table_NFI[[#This Row],[Plastic Bucket]],Table_NFI[Plastic Bucket])</f>
        <v>0</v>
      </c>
      <c r="AH524" s="378">
        <f>IF(NFI_Expiration=1,IF($A524&lt;VLOOKUP(Q$5,NFI,5,0),1,0)*Table_NFI[[#This Row],[Plastic Mat]],Table_NFI[Plastic Mat])*IF(Table_NFI[[#This Row],[Distribution Date]]&gt;"2014-04-01",1,2.5)</f>
        <v>0</v>
      </c>
      <c r="AI524" s="378">
        <f>IF(NFI_Expiration=1,IF($A524&lt;VLOOKUP(R$5,NFI,5,0),1,0)*Table_NFI[[#This Row],[Winter Clothes Adult]],Table_NFI[Winter Clothes Adult])</f>
        <v>0</v>
      </c>
      <c r="AJ524" s="378">
        <f>IF(NFI_Expiration=1,IF($A524&lt;VLOOKUP(S$5,NFI,5,0),1,0)*Table_NFI[[#This Row],[Winter Clothes Children]],Table_NFI[Winter Clothes Children])</f>
        <v>0</v>
      </c>
      <c r="AK524" s="378">
        <f>IF(NFI_Expiration=1,IF($A524&lt;VLOOKUP(T$5,NFI,5,0),1,0)*Table_NFI[[#This Row],[Winter Items Other]],Table_NFI[Winter Items Other])</f>
        <v>0</v>
      </c>
      <c r="AL524" s="378">
        <f>IF(NFI_Expiration=1,IF($A524&lt;VLOOKUP(M$5,NFI,5,0),1,0)*Table_NFI[[#This Row],[Winter Blanket]],Table_NFI[[#This Row],[Winter Blanket]])</f>
        <v>0</v>
      </c>
      <c r="AM524" s="378">
        <f>IF(Table_NFI[[#This Row],[Winter Clothes Adult]]+Table_NFI[[#This Row],[Winter Clothes Children]]+Table_NFI[[#This Row],[Winter Items Other]]+Table_NFI[[#This Row],[Winter Blanket]]&gt;0,1,0)</f>
        <v>1</v>
      </c>
      <c r="AN524" s="418">
        <f>IF(NFI_Expiration=1,IF($A524&lt;VLOOKUP(V$5,NFI,5,0),1,0)*Table_NFI[[#This Row],[Jerry Can]],Table_NFI[Jerry Can])</f>
        <v>0</v>
      </c>
      <c r="AO524" s="579" t="str">
        <f>IFERROR(VLOOKUP(Table_NFI[[#This Row],[Camp Name]],CL,2,0),"")</f>
        <v>MMR001CMP057</v>
      </c>
      <c r="AP524" s="574">
        <f ca="1">IF(Table_NFI[[#This Row],[Pcode]]="","",IF(OFFSET(CampList[Opening Date],MATCH(Table_NFI[[#This Row],[Pcode]],CampList[CP_Pcode],0)-1,0,1,1)&gt;=NFI_Monitor_Date,1,0))</f>
        <v>0</v>
      </c>
      <c r="AQ524" s="579" t="str">
        <f>IFERROR(VLOOKUP(Table_NFI[[#This Row],[Camp Name]],CL,3,0),"")</f>
        <v>Closed</v>
      </c>
      <c r="AR524" s="378" t="str">
        <f ca="1">IF(Table_NFI[[#This Row],[Pcode]]="","",OFFSET(CampList[Priority],MATCH(Table_NFI[[#This Row],[Pcode]],CampList[CP_Pcode],0)-1,0,1,1))</f>
        <v>P4</v>
      </c>
      <c r="AS524" s="377" t="str">
        <f>IFERROR(Table_NFI[[#This Row],[Kitchen Set]]/VLOOKUP(Table_NFI[[#This Row],[Camp Name]],CL,4,0),"")</f>
        <v/>
      </c>
      <c r="AT524" s="572"/>
      <c r="AU524" s="575"/>
    </row>
    <row r="525" spans="1:47" s="576" customFormat="1" x14ac:dyDescent="0.25">
      <c r="A525" s="381">
        <f t="shared" si="8"/>
        <v>30.466666666666665</v>
      </c>
      <c r="B525" s="571">
        <v>41608</v>
      </c>
      <c r="C525" s="572" t="s">
        <v>908</v>
      </c>
      <c r="D525" s="572"/>
      <c r="E525" s="572" t="s">
        <v>380</v>
      </c>
      <c r="F525" s="374" t="s">
        <v>185</v>
      </c>
      <c r="G525" s="374" t="s">
        <v>211</v>
      </c>
      <c r="H525" s="375"/>
      <c r="I525" s="375"/>
      <c r="J525" s="375"/>
      <c r="K525" s="375"/>
      <c r="L525" s="376"/>
      <c r="M525" s="376"/>
      <c r="N525" s="376"/>
      <c r="O525" s="376"/>
      <c r="P525" s="378"/>
      <c r="Q525" s="378">
        <v>543</v>
      </c>
      <c r="R525" s="378"/>
      <c r="S525" s="378"/>
      <c r="T525" s="378"/>
      <c r="U525" s="378"/>
      <c r="V525" s="533"/>
      <c r="W525" s="378"/>
      <c r="X525" s="378"/>
      <c r="Y525" s="378">
        <f>IF(NFI_Expiration=1,IF($A525&lt;VLOOKUP(H$5,NFI,5,0),1,0)*Table_NFI[[#This Row],[Hygiene Kit]],Table_NFI[Hygiene Kit])</f>
        <v>0</v>
      </c>
      <c r="Z525" s="378">
        <f>IF(NFI_Expiration=1,IF($A525&lt;VLOOKUP(I$5,NFI,5,0),1,0)*Table_NFI[[#This Row],[NFI Core Kit]],Table_NFI[NFI Core Kit])</f>
        <v>0</v>
      </c>
      <c r="AA525" s="378">
        <f>IF(NFI_Expiration=1,IF($A525&lt;VLOOKUP(J$5,NFI,5,0),1,0)*Table_NFI[[#This Row],[Sanitary Kit]],Table_NFI[Sanitary Kit])</f>
        <v>0</v>
      </c>
      <c r="AB525" s="378">
        <f>IF(NFI_Expiration=1,IF($A525&lt;VLOOKUP(K$5,NFI,5,0),1,0)*Table_NFI[[#This Row],[Mosquito net]],Table_NFI[Mosquito net])</f>
        <v>0</v>
      </c>
      <c r="AC525" s="378">
        <f>IF(NFI_Expiration=1,IF($A525&lt;VLOOKUP(L$5,NFI,5,0),1,0)*Table_NFI[[#This Row],[Tarpaulin]],Table_NFI[[#This Row],[Tarpaulin]])</f>
        <v>0</v>
      </c>
      <c r="AD525" s="378">
        <f>IF(NFI_Expiration=1,IF($A525&lt;VLOOKUP(M$5,NFI,5,0),1,0)*Table_NFI[[#This Row],[Blanket]],Table_NFI[[#This Row],[Blanket]])</f>
        <v>0</v>
      </c>
      <c r="AE525" s="378">
        <f>IF(NFI_Expiration=1,IF($A525&lt;VLOOKUP(N$5,NFI,5,0),1,0)*Table_NFI[[#This Row],[Kitchen Set]],Table_NFI[Kitchen Set])</f>
        <v>0</v>
      </c>
      <c r="AF525" s="378">
        <f>IF(NFI_Expiration=1,IF($A525&lt;VLOOKUP(O$5,NFI,5,0),1,0)*Table_NFI[[#This Row],[Clothes Kit]],Table_NFI[Clothes Kit])</f>
        <v>0</v>
      </c>
      <c r="AG525" s="378">
        <f>IF(NFI_Expiration=1,IF($A525&lt;VLOOKUP(P$5,NFI,5,0),1,0)*Table_NFI[[#This Row],[Plastic Bucket]],Table_NFI[Plastic Bucket])</f>
        <v>0</v>
      </c>
      <c r="AH525" s="378">
        <f>IF(NFI_Expiration=1,IF($A525&lt;VLOOKUP(Q$5,NFI,5,0),1,0)*Table_NFI[[#This Row],[Plastic Mat]],Table_NFI[Plastic Mat])*IF(Table_NFI[[#This Row],[Distribution Date]]&gt;"2014-04-01",1,2.5)</f>
        <v>0</v>
      </c>
      <c r="AI525" s="378">
        <f>IF(NFI_Expiration=1,IF($A525&lt;VLOOKUP(R$5,NFI,5,0),1,0)*Table_NFI[[#This Row],[Winter Clothes Adult]],Table_NFI[Winter Clothes Adult])</f>
        <v>0</v>
      </c>
      <c r="AJ525" s="378">
        <f>IF(NFI_Expiration=1,IF($A525&lt;VLOOKUP(S$5,NFI,5,0),1,0)*Table_NFI[[#This Row],[Winter Clothes Children]],Table_NFI[Winter Clothes Children])</f>
        <v>0</v>
      </c>
      <c r="AK525" s="378">
        <f>IF(NFI_Expiration=1,IF($A525&lt;VLOOKUP(T$5,NFI,5,0),1,0)*Table_NFI[[#This Row],[Winter Items Other]],Table_NFI[Winter Items Other])</f>
        <v>0</v>
      </c>
      <c r="AL525" s="378">
        <f>IF(NFI_Expiration=1,IF($A525&lt;VLOOKUP(M$5,NFI,5,0),1,0)*Table_NFI[[#This Row],[Winter Blanket]],Table_NFI[[#This Row],[Winter Blanket]])</f>
        <v>0</v>
      </c>
      <c r="AM525" s="378">
        <f>IF(Table_NFI[[#This Row],[Winter Clothes Adult]]+Table_NFI[[#This Row],[Winter Clothes Children]]+Table_NFI[[#This Row],[Winter Items Other]]+Table_NFI[[#This Row],[Winter Blanket]]&gt;0,1,0)</f>
        <v>0</v>
      </c>
      <c r="AN525" s="418">
        <f>IF(NFI_Expiration=1,IF($A525&lt;VLOOKUP(V$5,NFI,5,0),1,0)*Table_NFI[[#This Row],[Jerry Can]],Table_NFI[Jerry Can])</f>
        <v>0</v>
      </c>
      <c r="AO525" s="579" t="str">
        <f>IFERROR(VLOOKUP(Table_NFI[[#This Row],[Camp Name]],CL,2,0),"")</f>
        <v>MMR001CMP057</v>
      </c>
      <c r="AP525" s="574">
        <f ca="1">IF(Table_NFI[[#This Row],[Pcode]]="","",IF(OFFSET(CampList[Opening Date],MATCH(Table_NFI[[#This Row],[Pcode]],CampList[CP_Pcode],0)-1,0,1,1)&gt;=NFI_Monitor_Date,1,0))</f>
        <v>0</v>
      </c>
      <c r="AQ525" s="579" t="str">
        <f>IFERROR(VLOOKUP(Table_NFI[[#This Row],[Camp Name]],CL,3,0),"")</f>
        <v>Closed</v>
      </c>
      <c r="AR525" s="378" t="str">
        <f ca="1">IF(Table_NFI[[#This Row],[Pcode]]="","",OFFSET(CampList[Priority],MATCH(Table_NFI[[#This Row],[Pcode]],CampList[CP_Pcode],0)-1,0,1,1))</f>
        <v>P4</v>
      </c>
      <c r="AS525" s="377" t="str">
        <f>IFERROR(Table_NFI[[#This Row],[Kitchen Set]]/VLOOKUP(Table_NFI[[#This Row],[Camp Name]],CL,4,0),"")</f>
        <v/>
      </c>
      <c r="AT525" s="572" t="s">
        <v>1095</v>
      </c>
      <c r="AU525" s="575"/>
    </row>
    <row r="526" spans="1:47" s="576" customFormat="1" x14ac:dyDescent="0.25">
      <c r="A526" s="381">
        <f t="shared" si="8"/>
        <v>40.799999999999997</v>
      </c>
      <c r="B526" s="571">
        <v>41298</v>
      </c>
      <c r="C526" s="572" t="s">
        <v>908</v>
      </c>
      <c r="D526" s="573" t="s">
        <v>908</v>
      </c>
      <c r="E526" s="572" t="s">
        <v>380</v>
      </c>
      <c r="F526" s="374" t="s">
        <v>185</v>
      </c>
      <c r="G526" s="374" t="s">
        <v>211</v>
      </c>
      <c r="H526" s="375">
        <v>793</v>
      </c>
      <c r="I526" s="375"/>
      <c r="J526" s="375">
        <v>1125</v>
      </c>
      <c r="K526" s="375"/>
      <c r="L526" s="376"/>
      <c r="M526" s="376"/>
      <c r="N526" s="376"/>
      <c r="O526" s="376"/>
      <c r="P526" s="378">
        <v>0</v>
      </c>
      <c r="Q526" s="378">
        <v>0</v>
      </c>
      <c r="R526" s="378"/>
      <c r="S526" s="378"/>
      <c r="T526" s="378"/>
      <c r="U526" s="378"/>
      <c r="V526" s="533"/>
      <c r="W526" s="378"/>
      <c r="X526" s="378"/>
      <c r="Y526" s="378">
        <f>IF(NFI_Expiration=1,IF($A526&lt;VLOOKUP(H$5,NFI,5,0),1,0)*Table_NFI[[#This Row],[Hygiene Kit]],Table_NFI[Hygiene Kit])</f>
        <v>0</v>
      </c>
      <c r="Z526" s="378">
        <f>IF(NFI_Expiration=1,IF($A526&lt;VLOOKUP(I$5,NFI,5,0),1,0)*Table_NFI[[#This Row],[NFI Core Kit]],Table_NFI[NFI Core Kit])</f>
        <v>0</v>
      </c>
      <c r="AA526" s="378">
        <f>IF(NFI_Expiration=1,IF($A526&lt;VLOOKUP(J$5,NFI,5,0),1,0)*Table_NFI[[#This Row],[Sanitary Kit]],Table_NFI[Sanitary Kit])</f>
        <v>0</v>
      </c>
      <c r="AB526" s="378">
        <f>IF(NFI_Expiration=1,IF($A526&lt;VLOOKUP(K$5,NFI,5,0),1,0)*Table_NFI[[#This Row],[Mosquito net]],Table_NFI[Mosquito net])</f>
        <v>0</v>
      </c>
      <c r="AC526" s="378">
        <f>IF(NFI_Expiration=1,IF($A526&lt;VLOOKUP(L$5,NFI,5,0),1,0)*Table_NFI[[#This Row],[Tarpaulin]],Table_NFI[[#This Row],[Tarpaulin]])</f>
        <v>0</v>
      </c>
      <c r="AD526" s="378">
        <f>IF(NFI_Expiration=1,IF($A526&lt;VLOOKUP(M$5,NFI,5,0),1,0)*Table_NFI[[#This Row],[Blanket]],Table_NFI[[#This Row],[Blanket]])</f>
        <v>0</v>
      </c>
      <c r="AE526" s="378">
        <f>IF(NFI_Expiration=1,IF($A526&lt;VLOOKUP(N$5,NFI,5,0),1,0)*Table_NFI[[#This Row],[Kitchen Set]],Table_NFI[Kitchen Set])</f>
        <v>0</v>
      </c>
      <c r="AF526" s="378">
        <f>IF(NFI_Expiration=1,IF($A526&lt;VLOOKUP(O$5,NFI,5,0),1,0)*Table_NFI[[#This Row],[Clothes Kit]],Table_NFI[Clothes Kit])</f>
        <v>0</v>
      </c>
      <c r="AG526" s="378">
        <f>IF(NFI_Expiration=1,IF($A526&lt;VLOOKUP(P$5,NFI,5,0),1,0)*Table_NFI[[#This Row],[Plastic Bucket]],Table_NFI[Plastic Bucket])</f>
        <v>0</v>
      </c>
      <c r="AH526" s="378">
        <f>IF(NFI_Expiration=1,IF($A526&lt;VLOOKUP(Q$5,NFI,5,0),1,0)*Table_NFI[[#This Row],[Plastic Mat]],Table_NFI[Plastic Mat])*IF(Table_NFI[[#This Row],[Distribution Date]]&gt;"2014-04-01",1,2.5)</f>
        <v>0</v>
      </c>
      <c r="AI526" s="378">
        <f>IF(NFI_Expiration=1,IF($A526&lt;VLOOKUP(R$5,NFI,5,0),1,0)*Table_NFI[[#This Row],[Winter Clothes Adult]],Table_NFI[Winter Clothes Adult])</f>
        <v>0</v>
      </c>
      <c r="AJ526" s="378">
        <f>IF(NFI_Expiration=1,IF($A526&lt;VLOOKUP(S$5,NFI,5,0),1,0)*Table_NFI[[#This Row],[Winter Clothes Children]],Table_NFI[Winter Clothes Children])</f>
        <v>0</v>
      </c>
      <c r="AK526" s="378">
        <f>IF(NFI_Expiration=1,IF($A526&lt;VLOOKUP(T$5,NFI,5,0),1,0)*Table_NFI[[#This Row],[Winter Items Other]],Table_NFI[Winter Items Other])</f>
        <v>0</v>
      </c>
      <c r="AL526" s="378">
        <f>IF(NFI_Expiration=1,IF($A526&lt;VLOOKUP(M$5,NFI,5,0),1,0)*Table_NFI[[#This Row],[Winter Blanket]],Table_NFI[[#This Row],[Winter Blanket]])</f>
        <v>0</v>
      </c>
      <c r="AM526" s="378">
        <f>IF(Table_NFI[[#This Row],[Winter Clothes Adult]]+Table_NFI[[#This Row],[Winter Clothes Children]]+Table_NFI[[#This Row],[Winter Items Other]]+Table_NFI[[#This Row],[Winter Blanket]]&gt;0,1,0)</f>
        <v>0</v>
      </c>
      <c r="AN526" s="418">
        <f>IF(NFI_Expiration=1,IF($A526&lt;VLOOKUP(V$5,NFI,5,0),1,0)*Table_NFI[[#This Row],[Jerry Can]],Table_NFI[Jerry Can])</f>
        <v>0</v>
      </c>
      <c r="AO526" s="579" t="str">
        <f>IFERROR(VLOOKUP(Table_NFI[[#This Row],[Camp Name]],CL,2,0),"")</f>
        <v>MMR001CMP057</v>
      </c>
      <c r="AP526" s="574">
        <f ca="1">IF(Table_NFI[[#This Row],[Pcode]]="","",IF(OFFSET(CampList[Opening Date],MATCH(Table_NFI[[#This Row],[Pcode]],CampList[CP_Pcode],0)-1,0,1,1)&gt;=NFI_Monitor_Date,1,0))</f>
        <v>0</v>
      </c>
      <c r="AQ526" s="579" t="str">
        <f>IFERROR(VLOOKUP(Table_NFI[[#This Row],[Camp Name]],CL,3,0),"")</f>
        <v>Closed</v>
      </c>
      <c r="AR526" s="378" t="str">
        <f ca="1">IF(Table_NFI[[#This Row],[Pcode]]="","",OFFSET(CampList[Priority],MATCH(Table_NFI[[#This Row],[Pcode]],CampList[CP_Pcode],0)-1,0,1,1))</f>
        <v>P4</v>
      </c>
      <c r="AS526" s="377" t="str">
        <f>IFERROR(Table_NFI[[#This Row],[Kitchen Set]]/VLOOKUP(Table_NFI[[#This Row],[Camp Name]],CL,4,0),"")</f>
        <v/>
      </c>
      <c r="AT526" s="572" t="s">
        <v>1095</v>
      </c>
      <c r="AU526" s="575"/>
    </row>
    <row r="527" spans="1:47" s="576" customFormat="1" x14ac:dyDescent="0.25">
      <c r="A527" s="381">
        <f t="shared" si="8"/>
        <v>45.1</v>
      </c>
      <c r="B527" s="571">
        <v>41169</v>
      </c>
      <c r="C527" s="572" t="s">
        <v>454</v>
      </c>
      <c r="D527" s="572" t="s">
        <v>454</v>
      </c>
      <c r="E527" s="572" t="s">
        <v>380</v>
      </c>
      <c r="F527" s="374" t="s">
        <v>185</v>
      </c>
      <c r="G527" s="374" t="s">
        <v>211</v>
      </c>
      <c r="H527" s="375"/>
      <c r="I527" s="375"/>
      <c r="J527" s="375"/>
      <c r="K527" s="375">
        <v>86</v>
      </c>
      <c r="L527" s="378">
        <v>43</v>
      </c>
      <c r="M527" s="378">
        <v>86</v>
      </c>
      <c r="N527" s="378">
        <v>43</v>
      </c>
      <c r="O527" s="378">
        <v>43</v>
      </c>
      <c r="P527" s="378">
        <v>43</v>
      </c>
      <c r="Q527" s="378">
        <v>43</v>
      </c>
      <c r="R527" s="378"/>
      <c r="S527" s="378"/>
      <c r="T527" s="378"/>
      <c r="U527" s="378"/>
      <c r="V527" s="533"/>
      <c r="W527" s="378"/>
      <c r="X527" s="378"/>
      <c r="Y527" s="378">
        <f>IF(NFI_Expiration=1,IF($A527&lt;VLOOKUP(H$5,NFI,5,0),1,0)*Table_NFI[[#This Row],[Hygiene Kit]],Table_NFI[Hygiene Kit])</f>
        <v>0</v>
      </c>
      <c r="Z527" s="378">
        <f>IF(NFI_Expiration=1,IF($A527&lt;VLOOKUP(I$5,NFI,5,0),1,0)*Table_NFI[[#This Row],[NFI Core Kit]],Table_NFI[NFI Core Kit])</f>
        <v>0</v>
      </c>
      <c r="AA527" s="378">
        <f>IF(NFI_Expiration=1,IF($A527&lt;VLOOKUP(J$5,NFI,5,0),1,0)*Table_NFI[[#This Row],[Sanitary Kit]],Table_NFI[Sanitary Kit])</f>
        <v>0</v>
      </c>
      <c r="AB527" s="378">
        <f>IF(NFI_Expiration=1,IF($A527&lt;VLOOKUP(K$5,NFI,5,0),1,0)*Table_NFI[[#This Row],[Mosquito net]],Table_NFI[Mosquito net])</f>
        <v>0</v>
      </c>
      <c r="AC527" s="378">
        <f>IF(NFI_Expiration=1,IF($A527&lt;VLOOKUP(L$5,NFI,5,0),1,0)*Table_NFI[[#This Row],[Tarpaulin]],Table_NFI[[#This Row],[Tarpaulin]])</f>
        <v>0</v>
      </c>
      <c r="AD527" s="378">
        <f>IF(NFI_Expiration=1,IF($A527&lt;VLOOKUP(M$5,NFI,5,0),1,0)*Table_NFI[[#This Row],[Blanket]],Table_NFI[[#This Row],[Blanket]])</f>
        <v>0</v>
      </c>
      <c r="AE527" s="378">
        <f>IF(NFI_Expiration=1,IF($A527&lt;VLOOKUP(N$5,NFI,5,0),1,0)*Table_NFI[[#This Row],[Kitchen Set]],Table_NFI[Kitchen Set])</f>
        <v>0</v>
      </c>
      <c r="AF527" s="378">
        <f>IF(NFI_Expiration=1,IF($A527&lt;VLOOKUP(O$5,NFI,5,0),1,0)*Table_NFI[[#This Row],[Clothes Kit]],Table_NFI[Clothes Kit])</f>
        <v>0</v>
      </c>
      <c r="AG527" s="378">
        <f>IF(NFI_Expiration=1,IF($A527&lt;VLOOKUP(P$5,NFI,5,0),1,0)*Table_NFI[[#This Row],[Plastic Bucket]],Table_NFI[Plastic Bucket])</f>
        <v>0</v>
      </c>
      <c r="AH527" s="378">
        <f>IF(NFI_Expiration=1,IF($A527&lt;VLOOKUP(Q$5,NFI,5,0),1,0)*Table_NFI[[#This Row],[Plastic Mat]],Table_NFI[Plastic Mat])*IF(Table_NFI[[#This Row],[Distribution Date]]&gt;"2014-04-01",1,2.5)</f>
        <v>0</v>
      </c>
      <c r="AI527" s="378">
        <f>IF(NFI_Expiration=1,IF($A527&lt;VLOOKUP(R$5,NFI,5,0),1,0)*Table_NFI[[#This Row],[Winter Clothes Adult]],Table_NFI[Winter Clothes Adult])</f>
        <v>0</v>
      </c>
      <c r="AJ527" s="378">
        <f>IF(NFI_Expiration=1,IF($A527&lt;VLOOKUP(S$5,NFI,5,0),1,0)*Table_NFI[[#This Row],[Winter Clothes Children]],Table_NFI[Winter Clothes Children])</f>
        <v>0</v>
      </c>
      <c r="AK527" s="378">
        <f>IF(NFI_Expiration=1,IF($A527&lt;VLOOKUP(T$5,NFI,5,0),1,0)*Table_NFI[[#This Row],[Winter Items Other]],Table_NFI[Winter Items Other])</f>
        <v>0</v>
      </c>
      <c r="AL527" s="378">
        <f>IF(NFI_Expiration=1,IF($A527&lt;VLOOKUP(M$5,NFI,5,0),1,0)*Table_NFI[[#This Row],[Winter Blanket]],Table_NFI[[#This Row],[Winter Blanket]])</f>
        <v>0</v>
      </c>
      <c r="AM527" s="378">
        <f>IF(Table_NFI[[#This Row],[Winter Clothes Adult]]+Table_NFI[[#This Row],[Winter Clothes Children]]+Table_NFI[[#This Row],[Winter Items Other]]+Table_NFI[[#This Row],[Winter Blanket]]&gt;0,1,0)</f>
        <v>0</v>
      </c>
      <c r="AN527" s="418">
        <f>IF(NFI_Expiration=1,IF($A527&lt;VLOOKUP(V$5,NFI,5,0),1,0)*Table_NFI[[#This Row],[Jerry Can]],Table_NFI[Jerry Can])</f>
        <v>0</v>
      </c>
      <c r="AO527" s="579" t="str">
        <f>IFERROR(VLOOKUP(Table_NFI[[#This Row],[Camp Name]],CL,2,0),"")</f>
        <v>MMR001CMP057</v>
      </c>
      <c r="AP527" s="574">
        <f ca="1">IF(Table_NFI[[#This Row],[Pcode]]="","",IF(OFFSET(CampList[Opening Date],MATCH(Table_NFI[[#This Row],[Pcode]],CampList[CP_Pcode],0)-1,0,1,1)&gt;=NFI_Monitor_Date,1,0))</f>
        <v>0</v>
      </c>
      <c r="AQ527" s="579" t="str">
        <f>IFERROR(VLOOKUP(Table_NFI[[#This Row],[Camp Name]],CL,3,0),"")</f>
        <v>Closed</v>
      </c>
      <c r="AR527" s="378" t="str">
        <f ca="1">IF(Table_NFI[[#This Row],[Pcode]]="","",OFFSET(CampList[Priority],MATCH(Table_NFI[[#This Row],[Pcode]],CampList[CP_Pcode],0)-1,0,1,1))</f>
        <v>P4</v>
      </c>
      <c r="AS527" s="377" t="str">
        <f>IFERROR(Table_NFI[[#This Row],[Kitchen Set]]/VLOOKUP(Table_NFI[[#This Row],[Camp Name]],CL,4,0),"")</f>
        <v/>
      </c>
      <c r="AT527" s="572" t="s">
        <v>1095</v>
      </c>
      <c r="AU527" s="575"/>
    </row>
    <row r="528" spans="1:47" s="576" customFormat="1" x14ac:dyDescent="0.25">
      <c r="A528" s="381">
        <f t="shared" si="8"/>
        <v>48.56666666666667</v>
      </c>
      <c r="B528" s="571">
        <v>41065</v>
      </c>
      <c r="C528" s="572" t="s">
        <v>454</v>
      </c>
      <c r="D528" s="572" t="s">
        <v>454</v>
      </c>
      <c r="E528" s="572" t="s">
        <v>380</v>
      </c>
      <c r="F528" s="572" t="s">
        <v>185</v>
      </c>
      <c r="G528" s="374" t="s">
        <v>211</v>
      </c>
      <c r="H528" s="375"/>
      <c r="I528" s="375"/>
      <c r="J528" s="375"/>
      <c r="K528" s="375">
        <v>10</v>
      </c>
      <c r="L528" s="376">
        <v>5</v>
      </c>
      <c r="M528" s="376">
        <v>10</v>
      </c>
      <c r="N528" s="376">
        <v>5</v>
      </c>
      <c r="O528" s="376">
        <v>5</v>
      </c>
      <c r="P528" s="378">
        <v>5</v>
      </c>
      <c r="Q528" s="378">
        <v>5</v>
      </c>
      <c r="R528" s="378"/>
      <c r="S528" s="378"/>
      <c r="T528" s="378"/>
      <c r="U528" s="378"/>
      <c r="V528" s="533"/>
      <c r="W528" s="378"/>
      <c r="X528" s="378"/>
      <c r="Y528" s="378">
        <f>IF(NFI_Expiration=1,IF($A528&lt;VLOOKUP(H$5,NFI,5,0),1,0)*Table_NFI[[#This Row],[Hygiene Kit]],Table_NFI[Hygiene Kit])</f>
        <v>0</v>
      </c>
      <c r="Z528" s="378">
        <f>IF(NFI_Expiration=1,IF($A528&lt;VLOOKUP(I$5,NFI,5,0),1,0)*Table_NFI[[#This Row],[NFI Core Kit]],Table_NFI[NFI Core Kit])</f>
        <v>0</v>
      </c>
      <c r="AA528" s="378">
        <f>IF(NFI_Expiration=1,IF($A528&lt;VLOOKUP(J$5,NFI,5,0),1,0)*Table_NFI[[#This Row],[Sanitary Kit]],Table_NFI[Sanitary Kit])</f>
        <v>0</v>
      </c>
      <c r="AB528" s="378">
        <f>IF(NFI_Expiration=1,IF($A528&lt;VLOOKUP(K$5,NFI,5,0),1,0)*Table_NFI[[#This Row],[Mosquito net]],Table_NFI[Mosquito net])</f>
        <v>0</v>
      </c>
      <c r="AC528" s="378">
        <f>IF(NFI_Expiration=1,IF($A528&lt;VLOOKUP(L$5,NFI,5,0),1,0)*Table_NFI[[#This Row],[Tarpaulin]],Table_NFI[[#This Row],[Tarpaulin]])</f>
        <v>0</v>
      </c>
      <c r="AD528" s="378">
        <f>IF(NFI_Expiration=1,IF($A528&lt;VLOOKUP(M$5,NFI,5,0),1,0)*Table_NFI[[#This Row],[Blanket]],Table_NFI[[#This Row],[Blanket]])</f>
        <v>0</v>
      </c>
      <c r="AE528" s="378">
        <f>IF(NFI_Expiration=1,IF($A528&lt;VLOOKUP(N$5,NFI,5,0),1,0)*Table_NFI[[#This Row],[Kitchen Set]],Table_NFI[Kitchen Set])</f>
        <v>0</v>
      </c>
      <c r="AF528" s="378">
        <f>IF(NFI_Expiration=1,IF($A528&lt;VLOOKUP(O$5,NFI,5,0),1,0)*Table_NFI[[#This Row],[Clothes Kit]],Table_NFI[Clothes Kit])</f>
        <v>0</v>
      </c>
      <c r="AG528" s="378">
        <f>IF(NFI_Expiration=1,IF($A528&lt;VLOOKUP(P$5,NFI,5,0),1,0)*Table_NFI[[#This Row],[Plastic Bucket]],Table_NFI[Plastic Bucket])</f>
        <v>0</v>
      </c>
      <c r="AH528" s="378">
        <f>IF(NFI_Expiration=1,IF($A528&lt;VLOOKUP(Q$5,NFI,5,0),1,0)*Table_NFI[[#This Row],[Plastic Mat]],Table_NFI[Plastic Mat])*IF(Table_NFI[[#This Row],[Distribution Date]]&gt;"2014-04-01",1,2.5)</f>
        <v>0</v>
      </c>
      <c r="AI528" s="378">
        <f>IF(NFI_Expiration=1,IF($A528&lt;VLOOKUP(R$5,NFI,5,0),1,0)*Table_NFI[[#This Row],[Winter Clothes Adult]],Table_NFI[Winter Clothes Adult])</f>
        <v>0</v>
      </c>
      <c r="AJ528" s="378">
        <f>IF(NFI_Expiration=1,IF($A528&lt;VLOOKUP(S$5,NFI,5,0),1,0)*Table_NFI[[#This Row],[Winter Clothes Children]],Table_NFI[Winter Clothes Children])</f>
        <v>0</v>
      </c>
      <c r="AK528" s="378">
        <f>IF(NFI_Expiration=1,IF($A528&lt;VLOOKUP(T$5,NFI,5,0),1,0)*Table_NFI[[#This Row],[Winter Items Other]],Table_NFI[Winter Items Other])</f>
        <v>0</v>
      </c>
      <c r="AL528" s="378">
        <f>IF(NFI_Expiration=1,IF($A528&lt;VLOOKUP(M$5,NFI,5,0),1,0)*Table_NFI[[#This Row],[Winter Blanket]],Table_NFI[[#This Row],[Winter Blanket]])</f>
        <v>0</v>
      </c>
      <c r="AM528" s="378">
        <f>IF(Table_NFI[[#This Row],[Winter Clothes Adult]]+Table_NFI[[#This Row],[Winter Clothes Children]]+Table_NFI[[#This Row],[Winter Items Other]]+Table_NFI[[#This Row],[Winter Blanket]]&gt;0,1,0)</f>
        <v>0</v>
      </c>
      <c r="AN528" s="418">
        <f>IF(NFI_Expiration=1,IF($A528&lt;VLOOKUP(V$5,NFI,5,0),1,0)*Table_NFI[[#This Row],[Jerry Can]],Table_NFI[Jerry Can])</f>
        <v>0</v>
      </c>
      <c r="AO528" s="579" t="str">
        <f>IFERROR(VLOOKUP(Table_NFI[[#This Row],[Camp Name]],CL,2,0),"")</f>
        <v>MMR001CMP057</v>
      </c>
      <c r="AP528" s="574">
        <f ca="1">IF(Table_NFI[[#This Row],[Pcode]]="","",IF(OFFSET(CampList[Opening Date],MATCH(Table_NFI[[#This Row],[Pcode]],CampList[CP_Pcode],0)-1,0,1,1)&gt;=NFI_Monitor_Date,1,0))</f>
        <v>0</v>
      </c>
      <c r="AQ528" s="579" t="str">
        <f>IFERROR(VLOOKUP(Table_NFI[[#This Row],[Camp Name]],CL,3,0),"")</f>
        <v>Closed</v>
      </c>
      <c r="AR528" s="378" t="str">
        <f ca="1">IF(Table_NFI[[#This Row],[Pcode]]="","",OFFSET(CampList[Priority],MATCH(Table_NFI[[#This Row],[Pcode]],CampList[CP_Pcode],0)-1,0,1,1))</f>
        <v>P4</v>
      </c>
      <c r="AS528" s="377" t="str">
        <f>IFERROR(Table_NFI[[#This Row],[Kitchen Set]]/VLOOKUP(Table_NFI[[#This Row],[Camp Name]],CL,4,0),"")</f>
        <v/>
      </c>
      <c r="AT528" s="572" t="s">
        <v>1095</v>
      </c>
      <c r="AU528" s="575"/>
    </row>
    <row r="529" spans="1:47" s="576" customFormat="1" x14ac:dyDescent="0.25">
      <c r="A529" s="381">
        <f t="shared" si="8"/>
        <v>50.6</v>
      </c>
      <c r="B529" s="571">
        <v>41004</v>
      </c>
      <c r="C529" s="572" t="s">
        <v>454</v>
      </c>
      <c r="D529" s="573" t="s">
        <v>454</v>
      </c>
      <c r="E529" s="572" t="s">
        <v>380</v>
      </c>
      <c r="F529" s="374" t="s">
        <v>185</v>
      </c>
      <c r="G529" s="374" t="s">
        <v>211</v>
      </c>
      <c r="H529" s="375"/>
      <c r="I529" s="375"/>
      <c r="J529" s="375"/>
      <c r="K529" s="375">
        <v>0</v>
      </c>
      <c r="L529" s="376">
        <v>50</v>
      </c>
      <c r="M529" s="376">
        <v>0</v>
      </c>
      <c r="N529" s="376">
        <v>0</v>
      </c>
      <c r="O529" s="376">
        <v>0</v>
      </c>
      <c r="P529" s="378"/>
      <c r="Q529" s="378"/>
      <c r="R529" s="378"/>
      <c r="S529" s="378"/>
      <c r="T529" s="378"/>
      <c r="U529" s="378"/>
      <c r="V529" s="533"/>
      <c r="W529" s="378"/>
      <c r="X529" s="378"/>
      <c r="Y529" s="378">
        <f>IF(NFI_Expiration=1,IF($A529&lt;VLOOKUP(H$5,NFI,5,0),1,0)*Table_NFI[[#This Row],[Hygiene Kit]],Table_NFI[Hygiene Kit])</f>
        <v>0</v>
      </c>
      <c r="Z529" s="378">
        <f>IF(NFI_Expiration=1,IF($A529&lt;VLOOKUP(I$5,NFI,5,0),1,0)*Table_NFI[[#This Row],[NFI Core Kit]],Table_NFI[NFI Core Kit])</f>
        <v>0</v>
      </c>
      <c r="AA529" s="378">
        <f>IF(NFI_Expiration=1,IF($A529&lt;VLOOKUP(J$5,NFI,5,0),1,0)*Table_NFI[[#This Row],[Sanitary Kit]],Table_NFI[Sanitary Kit])</f>
        <v>0</v>
      </c>
      <c r="AB529" s="378">
        <f>IF(NFI_Expiration=1,IF($A529&lt;VLOOKUP(K$5,NFI,5,0),1,0)*Table_NFI[[#This Row],[Mosquito net]],Table_NFI[Mosquito net])</f>
        <v>0</v>
      </c>
      <c r="AC529" s="378">
        <f>IF(NFI_Expiration=1,IF($A529&lt;VLOOKUP(L$5,NFI,5,0),1,0)*Table_NFI[[#This Row],[Tarpaulin]],Table_NFI[[#This Row],[Tarpaulin]])</f>
        <v>0</v>
      </c>
      <c r="AD529" s="378">
        <f>IF(NFI_Expiration=1,IF($A529&lt;VLOOKUP(M$5,NFI,5,0),1,0)*Table_NFI[[#This Row],[Blanket]],Table_NFI[[#This Row],[Blanket]])</f>
        <v>0</v>
      </c>
      <c r="AE529" s="378">
        <f>IF(NFI_Expiration=1,IF($A529&lt;VLOOKUP(N$5,NFI,5,0),1,0)*Table_NFI[[#This Row],[Kitchen Set]],Table_NFI[Kitchen Set])</f>
        <v>0</v>
      </c>
      <c r="AF529" s="378">
        <f>IF(NFI_Expiration=1,IF($A529&lt;VLOOKUP(O$5,NFI,5,0),1,0)*Table_NFI[[#This Row],[Clothes Kit]],Table_NFI[Clothes Kit])</f>
        <v>0</v>
      </c>
      <c r="AG529" s="378">
        <f>IF(NFI_Expiration=1,IF($A529&lt;VLOOKUP(P$5,NFI,5,0),1,0)*Table_NFI[[#This Row],[Plastic Bucket]],Table_NFI[Plastic Bucket])</f>
        <v>0</v>
      </c>
      <c r="AH529" s="378">
        <f>IF(NFI_Expiration=1,IF($A529&lt;VLOOKUP(Q$5,NFI,5,0),1,0)*Table_NFI[[#This Row],[Plastic Mat]],Table_NFI[Plastic Mat])*IF(Table_NFI[[#This Row],[Distribution Date]]&gt;"2014-04-01",1,2.5)</f>
        <v>0</v>
      </c>
      <c r="AI529" s="378">
        <f>IF(NFI_Expiration=1,IF($A529&lt;VLOOKUP(R$5,NFI,5,0),1,0)*Table_NFI[[#This Row],[Winter Clothes Adult]],Table_NFI[Winter Clothes Adult])</f>
        <v>0</v>
      </c>
      <c r="AJ529" s="378">
        <f>IF(NFI_Expiration=1,IF($A529&lt;VLOOKUP(S$5,NFI,5,0),1,0)*Table_NFI[[#This Row],[Winter Clothes Children]],Table_NFI[Winter Clothes Children])</f>
        <v>0</v>
      </c>
      <c r="AK529" s="378">
        <f>IF(NFI_Expiration=1,IF($A529&lt;VLOOKUP(T$5,NFI,5,0),1,0)*Table_NFI[[#This Row],[Winter Items Other]],Table_NFI[Winter Items Other])</f>
        <v>0</v>
      </c>
      <c r="AL529" s="378">
        <f>IF(NFI_Expiration=1,IF($A529&lt;VLOOKUP(M$5,NFI,5,0),1,0)*Table_NFI[[#This Row],[Winter Blanket]],Table_NFI[[#This Row],[Winter Blanket]])</f>
        <v>0</v>
      </c>
      <c r="AM529" s="378">
        <f>IF(Table_NFI[[#This Row],[Winter Clothes Adult]]+Table_NFI[[#This Row],[Winter Clothes Children]]+Table_NFI[[#This Row],[Winter Items Other]]+Table_NFI[[#This Row],[Winter Blanket]]&gt;0,1,0)</f>
        <v>0</v>
      </c>
      <c r="AN529" s="418">
        <f>IF(NFI_Expiration=1,IF($A529&lt;VLOOKUP(V$5,NFI,5,0),1,0)*Table_NFI[[#This Row],[Jerry Can]],Table_NFI[Jerry Can])</f>
        <v>0</v>
      </c>
      <c r="AO529" s="579" t="str">
        <f>IFERROR(VLOOKUP(Table_NFI[[#This Row],[Camp Name]],CL,2,0),"")</f>
        <v>MMR001CMP057</v>
      </c>
      <c r="AP529" s="574">
        <f ca="1">IF(Table_NFI[[#This Row],[Pcode]]="","",IF(OFFSET(CampList[Opening Date],MATCH(Table_NFI[[#This Row],[Pcode]],CampList[CP_Pcode],0)-1,0,1,1)&gt;=NFI_Monitor_Date,1,0))</f>
        <v>0</v>
      </c>
      <c r="AQ529" s="579" t="str">
        <f>IFERROR(VLOOKUP(Table_NFI[[#This Row],[Camp Name]],CL,3,0),"")</f>
        <v>Closed</v>
      </c>
      <c r="AR529" s="378" t="str">
        <f ca="1">IF(Table_NFI[[#This Row],[Pcode]]="","",OFFSET(CampList[Priority],MATCH(Table_NFI[[#This Row],[Pcode]],CampList[CP_Pcode],0)-1,0,1,1))</f>
        <v>P4</v>
      </c>
      <c r="AS529" s="377" t="str">
        <f>IFERROR(Table_NFI[[#This Row],[Kitchen Set]]/VLOOKUP(Table_NFI[[#This Row],[Camp Name]],CL,4,0),"")</f>
        <v/>
      </c>
      <c r="AT529" s="572" t="s">
        <v>1095</v>
      </c>
      <c r="AU529" s="575"/>
    </row>
    <row r="530" spans="1:47" s="576" customFormat="1" x14ac:dyDescent="0.25">
      <c r="A530" s="381">
        <f t="shared" si="8"/>
        <v>50.93333333333333</v>
      </c>
      <c r="B530" s="571">
        <v>40994</v>
      </c>
      <c r="C530" s="572" t="s">
        <v>454</v>
      </c>
      <c r="D530" s="573" t="s">
        <v>454</v>
      </c>
      <c r="E530" s="572" t="s">
        <v>380</v>
      </c>
      <c r="F530" s="374" t="s">
        <v>185</v>
      </c>
      <c r="G530" s="374" t="s">
        <v>211</v>
      </c>
      <c r="H530" s="375"/>
      <c r="I530" s="375"/>
      <c r="J530" s="375"/>
      <c r="K530" s="375">
        <v>49</v>
      </c>
      <c r="L530" s="376">
        <v>49</v>
      </c>
      <c r="M530" s="376">
        <v>0</v>
      </c>
      <c r="N530" s="376">
        <v>0</v>
      </c>
      <c r="O530" s="376">
        <v>49</v>
      </c>
      <c r="P530" s="378">
        <v>49</v>
      </c>
      <c r="Q530" s="378">
        <v>49</v>
      </c>
      <c r="R530" s="378"/>
      <c r="S530" s="378"/>
      <c r="T530" s="378"/>
      <c r="U530" s="378"/>
      <c r="V530" s="533"/>
      <c r="W530" s="378"/>
      <c r="X530" s="378"/>
      <c r="Y530" s="378">
        <f>IF(NFI_Expiration=1,IF($A530&lt;VLOOKUP(H$5,NFI,5,0),1,0)*Table_NFI[[#This Row],[Hygiene Kit]],Table_NFI[Hygiene Kit])</f>
        <v>0</v>
      </c>
      <c r="Z530" s="378">
        <f>IF(NFI_Expiration=1,IF($A530&lt;VLOOKUP(I$5,NFI,5,0),1,0)*Table_NFI[[#This Row],[NFI Core Kit]],Table_NFI[NFI Core Kit])</f>
        <v>0</v>
      </c>
      <c r="AA530" s="378">
        <f>IF(NFI_Expiration=1,IF($A530&lt;VLOOKUP(J$5,NFI,5,0),1,0)*Table_NFI[[#This Row],[Sanitary Kit]],Table_NFI[Sanitary Kit])</f>
        <v>0</v>
      </c>
      <c r="AB530" s="378">
        <f>IF(NFI_Expiration=1,IF($A530&lt;VLOOKUP(K$5,NFI,5,0),1,0)*Table_NFI[[#This Row],[Mosquito net]],Table_NFI[Mosquito net])</f>
        <v>0</v>
      </c>
      <c r="AC530" s="378">
        <f>IF(NFI_Expiration=1,IF($A530&lt;VLOOKUP(L$5,NFI,5,0),1,0)*Table_NFI[[#This Row],[Tarpaulin]],Table_NFI[[#This Row],[Tarpaulin]])</f>
        <v>0</v>
      </c>
      <c r="AD530" s="378">
        <f>IF(NFI_Expiration=1,IF($A530&lt;VLOOKUP(M$5,NFI,5,0),1,0)*Table_NFI[[#This Row],[Blanket]],Table_NFI[[#This Row],[Blanket]])</f>
        <v>0</v>
      </c>
      <c r="AE530" s="378">
        <f>IF(NFI_Expiration=1,IF($A530&lt;VLOOKUP(N$5,NFI,5,0),1,0)*Table_NFI[[#This Row],[Kitchen Set]],Table_NFI[Kitchen Set])</f>
        <v>0</v>
      </c>
      <c r="AF530" s="378">
        <f>IF(NFI_Expiration=1,IF($A530&lt;VLOOKUP(O$5,NFI,5,0),1,0)*Table_NFI[[#This Row],[Clothes Kit]],Table_NFI[Clothes Kit])</f>
        <v>0</v>
      </c>
      <c r="AG530" s="378">
        <f>IF(NFI_Expiration=1,IF($A530&lt;VLOOKUP(P$5,NFI,5,0),1,0)*Table_NFI[[#This Row],[Plastic Bucket]],Table_NFI[Plastic Bucket])</f>
        <v>0</v>
      </c>
      <c r="AH530" s="378">
        <f>IF(NFI_Expiration=1,IF($A530&lt;VLOOKUP(Q$5,NFI,5,0),1,0)*Table_NFI[[#This Row],[Plastic Mat]],Table_NFI[Plastic Mat])*IF(Table_NFI[[#This Row],[Distribution Date]]&gt;"2014-04-01",1,2.5)</f>
        <v>0</v>
      </c>
      <c r="AI530" s="378">
        <f>IF(NFI_Expiration=1,IF($A530&lt;VLOOKUP(R$5,NFI,5,0),1,0)*Table_NFI[[#This Row],[Winter Clothes Adult]],Table_NFI[Winter Clothes Adult])</f>
        <v>0</v>
      </c>
      <c r="AJ530" s="378">
        <f>IF(NFI_Expiration=1,IF($A530&lt;VLOOKUP(S$5,NFI,5,0),1,0)*Table_NFI[[#This Row],[Winter Clothes Children]],Table_NFI[Winter Clothes Children])</f>
        <v>0</v>
      </c>
      <c r="AK530" s="378">
        <f>IF(NFI_Expiration=1,IF($A530&lt;VLOOKUP(T$5,NFI,5,0),1,0)*Table_NFI[[#This Row],[Winter Items Other]],Table_NFI[Winter Items Other])</f>
        <v>0</v>
      </c>
      <c r="AL530" s="378">
        <f>IF(NFI_Expiration=1,IF($A530&lt;VLOOKUP(M$5,NFI,5,0),1,0)*Table_NFI[[#This Row],[Winter Blanket]],Table_NFI[[#This Row],[Winter Blanket]])</f>
        <v>0</v>
      </c>
      <c r="AM530" s="378">
        <f>IF(Table_NFI[[#This Row],[Winter Clothes Adult]]+Table_NFI[[#This Row],[Winter Clothes Children]]+Table_NFI[[#This Row],[Winter Items Other]]+Table_NFI[[#This Row],[Winter Blanket]]&gt;0,1,0)</f>
        <v>0</v>
      </c>
      <c r="AN530" s="418">
        <f>IF(NFI_Expiration=1,IF($A530&lt;VLOOKUP(V$5,NFI,5,0),1,0)*Table_NFI[[#This Row],[Jerry Can]],Table_NFI[Jerry Can])</f>
        <v>0</v>
      </c>
      <c r="AO530" s="579" t="str">
        <f>IFERROR(VLOOKUP(Table_NFI[[#This Row],[Camp Name]],CL,2,0),"")</f>
        <v>MMR001CMP057</v>
      </c>
      <c r="AP530" s="574">
        <f ca="1">IF(Table_NFI[[#This Row],[Pcode]]="","",IF(OFFSET(CampList[Opening Date],MATCH(Table_NFI[[#This Row],[Pcode]],CampList[CP_Pcode],0)-1,0,1,1)&gt;=NFI_Monitor_Date,1,0))</f>
        <v>0</v>
      </c>
      <c r="AQ530" s="579" t="str">
        <f>IFERROR(VLOOKUP(Table_NFI[[#This Row],[Camp Name]],CL,3,0),"")</f>
        <v>Closed</v>
      </c>
      <c r="AR530" s="378" t="str">
        <f ca="1">IF(Table_NFI[[#This Row],[Pcode]]="","",OFFSET(CampList[Priority],MATCH(Table_NFI[[#This Row],[Pcode]],CampList[CP_Pcode],0)-1,0,1,1))</f>
        <v>P4</v>
      </c>
      <c r="AS530" s="377" t="str">
        <f>IFERROR(Table_NFI[[#This Row],[Kitchen Set]]/VLOOKUP(Table_NFI[[#This Row],[Camp Name]],CL,4,0),"")</f>
        <v/>
      </c>
      <c r="AT530" s="572" t="s">
        <v>1095</v>
      </c>
      <c r="AU530" s="575"/>
    </row>
    <row r="531" spans="1:47" s="576" customFormat="1" x14ac:dyDescent="0.25">
      <c r="A531" s="381">
        <f t="shared" si="8"/>
        <v>39.966666666666669</v>
      </c>
      <c r="B531" s="571">
        <v>41323</v>
      </c>
      <c r="C531" s="572" t="s">
        <v>454</v>
      </c>
      <c r="D531" s="573" t="s">
        <v>462</v>
      </c>
      <c r="E531" s="572" t="s">
        <v>555</v>
      </c>
      <c r="F531" s="374" t="s">
        <v>230</v>
      </c>
      <c r="G531" s="374" t="s">
        <v>233</v>
      </c>
      <c r="H531" s="375"/>
      <c r="I531" s="375"/>
      <c r="J531" s="375">
        <v>60</v>
      </c>
      <c r="K531" s="375">
        <v>60</v>
      </c>
      <c r="L531" s="376">
        <v>30</v>
      </c>
      <c r="M531" s="376">
        <v>60</v>
      </c>
      <c r="N531" s="376">
        <v>30</v>
      </c>
      <c r="O531" s="376">
        <v>30</v>
      </c>
      <c r="P531" s="378">
        <v>30</v>
      </c>
      <c r="Q531" s="378">
        <v>30</v>
      </c>
      <c r="R531" s="378"/>
      <c r="S531" s="378"/>
      <c r="T531" s="378"/>
      <c r="U531" s="378"/>
      <c r="V531" s="533"/>
      <c r="W531" s="378"/>
      <c r="X531" s="378"/>
      <c r="Y531" s="378">
        <f>IF(NFI_Expiration=1,IF($A531&lt;VLOOKUP(H$5,NFI,5,0),1,0)*Table_NFI[[#This Row],[Hygiene Kit]],Table_NFI[Hygiene Kit])</f>
        <v>0</v>
      </c>
      <c r="Z531" s="378">
        <f>IF(NFI_Expiration=1,IF($A531&lt;VLOOKUP(I$5,NFI,5,0),1,0)*Table_NFI[[#This Row],[NFI Core Kit]],Table_NFI[NFI Core Kit])</f>
        <v>0</v>
      </c>
      <c r="AA531" s="378">
        <f>IF(NFI_Expiration=1,IF($A531&lt;VLOOKUP(J$5,NFI,5,0),1,0)*Table_NFI[[#This Row],[Sanitary Kit]],Table_NFI[Sanitary Kit])</f>
        <v>0</v>
      </c>
      <c r="AB531" s="378">
        <f>IF(NFI_Expiration=1,IF($A531&lt;VLOOKUP(K$5,NFI,5,0),1,0)*Table_NFI[[#This Row],[Mosquito net]],Table_NFI[Mosquito net])</f>
        <v>0</v>
      </c>
      <c r="AC531" s="378">
        <f>IF(NFI_Expiration=1,IF($A531&lt;VLOOKUP(L$5,NFI,5,0),1,0)*Table_NFI[[#This Row],[Tarpaulin]],Table_NFI[[#This Row],[Tarpaulin]])</f>
        <v>0</v>
      </c>
      <c r="AD531" s="378">
        <f>IF(NFI_Expiration=1,IF($A531&lt;VLOOKUP(M$5,NFI,5,0),1,0)*Table_NFI[[#This Row],[Blanket]],Table_NFI[[#This Row],[Blanket]])</f>
        <v>0</v>
      </c>
      <c r="AE531" s="378">
        <f>IF(NFI_Expiration=1,IF($A531&lt;VLOOKUP(N$5,NFI,5,0),1,0)*Table_NFI[[#This Row],[Kitchen Set]],Table_NFI[Kitchen Set])</f>
        <v>0</v>
      </c>
      <c r="AF531" s="378">
        <f>IF(NFI_Expiration=1,IF($A531&lt;VLOOKUP(O$5,NFI,5,0),1,0)*Table_NFI[[#This Row],[Clothes Kit]],Table_NFI[Clothes Kit])</f>
        <v>0</v>
      </c>
      <c r="AG531" s="378">
        <f>IF(NFI_Expiration=1,IF($A531&lt;VLOOKUP(P$5,NFI,5,0),1,0)*Table_NFI[[#This Row],[Plastic Bucket]],Table_NFI[Plastic Bucket])</f>
        <v>0</v>
      </c>
      <c r="AH531" s="378">
        <f>IF(NFI_Expiration=1,IF($A531&lt;VLOOKUP(Q$5,NFI,5,0),1,0)*Table_NFI[[#This Row],[Plastic Mat]],Table_NFI[Plastic Mat])*IF(Table_NFI[[#This Row],[Distribution Date]]&gt;"2014-04-01",1,2.5)</f>
        <v>0</v>
      </c>
      <c r="AI531" s="378">
        <f>IF(NFI_Expiration=1,IF($A531&lt;VLOOKUP(R$5,NFI,5,0),1,0)*Table_NFI[[#This Row],[Winter Clothes Adult]],Table_NFI[Winter Clothes Adult])</f>
        <v>0</v>
      </c>
      <c r="AJ531" s="378">
        <f>IF(NFI_Expiration=1,IF($A531&lt;VLOOKUP(S$5,NFI,5,0),1,0)*Table_NFI[[#This Row],[Winter Clothes Children]],Table_NFI[Winter Clothes Children])</f>
        <v>0</v>
      </c>
      <c r="AK531" s="378">
        <f>IF(NFI_Expiration=1,IF($A531&lt;VLOOKUP(T$5,NFI,5,0),1,0)*Table_NFI[[#This Row],[Winter Items Other]],Table_NFI[Winter Items Other])</f>
        <v>0</v>
      </c>
      <c r="AL531" s="378">
        <f>IF(NFI_Expiration=1,IF($A531&lt;VLOOKUP(M$5,NFI,5,0),1,0)*Table_NFI[[#This Row],[Winter Blanket]],Table_NFI[[#This Row],[Winter Blanket]])</f>
        <v>0</v>
      </c>
      <c r="AM531" s="378">
        <f>IF(Table_NFI[[#This Row],[Winter Clothes Adult]]+Table_NFI[[#This Row],[Winter Clothes Children]]+Table_NFI[[#This Row],[Winter Items Other]]+Table_NFI[[#This Row],[Winter Blanket]]&gt;0,1,0)</f>
        <v>0</v>
      </c>
      <c r="AN531" s="418">
        <f>IF(NFI_Expiration=1,IF($A531&lt;VLOOKUP(V$5,NFI,5,0),1,0)*Table_NFI[[#This Row],[Jerry Can]],Table_NFI[Jerry Can])</f>
        <v>0</v>
      </c>
      <c r="AO531" s="579" t="str">
        <f>IFERROR(VLOOKUP(Table_NFI[[#This Row],[Camp Name]],CL,2,0),"")</f>
        <v>MMR015CMP012</v>
      </c>
      <c r="AP531" s="574">
        <f ca="1">IF(Table_NFI[[#This Row],[Pcode]]="","",IF(OFFSET(CampList[Opening Date],MATCH(Table_NFI[[#This Row],[Pcode]],CampList[CP_Pcode],0)-1,0,1,1)&gt;=NFI_Monitor_Date,1,0))</f>
        <v>0</v>
      </c>
      <c r="AQ531" s="579" t="str">
        <f>IFERROR(VLOOKUP(Table_NFI[[#This Row],[Camp Name]],CL,3,0),"")</f>
        <v>Closed</v>
      </c>
      <c r="AR531" s="378" t="str">
        <f ca="1">IF(Table_NFI[[#This Row],[Pcode]]="","",OFFSET(CampList[Priority],MATCH(Table_NFI[[#This Row],[Pcode]],CampList[CP_Pcode],0)-1,0,1,1))</f>
        <v>P1</v>
      </c>
      <c r="AS531" s="377" t="str">
        <f>IFERROR(Table_NFI[[#This Row],[Kitchen Set]]/VLOOKUP(Table_NFI[[#This Row],[Camp Name]],CL,4,0),"")</f>
        <v/>
      </c>
      <c r="AT531" s="572" t="s">
        <v>1095</v>
      </c>
      <c r="AU531" s="575"/>
    </row>
    <row r="532" spans="1:47" s="576" customFormat="1" x14ac:dyDescent="0.25">
      <c r="A532" s="381">
        <f t="shared" si="8"/>
        <v>47.133333333333333</v>
      </c>
      <c r="B532" s="571">
        <v>41108</v>
      </c>
      <c r="C532" s="572" t="s">
        <v>454</v>
      </c>
      <c r="D532" s="573" t="s">
        <v>454</v>
      </c>
      <c r="E532" s="572" t="s">
        <v>380</v>
      </c>
      <c r="F532" s="374" t="s">
        <v>151</v>
      </c>
      <c r="G532" s="374" t="s">
        <v>520</v>
      </c>
      <c r="H532" s="375"/>
      <c r="I532" s="375"/>
      <c r="J532" s="375"/>
      <c r="K532" s="375">
        <v>170</v>
      </c>
      <c r="L532" s="376">
        <v>16</v>
      </c>
      <c r="M532" s="376">
        <v>170</v>
      </c>
      <c r="N532" s="376">
        <v>85</v>
      </c>
      <c r="O532" s="376">
        <v>85</v>
      </c>
      <c r="P532" s="378">
        <v>85</v>
      </c>
      <c r="Q532" s="378">
        <v>85</v>
      </c>
      <c r="R532" s="378"/>
      <c r="S532" s="378"/>
      <c r="T532" s="378"/>
      <c r="U532" s="378"/>
      <c r="V532" s="533"/>
      <c r="W532" s="378"/>
      <c r="X532" s="378"/>
      <c r="Y532" s="378">
        <f>IF(NFI_Expiration=1,IF($A532&lt;VLOOKUP(H$5,NFI,5,0),1,0)*Table_NFI[[#This Row],[Hygiene Kit]],Table_NFI[Hygiene Kit])</f>
        <v>0</v>
      </c>
      <c r="Z532" s="378">
        <f>IF(NFI_Expiration=1,IF($A532&lt;VLOOKUP(I$5,NFI,5,0),1,0)*Table_NFI[[#This Row],[NFI Core Kit]],Table_NFI[NFI Core Kit])</f>
        <v>0</v>
      </c>
      <c r="AA532" s="378">
        <f>IF(NFI_Expiration=1,IF($A532&lt;VLOOKUP(J$5,NFI,5,0),1,0)*Table_NFI[[#This Row],[Sanitary Kit]],Table_NFI[Sanitary Kit])</f>
        <v>0</v>
      </c>
      <c r="AB532" s="378">
        <f>IF(NFI_Expiration=1,IF($A532&lt;VLOOKUP(K$5,NFI,5,0),1,0)*Table_NFI[[#This Row],[Mosquito net]],Table_NFI[Mosquito net])</f>
        <v>0</v>
      </c>
      <c r="AC532" s="378">
        <f>IF(NFI_Expiration=1,IF($A532&lt;VLOOKUP(L$5,NFI,5,0),1,0)*Table_NFI[[#This Row],[Tarpaulin]],Table_NFI[[#This Row],[Tarpaulin]])</f>
        <v>0</v>
      </c>
      <c r="AD532" s="378">
        <f>IF(NFI_Expiration=1,IF($A532&lt;VLOOKUP(M$5,NFI,5,0),1,0)*Table_NFI[[#This Row],[Blanket]],Table_NFI[[#This Row],[Blanket]])</f>
        <v>0</v>
      </c>
      <c r="AE532" s="378">
        <f>IF(NFI_Expiration=1,IF($A532&lt;VLOOKUP(N$5,NFI,5,0),1,0)*Table_NFI[[#This Row],[Kitchen Set]],Table_NFI[Kitchen Set])</f>
        <v>0</v>
      </c>
      <c r="AF532" s="378">
        <f>IF(NFI_Expiration=1,IF($A532&lt;VLOOKUP(O$5,NFI,5,0),1,0)*Table_NFI[[#This Row],[Clothes Kit]],Table_NFI[Clothes Kit])</f>
        <v>0</v>
      </c>
      <c r="AG532" s="378">
        <f>IF(NFI_Expiration=1,IF($A532&lt;VLOOKUP(P$5,NFI,5,0),1,0)*Table_NFI[[#This Row],[Plastic Bucket]],Table_NFI[Plastic Bucket])</f>
        <v>0</v>
      </c>
      <c r="AH532" s="378">
        <f>IF(NFI_Expiration=1,IF($A532&lt;VLOOKUP(Q$5,NFI,5,0),1,0)*Table_NFI[[#This Row],[Plastic Mat]],Table_NFI[Plastic Mat])*IF(Table_NFI[[#This Row],[Distribution Date]]&gt;"2014-04-01",1,2.5)</f>
        <v>0</v>
      </c>
      <c r="AI532" s="378">
        <f>IF(NFI_Expiration=1,IF($A532&lt;VLOOKUP(R$5,NFI,5,0),1,0)*Table_NFI[[#This Row],[Winter Clothes Adult]],Table_NFI[Winter Clothes Adult])</f>
        <v>0</v>
      </c>
      <c r="AJ532" s="378">
        <f>IF(NFI_Expiration=1,IF($A532&lt;VLOOKUP(S$5,NFI,5,0),1,0)*Table_NFI[[#This Row],[Winter Clothes Children]],Table_NFI[Winter Clothes Children])</f>
        <v>0</v>
      </c>
      <c r="AK532" s="378">
        <f>IF(NFI_Expiration=1,IF($A532&lt;VLOOKUP(T$5,NFI,5,0),1,0)*Table_NFI[[#This Row],[Winter Items Other]],Table_NFI[Winter Items Other])</f>
        <v>0</v>
      </c>
      <c r="AL532" s="378">
        <f>IF(NFI_Expiration=1,IF($A532&lt;VLOOKUP(M$5,NFI,5,0),1,0)*Table_NFI[[#This Row],[Winter Blanket]],Table_NFI[[#This Row],[Winter Blanket]])</f>
        <v>0</v>
      </c>
      <c r="AM532" s="378">
        <f>IF(Table_NFI[[#This Row],[Winter Clothes Adult]]+Table_NFI[[#This Row],[Winter Clothes Children]]+Table_NFI[[#This Row],[Winter Items Other]]+Table_NFI[[#This Row],[Winter Blanket]]&gt;0,1,0)</f>
        <v>0</v>
      </c>
      <c r="AN532" s="418">
        <f>IF(NFI_Expiration=1,IF($A532&lt;VLOOKUP(V$5,NFI,5,0),1,0)*Table_NFI[[#This Row],[Jerry Can]],Table_NFI[Jerry Can])</f>
        <v>0</v>
      </c>
      <c r="AO532" s="579" t="str">
        <f>IFERROR(VLOOKUP(Table_NFI[[#This Row],[Camp Name]],CL,2,0),"")</f>
        <v>MMR001CMP203</v>
      </c>
      <c r="AP532" s="574">
        <f ca="1">IF(Table_NFI[[#This Row],[Pcode]]="","",IF(OFFSET(CampList[Opening Date],MATCH(Table_NFI[[#This Row],[Pcode]],CampList[CP_Pcode],0)-1,0,1,1)&gt;=NFI_Monitor_Date,1,0))</f>
        <v>0</v>
      </c>
      <c r="AQ532" s="579" t="str">
        <f>IFERROR(VLOOKUP(Table_NFI[[#This Row],[Camp Name]],CL,3,0),"")</f>
        <v>Closed</v>
      </c>
      <c r="AR532" s="378" t="str">
        <f ca="1">IF(Table_NFI[[#This Row],[Pcode]]="","",OFFSET(CampList[Priority],MATCH(Table_NFI[[#This Row],[Pcode]],CampList[CP_Pcode],0)-1,0,1,1))</f>
        <v/>
      </c>
      <c r="AS532" s="377" t="str">
        <f>IFERROR(Table_NFI[[#This Row],[Kitchen Set]]/VLOOKUP(Table_NFI[[#This Row],[Camp Name]],CL,4,0),"")</f>
        <v/>
      </c>
      <c r="AT532" s="572" t="s">
        <v>1095</v>
      </c>
      <c r="AU532" s="575"/>
    </row>
    <row r="533" spans="1:47" s="576" customFormat="1" x14ac:dyDescent="0.25">
      <c r="A533" s="381">
        <f t="shared" si="8"/>
        <v>34.1</v>
      </c>
      <c r="B533" s="571">
        <v>41499</v>
      </c>
      <c r="C533" s="572" t="s">
        <v>454</v>
      </c>
      <c r="D533" s="573" t="s">
        <v>508</v>
      </c>
      <c r="E533" s="572" t="s">
        <v>555</v>
      </c>
      <c r="F533" s="374" t="s">
        <v>146</v>
      </c>
      <c r="G533" s="374" t="s">
        <v>371</v>
      </c>
      <c r="H533" s="375"/>
      <c r="I533" s="375"/>
      <c r="J533" s="375">
        <v>30</v>
      </c>
      <c r="K533" s="375">
        <v>56</v>
      </c>
      <c r="L533" s="376">
        <v>23</v>
      </c>
      <c r="M533" s="376">
        <v>56</v>
      </c>
      <c r="N533" s="376">
        <v>23</v>
      </c>
      <c r="O533" s="376">
        <v>23</v>
      </c>
      <c r="P533" s="378">
        <v>23</v>
      </c>
      <c r="Q533" s="378">
        <v>23</v>
      </c>
      <c r="R533" s="378"/>
      <c r="S533" s="378"/>
      <c r="T533" s="378"/>
      <c r="U533" s="378"/>
      <c r="V533" s="533"/>
      <c r="W533" s="378"/>
      <c r="X533" s="378"/>
      <c r="Y533" s="378">
        <f>IF(NFI_Expiration=1,IF($A533&lt;VLOOKUP(H$5,NFI,5,0),1,0)*Table_NFI[[#This Row],[Hygiene Kit]],Table_NFI[Hygiene Kit])</f>
        <v>0</v>
      </c>
      <c r="Z533" s="378">
        <f>IF(NFI_Expiration=1,IF($A533&lt;VLOOKUP(I$5,NFI,5,0),1,0)*Table_NFI[[#This Row],[NFI Core Kit]],Table_NFI[NFI Core Kit])</f>
        <v>0</v>
      </c>
      <c r="AA533" s="378">
        <f>IF(NFI_Expiration=1,IF($A533&lt;VLOOKUP(J$5,NFI,5,0),1,0)*Table_NFI[[#This Row],[Sanitary Kit]],Table_NFI[Sanitary Kit])</f>
        <v>0</v>
      </c>
      <c r="AB533" s="378">
        <f>IF(NFI_Expiration=1,IF($A533&lt;VLOOKUP(K$5,NFI,5,0),1,0)*Table_NFI[[#This Row],[Mosquito net]],Table_NFI[Mosquito net])</f>
        <v>0</v>
      </c>
      <c r="AC533" s="378">
        <f>IF(NFI_Expiration=1,IF($A533&lt;VLOOKUP(L$5,NFI,5,0),1,0)*Table_NFI[[#This Row],[Tarpaulin]],Table_NFI[[#This Row],[Tarpaulin]])</f>
        <v>0</v>
      </c>
      <c r="AD533" s="378">
        <f>IF(NFI_Expiration=1,IF($A533&lt;VLOOKUP(M$5,NFI,5,0),1,0)*Table_NFI[[#This Row],[Blanket]],Table_NFI[[#This Row],[Blanket]])</f>
        <v>0</v>
      </c>
      <c r="AE533" s="378">
        <f>IF(NFI_Expiration=1,IF($A533&lt;VLOOKUP(N$5,NFI,5,0),1,0)*Table_NFI[[#This Row],[Kitchen Set]],Table_NFI[Kitchen Set])</f>
        <v>0</v>
      </c>
      <c r="AF533" s="378">
        <f>IF(NFI_Expiration=1,IF($A533&lt;VLOOKUP(O$5,NFI,5,0),1,0)*Table_NFI[[#This Row],[Clothes Kit]],Table_NFI[Clothes Kit])</f>
        <v>0</v>
      </c>
      <c r="AG533" s="378">
        <f>IF(NFI_Expiration=1,IF($A533&lt;VLOOKUP(P$5,NFI,5,0),1,0)*Table_NFI[[#This Row],[Plastic Bucket]],Table_NFI[Plastic Bucket])</f>
        <v>0</v>
      </c>
      <c r="AH533" s="378">
        <f>IF(NFI_Expiration=1,IF($A533&lt;VLOOKUP(Q$5,NFI,5,0),1,0)*Table_NFI[[#This Row],[Plastic Mat]],Table_NFI[Plastic Mat])*IF(Table_NFI[[#This Row],[Distribution Date]]&gt;"2014-04-01",1,2.5)</f>
        <v>0</v>
      </c>
      <c r="AI533" s="378">
        <f>IF(NFI_Expiration=1,IF($A533&lt;VLOOKUP(R$5,NFI,5,0),1,0)*Table_NFI[[#This Row],[Winter Clothes Adult]],Table_NFI[Winter Clothes Adult])</f>
        <v>0</v>
      </c>
      <c r="AJ533" s="378">
        <f>IF(NFI_Expiration=1,IF($A533&lt;VLOOKUP(S$5,NFI,5,0),1,0)*Table_NFI[[#This Row],[Winter Clothes Children]],Table_NFI[Winter Clothes Children])</f>
        <v>0</v>
      </c>
      <c r="AK533" s="378">
        <f>IF(NFI_Expiration=1,IF($A533&lt;VLOOKUP(T$5,NFI,5,0),1,0)*Table_NFI[[#This Row],[Winter Items Other]],Table_NFI[Winter Items Other])</f>
        <v>0</v>
      </c>
      <c r="AL533" s="378">
        <f>IF(NFI_Expiration=1,IF($A533&lt;VLOOKUP(M$5,NFI,5,0),1,0)*Table_NFI[[#This Row],[Winter Blanket]],Table_NFI[[#This Row],[Winter Blanket]])</f>
        <v>0</v>
      </c>
      <c r="AM533" s="378">
        <f>IF(Table_NFI[[#This Row],[Winter Clothes Adult]]+Table_NFI[[#This Row],[Winter Clothes Children]]+Table_NFI[[#This Row],[Winter Items Other]]+Table_NFI[[#This Row],[Winter Blanket]]&gt;0,1,0)</f>
        <v>0</v>
      </c>
      <c r="AN533" s="418">
        <f>IF(NFI_Expiration=1,IF($A533&lt;VLOOKUP(V$5,NFI,5,0),1,0)*Table_NFI[[#This Row],[Jerry Can]],Table_NFI[Jerry Can])</f>
        <v>0</v>
      </c>
      <c r="AO533" s="579" t="str">
        <f>IFERROR(VLOOKUP(Table_NFI[[#This Row],[Camp Name]],CL,2,0),"")</f>
        <v>MMR015CMP006</v>
      </c>
      <c r="AP533" s="574">
        <f ca="1">IF(Table_NFI[[#This Row],[Pcode]]="","",IF(OFFSET(CampList[Opening Date],MATCH(Table_NFI[[#This Row],[Pcode]],CampList[CP_Pcode],0)-1,0,1,1)&gt;=NFI_Monitor_Date,1,0))</f>
        <v>0</v>
      </c>
      <c r="AQ533" s="579" t="str">
        <f>IFERROR(VLOOKUP(Table_NFI[[#This Row],[Camp Name]],CL,3,0),"")</f>
        <v>Open</v>
      </c>
      <c r="AR533" s="378" t="str">
        <f ca="1">IF(Table_NFI[[#This Row],[Pcode]]="","",OFFSET(CampList[Priority],MATCH(Table_NFI[[#This Row],[Pcode]],CampList[CP_Pcode],0)-1,0,1,1))</f>
        <v>P1</v>
      </c>
      <c r="AS533" s="377">
        <f>IFERROR(Table_NFI[[#This Row],[Kitchen Set]]/VLOOKUP(Table_NFI[[#This Row],[Camp Name]],CL,4,0),"")</f>
        <v>0.46938775510204084</v>
      </c>
      <c r="AT533" s="572" t="s">
        <v>1095</v>
      </c>
      <c r="AU533" s="575"/>
    </row>
    <row r="534" spans="1:47" s="576" customFormat="1" x14ac:dyDescent="0.25">
      <c r="A534" s="381">
        <f t="shared" si="8"/>
        <v>39.966666666666669</v>
      </c>
      <c r="B534" s="571">
        <v>41323</v>
      </c>
      <c r="C534" s="572" t="s">
        <v>454</v>
      </c>
      <c r="D534" s="573" t="s">
        <v>462</v>
      </c>
      <c r="E534" s="572" t="s">
        <v>555</v>
      </c>
      <c r="F534" s="374" t="s">
        <v>146</v>
      </c>
      <c r="G534" s="374" t="s">
        <v>371</v>
      </c>
      <c r="H534" s="375"/>
      <c r="I534" s="375"/>
      <c r="J534" s="375">
        <v>93</v>
      </c>
      <c r="K534" s="375">
        <v>93</v>
      </c>
      <c r="L534" s="376">
        <v>46</v>
      </c>
      <c r="M534" s="376">
        <v>93</v>
      </c>
      <c r="N534" s="376">
        <v>46</v>
      </c>
      <c r="O534" s="376">
        <v>46</v>
      </c>
      <c r="P534" s="378">
        <v>46</v>
      </c>
      <c r="Q534" s="378">
        <v>46</v>
      </c>
      <c r="R534" s="378"/>
      <c r="S534" s="378"/>
      <c r="T534" s="378"/>
      <c r="U534" s="378"/>
      <c r="V534" s="533"/>
      <c r="W534" s="378"/>
      <c r="X534" s="378"/>
      <c r="Y534" s="378">
        <f>IF(NFI_Expiration=1,IF($A534&lt;VLOOKUP(H$5,NFI,5,0),1,0)*Table_NFI[[#This Row],[Hygiene Kit]],Table_NFI[Hygiene Kit])</f>
        <v>0</v>
      </c>
      <c r="Z534" s="378">
        <f>IF(NFI_Expiration=1,IF($A534&lt;VLOOKUP(I$5,NFI,5,0),1,0)*Table_NFI[[#This Row],[NFI Core Kit]],Table_NFI[NFI Core Kit])</f>
        <v>0</v>
      </c>
      <c r="AA534" s="378">
        <f>IF(NFI_Expiration=1,IF($A534&lt;VLOOKUP(J$5,NFI,5,0),1,0)*Table_NFI[[#This Row],[Sanitary Kit]],Table_NFI[Sanitary Kit])</f>
        <v>0</v>
      </c>
      <c r="AB534" s="378">
        <f>IF(NFI_Expiration=1,IF($A534&lt;VLOOKUP(K$5,NFI,5,0),1,0)*Table_NFI[[#This Row],[Mosquito net]],Table_NFI[Mosquito net])</f>
        <v>0</v>
      </c>
      <c r="AC534" s="378">
        <f>IF(NFI_Expiration=1,IF($A534&lt;VLOOKUP(L$5,NFI,5,0),1,0)*Table_NFI[[#This Row],[Tarpaulin]],Table_NFI[[#This Row],[Tarpaulin]])</f>
        <v>0</v>
      </c>
      <c r="AD534" s="378">
        <f>IF(NFI_Expiration=1,IF($A534&lt;VLOOKUP(M$5,NFI,5,0),1,0)*Table_NFI[[#This Row],[Blanket]],Table_NFI[[#This Row],[Blanket]])</f>
        <v>0</v>
      </c>
      <c r="AE534" s="378">
        <f>IF(NFI_Expiration=1,IF($A534&lt;VLOOKUP(N$5,NFI,5,0),1,0)*Table_NFI[[#This Row],[Kitchen Set]],Table_NFI[Kitchen Set])</f>
        <v>0</v>
      </c>
      <c r="AF534" s="378">
        <f>IF(NFI_Expiration=1,IF($A534&lt;VLOOKUP(O$5,NFI,5,0),1,0)*Table_NFI[[#This Row],[Clothes Kit]],Table_NFI[Clothes Kit])</f>
        <v>0</v>
      </c>
      <c r="AG534" s="378">
        <f>IF(NFI_Expiration=1,IF($A534&lt;VLOOKUP(P$5,NFI,5,0),1,0)*Table_NFI[[#This Row],[Plastic Bucket]],Table_NFI[Plastic Bucket])</f>
        <v>0</v>
      </c>
      <c r="AH534" s="378">
        <f>IF(NFI_Expiration=1,IF($A534&lt;VLOOKUP(Q$5,NFI,5,0),1,0)*Table_NFI[[#This Row],[Plastic Mat]],Table_NFI[Plastic Mat])*IF(Table_NFI[[#This Row],[Distribution Date]]&gt;"2014-04-01",1,2.5)</f>
        <v>0</v>
      </c>
      <c r="AI534" s="378">
        <f>IF(NFI_Expiration=1,IF($A534&lt;VLOOKUP(R$5,NFI,5,0),1,0)*Table_NFI[[#This Row],[Winter Clothes Adult]],Table_NFI[Winter Clothes Adult])</f>
        <v>0</v>
      </c>
      <c r="AJ534" s="378">
        <f>IF(NFI_Expiration=1,IF($A534&lt;VLOOKUP(S$5,NFI,5,0),1,0)*Table_NFI[[#This Row],[Winter Clothes Children]],Table_NFI[Winter Clothes Children])</f>
        <v>0</v>
      </c>
      <c r="AK534" s="378">
        <f>IF(NFI_Expiration=1,IF($A534&lt;VLOOKUP(T$5,NFI,5,0),1,0)*Table_NFI[[#This Row],[Winter Items Other]],Table_NFI[Winter Items Other])</f>
        <v>0</v>
      </c>
      <c r="AL534" s="378">
        <f>IF(NFI_Expiration=1,IF($A534&lt;VLOOKUP(M$5,NFI,5,0),1,0)*Table_NFI[[#This Row],[Winter Blanket]],Table_NFI[[#This Row],[Winter Blanket]])</f>
        <v>0</v>
      </c>
      <c r="AM534" s="378">
        <f>IF(Table_NFI[[#This Row],[Winter Clothes Adult]]+Table_NFI[[#This Row],[Winter Clothes Children]]+Table_NFI[[#This Row],[Winter Items Other]]+Table_NFI[[#This Row],[Winter Blanket]]&gt;0,1,0)</f>
        <v>0</v>
      </c>
      <c r="AN534" s="418">
        <f>IF(NFI_Expiration=1,IF($A534&lt;VLOOKUP(V$5,NFI,5,0),1,0)*Table_NFI[[#This Row],[Jerry Can]],Table_NFI[Jerry Can])</f>
        <v>0</v>
      </c>
      <c r="AO534" s="579" t="str">
        <f>IFERROR(VLOOKUP(Table_NFI[[#This Row],[Camp Name]],CL,2,0),"")</f>
        <v>MMR015CMP006</v>
      </c>
      <c r="AP534" s="574">
        <f ca="1">IF(Table_NFI[[#This Row],[Pcode]]="","",IF(OFFSET(CampList[Opening Date],MATCH(Table_NFI[[#This Row],[Pcode]],CampList[CP_Pcode],0)-1,0,1,1)&gt;=NFI_Monitor_Date,1,0))</f>
        <v>0</v>
      </c>
      <c r="AQ534" s="579" t="str">
        <f>IFERROR(VLOOKUP(Table_NFI[[#This Row],[Camp Name]],CL,3,0),"")</f>
        <v>Open</v>
      </c>
      <c r="AR534" s="378" t="str">
        <f ca="1">IF(Table_NFI[[#This Row],[Pcode]]="","",OFFSET(CampList[Priority],MATCH(Table_NFI[[#This Row],[Pcode]],CampList[CP_Pcode],0)-1,0,1,1))</f>
        <v>P1</v>
      </c>
      <c r="AS534" s="377">
        <f>IFERROR(Table_NFI[[#This Row],[Kitchen Set]]/VLOOKUP(Table_NFI[[#This Row],[Camp Name]],CL,4,0),"")</f>
        <v>0.93877551020408168</v>
      </c>
      <c r="AT534" s="572" t="s">
        <v>1095</v>
      </c>
      <c r="AU534" s="575"/>
    </row>
    <row r="535" spans="1:47" s="576" customFormat="1" x14ac:dyDescent="0.25">
      <c r="A535" s="381">
        <f t="shared" si="8"/>
        <v>34.1</v>
      </c>
      <c r="B535" s="571">
        <v>41499</v>
      </c>
      <c r="C535" s="572" t="s">
        <v>454</v>
      </c>
      <c r="D535" s="573" t="s">
        <v>508</v>
      </c>
      <c r="E535" s="572" t="s">
        <v>555</v>
      </c>
      <c r="F535" s="374" t="s">
        <v>146</v>
      </c>
      <c r="G535" s="374" t="s">
        <v>367</v>
      </c>
      <c r="H535" s="375"/>
      <c r="I535" s="375"/>
      <c r="J535" s="375">
        <v>70</v>
      </c>
      <c r="K535" s="375">
        <v>130</v>
      </c>
      <c r="L535" s="376">
        <v>52</v>
      </c>
      <c r="M535" s="376">
        <v>130</v>
      </c>
      <c r="N535" s="376">
        <v>52</v>
      </c>
      <c r="O535" s="376">
        <v>52</v>
      </c>
      <c r="P535" s="378">
        <v>52</v>
      </c>
      <c r="Q535" s="378">
        <v>52</v>
      </c>
      <c r="R535" s="378"/>
      <c r="S535" s="378"/>
      <c r="T535" s="378"/>
      <c r="U535" s="378"/>
      <c r="V535" s="533"/>
      <c r="W535" s="378"/>
      <c r="X535" s="378"/>
      <c r="Y535" s="378">
        <f>IF(NFI_Expiration=1,IF($A535&lt;VLOOKUP(H$5,NFI,5,0),1,0)*Table_NFI[[#This Row],[Hygiene Kit]],Table_NFI[Hygiene Kit])</f>
        <v>0</v>
      </c>
      <c r="Z535" s="378">
        <f>IF(NFI_Expiration=1,IF($A535&lt;VLOOKUP(I$5,NFI,5,0),1,0)*Table_NFI[[#This Row],[NFI Core Kit]],Table_NFI[NFI Core Kit])</f>
        <v>0</v>
      </c>
      <c r="AA535" s="378">
        <f>IF(NFI_Expiration=1,IF($A535&lt;VLOOKUP(J$5,NFI,5,0),1,0)*Table_NFI[[#This Row],[Sanitary Kit]],Table_NFI[Sanitary Kit])</f>
        <v>0</v>
      </c>
      <c r="AB535" s="378">
        <f>IF(NFI_Expiration=1,IF($A535&lt;VLOOKUP(K$5,NFI,5,0),1,0)*Table_NFI[[#This Row],[Mosquito net]],Table_NFI[Mosquito net])</f>
        <v>0</v>
      </c>
      <c r="AC535" s="378">
        <f>IF(NFI_Expiration=1,IF($A535&lt;VLOOKUP(L$5,NFI,5,0),1,0)*Table_NFI[[#This Row],[Tarpaulin]],Table_NFI[[#This Row],[Tarpaulin]])</f>
        <v>0</v>
      </c>
      <c r="AD535" s="378">
        <f>IF(NFI_Expiration=1,IF($A535&lt;VLOOKUP(M$5,NFI,5,0),1,0)*Table_NFI[[#This Row],[Blanket]],Table_NFI[[#This Row],[Blanket]])</f>
        <v>0</v>
      </c>
      <c r="AE535" s="378">
        <f>IF(NFI_Expiration=1,IF($A535&lt;VLOOKUP(N$5,NFI,5,0),1,0)*Table_NFI[[#This Row],[Kitchen Set]],Table_NFI[Kitchen Set])</f>
        <v>0</v>
      </c>
      <c r="AF535" s="378">
        <f>IF(NFI_Expiration=1,IF($A535&lt;VLOOKUP(O$5,NFI,5,0),1,0)*Table_NFI[[#This Row],[Clothes Kit]],Table_NFI[Clothes Kit])</f>
        <v>0</v>
      </c>
      <c r="AG535" s="378">
        <f>IF(NFI_Expiration=1,IF($A535&lt;VLOOKUP(P$5,NFI,5,0),1,0)*Table_NFI[[#This Row],[Plastic Bucket]],Table_NFI[Plastic Bucket])</f>
        <v>0</v>
      </c>
      <c r="AH535" s="378">
        <f>IF(NFI_Expiration=1,IF($A535&lt;VLOOKUP(Q$5,NFI,5,0),1,0)*Table_NFI[[#This Row],[Plastic Mat]],Table_NFI[Plastic Mat])*IF(Table_NFI[[#This Row],[Distribution Date]]&gt;"2014-04-01",1,2.5)</f>
        <v>0</v>
      </c>
      <c r="AI535" s="378">
        <f>IF(NFI_Expiration=1,IF($A535&lt;VLOOKUP(R$5,NFI,5,0),1,0)*Table_NFI[[#This Row],[Winter Clothes Adult]],Table_NFI[Winter Clothes Adult])</f>
        <v>0</v>
      </c>
      <c r="AJ535" s="378">
        <f>IF(NFI_Expiration=1,IF($A535&lt;VLOOKUP(S$5,NFI,5,0),1,0)*Table_NFI[[#This Row],[Winter Clothes Children]],Table_NFI[Winter Clothes Children])</f>
        <v>0</v>
      </c>
      <c r="AK535" s="378">
        <f>IF(NFI_Expiration=1,IF($A535&lt;VLOOKUP(T$5,NFI,5,0),1,0)*Table_NFI[[#This Row],[Winter Items Other]],Table_NFI[Winter Items Other])</f>
        <v>0</v>
      </c>
      <c r="AL535" s="378">
        <f>IF(NFI_Expiration=1,IF($A535&lt;VLOOKUP(M$5,NFI,5,0),1,0)*Table_NFI[[#This Row],[Winter Blanket]],Table_NFI[[#This Row],[Winter Blanket]])</f>
        <v>0</v>
      </c>
      <c r="AM535" s="378">
        <f>IF(Table_NFI[[#This Row],[Winter Clothes Adult]]+Table_NFI[[#This Row],[Winter Clothes Children]]+Table_NFI[[#This Row],[Winter Items Other]]+Table_NFI[[#This Row],[Winter Blanket]]&gt;0,1,0)</f>
        <v>0</v>
      </c>
      <c r="AN535" s="418">
        <f>IF(NFI_Expiration=1,IF($A535&lt;VLOOKUP(V$5,NFI,5,0),1,0)*Table_NFI[[#This Row],[Jerry Can]],Table_NFI[Jerry Can])</f>
        <v>0</v>
      </c>
      <c r="AO535" s="579" t="str">
        <f>IFERROR(VLOOKUP(Table_NFI[[#This Row],[Camp Name]],CL,2,0),"")</f>
        <v>MMR015CMP019</v>
      </c>
      <c r="AP535" s="574">
        <f ca="1">IF(Table_NFI[[#This Row],[Pcode]]="","",IF(OFFSET(CampList[Opening Date],MATCH(Table_NFI[[#This Row],[Pcode]],CampList[CP_Pcode],0)-1,0,1,1)&gt;=NFI_Monitor_Date,1,0))</f>
        <v>0</v>
      </c>
      <c r="AQ535" s="579" t="str">
        <f>IFERROR(VLOOKUP(Table_NFI[[#This Row],[Camp Name]],CL,3,0),"")</f>
        <v>Closed</v>
      </c>
      <c r="AR535" s="378" t="str">
        <f ca="1">IF(Table_NFI[[#This Row],[Pcode]]="","",OFFSET(CampList[Priority],MATCH(Table_NFI[[#This Row],[Pcode]],CampList[CP_Pcode],0)-1,0,1,1))</f>
        <v/>
      </c>
      <c r="AS535" s="377" t="str">
        <f>IFERROR(Table_NFI[[#This Row],[Kitchen Set]]/VLOOKUP(Table_NFI[[#This Row],[Camp Name]],CL,4,0),"")</f>
        <v/>
      </c>
      <c r="AT535" s="572" t="s">
        <v>1095</v>
      </c>
      <c r="AU535" s="575"/>
    </row>
    <row r="536" spans="1:47" s="576" customFormat="1" x14ac:dyDescent="0.25">
      <c r="A536" s="381">
        <f t="shared" si="8"/>
        <v>38.966666666666669</v>
      </c>
      <c r="B536" s="571">
        <v>41353</v>
      </c>
      <c r="C536" s="572" t="s">
        <v>454</v>
      </c>
      <c r="D536" s="573" t="s">
        <v>454</v>
      </c>
      <c r="E536" s="572" t="s">
        <v>380</v>
      </c>
      <c r="F536" s="374" t="s">
        <v>529</v>
      </c>
      <c r="G536" s="374" t="s">
        <v>142</v>
      </c>
      <c r="H536" s="375"/>
      <c r="I536" s="375"/>
      <c r="J536" s="375">
        <v>48</v>
      </c>
      <c r="K536" s="375">
        <v>48</v>
      </c>
      <c r="L536" s="376">
        <v>48</v>
      </c>
      <c r="M536" s="376">
        <v>98</v>
      </c>
      <c r="N536" s="376">
        <v>48</v>
      </c>
      <c r="O536" s="376">
        <v>98</v>
      </c>
      <c r="P536" s="378">
        <v>98</v>
      </c>
      <c r="Q536" s="378">
        <v>98</v>
      </c>
      <c r="R536" s="378"/>
      <c r="S536" s="378"/>
      <c r="T536" s="378"/>
      <c r="U536" s="378"/>
      <c r="V536" s="533"/>
      <c r="W536" s="378"/>
      <c r="X536" s="378"/>
      <c r="Y536" s="378">
        <f>IF(NFI_Expiration=1,IF($A536&lt;VLOOKUP(H$5,NFI,5,0),1,0)*Table_NFI[[#This Row],[Hygiene Kit]],Table_NFI[Hygiene Kit])</f>
        <v>0</v>
      </c>
      <c r="Z536" s="378">
        <f>IF(NFI_Expiration=1,IF($A536&lt;VLOOKUP(I$5,NFI,5,0),1,0)*Table_NFI[[#This Row],[NFI Core Kit]],Table_NFI[NFI Core Kit])</f>
        <v>0</v>
      </c>
      <c r="AA536" s="378">
        <f>IF(NFI_Expiration=1,IF($A536&lt;VLOOKUP(J$5,NFI,5,0),1,0)*Table_NFI[[#This Row],[Sanitary Kit]],Table_NFI[Sanitary Kit])</f>
        <v>0</v>
      </c>
      <c r="AB536" s="378">
        <f>IF(NFI_Expiration=1,IF($A536&lt;VLOOKUP(K$5,NFI,5,0),1,0)*Table_NFI[[#This Row],[Mosquito net]],Table_NFI[Mosquito net])</f>
        <v>0</v>
      </c>
      <c r="AC536" s="378">
        <f>IF(NFI_Expiration=1,IF($A536&lt;VLOOKUP(L$5,NFI,5,0),1,0)*Table_NFI[[#This Row],[Tarpaulin]],Table_NFI[[#This Row],[Tarpaulin]])</f>
        <v>0</v>
      </c>
      <c r="AD536" s="378">
        <f>IF(NFI_Expiration=1,IF($A536&lt;VLOOKUP(M$5,NFI,5,0),1,0)*Table_NFI[[#This Row],[Blanket]],Table_NFI[[#This Row],[Blanket]])</f>
        <v>0</v>
      </c>
      <c r="AE536" s="378">
        <f>IF(NFI_Expiration=1,IF($A536&lt;VLOOKUP(N$5,NFI,5,0),1,0)*Table_NFI[[#This Row],[Kitchen Set]],Table_NFI[Kitchen Set])</f>
        <v>0</v>
      </c>
      <c r="AF536" s="378">
        <f>IF(NFI_Expiration=1,IF($A536&lt;VLOOKUP(O$5,NFI,5,0),1,0)*Table_NFI[[#This Row],[Clothes Kit]],Table_NFI[Clothes Kit])</f>
        <v>0</v>
      </c>
      <c r="AG536" s="378">
        <f>IF(NFI_Expiration=1,IF($A536&lt;VLOOKUP(P$5,NFI,5,0),1,0)*Table_NFI[[#This Row],[Plastic Bucket]],Table_NFI[Plastic Bucket])</f>
        <v>0</v>
      </c>
      <c r="AH536" s="378">
        <f>IF(NFI_Expiration=1,IF($A536&lt;VLOOKUP(Q$5,NFI,5,0),1,0)*Table_NFI[[#This Row],[Plastic Mat]],Table_NFI[Plastic Mat])*IF(Table_NFI[[#This Row],[Distribution Date]]&gt;"2014-04-01",1,2.5)</f>
        <v>0</v>
      </c>
      <c r="AI536" s="378">
        <f>IF(NFI_Expiration=1,IF($A536&lt;VLOOKUP(R$5,NFI,5,0),1,0)*Table_NFI[[#This Row],[Winter Clothes Adult]],Table_NFI[Winter Clothes Adult])</f>
        <v>0</v>
      </c>
      <c r="AJ536" s="378">
        <f>IF(NFI_Expiration=1,IF($A536&lt;VLOOKUP(S$5,NFI,5,0),1,0)*Table_NFI[[#This Row],[Winter Clothes Children]],Table_NFI[Winter Clothes Children])</f>
        <v>0</v>
      </c>
      <c r="AK536" s="378">
        <f>IF(NFI_Expiration=1,IF($A536&lt;VLOOKUP(T$5,NFI,5,0),1,0)*Table_NFI[[#This Row],[Winter Items Other]],Table_NFI[Winter Items Other])</f>
        <v>0</v>
      </c>
      <c r="AL536" s="378">
        <f>IF(NFI_Expiration=1,IF($A536&lt;VLOOKUP(M$5,NFI,5,0),1,0)*Table_NFI[[#This Row],[Winter Blanket]],Table_NFI[[#This Row],[Winter Blanket]])</f>
        <v>0</v>
      </c>
      <c r="AM536" s="378">
        <f>IF(Table_NFI[[#This Row],[Winter Clothes Adult]]+Table_NFI[[#This Row],[Winter Clothes Children]]+Table_NFI[[#This Row],[Winter Items Other]]+Table_NFI[[#This Row],[Winter Blanket]]&gt;0,1,0)</f>
        <v>0</v>
      </c>
      <c r="AN536" s="418">
        <f>IF(NFI_Expiration=1,IF($A536&lt;VLOOKUP(V$5,NFI,5,0),1,0)*Table_NFI[[#This Row],[Jerry Can]],Table_NFI[Jerry Can])</f>
        <v>0</v>
      </c>
      <c r="AO536" s="579" t="str">
        <f>IFERROR(VLOOKUP(Table_NFI[[#This Row],[Camp Name]],CL,2,0),"")</f>
        <v>MMR001CMP177</v>
      </c>
      <c r="AP536" s="574">
        <f ca="1">IF(Table_NFI[[#This Row],[Pcode]]="","",IF(OFFSET(CampList[Opening Date],MATCH(Table_NFI[[#This Row],[Pcode]],CampList[CP_Pcode],0)-1,0,1,1)&gt;=NFI_Monitor_Date,1,0))</f>
        <v>0</v>
      </c>
      <c r="AQ536" s="579" t="str">
        <f>IFERROR(VLOOKUP(Table_NFI[[#This Row],[Camp Name]],CL,3,0),"")</f>
        <v>Closed</v>
      </c>
      <c r="AR536" s="378" t="str">
        <f ca="1">IF(Table_NFI[[#This Row],[Pcode]]="","",OFFSET(CampList[Priority],MATCH(Table_NFI[[#This Row],[Pcode]],CampList[CP_Pcode],0)-1,0,1,1))</f>
        <v/>
      </c>
      <c r="AS536" s="377" t="str">
        <f>IFERROR(Table_NFI[[#This Row],[Kitchen Set]]/VLOOKUP(Table_NFI[[#This Row],[Camp Name]],CL,4,0),"")</f>
        <v/>
      </c>
      <c r="AT536" s="572" t="s">
        <v>1095</v>
      </c>
      <c r="AU536" s="575"/>
    </row>
    <row r="537" spans="1:47" s="576" customFormat="1" x14ac:dyDescent="0.25">
      <c r="A537" s="381">
        <f t="shared" si="8"/>
        <v>41.6</v>
      </c>
      <c r="B537" s="571">
        <v>41274</v>
      </c>
      <c r="C537" s="572" t="s">
        <v>455</v>
      </c>
      <c r="D537" s="572" t="s">
        <v>455</v>
      </c>
      <c r="E537" s="572" t="s">
        <v>380</v>
      </c>
      <c r="F537" s="374" t="s">
        <v>529</v>
      </c>
      <c r="G537" s="374" t="s">
        <v>142</v>
      </c>
      <c r="H537" s="375">
        <v>1</v>
      </c>
      <c r="I537" s="375"/>
      <c r="J537" s="375"/>
      <c r="K537" s="375"/>
      <c r="L537" s="376"/>
      <c r="M537" s="376"/>
      <c r="N537" s="376"/>
      <c r="O537" s="376"/>
      <c r="P537" s="378">
        <v>0</v>
      </c>
      <c r="Q537" s="378">
        <v>0</v>
      </c>
      <c r="R537" s="378"/>
      <c r="S537" s="378"/>
      <c r="T537" s="378"/>
      <c r="U537" s="378"/>
      <c r="V537" s="533"/>
      <c r="W537" s="378"/>
      <c r="X537" s="378"/>
      <c r="Y537" s="378">
        <f>IF(NFI_Expiration=1,IF($A537&lt;VLOOKUP(H$5,NFI,5,0),1,0)*Table_NFI[[#This Row],[Hygiene Kit]],Table_NFI[Hygiene Kit])</f>
        <v>0</v>
      </c>
      <c r="Z537" s="378">
        <f>IF(NFI_Expiration=1,IF($A537&lt;VLOOKUP(I$5,NFI,5,0),1,0)*Table_NFI[[#This Row],[NFI Core Kit]],Table_NFI[NFI Core Kit])</f>
        <v>0</v>
      </c>
      <c r="AA537" s="378">
        <f>IF(NFI_Expiration=1,IF($A537&lt;VLOOKUP(J$5,NFI,5,0),1,0)*Table_NFI[[#This Row],[Sanitary Kit]],Table_NFI[Sanitary Kit])</f>
        <v>0</v>
      </c>
      <c r="AB537" s="378">
        <f>IF(NFI_Expiration=1,IF($A537&lt;VLOOKUP(K$5,NFI,5,0),1,0)*Table_NFI[[#This Row],[Mosquito net]],Table_NFI[Mosquito net])</f>
        <v>0</v>
      </c>
      <c r="AC537" s="378">
        <f>IF(NFI_Expiration=1,IF($A537&lt;VLOOKUP(L$5,NFI,5,0),1,0)*Table_NFI[[#This Row],[Tarpaulin]],Table_NFI[[#This Row],[Tarpaulin]])</f>
        <v>0</v>
      </c>
      <c r="AD537" s="378">
        <f>IF(NFI_Expiration=1,IF($A537&lt;VLOOKUP(M$5,NFI,5,0),1,0)*Table_NFI[[#This Row],[Blanket]],Table_NFI[[#This Row],[Blanket]])</f>
        <v>0</v>
      </c>
      <c r="AE537" s="378">
        <f>IF(NFI_Expiration=1,IF($A537&lt;VLOOKUP(N$5,NFI,5,0),1,0)*Table_NFI[[#This Row],[Kitchen Set]],Table_NFI[Kitchen Set])</f>
        <v>0</v>
      </c>
      <c r="AF537" s="378">
        <f>IF(NFI_Expiration=1,IF($A537&lt;VLOOKUP(O$5,NFI,5,0),1,0)*Table_NFI[[#This Row],[Clothes Kit]],Table_NFI[Clothes Kit])</f>
        <v>0</v>
      </c>
      <c r="AG537" s="378">
        <f>IF(NFI_Expiration=1,IF($A537&lt;VLOOKUP(P$5,NFI,5,0),1,0)*Table_NFI[[#This Row],[Plastic Bucket]],Table_NFI[Plastic Bucket])</f>
        <v>0</v>
      </c>
      <c r="AH537" s="378">
        <f>IF(NFI_Expiration=1,IF($A537&lt;VLOOKUP(Q$5,NFI,5,0),1,0)*Table_NFI[[#This Row],[Plastic Mat]],Table_NFI[Plastic Mat])*IF(Table_NFI[[#This Row],[Distribution Date]]&gt;"2014-04-01",1,2.5)</f>
        <v>0</v>
      </c>
      <c r="AI537" s="378">
        <f>IF(NFI_Expiration=1,IF($A537&lt;VLOOKUP(R$5,NFI,5,0),1,0)*Table_NFI[[#This Row],[Winter Clothes Adult]],Table_NFI[Winter Clothes Adult])</f>
        <v>0</v>
      </c>
      <c r="AJ537" s="378">
        <f>IF(NFI_Expiration=1,IF($A537&lt;VLOOKUP(S$5,NFI,5,0),1,0)*Table_NFI[[#This Row],[Winter Clothes Children]],Table_NFI[Winter Clothes Children])</f>
        <v>0</v>
      </c>
      <c r="AK537" s="378">
        <f>IF(NFI_Expiration=1,IF($A537&lt;VLOOKUP(T$5,NFI,5,0),1,0)*Table_NFI[[#This Row],[Winter Items Other]],Table_NFI[Winter Items Other])</f>
        <v>0</v>
      </c>
      <c r="AL537" s="378">
        <f>IF(NFI_Expiration=1,IF($A537&lt;VLOOKUP(M$5,NFI,5,0),1,0)*Table_NFI[[#This Row],[Winter Blanket]],Table_NFI[[#This Row],[Winter Blanket]])</f>
        <v>0</v>
      </c>
      <c r="AM537" s="378">
        <f>IF(Table_NFI[[#This Row],[Winter Clothes Adult]]+Table_NFI[[#This Row],[Winter Clothes Children]]+Table_NFI[[#This Row],[Winter Items Other]]+Table_NFI[[#This Row],[Winter Blanket]]&gt;0,1,0)</f>
        <v>0</v>
      </c>
      <c r="AN537" s="418">
        <f>IF(NFI_Expiration=1,IF($A537&lt;VLOOKUP(V$5,NFI,5,0),1,0)*Table_NFI[[#This Row],[Jerry Can]],Table_NFI[Jerry Can])</f>
        <v>0</v>
      </c>
      <c r="AO537" s="579" t="str">
        <f>IFERROR(VLOOKUP(Table_NFI[[#This Row],[Camp Name]],CL,2,0),"")</f>
        <v>MMR001CMP177</v>
      </c>
      <c r="AP537" s="574">
        <f ca="1">IF(Table_NFI[[#This Row],[Pcode]]="","",IF(OFFSET(CampList[Opening Date],MATCH(Table_NFI[[#This Row],[Pcode]],CampList[CP_Pcode],0)-1,0,1,1)&gt;=NFI_Monitor_Date,1,0))</f>
        <v>0</v>
      </c>
      <c r="AQ537" s="579" t="str">
        <f>IFERROR(VLOOKUP(Table_NFI[[#This Row],[Camp Name]],CL,3,0),"")</f>
        <v>Closed</v>
      </c>
      <c r="AR537" s="378" t="str">
        <f ca="1">IF(Table_NFI[[#This Row],[Pcode]]="","",OFFSET(CampList[Priority],MATCH(Table_NFI[[#This Row],[Pcode]],CampList[CP_Pcode],0)-1,0,1,1))</f>
        <v/>
      </c>
      <c r="AS537" s="377" t="str">
        <f>IFERROR(Table_NFI[[#This Row],[Kitchen Set]]/VLOOKUP(Table_NFI[[#This Row],[Camp Name]],CL,4,0),"")</f>
        <v/>
      </c>
      <c r="AT537" s="572" t="s">
        <v>1095</v>
      </c>
      <c r="AU537" s="575"/>
    </row>
    <row r="538" spans="1:47" s="576" customFormat="1" x14ac:dyDescent="0.25">
      <c r="A538" s="381">
        <f t="shared" si="8"/>
        <v>25.066666666666666</v>
      </c>
      <c r="B538" s="571">
        <v>41770</v>
      </c>
      <c r="C538" s="572" t="s">
        <v>454</v>
      </c>
      <c r="D538" s="572"/>
      <c r="E538" s="572" t="s">
        <v>555</v>
      </c>
      <c r="F538" s="572" t="s">
        <v>230</v>
      </c>
      <c r="G538" s="572" t="s">
        <v>1056</v>
      </c>
      <c r="H538" s="375"/>
      <c r="I538" s="375"/>
      <c r="J538" s="375"/>
      <c r="K538" s="375">
        <v>138</v>
      </c>
      <c r="L538" s="376">
        <v>19</v>
      </c>
      <c r="M538" s="376">
        <v>238</v>
      </c>
      <c r="N538" s="376">
        <v>19</v>
      </c>
      <c r="O538" s="376">
        <v>0</v>
      </c>
      <c r="P538" s="378">
        <v>19</v>
      </c>
      <c r="Q538" s="378">
        <v>95</v>
      </c>
      <c r="R538" s="378"/>
      <c r="S538" s="378"/>
      <c r="T538" s="378"/>
      <c r="U538" s="378"/>
      <c r="V538" s="533"/>
      <c r="W538" s="378"/>
      <c r="X538" s="378"/>
      <c r="Y538" s="378">
        <f>IF(NFI_Expiration=1,IF($A538&lt;VLOOKUP(H$5,NFI,5,0),1,0)*Table_NFI[[#This Row],[Hygiene Kit]],Table_NFI[Hygiene Kit])</f>
        <v>0</v>
      </c>
      <c r="Z538" s="378">
        <f>IF(NFI_Expiration=1,IF($A538&lt;VLOOKUP(I$5,NFI,5,0),1,0)*Table_NFI[[#This Row],[NFI Core Kit]],Table_NFI[NFI Core Kit])</f>
        <v>0</v>
      </c>
      <c r="AA538" s="378">
        <f>IF(NFI_Expiration=1,IF($A538&lt;VLOOKUP(J$5,NFI,5,0),1,0)*Table_NFI[[#This Row],[Sanitary Kit]],Table_NFI[Sanitary Kit])</f>
        <v>0</v>
      </c>
      <c r="AB538" s="378">
        <f>IF(NFI_Expiration=1,IF($A538&lt;VLOOKUP(K$5,NFI,5,0),1,0)*Table_NFI[[#This Row],[Mosquito net]],Table_NFI[Mosquito net])</f>
        <v>0</v>
      </c>
      <c r="AC538" s="378">
        <f>IF(NFI_Expiration=1,IF($A538&lt;VLOOKUP(L$5,NFI,5,0),1,0)*Table_NFI[[#This Row],[Tarpaulin]],Table_NFI[[#This Row],[Tarpaulin]])</f>
        <v>0</v>
      </c>
      <c r="AD538" s="378">
        <f>IF(NFI_Expiration=1,IF($A538&lt;VLOOKUP(M$5,NFI,5,0),1,0)*Table_NFI[[#This Row],[Blanket]],Table_NFI[[#This Row],[Blanket]])</f>
        <v>0</v>
      </c>
      <c r="AE538" s="378">
        <f>IF(NFI_Expiration=1,IF($A538&lt;VLOOKUP(N$5,NFI,5,0),1,0)*Table_NFI[[#This Row],[Kitchen Set]],Table_NFI[Kitchen Set])</f>
        <v>0</v>
      </c>
      <c r="AF538" s="378">
        <f>IF(NFI_Expiration=1,IF($A538&lt;VLOOKUP(O$5,NFI,5,0),1,0)*Table_NFI[[#This Row],[Clothes Kit]],Table_NFI[Clothes Kit])</f>
        <v>0</v>
      </c>
      <c r="AG538" s="378">
        <f>IF(NFI_Expiration=1,IF($A538&lt;VLOOKUP(P$5,NFI,5,0),1,0)*Table_NFI[[#This Row],[Plastic Bucket]],Table_NFI[Plastic Bucket])</f>
        <v>0</v>
      </c>
      <c r="AH538" s="378">
        <f>IF(NFI_Expiration=1,IF($A538&lt;VLOOKUP(Q$5,NFI,5,0),1,0)*Table_NFI[[#This Row],[Plastic Mat]],Table_NFI[Plastic Mat])*IF(Table_NFI[[#This Row],[Distribution Date]]&gt;"2014-04-01",1,2.5)</f>
        <v>0</v>
      </c>
      <c r="AI538" s="378">
        <f>IF(NFI_Expiration=1,IF($A538&lt;VLOOKUP(R$5,NFI,5,0),1,0)*Table_NFI[[#This Row],[Winter Clothes Adult]],Table_NFI[Winter Clothes Adult])</f>
        <v>0</v>
      </c>
      <c r="AJ538" s="378">
        <f>IF(NFI_Expiration=1,IF($A538&lt;VLOOKUP(S$5,NFI,5,0),1,0)*Table_NFI[[#This Row],[Winter Clothes Children]],Table_NFI[Winter Clothes Children])</f>
        <v>0</v>
      </c>
      <c r="AK538" s="378">
        <f>IF(NFI_Expiration=1,IF($A538&lt;VLOOKUP(T$5,NFI,5,0),1,0)*Table_NFI[[#This Row],[Winter Items Other]],Table_NFI[Winter Items Other])</f>
        <v>0</v>
      </c>
      <c r="AL538" s="378">
        <f>IF(NFI_Expiration=1,IF($A538&lt;VLOOKUP(M$5,NFI,5,0),1,0)*Table_NFI[[#This Row],[Winter Blanket]],Table_NFI[[#This Row],[Winter Blanket]])</f>
        <v>0</v>
      </c>
      <c r="AM538" s="378">
        <f>IF(Table_NFI[[#This Row],[Winter Clothes Adult]]+Table_NFI[[#This Row],[Winter Clothes Children]]+Table_NFI[[#This Row],[Winter Items Other]]+Table_NFI[[#This Row],[Winter Blanket]]&gt;0,1,0)</f>
        <v>0</v>
      </c>
      <c r="AN538" s="418">
        <f>IF(NFI_Expiration=1,IF($A538&lt;VLOOKUP(V$5,NFI,5,0),1,0)*Table_NFI[[#This Row],[Jerry Can]],Table_NFI[Jerry Can])</f>
        <v>0</v>
      </c>
      <c r="AO538" s="579" t="str">
        <f>IFERROR(VLOOKUP(Table_NFI[[#This Row],[Camp Name]],CL,2,0),"")</f>
        <v>MMR015CMP213</v>
      </c>
      <c r="AP538" s="574">
        <f ca="1">IF(Table_NFI[[#This Row],[Pcode]]="","",IF(OFFSET(CampList[Opening Date],MATCH(Table_NFI[[#This Row],[Pcode]],CampList[CP_Pcode],0)-1,0,1,1)&gt;=NFI_Monitor_Date,1,0))</f>
        <v>1</v>
      </c>
      <c r="AQ538" s="579" t="str">
        <f>IFERROR(VLOOKUP(Table_NFI[[#This Row],[Camp Name]],CL,3,0),"")</f>
        <v>Open</v>
      </c>
      <c r="AR538" s="378" t="str">
        <f ca="1">IF(Table_NFI[[#This Row],[Pcode]]="","",OFFSET(CampList[Priority],MATCH(Table_NFI[[#This Row],[Pcode]],CampList[CP_Pcode],0)-1,0,1,1))</f>
        <v>P4</v>
      </c>
      <c r="AS538" s="377">
        <f>IFERROR(Table_NFI[[#This Row],[Kitchen Set]]/VLOOKUP(Table_NFI[[#This Row],[Camp Name]],CL,4,0),"")</f>
        <v>0.36538461538461536</v>
      </c>
      <c r="AT538" s="572"/>
      <c r="AU538" s="575" t="s">
        <v>1236</v>
      </c>
    </row>
    <row r="539" spans="1:47" s="576" customFormat="1" x14ac:dyDescent="0.25">
      <c r="A539" s="381">
        <f t="shared" si="8"/>
        <v>25.066666666666666</v>
      </c>
      <c r="B539" s="571">
        <v>41770</v>
      </c>
      <c r="C539" s="572" t="s">
        <v>454</v>
      </c>
      <c r="D539" s="572"/>
      <c r="E539" s="572" t="s">
        <v>555</v>
      </c>
      <c r="F539" s="572" t="s">
        <v>230</v>
      </c>
      <c r="G539" s="572" t="s">
        <v>1056</v>
      </c>
      <c r="H539" s="375"/>
      <c r="I539" s="375"/>
      <c r="J539" s="375"/>
      <c r="K539" s="375">
        <v>162</v>
      </c>
      <c r="L539" s="376">
        <v>81</v>
      </c>
      <c r="M539" s="376">
        <v>162</v>
      </c>
      <c r="N539" s="376">
        <v>81</v>
      </c>
      <c r="O539" s="376"/>
      <c r="P539" s="378">
        <v>81</v>
      </c>
      <c r="Q539" s="378">
        <v>405</v>
      </c>
      <c r="R539" s="378"/>
      <c r="S539" s="378"/>
      <c r="T539" s="378"/>
      <c r="U539" s="378"/>
      <c r="V539" s="533"/>
      <c r="W539" s="378"/>
      <c r="X539" s="378"/>
      <c r="Y539" s="378">
        <f>IF(NFI_Expiration=1,IF($A539&lt;VLOOKUP(H$5,NFI,5,0),1,0)*Table_NFI[[#This Row],[Hygiene Kit]],Table_NFI[Hygiene Kit])</f>
        <v>0</v>
      </c>
      <c r="Z539" s="378">
        <f>IF(NFI_Expiration=1,IF($A539&lt;VLOOKUP(I$5,NFI,5,0),1,0)*Table_NFI[[#This Row],[NFI Core Kit]],Table_NFI[NFI Core Kit])</f>
        <v>0</v>
      </c>
      <c r="AA539" s="378">
        <f>IF(NFI_Expiration=1,IF($A539&lt;VLOOKUP(J$5,NFI,5,0),1,0)*Table_NFI[[#This Row],[Sanitary Kit]],Table_NFI[Sanitary Kit])</f>
        <v>0</v>
      </c>
      <c r="AB539" s="378">
        <f>IF(NFI_Expiration=1,IF($A539&lt;VLOOKUP(K$5,NFI,5,0),1,0)*Table_NFI[[#This Row],[Mosquito net]],Table_NFI[Mosquito net])</f>
        <v>0</v>
      </c>
      <c r="AC539" s="378">
        <f>IF(NFI_Expiration=1,IF($A539&lt;VLOOKUP(L$5,NFI,5,0),1,0)*Table_NFI[[#This Row],[Tarpaulin]],Table_NFI[[#This Row],[Tarpaulin]])</f>
        <v>0</v>
      </c>
      <c r="AD539" s="378">
        <f>IF(NFI_Expiration=1,IF($A539&lt;VLOOKUP(M$5,NFI,5,0),1,0)*Table_NFI[[#This Row],[Blanket]],Table_NFI[[#This Row],[Blanket]])</f>
        <v>0</v>
      </c>
      <c r="AE539" s="378">
        <f>IF(NFI_Expiration=1,IF($A539&lt;VLOOKUP(N$5,NFI,5,0),1,0)*Table_NFI[[#This Row],[Kitchen Set]],Table_NFI[Kitchen Set])</f>
        <v>0</v>
      </c>
      <c r="AF539" s="378">
        <f>IF(NFI_Expiration=1,IF($A539&lt;VLOOKUP(O$5,NFI,5,0),1,0)*Table_NFI[[#This Row],[Clothes Kit]],Table_NFI[Clothes Kit])</f>
        <v>0</v>
      </c>
      <c r="AG539" s="378">
        <f>IF(NFI_Expiration=1,IF($A539&lt;VLOOKUP(P$5,NFI,5,0),1,0)*Table_NFI[[#This Row],[Plastic Bucket]],Table_NFI[Plastic Bucket])</f>
        <v>0</v>
      </c>
      <c r="AH539" s="378">
        <f>IF(NFI_Expiration=1,IF($A539&lt;VLOOKUP(Q$5,NFI,5,0),1,0)*Table_NFI[[#This Row],[Plastic Mat]],Table_NFI[Plastic Mat])*IF(Table_NFI[[#This Row],[Distribution Date]]&gt;"2014-04-01",1,2.5)</f>
        <v>0</v>
      </c>
      <c r="AI539" s="378">
        <f>IF(NFI_Expiration=1,IF($A539&lt;VLOOKUP(R$5,NFI,5,0),1,0)*Table_NFI[[#This Row],[Winter Clothes Adult]],Table_NFI[Winter Clothes Adult])</f>
        <v>0</v>
      </c>
      <c r="AJ539" s="378">
        <f>IF(NFI_Expiration=1,IF($A539&lt;VLOOKUP(S$5,NFI,5,0),1,0)*Table_NFI[[#This Row],[Winter Clothes Children]],Table_NFI[Winter Clothes Children])</f>
        <v>0</v>
      </c>
      <c r="AK539" s="378">
        <f>IF(NFI_Expiration=1,IF($A539&lt;VLOOKUP(T$5,NFI,5,0),1,0)*Table_NFI[[#This Row],[Winter Items Other]],Table_NFI[Winter Items Other])</f>
        <v>0</v>
      </c>
      <c r="AL539" s="378">
        <f>IF(NFI_Expiration=1,IF($A539&lt;VLOOKUP(M$5,NFI,5,0),1,0)*Table_NFI[[#This Row],[Winter Blanket]],Table_NFI[[#This Row],[Winter Blanket]])</f>
        <v>0</v>
      </c>
      <c r="AM539" s="378">
        <f>IF(Table_NFI[[#This Row],[Winter Clothes Adult]]+Table_NFI[[#This Row],[Winter Clothes Children]]+Table_NFI[[#This Row],[Winter Items Other]]+Table_NFI[[#This Row],[Winter Blanket]]&gt;0,1,0)</f>
        <v>0</v>
      </c>
      <c r="AN539" s="418">
        <f>IF(NFI_Expiration=1,IF($A539&lt;VLOOKUP(V$5,NFI,5,0),1,0)*Table_NFI[[#This Row],[Jerry Can]],Table_NFI[Jerry Can])</f>
        <v>0</v>
      </c>
      <c r="AO539" s="579" t="str">
        <f>IFERROR(VLOOKUP(Table_NFI[[#This Row],[Camp Name]],CL,2,0),"")</f>
        <v>MMR015CMP213</v>
      </c>
      <c r="AP539" s="574">
        <f ca="1">IF(Table_NFI[[#This Row],[Pcode]]="","",IF(OFFSET(CampList[Opening Date],MATCH(Table_NFI[[#This Row],[Pcode]],CampList[CP_Pcode],0)-1,0,1,1)&gt;=NFI_Monitor_Date,1,0))</f>
        <v>1</v>
      </c>
      <c r="AQ539" s="579" t="str">
        <f>IFERROR(VLOOKUP(Table_NFI[[#This Row],[Camp Name]],CL,3,0),"")</f>
        <v>Open</v>
      </c>
      <c r="AR539" s="378" t="str">
        <f ca="1">IF(Table_NFI[[#This Row],[Pcode]]="","",OFFSET(CampList[Priority],MATCH(Table_NFI[[#This Row],[Pcode]],CampList[CP_Pcode],0)-1,0,1,1))</f>
        <v>P4</v>
      </c>
      <c r="AS539" s="377">
        <f>IFERROR(Table_NFI[[#This Row],[Kitchen Set]]/VLOOKUP(Table_NFI[[#This Row],[Camp Name]],CL,4,0),"")</f>
        <v>1.5576923076923077</v>
      </c>
      <c r="AT539" s="572"/>
      <c r="AU539" s="575"/>
    </row>
    <row r="540" spans="1:47" s="576" customFormat="1" x14ac:dyDescent="0.25">
      <c r="A540" s="381">
        <f t="shared" si="8"/>
        <v>25.033333333333335</v>
      </c>
      <c r="B540" s="571">
        <v>41771</v>
      </c>
      <c r="C540" s="572" t="s">
        <v>454</v>
      </c>
      <c r="D540" s="572"/>
      <c r="E540" s="572" t="s">
        <v>555</v>
      </c>
      <c r="F540" s="572" t="s">
        <v>230</v>
      </c>
      <c r="G540" s="572" t="s">
        <v>1066</v>
      </c>
      <c r="H540" s="375"/>
      <c r="I540" s="375"/>
      <c r="J540" s="375"/>
      <c r="K540" s="375">
        <v>68</v>
      </c>
      <c r="L540" s="376">
        <v>9</v>
      </c>
      <c r="M540" s="376">
        <v>118</v>
      </c>
      <c r="N540" s="376">
        <v>9</v>
      </c>
      <c r="O540" s="376">
        <v>0</v>
      </c>
      <c r="P540" s="378">
        <v>9</v>
      </c>
      <c r="Q540" s="378">
        <v>45</v>
      </c>
      <c r="R540" s="378"/>
      <c r="S540" s="378"/>
      <c r="T540" s="378"/>
      <c r="U540" s="378"/>
      <c r="V540" s="533"/>
      <c r="W540" s="378"/>
      <c r="X540" s="378"/>
      <c r="Y540" s="378">
        <f>IF(NFI_Expiration=1,IF($A540&lt;VLOOKUP(H$5,NFI,5,0),1,0)*Table_NFI[[#This Row],[Hygiene Kit]],Table_NFI[Hygiene Kit])</f>
        <v>0</v>
      </c>
      <c r="Z540" s="378">
        <f>IF(NFI_Expiration=1,IF($A540&lt;VLOOKUP(I$5,NFI,5,0),1,0)*Table_NFI[[#This Row],[NFI Core Kit]],Table_NFI[NFI Core Kit])</f>
        <v>0</v>
      </c>
      <c r="AA540" s="378">
        <f>IF(NFI_Expiration=1,IF($A540&lt;VLOOKUP(J$5,NFI,5,0),1,0)*Table_NFI[[#This Row],[Sanitary Kit]],Table_NFI[Sanitary Kit])</f>
        <v>0</v>
      </c>
      <c r="AB540" s="378">
        <f>IF(NFI_Expiration=1,IF($A540&lt;VLOOKUP(K$5,NFI,5,0),1,0)*Table_NFI[[#This Row],[Mosquito net]],Table_NFI[Mosquito net])</f>
        <v>0</v>
      </c>
      <c r="AC540" s="378">
        <f>IF(NFI_Expiration=1,IF($A540&lt;VLOOKUP(L$5,NFI,5,0),1,0)*Table_NFI[[#This Row],[Tarpaulin]],Table_NFI[[#This Row],[Tarpaulin]])</f>
        <v>0</v>
      </c>
      <c r="AD540" s="378">
        <f>IF(NFI_Expiration=1,IF($A540&lt;VLOOKUP(M$5,NFI,5,0),1,0)*Table_NFI[[#This Row],[Blanket]],Table_NFI[[#This Row],[Blanket]])</f>
        <v>0</v>
      </c>
      <c r="AE540" s="378">
        <f>IF(NFI_Expiration=1,IF($A540&lt;VLOOKUP(N$5,NFI,5,0),1,0)*Table_NFI[[#This Row],[Kitchen Set]],Table_NFI[Kitchen Set])</f>
        <v>0</v>
      </c>
      <c r="AF540" s="378">
        <f>IF(NFI_Expiration=1,IF($A540&lt;VLOOKUP(O$5,NFI,5,0),1,0)*Table_NFI[[#This Row],[Clothes Kit]],Table_NFI[Clothes Kit])</f>
        <v>0</v>
      </c>
      <c r="AG540" s="378">
        <f>IF(NFI_Expiration=1,IF($A540&lt;VLOOKUP(P$5,NFI,5,0),1,0)*Table_NFI[[#This Row],[Plastic Bucket]],Table_NFI[Plastic Bucket])</f>
        <v>0</v>
      </c>
      <c r="AH540" s="378">
        <f>IF(NFI_Expiration=1,IF($A540&lt;VLOOKUP(Q$5,NFI,5,0),1,0)*Table_NFI[[#This Row],[Plastic Mat]],Table_NFI[Plastic Mat])*IF(Table_NFI[[#This Row],[Distribution Date]]&gt;"2014-04-01",1,2.5)</f>
        <v>0</v>
      </c>
      <c r="AI540" s="378">
        <f>IF(NFI_Expiration=1,IF($A540&lt;VLOOKUP(R$5,NFI,5,0),1,0)*Table_NFI[[#This Row],[Winter Clothes Adult]],Table_NFI[Winter Clothes Adult])</f>
        <v>0</v>
      </c>
      <c r="AJ540" s="378">
        <f>IF(NFI_Expiration=1,IF($A540&lt;VLOOKUP(S$5,NFI,5,0),1,0)*Table_NFI[[#This Row],[Winter Clothes Children]],Table_NFI[Winter Clothes Children])</f>
        <v>0</v>
      </c>
      <c r="AK540" s="378">
        <f>IF(NFI_Expiration=1,IF($A540&lt;VLOOKUP(T$5,NFI,5,0),1,0)*Table_NFI[[#This Row],[Winter Items Other]],Table_NFI[Winter Items Other])</f>
        <v>0</v>
      </c>
      <c r="AL540" s="378">
        <f>IF(NFI_Expiration=1,IF($A540&lt;VLOOKUP(M$5,NFI,5,0),1,0)*Table_NFI[[#This Row],[Winter Blanket]],Table_NFI[[#This Row],[Winter Blanket]])</f>
        <v>0</v>
      </c>
      <c r="AM540" s="378">
        <f>IF(Table_NFI[[#This Row],[Winter Clothes Adult]]+Table_NFI[[#This Row],[Winter Clothes Children]]+Table_NFI[[#This Row],[Winter Items Other]]+Table_NFI[[#This Row],[Winter Blanket]]&gt;0,1,0)</f>
        <v>0</v>
      </c>
      <c r="AN540" s="418">
        <f>IF(NFI_Expiration=1,IF($A540&lt;VLOOKUP(V$5,NFI,5,0),1,0)*Table_NFI[[#This Row],[Jerry Can]],Table_NFI[Jerry Can])</f>
        <v>0</v>
      </c>
      <c r="AO540" s="579" t="str">
        <f>IFERROR(VLOOKUP(Table_NFI[[#This Row],[Camp Name]],CL,2,0),"")</f>
        <v>MMR015CMP216</v>
      </c>
      <c r="AP540" s="574">
        <f ca="1">IF(Table_NFI[[#This Row],[Pcode]]="","",IF(OFFSET(CampList[Opening Date],MATCH(Table_NFI[[#This Row],[Pcode]],CampList[CP_Pcode],0)-1,0,1,1)&gt;=NFI_Monitor_Date,1,0))</f>
        <v>1</v>
      </c>
      <c r="AQ540" s="579" t="str">
        <f>IFERROR(VLOOKUP(Table_NFI[[#This Row],[Camp Name]],CL,3,0),"")</f>
        <v>Open</v>
      </c>
      <c r="AR540" s="378" t="str">
        <f ca="1">IF(Table_NFI[[#This Row],[Pcode]]="","",OFFSET(CampList[Priority],MATCH(Table_NFI[[#This Row],[Pcode]],CampList[CP_Pcode],0)-1,0,1,1))</f>
        <v>P4</v>
      </c>
      <c r="AS540" s="377">
        <f>IFERROR(Table_NFI[[#This Row],[Kitchen Set]]/VLOOKUP(Table_NFI[[#This Row],[Camp Name]],CL,4,0),"")</f>
        <v>0.34615384615384615</v>
      </c>
      <c r="AT540" s="572"/>
      <c r="AU540" s="575" t="s">
        <v>1236</v>
      </c>
    </row>
    <row r="541" spans="1:47" s="576" customFormat="1" x14ac:dyDescent="0.25">
      <c r="A541" s="381">
        <f t="shared" si="8"/>
        <v>25.033333333333335</v>
      </c>
      <c r="B541" s="571">
        <v>41771</v>
      </c>
      <c r="C541" s="572" t="s">
        <v>454</v>
      </c>
      <c r="D541" s="572"/>
      <c r="E541" s="572" t="s">
        <v>555</v>
      </c>
      <c r="F541" s="572" t="s">
        <v>230</v>
      </c>
      <c r="G541" s="572" t="s">
        <v>1066</v>
      </c>
      <c r="H541" s="375"/>
      <c r="I541" s="375"/>
      <c r="J541" s="375"/>
      <c r="K541" s="375">
        <v>82</v>
      </c>
      <c r="L541" s="376">
        <v>41</v>
      </c>
      <c r="M541" s="376">
        <v>82</v>
      </c>
      <c r="N541" s="376">
        <v>41</v>
      </c>
      <c r="O541" s="376"/>
      <c r="P541" s="378">
        <v>41</v>
      </c>
      <c r="Q541" s="378">
        <v>205</v>
      </c>
      <c r="R541" s="378"/>
      <c r="S541" s="378"/>
      <c r="T541" s="378"/>
      <c r="U541" s="378"/>
      <c r="V541" s="533"/>
      <c r="W541" s="378"/>
      <c r="X541" s="378"/>
      <c r="Y541" s="378">
        <f>IF(NFI_Expiration=1,IF($A541&lt;VLOOKUP(H$5,NFI,5,0),1,0)*Table_NFI[[#This Row],[Hygiene Kit]],Table_NFI[Hygiene Kit])</f>
        <v>0</v>
      </c>
      <c r="Z541" s="378">
        <f>IF(NFI_Expiration=1,IF($A541&lt;VLOOKUP(I$5,NFI,5,0),1,0)*Table_NFI[[#This Row],[NFI Core Kit]],Table_NFI[NFI Core Kit])</f>
        <v>0</v>
      </c>
      <c r="AA541" s="378">
        <f>IF(NFI_Expiration=1,IF($A541&lt;VLOOKUP(J$5,NFI,5,0),1,0)*Table_NFI[[#This Row],[Sanitary Kit]],Table_NFI[Sanitary Kit])</f>
        <v>0</v>
      </c>
      <c r="AB541" s="378">
        <f>IF(NFI_Expiration=1,IF($A541&lt;VLOOKUP(K$5,NFI,5,0),1,0)*Table_NFI[[#This Row],[Mosquito net]],Table_NFI[Mosquito net])</f>
        <v>0</v>
      </c>
      <c r="AC541" s="378">
        <f>IF(NFI_Expiration=1,IF($A541&lt;VLOOKUP(L$5,NFI,5,0),1,0)*Table_NFI[[#This Row],[Tarpaulin]],Table_NFI[[#This Row],[Tarpaulin]])</f>
        <v>0</v>
      </c>
      <c r="AD541" s="378">
        <f>IF(NFI_Expiration=1,IF($A541&lt;VLOOKUP(M$5,NFI,5,0),1,0)*Table_NFI[[#This Row],[Blanket]],Table_NFI[[#This Row],[Blanket]])</f>
        <v>0</v>
      </c>
      <c r="AE541" s="378">
        <f>IF(NFI_Expiration=1,IF($A541&lt;VLOOKUP(N$5,NFI,5,0),1,0)*Table_NFI[[#This Row],[Kitchen Set]],Table_NFI[Kitchen Set])</f>
        <v>0</v>
      </c>
      <c r="AF541" s="378">
        <f>IF(NFI_Expiration=1,IF($A541&lt;VLOOKUP(O$5,NFI,5,0),1,0)*Table_NFI[[#This Row],[Clothes Kit]],Table_NFI[Clothes Kit])</f>
        <v>0</v>
      </c>
      <c r="AG541" s="378">
        <f>IF(NFI_Expiration=1,IF($A541&lt;VLOOKUP(P$5,NFI,5,0),1,0)*Table_NFI[[#This Row],[Plastic Bucket]],Table_NFI[Plastic Bucket])</f>
        <v>0</v>
      </c>
      <c r="AH541" s="378">
        <f>IF(NFI_Expiration=1,IF($A541&lt;VLOOKUP(Q$5,NFI,5,0),1,0)*Table_NFI[[#This Row],[Plastic Mat]],Table_NFI[Plastic Mat])*IF(Table_NFI[[#This Row],[Distribution Date]]&gt;"2014-04-01",1,2.5)</f>
        <v>0</v>
      </c>
      <c r="AI541" s="378">
        <f>IF(NFI_Expiration=1,IF($A541&lt;VLOOKUP(R$5,NFI,5,0),1,0)*Table_NFI[[#This Row],[Winter Clothes Adult]],Table_NFI[Winter Clothes Adult])</f>
        <v>0</v>
      </c>
      <c r="AJ541" s="378">
        <f>IF(NFI_Expiration=1,IF($A541&lt;VLOOKUP(S$5,NFI,5,0),1,0)*Table_NFI[[#This Row],[Winter Clothes Children]],Table_NFI[Winter Clothes Children])</f>
        <v>0</v>
      </c>
      <c r="AK541" s="378">
        <f>IF(NFI_Expiration=1,IF($A541&lt;VLOOKUP(T$5,NFI,5,0),1,0)*Table_NFI[[#This Row],[Winter Items Other]],Table_NFI[Winter Items Other])</f>
        <v>0</v>
      </c>
      <c r="AL541" s="378">
        <f>IF(NFI_Expiration=1,IF($A541&lt;VLOOKUP(M$5,NFI,5,0),1,0)*Table_NFI[[#This Row],[Winter Blanket]],Table_NFI[[#This Row],[Winter Blanket]])</f>
        <v>0</v>
      </c>
      <c r="AM541" s="378">
        <f>IF(Table_NFI[[#This Row],[Winter Clothes Adult]]+Table_NFI[[#This Row],[Winter Clothes Children]]+Table_NFI[[#This Row],[Winter Items Other]]+Table_NFI[[#This Row],[Winter Blanket]]&gt;0,1,0)</f>
        <v>0</v>
      </c>
      <c r="AN541" s="418">
        <f>IF(NFI_Expiration=1,IF($A541&lt;VLOOKUP(V$5,NFI,5,0),1,0)*Table_NFI[[#This Row],[Jerry Can]],Table_NFI[Jerry Can])</f>
        <v>0</v>
      </c>
      <c r="AO541" s="579" t="str">
        <f>IFERROR(VLOOKUP(Table_NFI[[#This Row],[Camp Name]],CL,2,0),"")</f>
        <v>MMR015CMP216</v>
      </c>
      <c r="AP541" s="574">
        <f ca="1">IF(Table_NFI[[#This Row],[Pcode]]="","",IF(OFFSET(CampList[Opening Date],MATCH(Table_NFI[[#This Row],[Pcode]],CampList[CP_Pcode],0)-1,0,1,1)&gt;=NFI_Monitor_Date,1,0))</f>
        <v>1</v>
      </c>
      <c r="AQ541" s="579" t="str">
        <f>IFERROR(VLOOKUP(Table_NFI[[#This Row],[Camp Name]],CL,3,0),"")</f>
        <v>Open</v>
      </c>
      <c r="AR541" s="378" t="str">
        <f ca="1">IF(Table_NFI[[#This Row],[Pcode]]="","",OFFSET(CampList[Priority],MATCH(Table_NFI[[#This Row],[Pcode]],CampList[CP_Pcode],0)-1,0,1,1))</f>
        <v>P4</v>
      </c>
      <c r="AS541" s="377">
        <f>IFERROR(Table_NFI[[#This Row],[Kitchen Set]]/VLOOKUP(Table_NFI[[#This Row],[Camp Name]],CL,4,0),"")</f>
        <v>1.5769230769230769</v>
      </c>
      <c r="AT541" s="572"/>
      <c r="AU541" s="575"/>
    </row>
    <row r="542" spans="1:47" s="576" customFormat="1" x14ac:dyDescent="0.25">
      <c r="A542" s="615">
        <f t="shared" si="8"/>
        <v>2.0666666666666669</v>
      </c>
      <c r="B542" s="571">
        <v>42460</v>
      </c>
      <c r="C542" s="572" t="s">
        <v>454</v>
      </c>
      <c r="D542" s="572" t="s">
        <v>507</v>
      </c>
      <c r="E542" s="572" t="s">
        <v>380</v>
      </c>
      <c r="F542" s="572" t="s">
        <v>5</v>
      </c>
      <c r="G542" s="572" t="s">
        <v>8</v>
      </c>
      <c r="H542" s="617"/>
      <c r="I542" s="617"/>
      <c r="J542" s="617"/>
      <c r="K542" s="617"/>
      <c r="L542" s="617">
        <v>4</v>
      </c>
      <c r="M542" s="617"/>
      <c r="N542" s="617"/>
      <c r="O542" s="617"/>
      <c r="P542" s="618"/>
      <c r="Q542" s="618"/>
      <c r="R542" s="618"/>
      <c r="S542" s="618"/>
      <c r="T542" s="618"/>
      <c r="U542" s="618"/>
      <c r="V542" s="619"/>
      <c r="W542" s="618"/>
      <c r="X542" s="618"/>
      <c r="Y542" s="618">
        <f>IF(NFI_Expiration=1,IF($A542&lt;VLOOKUP(H$5,NFI,5,0),1,0)*Table_NFI[[#This Row],[Hygiene Kit]],Table_NFI[Hygiene Kit])</f>
        <v>0</v>
      </c>
      <c r="Z542" s="618">
        <f>IF(NFI_Expiration=1,IF($A542&lt;VLOOKUP(I$5,NFI,5,0),1,0)*Table_NFI[[#This Row],[NFI Core Kit]],Table_NFI[NFI Core Kit])</f>
        <v>0</v>
      </c>
      <c r="AA542" s="618">
        <f>IF(NFI_Expiration=1,IF($A542&lt;VLOOKUP(J$5,NFI,5,0),1,0)*Table_NFI[[#This Row],[Sanitary Kit]],Table_NFI[Sanitary Kit])</f>
        <v>0</v>
      </c>
      <c r="AB542" s="618">
        <f>IF(NFI_Expiration=1,IF($A542&lt;VLOOKUP(K$5,NFI,5,0),1,0)*Table_NFI[[#This Row],[Mosquito net]],Table_NFI[Mosquito net])</f>
        <v>0</v>
      </c>
      <c r="AC542" s="618">
        <f>IF(NFI_Expiration=1,IF($A542&lt;VLOOKUP(L$5,NFI,5,0),1,0)*Table_NFI[[#This Row],[Tarpaulin]],Table_NFI[[#This Row],[Tarpaulin]])</f>
        <v>4</v>
      </c>
      <c r="AD542" s="618">
        <f>IF(NFI_Expiration=1,IF($A542&lt;VLOOKUP(M$5,NFI,5,0),1,0)*Table_NFI[[#This Row],[Blanket]],Table_NFI[[#This Row],[Blanket]])</f>
        <v>0</v>
      </c>
      <c r="AE542" s="618">
        <f>IF(NFI_Expiration=1,IF($A542&lt;VLOOKUP(N$5,NFI,5,0),1,0)*Table_NFI[[#This Row],[Kitchen Set]],Table_NFI[Kitchen Set])</f>
        <v>0</v>
      </c>
      <c r="AF542" s="618">
        <f>IF(NFI_Expiration=1,IF($A542&lt;VLOOKUP(O$5,NFI,5,0),1,0)*Table_NFI[[#This Row],[Clothes Kit]],Table_NFI[Clothes Kit])</f>
        <v>0</v>
      </c>
      <c r="AG542" s="618">
        <f>IF(NFI_Expiration=1,IF($A542&lt;VLOOKUP(P$5,NFI,5,0),1,0)*Table_NFI[[#This Row],[Plastic Bucket]],Table_NFI[Plastic Bucket])</f>
        <v>0</v>
      </c>
      <c r="AH542" s="618">
        <f>IF(NFI_Expiration=1,IF($A542&lt;VLOOKUP(Q$5,NFI,5,0),1,0)*Table_NFI[[#This Row],[Plastic Mat]],Table_NFI[Plastic Mat])*IF(Table_NFI[[#This Row],[Distribution Date]]&gt;"2014-04-01",1,2.5)</f>
        <v>0</v>
      </c>
      <c r="AI542" s="618">
        <f>IF(NFI_Expiration=1,IF($A542&lt;VLOOKUP(R$5,NFI,5,0),1,0)*Table_NFI[[#This Row],[Winter Clothes Adult]],Table_NFI[Winter Clothes Adult])</f>
        <v>0</v>
      </c>
      <c r="AJ542" s="618">
        <f>IF(NFI_Expiration=1,IF($A542&lt;VLOOKUP(S$5,NFI,5,0),1,0)*Table_NFI[[#This Row],[Winter Clothes Children]],Table_NFI[Winter Clothes Children])</f>
        <v>0</v>
      </c>
      <c r="AK542" s="618">
        <f>IF(NFI_Expiration=1,IF($A542&lt;VLOOKUP(T$5,NFI,5,0),1,0)*Table_NFI[[#This Row],[Winter Items Other]],Table_NFI[Winter Items Other])</f>
        <v>0</v>
      </c>
      <c r="AL542" s="618">
        <f>IF(NFI_Expiration=1,IF($A542&lt;VLOOKUP(M$5,NFI,5,0),1,0)*Table_NFI[[#This Row],[Winter Blanket]],Table_NFI[[#This Row],[Winter Blanket]])</f>
        <v>0</v>
      </c>
      <c r="AM542" s="618">
        <f>IF(Table_NFI[[#This Row],[Winter Clothes Adult]]+Table_NFI[[#This Row],[Winter Clothes Children]]+Table_NFI[[#This Row],[Winter Items Other]]+Table_NFI[[#This Row],[Winter Blanket]]&gt;0,1,0)</f>
        <v>0</v>
      </c>
      <c r="AN542" s="620">
        <f>IF(NFI_Expiration=1,IF($A542&lt;VLOOKUP(V$5,NFI,5,0),1,0)*Table_NFI[[#This Row],[Jerry Can]],Table_NFI[Jerry Can])</f>
        <v>0</v>
      </c>
      <c r="AO542" s="621" t="str">
        <f>IFERROR(VLOOKUP(Table_NFI[[#This Row],[Camp Name]],CL,2,0),"")</f>
        <v>MMR001CMP051</v>
      </c>
      <c r="AP542" s="622">
        <f ca="1">IF(Table_NFI[[#This Row],[Pcode]]="","",IF(OFFSET(CampList[Opening Date],MATCH(Table_NFI[[#This Row],[Pcode]],CampList[CP_Pcode],0)-1,0,1,1)&gt;=NFI_Monitor_Date,1,0))</f>
        <v>0</v>
      </c>
      <c r="AQ542" s="621" t="str">
        <f>IFERROR(VLOOKUP(Table_NFI[[#This Row],[Camp Name]],CL,3,0),"")</f>
        <v>Open</v>
      </c>
      <c r="AR542" s="618" t="str">
        <f ca="1">IF(Table_NFI[[#This Row],[Pcode]]="","",OFFSET(CampList[Priority],MATCH(Table_NFI[[#This Row],[Pcode]],CampList[CP_Pcode],0)-1,0,1,1))</f>
        <v>P4</v>
      </c>
      <c r="AS542" s="623">
        <f>IFERROR(Table_NFI[[#This Row],[Kitchen Set]]/VLOOKUP(Table_NFI[[#This Row],[Camp Name]],CL,4,0),"")</f>
        <v>0</v>
      </c>
      <c r="AT542" s="616"/>
      <c r="AU542" s="624"/>
    </row>
    <row r="543" spans="1:47" s="576" customFormat="1" x14ac:dyDescent="0.25">
      <c r="A543" s="381">
        <f t="shared" si="8"/>
        <v>14.166666666666666</v>
      </c>
      <c r="B543" s="571">
        <v>42097</v>
      </c>
      <c r="C543" s="572" t="s">
        <v>454</v>
      </c>
      <c r="D543" s="572" t="s">
        <v>1364</v>
      </c>
      <c r="E543" s="572" t="s">
        <v>380</v>
      </c>
      <c r="F543" s="572" t="s">
        <v>5</v>
      </c>
      <c r="G543" s="572" t="s">
        <v>8</v>
      </c>
      <c r="H543" s="375"/>
      <c r="I543" s="375"/>
      <c r="J543" s="375"/>
      <c r="K543" s="375"/>
      <c r="L543" s="376">
        <v>3</v>
      </c>
      <c r="M543" s="376">
        <v>53</v>
      </c>
      <c r="N543" s="376"/>
      <c r="O543" s="376"/>
      <c r="P543" s="378">
        <v>3</v>
      </c>
      <c r="Q543" s="378">
        <v>11</v>
      </c>
      <c r="R543" s="378"/>
      <c r="S543" s="378"/>
      <c r="T543" s="378"/>
      <c r="U543" s="378"/>
      <c r="V543" s="533">
        <v>3</v>
      </c>
      <c r="W543" s="378"/>
      <c r="X543" s="378"/>
      <c r="Y543" s="378">
        <f>IF(NFI_Expiration=1,IF($A543&lt;VLOOKUP(H$5,NFI,5,0),1,0)*Table_NFI[[#This Row],[Hygiene Kit]],Table_NFI[Hygiene Kit])</f>
        <v>0</v>
      </c>
      <c r="Z543" s="378">
        <f>IF(NFI_Expiration=1,IF($A543&lt;VLOOKUP(I$5,NFI,5,0),1,0)*Table_NFI[[#This Row],[NFI Core Kit]],Table_NFI[NFI Core Kit])</f>
        <v>0</v>
      </c>
      <c r="AA543" s="378">
        <f>IF(NFI_Expiration=1,IF($A543&lt;VLOOKUP(J$5,NFI,5,0),1,0)*Table_NFI[[#This Row],[Sanitary Kit]],Table_NFI[Sanitary Kit])</f>
        <v>0</v>
      </c>
      <c r="AB543" s="378">
        <f>IF(NFI_Expiration=1,IF($A543&lt;VLOOKUP(K$5,NFI,5,0),1,0)*Table_NFI[[#This Row],[Mosquito net]],Table_NFI[Mosquito net])</f>
        <v>0</v>
      </c>
      <c r="AC543" s="378">
        <f>IF(NFI_Expiration=1,IF($A543&lt;VLOOKUP(L$5,NFI,5,0),1,0)*Table_NFI[[#This Row],[Tarpaulin]],Table_NFI[[#This Row],[Tarpaulin]])</f>
        <v>0</v>
      </c>
      <c r="AD543" s="378">
        <f>IF(NFI_Expiration=1,IF($A543&lt;VLOOKUP(M$5,NFI,5,0),1,0)*Table_NFI[[#This Row],[Blanket]],Table_NFI[[#This Row],[Blanket]])</f>
        <v>0</v>
      </c>
      <c r="AE543" s="378">
        <f>IF(NFI_Expiration=1,IF($A543&lt;VLOOKUP(N$5,NFI,5,0),1,0)*Table_NFI[[#This Row],[Kitchen Set]],Table_NFI[Kitchen Set])</f>
        <v>0</v>
      </c>
      <c r="AF543" s="378">
        <f>IF(NFI_Expiration=1,IF($A543&lt;VLOOKUP(O$5,NFI,5,0),1,0)*Table_NFI[[#This Row],[Clothes Kit]],Table_NFI[Clothes Kit])</f>
        <v>0</v>
      </c>
      <c r="AG543" s="378">
        <f>IF(NFI_Expiration=1,IF($A543&lt;VLOOKUP(P$5,NFI,5,0),1,0)*Table_NFI[[#This Row],[Plastic Bucket]],Table_NFI[Plastic Bucket])</f>
        <v>0</v>
      </c>
      <c r="AH543" s="378">
        <f>IF(NFI_Expiration=1,IF($A543&lt;VLOOKUP(Q$5,NFI,5,0),1,0)*Table_NFI[[#This Row],[Plastic Mat]],Table_NFI[Plastic Mat])*IF(Table_NFI[[#This Row],[Distribution Date]]&gt;"2014-04-01",1,2.5)</f>
        <v>0</v>
      </c>
      <c r="AI543" s="378">
        <f>IF(NFI_Expiration=1,IF($A543&lt;VLOOKUP(R$5,NFI,5,0),1,0)*Table_NFI[[#This Row],[Winter Clothes Adult]],Table_NFI[Winter Clothes Adult])</f>
        <v>0</v>
      </c>
      <c r="AJ543" s="378">
        <f>IF(NFI_Expiration=1,IF($A543&lt;VLOOKUP(S$5,NFI,5,0),1,0)*Table_NFI[[#This Row],[Winter Clothes Children]],Table_NFI[Winter Clothes Children])</f>
        <v>0</v>
      </c>
      <c r="AK543" s="378">
        <f>IF(NFI_Expiration=1,IF($A543&lt;VLOOKUP(T$5,NFI,5,0),1,0)*Table_NFI[[#This Row],[Winter Items Other]],Table_NFI[Winter Items Other])</f>
        <v>0</v>
      </c>
      <c r="AL543" s="378">
        <f>IF(NFI_Expiration=1,IF($A543&lt;VLOOKUP(M$5,NFI,5,0),1,0)*Table_NFI[[#This Row],[Winter Blanket]],Table_NFI[[#This Row],[Winter Blanket]])</f>
        <v>0</v>
      </c>
      <c r="AM543" s="378">
        <f>IF(Table_NFI[[#This Row],[Winter Clothes Adult]]+Table_NFI[[#This Row],[Winter Clothes Children]]+Table_NFI[[#This Row],[Winter Items Other]]+Table_NFI[[#This Row],[Winter Blanket]]&gt;0,1,0)</f>
        <v>0</v>
      </c>
      <c r="AN543" s="418">
        <f>IF(NFI_Expiration=1,IF($A543&lt;VLOOKUP(V$5,NFI,5,0),1,0)*Table_NFI[[#This Row],[Jerry Can]],Table_NFI[Jerry Can])</f>
        <v>0</v>
      </c>
      <c r="AO543" s="579" t="str">
        <f>IFERROR(VLOOKUP(Table_NFI[[#This Row],[Camp Name]],CL,2,0),"")</f>
        <v>MMR001CMP051</v>
      </c>
      <c r="AP543" s="574">
        <f ca="1">IF(Table_NFI[[#This Row],[Pcode]]="","",IF(OFFSET(CampList[Opening Date],MATCH(Table_NFI[[#This Row],[Pcode]],CampList[CP_Pcode],0)-1,0,1,1)&gt;=NFI_Monitor_Date,1,0))</f>
        <v>0</v>
      </c>
      <c r="AQ543" s="579" t="str">
        <f>IFERROR(VLOOKUP(Table_NFI[[#This Row],[Camp Name]],CL,3,0),"")</f>
        <v>Open</v>
      </c>
      <c r="AR543" s="378" t="str">
        <f ca="1">IF(Table_NFI[[#This Row],[Pcode]]="","",OFFSET(CampList[Priority],MATCH(Table_NFI[[#This Row],[Pcode]],CampList[CP_Pcode],0)-1,0,1,1))</f>
        <v>P4</v>
      </c>
      <c r="AS543" s="377">
        <f>IFERROR(Table_NFI[[#This Row],[Kitchen Set]]/VLOOKUP(Table_NFI[[#This Row],[Camp Name]],CL,4,0),"")</f>
        <v>0</v>
      </c>
      <c r="AT543" s="572" t="s">
        <v>1095</v>
      </c>
      <c r="AU543" s="575"/>
    </row>
    <row r="544" spans="1:47" s="576" customFormat="1" x14ac:dyDescent="0.25">
      <c r="A544" s="381">
        <f t="shared" si="8"/>
        <v>24.9</v>
      </c>
      <c r="B544" s="571">
        <v>41775</v>
      </c>
      <c r="C544" s="572" t="s">
        <v>454</v>
      </c>
      <c r="D544" s="572" t="s">
        <v>454</v>
      </c>
      <c r="E544" s="572" t="s">
        <v>380</v>
      </c>
      <c r="F544" s="572" t="s">
        <v>5</v>
      </c>
      <c r="G544" s="572" t="s">
        <v>8</v>
      </c>
      <c r="H544" s="375"/>
      <c r="I544" s="375"/>
      <c r="J544" s="375"/>
      <c r="K544" s="375">
        <v>10</v>
      </c>
      <c r="L544" s="376">
        <v>4</v>
      </c>
      <c r="M544" s="376">
        <v>10</v>
      </c>
      <c r="N544" s="376">
        <v>4</v>
      </c>
      <c r="O544" s="376">
        <v>4</v>
      </c>
      <c r="P544" s="378">
        <v>4</v>
      </c>
      <c r="Q544" s="378">
        <v>18</v>
      </c>
      <c r="R544" s="378"/>
      <c r="S544" s="378"/>
      <c r="T544" s="378"/>
      <c r="U544" s="378"/>
      <c r="V544" s="533"/>
      <c r="W544" s="378"/>
      <c r="X544" s="378"/>
      <c r="Y544" s="378">
        <f>IF(NFI_Expiration=1,IF($A544&lt;VLOOKUP(H$5,NFI,5,0),1,0)*Table_NFI[[#This Row],[Hygiene Kit]],Table_NFI[Hygiene Kit])</f>
        <v>0</v>
      </c>
      <c r="Z544" s="378">
        <f>IF(NFI_Expiration=1,IF($A544&lt;VLOOKUP(I$5,NFI,5,0),1,0)*Table_NFI[[#This Row],[NFI Core Kit]],Table_NFI[NFI Core Kit])</f>
        <v>0</v>
      </c>
      <c r="AA544" s="378">
        <f>IF(NFI_Expiration=1,IF($A544&lt;VLOOKUP(J$5,NFI,5,0),1,0)*Table_NFI[[#This Row],[Sanitary Kit]],Table_NFI[Sanitary Kit])</f>
        <v>0</v>
      </c>
      <c r="AB544" s="378">
        <f>IF(NFI_Expiration=1,IF($A544&lt;VLOOKUP(K$5,NFI,5,0),1,0)*Table_NFI[[#This Row],[Mosquito net]],Table_NFI[Mosquito net])</f>
        <v>0</v>
      </c>
      <c r="AC544" s="378">
        <f>IF(NFI_Expiration=1,IF($A544&lt;VLOOKUP(L$5,NFI,5,0),1,0)*Table_NFI[[#This Row],[Tarpaulin]],Table_NFI[[#This Row],[Tarpaulin]])</f>
        <v>0</v>
      </c>
      <c r="AD544" s="378">
        <f>IF(NFI_Expiration=1,IF($A544&lt;VLOOKUP(M$5,NFI,5,0),1,0)*Table_NFI[[#This Row],[Blanket]],Table_NFI[[#This Row],[Blanket]])</f>
        <v>0</v>
      </c>
      <c r="AE544" s="378">
        <f>IF(NFI_Expiration=1,IF($A544&lt;VLOOKUP(N$5,NFI,5,0),1,0)*Table_NFI[[#This Row],[Kitchen Set]],Table_NFI[Kitchen Set])</f>
        <v>0</v>
      </c>
      <c r="AF544" s="378">
        <f>IF(NFI_Expiration=1,IF($A544&lt;VLOOKUP(O$5,NFI,5,0),1,0)*Table_NFI[[#This Row],[Clothes Kit]],Table_NFI[Clothes Kit])</f>
        <v>0</v>
      </c>
      <c r="AG544" s="378">
        <f>IF(NFI_Expiration=1,IF($A544&lt;VLOOKUP(P$5,NFI,5,0),1,0)*Table_NFI[[#This Row],[Plastic Bucket]],Table_NFI[Plastic Bucket])</f>
        <v>0</v>
      </c>
      <c r="AH544" s="378">
        <f>IF(NFI_Expiration=1,IF($A544&lt;VLOOKUP(Q$5,NFI,5,0),1,0)*Table_NFI[[#This Row],[Plastic Mat]],Table_NFI[Plastic Mat])*IF(Table_NFI[[#This Row],[Distribution Date]]&gt;"2014-04-01",1,2.5)</f>
        <v>0</v>
      </c>
      <c r="AI544" s="378">
        <f>IF(NFI_Expiration=1,IF($A544&lt;VLOOKUP(R$5,NFI,5,0),1,0)*Table_NFI[[#This Row],[Winter Clothes Adult]],Table_NFI[Winter Clothes Adult])</f>
        <v>0</v>
      </c>
      <c r="AJ544" s="378">
        <f>IF(NFI_Expiration=1,IF($A544&lt;VLOOKUP(S$5,NFI,5,0),1,0)*Table_NFI[[#This Row],[Winter Clothes Children]],Table_NFI[Winter Clothes Children])</f>
        <v>0</v>
      </c>
      <c r="AK544" s="378">
        <f>IF(NFI_Expiration=1,IF($A544&lt;VLOOKUP(T$5,NFI,5,0),1,0)*Table_NFI[[#This Row],[Winter Items Other]],Table_NFI[Winter Items Other])</f>
        <v>0</v>
      </c>
      <c r="AL544" s="378">
        <f>IF(NFI_Expiration=1,IF($A544&lt;VLOOKUP(M$5,NFI,5,0),1,0)*Table_NFI[[#This Row],[Winter Blanket]],Table_NFI[[#This Row],[Winter Blanket]])</f>
        <v>0</v>
      </c>
      <c r="AM544" s="378">
        <f>IF(Table_NFI[[#This Row],[Winter Clothes Adult]]+Table_NFI[[#This Row],[Winter Clothes Children]]+Table_NFI[[#This Row],[Winter Items Other]]+Table_NFI[[#This Row],[Winter Blanket]]&gt;0,1,0)</f>
        <v>0</v>
      </c>
      <c r="AN544" s="418">
        <f>IF(NFI_Expiration=1,IF($A544&lt;VLOOKUP(V$5,NFI,5,0),1,0)*Table_NFI[[#This Row],[Jerry Can]],Table_NFI[Jerry Can])</f>
        <v>0</v>
      </c>
      <c r="AO544" s="579" t="str">
        <f>IFERROR(VLOOKUP(Table_NFI[[#This Row],[Camp Name]],CL,2,0),"")</f>
        <v>MMR001CMP051</v>
      </c>
      <c r="AP544" s="574">
        <f ca="1">IF(Table_NFI[[#This Row],[Pcode]]="","",IF(OFFSET(CampList[Opening Date],MATCH(Table_NFI[[#This Row],[Pcode]],CampList[CP_Pcode],0)-1,0,1,1)&gt;=NFI_Monitor_Date,1,0))</f>
        <v>0</v>
      </c>
      <c r="AQ544" s="579" t="str">
        <f>IFERROR(VLOOKUP(Table_NFI[[#This Row],[Camp Name]],CL,3,0),"")</f>
        <v>Open</v>
      </c>
      <c r="AR544" s="378" t="str">
        <f ca="1">IF(Table_NFI[[#This Row],[Pcode]]="","",OFFSET(CampList[Priority],MATCH(Table_NFI[[#This Row],[Pcode]],CampList[CP_Pcode],0)-1,0,1,1))</f>
        <v>P4</v>
      </c>
      <c r="AS544" s="377">
        <f>IFERROR(Table_NFI[[#This Row],[Kitchen Set]]/VLOOKUP(Table_NFI[[#This Row],[Camp Name]],CL,4,0),"")</f>
        <v>0.2857142857142857</v>
      </c>
      <c r="AT544" s="572" t="s">
        <v>1095</v>
      </c>
      <c r="AU544" s="575"/>
    </row>
    <row r="545" spans="1:47" s="576" customFormat="1" x14ac:dyDescent="0.25">
      <c r="A545" s="381">
        <f t="shared" si="8"/>
        <v>26.366666666666667</v>
      </c>
      <c r="B545" s="571">
        <v>41731</v>
      </c>
      <c r="C545" s="572" t="s">
        <v>454</v>
      </c>
      <c r="D545" s="572" t="s">
        <v>454</v>
      </c>
      <c r="E545" s="572" t="s">
        <v>380</v>
      </c>
      <c r="F545" s="572" t="s">
        <v>5</v>
      </c>
      <c r="G545" s="572" t="s">
        <v>8</v>
      </c>
      <c r="H545" s="375"/>
      <c r="I545" s="375"/>
      <c r="J545" s="375"/>
      <c r="K545" s="375"/>
      <c r="L545" s="376">
        <v>1</v>
      </c>
      <c r="M545" s="376">
        <v>3</v>
      </c>
      <c r="N545" s="376">
        <v>2</v>
      </c>
      <c r="O545" s="376"/>
      <c r="P545" s="378">
        <v>3</v>
      </c>
      <c r="Q545" s="378"/>
      <c r="R545" s="378"/>
      <c r="S545" s="378"/>
      <c r="T545" s="378"/>
      <c r="U545" s="378"/>
      <c r="V545" s="533"/>
      <c r="W545" s="378"/>
      <c r="X545" s="378"/>
      <c r="Y545" s="378">
        <f>IF(NFI_Expiration=1,IF($A545&lt;VLOOKUP(H$5,NFI,5,0),1,0)*Table_NFI[[#This Row],[Hygiene Kit]],Table_NFI[Hygiene Kit])</f>
        <v>0</v>
      </c>
      <c r="Z545" s="378">
        <f>IF(NFI_Expiration=1,IF($A545&lt;VLOOKUP(I$5,NFI,5,0),1,0)*Table_NFI[[#This Row],[NFI Core Kit]],Table_NFI[NFI Core Kit])</f>
        <v>0</v>
      </c>
      <c r="AA545" s="378">
        <f>IF(NFI_Expiration=1,IF($A545&lt;VLOOKUP(J$5,NFI,5,0),1,0)*Table_NFI[[#This Row],[Sanitary Kit]],Table_NFI[Sanitary Kit])</f>
        <v>0</v>
      </c>
      <c r="AB545" s="378">
        <f>IF(NFI_Expiration=1,IF($A545&lt;VLOOKUP(K$5,NFI,5,0),1,0)*Table_NFI[[#This Row],[Mosquito net]],Table_NFI[Mosquito net])</f>
        <v>0</v>
      </c>
      <c r="AC545" s="378">
        <f>IF(NFI_Expiration=1,IF($A545&lt;VLOOKUP(L$5,NFI,5,0),1,0)*Table_NFI[[#This Row],[Tarpaulin]],Table_NFI[[#This Row],[Tarpaulin]])</f>
        <v>0</v>
      </c>
      <c r="AD545" s="378">
        <f>IF(NFI_Expiration=1,IF($A545&lt;VLOOKUP(M$5,NFI,5,0),1,0)*Table_NFI[[#This Row],[Blanket]],Table_NFI[[#This Row],[Blanket]])</f>
        <v>0</v>
      </c>
      <c r="AE545" s="378">
        <f>IF(NFI_Expiration=1,IF($A545&lt;VLOOKUP(N$5,NFI,5,0),1,0)*Table_NFI[[#This Row],[Kitchen Set]],Table_NFI[Kitchen Set])</f>
        <v>0</v>
      </c>
      <c r="AF545" s="378">
        <f>IF(NFI_Expiration=1,IF($A545&lt;VLOOKUP(O$5,NFI,5,0),1,0)*Table_NFI[[#This Row],[Clothes Kit]],Table_NFI[Clothes Kit])</f>
        <v>0</v>
      </c>
      <c r="AG545" s="378">
        <f>IF(NFI_Expiration=1,IF($A545&lt;VLOOKUP(P$5,NFI,5,0),1,0)*Table_NFI[[#This Row],[Plastic Bucket]],Table_NFI[Plastic Bucket])</f>
        <v>0</v>
      </c>
      <c r="AH545" s="378">
        <f>IF(NFI_Expiration=1,IF($A545&lt;VLOOKUP(Q$5,NFI,5,0),1,0)*Table_NFI[[#This Row],[Plastic Mat]],Table_NFI[Plastic Mat])*IF(Table_NFI[[#This Row],[Distribution Date]]&gt;"2014-04-01",1,2.5)</f>
        <v>0</v>
      </c>
      <c r="AI545" s="378">
        <f>IF(NFI_Expiration=1,IF($A545&lt;VLOOKUP(R$5,NFI,5,0),1,0)*Table_NFI[[#This Row],[Winter Clothes Adult]],Table_NFI[Winter Clothes Adult])</f>
        <v>0</v>
      </c>
      <c r="AJ545" s="378">
        <f>IF(NFI_Expiration=1,IF($A545&lt;VLOOKUP(S$5,NFI,5,0),1,0)*Table_NFI[[#This Row],[Winter Clothes Children]],Table_NFI[Winter Clothes Children])</f>
        <v>0</v>
      </c>
      <c r="AK545" s="378">
        <f>IF(NFI_Expiration=1,IF($A545&lt;VLOOKUP(T$5,NFI,5,0),1,0)*Table_NFI[[#This Row],[Winter Items Other]],Table_NFI[Winter Items Other])</f>
        <v>0</v>
      </c>
      <c r="AL545" s="378">
        <f>IF(NFI_Expiration=1,IF($A545&lt;VLOOKUP(M$5,NFI,5,0),1,0)*Table_NFI[[#This Row],[Winter Blanket]],Table_NFI[[#This Row],[Winter Blanket]])</f>
        <v>0</v>
      </c>
      <c r="AM545" s="378">
        <f>IF(Table_NFI[[#This Row],[Winter Clothes Adult]]+Table_NFI[[#This Row],[Winter Clothes Children]]+Table_NFI[[#This Row],[Winter Items Other]]+Table_NFI[[#This Row],[Winter Blanket]]&gt;0,1,0)</f>
        <v>0</v>
      </c>
      <c r="AN545" s="418">
        <f>IF(NFI_Expiration=1,IF($A545&lt;VLOOKUP(V$5,NFI,5,0),1,0)*Table_NFI[[#This Row],[Jerry Can]],Table_NFI[Jerry Can])</f>
        <v>0</v>
      </c>
      <c r="AO545" s="579" t="str">
        <f>IFERROR(VLOOKUP(Table_NFI[[#This Row],[Camp Name]],CL,2,0),"")</f>
        <v>MMR001CMP051</v>
      </c>
      <c r="AP545" s="574">
        <f ca="1">IF(Table_NFI[[#This Row],[Pcode]]="","",IF(OFFSET(CampList[Opening Date],MATCH(Table_NFI[[#This Row],[Pcode]],CampList[CP_Pcode],0)-1,0,1,1)&gt;=NFI_Monitor_Date,1,0))</f>
        <v>0</v>
      </c>
      <c r="AQ545" s="579" t="str">
        <f>IFERROR(VLOOKUP(Table_NFI[[#This Row],[Camp Name]],CL,3,0),"")</f>
        <v>Open</v>
      </c>
      <c r="AR545" s="378" t="str">
        <f ca="1">IF(Table_NFI[[#This Row],[Pcode]]="","",OFFSET(CampList[Priority],MATCH(Table_NFI[[#This Row],[Pcode]],CampList[CP_Pcode],0)-1,0,1,1))</f>
        <v>P4</v>
      </c>
      <c r="AS545" s="377">
        <f>IFERROR(Table_NFI[[#This Row],[Kitchen Set]]/VLOOKUP(Table_NFI[[#This Row],[Camp Name]],CL,4,0),"")</f>
        <v>0.14285714285714285</v>
      </c>
      <c r="AT545" s="572" t="s">
        <v>1095</v>
      </c>
      <c r="AU545" s="575"/>
    </row>
    <row r="546" spans="1:47" s="576" customFormat="1" x14ac:dyDescent="0.25">
      <c r="A546" s="381">
        <f t="shared" si="8"/>
        <v>30.6</v>
      </c>
      <c r="B546" s="571">
        <v>41604</v>
      </c>
      <c r="C546" s="573" t="s">
        <v>454</v>
      </c>
      <c r="D546" s="573" t="s">
        <v>454</v>
      </c>
      <c r="E546" s="572" t="s">
        <v>380</v>
      </c>
      <c r="F546" s="374" t="s">
        <v>5</v>
      </c>
      <c r="G546" s="374" t="s">
        <v>8</v>
      </c>
      <c r="H546" s="375"/>
      <c r="I546" s="375"/>
      <c r="J546" s="375"/>
      <c r="K546" s="375">
        <v>22</v>
      </c>
      <c r="L546" s="376">
        <v>11</v>
      </c>
      <c r="M546" s="376">
        <v>22</v>
      </c>
      <c r="N546" s="376">
        <v>11</v>
      </c>
      <c r="O546" s="376">
        <v>11</v>
      </c>
      <c r="P546" s="378"/>
      <c r="Q546" s="378"/>
      <c r="R546" s="378"/>
      <c r="S546" s="378"/>
      <c r="T546" s="378"/>
      <c r="U546" s="378"/>
      <c r="V546" s="533"/>
      <c r="W546" s="378"/>
      <c r="X546" s="378"/>
      <c r="Y546" s="378">
        <f>IF(NFI_Expiration=1,IF($A546&lt;VLOOKUP(H$5,NFI,5,0),1,0)*Table_NFI[[#This Row],[Hygiene Kit]],Table_NFI[Hygiene Kit])</f>
        <v>0</v>
      </c>
      <c r="Z546" s="378">
        <f>IF(NFI_Expiration=1,IF($A546&lt;VLOOKUP(I$5,NFI,5,0),1,0)*Table_NFI[[#This Row],[NFI Core Kit]],Table_NFI[NFI Core Kit])</f>
        <v>0</v>
      </c>
      <c r="AA546" s="378">
        <f>IF(NFI_Expiration=1,IF($A546&lt;VLOOKUP(J$5,NFI,5,0),1,0)*Table_NFI[[#This Row],[Sanitary Kit]],Table_NFI[Sanitary Kit])</f>
        <v>0</v>
      </c>
      <c r="AB546" s="378">
        <f>IF(NFI_Expiration=1,IF($A546&lt;VLOOKUP(K$5,NFI,5,0),1,0)*Table_NFI[[#This Row],[Mosquito net]],Table_NFI[Mosquito net])</f>
        <v>0</v>
      </c>
      <c r="AC546" s="378">
        <f>IF(NFI_Expiration=1,IF($A546&lt;VLOOKUP(L$5,NFI,5,0),1,0)*Table_NFI[[#This Row],[Tarpaulin]],Table_NFI[[#This Row],[Tarpaulin]])</f>
        <v>0</v>
      </c>
      <c r="AD546" s="378">
        <f>IF(NFI_Expiration=1,IF($A546&lt;VLOOKUP(M$5,NFI,5,0),1,0)*Table_NFI[[#This Row],[Blanket]],Table_NFI[[#This Row],[Blanket]])</f>
        <v>0</v>
      </c>
      <c r="AE546" s="378">
        <f>IF(NFI_Expiration=1,IF($A546&lt;VLOOKUP(N$5,NFI,5,0),1,0)*Table_NFI[[#This Row],[Kitchen Set]],Table_NFI[Kitchen Set])</f>
        <v>0</v>
      </c>
      <c r="AF546" s="378">
        <f>IF(NFI_Expiration=1,IF($A546&lt;VLOOKUP(O$5,NFI,5,0),1,0)*Table_NFI[[#This Row],[Clothes Kit]],Table_NFI[Clothes Kit])</f>
        <v>0</v>
      </c>
      <c r="AG546" s="378">
        <f>IF(NFI_Expiration=1,IF($A546&lt;VLOOKUP(P$5,NFI,5,0),1,0)*Table_NFI[[#This Row],[Plastic Bucket]],Table_NFI[Plastic Bucket])</f>
        <v>0</v>
      </c>
      <c r="AH546" s="378">
        <f>IF(NFI_Expiration=1,IF($A546&lt;VLOOKUP(Q$5,NFI,5,0),1,0)*Table_NFI[[#This Row],[Plastic Mat]],Table_NFI[Plastic Mat])*IF(Table_NFI[[#This Row],[Distribution Date]]&gt;"2014-04-01",1,2.5)</f>
        <v>0</v>
      </c>
      <c r="AI546" s="378">
        <f>IF(NFI_Expiration=1,IF($A546&lt;VLOOKUP(R$5,NFI,5,0),1,0)*Table_NFI[[#This Row],[Winter Clothes Adult]],Table_NFI[Winter Clothes Adult])</f>
        <v>0</v>
      </c>
      <c r="AJ546" s="378">
        <f>IF(NFI_Expiration=1,IF($A546&lt;VLOOKUP(S$5,NFI,5,0),1,0)*Table_NFI[[#This Row],[Winter Clothes Children]],Table_NFI[Winter Clothes Children])</f>
        <v>0</v>
      </c>
      <c r="AK546" s="378">
        <f>IF(NFI_Expiration=1,IF($A546&lt;VLOOKUP(T$5,NFI,5,0),1,0)*Table_NFI[[#This Row],[Winter Items Other]],Table_NFI[Winter Items Other])</f>
        <v>0</v>
      </c>
      <c r="AL546" s="378">
        <f>IF(NFI_Expiration=1,IF($A546&lt;VLOOKUP(M$5,NFI,5,0),1,0)*Table_NFI[[#This Row],[Winter Blanket]],Table_NFI[[#This Row],[Winter Blanket]])</f>
        <v>0</v>
      </c>
      <c r="AM546" s="378">
        <f>IF(Table_NFI[[#This Row],[Winter Clothes Adult]]+Table_NFI[[#This Row],[Winter Clothes Children]]+Table_NFI[[#This Row],[Winter Items Other]]+Table_NFI[[#This Row],[Winter Blanket]]&gt;0,1,0)</f>
        <v>0</v>
      </c>
      <c r="AN546" s="418">
        <f>IF(NFI_Expiration=1,IF($A546&lt;VLOOKUP(V$5,NFI,5,0),1,0)*Table_NFI[[#This Row],[Jerry Can]],Table_NFI[Jerry Can])</f>
        <v>0</v>
      </c>
      <c r="AO546" s="579" t="str">
        <f>IFERROR(VLOOKUP(Table_NFI[[#This Row],[Camp Name]],CL,2,0),"")</f>
        <v>MMR001CMP051</v>
      </c>
      <c r="AP546" s="574">
        <f ca="1">IF(Table_NFI[[#This Row],[Pcode]]="","",IF(OFFSET(CampList[Opening Date],MATCH(Table_NFI[[#This Row],[Pcode]],CampList[CP_Pcode],0)-1,0,1,1)&gt;=NFI_Monitor_Date,1,0))</f>
        <v>0</v>
      </c>
      <c r="AQ546" s="579" t="str">
        <f>IFERROR(VLOOKUP(Table_NFI[[#This Row],[Camp Name]],CL,3,0),"")</f>
        <v>Open</v>
      </c>
      <c r="AR546" s="378" t="str">
        <f ca="1">IF(Table_NFI[[#This Row],[Pcode]]="","",OFFSET(CampList[Priority],MATCH(Table_NFI[[#This Row],[Pcode]],CampList[CP_Pcode],0)-1,0,1,1))</f>
        <v>P4</v>
      </c>
      <c r="AS546" s="377">
        <f>IFERROR(Table_NFI[[#This Row],[Kitchen Set]]/VLOOKUP(Table_NFI[[#This Row],[Camp Name]],CL,4,0),"")</f>
        <v>0.7857142857142857</v>
      </c>
      <c r="AT546" s="572" t="s">
        <v>1095</v>
      </c>
      <c r="AU546" s="575"/>
    </row>
    <row r="547" spans="1:47" s="576" customFormat="1" x14ac:dyDescent="0.25">
      <c r="A547" s="381">
        <f t="shared" si="8"/>
        <v>20.3</v>
      </c>
      <c r="B547" s="571">
        <v>41913</v>
      </c>
      <c r="C547" s="572" t="s">
        <v>454</v>
      </c>
      <c r="D547" s="577" t="s">
        <v>507</v>
      </c>
      <c r="E547" s="577" t="s">
        <v>380</v>
      </c>
      <c r="F547" s="577" t="s">
        <v>237</v>
      </c>
      <c r="G547" s="577" t="s">
        <v>267</v>
      </c>
      <c r="H547" s="376"/>
      <c r="I547" s="376"/>
      <c r="J547" s="376"/>
      <c r="K547" s="376">
        <v>24</v>
      </c>
      <c r="L547" s="376"/>
      <c r="M547" s="376"/>
      <c r="N547" s="376"/>
      <c r="O547" s="376"/>
      <c r="P547" s="378"/>
      <c r="Q547" s="378"/>
      <c r="R547" s="378"/>
      <c r="S547" s="378"/>
      <c r="T547" s="378"/>
      <c r="U547" s="378"/>
      <c r="V547" s="533"/>
      <c r="W547" s="378"/>
      <c r="X547" s="378"/>
      <c r="Y547" s="378">
        <f>IF(NFI_Expiration=1,IF($A547&lt;VLOOKUP(H$5,NFI,5,0),1,0)*Table_NFI[[#This Row],[Hygiene Kit]],Table_NFI[Hygiene Kit])</f>
        <v>0</v>
      </c>
      <c r="Z547" s="378">
        <f>IF(NFI_Expiration=1,IF($A547&lt;VLOOKUP(I$5,NFI,5,0),1,0)*Table_NFI[[#This Row],[NFI Core Kit]],Table_NFI[NFI Core Kit])</f>
        <v>0</v>
      </c>
      <c r="AA547" s="378">
        <f>IF(NFI_Expiration=1,IF($A547&lt;VLOOKUP(J$5,NFI,5,0),1,0)*Table_NFI[[#This Row],[Sanitary Kit]],Table_NFI[Sanitary Kit])</f>
        <v>0</v>
      </c>
      <c r="AB547" s="378">
        <f>IF(NFI_Expiration=1,IF($A547&lt;VLOOKUP(K$5,NFI,5,0),1,0)*Table_NFI[[#This Row],[Mosquito net]],Table_NFI[Mosquito net])</f>
        <v>0</v>
      </c>
      <c r="AC547" s="378">
        <f>IF(NFI_Expiration=1,IF($A547&lt;VLOOKUP(L$5,NFI,5,0),1,0)*Table_NFI[[#This Row],[Tarpaulin]],Table_NFI[[#This Row],[Tarpaulin]])</f>
        <v>0</v>
      </c>
      <c r="AD547" s="378">
        <f>IF(NFI_Expiration=1,IF($A547&lt;VLOOKUP(M$5,NFI,5,0),1,0)*Table_NFI[[#This Row],[Blanket]],Table_NFI[[#This Row],[Blanket]])</f>
        <v>0</v>
      </c>
      <c r="AE547" s="378">
        <f>IF(NFI_Expiration=1,IF($A547&lt;VLOOKUP(N$5,NFI,5,0),1,0)*Table_NFI[[#This Row],[Kitchen Set]],Table_NFI[Kitchen Set])</f>
        <v>0</v>
      </c>
      <c r="AF547" s="378">
        <f>IF(NFI_Expiration=1,IF($A547&lt;VLOOKUP(O$5,NFI,5,0),1,0)*Table_NFI[[#This Row],[Clothes Kit]],Table_NFI[Clothes Kit])</f>
        <v>0</v>
      </c>
      <c r="AG547" s="378">
        <f>IF(NFI_Expiration=1,IF($A547&lt;VLOOKUP(P$5,NFI,5,0),1,0)*Table_NFI[[#This Row],[Plastic Bucket]],Table_NFI[Plastic Bucket])</f>
        <v>0</v>
      </c>
      <c r="AH547" s="378">
        <f>IF(NFI_Expiration=1,IF($A547&lt;VLOOKUP(Q$5,NFI,5,0),1,0)*Table_NFI[[#This Row],[Plastic Mat]],Table_NFI[Plastic Mat])*IF(Table_NFI[[#This Row],[Distribution Date]]&gt;"2014-04-01",1,2.5)</f>
        <v>0</v>
      </c>
      <c r="AI547" s="378">
        <f>IF(NFI_Expiration=1,IF($A547&lt;VLOOKUP(R$5,NFI,5,0),1,0)*Table_NFI[[#This Row],[Winter Clothes Adult]],Table_NFI[Winter Clothes Adult])</f>
        <v>0</v>
      </c>
      <c r="AJ547" s="378">
        <f>IF(NFI_Expiration=1,IF($A547&lt;VLOOKUP(S$5,NFI,5,0),1,0)*Table_NFI[[#This Row],[Winter Clothes Children]],Table_NFI[Winter Clothes Children])</f>
        <v>0</v>
      </c>
      <c r="AK547" s="378">
        <f>IF(NFI_Expiration=1,IF($A547&lt;VLOOKUP(T$5,NFI,5,0),1,0)*Table_NFI[[#This Row],[Winter Items Other]],Table_NFI[Winter Items Other])</f>
        <v>0</v>
      </c>
      <c r="AL547" s="378">
        <f>IF(NFI_Expiration=1,IF($A547&lt;VLOOKUP(M$5,NFI,5,0),1,0)*Table_NFI[[#This Row],[Winter Blanket]],Table_NFI[[#This Row],[Winter Blanket]])</f>
        <v>0</v>
      </c>
      <c r="AM547" s="378">
        <f>IF(Table_NFI[[#This Row],[Winter Clothes Adult]]+Table_NFI[[#This Row],[Winter Clothes Children]]+Table_NFI[[#This Row],[Winter Items Other]]+Table_NFI[[#This Row],[Winter Blanket]]&gt;0,1,0)</f>
        <v>0</v>
      </c>
      <c r="AN547" s="418">
        <f>IF(NFI_Expiration=1,IF($A547&lt;VLOOKUP(V$5,NFI,5,0),1,0)*Table_NFI[[#This Row],[Jerry Can]],Table_NFI[Jerry Can])</f>
        <v>0</v>
      </c>
      <c r="AO547" s="579" t="str">
        <f>IFERROR(VLOOKUP(Table_NFI[[#This Row],[Camp Name]],CL,2,0),"")</f>
        <v>MMR001CMP017</v>
      </c>
      <c r="AP547" s="574">
        <f ca="1">IF(Table_NFI[[#This Row],[Pcode]]="","",IF(OFFSET(CampList[Opening Date],MATCH(Table_NFI[[#This Row],[Pcode]],CampList[CP_Pcode],0)-1,0,1,1)&gt;=NFI_Monitor_Date,1,0))</f>
        <v>0</v>
      </c>
      <c r="AQ547" s="579" t="str">
        <f>IFERROR(VLOOKUP(Table_NFI[[#This Row],[Camp Name]],CL,3,0),"")</f>
        <v>Closed</v>
      </c>
      <c r="AR547" s="378" t="str">
        <f ca="1">IF(Table_NFI[[#This Row],[Pcode]]="","",OFFSET(CampList[Priority],MATCH(Table_NFI[[#This Row],[Pcode]],CampList[CP_Pcode],0)-1,0,1,1))</f>
        <v>P4</v>
      </c>
      <c r="AS547" s="377" t="str">
        <f>IFERROR(Table_NFI[[#This Row],[Kitchen Set]]/VLOOKUP(Table_NFI[[#This Row],[Camp Name]],CL,4,0),"")</f>
        <v/>
      </c>
      <c r="AT547" s="577"/>
      <c r="AU547" s="580"/>
    </row>
    <row r="548" spans="1:47" s="576" customFormat="1" x14ac:dyDescent="0.25">
      <c r="A548" s="381">
        <f t="shared" si="8"/>
        <v>24.733333333333334</v>
      </c>
      <c r="B548" s="571">
        <v>41780</v>
      </c>
      <c r="C548" s="572" t="s">
        <v>1107</v>
      </c>
      <c r="D548" s="572" t="s">
        <v>903</v>
      </c>
      <c r="E548" s="572" t="s">
        <v>380</v>
      </c>
      <c r="F548" s="572" t="s">
        <v>237</v>
      </c>
      <c r="G548" s="572" t="s">
        <v>267</v>
      </c>
      <c r="H548" s="375"/>
      <c r="I548" s="375"/>
      <c r="J548" s="375"/>
      <c r="K548" s="375"/>
      <c r="L548" s="376"/>
      <c r="M548" s="376"/>
      <c r="N548" s="376"/>
      <c r="O548" s="376"/>
      <c r="P548" s="378"/>
      <c r="Q548" s="378"/>
      <c r="R548" s="378"/>
      <c r="S548" s="378"/>
      <c r="T548" s="378"/>
      <c r="U548" s="378">
        <v>24</v>
      </c>
      <c r="V548" s="533"/>
      <c r="W548" s="378"/>
      <c r="X548" s="378"/>
      <c r="Y548" s="378">
        <f>IF(NFI_Expiration=1,IF($A548&lt;VLOOKUP(H$5,NFI,5,0),1,0)*Table_NFI[[#This Row],[Hygiene Kit]],Table_NFI[Hygiene Kit])</f>
        <v>0</v>
      </c>
      <c r="Z548" s="378">
        <f>IF(NFI_Expiration=1,IF($A548&lt;VLOOKUP(I$5,NFI,5,0),1,0)*Table_NFI[[#This Row],[NFI Core Kit]],Table_NFI[NFI Core Kit])</f>
        <v>0</v>
      </c>
      <c r="AA548" s="378">
        <f>IF(NFI_Expiration=1,IF($A548&lt;VLOOKUP(J$5,NFI,5,0),1,0)*Table_NFI[[#This Row],[Sanitary Kit]],Table_NFI[Sanitary Kit])</f>
        <v>0</v>
      </c>
      <c r="AB548" s="378">
        <f>IF(NFI_Expiration=1,IF($A548&lt;VLOOKUP(K$5,NFI,5,0),1,0)*Table_NFI[[#This Row],[Mosquito net]],Table_NFI[Mosquito net])</f>
        <v>0</v>
      </c>
      <c r="AC548" s="378">
        <f>IF(NFI_Expiration=1,IF($A548&lt;VLOOKUP(L$5,NFI,5,0),1,0)*Table_NFI[[#This Row],[Tarpaulin]],Table_NFI[[#This Row],[Tarpaulin]])</f>
        <v>0</v>
      </c>
      <c r="AD548" s="378">
        <f>IF(NFI_Expiration=1,IF($A548&lt;VLOOKUP(M$5,NFI,5,0),1,0)*Table_NFI[[#This Row],[Blanket]],Table_NFI[[#This Row],[Blanket]])</f>
        <v>0</v>
      </c>
      <c r="AE548" s="378">
        <f>IF(NFI_Expiration=1,IF($A548&lt;VLOOKUP(N$5,NFI,5,0),1,0)*Table_NFI[[#This Row],[Kitchen Set]],Table_NFI[Kitchen Set])</f>
        <v>0</v>
      </c>
      <c r="AF548" s="378">
        <f>IF(NFI_Expiration=1,IF($A548&lt;VLOOKUP(O$5,NFI,5,0),1,0)*Table_NFI[[#This Row],[Clothes Kit]],Table_NFI[Clothes Kit])</f>
        <v>0</v>
      </c>
      <c r="AG548" s="378">
        <f>IF(NFI_Expiration=1,IF($A548&lt;VLOOKUP(P$5,NFI,5,0),1,0)*Table_NFI[[#This Row],[Plastic Bucket]],Table_NFI[Plastic Bucket])</f>
        <v>0</v>
      </c>
      <c r="AH548" s="378">
        <f>IF(NFI_Expiration=1,IF($A548&lt;VLOOKUP(Q$5,NFI,5,0),1,0)*Table_NFI[[#This Row],[Plastic Mat]],Table_NFI[Plastic Mat])*IF(Table_NFI[[#This Row],[Distribution Date]]&gt;"2014-04-01",1,2.5)</f>
        <v>0</v>
      </c>
      <c r="AI548" s="378">
        <f>IF(NFI_Expiration=1,IF($A548&lt;VLOOKUP(R$5,NFI,5,0),1,0)*Table_NFI[[#This Row],[Winter Clothes Adult]],Table_NFI[Winter Clothes Adult])</f>
        <v>0</v>
      </c>
      <c r="AJ548" s="378">
        <f>IF(NFI_Expiration=1,IF($A548&lt;VLOOKUP(S$5,NFI,5,0),1,0)*Table_NFI[[#This Row],[Winter Clothes Children]],Table_NFI[Winter Clothes Children])</f>
        <v>0</v>
      </c>
      <c r="AK548" s="378">
        <f>IF(NFI_Expiration=1,IF($A548&lt;VLOOKUP(T$5,NFI,5,0),1,0)*Table_NFI[[#This Row],[Winter Items Other]],Table_NFI[Winter Items Other])</f>
        <v>0</v>
      </c>
      <c r="AL548" s="378">
        <f>IF(NFI_Expiration=1,IF($A548&lt;VLOOKUP(M$5,NFI,5,0),1,0)*Table_NFI[[#This Row],[Winter Blanket]],Table_NFI[[#This Row],[Winter Blanket]])</f>
        <v>0</v>
      </c>
      <c r="AM548" s="378">
        <f>IF(Table_NFI[[#This Row],[Winter Clothes Adult]]+Table_NFI[[#This Row],[Winter Clothes Children]]+Table_NFI[[#This Row],[Winter Items Other]]+Table_NFI[[#This Row],[Winter Blanket]]&gt;0,1,0)</f>
        <v>1</v>
      </c>
      <c r="AN548" s="418">
        <f>IF(NFI_Expiration=1,IF($A548&lt;VLOOKUP(V$5,NFI,5,0),1,0)*Table_NFI[[#This Row],[Jerry Can]],Table_NFI[Jerry Can])</f>
        <v>0</v>
      </c>
      <c r="AO548" s="579" t="str">
        <f>IFERROR(VLOOKUP(Table_NFI[[#This Row],[Camp Name]],CL,2,0),"")</f>
        <v>MMR001CMP017</v>
      </c>
      <c r="AP548" s="574">
        <f ca="1">IF(Table_NFI[[#This Row],[Pcode]]="","",IF(OFFSET(CampList[Opening Date],MATCH(Table_NFI[[#This Row],[Pcode]],CampList[CP_Pcode],0)-1,0,1,1)&gt;=NFI_Monitor_Date,1,0))</f>
        <v>0</v>
      </c>
      <c r="AQ548" s="579" t="str">
        <f>IFERROR(VLOOKUP(Table_NFI[[#This Row],[Camp Name]],CL,3,0),"")</f>
        <v>Closed</v>
      </c>
      <c r="AR548" s="378" t="str">
        <f ca="1">IF(Table_NFI[[#This Row],[Pcode]]="","",OFFSET(CampList[Priority],MATCH(Table_NFI[[#This Row],[Pcode]],CampList[CP_Pcode],0)-1,0,1,1))</f>
        <v>P4</v>
      </c>
      <c r="AS548" s="377" t="str">
        <f>IFERROR(Table_NFI[[#This Row],[Kitchen Set]]/VLOOKUP(Table_NFI[[#This Row],[Camp Name]],CL,4,0),"")</f>
        <v/>
      </c>
      <c r="AT548" s="572"/>
      <c r="AU548" s="575"/>
    </row>
    <row r="549" spans="1:47" s="576" customFormat="1" x14ac:dyDescent="0.25">
      <c r="A549" s="381">
        <f t="shared" si="8"/>
        <v>41.6</v>
      </c>
      <c r="B549" s="571">
        <v>41274</v>
      </c>
      <c r="C549" s="572" t="s">
        <v>455</v>
      </c>
      <c r="D549" s="573" t="s">
        <v>455</v>
      </c>
      <c r="E549" s="572" t="s">
        <v>380</v>
      </c>
      <c r="F549" s="374" t="s">
        <v>237</v>
      </c>
      <c r="G549" s="374" t="s">
        <v>267</v>
      </c>
      <c r="H549" s="375">
        <v>12</v>
      </c>
      <c r="I549" s="375"/>
      <c r="J549" s="375"/>
      <c r="K549" s="375"/>
      <c r="L549" s="376"/>
      <c r="M549" s="376"/>
      <c r="N549" s="376"/>
      <c r="O549" s="376"/>
      <c r="P549" s="378">
        <v>0</v>
      </c>
      <c r="Q549" s="378">
        <v>0</v>
      </c>
      <c r="R549" s="378"/>
      <c r="S549" s="378"/>
      <c r="T549" s="378"/>
      <c r="U549" s="378"/>
      <c r="V549" s="533"/>
      <c r="W549" s="378"/>
      <c r="X549" s="378"/>
      <c r="Y549" s="378">
        <f>IF(NFI_Expiration=1,IF($A549&lt;VLOOKUP(H$5,NFI,5,0),1,0)*Table_NFI[[#This Row],[Hygiene Kit]],Table_NFI[Hygiene Kit])</f>
        <v>0</v>
      </c>
      <c r="Z549" s="378">
        <f>IF(NFI_Expiration=1,IF($A549&lt;VLOOKUP(I$5,NFI,5,0),1,0)*Table_NFI[[#This Row],[NFI Core Kit]],Table_NFI[NFI Core Kit])</f>
        <v>0</v>
      </c>
      <c r="AA549" s="378">
        <f>IF(NFI_Expiration=1,IF($A549&lt;VLOOKUP(J$5,NFI,5,0),1,0)*Table_NFI[[#This Row],[Sanitary Kit]],Table_NFI[Sanitary Kit])</f>
        <v>0</v>
      </c>
      <c r="AB549" s="378">
        <f>IF(NFI_Expiration=1,IF($A549&lt;VLOOKUP(K$5,NFI,5,0),1,0)*Table_NFI[[#This Row],[Mosquito net]],Table_NFI[Mosquito net])</f>
        <v>0</v>
      </c>
      <c r="AC549" s="378">
        <f>IF(NFI_Expiration=1,IF($A549&lt;VLOOKUP(L$5,NFI,5,0),1,0)*Table_NFI[[#This Row],[Tarpaulin]],Table_NFI[[#This Row],[Tarpaulin]])</f>
        <v>0</v>
      </c>
      <c r="AD549" s="378">
        <f>IF(NFI_Expiration=1,IF($A549&lt;VLOOKUP(M$5,NFI,5,0),1,0)*Table_NFI[[#This Row],[Blanket]],Table_NFI[[#This Row],[Blanket]])</f>
        <v>0</v>
      </c>
      <c r="AE549" s="378">
        <f>IF(NFI_Expiration=1,IF($A549&lt;VLOOKUP(N$5,NFI,5,0),1,0)*Table_NFI[[#This Row],[Kitchen Set]],Table_NFI[Kitchen Set])</f>
        <v>0</v>
      </c>
      <c r="AF549" s="378">
        <f>IF(NFI_Expiration=1,IF($A549&lt;VLOOKUP(O$5,NFI,5,0),1,0)*Table_NFI[[#This Row],[Clothes Kit]],Table_NFI[Clothes Kit])</f>
        <v>0</v>
      </c>
      <c r="AG549" s="378">
        <f>IF(NFI_Expiration=1,IF($A549&lt;VLOOKUP(P$5,NFI,5,0),1,0)*Table_NFI[[#This Row],[Plastic Bucket]],Table_NFI[Plastic Bucket])</f>
        <v>0</v>
      </c>
      <c r="AH549" s="378">
        <f>IF(NFI_Expiration=1,IF($A549&lt;VLOOKUP(Q$5,NFI,5,0),1,0)*Table_NFI[[#This Row],[Plastic Mat]],Table_NFI[Plastic Mat])*IF(Table_NFI[[#This Row],[Distribution Date]]&gt;"2014-04-01",1,2.5)</f>
        <v>0</v>
      </c>
      <c r="AI549" s="378">
        <f>IF(NFI_Expiration=1,IF($A549&lt;VLOOKUP(R$5,NFI,5,0),1,0)*Table_NFI[[#This Row],[Winter Clothes Adult]],Table_NFI[Winter Clothes Adult])</f>
        <v>0</v>
      </c>
      <c r="AJ549" s="378">
        <f>IF(NFI_Expiration=1,IF($A549&lt;VLOOKUP(S$5,NFI,5,0),1,0)*Table_NFI[[#This Row],[Winter Clothes Children]],Table_NFI[Winter Clothes Children])</f>
        <v>0</v>
      </c>
      <c r="AK549" s="378">
        <f>IF(NFI_Expiration=1,IF($A549&lt;VLOOKUP(T$5,NFI,5,0),1,0)*Table_NFI[[#This Row],[Winter Items Other]],Table_NFI[Winter Items Other])</f>
        <v>0</v>
      </c>
      <c r="AL549" s="378">
        <f>IF(NFI_Expiration=1,IF($A549&lt;VLOOKUP(M$5,NFI,5,0),1,0)*Table_NFI[[#This Row],[Winter Blanket]],Table_NFI[[#This Row],[Winter Blanket]])</f>
        <v>0</v>
      </c>
      <c r="AM549" s="378">
        <f>IF(Table_NFI[[#This Row],[Winter Clothes Adult]]+Table_NFI[[#This Row],[Winter Clothes Children]]+Table_NFI[[#This Row],[Winter Items Other]]+Table_NFI[[#This Row],[Winter Blanket]]&gt;0,1,0)</f>
        <v>0</v>
      </c>
      <c r="AN549" s="418">
        <f>IF(NFI_Expiration=1,IF($A549&lt;VLOOKUP(V$5,NFI,5,0),1,0)*Table_NFI[[#This Row],[Jerry Can]],Table_NFI[Jerry Can])</f>
        <v>0</v>
      </c>
      <c r="AO549" s="579" t="str">
        <f>IFERROR(VLOOKUP(Table_NFI[[#This Row],[Camp Name]],CL,2,0),"")</f>
        <v>MMR001CMP017</v>
      </c>
      <c r="AP549" s="574">
        <f ca="1">IF(Table_NFI[[#This Row],[Pcode]]="","",IF(OFFSET(CampList[Opening Date],MATCH(Table_NFI[[#This Row],[Pcode]],CampList[CP_Pcode],0)-1,0,1,1)&gt;=NFI_Monitor_Date,1,0))</f>
        <v>0</v>
      </c>
      <c r="AQ549" s="579" t="str">
        <f>IFERROR(VLOOKUP(Table_NFI[[#This Row],[Camp Name]],CL,3,0),"")</f>
        <v>Closed</v>
      </c>
      <c r="AR549" s="378" t="str">
        <f ca="1">IF(Table_NFI[[#This Row],[Pcode]]="","",OFFSET(CampList[Priority],MATCH(Table_NFI[[#This Row],[Pcode]],CampList[CP_Pcode],0)-1,0,1,1))</f>
        <v>P4</v>
      </c>
      <c r="AS549" s="377" t="str">
        <f>IFERROR(Table_NFI[[#This Row],[Kitchen Set]]/VLOOKUP(Table_NFI[[#This Row],[Camp Name]],CL,4,0),"")</f>
        <v/>
      </c>
      <c r="AT549" s="572" t="s">
        <v>1095</v>
      </c>
      <c r="AU549" s="575"/>
    </row>
    <row r="550" spans="1:47" s="576" customFormat="1" x14ac:dyDescent="0.25">
      <c r="A550" s="381">
        <f t="shared" si="8"/>
        <v>45.333333333333336</v>
      </c>
      <c r="B550" s="571">
        <v>41162</v>
      </c>
      <c r="C550" s="572" t="s">
        <v>454</v>
      </c>
      <c r="D550" s="573" t="s">
        <v>454</v>
      </c>
      <c r="E550" s="572" t="s">
        <v>380</v>
      </c>
      <c r="F550" s="374" t="s">
        <v>237</v>
      </c>
      <c r="G550" s="374" t="s">
        <v>267</v>
      </c>
      <c r="H550" s="375"/>
      <c r="I550" s="375"/>
      <c r="J550" s="375"/>
      <c r="K550" s="375">
        <v>10</v>
      </c>
      <c r="L550" s="376">
        <v>6</v>
      </c>
      <c r="M550" s="376">
        <v>10</v>
      </c>
      <c r="N550" s="376">
        <v>6</v>
      </c>
      <c r="O550" s="376">
        <v>6</v>
      </c>
      <c r="P550" s="378">
        <v>6</v>
      </c>
      <c r="Q550" s="378">
        <v>6</v>
      </c>
      <c r="R550" s="378"/>
      <c r="S550" s="378"/>
      <c r="T550" s="378"/>
      <c r="U550" s="378"/>
      <c r="V550" s="533"/>
      <c r="W550" s="378"/>
      <c r="X550" s="378"/>
      <c r="Y550" s="378">
        <f>IF(NFI_Expiration=1,IF($A550&lt;VLOOKUP(H$5,NFI,5,0),1,0)*Table_NFI[[#This Row],[Hygiene Kit]],Table_NFI[Hygiene Kit])</f>
        <v>0</v>
      </c>
      <c r="Z550" s="378">
        <f>IF(NFI_Expiration=1,IF($A550&lt;VLOOKUP(I$5,NFI,5,0),1,0)*Table_NFI[[#This Row],[NFI Core Kit]],Table_NFI[NFI Core Kit])</f>
        <v>0</v>
      </c>
      <c r="AA550" s="378">
        <f>IF(NFI_Expiration=1,IF($A550&lt;VLOOKUP(J$5,NFI,5,0),1,0)*Table_NFI[[#This Row],[Sanitary Kit]],Table_NFI[Sanitary Kit])</f>
        <v>0</v>
      </c>
      <c r="AB550" s="378">
        <f>IF(NFI_Expiration=1,IF($A550&lt;VLOOKUP(K$5,NFI,5,0),1,0)*Table_NFI[[#This Row],[Mosquito net]],Table_NFI[Mosquito net])</f>
        <v>0</v>
      </c>
      <c r="AC550" s="378">
        <f>IF(NFI_Expiration=1,IF($A550&lt;VLOOKUP(L$5,NFI,5,0),1,0)*Table_NFI[[#This Row],[Tarpaulin]],Table_NFI[[#This Row],[Tarpaulin]])</f>
        <v>0</v>
      </c>
      <c r="AD550" s="378">
        <f>IF(NFI_Expiration=1,IF($A550&lt;VLOOKUP(M$5,NFI,5,0),1,0)*Table_NFI[[#This Row],[Blanket]],Table_NFI[[#This Row],[Blanket]])</f>
        <v>0</v>
      </c>
      <c r="AE550" s="378">
        <f>IF(NFI_Expiration=1,IF($A550&lt;VLOOKUP(N$5,NFI,5,0),1,0)*Table_NFI[[#This Row],[Kitchen Set]],Table_NFI[Kitchen Set])</f>
        <v>0</v>
      </c>
      <c r="AF550" s="378">
        <f>IF(NFI_Expiration=1,IF($A550&lt;VLOOKUP(O$5,NFI,5,0),1,0)*Table_NFI[[#This Row],[Clothes Kit]],Table_NFI[Clothes Kit])</f>
        <v>0</v>
      </c>
      <c r="AG550" s="378">
        <f>IF(NFI_Expiration=1,IF($A550&lt;VLOOKUP(P$5,NFI,5,0),1,0)*Table_NFI[[#This Row],[Plastic Bucket]],Table_NFI[Plastic Bucket])</f>
        <v>0</v>
      </c>
      <c r="AH550" s="378">
        <f>IF(NFI_Expiration=1,IF($A550&lt;VLOOKUP(Q$5,NFI,5,0),1,0)*Table_NFI[[#This Row],[Plastic Mat]],Table_NFI[Plastic Mat])*IF(Table_NFI[[#This Row],[Distribution Date]]&gt;"2014-04-01",1,2.5)</f>
        <v>0</v>
      </c>
      <c r="AI550" s="378">
        <f>IF(NFI_Expiration=1,IF($A550&lt;VLOOKUP(R$5,NFI,5,0),1,0)*Table_NFI[[#This Row],[Winter Clothes Adult]],Table_NFI[Winter Clothes Adult])</f>
        <v>0</v>
      </c>
      <c r="AJ550" s="378">
        <f>IF(NFI_Expiration=1,IF($A550&lt;VLOOKUP(S$5,NFI,5,0),1,0)*Table_NFI[[#This Row],[Winter Clothes Children]],Table_NFI[Winter Clothes Children])</f>
        <v>0</v>
      </c>
      <c r="AK550" s="378">
        <f>IF(NFI_Expiration=1,IF($A550&lt;VLOOKUP(T$5,NFI,5,0),1,0)*Table_NFI[[#This Row],[Winter Items Other]],Table_NFI[Winter Items Other])</f>
        <v>0</v>
      </c>
      <c r="AL550" s="378">
        <f>IF(NFI_Expiration=1,IF($A550&lt;VLOOKUP(M$5,NFI,5,0),1,0)*Table_NFI[[#This Row],[Winter Blanket]],Table_NFI[[#This Row],[Winter Blanket]])</f>
        <v>0</v>
      </c>
      <c r="AM550" s="378">
        <f>IF(Table_NFI[[#This Row],[Winter Clothes Adult]]+Table_NFI[[#This Row],[Winter Clothes Children]]+Table_NFI[[#This Row],[Winter Items Other]]+Table_NFI[[#This Row],[Winter Blanket]]&gt;0,1,0)</f>
        <v>0</v>
      </c>
      <c r="AN550" s="418">
        <f>IF(NFI_Expiration=1,IF($A550&lt;VLOOKUP(V$5,NFI,5,0),1,0)*Table_NFI[[#This Row],[Jerry Can]],Table_NFI[Jerry Can])</f>
        <v>0</v>
      </c>
      <c r="AO550" s="579" t="str">
        <f>IFERROR(VLOOKUP(Table_NFI[[#This Row],[Camp Name]],CL,2,0),"")</f>
        <v>MMR001CMP017</v>
      </c>
      <c r="AP550" s="574">
        <f ca="1">IF(Table_NFI[[#This Row],[Pcode]]="","",IF(OFFSET(CampList[Opening Date],MATCH(Table_NFI[[#This Row],[Pcode]],CampList[CP_Pcode],0)-1,0,1,1)&gt;=NFI_Monitor_Date,1,0))</f>
        <v>0</v>
      </c>
      <c r="AQ550" s="579" t="str">
        <f>IFERROR(VLOOKUP(Table_NFI[[#This Row],[Camp Name]],CL,3,0),"")</f>
        <v>Closed</v>
      </c>
      <c r="AR550" s="378" t="str">
        <f ca="1">IF(Table_NFI[[#This Row],[Pcode]]="","",OFFSET(CampList[Priority],MATCH(Table_NFI[[#This Row],[Pcode]],CampList[CP_Pcode],0)-1,0,1,1))</f>
        <v>P4</v>
      </c>
      <c r="AS550" s="377" t="str">
        <f>IFERROR(Table_NFI[[#This Row],[Kitchen Set]]/VLOOKUP(Table_NFI[[#This Row],[Camp Name]],CL,4,0),"")</f>
        <v/>
      </c>
      <c r="AT550" s="572" t="s">
        <v>1095</v>
      </c>
      <c r="AU550" s="575"/>
    </row>
    <row r="551" spans="1:47" s="576" customFormat="1" x14ac:dyDescent="0.25">
      <c r="A551" s="381">
        <f t="shared" si="8"/>
        <v>49.666666666666664</v>
      </c>
      <c r="B551" s="571">
        <v>41032</v>
      </c>
      <c r="C551" s="572" t="s">
        <v>454</v>
      </c>
      <c r="D551" s="573" t="s">
        <v>454</v>
      </c>
      <c r="E551" s="572" t="s">
        <v>380</v>
      </c>
      <c r="F551" s="374" t="s">
        <v>237</v>
      </c>
      <c r="G551" s="374" t="s">
        <v>267</v>
      </c>
      <c r="H551" s="375"/>
      <c r="I551" s="375"/>
      <c r="J551" s="375"/>
      <c r="K551" s="375">
        <v>0</v>
      </c>
      <c r="L551" s="376">
        <v>0</v>
      </c>
      <c r="M551" s="376">
        <v>0</v>
      </c>
      <c r="N551" s="376">
        <v>0</v>
      </c>
      <c r="O551" s="376">
        <v>5</v>
      </c>
      <c r="P551" s="378">
        <v>5</v>
      </c>
      <c r="Q551" s="378">
        <v>5</v>
      </c>
      <c r="R551" s="378"/>
      <c r="S551" s="378"/>
      <c r="T551" s="378"/>
      <c r="U551" s="378"/>
      <c r="V551" s="533"/>
      <c r="W551" s="378"/>
      <c r="X551" s="378"/>
      <c r="Y551" s="378">
        <f>IF(NFI_Expiration=1,IF($A551&lt;VLOOKUP(H$5,NFI,5,0),1,0)*Table_NFI[[#This Row],[Hygiene Kit]],Table_NFI[Hygiene Kit])</f>
        <v>0</v>
      </c>
      <c r="Z551" s="378">
        <f>IF(NFI_Expiration=1,IF($A551&lt;VLOOKUP(I$5,NFI,5,0),1,0)*Table_NFI[[#This Row],[NFI Core Kit]],Table_NFI[NFI Core Kit])</f>
        <v>0</v>
      </c>
      <c r="AA551" s="378">
        <f>IF(NFI_Expiration=1,IF($A551&lt;VLOOKUP(J$5,NFI,5,0),1,0)*Table_NFI[[#This Row],[Sanitary Kit]],Table_NFI[Sanitary Kit])</f>
        <v>0</v>
      </c>
      <c r="AB551" s="378">
        <f>IF(NFI_Expiration=1,IF($A551&lt;VLOOKUP(K$5,NFI,5,0),1,0)*Table_NFI[[#This Row],[Mosquito net]],Table_NFI[Mosquito net])</f>
        <v>0</v>
      </c>
      <c r="AC551" s="378">
        <f>IF(NFI_Expiration=1,IF($A551&lt;VLOOKUP(L$5,NFI,5,0),1,0)*Table_NFI[[#This Row],[Tarpaulin]],Table_NFI[[#This Row],[Tarpaulin]])</f>
        <v>0</v>
      </c>
      <c r="AD551" s="378">
        <f>IF(NFI_Expiration=1,IF($A551&lt;VLOOKUP(M$5,NFI,5,0),1,0)*Table_NFI[[#This Row],[Blanket]],Table_NFI[[#This Row],[Blanket]])</f>
        <v>0</v>
      </c>
      <c r="AE551" s="378">
        <f>IF(NFI_Expiration=1,IF($A551&lt;VLOOKUP(N$5,NFI,5,0),1,0)*Table_NFI[[#This Row],[Kitchen Set]],Table_NFI[Kitchen Set])</f>
        <v>0</v>
      </c>
      <c r="AF551" s="378">
        <f>IF(NFI_Expiration=1,IF($A551&lt;VLOOKUP(O$5,NFI,5,0),1,0)*Table_NFI[[#This Row],[Clothes Kit]],Table_NFI[Clothes Kit])</f>
        <v>0</v>
      </c>
      <c r="AG551" s="378">
        <f>IF(NFI_Expiration=1,IF($A551&lt;VLOOKUP(P$5,NFI,5,0),1,0)*Table_NFI[[#This Row],[Plastic Bucket]],Table_NFI[Plastic Bucket])</f>
        <v>0</v>
      </c>
      <c r="AH551" s="378">
        <f>IF(NFI_Expiration=1,IF($A551&lt;VLOOKUP(Q$5,NFI,5,0),1,0)*Table_NFI[[#This Row],[Plastic Mat]],Table_NFI[Plastic Mat])*IF(Table_NFI[[#This Row],[Distribution Date]]&gt;"2014-04-01",1,2.5)</f>
        <v>0</v>
      </c>
      <c r="AI551" s="378">
        <f>IF(NFI_Expiration=1,IF($A551&lt;VLOOKUP(R$5,NFI,5,0),1,0)*Table_NFI[[#This Row],[Winter Clothes Adult]],Table_NFI[Winter Clothes Adult])</f>
        <v>0</v>
      </c>
      <c r="AJ551" s="378">
        <f>IF(NFI_Expiration=1,IF($A551&lt;VLOOKUP(S$5,NFI,5,0),1,0)*Table_NFI[[#This Row],[Winter Clothes Children]],Table_NFI[Winter Clothes Children])</f>
        <v>0</v>
      </c>
      <c r="AK551" s="378">
        <f>IF(NFI_Expiration=1,IF($A551&lt;VLOOKUP(T$5,NFI,5,0),1,0)*Table_NFI[[#This Row],[Winter Items Other]],Table_NFI[Winter Items Other])</f>
        <v>0</v>
      </c>
      <c r="AL551" s="378">
        <f>IF(NFI_Expiration=1,IF($A551&lt;VLOOKUP(M$5,NFI,5,0),1,0)*Table_NFI[[#This Row],[Winter Blanket]],Table_NFI[[#This Row],[Winter Blanket]])</f>
        <v>0</v>
      </c>
      <c r="AM551" s="378">
        <f>IF(Table_NFI[[#This Row],[Winter Clothes Adult]]+Table_NFI[[#This Row],[Winter Clothes Children]]+Table_NFI[[#This Row],[Winter Items Other]]+Table_NFI[[#This Row],[Winter Blanket]]&gt;0,1,0)</f>
        <v>0</v>
      </c>
      <c r="AN551" s="418">
        <f>IF(NFI_Expiration=1,IF($A551&lt;VLOOKUP(V$5,NFI,5,0),1,0)*Table_NFI[[#This Row],[Jerry Can]],Table_NFI[Jerry Can])</f>
        <v>0</v>
      </c>
      <c r="AO551" s="579" t="str">
        <f>IFERROR(VLOOKUP(Table_NFI[[#This Row],[Camp Name]],CL,2,0),"")</f>
        <v>MMR001CMP017</v>
      </c>
      <c r="AP551" s="574">
        <f ca="1">IF(Table_NFI[[#This Row],[Pcode]]="","",IF(OFFSET(CampList[Opening Date],MATCH(Table_NFI[[#This Row],[Pcode]],CampList[CP_Pcode],0)-1,0,1,1)&gt;=NFI_Monitor_Date,1,0))</f>
        <v>0</v>
      </c>
      <c r="AQ551" s="579" t="str">
        <f>IFERROR(VLOOKUP(Table_NFI[[#This Row],[Camp Name]],CL,3,0),"")</f>
        <v>Closed</v>
      </c>
      <c r="AR551" s="378" t="str">
        <f ca="1">IF(Table_NFI[[#This Row],[Pcode]]="","",OFFSET(CampList[Priority],MATCH(Table_NFI[[#This Row],[Pcode]],CampList[CP_Pcode],0)-1,0,1,1))</f>
        <v>P4</v>
      </c>
      <c r="AS551" s="377" t="str">
        <f>IFERROR(Table_NFI[[#This Row],[Kitchen Set]]/VLOOKUP(Table_NFI[[#This Row],[Camp Name]],CL,4,0),"")</f>
        <v/>
      </c>
      <c r="AT551" s="572" t="s">
        <v>1095</v>
      </c>
      <c r="AU551" s="575"/>
    </row>
    <row r="552" spans="1:47" s="576" customFormat="1" x14ac:dyDescent="0.25">
      <c r="A552" s="381">
        <f t="shared" si="8"/>
        <v>55.7</v>
      </c>
      <c r="B552" s="571">
        <v>40851</v>
      </c>
      <c r="C552" s="572" t="s">
        <v>454</v>
      </c>
      <c r="D552" s="573" t="s">
        <v>462</v>
      </c>
      <c r="E552" s="572" t="s">
        <v>380</v>
      </c>
      <c r="F552" s="374" t="s">
        <v>237</v>
      </c>
      <c r="G552" s="374" t="s">
        <v>267</v>
      </c>
      <c r="H552" s="375"/>
      <c r="I552" s="375"/>
      <c r="J552" s="375"/>
      <c r="K552" s="375">
        <v>10</v>
      </c>
      <c r="L552" s="376">
        <v>6</v>
      </c>
      <c r="M552" s="376">
        <v>10</v>
      </c>
      <c r="N552" s="376">
        <v>6</v>
      </c>
      <c r="O552" s="376">
        <v>6</v>
      </c>
      <c r="P552" s="378">
        <v>6</v>
      </c>
      <c r="Q552" s="378">
        <v>6</v>
      </c>
      <c r="R552" s="378"/>
      <c r="S552" s="378"/>
      <c r="T552" s="378"/>
      <c r="U552" s="378"/>
      <c r="V552" s="533"/>
      <c r="W552" s="378"/>
      <c r="X552" s="378"/>
      <c r="Y552" s="378">
        <f>IF(NFI_Expiration=1,IF($A552&lt;VLOOKUP(H$5,NFI,5,0),1,0)*Table_NFI[[#This Row],[Hygiene Kit]],Table_NFI[Hygiene Kit])</f>
        <v>0</v>
      </c>
      <c r="Z552" s="378">
        <f>IF(NFI_Expiration=1,IF($A552&lt;VLOOKUP(I$5,NFI,5,0),1,0)*Table_NFI[[#This Row],[NFI Core Kit]],Table_NFI[NFI Core Kit])</f>
        <v>0</v>
      </c>
      <c r="AA552" s="378">
        <f>IF(NFI_Expiration=1,IF($A552&lt;VLOOKUP(J$5,NFI,5,0),1,0)*Table_NFI[[#This Row],[Sanitary Kit]],Table_NFI[Sanitary Kit])</f>
        <v>0</v>
      </c>
      <c r="AB552" s="378">
        <f>IF(NFI_Expiration=1,IF($A552&lt;VLOOKUP(K$5,NFI,5,0),1,0)*Table_NFI[[#This Row],[Mosquito net]],Table_NFI[Mosquito net])</f>
        <v>0</v>
      </c>
      <c r="AC552" s="378">
        <f>IF(NFI_Expiration=1,IF($A552&lt;VLOOKUP(L$5,NFI,5,0),1,0)*Table_NFI[[#This Row],[Tarpaulin]],Table_NFI[[#This Row],[Tarpaulin]])</f>
        <v>0</v>
      </c>
      <c r="AD552" s="378">
        <f>IF(NFI_Expiration=1,IF($A552&lt;VLOOKUP(M$5,NFI,5,0),1,0)*Table_NFI[[#This Row],[Blanket]],Table_NFI[[#This Row],[Blanket]])</f>
        <v>0</v>
      </c>
      <c r="AE552" s="378">
        <f>IF(NFI_Expiration=1,IF($A552&lt;VLOOKUP(N$5,NFI,5,0),1,0)*Table_NFI[[#This Row],[Kitchen Set]],Table_NFI[Kitchen Set])</f>
        <v>0</v>
      </c>
      <c r="AF552" s="378">
        <f>IF(NFI_Expiration=1,IF($A552&lt;VLOOKUP(O$5,NFI,5,0),1,0)*Table_NFI[[#This Row],[Clothes Kit]],Table_NFI[Clothes Kit])</f>
        <v>0</v>
      </c>
      <c r="AG552" s="378">
        <f>IF(NFI_Expiration=1,IF($A552&lt;VLOOKUP(P$5,NFI,5,0),1,0)*Table_NFI[[#This Row],[Plastic Bucket]],Table_NFI[Plastic Bucket])</f>
        <v>0</v>
      </c>
      <c r="AH552" s="378">
        <f>IF(NFI_Expiration=1,IF($A552&lt;VLOOKUP(Q$5,NFI,5,0),1,0)*Table_NFI[[#This Row],[Plastic Mat]],Table_NFI[Plastic Mat])*IF(Table_NFI[[#This Row],[Distribution Date]]&gt;"2014-04-01",1,2.5)</f>
        <v>0</v>
      </c>
      <c r="AI552" s="378">
        <f>IF(NFI_Expiration=1,IF($A552&lt;VLOOKUP(R$5,NFI,5,0),1,0)*Table_NFI[[#This Row],[Winter Clothes Adult]],Table_NFI[Winter Clothes Adult])</f>
        <v>0</v>
      </c>
      <c r="AJ552" s="378">
        <f>IF(NFI_Expiration=1,IF($A552&lt;VLOOKUP(S$5,NFI,5,0),1,0)*Table_NFI[[#This Row],[Winter Clothes Children]],Table_NFI[Winter Clothes Children])</f>
        <v>0</v>
      </c>
      <c r="AK552" s="378">
        <f>IF(NFI_Expiration=1,IF($A552&lt;VLOOKUP(T$5,NFI,5,0),1,0)*Table_NFI[[#This Row],[Winter Items Other]],Table_NFI[Winter Items Other])</f>
        <v>0</v>
      </c>
      <c r="AL552" s="378">
        <f>IF(NFI_Expiration=1,IF($A552&lt;VLOOKUP(M$5,NFI,5,0),1,0)*Table_NFI[[#This Row],[Winter Blanket]],Table_NFI[[#This Row],[Winter Blanket]])</f>
        <v>0</v>
      </c>
      <c r="AM552" s="378">
        <f>IF(Table_NFI[[#This Row],[Winter Clothes Adult]]+Table_NFI[[#This Row],[Winter Clothes Children]]+Table_NFI[[#This Row],[Winter Items Other]]+Table_NFI[[#This Row],[Winter Blanket]]&gt;0,1,0)</f>
        <v>0</v>
      </c>
      <c r="AN552" s="418">
        <f>IF(NFI_Expiration=1,IF($A552&lt;VLOOKUP(V$5,NFI,5,0),1,0)*Table_NFI[[#This Row],[Jerry Can]],Table_NFI[Jerry Can])</f>
        <v>0</v>
      </c>
      <c r="AO552" s="579" t="str">
        <f>IFERROR(VLOOKUP(Table_NFI[[#This Row],[Camp Name]],CL,2,0),"")</f>
        <v>MMR001CMP017</v>
      </c>
      <c r="AP552" s="574">
        <f ca="1">IF(Table_NFI[[#This Row],[Pcode]]="","",IF(OFFSET(CampList[Opening Date],MATCH(Table_NFI[[#This Row],[Pcode]],CampList[CP_Pcode],0)-1,0,1,1)&gt;=NFI_Monitor_Date,1,0))</f>
        <v>0</v>
      </c>
      <c r="AQ552" s="579" t="str">
        <f>IFERROR(VLOOKUP(Table_NFI[[#This Row],[Camp Name]],CL,3,0),"")</f>
        <v>Closed</v>
      </c>
      <c r="AR552" s="378" t="str">
        <f ca="1">IF(Table_NFI[[#This Row],[Pcode]]="","",OFFSET(CampList[Priority],MATCH(Table_NFI[[#This Row],[Pcode]],CampList[CP_Pcode],0)-1,0,1,1))</f>
        <v>P4</v>
      </c>
      <c r="AS552" s="377" t="str">
        <f>IFERROR(Table_NFI[[#This Row],[Kitchen Set]]/VLOOKUP(Table_NFI[[#This Row],[Camp Name]],CL,4,0),"")</f>
        <v/>
      </c>
      <c r="AT552" s="572" t="s">
        <v>1095</v>
      </c>
      <c r="AU552" s="575"/>
    </row>
    <row r="553" spans="1:47" s="576" customFormat="1" x14ac:dyDescent="0.25">
      <c r="A553" s="381">
        <f t="shared" si="8"/>
        <v>34.1</v>
      </c>
      <c r="B553" s="571">
        <v>41499</v>
      </c>
      <c r="C553" s="572" t="s">
        <v>454</v>
      </c>
      <c r="D553" s="572" t="s">
        <v>462</v>
      </c>
      <c r="E553" s="572" t="s">
        <v>555</v>
      </c>
      <c r="F553" s="572" t="s">
        <v>781</v>
      </c>
      <c r="G553" s="374" t="s">
        <v>917</v>
      </c>
      <c r="H553" s="375"/>
      <c r="I553" s="375"/>
      <c r="J553" s="375">
        <v>67</v>
      </c>
      <c r="K553" s="375">
        <v>90</v>
      </c>
      <c r="L553" s="376">
        <v>30</v>
      </c>
      <c r="M553" s="376">
        <v>90</v>
      </c>
      <c r="N553" s="376">
        <v>30</v>
      </c>
      <c r="O553" s="376">
        <v>30</v>
      </c>
      <c r="P553" s="378">
        <v>30</v>
      </c>
      <c r="Q553" s="378">
        <v>30</v>
      </c>
      <c r="R553" s="378"/>
      <c r="S553" s="378"/>
      <c r="T553" s="378"/>
      <c r="U553" s="378"/>
      <c r="V553" s="533"/>
      <c r="W553" s="378"/>
      <c r="X553" s="378"/>
      <c r="Y553" s="378">
        <f>IF(NFI_Expiration=1,IF($A553&lt;VLOOKUP(H$5,NFI,5,0),1,0)*Table_NFI[[#This Row],[Hygiene Kit]],Table_NFI[Hygiene Kit])</f>
        <v>0</v>
      </c>
      <c r="Z553" s="378">
        <f>IF(NFI_Expiration=1,IF($A553&lt;VLOOKUP(I$5,NFI,5,0),1,0)*Table_NFI[[#This Row],[NFI Core Kit]],Table_NFI[NFI Core Kit])</f>
        <v>0</v>
      </c>
      <c r="AA553" s="378">
        <f>IF(NFI_Expiration=1,IF($A553&lt;VLOOKUP(J$5,NFI,5,0),1,0)*Table_NFI[[#This Row],[Sanitary Kit]],Table_NFI[Sanitary Kit])</f>
        <v>0</v>
      </c>
      <c r="AB553" s="378">
        <f>IF(NFI_Expiration=1,IF($A553&lt;VLOOKUP(K$5,NFI,5,0),1,0)*Table_NFI[[#This Row],[Mosquito net]],Table_NFI[Mosquito net])</f>
        <v>0</v>
      </c>
      <c r="AC553" s="378">
        <f>IF(NFI_Expiration=1,IF($A553&lt;VLOOKUP(L$5,NFI,5,0),1,0)*Table_NFI[[#This Row],[Tarpaulin]],Table_NFI[[#This Row],[Tarpaulin]])</f>
        <v>0</v>
      </c>
      <c r="AD553" s="378">
        <f>IF(NFI_Expiration=1,IF($A553&lt;VLOOKUP(M$5,NFI,5,0),1,0)*Table_NFI[[#This Row],[Blanket]],Table_NFI[[#This Row],[Blanket]])</f>
        <v>0</v>
      </c>
      <c r="AE553" s="378">
        <f>IF(NFI_Expiration=1,IF($A553&lt;VLOOKUP(N$5,NFI,5,0),1,0)*Table_NFI[[#This Row],[Kitchen Set]],Table_NFI[Kitchen Set])</f>
        <v>0</v>
      </c>
      <c r="AF553" s="378">
        <f>IF(NFI_Expiration=1,IF($A553&lt;VLOOKUP(O$5,NFI,5,0),1,0)*Table_NFI[[#This Row],[Clothes Kit]],Table_NFI[Clothes Kit])</f>
        <v>0</v>
      </c>
      <c r="AG553" s="378">
        <f>IF(NFI_Expiration=1,IF($A553&lt;VLOOKUP(P$5,NFI,5,0),1,0)*Table_NFI[[#This Row],[Plastic Bucket]],Table_NFI[Plastic Bucket])</f>
        <v>0</v>
      </c>
      <c r="AH553" s="378">
        <f>IF(NFI_Expiration=1,IF($A553&lt;VLOOKUP(Q$5,NFI,5,0),1,0)*Table_NFI[[#This Row],[Plastic Mat]],Table_NFI[Plastic Mat])*IF(Table_NFI[[#This Row],[Distribution Date]]&gt;"2014-04-01",1,2.5)</f>
        <v>0</v>
      </c>
      <c r="AI553" s="378">
        <f>IF(NFI_Expiration=1,IF($A553&lt;VLOOKUP(R$5,NFI,5,0),1,0)*Table_NFI[[#This Row],[Winter Clothes Adult]],Table_NFI[Winter Clothes Adult])</f>
        <v>0</v>
      </c>
      <c r="AJ553" s="378">
        <f>IF(NFI_Expiration=1,IF($A553&lt;VLOOKUP(S$5,NFI,5,0),1,0)*Table_NFI[[#This Row],[Winter Clothes Children]],Table_NFI[Winter Clothes Children])</f>
        <v>0</v>
      </c>
      <c r="AK553" s="378">
        <f>IF(NFI_Expiration=1,IF($A553&lt;VLOOKUP(T$5,NFI,5,0),1,0)*Table_NFI[[#This Row],[Winter Items Other]],Table_NFI[Winter Items Other])</f>
        <v>0</v>
      </c>
      <c r="AL553" s="378">
        <f>IF(NFI_Expiration=1,IF($A553&lt;VLOOKUP(M$5,NFI,5,0),1,0)*Table_NFI[[#This Row],[Winter Blanket]],Table_NFI[[#This Row],[Winter Blanket]])</f>
        <v>0</v>
      </c>
      <c r="AM553" s="378">
        <f>IF(Table_NFI[[#This Row],[Winter Clothes Adult]]+Table_NFI[[#This Row],[Winter Clothes Children]]+Table_NFI[[#This Row],[Winter Items Other]]+Table_NFI[[#This Row],[Winter Blanket]]&gt;0,1,0)</f>
        <v>0</v>
      </c>
      <c r="AN553" s="418">
        <f>IF(NFI_Expiration=1,IF($A553&lt;VLOOKUP(V$5,NFI,5,0),1,0)*Table_NFI[[#This Row],[Jerry Can]],Table_NFI[Jerry Can])</f>
        <v>0</v>
      </c>
      <c r="AO553" s="579" t="str">
        <f>IFERROR(VLOOKUP(Table_NFI[[#This Row],[Camp Name]],CL,2,0),"")</f>
        <v/>
      </c>
      <c r="AP553" s="574" t="str">
        <f ca="1">IF(Table_NFI[[#This Row],[Pcode]]="","",IF(OFFSET(CampList[Opening Date],MATCH(Table_NFI[[#This Row],[Pcode]],CampList[CP_Pcode],0)-1,0,1,1)&gt;=NFI_Monitor_Date,1,0))</f>
        <v/>
      </c>
      <c r="AQ553" s="579" t="str">
        <f>IFERROR(VLOOKUP(Table_NFI[[#This Row],[Camp Name]],CL,3,0),"")</f>
        <v/>
      </c>
      <c r="AR553" s="378" t="str">
        <f ca="1">IF(Table_NFI[[#This Row],[Pcode]]="","",OFFSET(CampList[Priority],MATCH(Table_NFI[[#This Row],[Pcode]],CampList[CP_Pcode],0)-1,0,1,1))</f>
        <v/>
      </c>
      <c r="AS553" s="377" t="str">
        <f>IFERROR(Table_NFI[[#This Row],[Kitchen Set]]/VLOOKUP(Table_NFI[[#This Row],[Camp Name]],CL,4,0),"")</f>
        <v/>
      </c>
      <c r="AT553" s="572" t="s">
        <v>1095</v>
      </c>
      <c r="AU553" s="575"/>
    </row>
    <row r="554" spans="1:47" s="576" customFormat="1" x14ac:dyDescent="0.25">
      <c r="A554" s="381">
        <f t="shared" si="8"/>
        <v>34.1</v>
      </c>
      <c r="B554" s="571">
        <v>41499</v>
      </c>
      <c r="C554" s="572" t="s">
        <v>454</v>
      </c>
      <c r="D554" s="572" t="s">
        <v>462</v>
      </c>
      <c r="E554" s="572" t="s">
        <v>555</v>
      </c>
      <c r="F554" s="572" t="s">
        <v>289</v>
      </c>
      <c r="G554" s="374" t="s">
        <v>292</v>
      </c>
      <c r="H554" s="375"/>
      <c r="I554" s="375"/>
      <c r="J554" s="375">
        <v>125</v>
      </c>
      <c r="K554" s="375">
        <v>233</v>
      </c>
      <c r="L554" s="376">
        <v>93</v>
      </c>
      <c r="M554" s="376">
        <v>233</v>
      </c>
      <c r="N554" s="376">
        <v>93</v>
      </c>
      <c r="O554" s="376">
        <v>93</v>
      </c>
      <c r="P554" s="378">
        <v>93</v>
      </c>
      <c r="Q554" s="378">
        <v>93</v>
      </c>
      <c r="R554" s="378"/>
      <c r="S554" s="378"/>
      <c r="T554" s="378"/>
      <c r="U554" s="378"/>
      <c r="V554" s="533"/>
      <c r="W554" s="378"/>
      <c r="X554" s="378"/>
      <c r="Y554" s="378">
        <f>IF(NFI_Expiration=1,IF($A554&lt;VLOOKUP(H$5,NFI,5,0),1,0)*Table_NFI[[#This Row],[Hygiene Kit]],Table_NFI[Hygiene Kit])</f>
        <v>0</v>
      </c>
      <c r="Z554" s="378">
        <f>IF(NFI_Expiration=1,IF($A554&lt;VLOOKUP(I$5,NFI,5,0),1,0)*Table_NFI[[#This Row],[NFI Core Kit]],Table_NFI[NFI Core Kit])</f>
        <v>0</v>
      </c>
      <c r="AA554" s="378">
        <f>IF(NFI_Expiration=1,IF($A554&lt;VLOOKUP(J$5,NFI,5,0),1,0)*Table_NFI[[#This Row],[Sanitary Kit]],Table_NFI[Sanitary Kit])</f>
        <v>0</v>
      </c>
      <c r="AB554" s="378">
        <f>IF(NFI_Expiration=1,IF($A554&lt;VLOOKUP(K$5,NFI,5,0),1,0)*Table_NFI[[#This Row],[Mosquito net]],Table_NFI[Mosquito net])</f>
        <v>0</v>
      </c>
      <c r="AC554" s="378">
        <f>IF(NFI_Expiration=1,IF($A554&lt;VLOOKUP(L$5,NFI,5,0),1,0)*Table_NFI[[#This Row],[Tarpaulin]],Table_NFI[[#This Row],[Tarpaulin]])</f>
        <v>0</v>
      </c>
      <c r="AD554" s="378">
        <f>IF(NFI_Expiration=1,IF($A554&lt;VLOOKUP(M$5,NFI,5,0),1,0)*Table_NFI[[#This Row],[Blanket]],Table_NFI[[#This Row],[Blanket]])</f>
        <v>0</v>
      </c>
      <c r="AE554" s="378">
        <f>IF(NFI_Expiration=1,IF($A554&lt;VLOOKUP(N$5,NFI,5,0),1,0)*Table_NFI[[#This Row],[Kitchen Set]],Table_NFI[Kitchen Set])</f>
        <v>0</v>
      </c>
      <c r="AF554" s="378">
        <f>IF(NFI_Expiration=1,IF($A554&lt;VLOOKUP(O$5,NFI,5,0),1,0)*Table_NFI[[#This Row],[Clothes Kit]],Table_NFI[Clothes Kit])</f>
        <v>0</v>
      </c>
      <c r="AG554" s="378">
        <f>IF(NFI_Expiration=1,IF($A554&lt;VLOOKUP(P$5,NFI,5,0),1,0)*Table_NFI[[#This Row],[Plastic Bucket]],Table_NFI[Plastic Bucket])</f>
        <v>0</v>
      </c>
      <c r="AH554" s="378">
        <f>IF(NFI_Expiration=1,IF($A554&lt;VLOOKUP(Q$5,NFI,5,0),1,0)*Table_NFI[[#This Row],[Plastic Mat]],Table_NFI[Plastic Mat])*IF(Table_NFI[[#This Row],[Distribution Date]]&gt;"2014-04-01",1,2.5)</f>
        <v>0</v>
      </c>
      <c r="AI554" s="378">
        <f>IF(NFI_Expiration=1,IF($A554&lt;VLOOKUP(R$5,NFI,5,0),1,0)*Table_NFI[[#This Row],[Winter Clothes Adult]],Table_NFI[Winter Clothes Adult])</f>
        <v>0</v>
      </c>
      <c r="AJ554" s="378">
        <f>IF(NFI_Expiration=1,IF($A554&lt;VLOOKUP(S$5,NFI,5,0),1,0)*Table_NFI[[#This Row],[Winter Clothes Children]],Table_NFI[Winter Clothes Children])</f>
        <v>0</v>
      </c>
      <c r="AK554" s="378">
        <f>IF(NFI_Expiration=1,IF($A554&lt;VLOOKUP(T$5,NFI,5,0),1,0)*Table_NFI[[#This Row],[Winter Items Other]],Table_NFI[Winter Items Other])</f>
        <v>0</v>
      </c>
      <c r="AL554" s="378">
        <f>IF(NFI_Expiration=1,IF($A554&lt;VLOOKUP(M$5,NFI,5,0),1,0)*Table_NFI[[#This Row],[Winter Blanket]],Table_NFI[[#This Row],[Winter Blanket]])</f>
        <v>0</v>
      </c>
      <c r="AM554" s="378">
        <f>IF(Table_NFI[[#This Row],[Winter Clothes Adult]]+Table_NFI[[#This Row],[Winter Clothes Children]]+Table_NFI[[#This Row],[Winter Items Other]]+Table_NFI[[#This Row],[Winter Blanket]]&gt;0,1,0)</f>
        <v>0</v>
      </c>
      <c r="AN554" s="418">
        <f>IF(NFI_Expiration=1,IF($A554&lt;VLOOKUP(V$5,NFI,5,0),1,0)*Table_NFI[[#This Row],[Jerry Can]],Table_NFI[Jerry Can])</f>
        <v>0</v>
      </c>
      <c r="AO554" s="579" t="str">
        <f>IFERROR(VLOOKUP(Table_NFI[[#This Row],[Camp Name]],CL,2,0),"")</f>
        <v>MMR015CMP004</v>
      </c>
      <c r="AP554" s="574">
        <f ca="1">IF(Table_NFI[[#This Row],[Pcode]]="","",IF(OFFSET(CampList[Opening Date],MATCH(Table_NFI[[#This Row],[Pcode]],CampList[CP_Pcode],0)-1,0,1,1)&gt;=NFI_Monitor_Date,1,0))</f>
        <v>0</v>
      </c>
      <c r="AQ554" s="579" t="str">
        <f>IFERROR(VLOOKUP(Table_NFI[[#This Row],[Camp Name]],CL,3,0),"")</f>
        <v>Open</v>
      </c>
      <c r="AR554" s="378" t="str">
        <f ca="1">IF(Table_NFI[[#This Row],[Pcode]]="","",OFFSET(CampList[Priority],MATCH(Table_NFI[[#This Row],[Pcode]],CampList[CP_Pcode],0)-1,0,1,1))</f>
        <v>P3</v>
      </c>
      <c r="AS554" s="377">
        <f>IFERROR(Table_NFI[[#This Row],[Kitchen Set]]/VLOOKUP(Table_NFI[[#This Row],[Camp Name]],CL,4,0),"")</f>
        <v>1.3285714285714285</v>
      </c>
      <c r="AT554" s="572" t="s">
        <v>1095</v>
      </c>
      <c r="AU554" s="575"/>
    </row>
    <row r="555" spans="1:47" s="576" customFormat="1" x14ac:dyDescent="0.25">
      <c r="A555" s="381">
        <f t="shared" si="8"/>
        <v>39.966666666666669</v>
      </c>
      <c r="B555" s="571">
        <v>41323</v>
      </c>
      <c r="C555" s="572" t="s">
        <v>454</v>
      </c>
      <c r="D555" s="573" t="s">
        <v>462</v>
      </c>
      <c r="E555" s="572" t="s">
        <v>555</v>
      </c>
      <c r="F555" s="374" t="s">
        <v>289</v>
      </c>
      <c r="G555" s="374" t="s">
        <v>292</v>
      </c>
      <c r="H555" s="375"/>
      <c r="I555" s="375"/>
      <c r="J555" s="375">
        <v>118</v>
      </c>
      <c r="K555" s="375">
        <v>118</v>
      </c>
      <c r="L555" s="376">
        <v>59</v>
      </c>
      <c r="M555" s="376">
        <v>118</v>
      </c>
      <c r="N555" s="376">
        <v>59</v>
      </c>
      <c r="O555" s="376">
        <v>59</v>
      </c>
      <c r="P555" s="378">
        <v>59</v>
      </c>
      <c r="Q555" s="378">
        <v>59</v>
      </c>
      <c r="R555" s="378"/>
      <c r="S555" s="378"/>
      <c r="T555" s="378"/>
      <c r="U555" s="378"/>
      <c r="V555" s="533"/>
      <c r="W555" s="378"/>
      <c r="X555" s="378"/>
      <c r="Y555" s="378">
        <f>IF(NFI_Expiration=1,IF($A555&lt;VLOOKUP(H$5,NFI,5,0),1,0)*Table_NFI[[#This Row],[Hygiene Kit]],Table_NFI[Hygiene Kit])</f>
        <v>0</v>
      </c>
      <c r="Z555" s="378">
        <f>IF(NFI_Expiration=1,IF($A555&lt;VLOOKUP(I$5,NFI,5,0),1,0)*Table_NFI[[#This Row],[NFI Core Kit]],Table_NFI[NFI Core Kit])</f>
        <v>0</v>
      </c>
      <c r="AA555" s="378">
        <f>IF(NFI_Expiration=1,IF($A555&lt;VLOOKUP(J$5,NFI,5,0),1,0)*Table_NFI[[#This Row],[Sanitary Kit]],Table_NFI[Sanitary Kit])</f>
        <v>0</v>
      </c>
      <c r="AB555" s="378">
        <f>IF(NFI_Expiration=1,IF($A555&lt;VLOOKUP(K$5,NFI,5,0),1,0)*Table_NFI[[#This Row],[Mosquito net]],Table_NFI[Mosquito net])</f>
        <v>0</v>
      </c>
      <c r="AC555" s="378">
        <f>IF(NFI_Expiration=1,IF($A555&lt;VLOOKUP(L$5,NFI,5,0),1,0)*Table_NFI[[#This Row],[Tarpaulin]],Table_NFI[[#This Row],[Tarpaulin]])</f>
        <v>0</v>
      </c>
      <c r="AD555" s="378">
        <f>IF(NFI_Expiration=1,IF($A555&lt;VLOOKUP(M$5,NFI,5,0),1,0)*Table_NFI[[#This Row],[Blanket]],Table_NFI[[#This Row],[Blanket]])</f>
        <v>0</v>
      </c>
      <c r="AE555" s="378">
        <f>IF(NFI_Expiration=1,IF($A555&lt;VLOOKUP(N$5,NFI,5,0),1,0)*Table_NFI[[#This Row],[Kitchen Set]],Table_NFI[Kitchen Set])</f>
        <v>0</v>
      </c>
      <c r="AF555" s="378">
        <f>IF(NFI_Expiration=1,IF($A555&lt;VLOOKUP(O$5,NFI,5,0),1,0)*Table_NFI[[#This Row],[Clothes Kit]],Table_NFI[Clothes Kit])</f>
        <v>0</v>
      </c>
      <c r="AG555" s="378">
        <f>IF(NFI_Expiration=1,IF($A555&lt;VLOOKUP(P$5,NFI,5,0),1,0)*Table_NFI[[#This Row],[Plastic Bucket]],Table_NFI[Plastic Bucket])</f>
        <v>0</v>
      </c>
      <c r="AH555" s="378">
        <f>IF(NFI_Expiration=1,IF($A555&lt;VLOOKUP(Q$5,NFI,5,0),1,0)*Table_NFI[[#This Row],[Plastic Mat]],Table_NFI[Plastic Mat])*IF(Table_NFI[[#This Row],[Distribution Date]]&gt;"2014-04-01",1,2.5)</f>
        <v>0</v>
      </c>
      <c r="AI555" s="378">
        <f>IF(NFI_Expiration=1,IF($A555&lt;VLOOKUP(R$5,NFI,5,0),1,0)*Table_NFI[[#This Row],[Winter Clothes Adult]],Table_NFI[Winter Clothes Adult])</f>
        <v>0</v>
      </c>
      <c r="AJ555" s="378">
        <f>IF(NFI_Expiration=1,IF($A555&lt;VLOOKUP(S$5,NFI,5,0),1,0)*Table_NFI[[#This Row],[Winter Clothes Children]],Table_NFI[Winter Clothes Children])</f>
        <v>0</v>
      </c>
      <c r="AK555" s="378">
        <f>IF(NFI_Expiration=1,IF($A555&lt;VLOOKUP(T$5,NFI,5,0),1,0)*Table_NFI[[#This Row],[Winter Items Other]],Table_NFI[Winter Items Other])</f>
        <v>0</v>
      </c>
      <c r="AL555" s="378">
        <f>IF(NFI_Expiration=1,IF($A555&lt;VLOOKUP(M$5,NFI,5,0),1,0)*Table_NFI[[#This Row],[Winter Blanket]],Table_NFI[[#This Row],[Winter Blanket]])</f>
        <v>0</v>
      </c>
      <c r="AM555" s="378">
        <f>IF(Table_NFI[[#This Row],[Winter Clothes Adult]]+Table_NFI[[#This Row],[Winter Clothes Children]]+Table_NFI[[#This Row],[Winter Items Other]]+Table_NFI[[#This Row],[Winter Blanket]]&gt;0,1,0)</f>
        <v>0</v>
      </c>
      <c r="AN555" s="418">
        <f>IF(NFI_Expiration=1,IF($A555&lt;VLOOKUP(V$5,NFI,5,0),1,0)*Table_NFI[[#This Row],[Jerry Can]],Table_NFI[Jerry Can])</f>
        <v>0</v>
      </c>
      <c r="AO555" s="579" t="str">
        <f>IFERROR(VLOOKUP(Table_NFI[[#This Row],[Camp Name]],CL,2,0),"")</f>
        <v>MMR015CMP004</v>
      </c>
      <c r="AP555" s="574">
        <f ca="1">IF(Table_NFI[[#This Row],[Pcode]]="","",IF(OFFSET(CampList[Opening Date],MATCH(Table_NFI[[#This Row],[Pcode]],CampList[CP_Pcode],0)-1,0,1,1)&gt;=NFI_Monitor_Date,1,0))</f>
        <v>0</v>
      </c>
      <c r="AQ555" s="579" t="str">
        <f>IFERROR(VLOOKUP(Table_NFI[[#This Row],[Camp Name]],CL,3,0),"")</f>
        <v>Open</v>
      </c>
      <c r="AR555" s="378" t="str">
        <f ca="1">IF(Table_NFI[[#This Row],[Pcode]]="","",OFFSET(CampList[Priority],MATCH(Table_NFI[[#This Row],[Pcode]],CampList[CP_Pcode],0)-1,0,1,1))</f>
        <v>P3</v>
      </c>
      <c r="AS555" s="377">
        <f>IFERROR(Table_NFI[[#This Row],[Kitchen Set]]/VLOOKUP(Table_NFI[[#This Row],[Camp Name]],CL,4,0),"")</f>
        <v>0.84285714285714286</v>
      </c>
      <c r="AT555" s="572" t="s">
        <v>1095</v>
      </c>
      <c r="AU555" s="575"/>
    </row>
    <row r="556" spans="1:47" s="576" customFormat="1" x14ac:dyDescent="0.25">
      <c r="A556" s="381">
        <f t="shared" si="8"/>
        <v>34.1</v>
      </c>
      <c r="B556" s="571">
        <v>41499</v>
      </c>
      <c r="C556" s="572" t="s">
        <v>454</v>
      </c>
      <c r="D556" s="572" t="s">
        <v>508</v>
      </c>
      <c r="E556" s="572" t="s">
        <v>555</v>
      </c>
      <c r="F556" s="572" t="s">
        <v>289</v>
      </c>
      <c r="G556" s="374" t="s">
        <v>290</v>
      </c>
      <c r="H556" s="375"/>
      <c r="I556" s="375"/>
      <c r="J556" s="375">
        <v>100</v>
      </c>
      <c r="K556" s="375">
        <v>188</v>
      </c>
      <c r="L556" s="376">
        <v>75</v>
      </c>
      <c r="M556" s="376">
        <v>188</v>
      </c>
      <c r="N556" s="376">
        <v>75</v>
      </c>
      <c r="O556" s="376">
        <v>75</v>
      </c>
      <c r="P556" s="378">
        <v>75</v>
      </c>
      <c r="Q556" s="378">
        <v>75</v>
      </c>
      <c r="R556" s="378"/>
      <c r="S556" s="378"/>
      <c r="T556" s="378"/>
      <c r="U556" s="378"/>
      <c r="V556" s="533"/>
      <c r="W556" s="378"/>
      <c r="X556" s="378"/>
      <c r="Y556" s="378">
        <f>IF(NFI_Expiration=1,IF($A556&lt;VLOOKUP(H$5,NFI,5,0),1,0)*Table_NFI[[#This Row],[Hygiene Kit]],Table_NFI[Hygiene Kit])</f>
        <v>0</v>
      </c>
      <c r="Z556" s="378">
        <f>IF(NFI_Expiration=1,IF($A556&lt;VLOOKUP(I$5,NFI,5,0),1,0)*Table_NFI[[#This Row],[NFI Core Kit]],Table_NFI[NFI Core Kit])</f>
        <v>0</v>
      </c>
      <c r="AA556" s="378">
        <f>IF(NFI_Expiration=1,IF($A556&lt;VLOOKUP(J$5,NFI,5,0),1,0)*Table_NFI[[#This Row],[Sanitary Kit]],Table_NFI[Sanitary Kit])</f>
        <v>0</v>
      </c>
      <c r="AB556" s="378">
        <f>IF(NFI_Expiration=1,IF($A556&lt;VLOOKUP(K$5,NFI,5,0),1,0)*Table_NFI[[#This Row],[Mosquito net]],Table_NFI[Mosquito net])</f>
        <v>0</v>
      </c>
      <c r="AC556" s="378">
        <f>IF(NFI_Expiration=1,IF($A556&lt;VLOOKUP(L$5,NFI,5,0),1,0)*Table_NFI[[#This Row],[Tarpaulin]],Table_NFI[[#This Row],[Tarpaulin]])</f>
        <v>0</v>
      </c>
      <c r="AD556" s="378">
        <f>IF(NFI_Expiration=1,IF($A556&lt;VLOOKUP(M$5,NFI,5,0),1,0)*Table_NFI[[#This Row],[Blanket]],Table_NFI[[#This Row],[Blanket]])</f>
        <v>0</v>
      </c>
      <c r="AE556" s="378">
        <f>IF(NFI_Expiration=1,IF($A556&lt;VLOOKUP(N$5,NFI,5,0),1,0)*Table_NFI[[#This Row],[Kitchen Set]],Table_NFI[Kitchen Set])</f>
        <v>0</v>
      </c>
      <c r="AF556" s="378">
        <f>IF(NFI_Expiration=1,IF($A556&lt;VLOOKUP(O$5,NFI,5,0),1,0)*Table_NFI[[#This Row],[Clothes Kit]],Table_NFI[Clothes Kit])</f>
        <v>0</v>
      </c>
      <c r="AG556" s="378">
        <f>IF(NFI_Expiration=1,IF($A556&lt;VLOOKUP(P$5,NFI,5,0),1,0)*Table_NFI[[#This Row],[Plastic Bucket]],Table_NFI[Plastic Bucket])</f>
        <v>0</v>
      </c>
      <c r="AH556" s="378">
        <f>IF(NFI_Expiration=1,IF($A556&lt;VLOOKUP(Q$5,NFI,5,0),1,0)*Table_NFI[[#This Row],[Plastic Mat]],Table_NFI[Plastic Mat])*IF(Table_NFI[[#This Row],[Distribution Date]]&gt;"2014-04-01",1,2.5)</f>
        <v>0</v>
      </c>
      <c r="AI556" s="378">
        <f>IF(NFI_Expiration=1,IF($A556&lt;VLOOKUP(R$5,NFI,5,0),1,0)*Table_NFI[[#This Row],[Winter Clothes Adult]],Table_NFI[Winter Clothes Adult])</f>
        <v>0</v>
      </c>
      <c r="AJ556" s="378">
        <f>IF(NFI_Expiration=1,IF($A556&lt;VLOOKUP(S$5,NFI,5,0),1,0)*Table_NFI[[#This Row],[Winter Clothes Children]],Table_NFI[Winter Clothes Children])</f>
        <v>0</v>
      </c>
      <c r="AK556" s="378">
        <f>IF(NFI_Expiration=1,IF($A556&lt;VLOOKUP(T$5,NFI,5,0),1,0)*Table_NFI[[#This Row],[Winter Items Other]],Table_NFI[Winter Items Other])</f>
        <v>0</v>
      </c>
      <c r="AL556" s="378">
        <f>IF(NFI_Expiration=1,IF($A556&lt;VLOOKUP(M$5,NFI,5,0),1,0)*Table_NFI[[#This Row],[Winter Blanket]],Table_NFI[[#This Row],[Winter Blanket]])</f>
        <v>0</v>
      </c>
      <c r="AM556" s="378">
        <f>IF(Table_NFI[[#This Row],[Winter Clothes Adult]]+Table_NFI[[#This Row],[Winter Clothes Children]]+Table_NFI[[#This Row],[Winter Items Other]]+Table_NFI[[#This Row],[Winter Blanket]]&gt;0,1,0)</f>
        <v>0</v>
      </c>
      <c r="AN556" s="418">
        <f>IF(NFI_Expiration=1,IF($A556&lt;VLOOKUP(V$5,NFI,5,0),1,0)*Table_NFI[[#This Row],[Jerry Can]],Table_NFI[Jerry Can])</f>
        <v>0</v>
      </c>
      <c r="AO556" s="579" t="str">
        <f>IFERROR(VLOOKUP(Table_NFI[[#This Row],[Camp Name]],CL,2,0),"")</f>
        <v>MMR015CMP001</v>
      </c>
      <c r="AP556" s="574">
        <f ca="1">IF(Table_NFI[[#This Row],[Pcode]]="","",IF(OFFSET(CampList[Opening Date],MATCH(Table_NFI[[#This Row],[Pcode]],CampList[CP_Pcode],0)-1,0,1,1)&gt;=NFI_Monitor_Date,1,0))</f>
        <v>0</v>
      </c>
      <c r="AQ556" s="579" t="str">
        <f>IFERROR(VLOOKUP(Table_NFI[[#This Row],[Camp Name]],CL,3,0),"")</f>
        <v>Open</v>
      </c>
      <c r="AR556" s="378" t="str">
        <f ca="1">IF(Table_NFI[[#This Row],[Pcode]]="","",OFFSET(CampList[Priority],MATCH(Table_NFI[[#This Row],[Pcode]],CampList[CP_Pcode],0)-1,0,1,1))</f>
        <v>P3</v>
      </c>
      <c r="AS556" s="377">
        <f>IFERROR(Table_NFI[[#This Row],[Kitchen Set]]/VLOOKUP(Table_NFI[[#This Row],[Camp Name]],CL,4,0),"")</f>
        <v>1.0273972602739727</v>
      </c>
      <c r="AT556" s="572" t="s">
        <v>1095</v>
      </c>
      <c r="AU556" s="575"/>
    </row>
    <row r="557" spans="1:47" s="576" customFormat="1" x14ac:dyDescent="0.25">
      <c r="A557" s="381">
        <f t="shared" si="8"/>
        <v>39.966666666666669</v>
      </c>
      <c r="B557" s="571">
        <v>41323</v>
      </c>
      <c r="C557" s="572" t="s">
        <v>454</v>
      </c>
      <c r="D557" s="573" t="s">
        <v>462</v>
      </c>
      <c r="E557" s="572" t="s">
        <v>555</v>
      </c>
      <c r="F557" s="374" t="s">
        <v>289</v>
      </c>
      <c r="G557" s="374" t="s">
        <v>290</v>
      </c>
      <c r="H557" s="375"/>
      <c r="I557" s="375"/>
      <c r="J557" s="375">
        <v>139</v>
      </c>
      <c r="K557" s="375">
        <v>139</v>
      </c>
      <c r="L557" s="376">
        <v>70</v>
      </c>
      <c r="M557" s="376">
        <v>139</v>
      </c>
      <c r="N557" s="376">
        <v>70</v>
      </c>
      <c r="O557" s="376">
        <v>70</v>
      </c>
      <c r="P557" s="378">
        <v>70</v>
      </c>
      <c r="Q557" s="378">
        <v>70</v>
      </c>
      <c r="R557" s="378"/>
      <c r="S557" s="378"/>
      <c r="T557" s="378"/>
      <c r="U557" s="378"/>
      <c r="V557" s="533"/>
      <c r="W557" s="378"/>
      <c r="X557" s="378"/>
      <c r="Y557" s="378">
        <f>IF(NFI_Expiration=1,IF($A557&lt;VLOOKUP(H$5,NFI,5,0),1,0)*Table_NFI[[#This Row],[Hygiene Kit]],Table_NFI[Hygiene Kit])</f>
        <v>0</v>
      </c>
      <c r="Z557" s="378">
        <f>IF(NFI_Expiration=1,IF($A557&lt;VLOOKUP(I$5,NFI,5,0),1,0)*Table_NFI[[#This Row],[NFI Core Kit]],Table_NFI[NFI Core Kit])</f>
        <v>0</v>
      </c>
      <c r="AA557" s="378">
        <f>IF(NFI_Expiration=1,IF($A557&lt;VLOOKUP(J$5,NFI,5,0),1,0)*Table_NFI[[#This Row],[Sanitary Kit]],Table_NFI[Sanitary Kit])</f>
        <v>0</v>
      </c>
      <c r="AB557" s="378">
        <f>IF(NFI_Expiration=1,IF($A557&lt;VLOOKUP(K$5,NFI,5,0),1,0)*Table_NFI[[#This Row],[Mosquito net]],Table_NFI[Mosquito net])</f>
        <v>0</v>
      </c>
      <c r="AC557" s="378">
        <f>IF(NFI_Expiration=1,IF($A557&lt;VLOOKUP(L$5,NFI,5,0),1,0)*Table_NFI[[#This Row],[Tarpaulin]],Table_NFI[[#This Row],[Tarpaulin]])</f>
        <v>0</v>
      </c>
      <c r="AD557" s="378">
        <f>IF(NFI_Expiration=1,IF($A557&lt;VLOOKUP(M$5,NFI,5,0),1,0)*Table_NFI[[#This Row],[Blanket]],Table_NFI[[#This Row],[Blanket]])</f>
        <v>0</v>
      </c>
      <c r="AE557" s="378">
        <f>IF(NFI_Expiration=1,IF($A557&lt;VLOOKUP(N$5,NFI,5,0),1,0)*Table_NFI[[#This Row],[Kitchen Set]],Table_NFI[Kitchen Set])</f>
        <v>0</v>
      </c>
      <c r="AF557" s="378">
        <f>IF(NFI_Expiration=1,IF($A557&lt;VLOOKUP(O$5,NFI,5,0),1,0)*Table_NFI[[#This Row],[Clothes Kit]],Table_NFI[Clothes Kit])</f>
        <v>0</v>
      </c>
      <c r="AG557" s="378">
        <f>IF(NFI_Expiration=1,IF($A557&lt;VLOOKUP(P$5,NFI,5,0),1,0)*Table_NFI[[#This Row],[Plastic Bucket]],Table_NFI[Plastic Bucket])</f>
        <v>0</v>
      </c>
      <c r="AH557" s="378">
        <f>IF(NFI_Expiration=1,IF($A557&lt;VLOOKUP(Q$5,NFI,5,0),1,0)*Table_NFI[[#This Row],[Plastic Mat]],Table_NFI[Plastic Mat])*IF(Table_NFI[[#This Row],[Distribution Date]]&gt;"2014-04-01",1,2.5)</f>
        <v>0</v>
      </c>
      <c r="AI557" s="378">
        <f>IF(NFI_Expiration=1,IF($A557&lt;VLOOKUP(R$5,NFI,5,0),1,0)*Table_NFI[[#This Row],[Winter Clothes Adult]],Table_NFI[Winter Clothes Adult])</f>
        <v>0</v>
      </c>
      <c r="AJ557" s="378">
        <f>IF(NFI_Expiration=1,IF($A557&lt;VLOOKUP(S$5,NFI,5,0),1,0)*Table_NFI[[#This Row],[Winter Clothes Children]],Table_NFI[Winter Clothes Children])</f>
        <v>0</v>
      </c>
      <c r="AK557" s="378">
        <f>IF(NFI_Expiration=1,IF($A557&lt;VLOOKUP(T$5,NFI,5,0),1,0)*Table_NFI[[#This Row],[Winter Items Other]],Table_NFI[Winter Items Other])</f>
        <v>0</v>
      </c>
      <c r="AL557" s="378">
        <f>IF(NFI_Expiration=1,IF($A557&lt;VLOOKUP(M$5,NFI,5,0),1,0)*Table_NFI[[#This Row],[Winter Blanket]],Table_NFI[[#This Row],[Winter Blanket]])</f>
        <v>0</v>
      </c>
      <c r="AM557" s="378">
        <f>IF(Table_NFI[[#This Row],[Winter Clothes Adult]]+Table_NFI[[#This Row],[Winter Clothes Children]]+Table_NFI[[#This Row],[Winter Items Other]]+Table_NFI[[#This Row],[Winter Blanket]]&gt;0,1,0)</f>
        <v>0</v>
      </c>
      <c r="AN557" s="418">
        <f>IF(NFI_Expiration=1,IF($A557&lt;VLOOKUP(V$5,NFI,5,0),1,0)*Table_NFI[[#This Row],[Jerry Can]],Table_NFI[Jerry Can])</f>
        <v>0</v>
      </c>
      <c r="AO557" s="579" t="str">
        <f>IFERROR(VLOOKUP(Table_NFI[[#This Row],[Camp Name]],CL,2,0),"")</f>
        <v>MMR015CMP001</v>
      </c>
      <c r="AP557" s="574">
        <f ca="1">IF(Table_NFI[[#This Row],[Pcode]]="","",IF(OFFSET(CampList[Opening Date],MATCH(Table_NFI[[#This Row],[Pcode]],CampList[CP_Pcode],0)-1,0,1,1)&gt;=NFI_Monitor_Date,1,0))</f>
        <v>0</v>
      </c>
      <c r="AQ557" s="579" t="str">
        <f>IFERROR(VLOOKUP(Table_NFI[[#This Row],[Camp Name]],CL,3,0),"")</f>
        <v>Open</v>
      </c>
      <c r="AR557" s="378" t="str">
        <f ca="1">IF(Table_NFI[[#This Row],[Pcode]]="","",OFFSET(CampList[Priority],MATCH(Table_NFI[[#This Row],[Pcode]],CampList[CP_Pcode],0)-1,0,1,1))</f>
        <v>P3</v>
      </c>
      <c r="AS557" s="377">
        <f>IFERROR(Table_NFI[[#This Row],[Kitchen Set]]/VLOOKUP(Table_NFI[[#This Row],[Camp Name]],CL,4,0),"")</f>
        <v>0.95890410958904104</v>
      </c>
      <c r="AT557" s="572" t="s">
        <v>1095</v>
      </c>
      <c r="AU557" s="575"/>
    </row>
    <row r="558" spans="1:47" s="576" customFormat="1" x14ac:dyDescent="0.25">
      <c r="A558" s="381">
        <f t="shared" si="8"/>
        <v>25.733333333333334</v>
      </c>
      <c r="B558" s="571">
        <v>41750</v>
      </c>
      <c r="C558" s="572" t="s">
        <v>454</v>
      </c>
      <c r="D558" s="572"/>
      <c r="E558" s="572" t="s">
        <v>555</v>
      </c>
      <c r="F558" s="572" t="s">
        <v>289</v>
      </c>
      <c r="G558" s="572" t="s">
        <v>1058</v>
      </c>
      <c r="H558" s="375"/>
      <c r="I558" s="375"/>
      <c r="J558" s="375"/>
      <c r="K558" s="375">
        <v>0</v>
      </c>
      <c r="L558" s="376">
        <v>1</v>
      </c>
      <c r="M558" s="376">
        <v>167</v>
      </c>
      <c r="N558" s="376">
        <v>1</v>
      </c>
      <c r="O558" s="376">
        <v>0</v>
      </c>
      <c r="P558" s="378">
        <v>1</v>
      </c>
      <c r="Q558" s="378">
        <v>0</v>
      </c>
      <c r="R558" s="378"/>
      <c r="S558" s="378"/>
      <c r="T558" s="378"/>
      <c r="U558" s="378"/>
      <c r="V558" s="533"/>
      <c r="W558" s="378"/>
      <c r="X558" s="378"/>
      <c r="Y558" s="378">
        <f>IF(NFI_Expiration=1,IF($A558&lt;VLOOKUP(H$5,NFI,5,0),1,0)*Table_NFI[[#This Row],[Hygiene Kit]],Table_NFI[Hygiene Kit])</f>
        <v>0</v>
      </c>
      <c r="Z558" s="378">
        <f>IF(NFI_Expiration=1,IF($A558&lt;VLOOKUP(I$5,NFI,5,0),1,0)*Table_NFI[[#This Row],[NFI Core Kit]],Table_NFI[NFI Core Kit])</f>
        <v>0</v>
      </c>
      <c r="AA558" s="378">
        <f>IF(NFI_Expiration=1,IF($A558&lt;VLOOKUP(J$5,NFI,5,0),1,0)*Table_NFI[[#This Row],[Sanitary Kit]],Table_NFI[Sanitary Kit])</f>
        <v>0</v>
      </c>
      <c r="AB558" s="378">
        <f>IF(NFI_Expiration=1,IF($A558&lt;VLOOKUP(K$5,NFI,5,0),1,0)*Table_NFI[[#This Row],[Mosquito net]],Table_NFI[Mosquito net])</f>
        <v>0</v>
      </c>
      <c r="AC558" s="378">
        <f>IF(NFI_Expiration=1,IF($A558&lt;VLOOKUP(L$5,NFI,5,0),1,0)*Table_NFI[[#This Row],[Tarpaulin]],Table_NFI[[#This Row],[Tarpaulin]])</f>
        <v>0</v>
      </c>
      <c r="AD558" s="378">
        <f>IF(NFI_Expiration=1,IF($A558&lt;VLOOKUP(M$5,NFI,5,0),1,0)*Table_NFI[[#This Row],[Blanket]],Table_NFI[[#This Row],[Blanket]])</f>
        <v>0</v>
      </c>
      <c r="AE558" s="378">
        <f>IF(NFI_Expiration=1,IF($A558&lt;VLOOKUP(N$5,NFI,5,0),1,0)*Table_NFI[[#This Row],[Kitchen Set]],Table_NFI[Kitchen Set])</f>
        <v>0</v>
      </c>
      <c r="AF558" s="378">
        <f>IF(NFI_Expiration=1,IF($A558&lt;VLOOKUP(O$5,NFI,5,0),1,0)*Table_NFI[[#This Row],[Clothes Kit]],Table_NFI[Clothes Kit])</f>
        <v>0</v>
      </c>
      <c r="AG558" s="378">
        <f>IF(NFI_Expiration=1,IF($A558&lt;VLOOKUP(P$5,NFI,5,0),1,0)*Table_NFI[[#This Row],[Plastic Bucket]],Table_NFI[Plastic Bucket])</f>
        <v>0</v>
      </c>
      <c r="AH558" s="378">
        <f>IF(NFI_Expiration=1,IF($A558&lt;VLOOKUP(Q$5,NFI,5,0),1,0)*Table_NFI[[#This Row],[Plastic Mat]],Table_NFI[Plastic Mat])*IF(Table_NFI[[#This Row],[Distribution Date]]&gt;"2014-04-01",1,2.5)</f>
        <v>0</v>
      </c>
      <c r="AI558" s="378">
        <f>IF(NFI_Expiration=1,IF($A558&lt;VLOOKUP(R$5,NFI,5,0),1,0)*Table_NFI[[#This Row],[Winter Clothes Adult]],Table_NFI[Winter Clothes Adult])</f>
        <v>0</v>
      </c>
      <c r="AJ558" s="378">
        <f>IF(NFI_Expiration=1,IF($A558&lt;VLOOKUP(S$5,NFI,5,0),1,0)*Table_NFI[[#This Row],[Winter Clothes Children]],Table_NFI[Winter Clothes Children])</f>
        <v>0</v>
      </c>
      <c r="AK558" s="378">
        <f>IF(NFI_Expiration=1,IF($A558&lt;VLOOKUP(T$5,NFI,5,0),1,0)*Table_NFI[[#This Row],[Winter Items Other]],Table_NFI[Winter Items Other])</f>
        <v>0</v>
      </c>
      <c r="AL558" s="378">
        <f>IF(NFI_Expiration=1,IF($A558&lt;VLOOKUP(M$5,NFI,5,0),1,0)*Table_NFI[[#This Row],[Winter Blanket]],Table_NFI[[#This Row],[Winter Blanket]])</f>
        <v>0</v>
      </c>
      <c r="AM558" s="378">
        <f>IF(Table_NFI[[#This Row],[Winter Clothes Adult]]+Table_NFI[[#This Row],[Winter Clothes Children]]+Table_NFI[[#This Row],[Winter Items Other]]+Table_NFI[[#This Row],[Winter Blanket]]&gt;0,1,0)</f>
        <v>0</v>
      </c>
      <c r="AN558" s="418">
        <f>IF(NFI_Expiration=1,IF($A558&lt;VLOOKUP(V$5,NFI,5,0),1,0)*Table_NFI[[#This Row],[Jerry Can]],Table_NFI[Jerry Can])</f>
        <v>0</v>
      </c>
      <c r="AO558" s="579" t="str">
        <f>IFERROR(VLOOKUP(Table_NFI[[#This Row],[Camp Name]],CL,2,0),"")</f>
        <v>MMR015CMP214</v>
      </c>
      <c r="AP558" s="574">
        <f ca="1">IF(Table_NFI[[#This Row],[Pcode]]="","",IF(OFFSET(CampList[Opening Date],MATCH(Table_NFI[[#This Row],[Pcode]],CampList[CP_Pcode],0)-1,0,1,1)&gt;=NFI_Monitor_Date,1,0))</f>
        <v>1</v>
      </c>
      <c r="AQ558" s="579" t="str">
        <f>IFERROR(VLOOKUP(Table_NFI[[#This Row],[Camp Name]],CL,3,0),"")</f>
        <v>Open</v>
      </c>
      <c r="AR558" s="378" t="str">
        <f ca="1">IF(Table_NFI[[#This Row],[Pcode]]="","",OFFSET(CampList[Priority],MATCH(Table_NFI[[#This Row],[Pcode]],CampList[CP_Pcode],0)-1,0,1,1))</f>
        <v>P4</v>
      </c>
      <c r="AS558" s="377">
        <f>IFERROR(Table_NFI[[#This Row],[Kitchen Set]]/VLOOKUP(Table_NFI[[#This Row],[Camp Name]],CL,4,0),"")</f>
        <v>2.7027027027027029E-2</v>
      </c>
      <c r="AT558" s="572"/>
      <c r="AU558" s="575" t="s">
        <v>1236</v>
      </c>
    </row>
    <row r="559" spans="1:47" s="130" customFormat="1" x14ac:dyDescent="0.25">
      <c r="A559" s="381">
        <f t="shared" si="8"/>
        <v>25.733333333333334</v>
      </c>
      <c r="B559" s="571">
        <v>41750</v>
      </c>
      <c r="C559" s="572" t="s">
        <v>454</v>
      </c>
      <c r="D559" s="572"/>
      <c r="E559" s="572" t="s">
        <v>555</v>
      </c>
      <c r="F559" s="572" t="s">
        <v>289</v>
      </c>
      <c r="G559" s="572" t="s">
        <v>1058</v>
      </c>
      <c r="H559" s="375"/>
      <c r="I559" s="375"/>
      <c r="J559" s="375"/>
      <c r="K559" s="375">
        <v>90</v>
      </c>
      <c r="L559" s="376">
        <v>49</v>
      </c>
      <c r="M559" s="376">
        <v>98</v>
      </c>
      <c r="N559" s="376">
        <v>49</v>
      </c>
      <c r="O559" s="376"/>
      <c r="P559" s="378">
        <v>49</v>
      </c>
      <c r="Q559" s="378">
        <v>225</v>
      </c>
      <c r="R559" s="378"/>
      <c r="S559" s="378"/>
      <c r="T559" s="378"/>
      <c r="U559" s="378"/>
      <c r="V559" s="533"/>
      <c r="W559" s="378"/>
      <c r="X559" s="378"/>
      <c r="Y559" s="378">
        <f>IF(NFI_Expiration=1,IF($A559&lt;VLOOKUP(H$5,NFI,5,0),1,0)*Table_NFI[[#This Row],[Hygiene Kit]],Table_NFI[Hygiene Kit])</f>
        <v>0</v>
      </c>
      <c r="Z559" s="378">
        <f>IF(NFI_Expiration=1,IF($A559&lt;VLOOKUP(I$5,NFI,5,0),1,0)*Table_NFI[[#This Row],[NFI Core Kit]],Table_NFI[NFI Core Kit])</f>
        <v>0</v>
      </c>
      <c r="AA559" s="378">
        <f>IF(NFI_Expiration=1,IF($A559&lt;VLOOKUP(J$5,NFI,5,0),1,0)*Table_NFI[[#This Row],[Sanitary Kit]],Table_NFI[Sanitary Kit])</f>
        <v>0</v>
      </c>
      <c r="AB559" s="378">
        <f>IF(NFI_Expiration=1,IF($A559&lt;VLOOKUP(K$5,NFI,5,0),1,0)*Table_NFI[[#This Row],[Mosquito net]],Table_NFI[Mosquito net])</f>
        <v>0</v>
      </c>
      <c r="AC559" s="378">
        <f>IF(NFI_Expiration=1,IF($A559&lt;VLOOKUP(L$5,NFI,5,0),1,0)*Table_NFI[[#This Row],[Tarpaulin]],Table_NFI[[#This Row],[Tarpaulin]])</f>
        <v>0</v>
      </c>
      <c r="AD559" s="378">
        <f>IF(NFI_Expiration=1,IF($A559&lt;VLOOKUP(M$5,NFI,5,0),1,0)*Table_NFI[[#This Row],[Blanket]],Table_NFI[[#This Row],[Blanket]])</f>
        <v>0</v>
      </c>
      <c r="AE559" s="378">
        <f>IF(NFI_Expiration=1,IF($A559&lt;VLOOKUP(N$5,NFI,5,0),1,0)*Table_NFI[[#This Row],[Kitchen Set]],Table_NFI[Kitchen Set])</f>
        <v>0</v>
      </c>
      <c r="AF559" s="378">
        <f>IF(NFI_Expiration=1,IF($A559&lt;VLOOKUP(O$5,NFI,5,0),1,0)*Table_NFI[[#This Row],[Clothes Kit]],Table_NFI[Clothes Kit])</f>
        <v>0</v>
      </c>
      <c r="AG559" s="378">
        <f>IF(NFI_Expiration=1,IF($A559&lt;VLOOKUP(P$5,NFI,5,0),1,0)*Table_NFI[[#This Row],[Plastic Bucket]],Table_NFI[Plastic Bucket])</f>
        <v>0</v>
      </c>
      <c r="AH559" s="378">
        <f>IF(NFI_Expiration=1,IF($A559&lt;VLOOKUP(Q$5,NFI,5,0),1,0)*Table_NFI[[#This Row],[Plastic Mat]],Table_NFI[Plastic Mat])*IF(Table_NFI[[#This Row],[Distribution Date]]&gt;"2014-04-01",1,2.5)</f>
        <v>0</v>
      </c>
      <c r="AI559" s="378">
        <f>IF(NFI_Expiration=1,IF($A559&lt;VLOOKUP(R$5,NFI,5,0),1,0)*Table_NFI[[#This Row],[Winter Clothes Adult]],Table_NFI[Winter Clothes Adult])</f>
        <v>0</v>
      </c>
      <c r="AJ559" s="378">
        <f>IF(NFI_Expiration=1,IF($A559&lt;VLOOKUP(S$5,NFI,5,0),1,0)*Table_NFI[[#This Row],[Winter Clothes Children]],Table_NFI[Winter Clothes Children])</f>
        <v>0</v>
      </c>
      <c r="AK559" s="378">
        <f>IF(NFI_Expiration=1,IF($A559&lt;VLOOKUP(T$5,NFI,5,0),1,0)*Table_NFI[[#This Row],[Winter Items Other]],Table_NFI[Winter Items Other])</f>
        <v>0</v>
      </c>
      <c r="AL559" s="378">
        <f>IF(NFI_Expiration=1,IF($A559&lt;VLOOKUP(M$5,NFI,5,0),1,0)*Table_NFI[[#This Row],[Winter Blanket]],Table_NFI[[#This Row],[Winter Blanket]])</f>
        <v>0</v>
      </c>
      <c r="AM559" s="378">
        <f>IF(Table_NFI[[#This Row],[Winter Clothes Adult]]+Table_NFI[[#This Row],[Winter Clothes Children]]+Table_NFI[[#This Row],[Winter Items Other]]+Table_NFI[[#This Row],[Winter Blanket]]&gt;0,1,0)</f>
        <v>0</v>
      </c>
      <c r="AN559" s="418">
        <f>IF(NFI_Expiration=1,IF($A559&lt;VLOOKUP(V$5,NFI,5,0),1,0)*Table_NFI[[#This Row],[Jerry Can]],Table_NFI[Jerry Can])</f>
        <v>0</v>
      </c>
      <c r="AO559" s="579" t="str">
        <f>IFERROR(VLOOKUP(Table_NFI[[#This Row],[Camp Name]],CL,2,0),"")</f>
        <v>MMR015CMP214</v>
      </c>
      <c r="AP559" s="574">
        <f ca="1">IF(Table_NFI[[#This Row],[Pcode]]="","",IF(OFFSET(CampList[Opening Date],MATCH(Table_NFI[[#This Row],[Pcode]],CampList[CP_Pcode],0)-1,0,1,1)&gt;=NFI_Monitor_Date,1,0))</f>
        <v>1</v>
      </c>
      <c r="AQ559" s="579" t="str">
        <f>IFERROR(VLOOKUP(Table_NFI[[#This Row],[Camp Name]],CL,3,0),"")</f>
        <v>Open</v>
      </c>
      <c r="AR559" s="378" t="str">
        <f ca="1">IF(Table_NFI[[#This Row],[Pcode]]="","",OFFSET(CampList[Priority],MATCH(Table_NFI[[#This Row],[Pcode]],CampList[CP_Pcode],0)-1,0,1,1))</f>
        <v>P4</v>
      </c>
      <c r="AS559" s="377">
        <f>IFERROR(Table_NFI[[#This Row],[Kitchen Set]]/VLOOKUP(Table_NFI[[#This Row],[Camp Name]],CL,4,0),"")</f>
        <v>1.3243243243243243</v>
      </c>
      <c r="AT559" s="572"/>
      <c r="AU559" s="575"/>
    </row>
    <row r="560" spans="1:47" s="130" customFormat="1" x14ac:dyDescent="0.25">
      <c r="A560" s="381">
        <f t="shared" si="8"/>
        <v>34.1</v>
      </c>
      <c r="B560" s="571">
        <v>41499</v>
      </c>
      <c r="C560" s="572" t="s">
        <v>454</v>
      </c>
      <c r="D560" s="572" t="s">
        <v>508</v>
      </c>
      <c r="E560" s="572" t="s">
        <v>555</v>
      </c>
      <c r="F560" s="374" t="s">
        <v>289</v>
      </c>
      <c r="G560" s="374" t="s">
        <v>374</v>
      </c>
      <c r="H560" s="375"/>
      <c r="I560" s="375"/>
      <c r="J560" s="375">
        <v>36</v>
      </c>
      <c r="K560" s="375">
        <v>72</v>
      </c>
      <c r="L560" s="376">
        <v>33</v>
      </c>
      <c r="M560" s="376">
        <v>72</v>
      </c>
      <c r="N560" s="376">
        <v>33</v>
      </c>
      <c r="O560" s="376">
        <v>33</v>
      </c>
      <c r="P560" s="378">
        <v>33</v>
      </c>
      <c r="Q560" s="378">
        <v>33</v>
      </c>
      <c r="R560" s="378"/>
      <c r="S560" s="378"/>
      <c r="T560" s="378"/>
      <c r="U560" s="378"/>
      <c r="V560" s="533"/>
      <c r="W560" s="378"/>
      <c r="X560" s="378"/>
      <c r="Y560" s="378">
        <f>IF(NFI_Expiration=1,IF($A560&lt;VLOOKUP(H$5,NFI,5,0),1,0)*Table_NFI[[#This Row],[Hygiene Kit]],Table_NFI[Hygiene Kit])</f>
        <v>0</v>
      </c>
      <c r="Z560" s="378">
        <f>IF(NFI_Expiration=1,IF($A560&lt;VLOOKUP(I$5,NFI,5,0),1,0)*Table_NFI[[#This Row],[NFI Core Kit]],Table_NFI[NFI Core Kit])</f>
        <v>0</v>
      </c>
      <c r="AA560" s="378">
        <f>IF(NFI_Expiration=1,IF($A560&lt;VLOOKUP(J$5,NFI,5,0),1,0)*Table_NFI[[#This Row],[Sanitary Kit]],Table_NFI[Sanitary Kit])</f>
        <v>0</v>
      </c>
      <c r="AB560" s="378">
        <f>IF(NFI_Expiration=1,IF($A560&lt;VLOOKUP(K$5,NFI,5,0),1,0)*Table_NFI[[#This Row],[Mosquito net]],Table_NFI[Mosquito net])</f>
        <v>0</v>
      </c>
      <c r="AC560" s="378">
        <f>IF(NFI_Expiration=1,IF($A560&lt;VLOOKUP(L$5,NFI,5,0),1,0)*Table_NFI[[#This Row],[Tarpaulin]],Table_NFI[[#This Row],[Tarpaulin]])</f>
        <v>0</v>
      </c>
      <c r="AD560" s="378">
        <f>IF(NFI_Expiration=1,IF($A560&lt;VLOOKUP(M$5,NFI,5,0),1,0)*Table_NFI[[#This Row],[Blanket]],Table_NFI[[#This Row],[Blanket]])</f>
        <v>0</v>
      </c>
      <c r="AE560" s="378">
        <f>IF(NFI_Expiration=1,IF($A560&lt;VLOOKUP(N$5,NFI,5,0),1,0)*Table_NFI[[#This Row],[Kitchen Set]],Table_NFI[Kitchen Set])</f>
        <v>0</v>
      </c>
      <c r="AF560" s="378">
        <f>IF(NFI_Expiration=1,IF($A560&lt;VLOOKUP(O$5,NFI,5,0),1,0)*Table_NFI[[#This Row],[Clothes Kit]],Table_NFI[Clothes Kit])</f>
        <v>0</v>
      </c>
      <c r="AG560" s="378">
        <f>IF(NFI_Expiration=1,IF($A560&lt;VLOOKUP(P$5,NFI,5,0),1,0)*Table_NFI[[#This Row],[Plastic Bucket]],Table_NFI[Plastic Bucket])</f>
        <v>0</v>
      </c>
      <c r="AH560" s="378">
        <f>IF(NFI_Expiration=1,IF($A560&lt;VLOOKUP(Q$5,NFI,5,0),1,0)*Table_NFI[[#This Row],[Plastic Mat]],Table_NFI[Plastic Mat])*IF(Table_NFI[[#This Row],[Distribution Date]]&gt;"2014-04-01",1,2.5)</f>
        <v>0</v>
      </c>
      <c r="AI560" s="378">
        <f>IF(NFI_Expiration=1,IF($A560&lt;VLOOKUP(R$5,NFI,5,0),1,0)*Table_NFI[[#This Row],[Winter Clothes Adult]],Table_NFI[Winter Clothes Adult])</f>
        <v>0</v>
      </c>
      <c r="AJ560" s="378">
        <f>IF(NFI_Expiration=1,IF($A560&lt;VLOOKUP(S$5,NFI,5,0),1,0)*Table_NFI[[#This Row],[Winter Clothes Children]],Table_NFI[Winter Clothes Children])</f>
        <v>0</v>
      </c>
      <c r="AK560" s="378">
        <f>IF(NFI_Expiration=1,IF($A560&lt;VLOOKUP(T$5,NFI,5,0),1,0)*Table_NFI[[#This Row],[Winter Items Other]],Table_NFI[Winter Items Other])</f>
        <v>0</v>
      </c>
      <c r="AL560" s="378">
        <f>IF(NFI_Expiration=1,IF($A560&lt;VLOOKUP(M$5,NFI,5,0),1,0)*Table_NFI[[#This Row],[Winter Blanket]],Table_NFI[[#This Row],[Winter Blanket]])</f>
        <v>0</v>
      </c>
      <c r="AM560" s="378">
        <f>IF(Table_NFI[[#This Row],[Winter Clothes Adult]]+Table_NFI[[#This Row],[Winter Clothes Children]]+Table_NFI[[#This Row],[Winter Items Other]]+Table_NFI[[#This Row],[Winter Blanket]]&gt;0,1,0)</f>
        <v>0</v>
      </c>
      <c r="AN560" s="418">
        <f>IF(NFI_Expiration=1,IF($A560&lt;VLOOKUP(V$5,NFI,5,0),1,0)*Table_NFI[[#This Row],[Jerry Can]],Table_NFI[Jerry Can])</f>
        <v>0</v>
      </c>
      <c r="AO560" s="579" t="str">
        <f>IFERROR(VLOOKUP(Table_NFI[[#This Row],[Camp Name]],CL,2,0),"")</f>
        <v>MMR015CMP003</v>
      </c>
      <c r="AP560" s="574">
        <f ca="1">IF(Table_NFI[[#This Row],[Pcode]]="","",IF(OFFSET(CampList[Opening Date],MATCH(Table_NFI[[#This Row],[Pcode]],CampList[CP_Pcode],0)-1,0,1,1)&gt;=NFI_Monitor_Date,1,0))</f>
        <v>0</v>
      </c>
      <c r="AQ560" s="579" t="str">
        <f>IFERROR(VLOOKUP(Table_NFI[[#This Row],[Camp Name]],CL,3,0),"")</f>
        <v>Open</v>
      </c>
      <c r="AR560" s="378" t="str">
        <f ca="1">IF(Table_NFI[[#This Row],[Pcode]]="","",OFFSET(CampList[Priority],MATCH(Table_NFI[[#This Row],[Pcode]],CampList[CP_Pcode],0)-1,0,1,1))</f>
        <v>P3</v>
      </c>
      <c r="AS560" s="377">
        <f>IFERROR(Table_NFI[[#This Row],[Kitchen Set]]/VLOOKUP(Table_NFI[[#This Row],[Camp Name]],CL,4,0),"")</f>
        <v>0.6875</v>
      </c>
      <c r="AT560" s="572" t="s">
        <v>1095</v>
      </c>
      <c r="AU560" s="575"/>
    </row>
    <row r="561" spans="1:47" x14ac:dyDescent="0.25">
      <c r="A561" s="381">
        <f t="shared" si="8"/>
        <v>34.1</v>
      </c>
      <c r="B561" s="571">
        <v>41499</v>
      </c>
      <c r="C561" s="572" t="s">
        <v>454</v>
      </c>
      <c r="D561" s="572" t="s">
        <v>508</v>
      </c>
      <c r="E561" s="572" t="s">
        <v>555</v>
      </c>
      <c r="F561" s="374" t="s">
        <v>289</v>
      </c>
      <c r="G561" s="374" t="s">
        <v>375</v>
      </c>
      <c r="H561" s="375"/>
      <c r="I561" s="375"/>
      <c r="J561" s="375">
        <v>40</v>
      </c>
      <c r="K561" s="375">
        <v>83</v>
      </c>
      <c r="L561" s="376">
        <v>33</v>
      </c>
      <c r="M561" s="376">
        <v>83</v>
      </c>
      <c r="N561" s="376">
        <v>33</v>
      </c>
      <c r="O561" s="376">
        <v>33</v>
      </c>
      <c r="P561" s="378">
        <v>33</v>
      </c>
      <c r="Q561" s="378">
        <v>33</v>
      </c>
      <c r="R561" s="378"/>
      <c r="S561" s="378"/>
      <c r="T561" s="378"/>
      <c r="U561" s="378"/>
      <c r="V561" s="533"/>
      <c r="W561" s="378"/>
      <c r="X561" s="378"/>
      <c r="Y561" s="378">
        <f>IF(NFI_Expiration=1,IF($A561&lt;VLOOKUP(H$5,NFI,5,0),1,0)*Table_NFI[[#This Row],[Hygiene Kit]],Table_NFI[Hygiene Kit])</f>
        <v>0</v>
      </c>
      <c r="Z561" s="378">
        <f>IF(NFI_Expiration=1,IF($A561&lt;VLOOKUP(I$5,NFI,5,0),1,0)*Table_NFI[[#This Row],[NFI Core Kit]],Table_NFI[NFI Core Kit])</f>
        <v>0</v>
      </c>
      <c r="AA561" s="378">
        <f>IF(NFI_Expiration=1,IF($A561&lt;VLOOKUP(J$5,NFI,5,0),1,0)*Table_NFI[[#This Row],[Sanitary Kit]],Table_NFI[Sanitary Kit])</f>
        <v>0</v>
      </c>
      <c r="AB561" s="378">
        <f>IF(NFI_Expiration=1,IF($A561&lt;VLOOKUP(K$5,NFI,5,0),1,0)*Table_NFI[[#This Row],[Mosquito net]],Table_NFI[Mosquito net])</f>
        <v>0</v>
      </c>
      <c r="AC561" s="378">
        <f>IF(NFI_Expiration=1,IF($A561&lt;VLOOKUP(L$5,NFI,5,0),1,0)*Table_NFI[[#This Row],[Tarpaulin]],Table_NFI[[#This Row],[Tarpaulin]])</f>
        <v>0</v>
      </c>
      <c r="AD561" s="378">
        <f>IF(NFI_Expiration=1,IF($A561&lt;VLOOKUP(M$5,NFI,5,0),1,0)*Table_NFI[[#This Row],[Blanket]],Table_NFI[[#This Row],[Blanket]])</f>
        <v>0</v>
      </c>
      <c r="AE561" s="378">
        <f>IF(NFI_Expiration=1,IF($A561&lt;VLOOKUP(N$5,NFI,5,0),1,0)*Table_NFI[[#This Row],[Kitchen Set]],Table_NFI[Kitchen Set])</f>
        <v>0</v>
      </c>
      <c r="AF561" s="378">
        <f>IF(NFI_Expiration=1,IF($A561&lt;VLOOKUP(O$5,NFI,5,0),1,0)*Table_NFI[[#This Row],[Clothes Kit]],Table_NFI[Clothes Kit])</f>
        <v>0</v>
      </c>
      <c r="AG561" s="378">
        <f>IF(NFI_Expiration=1,IF($A561&lt;VLOOKUP(P$5,NFI,5,0),1,0)*Table_NFI[[#This Row],[Plastic Bucket]],Table_NFI[Plastic Bucket])</f>
        <v>0</v>
      </c>
      <c r="AH561" s="378">
        <f>IF(NFI_Expiration=1,IF($A561&lt;VLOOKUP(Q$5,NFI,5,0),1,0)*Table_NFI[[#This Row],[Plastic Mat]],Table_NFI[Plastic Mat])*IF(Table_NFI[[#This Row],[Distribution Date]]&gt;"2014-04-01",1,2.5)</f>
        <v>0</v>
      </c>
      <c r="AI561" s="378">
        <f>IF(NFI_Expiration=1,IF($A561&lt;VLOOKUP(R$5,NFI,5,0),1,0)*Table_NFI[[#This Row],[Winter Clothes Adult]],Table_NFI[Winter Clothes Adult])</f>
        <v>0</v>
      </c>
      <c r="AJ561" s="378">
        <f>IF(NFI_Expiration=1,IF($A561&lt;VLOOKUP(S$5,NFI,5,0),1,0)*Table_NFI[[#This Row],[Winter Clothes Children]],Table_NFI[Winter Clothes Children])</f>
        <v>0</v>
      </c>
      <c r="AK561" s="378">
        <f>IF(NFI_Expiration=1,IF($A561&lt;VLOOKUP(T$5,NFI,5,0),1,0)*Table_NFI[[#This Row],[Winter Items Other]],Table_NFI[Winter Items Other])</f>
        <v>0</v>
      </c>
      <c r="AL561" s="378">
        <f>IF(NFI_Expiration=1,IF($A561&lt;VLOOKUP(M$5,NFI,5,0),1,0)*Table_NFI[[#This Row],[Winter Blanket]],Table_NFI[[#This Row],[Winter Blanket]])</f>
        <v>0</v>
      </c>
      <c r="AM561" s="378">
        <f>IF(Table_NFI[[#This Row],[Winter Clothes Adult]]+Table_NFI[[#This Row],[Winter Clothes Children]]+Table_NFI[[#This Row],[Winter Items Other]]+Table_NFI[[#This Row],[Winter Blanket]]&gt;0,1,0)</f>
        <v>0</v>
      </c>
      <c r="AN561" s="418">
        <f>IF(NFI_Expiration=1,IF($A561&lt;VLOOKUP(V$5,NFI,5,0),1,0)*Table_NFI[[#This Row],[Jerry Can]],Table_NFI[Jerry Can])</f>
        <v>0</v>
      </c>
      <c r="AO561" s="579" t="str">
        <f>IFERROR(VLOOKUP(Table_NFI[[#This Row],[Camp Name]],CL,2,0),"")</f>
        <v>MMR015CMP024</v>
      </c>
      <c r="AP561" s="574">
        <f ca="1">IF(Table_NFI[[#This Row],[Pcode]]="","",IF(OFFSET(CampList[Opening Date],MATCH(Table_NFI[[#This Row],[Pcode]],CampList[CP_Pcode],0)-1,0,1,1)&gt;=NFI_Monitor_Date,1,0))</f>
        <v>0</v>
      </c>
      <c r="AQ561" s="579" t="str">
        <f>IFERROR(VLOOKUP(Table_NFI[[#This Row],[Camp Name]],CL,3,0),"")</f>
        <v>Closed</v>
      </c>
      <c r="AR561" s="378" t="str">
        <f ca="1">IF(Table_NFI[[#This Row],[Pcode]]="","",OFFSET(CampList[Priority],MATCH(Table_NFI[[#This Row],[Pcode]],CampList[CP_Pcode],0)-1,0,1,1))</f>
        <v/>
      </c>
      <c r="AS561" s="377" t="str">
        <f>IFERROR(Table_NFI[[#This Row],[Kitchen Set]]/VLOOKUP(Table_NFI[[#This Row],[Camp Name]],CL,4,0),"")</f>
        <v/>
      </c>
      <c r="AT561" s="572" t="s">
        <v>1095</v>
      </c>
      <c r="AU561" s="575"/>
    </row>
    <row r="562" spans="1:47" x14ac:dyDescent="0.25">
      <c r="A562" s="381">
        <f t="shared" si="8"/>
        <v>39.966666666666669</v>
      </c>
      <c r="B562" s="571">
        <v>41323</v>
      </c>
      <c r="C562" s="572" t="s">
        <v>454</v>
      </c>
      <c r="D562" s="573" t="s">
        <v>462</v>
      </c>
      <c r="E562" s="572" t="s">
        <v>555</v>
      </c>
      <c r="F562" s="374" t="s">
        <v>289</v>
      </c>
      <c r="G562" s="374" t="s">
        <v>361</v>
      </c>
      <c r="H562" s="375"/>
      <c r="I562" s="375"/>
      <c r="J562" s="375">
        <v>16</v>
      </c>
      <c r="K562" s="375">
        <v>16</v>
      </c>
      <c r="L562" s="376">
        <v>8</v>
      </c>
      <c r="M562" s="376">
        <v>16</v>
      </c>
      <c r="N562" s="376">
        <v>8</v>
      </c>
      <c r="O562" s="376">
        <v>8</v>
      </c>
      <c r="P562" s="378">
        <v>8</v>
      </c>
      <c r="Q562" s="378">
        <v>8</v>
      </c>
      <c r="R562" s="378"/>
      <c r="S562" s="378"/>
      <c r="T562" s="378"/>
      <c r="U562" s="378"/>
      <c r="V562" s="533"/>
      <c r="W562" s="378"/>
      <c r="X562" s="378"/>
      <c r="Y562" s="378">
        <f>IF(NFI_Expiration=1,IF($A562&lt;VLOOKUP(H$5,NFI,5,0),1,0)*Table_NFI[[#This Row],[Hygiene Kit]],Table_NFI[Hygiene Kit])</f>
        <v>0</v>
      </c>
      <c r="Z562" s="378">
        <f>IF(NFI_Expiration=1,IF($A562&lt;VLOOKUP(I$5,NFI,5,0),1,0)*Table_NFI[[#This Row],[NFI Core Kit]],Table_NFI[NFI Core Kit])</f>
        <v>0</v>
      </c>
      <c r="AA562" s="378">
        <f>IF(NFI_Expiration=1,IF($A562&lt;VLOOKUP(J$5,NFI,5,0),1,0)*Table_NFI[[#This Row],[Sanitary Kit]],Table_NFI[Sanitary Kit])</f>
        <v>0</v>
      </c>
      <c r="AB562" s="378">
        <f>IF(NFI_Expiration=1,IF($A562&lt;VLOOKUP(K$5,NFI,5,0),1,0)*Table_NFI[[#This Row],[Mosquito net]],Table_NFI[Mosquito net])</f>
        <v>0</v>
      </c>
      <c r="AC562" s="378">
        <f>IF(NFI_Expiration=1,IF($A562&lt;VLOOKUP(L$5,NFI,5,0),1,0)*Table_NFI[[#This Row],[Tarpaulin]],Table_NFI[[#This Row],[Tarpaulin]])</f>
        <v>0</v>
      </c>
      <c r="AD562" s="378">
        <f>IF(NFI_Expiration=1,IF($A562&lt;VLOOKUP(M$5,NFI,5,0),1,0)*Table_NFI[[#This Row],[Blanket]],Table_NFI[[#This Row],[Blanket]])</f>
        <v>0</v>
      </c>
      <c r="AE562" s="378">
        <f>IF(NFI_Expiration=1,IF($A562&lt;VLOOKUP(N$5,NFI,5,0),1,0)*Table_NFI[[#This Row],[Kitchen Set]],Table_NFI[Kitchen Set])</f>
        <v>0</v>
      </c>
      <c r="AF562" s="378">
        <f>IF(NFI_Expiration=1,IF($A562&lt;VLOOKUP(O$5,NFI,5,0),1,0)*Table_NFI[[#This Row],[Clothes Kit]],Table_NFI[Clothes Kit])</f>
        <v>0</v>
      </c>
      <c r="AG562" s="378">
        <f>IF(NFI_Expiration=1,IF($A562&lt;VLOOKUP(P$5,NFI,5,0),1,0)*Table_NFI[[#This Row],[Plastic Bucket]],Table_NFI[Plastic Bucket])</f>
        <v>0</v>
      </c>
      <c r="AH562" s="378">
        <f>IF(NFI_Expiration=1,IF($A562&lt;VLOOKUP(Q$5,NFI,5,0),1,0)*Table_NFI[[#This Row],[Plastic Mat]],Table_NFI[Plastic Mat])*IF(Table_NFI[[#This Row],[Distribution Date]]&gt;"2014-04-01",1,2.5)</f>
        <v>0</v>
      </c>
      <c r="AI562" s="378">
        <f>IF(NFI_Expiration=1,IF($A562&lt;VLOOKUP(R$5,NFI,5,0),1,0)*Table_NFI[[#This Row],[Winter Clothes Adult]],Table_NFI[Winter Clothes Adult])</f>
        <v>0</v>
      </c>
      <c r="AJ562" s="378">
        <f>IF(NFI_Expiration=1,IF($A562&lt;VLOOKUP(S$5,NFI,5,0),1,0)*Table_NFI[[#This Row],[Winter Clothes Children]],Table_NFI[Winter Clothes Children])</f>
        <v>0</v>
      </c>
      <c r="AK562" s="378">
        <f>IF(NFI_Expiration=1,IF($A562&lt;VLOOKUP(T$5,NFI,5,0),1,0)*Table_NFI[[#This Row],[Winter Items Other]],Table_NFI[Winter Items Other])</f>
        <v>0</v>
      </c>
      <c r="AL562" s="378">
        <f>IF(NFI_Expiration=1,IF($A562&lt;VLOOKUP(M$5,NFI,5,0),1,0)*Table_NFI[[#This Row],[Winter Blanket]],Table_NFI[[#This Row],[Winter Blanket]])</f>
        <v>0</v>
      </c>
      <c r="AM562" s="378">
        <f>IF(Table_NFI[[#This Row],[Winter Clothes Adult]]+Table_NFI[[#This Row],[Winter Clothes Children]]+Table_NFI[[#This Row],[Winter Items Other]]+Table_NFI[[#This Row],[Winter Blanket]]&gt;0,1,0)</f>
        <v>0</v>
      </c>
      <c r="AN562" s="418">
        <f>IF(NFI_Expiration=1,IF($A562&lt;VLOOKUP(V$5,NFI,5,0),1,0)*Table_NFI[[#This Row],[Jerry Can]],Table_NFI[Jerry Can])</f>
        <v>0</v>
      </c>
      <c r="AO562" s="579" t="str">
        <f>IFERROR(VLOOKUP(Table_NFI[[#This Row],[Camp Name]],CL,2,0),"")</f>
        <v>MMR015CMP139</v>
      </c>
      <c r="AP562" s="574">
        <f ca="1">IF(Table_NFI[[#This Row],[Pcode]]="","",IF(OFFSET(CampList[Opening Date],MATCH(Table_NFI[[#This Row],[Pcode]],CampList[CP_Pcode],0)-1,0,1,1)&gt;=NFI_Monitor_Date,1,0))</f>
        <v>0</v>
      </c>
      <c r="AQ562" s="579" t="str">
        <f>IFERROR(VLOOKUP(Table_NFI[[#This Row],[Camp Name]],CL,3,0),"")</f>
        <v>Closed</v>
      </c>
      <c r="AR562" s="378" t="str">
        <f ca="1">IF(Table_NFI[[#This Row],[Pcode]]="","",OFFSET(CampList[Priority],MATCH(Table_NFI[[#This Row],[Pcode]],CampList[CP_Pcode],0)-1,0,1,1))</f>
        <v>P2</v>
      </c>
      <c r="AS562" s="377" t="str">
        <f>IFERROR(Table_NFI[[#This Row],[Kitchen Set]]/VLOOKUP(Table_NFI[[#This Row],[Camp Name]],CL,4,0),"")</f>
        <v/>
      </c>
      <c r="AT562" s="572" t="s">
        <v>1095</v>
      </c>
      <c r="AU562" s="575"/>
    </row>
    <row r="563" spans="1:47" x14ac:dyDescent="0.25">
      <c r="A563" s="381">
        <f t="shared" si="8"/>
        <v>39.966666666666669</v>
      </c>
      <c r="B563" s="571">
        <v>41323</v>
      </c>
      <c r="C563" s="572" t="s">
        <v>454</v>
      </c>
      <c r="D563" s="573" t="s">
        <v>462</v>
      </c>
      <c r="E563" s="572" t="s">
        <v>555</v>
      </c>
      <c r="F563" s="374" t="s">
        <v>146</v>
      </c>
      <c r="G563" s="374" t="s">
        <v>149</v>
      </c>
      <c r="H563" s="375"/>
      <c r="I563" s="375"/>
      <c r="J563" s="375">
        <v>86</v>
      </c>
      <c r="K563" s="375">
        <v>86</v>
      </c>
      <c r="L563" s="376">
        <v>43</v>
      </c>
      <c r="M563" s="376">
        <v>86</v>
      </c>
      <c r="N563" s="376">
        <v>43</v>
      </c>
      <c r="O563" s="376">
        <v>43</v>
      </c>
      <c r="P563" s="378">
        <v>43</v>
      </c>
      <c r="Q563" s="378">
        <v>43</v>
      </c>
      <c r="R563" s="378"/>
      <c r="S563" s="378"/>
      <c r="T563" s="378"/>
      <c r="U563" s="378"/>
      <c r="V563" s="533"/>
      <c r="W563" s="378"/>
      <c r="X563" s="378"/>
      <c r="Y563" s="378">
        <f>IF(NFI_Expiration=1,IF($A563&lt;VLOOKUP(H$5,NFI,5,0),1,0)*Table_NFI[[#This Row],[Hygiene Kit]],Table_NFI[Hygiene Kit])</f>
        <v>0</v>
      </c>
      <c r="Z563" s="378">
        <f>IF(NFI_Expiration=1,IF($A563&lt;VLOOKUP(I$5,NFI,5,0),1,0)*Table_NFI[[#This Row],[NFI Core Kit]],Table_NFI[NFI Core Kit])</f>
        <v>0</v>
      </c>
      <c r="AA563" s="378">
        <f>IF(NFI_Expiration=1,IF($A563&lt;VLOOKUP(J$5,NFI,5,0),1,0)*Table_NFI[[#This Row],[Sanitary Kit]],Table_NFI[Sanitary Kit])</f>
        <v>0</v>
      </c>
      <c r="AB563" s="378">
        <f>IF(NFI_Expiration=1,IF($A563&lt;VLOOKUP(K$5,NFI,5,0),1,0)*Table_NFI[[#This Row],[Mosquito net]],Table_NFI[Mosquito net])</f>
        <v>0</v>
      </c>
      <c r="AC563" s="378">
        <f>IF(NFI_Expiration=1,IF($A563&lt;VLOOKUP(L$5,NFI,5,0),1,0)*Table_NFI[[#This Row],[Tarpaulin]],Table_NFI[[#This Row],[Tarpaulin]])</f>
        <v>0</v>
      </c>
      <c r="AD563" s="378">
        <f>IF(NFI_Expiration=1,IF($A563&lt;VLOOKUP(M$5,NFI,5,0),1,0)*Table_NFI[[#This Row],[Blanket]],Table_NFI[[#This Row],[Blanket]])</f>
        <v>0</v>
      </c>
      <c r="AE563" s="378">
        <f>IF(NFI_Expiration=1,IF($A563&lt;VLOOKUP(N$5,NFI,5,0),1,0)*Table_NFI[[#This Row],[Kitchen Set]],Table_NFI[Kitchen Set])</f>
        <v>0</v>
      </c>
      <c r="AF563" s="378">
        <f>IF(NFI_Expiration=1,IF($A563&lt;VLOOKUP(O$5,NFI,5,0),1,0)*Table_NFI[[#This Row],[Clothes Kit]],Table_NFI[Clothes Kit])</f>
        <v>0</v>
      </c>
      <c r="AG563" s="378">
        <f>IF(NFI_Expiration=1,IF($A563&lt;VLOOKUP(P$5,NFI,5,0),1,0)*Table_NFI[[#This Row],[Plastic Bucket]],Table_NFI[Plastic Bucket])</f>
        <v>0</v>
      </c>
      <c r="AH563" s="378">
        <f>IF(NFI_Expiration=1,IF($A563&lt;VLOOKUP(Q$5,NFI,5,0),1,0)*Table_NFI[[#This Row],[Plastic Mat]],Table_NFI[Plastic Mat])*IF(Table_NFI[[#This Row],[Distribution Date]]&gt;"2014-04-01",1,2.5)</f>
        <v>0</v>
      </c>
      <c r="AI563" s="378">
        <f>IF(NFI_Expiration=1,IF($A563&lt;VLOOKUP(R$5,NFI,5,0),1,0)*Table_NFI[[#This Row],[Winter Clothes Adult]],Table_NFI[Winter Clothes Adult])</f>
        <v>0</v>
      </c>
      <c r="AJ563" s="378">
        <f>IF(NFI_Expiration=1,IF($A563&lt;VLOOKUP(S$5,NFI,5,0),1,0)*Table_NFI[[#This Row],[Winter Clothes Children]],Table_NFI[Winter Clothes Children])</f>
        <v>0</v>
      </c>
      <c r="AK563" s="378">
        <f>IF(NFI_Expiration=1,IF($A563&lt;VLOOKUP(T$5,NFI,5,0),1,0)*Table_NFI[[#This Row],[Winter Items Other]],Table_NFI[Winter Items Other])</f>
        <v>0</v>
      </c>
      <c r="AL563" s="378">
        <f>IF(NFI_Expiration=1,IF($A563&lt;VLOOKUP(M$5,NFI,5,0),1,0)*Table_NFI[[#This Row],[Winter Blanket]],Table_NFI[[#This Row],[Winter Blanket]])</f>
        <v>0</v>
      </c>
      <c r="AM563" s="378">
        <f>IF(Table_NFI[[#This Row],[Winter Clothes Adult]]+Table_NFI[[#This Row],[Winter Clothes Children]]+Table_NFI[[#This Row],[Winter Items Other]]+Table_NFI[[#This Row],[Winter Blanket]]&gt;0,1,0)</f>
        <v>0</v>
      </c>
      <c r="AN563" s="418">
        <f>IF(NFI_Expiration=1,IF($A563&lt;VLOOKUP(V$5,NFI,5,0),1,0)*Table_NFI[[#This Row],[Jerry Can]],Table_NFI[Jerry Can])</f>
        <v>0</v>
      </c>
      <c r="AO563" s="579" t="str">
        <f>IFERROR(VLOOKUP(Table_NFI[[#This Row],[Camp Name]],CL,2,0),"")</f>
        <v>MMR015CMP007</v>
      </c>
      <c r="AP563" s="574">
        <f ca="1">IF(Table_NFI[[#This Row],[Pcode]]="","",IF(OFFSET(CampList[Opening Date],MATCH(Table_NFI[[#This Row],[Pcode]],CampList[CP_Pcode],0)-1,0,1,1)&gt;=NFI_Monitor_Date,1,0))</f>
        <v>0</v>
      </c>
      <c r="AQ563" s="579" t="str">
        <f>IFERROR(VLOOKUP(Table_NFI[[#This Row],[Camp Name]],CL,3,0),"")</f>
        <v>Open</v>
      </c>
      <c r="AR563" s="378" t="str">
        <f ca="1">IF(Table_NFI[[#This Row],[Pcode]]="","",OFFSET(CampList[Priority],MATCH(Table_NFI[[#This Row],[Pcode]],CampList[CP_Pcode],0)-1,0,1,1))</f>
        <v>P3</v>
      </c>
      <c r="AS563" s="377">
        <f>IFERROR(Table_NFI[[#This Row],[Kitchen Set]]/VLOOKUP(Table_NFI[[#This Row],[Camp Name]],CL,4,0),"")</f>
        <v>0.69354838709677424</v>
      </c>
      <c r="AT563" s="572" t="s">
        <v>1095</v>
      </c>
      <c r="AU563" s="575"/>
    </row>
    <row r="564" spans="1:47" x14ac:dyDescent="0.25">
      <c r="A564" s="381">
        <f t="shared" si="8"/>
        <v>15.133333333333333</v>
      </c>
      <c r="B564" s="571">
        <v>42068</v>
      </c>
      <c r="C564" s="572" t="s">
        <v>454</v>
      </c>
      <c r="D564" s="572" t="s">
        <v>1266</v>
      </c>
      <c r="E564" s="572" t="s">
        <v>555</v>
      </c>
      <c r="F564" s="572" t="s">
        <v>781</v>
      </c>
      <c r="G564" s="572" t="s">
        <v>1360</v>
      </c>
      <c r="H564" s="375"/>
      <c r="I564" s="375">
        <v>43</v>
      </c>
      <c r="J564" s="378">
        <v>43</v>
      </c>
      <c r="K564" s="378">
        <v>85</v>
      </c>
      <c r="L564" s="376">
        <v>43</v>
      </c>
      <c r="M564" s="376">
        <v>95</v>
      </c>
      <c r="N564" s="376">
        <v>43</v>
      </c>
      <c r="O564" s="376">
        <v>43</v>
      </c>
      <c r="P564" s="378">
        <v>43</v>
      </c>
      <c r="Q564" s="378">
        <v>95</v>
      </c>
      <c r="R564" s="378"/>
      <c r="S564" s="378"/>
      <c r="T564" s="378"/>
      <c r="U564" s="378"/>
      <c r="V564" s="533">
        <v>43</v>
      </c>
      <c r="W564" s="378"/>
      <c r="X564" s="378"/>
      <c r="Y564" s="378">
        <f>IF(NFI_Expiration=1,IF($A564&lt;VLOOKUP(H$5,NFI,5,0),1,0)*Table_NFI[[#This Row],[Hygiene Kit]],Table_NFI[Hygiene Kit])</f>
        <v>0</v>
      </c>
      <c r="Z564" s="378">
        <f>IF(NFI_Expiration=1,IF($A564&lt;VLOOKUP(I$5,NFI,5,0),1,0)*Table_NFI[[#This Row],[NFI Core Kit]],Table_NFI[NFI Core Kit])</f>
        <v>0</v>
      </c>
      <c r="AA564" s="378">
        <f>IF(NFI_Expiration=1,IF($A564&lt;VLOOKUP(J$5,NFI,5,0),1,0)*Table_NFI[[#This Row],[Sanitary Kit]],Table_NFI[Sanitary Kit])</f>
        <v>0</v>
      </c>
      <c r="AB564" s="378">
        <f>IF(NFI_Expiration=1,IF($A564&lt;VLOOKUP(K$5,NFI,5,0),1,0)*Table_NFI[[#This Row],[Mosquito net]],Table_NFI[Mosquito net])</f>
        <v>0</v>
      </c>
      <c r="AC564" s="378">
        <f>IF(NFI_Expiration=1,IF($A564&lt;VLOOKUP(L$5,NFI,5,0),1,0)*Table_NFI[[#This Row],[Tarpaulin]],Table_NFI[[#This Row],[Tarpaulin]])</f>
        <v>0</v>
      </c>
      <c r="AD564" s="378">
        <f>IF(NFI_Expiration=1,IF($A564&lt;VLOOKUP(M$5,NFI,5,0),1,0)*Table_NFI[[#This Row],[Blanket]],Table_NFI[[#This Row],[Blanket]])</f>
        <v>0</v>
      </c>
      <c r="AE564" s="378">
        <f>IF(NFI_Expiration=1,IF($A564&lt;VLOOKUP(N$5,NFI,5,0),1,0)*Table_NFI[[#This Row],[Kitchen Set]],Table_NFI[Kitchen Set])</f>
        <v>0</v>
      </c>
      <c r="AF564" s="378">
        <f>IF(NFI_Expiration=1,IF($A564&lt;VLOOKUP(O$5,NFI,5,0),1,0)*Table_NFI[[#This Row],[Clothes Kit]],Table_NFI[Clothes Kit])</f>
        <v>0</v>
      </c>
      <c r="AG564" s="378">
        <f>IF(NFI_Expiration=1,IF($A564&lt;VLOOKUP(P$5,NFI,5,0),1,0)*Table_NFI[[#This Row],[Plastic Bucket]],Table_NFI[Plastic Bucket])</f>
        <v>0</v>
      </c>
      <c r="AH564" s="378">
        <f>IF(NFI_Expiration=1,IF($A564&lt;VLOOKUP(Q$5,NFI,5,0),1,0)*Table_NFI[[#This Row],[Plastic Mat]],Table_NFI[Plastic Mat])*IF(Table_NFI[[#This Row],[Distribution Date]]&gt;"2014-04-01",1,2.5)</f>
        <v>0</v>
      </c>
      <c r="AI564" s="378">
        <f>IF(NFI_Expiration=1,IF($A564&lt;VLOOKUP(R$5,NFI,5,0),1,0)*Table_NFI[[#This Row],[Winter Clothes Adult]],Table_NFI[Winter Clothes Adult])</f>
        <v>0</v>
      </c>
      <c r="AJ564" s="378">
        <f>IF(NFI_Expiration=1,IF($A564&lt;VLOOKUP(S$5,NFI,5,0),1,0)*Table_NFI[[#This Row],[Winter Clothes Children]],Table_NFI[Winter Clothes Children])</f>
        <v>0</v>
      </c>
      <c r="AK564" s="378">
        <f>IF(NFI_Expiration=1,IF($A564&lt;VLOOKUP(T$5,NFI,5,0),1,0)*Table_NFI[[#This Row],[Winter Items Other]],Table_NFI[Winter Items Other])</f>
        <v>0</v>
      </c>
      <c r="AL564" s="378">
        <f>IF(NFI_Expiration=1,IF($A564&lt;VLOOKUP(M$5,NFI,5,0),1,0)*Table_NFI[[#This Row],[Winter Blanket]],Table_NFI[[#This Row],[Winter Blanket]])</f>
        <v>0</v>
      </c>
      <c r="AM564" s="378">
        <f>IF(Table_NFI[[#This Row],[Winter Clothes Adult]]+Table_NFI[[#This Row],[Winter Clothes Children]]+Table_NFI[[#This Row],[Winter Items Other]]+Table_NFI[[#This Row],[Winter Blanket]]&gt;0,1,0)</f>
        <v>0</v>
      </c>
      <c r="AN564" s="418">
        <f>IF(NFI_Expiration=1,IF($A564&lt;VLOOKUP(V$5,NFI,5,0),1,0)*Table_NFI[[#This Row],[Jerry Can]],Table_NFI[Jerry Can])</f>
        <v>0</v>
      </c>
      <c r="AO564" s="579" t="str">
        <f>IFERROR(VLOOKUP(Table_NFI[[#This Row],[Camp Name]],CL,2,0),"")</f>
        <v/>
      </c>
      <c r="AP564" s="574" t="str">
        <f ca="1">IF(Table_NFI[[#This Row],[Pcode]]="","",IF(OFFSET(CampList[Opening Date],MATCH(Table_NFI[[#This Row],[Pcode]],CampList[CP_Pcode],0)-1,0,1,1)&gt;=NFI_Monitor_Date,1,0))</f>
        <v/>
      </c>
      <c r="AQ564" s="579" t="str">
        <f>IFERROR(VLOOKUP(Table_NFI[[#This Row],[Camp Name]],CL,3,0),"")</f>
        <v/>
      </c>
      <c r="AR564" s="378" t="str">
        <f ca="1">IF(Table_NFI[[#This Row],[Pcode]]="","",OFFSET(CampList[Priority],MATCH(Table_NFI[[#This Row],[Pcode]],CampList[CP_Pcode],0)-1,0,1,1))</f>
        <v/>
      </c>
      <c r="AS564" s="377" t="str">
        <f>IFERROR(Table_NFI[[#This Row],[Kitchen Set]]/VLOOKUP(Table_NFI[[#This Row],[Camp Name]],CL,4,0),"")</f>
        <v/>
      </c>
      <c r="AT564" s="572" t="s">
        <v>1095</v>
      </c>
      <c r="AU564" s="601"/>
    </row>
    <row r="565" spans="1:47" x14ac:dyDescent="0.25">
      <c r="A565" s="381">
        <f t="shared" si="8"/>
        <v>30.466666666666665</v>
      </c>
      <c r="B565" s="571">
        <v>41608</v>
      </c>
      <c r="C565" s="572" t="s">
        <v>908</v>
      </c>
      <c r="D565" s="572" t="s">
        <v>462</v>
      </c>
      <c r="E565" s="572" t="s">
        <v>380</v>
      </c>
      <c r="F565" s="374" t="s">
        <v>151</v>
      </c>
      <c r="G565" s="374" t="s">
        <v>164</v>
      </c>
      <c r="H565" s="375"/>
      <c r="I565" s="375"/>
      <c r="J565" s="375"/>
      <c r="K565" s="375"/>
      <c r="L565" s="376"/>
      <c r="M565" s="376"/>
      <c r="N565" s="376"/>
      <c r="O565" s="376"/>
      <c r="P565" s="378"/>
      <c r="Q565" s="378"/>
      <c r="R565" s="378"/>
      <c r="S565" s="378"/>
      <c r="T565" s="378"/>
      <c r="U565" s="378"/>
      <c r="V565" s="533"/>
      <c r="W565" s="378"/>
      <c r="X565" s="378"/>
      <c r="Y565" s="378">
        <f>IF(NFI_Expiration=1,IF($A565&lt;VLOOKUP(H$5,NFI,5,0),1,0)*Table_NFI[[#This Row],[Hygiene Kit]],Table_NFI[Hygiene Kit])</f>
        <v>0</v>
      </c>
      <c r="Z565" s="378">
        <f>IF(NFI_Expiration=1,IF($A565&lt;VLOOKUP(I$5,NFI,5,0),1,0)*Table_NFI[[#This Row],[NFI Core Kit]],Table_NFI[NFI Core Kit])</f>
        <v>0</v>
      </c>
      <c r="AA565" s="378">
        <f>IF(NFI_Expiration=1,IF($A565&lt;VLOOKUP(J$5,NFI,5,0),1,0)*Table_NFI[[#This Row],[Sanitary Kit]],Table_NFI[Sanitary Kit])</f>
        <v>0</v>
      </c>
      <c r="AB565" s="378">
        <f>IF(NFI_Expiration=1,IF($A565&lt;VLOOKUP(K$5,NFI,5,0),1,0)*Table_NFI[[#This Row],[Mosquito net]],Table_NFI[Mosquito net])</f>
        <v>0</v>
      </c>
      <c r="AC565" s="378">
        <f>IF(NFI_Expiration=1,IF($A565&lt;VLOOKUP(L$5,NFI,5,0),1,0)*Table_NFI[[#This Row],[Tarpaulin]],Table_NFI[[#This Row],[Tarpaulin]])</f>
        <v>0</v>
      </c>
      <c r="AD565" s="378">
        <f>IF(NFI_Expiration=1,IF($A565&lt;VLOOKUP(M$5,NFI,5,0),1,0)*Table_NFI[[#This Row],[Blanket]],Table_NFI[[#This Row],[Blanket]])</f>
        <v>0</v>
      </c>
      <c r="AE565" s="378">
        <f>IF(NFI_Expiration=1,IF($A565&lt;VLOOKUP(N$5,NFI,5,0),1,0)*Table_NFI[[#This Row],[Kitchen Set]],Table_NFI[Kitchen Set])</f>
        <v>0</v>
      </c>
      <c r="AF565" s="378">
        <f>IF(NFI_Expiration=1,IF($A565&lt;VLOOKUP(O$5,NFI,5,0),1,0)*Table_NFI[[#This Row],[Clothes Kit]],Table_NFI[Clothes Kit])</f>
        <v>0</v>
      </c>
      <c r="AG565" s="378">
        <f>IF(NFI_Expiration=1,IF($A565&lt;VLOOKUP(P$5,NFI,5,0),1,0)*Table_NFI[[#This Row],[Plastic Bucket]],Table_NFI[Plastic Bucket])</f>
        <v>0</v>
      </c>
      <c r="AH565" s="378">
        <f>IF(NFI_Expiration=1,IF($A565&lt;VLOOKUP(Q$5,NFI,5,0),1,0)*Table_NFI[[#This Row],[Plastic Mat]],Table_NFI[Plastic Mat])*IF(Table_NFI[[#This Row],[Distribution Date]]&gt;"2014-04-01",1,2.5)</f>
        <v>0</v>
      </c>
      <c r="AI565" s="378">
        <f>IF(NFI_Expiration=1,IF($A565&lt;VLOOKUP(R$5,NFI,5,0),1,0)*Table_NFI[[#This Row],[Winter Clothes Adult]],Table_NFI[Winter Clothes Adult])</f>
        <v>0</v>
      </c>
      <c r="AJ565" s="378">
        <f>IF(NFI_Expiration=1,IF($A565&lt;VLOOKUP(S$5,NFI,5,0),1,0)*Table_NFI[[#This Row],[Winter Clothes Children]],Table_NFI[Winter Clothes Children])</f>
        <v>0</v>
      </c>
      <c r="AK565" s="378">
        <f>IF(NFI_Expiration=1,IF($A565&lt;VLOOKUP(T$5,NFI,5,0),1,0)*Table_NFI[[#This Row],[Winter Items Other]],Table_NFI[Winter Items Other])</f>
        <v>0</v>
      </c>
      <c r="AL565" s="378">
        <f>IF(NFI_Expiration=1,IF($A565&lt;VLOOKUP(M$5,NFI,5,0),1,0)*Table_NFI[[#This Row],[Winter Blanket]],Table_NFI[[#This Row],[Winter Blanket]])</f>
        <v>0</v>
      </c>
      <c r="AM565" s="378">
        <f>IF(Table_NFI[[#This Row],[Winter Clothes Adult]]+Table_NFI[[#This Row],[Winter Clothes Children]]+Table_NFI[[#This Row],[Winter Items Other]]+Table_NFI[[#This Row],[Winter Blanket]]&gt;0,1,0)</f>
        <v>0</v>
      </c>
      <c r="AN565" s="418">
        <f>IF(NFI_Expiration=1,IF($A565&lt;VLOOKUP(V$5,NFI,5,0),1,0)*Table_NFI[[#This Row],[Jerry Can]],Table_NFI[Jerry Can])</f>
        <v>0</v>
      </c>
      <c r="AO565" s="579" t="str">
        <f>IFERROR(VLOOKUP(Table_NFI[[#This Row],[Camp Name]],CL,2,0),"")</f>
        <v>MMR001CMP137</v>
      </c>
      <c r="AP565" s="574">
        <f ca="1">IF(Table_NFI[[#This Row],[Pcode]]="","",IF(OFFSET(CampList[Opening Date],MATCH(Table_NFI[[#This Row],[Pcode]],CampList[CP_Pcode],0)-1,0,1,1)&gt;=NFI_Monitor_Date,1,0))</f>
        <v>0</v>
      </c>
      <c r="AQ565" s="579" t="str">
        <f>IFERROR(VLOOKUP(Table_NFI[[#This Row],[Camp Name]],CL,3,0),"")</f>
        <v>Closed</v>
      </c>
      <c r="AR565" s="378" t="str">
        <f ca="1">IF(Table_NFI[[#This Row],[Pcode]]="","",OFFSET(CampList[Priority],MATCH(Table_NFI[[#This Row],[Pcode]],CampList[CP_Pcode],0)-1,0,1,1))</f>
        <v/>
      </c>
      <c r="AS565" s="377" t="str">
        <f>IFERROR(Table_NFI[[#This Row],[Kitchen Set]]/VLOOKUP(Table_NFI[[#This Row],[Camp Name]],CL,4,0),"")</f>
        <v/>
      </c>
      <c r="AT565" s="572" t="s">
        <v>1095</v>
      </c>
      <c r="AU565" s="575"/>
    </row>
    <row r="566" spans="1:47" x14ac:dyDescent="0.25">
      <c r="A566" s="381">
        <f t="shared" si="8"/>
        <v>47.133333333333333</v>
      </c>
      <c r="B566" s="571">
        <v>41108</v>
      </c>
      <c r="C566" s="572" t="s">
        <v>454</v>
      </c>
      <c r="D566" s="573" t="s">
        <v>454</v>
      </c>
      <c r="E566" s="572" t="s">
        <v>380</v>
      </c>
      <c r="F566" s="374" t="s">
        <v>151</v>
      </c>
      <c r="G566" s="374" t="s">
        <v>164</v>
      </c>
      <c r="H566" s="375"/>
      <c r="I566" s="375"/>
      <c r="J566" s="375"/>
      <c r="K566" s="375">
        <v>206</v>
      </c>
      <c r="L566" s="376">
        <v>78</v>
      </c>
      <c r="M566" s="376">
        <v>206</v>
      </c>
      <c r="N566" s="376">
        <v>103</v>
      </c>
      <c r="O566" s="376">
        <v>103</v>
      </c>
      <c r="P566" s="378">
        <v>103</v>
      </c>
      <c r="Q566" s="378">
        <v>103</v>
      </c>
      <c r="R566" s="378"/>
      <c r="S566" s="378"/>
      <c r="T566" s="378"/>
      <c r="U566" s="378"/>
      <c r="V566" s="533"/>
      <c r="W566" s="378"/>
      <c r="X566" s="378"/>
      <c r="Y566" s="378">
        <f>IF(NFI_Expiration=1,IF($A566&lt;VLOOKUP(H$5,NFI,5,0),1,0)*Table_NFI[[#This Row],[Hygiene Kit]],Table_NFI[Hygiene Kit])</f>
        <v>0</v>
      </c>
      <c r="Z566" s="378">
        <f>IF(NFI_Expiration=1,IF($A566&lt;VLOOKUP(I$5,NFI,5,0),1,0)*Table_NFI[[#This Row],[NFI Core Kit]],Table_NFI[NFI Core Kit])</f>
        <v>0</v>
      </c>
      <c r="AA566" s="378">
        <f>IF(NFI_Expiration=1,IF($A566&lt;VLOOKUP(J$5,NFI,5,0),1,0)*Table_NFI[[#This Row],[Sanitary Kit]],Table_NFI[Sanitary Kit])</f>
        <v>0</v>
      </c>
      <c r="AB566" s="378">
        <f>IF(NFI_Expiration=1,IF($A566&lt;VLOOKUP(K$5,NFI,5,0),1,0)*Table_NFI[[#This Row],[Mosquito net]],Table_NFI[Mosquito net])</f>
        <v>0</v>
      </c>
      <c r="AC566" s="378">
        <f>IF(NFI_Expiration=1,IF($A566&lt;VLOOKUP(L$5,NFI,5,0),1,0)*Table_NFI[[#This Row],[Tarpaulin]],Table_NFI[[#This Row],[Tarpaulin]])</f>
        <v>0</v>
      </c>
      <c r="AD566" s="378">
        <f>IF(NFI_Expiration=1,IF($A566&lt;VLOOKUP(M$5,NFI,5,0),1,0)*Table_NFI[[#This Row],[Blanket]],Table_NFI[[#This Row],[Blanket]])</f>
        <v>0</v>
      </c>
      <c r="AE566" s="378">
        <f>IF(NFI_Expiration=1,IF($A566&lt;VLOOKUP(N$5,NFI,5,0),1,0)*Table_NFI[[#This Row],[Kitchen Set]],Table_NFI[Kitchen Set])</f>
        <v>0</v>
      </c>
      <c r="AF566" s="378">
        <f>IF(NFI_Expiration=1,IF($A566&lt;VLOOKUP(O$5,NFI,5,0),1,0)*Table_NFI[[#This Row],[Clothes Kit]],Table_NFI[Clothes Kit])</f>
        <v>0</v>
      </c>
      <c r="AG566" s="378">
        <f>IF(NFI_Expiration=1,IF($A566&lt;VLOOKUP(P$5,NFI,5,0),1,0)*Table_NFI[[#This Row],[Plastic Bucket]],Table_NFI[Plastic Bucket])</f>
        <v>0</v>
      </c>
      <c r="AH566" s="378">
        <f>IF(NFI_Expiration=1,IF($A566&lt;VLOOKUP(Q$5,NFI,5,0),1,0)*Table_NFI[[#This Row],[Plastic Mat]],Table_NFI[Plastic Mat])*IF(Table_NFI[[#This Row],[Distribution Date]]&gt;"2014-04-01",1,2.5)</f>
        <v>0</v>
      </c>
      <c r="AI566" s="378">
        <f>IF(NFI_Expiration=1,IF($A566&lt;VLOOKUP(R$5,NFI,5,0),1,0)*Table_NFI[[#This Row],[Winter Clothes Adult]],Table_NFI[Winter Clothes Adult])</f>
        <v>0</v>
      </c>
      <c r="AJ566" s="378">
        <f>IF(NFI_Expiration=1,IF($A566&lt;VLOOKUP(S$5,NFI,5,0),1,0)*Table_NFI[[#This Row],[Winter Clothes Children]],Table_NFI[Winter Clothes Children])</f>
        <v>0</v>
      </c>
      <c r="AK566" s="378">
        <f>IF(NFI_Expiration=1,IF($A566&lt;VLOOKUP(T$5,NFI,5,0),1,0)*Table_NFI[[#This Row],[Winter Items Other]],Table_NFI[Winter Items Other])</f>
        <v>0</v>
      </c>
      <c r="AL566" s="378">
        <f>IF(NFI_Expiration=1,IF($A566&lt;VLOOKUP(M$5,NFI,5,0),1,0)*Table_NFI[[#This Row],[Winter Blanket]],Table_NFI[[#This Row],[Winter Blanket]])</f>
        <v>0</v>
      </c>
      <c r="AM566" s="378">
        <f>IF(Table_NFI[[#This Row],[Winter Clothes Adult]]+Table_NFI[[#This Row],[Winter Clothes Children]]+Table_NFI[[#This Row],[Winter Items Other]]+Table_NFI[[#This Row],[Winter Blanket]]&gt;0,1,0)</f>
        <v>0</v>
      </c>
      <c r="AN566" s="418">
        <f>IF(NFI_Expiration=1,IF($A566&lt;VLOOKUP(V$5,NFI,5,0),1,0)*Table_NFI[[#This Row],[Jerry Can]],Table_NFI[Jerry Can])</f>
        <v>0</v>
      </c>
      <c r="AO566" s="579" t="str">
        <f>IFERROR(VLOOKUP(Table_NFI[[#This Row],[Camp Name]],CL,2,0),"")</f>
        <v>MMR001CMP137</v>
      </c>
      <c r="AP566" s="574">
        <f ca="1">IF(Table_NFI[[#This Row],[Pcode]]="","",IF(OFFSET(CampList[Opening Date],MATCH(Table_NFI[[#This Row],[Pcode]],CampList[CP_Pcode],0)-1,0,1,1)&gt;=NFI_Monitor_Date,1,0))</f>
        <v>0</v>
      </c>
      <c r="AQ566" s="579" t="str">
        <f>IFERROR(VLOOKUP(Table_NFI[[#This Row],[Camp Name]],CL,3,0),"")</f>
        <v>Closed</v>
      </c>
      <c r="AR566" s="378" t="str">
        <f ca="1">IF(Table_NFI[[#This Row],[Pcode]]="","",OFFSET(CampList[Priority],MATCH(Table_NFI[[#This Row],[Pcode]],CampList[CP_Pcode],0)-1,0,1,1))</f>
        <v/>
      </c>
      <c r="AS566" s="377" t="str">
        <f>IFERROR(Table_NFI[[#This Row],[Kitchen Set]]/VLOOKUP(Table_NFI[[#This Row],[Camp Name]],CL,4,0),"")</f>
        <v/>
      </c>
      <c r="AT566" s="572" t="s">
        <v>1095</v>
      </c>
      <c r="AU566" s="575"/>
    </row>
    <row r="567" spans="1:47" x14ac:dyDescent="0.25">
      <c r="A567" s="381">
        <f t="shared" si="8"/>
        <v>18.966666666666665</v>
      </c>
      <c r="B567" s="571">
        <v>41953</v>
      </c>
      <c r="C567" s="572" t="s">
        <v>1097</v>
      </c>
      <c r="D567" s="572" t="s">
        <v>903</v>
      </c>
      <c r="E567" s="572" t="s">
        <v>380</v>
      </c>
      <c r="F567" s="572" t="s">
        <v>529</v>
      </c>
      <c r="G567" s="572" t="s">
        <v>613</v>
      </c>
      <c r="H567" s="375"/>
      <c r="I567" s="375"/>
      <c r="J567" s="375"/>
      <c r="K567" s="375"/>
      <c r="L567" s="376"/>
      <c r="M567" s="376"/>
      <c r="N567" s="376"/>
      <c r="O567" s="376"/>
      <c r="P567" s="378"/>
      <c r="Q567" s="378"/>
      <c r="R567" s="378">
        <v>50</v>
      </c>
      <c r="S567" s="378">
        <v>17</v>
      </c>
      <c r="T567" s="378"/>
      <c r="U567" s="378"/>
      <c r="V567" s="533"/>
      <c r="W567" s="378"/>
      <c r="X567" s="378"/>
      <c r="Y567" s="378">
        <f>IF(NFI_Expiration=1,IF($A567&lt;VLOOKUP(H$5,NFI,5,0),1,0)*Table_NFI[[#This Row],[Hygiene Kit]],Table_NFI[Hygiene Kit])</f>
        <v>0</v>
      </c>
      <c r="Z567" s="378">
        <f>IF(NFI_Expiration=1,IF($A567&lt;VLOOKUP(I$5,NFI,5,0),1,0)*Table_NFI[[#This Row],[NFI Core Kit]],Table_NFI[NFI Core Kit])</f>
        <v>0</v>
      </c>
      <c r="AA567" s="378">
        <f>IF(NFI_Expiration=1,IF($A567&lt;VLOOKUP(J$5,NFI,5,0),1,0)*Table_NFI[[#This Row],[Sanitary Kit]],Table_NFI[Sanitary Kit])</f>
        <v>0</v>
      </c>
      <c r="AB567" s="378">
        <f>IF(NFI_Expiration=1,IF($A567&lt;VLOOKUP(K$5,NFI,5,0),1,0)*Table_NFI[[#This Row],[Mosquito net]],Table_NFI[Mosquito net])</f>
        <v>0</v>
      </c>
      <c r="AC567" s="378">
        <f>IF(NFI_Expiration=1,IF($A567&lt;VLOOKUP(L$5,NFI,5,0),1,0)*Table_NFI[[#This Row],[Tarpaulin]],Table_NFI[[#This Row],[Tarpaulin]])</f>
        <v>0</v>
      </c>
      <c r="AD567" s="378">
        <f>IF(NFI_Expiration=1,IF($A567&lt;VLOOKUP(M$5,NFI,5,0),1,0)*Table_NFI[[#This Row],[Blanket]],Table_NFI[[#This Row],[Blanket]])</f>
        <v>0</v>
      </c>
      <c r="AE567" s="378">
        <f>IF(NFI_Expiration=1,IF($A567&lt;VLOOKUP(N$5,NFI,5,0),1,0)*Table_NFI[[#This Row],[Kitchen Set]],Table_NFI[Kitchen Set])</f>
        <v>0</v>
      </c>
      <c r="AF567" s="378">
        <f>IF(NFI_Expiration=1,IF($A567&lt;VLOOKUP(O$5,NFI,5,0),1,0)*Table_NFI[[#This Row],[Clothes Kit]],Table_NFI[Clothes Kit])</f>
        <v>0</v>
      </c>
      <c r="AG567" s="378">
        <f>IF(NFI_Expiration=1,IF($A567&lt;VLOOKUP(P$5,NFI,5,0),1,0)*Table_NFI[[#This Row],[Plastic Bucket]],Table_NFI[Plastic Bucket])</f>
        <v>0</v>
      </c>
      <c r="AH567" s="378">
        <f>IF(NFI_Expiration=1,IF($A567&lt;VLOOKUP(Q$5,NFI,5,0),1,0)*Table_NFI[[#This Row],[Plastic Mat]],Table_NFI[Plastic Mat])*IF(Table_NFI[[#This Row],[Distribution Date]]&gt;"2014-04-01",1,2.5)</f>
        <v>0</v>
      </c>
      <c r="AI567" s="378">
        <f>IF(NFI_Expiration=1,IF($A567&lt;VLOOKUP(R$5,NFI,5,0),1,0)*Table_NFI[[#This Row],[Winter Clothes Adult]],Table_NFI[Winter Clothes Adult])</f>
        <v>0</v>
      </c>
      <c r="AJ567" s="378">
        <f>IF(NFI_Expiration=1,IF($A567&lt;VLOOKUP(S$5,NFI,5,0),1,0)*Table_NFI[[#This Row],[Winter Clothes Children]],Table_NFI[Winter Clothes Children])</f>
        <v>0</v>
      </c>
      <c r="AK567" s="378">
        <f>IF(NFI_Expiration=1,IF($A567&lt;VLOOKUP(T$5,NFI,5,0),1,0)*Table_NFI[[#This Row],[Winter Items Other]],Table_NFI[Winter Items Other])</f>
        <v>0</v>
      </c>
      <c r="AL567" s="378">
        <f>IF(NFI_Expiration=1,IF($A567&lt;VLOOKUP(M$5,NFI,5,0),1,0)*Table_NFI[[#This Row],[Winter Blanket]],Table_NFI[[#This Row],[Winter Blanket]])</f>
        <v>0</v>
      </c>
      <c r="AM567" s="378">
        <f>IF(Table_NFI[[#This Row],[Winter Clothes Adult]]+Table_NFI[[#This Row],[Winter Clothes Children]]+Table_NFI[[#This Row],[Winter Items Other]]+Table_NFI[[#This Row],[Winter Blanket]]&gt;0,1,0)</f>
        <v>1</v>
      </c>
      <c r="AN567" s="418">
        <f>IF(NFI_Expiration=1,IF($A567&lt;VLOOKUP(V$5,NFI,5,0),1,0)*Table_NFI[[#This Row],[Jerry Can]],Table_NFI[Jerry Can])</f>
        <v>0</v>
      </c>
      <c r="AO567" s="579" t="str">
        <f>IFERROR(VLOOKUP(Table_NFI[[#This Row],[Camp Name]],CL,2,0),"")</f>
        <v>MMR001CMP192</v>
      </c>
      <c r="AP567" s="574">
        <f ca="1">IF(Table_NFI[[#This Row],[Pcode]]="","",IF(OFFSET(CampList[Opening Date],MATCH(Table_NFI[[#This Row],[Pcode]],CampList[CP_Pcode],0)-1,0,1,1)&gt;=NFI_Monitor_Date,1,0))</f>
        <v>0</v>
      </c>
      <c r="AQ567" s="579" t="str">
        <f>IFERROR(VLOOKUP(Table_NFI[[#This Row],[Camp Name]],CL,3,0),"")</f>
        <v>Open</v>
      </c>
      <c r="AR567" s="378" t="str">
        <f ca="1">IF(Table_NFI[[#This Row],[Pcode]]="","",OFFSET(CampList[Priority],MATCH(Table_NFI[[#This Row],[Pcode]],CampList[CP_Pcode],0)-1,0,1,1))</f>
        <v>P4</v>
      </c>
      <c r="AS567" s="377">
        <f>IFERROR(Table_NFI[[#This Row],[Kitchen Set]]/VLOOKUP(Table_NFI[[#This Row],[Camp Name]],CL,4,0),"")</f>
        <v>0</v>
      </c>
      <c r="AT567" s="572"/>
      <c r="AU567" s="575"/>
    </row>
    <row r="568" spans="1:47" x14ac:dyDescent="0.25">
      <c r="A568" s="381">
        <f t="shared" si="8"/>
        <v>19.3</v>
      </c>
      <c r="B568" s="571">
        <v>41943</v>
      </c>
      <c r="C568" s="572" t="s">
        <v>454</v>
      </c>
      <c r="D568" s="572"/>
      <c r="E568" s="572" t="s">
        <v>380</v>
      </c>
      <c r="F568" s="572" t="s">
        <v>529</v>
      </c>
      <c r="G568" s="572" t="s">
        <v>613</v>
      </c>
      <c r="H568" s="375"/>
      <c r="I568" s="375"/>
      <c r="J568" s="375">
        <v>17</v>
      </c>
      <c r="K568" s="375">
        <v>34</v>
      </c>
      <c r="L568" s="376">
        <v>17</v>
      </c>
      <c r="M568" s="376">
        <v>34</v>
      </c>
      <c r="N568" s="376">
        <v>17</v>
      </c>
      <c r="O568" s="376"/>
      <c r="P568" s="378">
        <v>17</v>
      </c>
      <c r="Q568" s="378">
        <v>85</v>
      </c>
      <c r="R568" s="378"/>
      <c r="S568" s="378"/>
      <c r="T568" s="378"/>
      <c r="U568" s="378"/>
      <c r="V568" s="533"/>
      <c r="W568" s="378"/>
      <c r="X568" s="378"/>
      <c r="Y568" s="378">
        <f>IF(NFI_Expiration=1,IF($A568&lt;VLOOKUP(H$5,NFI,5,0),1,0)*Table_NFI[[#This Row],[Hygiene Kit]],Table_NFI[Hygiene Kit])</f>
        <v>0</v>
      </c>
      <c r="Z568" s="378">
        <f>IF(NFI_Expiration=1,IF($A568&lt;VLOOKUP(I$5,NFI,5,0),1,0)*Table_NFI[[#This Row],[NFI Core Kit]],Table_NFI[NFI Core Kit])</f>
        <v>0</v>
      </c>
      <c r="AA568" s="378">
        <f>IF(NFI_Expiration=1,IF($A568&lt;VLOOKUP(J$5,NFI,5,0),1,0)*Table_NFI[[#This Row],[Sanitary Kit]],Table_NFI[Sanitary Kit])</f>
        <v>0</v>
      </c>
      <c r="AB568" s="378">
        <f>IF(NFI_Expiration=1,IF($A568&lt;VLOOKUP(K$5,NFI,5,0),1,0)*Table_NFI[[#This Row],[Mosquito net]],Table_NFI[Mosquito net])</f>
        <v>0</v>
      </c>
      <c r="AC568" s="378">
        <f>IF(NFI_Expiration=1,IF($A568&lt;VLOOKUP(L$5,NFI,5,0),1,0)*Table_NFI[[#This Row],[Tarpaulin]],Table_NFI[[#This Row],[Tarpaulin]])</f>
        <v>0</v>
      </c>
      <c r="AD568" s="378">
        <f>IF(NFI_Expiration=1,IF($A568&lt;VLOOKUP(M$5,NFI,5,0),1,0)*Table_NFI[[#This Row],[Blanket]],Table_NFI[[#This Row],[Blanket]])</f>
        <v>0</v>
      </c>
      <c r="AE568" s="378">
        <f>IF(NFI_Expiration=1,IF($A568&lt;VLOOKUP(N$5,NFI,5,0),1,0)*Table_NFI[[#This Row],[Kitchen Set]],Table_NFI[Kitchen Set])</f>
        <v>0</v>
      </c>
      <c r="AF568" s="378">
        <f>IF(NFI_Expiration=1,IF($A568&lt;VLOOKUP(O$5,NFI,5,0),1,0)*Table_NFI[[#This Row],[Clothes Kit]],Table_NFI[Clothes Kit])</f>
        <v>0</v>
      </c>
      <c r="AG568" s="378">
        <f>IF(NFI_Expiration=1,IF($A568&lt;VLOOKUP(P$5,NFI,5,0),1,0)*Table_NFI[[#This Row],[Plastic Bucket]],Table_NFI[Plastic Bucket])</f>
        <v>0</v>
      </c>
      <c r="AH568" s="378">
        <f>IF(NFI_Expiration=1,IF($A568&lt;VLOOKUP(Q$5,NFI,5,0),1,0)*Table_NFI[[#This Row],[Plastic Mat]],Table_NFI[Plastic Mat])*IF(Table_NFI[[#This Row],[Distribution Date]]&gt;"2014-04-01",1,2.5)</f>
        <v>0</v>
      </c>
      <c r="AI568" s="378">
        <f>IF(NFI_Expiration=1,IF($A568&lt;VLOOKUP(R$5,NFI,5,0),1,0)*Table_NFI[[#This Row],[Winter Clothes Adult]],Table_NFI[Winter Clothes Adult])</f>
        <v>0</v>
      </c>
      <c r="AJ568" s="378">
        <f>IF(NFI_Expiration=1,IF($A568&lt;VLOOKUP(S$5,NFI,5,0),1,0)*Table_NFI[[#This Row],[Winter Clothes Children]],Table_NFI[Winter Clothes Children])</f>
        <v>0</v>
      </c>
      <c r="AK568" s="378">
        <f>IF(NFI_Expiration=1,IF($A568&lt;VLOOKUP(T$5,NFI,5,0),1,0)*Table_NFI[[#This Row],[Winter Items Other]],Table_NFI[Winter Items Other])</f>
        <v>0</v>
      </c>
      <c r="AL568" s="378">
        <f>IF(NFI_Expiration=1,IF($A568&lt;VLOOKUP(M$5,NFI,5,0),1,0)*Table_NFI[[#This Row],[Winter Blanket]],Table_NFI[[#This Row],[Winter Blanket]])</f>
        <v>0</v>
      </c>
      <c r="AM568" s="378">
        <f>IF(Table_NFI[[#This Row],[Winter Clothes Adult]]+Table_NFI[[#This Row],[Winter Clothes Children]]+Table_NFI[[#This Row],[Winter Items Other]]+Table_NFI[[#This Row],[Winter Blanket]]&gt;0,1,0)</f>
        <v>0</v>
      </c>
      <c r="AN568" s="418">
        <f>IF(NFI_Expiration=1,IF($A568&lt;VLOOKUP(V$5,NFI,5,0),1,0)*Table_NFI[[#This Row],[Jerry Can]],Table_NFI[Jerry Can])</f>
        <v>0</v>
      </c>
      <c r="AO568" s="579" t="str">
        <f>IFERROR(VLOOKUP(Table_NFI[[#This Row],[Camp Name]],CL,2,0),"")</f>
        <v>MMR001CMP192</v>
      </c>
      <c r="AP568" s="574">
        <f ca="1">IF(Table_NFI[[#This Row],[Pcode]]="","",IF(OFFSET(CampList[Opening Date],MATCH(Table_NFI[[#This Row],[Pcode]],CampList[CP_Pcode],0)-1,0,1,1)&gt;=NFI_Monitor_Date,1,0))</f>
        <v>0</v>
      </c>
      <c r="AQ568" s="579" t="str">
        <f>IFERROR(VLOOKUP(Table_NFI[[#This Row],[Camp Name]],CL,3,0),"")</f>
        <v>Open</v>
      </c>
      <c r="AR568" s="378" t="str">
        <f ca="1">IF(Table_NFI[[#This Row],[Pcode]]="","",OFFSET(CampList[Priority],MATCH(Table_NFI[[#This Row],[Pcode]],CampList[CP_Pcode],0)-1,0,1,1))</f>
        <v>P4</v>
      </c>
      <c r="AS568" s="377">
        <f>IFERROR(Table_NFI[[#This Row],[Kitchen Set]]/VLOOKUP(Table_NFI[[#This Row],[Camp Name]],CL,4,0),"")</f>
        <v>1</v>
      </c>
      <c r="AT568" s="572"/>
      <c r="AU568" s="575"/>
    </row>
    <row r="569" spans="1:47" x14ac:dyDescent="0.25">
      <c r="A569" s="381">
        <f t="shared" si="8"/>
        <v>20.3</v>
      </c>
      <c r="B569" s="571">
        <v>41913</v>
      </c>
      <c r="C569" s="572" t="s">
        <v>454</v>
      </c>
      <c r="D569" s="577" t="s">
        <v>507</v>
      </c>
      <c r="E569" s="577" t="s">
        <v>380</v>
      </c>
      <c r="F569" s="577" t="s">
        <v>529</v>
      </c>
      <c r="G569" s="577" t="s">
        <v>613</v>
      </c>
      <c r="H569" s="376"/>
      <c r="I569" s="376"/>
      <c r="J569" s="376"/>
      <c r="K569" s="376">
        <v>36</v>
      </c>
      <c r="L569" s="376"/>
      <c r="M569" s="376"/>
      <c r="N569" s="376"/>
      <c r="O569" s="376"/>
      <c r="P569" s="378"/>
      <c r="Q569" s="378"/>
      <c r="R569" s="378"/>
      <c r="S569" s="378"/>
      <c r="T569" s="378"/>
      <c r="U569" s="378"/>
      <c r="V569" s="533"/>
      <c r="W569" s="378"/>
      <c r="X569" s="378"/>
      <c r="Y569" s="378">
        <f>IF(NFI_Expiration=1,IF($A569&lt;VLOOKUP(H$5,NFI,5,0),1,0)*Table_NFI[[#This Row],[Hygiene Kit]],Table_NFI[Hygiene Kit])</f>
        <v>0</v>
      </c>
      <c r="Z569" s="378">
        <f>IF(NFI_Expiration=1,IF($A569&lt;VLOOKUP(I$5,NFI,5,0),1,0)*Table_NFI[[#This Row],[NFI Core Kit]],Table_NFI[NFI Core Kit])</f>
        <v>0</v>
      </c>
      <c r="AA569" s="378">
        <f>IF(NFI_Expiration=1,IF($A569&lt;VLOOKUP(J$5,NFI,5,0),1,0)*Table_NFI[[#This Row],[Sanitary Kit]],Table_NFI[Sanitary Kit])</f>
        <v>0</v>
      </c>
      <c r="AB569" s="378">
        <f>IF(NFI_Expiration=1,IF($A569&lt;VLOOKUP(K$5,NFI,5,0),1,0)*Table_NFI[[#This Row],[Mosquito net]],Table_NFI[Mosquito net])</f>
        <v>0</v>
      </c>
      <c r="AC569" s="378">
        <f>IF(NFI_Expiration=1,IF($A569&lt;VLOOKUP(L$5,NFI,5,0),1,0)*Table_NFI[[#This Row],[Tarpaulin]],Table_NFI[[#This Row],[Tarpaulin]])</f>
        <v>0</v>
      </c>
      <c r="AD569" s="378">
        <f>IF(NFI_Expiration=1,IF($A569&lt;VLOOKUP(M$5,NFI,5,0),1,0)*Table_NFI[[#This Row],[Blanket]],Table_NFI[[#This Row],[Blanket]])</f>
        <v>0</v>
      </c>
      <c r="AE569" s="378">
        <f>IF(NFI_Expiration=1,IF($A569&lt;VLOOKUP(N$5,NFI,5,0),1,0)*Table_NFI[[#This Row],[Kitchen Set]],Table_NFI[Kitchen Set])</f>
        <v>0</v>
      </c>
      <c r="AF569" s="378">
        <f>IF(NFI_Expiration=1,IF($A569&lt;VLOOKUP(O$5,NFI,5,0),1,0)*Table_NFI[[#This Row],[Clothes Kit]],Table_NFI[Clothes Kit])</f>
        <v>0</v>
      </c>
      <c r="AG569" s="378">
        <f>IF(NFI_Expiration=1,IF($A569&lt;VLOOKUP(P$5,NFI,5,0),1,0)*Table_NFI[[#This Row],[Plastic Bucket]],Table_NFI[Plastic Bucket])</f>
        <v>0</v>
      </c>
      <c r="AH569" s="378">
        <f>IF(NFI_Expiration=1,IF($A569&lt;VLOOKUP(Q$5,NFI,5,0),1,0)*Table_NFI[[#This Row],[Plastic Mat]],Table_NFI[Plastic Mat])*IF(Table_NFI[[#This Row],[Distribution Date]]&gt;"2014-04-01",1,2.5)</f>
        <v>0</v>
      </c>
      <c r="AI569" s="378">
        <f>IF(NFI_Expiration=1,IF($A569&lt;VLOOKUP(R$5,NFI,5,0),1,0)*Table_NFI[[#This Row],[Winter Clothes Adult]],Table_NFI[Winter Clothes Adult])</f>
        <v>0</v>
      </c>
      <c r="AJ569" s="378">
        <f>IF(NFI_Expiration=1,IF($A569&lt;VLOOKUP(S$5,NFI,5,0),1,0)*Table_NFI[[#This Row],[Winter Clothes Children]],Table_NFI[Winter Clothes Children])</f>
        <v>0</v>
      </c>
      <c r="AK569" s="378">
        <f>IF(NFI_Expiration=1,IF($A569&lt;VLOOKUP(T$5,NFI,5,0),1,0)*Table_NFI[[#This Row],[Winter Items Other]],Table_NFI[Winter Items Other])</f>
        <v>0</v>
      </c>
      <c r="AL569" s="378">
        <f>IF(NFI_Expiration=1,IF($A569&lt;VLOOKUP(M$5,NFI,5,0),1,0)*Table_NFI[[#This Row],[Winter Blanket]],Table_NFI[[#This Row],[Winter Blanket]])</f>
        <v>0</v>
      </c>
      <c r="AM569" s="378">
        <f>IF(Table_NFI[[#This Row],[Winter Clothes Adult]]+Table_NFI[[#This Row],[Winter Clothes Children]]+Table_NFI[[#This Row],[Winter Items Other]]+Table_NFI[[#This Row],[Winter Blanket]]&gt;0,1,0)</f>
        <v>0</v>
      </c>
      <c r="AN569" s="418">
        <f>IF(NFI_Expiration=1,IF($A569&lt;VLOOKUP(V$5,NFI,5,0),1,0)*Table_NFI[[#This Row],[Jerry Can]],Table_NFI[Jerry Can])</f>
        <v>0</v>
      </c>
      <c r="AO569" s="579" t="str">
        <f>IFERROR(VLOOKUP(Table_NFI[[#This Row],[Camp Name]],CL,2,0),"")</f>
        <v>MMR001CMP192</v>
      </c>
      <c r="AP569" s="574">
        <f ca="1">IF(Table_NFI[[#This Row],[Pcode]]="","",IF(OFFSET(CampList[Opening Date],MATCH(Table_NFI[[#This Row],[Pcode]],CampList[CP_Pcode],0)-1,0,1,1)&gt;=NFI_Monitor_Date,1,0))</f>
        <v>0</v>
      </c>
      <c r="AQ569" s="579" t="str">
        <f>IFERROR(VLOOKUP(Table_NFI[[#This Row],[Camp Name]],CL,3,0),"")</f>
        <v>Open</v>
      </c>
      <c r="AR569" s="378" t="str">
        <f ca="1">IF(Table_NFI[[#This Row],[Pcode]]="","",OFFSET(CampList[Priority],MATCH(Table_NFI[[#This Row],[Pcode]],CampList[CP_Pcode],0)-1,0,1,1))</f>
        <v>P4</v>
      </c>
      <c r="AS569" s="377">
        <f>IFERROR(Table_NFI[[#This Row],[Kitchen Set]]/VLOOKUP(Table_NFI[[#This Row],[Camp Name]],CL,4,0),"")</f>
        <v>0</v>
      </c>
      <c r="AT569" s="577"/>
      <c r="AU569" s="580"/>
    </row>
    <row r="570" spans="1:47" x14ac:dyDescent="0.25">
      <c r="A570" s="381">
        <f t="shared" si="8"/>
        <v>36.866666666666667</v>
      </c>
      <c r="B570" s="571">
        <v>41416</v>
      </c>
      <c r="C570" s="572" t="s">
        <v>454</v>
      </c>
      <c r="D570" s="573" t="s">
        <v>454</v>
      </c>
      <c r="E570" s="572" t="s">
        <v>380</v>
      </c>
      <c r="F570" s="374" t="s">
        <v>529</v>
      </c>
      <c r="G570" s="374" t="s">
        <v>613</v>
      </c>
      <c r="H570" s="375"/>
      <c r="I570" s="375"/>
      <c r="J570" s="375">
        <v>34</v>
      </c>
      <c r="K570" s="375">
        <v>61</v>
      </c>
      <c r="L570" s="376">
        <v>30</v>
      </c>
      <c r="M570" s="376">
        <v>61</v>
      </c>
      <c r="N570" s="376">
        <v>30</v>
      </c>
      <c r="O570" s="376">
        <v>30</v>
      </c>
      <c r="P570" s="378">
        <v>30</v>
      </c>
      <c r="Q570" s="378">
        <v>30</v>
      </c>
      <c r="R570" s="378"/>
      <c r="S570" s="378"/>
      <c r="T570" s="378"/>
      <c r="U570" s="378"/>
      <c r="V570" s="533"/>
      <c r="W570" s="378"/>
      <c r="X570" s="378"/>
      <c r="Y570" s="378">
        <f>IF(NFI_Expiration=1,IF($A570&lt;VLOOKUP(H$5,NFI,5,0),1,0)*Table_NFI[[#This Row],[Hygiene Kit]],Table_NFI[Hygiene Kit])</f>
        <v>0</v>
      </c>
      <c r="Z570" s="378">
        <f>IF(NFI_Expiration=1,IF($A570&lt;VLOOKUP(I$5,NFI,5,0),1,0)*Table_NFI[[#This Row],[NFI Core Kit]],Table_NFI[NFI Core Kit])</f>
        <v>0</v>
      </c>
      <c r="AA570" s="378">
        <f>IF(NFI_Expiration=1,IF($A570&lt;VLOOKUP(J$5,NFI,5,0),1,0)*Table_NFI[[#This Row],[Sanitary Kit]],Table_NFI[Sanitary Kit])</f>
        <v>0</v>
      </c>
      <c r="AB570" s="378">
        <f>IF(NFI_Expiration=1,IF($A570&lt;VLOOKUP(K$5,NFI,5,0),1,0)*Table_NFI[[#This Row],[Mosquito net]],Table_NFI[Mosquito net])</f>
        <v>0</v>
      </c>
      <c r="AC570" s="378">
        <f>IF(NFI_Expiration=1,IF($A570&lt;VLOOKUP(L$5,NFI,5,0),1,0)*Table_NFI[[#This Row],[Tarpaulin]],Table_NFI[[#This Row],[Tarpaulin]])</f>
        <v>0</v>
      </c>
      <c r="AD570" s="378">
        <f>IF(NFI_Expiration=1,IF($A570&lt;VLOOKUP(M$5,NFI,5,0),1,0)*Table_NFI[[#This Row],[Blanket]],Table_NFI[[#This Row],[Blanket]])</f>
        <v>0</v>
      </c>
      <c r="AE570" s="378">
        <f>IF(NFI_Expiration=1,IF($A570&lt;VLOOKUP(N$5,NFI,5,0),1,0)*Table_NFI[[#This Row],[Kitchen Set]],Table_NFI[Kitchen Set])</f>
        <v>0</v>
      </c>
      <c r="AF570" s="378">
        <f>IF(NFI_Expiration=1,IF($A570&lt;VLOOKUP(O$5,NFI,5,0),1,0)*Table_NFI[[#This Row],[Clothes Kit]],Table_NFI[Clothes Kit])</f>
        <v>0</v>
      </c>
      <c r="AG570" s="378">
        <f>IF(NFI_Expiration=1,IF($A570&lt;VLOOKUP(P$5,NFI,5,0),1,0)*Table_NFI[[#This Row],[Plastic Bucket]],Table_NFI[Plastic Bucket])</f>
        <v>0</v>
      </c>
      <c r="AH570" s="378">
        <f>IF(NFI_Expiration=1,IF($A570&lt;VLOOKUP(Q$5,NFI,5,0),1,0)*Table_NFI[[#This Row],[Plastic Mat]],Table_NFI[Plastic Mat])*IF(Table_NFI[[#This Row],[Distribution Date]]&gt;"2014-04-01",1,2.5)</f>
        <v>0</v>
      </c>
      <c r="AI570" s="378">
        <f>IF(NFI_Expiration=1,IF($A570&lt;VLOOKUP(R$5,NFI,5,0),1,0)*Table_NFI[[#This Row],[Winter Clothes Adult]],Table_NFI[Winter Clothes Adult])</f>
        <v>0</v>
      </c>
      <c r="AJ570" s="378">
        <f>IF(NFI_Expiration=1,IF($A570&lt;VLOOKUP(S$5,NFI,5,0),1,0)*Table_NFI[[#This Row],[Winter Clothes Children]],Table_NFI[Winter Clothes Children])</f>
        <v>0</v>
      </c>
      <c r="AK570" s="378">
        <f>IF(NFI_Expiration=1,IF($A570&lt;VLOOKUP(T$5,NFI,5,0),1,0)*Table_NFI[[#This Row],[Winter Items Other]],Table_NFI[Winter Items Other])</f>
        <v>0</v>
      </c>
      <c r="AL570" s="378">
        <f>IF(NFI_Expiration=1,IF($A570&lt;VLOOKUP(M$5,NFI,5,0),1,0)*Table_NFI[[#This Row],[Winter Blanket]],Table_NFI[[#This Row],[Winter Blanket]])</f>
        <v>0</v>
      </c>
      <c r="AM570" s="378">
        <f>IF(Table_NFI[[#This Row],[Winter Clothes Adult]]+Table_NFI[[#This Row],[Winter Clothes Children]]+Table_NFI[[#This Row],[Winter Items Other]]+Table_NFI[[#This Row],[Winter Blanket]]&gt;0,1,0)</f>
        <v>0</v>
      </c>
      <c r="AN570" s="418">
        <f>IF(NFI_Expiration=1,IF($A570&lt;VLOOKUP(V$5,NFI,5,0),1,0)*Table_NFI[[#This Row],[Jerry Can]],Table_NFI[Jerry Can])</f>
        <v>0</v>
      </c>
      <c r="AO570" s="579" t="str">
        <f>IFERROR(VLOOKUP(Table_NFI[[#This Row],[Camp Name]],CL,2,0),"")</f>
        <v>MMR001CMP192</v>
      </c>
      <c r="AP570" s="574">
        <f ca="1">IF(Table_NFI[[#This Row],[Pcode]]="","",IF(OFFSET(CampList[Opening Date],MATCH(Table_NFI[[#This Row],[Pcode]],CampList[CP_Pcode],0)-1,0,1,1)&gt;=NFI_Monitor_Date,1,0))</f>
        <v>0</v>
      </c>
      <c r="AQ570" s="579" t="str">
        <f>IFERROR(VLOOKUP(Table_NFI[[#This Row],[Camp Name]],CL,3,0),"")</f>
        <v>Open</v>
      </c>
      <c r="AR570" s="378" t="str">
        <f ca="1">IF(Table_NFI[[#This Row],[Pcode]]="","",OFFSET(CampList[Priority],MATCH(Table_NFI[[#This Row],[Pcode]],CampList[CP_Pcode],0)-1,0,1,1))</f>
        <v>P4</v>
      </c>
      <c r="AS570" s="377">
        <f>IFERROR(Table_NFI[[#This Row],[Kitchen Set]]/VLOOKUP(Table_NFI[[#This Row],[Camp Name]],CL,4,0),"")</f>
        <v>1.7647058823529411</v>
      </c>
      <c r="AT570" s="572" t="s">
        <v>1095</v>
      </c>
      <c r="AU570" s="575"/>
    </row>
    <row r="571" spans="1:47" x14ac:dyDescent="0.25">
      <c r="A571" s="381">
        <f t="shared" si="8"/>
        <v>39.93333333333333</v>
      </c>
      <c r="B571" s="571">
        <v>41324</v>
      </c>
      <c r="C571" s="572" t="s">
        <v>454</v>
      </c>
      <c r="D571" s="573" t="s">
        <v>454</v>
      </c>
      <c r="E571" s="572" t="s">
        <v>380</v>
      </c>
      <c r="F571" s="374" t="s">
        <v>529</v>
      </c>
      <c r="G571" s="374" t="s">
        <v>613</v>
      </c>
      <c r="H571" s="375"/>
      <c r="I571" s="375"/>
      <c r="J571" s="375">
        <v>19</v>
      </c>
      <c r="K571" s="375">
        <v>30</v>
      </c>
      <c r="L571" s="376">
        <v>18</v>
      </c>
      <c r="M571" s="376">
        <v>68</v>
      </c>
      <c r="N571" s="376">
        <v>18</v>
      </c>
      <c r="O571" s="376">
        <v>18</v>
      </c>
      <c r="P571" s="378">
        <v>18</v>
      </c>
      <c r="Q571" s="378">
        <v>18</v>
      </c>
      <c r="R571" s="378"/>
      <c r="S571" s="378"/>
      <c r="T571" s="378"/>
      <c r="U571" s="378"/>
      <c r="V571" s="533"/>
      <c r="W571" s="378"/>
      <c r="X571" s="378"/>
      <c r="Y571" s="378">
        <f>IF(NFI_Expiration=1,IF($A571&lt;VLOOKUP(H$5,NFI,5,0),1,0)*Table_NFI[[#This Row],[Hygiene Kit]],Table_NFI[Hygiene Kit])</f>
        <v>0</v>
      </c>
      <c r="Z571" s="378">
        <f>IF(NFI_Expiration=1,IF($A571&lt;VLOOKUP(I$5,NFI,5,0),1,0)*Table_NFI[[#This Row],[NFI Core Kit]],Table_NFI[NFI Core Kit])</f>
        <v>0</v>
      </c>
      <c r="AA571" s="378">
        <f>IF(NFI_Expiration=1,IF($A571&lt;VLOOKUP(J$5,NFI,5,0),1,0)*Table_NFI[[#This Row],[Sanitary Kit]],Table_NFI[Sanitary Kit])</f>
        <v>0</v>
      </c>
      <c r="AB571" s="378">
        <f>IF(NFI_Expiration=1,IF($A571&lt;VLOOKUP(K$5,NFI,5,0),1,0)*Table_NFI[[#This Row],[Mosquito net]],Table_NFI[Mosquito net])</f>
        <v>0</v>
      </c>
      <c r="AC571" s="378">
        <f>IF(NFI_Expiration=1,IF($A571&lt;VLOOKUP(L$5,NFI,5,0),1,0)*Table_NFI[[#This Row],[Tarpaulin]],Table_NFI[[#This Row],[Tarpaulin]])</f>
        <v>0</v>
      </c>
      <c r="AD571" s="378">
        <f>IF(NFI_Expiration=1,IF($A571&lt;VLOOKUP(M$5,NFI,5,0),1,0)*Table_NFI[[#This Row],[Blanket]],Table_NFI[[#This Row],[Blanket]])</f>
        <v>0</v>
      </c>
      <c r="AE571" s="378">
        <f>IF(NFI_Expiration=1,IF($A571&lt;VLOOKUP(N$5,NFI,5,0),1,0)*Table_NFI[[#This Row],[Kitchen Set]],Table_NFI[Kitchen Set])</f>
        <v>0</v>
      </c>
      <c r="AF571" s="378">
        <f>IF(NFI_Expiration=1,IF($A571&lt;VLOOKUP(O$5,NFI,5,0),1,0)*Table_NFI[[#This Row],[Clothes Kit]],Table_NFI[Clothes Kit])</f>
        <v>0</v>
      </c>
      <c r="AG571" s="378">
        <f>IF(NFI_Expiration=1,IF($A571&lt;VLOOKUP(P$5,NFI,5,0),1,0)*Table_NFI[[#This Row],[Plastic Bucket]],Table_NFI[Plastic Bucket])</f>
        <v>0</v>
      </c>
      <c r="AH571" s="378">
        <f>IF(NFI_Expiration=1,IF($A571&lt;VLOOKUP(Q$5,NFI,5,0),1,0)*Table_NFI[[#This Row],[Plastic Mat]],Table_NFI[Plastic Mat])*IF(Table_NFI[[#This Row],[Distribution Date]]&gt;"2014-04-01",1,2.5)</f>
        <v>0</v>
      </c>
      <c r="AI571" s="378">
        <f>IF(NFI_Expiration=1,IF($A571&lt;VLOOKUP(R$5,NFI,5,0),1,0)*Table_NFI[[#This Row],[Winter Clothes Adult]],Table_NFI[Winter Clothes Adult])</f>
        <v>0</v>
      </c>
      <c r="AJ571" s="378">
        <f>IF(NFI_Expiration=1,IF($A571&lt;VLOOKUP(S$5,NFI,5,0),1,0)*Table_NFI[[#This Row],[Winter Clothes Children]],Table_NFI[Winter Clothes Children])</f>
        <v>0</v>
      </c>
      <c r="AK571" s="378">
        <f>IF(NFI_Expiration=1,IF($A571&lt;VLOOKUP(T$5,NFI,5,0),1,0)*Table_NFI[[#This Row],[Winter Items Other]],Table_NFI[Winter Items Other])</f>
        <v>0</v>
      </c>
      <c r="AL571" s="378">
        <f>IF(NFI_Expiration=1,IF($A571&lt;VLOOKUP(M$5,NFI,5,0),1,0)*Table_NFI[[#This Row],[Winter Blanket]],Table_NFI[[#This Row],[Winter Blanket]])</f>
        <v>0</v>
      </c>
      <c r="AM571" s="378">
        <f>IF(Table_NFI[[#This Row],[Winter Clothes Adult]]+Table_NFI[[#This Row],[Winter Clothes Children]]+Table_NFI[[#This Row],[Winter Items Other]]+Table_NFI[[#This Row],[Winter Blanket]]&gt;0,1,0)</f>
        <v>0</v>
      </c>
      <c r="AN571" s="418">
        <f>IF(NFI_Expiration=1,IF($A571&lt;VLOOKUP(V$5,NFI,5,0),1,0)*Table_NFI[[#This Row],[Jerry Can]],Table_NFI[Jerry Can])</f>
        <v>0</v>
      </c>
      <c r="AO571" s="579" t="str">
        <f>IFERROR(VLOOKUP(Table_NFI[[#This Row],[Camp Name]],CL,2,0),"")</f>
        <v>MMR001CMP192</v>
      </c>
      <c r="AP571" s="574">
        <f ca="1">IF(Table_NFI[[#This Row],[Pcode]]="","",IF(OFFSET(CampList[Opening Date],MATCH(Table_NFI[[#This Row],[Pcode]],CampList[CP_Pcode],0)-1,0,1,1)&gt;=NFI_Monitor_Date,1,0))</f>
        <v>0</v>
      </c>
      <c r="AQ571" s="579" t="str">
        <f>IFERROR(VLOOKUP(Table_NFI[[#This Row],[Camp Name]],CL,3,0),"")</f>
        <v>Open</v>
      </c>
      <c r="AR571" s="378" t="str">
        <f ca="1">IF(Table_NFI[[#This Row],[Pcode]]="","",OFFSET(CampList[Priority],MATCH(Table_NFI[[#This Row],[Pcode]],CampList[CP_Pcode],0)-1,0,1,1))</f>
        <v>P4</v>
      </c>
      <c r="AS571" s="377">
        <f>IFERROR(Table_NFI[[#This Row],[Kitchen Set]]/VLOOKUP(Table_NFI[[#This Row],[Camp Name]],CL,4,0),"")</f>
        <v>1.0588235294117647</v>
      </c>
      <c r="AT571" s="572" t="s">
        <v>1095</v>
      </c>
      <c r="AU571" s="575"/>
    </row>
    <row r="572" spans="1:47" x14ac:dyDescent="0.25">
      <c r="A572" s="381">
        <f t="shared" si="8"/>
        <v>41.6</v>
      </c>
      <c r="B572" s="571">
        <v>41274</v>
      </c>
      <c r="C572" s="572" t="s">
        <v>455</v>
      </c>
      <c r="D572" s="573" t="s">
        <v>455</v>
      </c>
      <c r="E572" s="572" t="s">
        <v>380</v>
      </c>
      <c r="F572" s="374" t="s">
        <v>529</v>
      </c>
      <c r="G572" s="374" t="s">
        <v>613</v>
      </c>
      <c r="H572" s="375">
        <v>32</v>
      </c>
      <c r="I572" s="375"/>
      <c r="J572" s="375"/>
      <c r="K572" s="375"/>
      <c r="L572" s="376"/>
      <c r="M572" s="376"/>
      <c r="N572" s="376"/>
      <c r="O572" s="376"/>
      <c r="P572" s="378">
        <v>0</v>
      </c>
      <c r="Q572" s="378">
        <v>0</v>
      </c>
      <c r="R572" s="378"/>
      <c r="S572" s="378"/>
      <c r="T572" s="378"/>
      <c r="U572" s="378"/>
      <c r="V572" s="533"/>
      <c r="W572" s="378"/>
      <c r="X572" s="378"/>
      <c r="Y572" s="378">
        <f>IF(NFI_Expiration=1,IF($A572&lt;VLOOKUP(H$5,NFI,5,0),1,0)*Table_NFI[[#This Row],[Hygiene Kit]],Table_NFI[Hygiene Kit])</f>
        <v>0</v>
      </c>
      <c r="Z572" s="378">
        <f>IF(NFI_Expiration=1,IF($A572&lt;VLOOKUP(I$5,NFI,5,0),1,0)*Table_NFI[[#This Row],[NFI Core Kit]],Table_NFI[NFI Core Kit])</f>
        <v>0</v>
      </c>
      <c r="AA572" s="378">
        <f>IF(NFI_Expiration=1,IF($A572&lt;VLOOKUP(J$5,NFI,5,0),1,0)*Table_NFI[[#This Row],[Sanitary Kit]],Table_NFI[Sanitary Kit])</f>
        <v>0</v>
      </c>
      <c r="AB572" s="378">
        <f>IF(NFI_Expiration=1,IF($A572&lt;VLOOKUP(K$5,NFI,5,0),1,0)*Table_NFI[[#This Row],[Mosquito net]],Table_NFI[Mosquito net])</f>
        <v>0</v>
      </c>
      <c r="AC572" s="378">
        <f>IF(NFI_Expiration=1,IF($A572&lt;VLOOKUP(L$5,NFI,5,0),1,0)*Table_NFI[[#This Row],[Tarpaulin]],Table_NFI[[#This Row],[Tarpaulin]])</f>
        <v>0</v>
      </c>
      <c r="AD572" s="378">
        <f>IF(NFI_Expiration=1,IF($A572&lt;VLOOKUP(M$5,NFI,5,0),1,0)*Table_NFI[[#This Row],[Blanket]],Table_NFI[[#This Row],[Blanket]])</f>
        <v>0</v>
      </c>
      <c r="AE572" s="378">
        <f>IF(NFI_Expiration=1,IF($A572&lt;VLOOKUP(N$5,NFI,5,0),1,0)*Table_NFI[[#This Row],[Kitchen Set]],Table_NFI[Kitchen Set])</f>
        <v>0</v>
      </c>
      <c r="AF572" s="378">
        <f>IF(NFI_Expiration=1,IF($A572&lt;VLOOKUP(O$5,NFI,5,0),1,0)*Table_NFI[[#This Row],[Clothes Kit]],Table_NFI[Clothes Kit])</f>
        <v>0</v>
      </c>
      <c r="AG572" s="378">
        <f>IF(NFI_Expiration=1,IF($A572&lt;VLOOKUP(P$5,NFI,5,0),1,0)*Table_NFI[[#This Row],[Plastic Bucket]],Table_NFI[Plastic Bucket])</f>
        <v>0</v>
      </c>
      <c r="AH572" s="378">
        <f>IF(NFI_Expiration=1,IF($A572&lt;VLOOKUP(Q$5,NFI,5,0),1,0)*Table_NFI[[#This Row],[Plastic Mat]],Table_NFI[Plastic Mat])*IF(Table_NFI[[#This Row],[Distribution Date]]&gt;"2014-04-01",1,2.5)</f>
        <v>0</v>
      </c>
      <c r="AI572" s="378">
        <f>IF(NFI_Expiration=1,IF($A572&lt;VLOOKUP(R$5,NFI,5,0),1,0)*Table_NFI[[#This Row],[Winter Clothes Adult]],Table_NFI[Winter Clothes Adult])</f>
        <v>0</v>
      </c>
      <c r="AJ572" s="378">
        <f>IF(NFI_Expiration=1,IF($A572&lt;VLOOKUP(S$5,NFI,5,0),1,0)*Table_NFI[[#This Row],[Winter Clothes Children]],Table_NFI[Winter Clothes Children])</f>
        <v>0</v>
      </c>
      <c r="AK572" s="378">
        <f>IF(NFI_Expiration=1,IF($A572&lt;VLOOKUP(T$5,NFI,5,0),1,0)*Table_NFI[[#This Row],[Winter Items Other]],Table_NFI[Winter Items Other])</f>
        <v>0</v>
      </c>
      <c r="AL572" s="378">
        <f>IF(NFI_Expiration=1,IF($A572&lt;VLOOKUP(M$5,NFI,5,0),1,0)*Table_NFI[[#This Row],[Winter Blanket]],Table_NFI[[#This Row],[Winter Blanket]])</f>
        <v>0</v>
      </c>
      <c r="AM572" s="378">
        <f>IF(Table_NFI[[#This Row],[Winter Clothes Adult]]+Table_NFI[[#This Row],[Winter Clothes Children]]+Table_NFI[[#This Row],[Winter Items Other]]+Table_NFI[[#This Row],[Winter Blanket]]&gt;0,1,0)</f>
        <v>0</v>
      </c>
      <c r="AN572" s="418">
        <f>IF(NFI_Expiration=1,IF($A572&lt;VLOOKUP(V$5,NFI,5,0),1,0)*Table_NFI[[#This Row],[Jerry Can]],Table_NFI[Jerry Can])</f>
        <v>0</v>
      </c>
      <c r="AO572" s="579" t="str">
        <f>IFERROR(VLOOKUP(Table_NFI[[#This Row],[Camp Name]],CL,2,0),"")</f>
        <v>MMR001CMP192</v>
      </c>
      <c r="AP572" s="574">
        <f ca="1">IF(Table_NFI[[#This Row],[Pcode]]="","",IF(OFFSET(CampList[Opening Date],MATCH(Table_NFI[[#This Row],[Pcode]],CampList[CP_Pcode],0)-1,0,1,1)&gt;=NFI_Monitor_Date,1,0))</f>
        <v>0</v>
      </c>
      <c r="AQ572" s="579" t="str">
        <f>IFERROR(VLOOKUP(Table_NFI[[#This Row],[Camp Name]],CL,3,0),"")</f>
        <v>Open</v>
      </c>
      <c r="AR572" s="378" t="str">
        <f ca="1">IF(Table_NFI[[#This Row],[Pcode]]="","",OFFSET(CampList[Priority],MATCH(Table_NFI[[#This Row],[Pcode]],CampList[CP_Pcode],0)-1,0,1,1))</f>
        <v>P4</v>
      </c>
      <c r="AS572" s="377">
        <f>IFERROR(Table_NFI[[#This Row],[Kitchen Set]]/VLOOKUP(Table_NFI[[#This Row],[Camp Name]],CL,4,0),"")</f>
        <v>0</v>
      </c>
      <c r="AT572" s="572" t="s">
        <v>1095</v>
      </c>
      <c r="AU572" s="575"/>
    </row>
    <row r="573" spans="1:47" x14ac:dyDescent="0.25">
      <c r="A573" s="381">
        <f t="shared" si="8"/>
        <v>34.1</v>
      </c>
      <c r="B573" s="571">
        <v>41499</v>
      </c>
      <c r="C573" s="572" t="s">
        <v>454</v>
      </c>
      <c r="D573" s="572" t="s">
        <v>508</v>
      </c>
      <c r="E573" s="572" t="s">
        <v>555</v>
      </c>
      <c r="F573" s="374" t="s">
        <v>298</v>
      </c>
      <c r="G573" s="374" t="s">
        <v>595</v>
      </c>
      <c r="H573" s="375"/>
      <c r="I573" s="375"/>
      <c r="J573" s="375">
        <v>130</v>
      </c>
      <c r="K573" s="375">
        <v>288</v>
      </c>
      <c r="L573" s="376">
        <v>115</v>
      </c>
      <c r="M573" s="376">
        <v>288</v>
      </c>
      <c r="N573" s="376">
        <v>115</v>
      </c>
      <c r="O573" s="376">
        <v>115</v>
      </c>
      <c r="P573" s="378">
        <v>115</v>
      </c>
      <c r="Q573" s="378">
        <v>115</v>
      </c>
      <c r="R573" s="378"/>
      <c r="S573" s="378"/>
      <c r="T573" s="378"/>
      <c r="U573" s="378"/>
      <c r="V573" s="533"/>
      <c r="W573" s="378"/>
      <c r="X573" s="378"/>
      <c r="Y573" s="378">
        <f>IF(NFI_Expiration=1,IF($A573&lt;VLOOKUP(H$5,NFI,5,0),1,0)*Table_NFI[[#This Row],[Hygiene Kit]],Table_NFI[Hygiene Kit])</f>
        <v>0</v>
      </c>
      <c r="Z573" s="378">
        <f>IF(NFI_Expiration=1,IF($A573&lt;VLOOKUP(I$5,NFI,5,0),1,0)*Table_NFI[[#This Row],[NFI Core Kit]],Table_NFI[NFI Core Kit])</f>
        <v>0</v>
      </c>
      <c r="AA573" s="378">
        <f>IF(NFI_Expiration=1,IF($A573&lt;VLOOKUP(J$5,NFI,5,0),1,0)*Table_NFI[[#This Row],[Sanitary Kit]],Table_NFI[Sanitary Kit])</f>
        <v>0</v>
      </c>
      <c r="AB573" s="378">
        <f>IF(NFI_Expiration=1,IF($A573&lt;VLOOKUP(K$5,NFI,5,0),1,0)*Table_NFI[[#This Row],[Mosquito net]],Table_NFI[Mosquito net])</f>
        <v>0</v>
      </c>
      <c r="AC573" s="378">
        <f>IF(NFI_Expiration=1,IF($A573&lt;VLOOKUP(L$5,NFI,5,0),1,0)*Table_NFI[[#This Row],[Tarpaulin]],Table_NFI[[#This Row],[Tarpaulin]])</f>
        <v>0</v>
      </c>
      <c r="AD573" s="378">
        <f>IF(NFI_Expiration=1,IF($A573&lt;VLOOKUP(M$5,NFI,5,0),1,0)*Table_NFI[[#This Row],[Blanket]],Table_NFI[[#This Row],[Blanket]])</f>
        <v>0</v>
      </c>
      <c r="AE573" s="378">
        <f>IF(NFI_Expiration=1,IF($A573&lt;VLOOKUP(N$5,NFI,5,0),1,0)*Table_NFI[[#This Row],[Kitchen Set]],Table_NFI[Kitchen Set])</f>
        <v>0</v>
      </c>
      <c r="AF573" s="378">
        <f>IF(NFI_Expiration=1,IF($A573&lt;VLOOKUP(O$5,NFI,5,0),1,0)*Table_NFI[[#This Row],[Clothes Kit]],Table_NFI[Clothes Kit])</f>
        <v>0</v>
      </c>
      <c r="AG573" s="378">
        <f>IF(NFI_Expiration=1,IF($A573&lt;VLOOKUP(P$5,NFI,5,0),1,0)*Table_NFI[[#This Row],[Plastic Bucket]],Table_NFI[Plastic Bucket])</f>
        <v>0</v>
      </c>
      <c r="AH573" s="378">
        <f>IF(NFI_Expiration=1,IF($A573&lt;VLOOKUP(Q$5,NFI,5,0),1,0)*Table_NFI[[#This Row],[Plastic Mat]],Table_NFI[Plastic Mat])*IF(Table_NFI[[#This Row],[Distribution Date]]&gt;"2014-04-01",1,2.5)</f>
        <v>0</v>
      </c>
      <c r="AI573" s="378">
        <f>IF(NFI_Expiration=1,IF($A573&lt;VLOOKUP(R$5,NFI,5,0),1,0)*Table_NFI[[#This Row],[Winter Clothes Adult]],Table_NFI[Winter Clothes Adult])</f>
        <v>0</v>
      </c>
      <c r="AJ573" s="378">
        <f>IF(NFI_Expiration=1,IF($A573&lt;VLOOKUP(S$5,NFI,5,0),1,0)*Table_NFI[[#This Row],[Winter Clothes Children]],Table_NFI[Winter Clothes Children])</f>
        <v>0</v>
      </c>
      <c r="AK573" s="378">
        <f>IF(NFI_Expiration=1,IF($A573&lt;VLOOKUP(T$5,NFI,5,0),1,0)*Table_NFI[[#This Row],[Winter Items Other]],Table_NFI[Winter Items Other])</f>
        <v>0</v>
      </c>
      <c r="AL573" s="378">
        <f>IF(NFI_Expiration=1,IF($A573&lt;VLOOKUP(M$5,NFI,5,0),1,0)*Table_NFI[[#This Row],[Winter Blanket]],Table_NFI[[#This Row],[Winter Blanket]])</f>
        <v>0</v>
      </c>
      <c r="AM573" s="378">
        <f>IF(Table_NFI[[#This Row],[Winter Clothes Adult]]+Table_NFI[[#This Row],[Winter Clothes Children]]+Table_NFI[[#This Row],[Winter Items Other]]+Table_NFI[[#This Row],[Winter Blanket]]&gt;0,1,0)</f>
        <v>0</v>
      </c>
      <c r="AN573" s="418">
        <f>IF(NFI_Expiration=1,IF($A573&lt;VLOOKUP(V$5,NFI,5,0),1,0)*Table_NFI[[#This Row],[Jerry Can]],Table_NFI[Jerry Can])</f>
        <v>0</v>
      </c>
      <c r="AO573" s="579" t="str">
        <f>IFERROR(VLOOKUP(Table_NFI[[#This Row],[Camp Name]],CL,2,0),"")</f>
        <v>MMR015CMP210</v>
      </c>
      <c r="AP573" s="574">
        <f ca="1">IF(Table_NFI[[#This Row],[Pcode]]="","",IF(OFFSET(CampList[Opening Date],MATCH(Table_NFI[[#This Row],[Pcode]],CampList[CP_Pcode],0)-1,0,1,1)&gt;=NFI_Monitor_Date,1,0))</f>
        <v>0</v>
      </c>
      <c r="AQ573" s="579" t="str">
        <f>IFERROR(VLOOKUP(Table_NFI[[#This Row],[Camp Name]],CL,3,0),"")</f>
        <v>Open</v>
      </c>
      <c r="AR573" s="378" t="str">
        <f ca="1">IF(Table_NFI[[#This Row],[Pcode]]="","",OFFSET(CampList[Priority],MATCH(Table_NFI[[#This Row],[Pcode]],CampList[CP_Pcode],0)-1,0,1,1))</f>
        <v>P3</v>
      </c>
      <c r="AS573" s="377">
        <f>IFERROR(Table_NFI[[#This Row],[Kitchen Set]]/VLOOKUP(Table_NFI[[#This Row],[Camp Name]],CL,4,0),"")</f>
        <v>0.97457627118644063</v>
      </c>
      <c r="AT573" s="572" t="s">
        <v>1095</v>
      </c>
      <c r="AU573" s="575"/>
    </row>
    <row r="574" spans="1:47" x14ac:dyDescent="0.25">
      <c r="A574" s="381">
        <f t="shared" si="8"/>
        <v>39.966666666666669</v>
      </c>
      <c r="B574" s="571">
        <v>41323</v>
      </c>
      <c r="C574" s="572" t="s">
        <v>454</v>
      </c>
      <c r="D574" s="573" t="s">
        <v>462</v>
      </c>
      <c r="E574" s="572" t="s">
        <v>555</v>
      </c>
      <c r="F574" s="374" t="s">
        <v>298</v>
      </c>
      <c r="G574" s="374" t="s">
        <v>595</v>
      </c>
      <c r="H574" s="375"/>
      <c r="I574" s="375"/>
      <c r="J574" s="375">
        <v>90</v>
      </c>
      <c r="K574" s="375">
        <v>90</v>
      </c>
      <c r="L574" s="376">
        <v>45</v>
      </c>
      <c r="M574" s="376">
        <v>90</v>
      </c>
      <c r="N574" s="376">
        <v>45</v>
      </c>
      <c r="O574" s="376">
        <v>45</v>
      </c>
      <c r="P574" s="378">
        <v>45</v>
      </c>
      <c r="Q574" s="378">
        <v>45</v>
      </c>
      <c r="R574" s="378"/>
      <c r="S574" s="378"/>
      <c r="T574" s="378"/>
      <c r="U574" s="378"/>
      <c r="V574" s="533"/>
      <c r="W574" s="378"/>
      <c r="X574" s="378"/>
      <c r="Y574" s="378">
        <f>IF(NFI_Expiration=1,IF($A574&lt;VLOOKUP(H$5,NFI,5,0),1,0)*Table_NFI[[#This Row],[Hygiene Kit]],Table_NFI[Hygiene Kit])</f>
        <v>0</v>
      </c>
      <c r="Z574" s="378">
        <f>IF(NFI_Expiration=1,IF($A574&lt;VLOOKUP(I$5,NFI,5,0),1,0)*Table_NFI[[#This Row],[NFI Core Kit]],Table_NFI[NFI Core Kit])</f>
        <v>0</v>
      </c>
      <c r="AA574" s="378">
        <f>IF(NFI_Expiration=1,IF($A574&lt;VLOOKUP(J$5,NFI,5,0),1,0)*Table_NFI[[#This Row],[Sanitary Kit]],Table_NFI[Sanitary Kit])</f>
        <v>0</v>
      </c>
      <c r="AB574" s="378">
        <f>IF(NFI_Expiration=1,IF($A574&lt;VLOOKUP(K$5,NFI,5,0),1,0)*Table_NFI[[#This Row],[Mosquito net]],Table_NFI[Mosquito net])</f>
        <v>0</v>
      </c>
      <c r="AC574" s="378">
        <f>IF(NFI_Expiration=1,IF($A574&lt;VLOOKUP(L$5,NFI,5,0),1,0)*Table_NFI[[#This Row],[Tarpaulin]],Table_NFI[[#This Row],[Tarpaulin]])</f>
        <v>0</v>
      </c>
      <c r="AD574" s="378">
        <f>IF(NFI_Expiration=1,IF($A574&lt;VLOOKUP(M$5,NFI,5,0),1,0)*Table_NFI[[#This Row],[Blanket]],Table_NFI[[#This Row],[Blanket]])</f>
        <v>0</v>
      </c>
      <c r="AE574" s="378">
        <f>IF(NFI_Expiration=1,IF($A574&lt;VLOOKUP(N$5,NFI,5,0),1,0)*Table_NFI[[#This Row],[Kitchen Set]],Table_NFI[Kitchen Set])</f>
        <v>0</v>
      </c>
      <c r="AF574" s="378">
        <f>IF(NFI_Expiration=1,IF($A574&lt;VLOOKUP(O$5,NFI,5,0),1,0)*Table_NFI[[#This Row],[Clothes Kit]],Table_NFI[Clothes Kit])</f>
        <v>0</v>
      </c>
      <c r="AG574" s="378">
        <f>IF(NFI_Expiration=1,IF($A574&lt;VLOOKUP(P$5,NFI,5,0),1,0)*Table_NFI[[#This Row],[Plastic Bucket]],Table_NFI[Plastic Bucket])</f>
        <v>0</v>
      </c>
      <c r="AH574" s="378">
        <f>IF(NFI_Expiration=1,IF($A574&lt;VLOOKUP(Q$5,NFI,5,0),1,0)*Table_NFI[[#This Row],[Plastic Mat]],Table_NFI[Plastic Mat])*IF(Table_NFI[[#This Row],[Distribution Date]]&gt;"2014-04-01",1,2.5)</f>
        <v>0</v>
      </c>
      <c r="AI574" s="378">
        <f>IF(NFI_Expiration=1,IF($A574&lt;VLOOKUP(R$5,NFI,5,0),1,0)*Table_NFI[[#This Row],[Winter Clothes Adult]],Table_NFI[Winter Clothes Adult])</f>
        <v>0</v>
      </c>
      <c r="AJ574" s="378">
        <f>IF(NFI_Expiration=1,IF($A574&lt;VLOOKUP(S$5,NFI,5,0),1,0)*Table_NFI[[#This Row],[Winter Clothes Children]],Table_NFI[Winter Clothes Children])</f>
        <v>0</v>
      </c>
      <c r="AK574" s="378">
        <f>IF(NFI_Expiration=1,IF($A574&lt;VLOOKUP(T$5,NFI,5,0),1,0)*Table_NFI[[#This Row],[Winter Items Other]],Table_NFI[Winter Items Other])</f>
        <v>0</v>
      </c>
      <c r="AL574" s="378">
        <f>IF(NFI_Expiration=1,IF($A574&lt;VLOOKUP(M$5,NFI,5,0),1,0)*Table_NFI[[#This Row],[Winter Blanket]],Table_NFI[[#This Row],[Winter Blanket]])</f>
        <v>0</v>
      </c>
      <c r="AM574" s="378">
        <f>IF(Table_NFI[[#This Row],[Winter Clothes Adult]]+Table_NFI[[#This Row],[Winter Clothes Children]]+Table_NFI[[#This Row],[Winter Items Other]]+Table_NFI[[#This Row],[Winter Blanket]]&gt;0,1,0)</f>
        <v>0</v>
      </c>
      <c r="AN574" s="418">
        <f>IF(NFI_Expiration=1,IF($A574&lt;VLOOKUP(V$5,NFI,5,0),1,0)*Table_NFI[[#This Row],[Jerry Can]],Table_NFI[Jerry Can])</f>
        <v>0</v>
      </c>
      <c r="AO574" s="579" t="str">
        <f>IFERROR(VLOOKUP(Table_NFI[[#This Row],[Camp Name]],CL,2,0),"")</f>
        <v>MMR015CMP210</v>
      </c>
      <c r="AP574" s="574">
        <f ca="1">IF(Table_NFI[[#This Row],[Pcode]]="","",IF(OFFSET(CampList[Opening Date],MATCH(Table_NFI[[#This Row],[Pcode]],CampList[CP_Pcode],0)-1,0,1,1)&gt;=NFI_Monitor_Date,1,0))</f>
        <v>0</v>
      </c>
      <c r="AQ574" s="579" t="str">
        <f>IFERROR(VLOOKUP(Table_NFI[[#This Row],[Camp Name]],CL,3,0),"")</f>
        <v>Open</v>
      </c>
      <c r="AR574" s="378" t="str">
        <f ca="1">IF(Table_NFI[[#This Row],[Pcode]]="","",OFFSET(CampList[Priority],MATCH(Table_NFI[[#This Row],[Pcode]],CampList[CP_Pcode],0)-1,0,1,1))</f>
        <v>P3</v>
      </c>
      <c r="AS574" s="377">
        <f>IFERROR(Table_NFI[[#This Row],[Kitchen Set]]/VLOOKUP(Table_NFI[[#This Row],[Camp Name]],CL,4,0),"")</f>
        <v>0.38135593220338981</v>
      </c>
      <c r="AT574" s="572" t="s">
        <v>1095</v>
      </c>
      <c r="AU574" s="575"/>
    </row>
    <row r="575" spans="1:47" x14ac:dyDescent="0.25">
      <c r="A575" s="381">
        <f t="shared" si="8"/>
        <v>15.533333333333333</v>
      </c>
      <c r="B575" s="571">
        <v>42056</v>
      </c>
      <c r="C575" s="572" t="s">
        <v>454</v>
      </c>
      <c r="D575" s="572" t="s">
        <v>454</v>
      </c>
      <c r="E575" s="572" t="s">
        <v>555</v>
      </c>
      <c r="F575" s="572" t="s">
        <v>146</v>
      </c>
      <c r="G575" s="572" t="s">
        <v>1366</v>
      </c>
      <c r="H575" s="375"/>
      <c r="I575" s="378"/>
      <c r="J575" s="375"/>
      <c r="K575" s="378">
        <v>161</v>
      </c>
      <c r="L575" s="376">
        <v>76</v>
      </c>
      <c r="M575" s="376"/>
      <c r="N575" s="376">
        <v>76</v>
      </c>
      <c r="O575" s="376"/>
      <c r="P575" s="378">
        <v>76</v>
      </c>
      <c r="Q575" s="378"/>
      <c r="R575" s="378"/>
      <c r="S575" s="378"/>
      <c r="T575" s="378"/>
      <c r="U575" s="378"/>
      <c r="V575" s="533">
        <v>76</v>
      </c>
      <c r="W575" s="378"/>
      <c r="X575" s="378"/>
      <c r="Y575" s="378">
        <f>IF(NFI_Expiration=1,IF($A575&lt;VLOOKUP(H$5,NFI,5,0),1,0)*Table_NFI[[#This Row],[Hygiene Kit]],Table_NFI[Hygiene Kit])</f>
        <v>0</v>
      </c>
      <c r="Z575" s="378">
        <f>IF(NFI_Expiration=1,IF($A575&lt;VLOOKUP(I$5,NFI,5,0),1,0)*Table_NFI[[#This Row],[NFI Core Kit]],Table_NFI[NFI Core Kit])</f>
        <v>0</v>
      </c>
      <c r="AA575" s="378">
        <f>IF(NFI_Expiration=1,IF($A575&lt;VLOOKUP(J$5,NFI,5,0),1,0)*Table_NFI[[#This Row],[Sanitary Kit]],Table_NFI[Sanitary Kit])</f>
        <v>0</v>
      </c>
      <c r="AB575" s="378">
        <f>IF(NFI_Expiration=1,IF($A575&lt;VLOOKUP(K$5,NFI,5,0),1,0)*Table_NFI[[#This Row],[Mosquito net]],Table_NFI[Mosquito net])</f>
        <v>0</v>
      </c>
      <c r="AC575" s="378">
        <f>IF(NFI_Expiration=1,IF($A575&lt;VLOOKUP(L$5,NFI,5,0),1,0)*Table_NFI[[#This Row],[Tarpaulin]],Table_NFI[[#This Row],[Tarpaulin]])</f>
        <v>0</v>
      </c>
      <c r="AD575" s="378">
        <f>IF(NFI_Expiration=1,IF($A575&lt;VLOOKUP(M$5,NFI,5,0),1,0)*Table_NFI[[#This Row],[Blanket]],Table_NFI[[#This Row],[Blanket]])</f>
        <v>0</v>
      </c>
      <c r="AE575" s="378">
        <f>IF(NFI_Expiration=1,IF($A575&lt;VLOOKUP(N$5,NFI,5,0),1,0)*Table_NFI[[#This Row],[Kitchen Set]],Table_NFI[Kitchen Set])</f>
        <v>0</v>
      </c>
      <c r="AF575" s="378">
        <f>IF(NFI_Expiration=1,IF($A575&lt;VLOOKUP(O$5,NFI,5,0),1,0)*Table_NFI[[#This Row],[Clothes Kit]],Table_NFI[Clothes Kit])</f>
        <v>0</v>
      </c>
      <c r="AG575" s="378">
        <f>IF(NFI_Expiration=1,IF($A575&lt;VLOOKUP(P$5,NFI,5,0),1,0)*Table_NFI[[#This Row],[Plastic Bucket]],Table_NFI[Plastic Bucket])</f>
        <v>0</v>
      </c>
      <c r="AH575" s="378">
        <f>IF(NFI_Expiration=1,IF($A575&lt;VLOOKUP(Q$5,NFI,5,0),1,0)*Table_NFI[[#This Row],[Plastic Mat]],Table_NFI[Plastic Mat])*IF(Table_NFI[[#This Row],[Distribution Date]]&gt;"2014-04-01",1,2.5)</f>
        <v>0</v>
      </c>
      <c r="AI575" s="378">
        <f>IF(NFI_Expiration=1,IF($A575&lt;VLOOKUP(R$5,NFI,5,0),1,0)*Table_NFI[[#This Row],[Winter Clothes Adult]],Table_NFI[Winter Clothes Adult])</f>
        <v>0</v>
      </c>
      <c r="AJ575" s="378">
        <f>IF(NFI_Expiration=1,IF($A575&lt;VLOOKUP(S$5,NFI,5,0),1,0)*Table_NFI[[#This Row],[Winter Clothes Children]],Table_NFI[Winter Clothes Children])</f>
        <v>0</v>
      </c>
      <c r="AK575" s="378">
        <f>IF(NFI_Expiration=1,IF($A575&lt;VLOOKUP(T$5,NFI,5,0),1,0)*Table_NFI[[#This Row],[Winter Items Other]],Table_NFI[Winter Items Other])</f>
        <v>0</v>
      </c>
      <c r="AL575" s="378">
        <f>IF(NFI_Expiration=1,IF($A575&lt;VLOOKUP(M$5,NFI,5,0),1,0)*Table_NFI[[#This Row],[Winter Blanket]],Table_NFI[[#This Row],[Winter Blanket]])</f>
        <v>0</v>
      </c>
      <c r="AM575" s="378">
        <f>IF(Table_NFI[[#This Row],[Winter Clothes Adult]]+Table_NFI[[#This Row],[Winter Clothes Children]]+Table_NFI[[#This Row],[Winter Items Other]]+Table_NFI[[#This Row],[Winter Blanket]]&gt;0,1,0)</f>
        <v>0</v>
      </c>
      <c r="AN575" s="418">
        <f>IF(NFI_Expiration=1,IF($A575&lt;VLOOKUP(V$5,NFI,5,0),1,0)*Table_NFI[[#This Row],[Jerry Can]],Table_NFI[Jerry Can])</f>
        <v>0</v>
      </c>
      <c r="AO575" s="579" t="str">
        <f>IFERROR(VLOOKUP(Table_NFI[[#This Row],[Camp Name]],CL,2,0),"")</f>
        <v/>
      </c>
      <c r="AP575" s="574" t="str">
        <f ca="1">IF(Table_NFI[[#This Row],[Pcode]]="","",IF(OFFSET(CampList[Opening Date],MATCH(Table_NFI[[#This Row],[Pcode]],CampList[CP_Pcode],0)-1,0,1,1)&gt;=NFI_Monitor_Date,1,0))</f>
        <v/>
      </c>
      <c r="AQ575" s="579" t="str">
        <f>IFERROR(VLOOKUP(Table_NFI[[#This Row],[Camp Name]],CL,3,0),"")</f>
        <v/>
      </c>
      <c r="AR575" s="378" t="str">
        <f ca="1">IF(Table_NFI[[#This Row],[Pcode]]="","",OFFSET(CampList[Priority],MATCH(Table_NFI[[#This Row],[Pcode]],CampList[CP_Pcode],0)-1,0,1,1))</f>
        <v/>
      </c>
      <c r="AS575" s="377" t="str">
        <f>IFERROR(Table_NFI[[#This Row],[Kitchen Set]]/VLOOKUP(Table_NFI[[#This Row],[Camp Name]],CL,4,0),"")</f>
        <v/>
      </c>
      <c r="AT575" s="572" t="s">
        <v>1095</v>
      </c>
      <c r="AU575" s="575"/>
    </row>
    <row r="576" spans="1:47" x14ac:dyDescent="0.25">
      <c r="A576" s="381">
        <f t="shared" si="8"/>
        <v>20.3</v>
      </c>
      <c r="B576" s="571">
        <v>41913</v>
      </c>
      <c r="C576" s="572" t="s">
        <v>454</v>
      </c>
      <c r="D576" s="577" t="s">
        <v>508</v>
      </c>
      <c r="E576" s="577" t="s">
        <v>380</v>
      </c>
      <c r="F576" s="577" t="s">
        <v>237</v>
      </c>
      <c r="G576" s="577" t="s">
        <v>271</v>
      </c>
      <c r="H576" s="376"/>
      <c r="I576" s="376"/>
      <c r="J576" s="376"/>
      <c r="K576" s="376">
        <v>144</v>
      </c>
      <c r="L576" s="376"/>
      <c r="M576" s="376"/>
      <c r="N576" s="376"/>
      <c r="O576" s="376"/>
      <c r="P576" s="378"/>
      <c r="Q576" s="378"/>
      <c r="R576" s="378"/>
      <c r="S576" s="378"/>
      <c r="T576" s="378"/>
      <c r="U576" s="378"/>
      <c r="V576" s="533"/>
      <c r="W576" s="378"/>
      <c r="X576" s="378"/>
      <c r="Y576" s="378">
        <f>IF(NFI_Expiration=1,IF($A576&lt;VLOOKUP(H$5,NFI,5,0),1,0)*Table_NFI[[#This Row],[Hygiene Kit]],Table_NFI[Hygiene Kit])</f>
        <v>0</v>
      </c>
      <c r="Z576" s="378">
        <f>IF(NFI_Expiration=1,IF($A576&lt;VLOOKUP(I$5,NFI,5,0),1,0)*Table_NFI[[#This Row],[NFI Core Kit]],Table_NFI[NFI Core Kit])</f>
        <v>0</v>
      </c>
      <c r="AA576" s="378">
        <f>IF(NFI_Expiration=1,IF($A576&lt;VLOOKUP(J$5,NFI,5,0),1,0)*Table_NFI[[#This Row],[Sanitary Kit]],Table_NFI[Sanitary Kit])</f>
        <v>0</v>
      </c>
      <c r="AB576" s="378">
        <f>IF(NFI_Expiration=1,IF($A576&lt;VLOOKUP(K$5,NFI,5,0),1,0)*Table_NFI[[#This Row],[Mosquito net]],Table_NFI[Mosquito net])</f>
        <v>0</v>
      </c>
      <c r="AC576" s="378">
        <f>IF(NFI_Expiration=1,IF($A576&lt;VLOOKUP(L$5,NFI,5,0),1,0)*Table_NFI[[#This Row],[Tarpaulin]],Table_NFI[[#This Row],[Tarpaulin]])</f>
        <v>0</v>
      </c>
      <c r="AD576" s="378">
        <f>IF(NFI_Expiration=1,IF($A576&lt;VLOOKUP(M$5,NFI,5,0),1,0)*Table_NFI[[#This Row],[Blanket]],Table_NFI[[#This Row],[Blanket]])</f>
        <v>0</v>
      </c>
      <c r="AE576" s="378">
        <f>IF(NFI_Expiration=1,IF($A576&lt;VLOOKUP(N$5,NFI,5,0),1,0)*Table_NFI[[#This Row],[Kitchen Set]],Table_NFI[Kitchen Set])</f>
        <v>0</v>
      </c>
      <c r="AF576" s="378">
        <f>IF(NFI_Expiration=1,IF($A576&lt;VLOOKUP(O$5,NFI,5,0),1,0)*Table_NFI[[#This Row],[Clothes Kit]],Table_NFI[Clothes Kit])</f>
        <v>0</v>
      </c>
      <c r="AG576" s="378">
        <f>IF(NFI_Expiration=1,IF($A576&lt;VLOOKUP(P$5,NFI,5,0),1,0)*Table_NFI[[#This Row],[Plastic Bucket]],Table_NFI[Plastic Bucket])</f>
        <v>0</v>
      </c>
      <c r="AH576" s="378">
        <f>IF(NFI_Expiration=1,IF($A576&lt;VLOOKUP(Q$5,NFI,5,0),1,0)*Table_NFI[[#This Row],[Plastic Mat]],Table_NFI[Plastic Mat])*IF(Table_NFI[[#This Row],[Distribution Date]]&gt;"2014-04-01",1,2.5)</f>
        <v>0</v>
      </c>
      <c r="AI576" s="378">
        <f>IF(NFI_Expiration=1,IF($A576&lt;VLOOKUP(R$5,NFI,5,0),1,0)*Table_NFI[[#This Row],[Winter Clothes Adult]],Table_NFI[Winter Clothes Adult])</f>
        <v>0</v>
      </c>
      <c r="AJ576" s="378">
        <f>IF(NFI_Expiration=1,IF($A576&lt;VLOOKUP(S$5,NFI,5,0),1,0)*Table_NFI[[#This Row],[Winter Clothes Children]],Table_NFI[Winter Clothes Children])</f>
        <v>0</v>
      </c>
      <c r="AK576" s="378">
        <f>IF(NFI_Expiration=1,IF($A576&lt;VLOOKUP(T$5,NFI,5,0),1,0)*Table_NFI[[#This Row],[Winter Items Other]],Table_NFI[Winter Items Other])</f>
        <v>0</v>
      </c>
      <c r="AL576" s="378">
        <f>IF(NFI_Expiration=1,IF($A576&lt;VLOOKUP(M$5,NFI,5,0),1,0)*Table_NFI[[#This Row],[Winter Blanket]],Table_NFI[[#This Row],[Winter Blanket]])</f>
        <v>0</v>
      </c>
      <c r="AM576" s="378">
        <f>IF(Table_NFI[[#This Row],[Winter Clothes Adult]]+Table_NFI[[#This Row],[Winter Clothes Children]]+Table_NFI[[#This Row],[Winter Items Other]]+Table_NFI[[#This Row],[Winter Blanket]]&gt;0,1,0)</f>
        <v>0</v>
      </c>
      <c r="AN576" s="418">
        <f>IF(NFI_Expiration=1,IF($A576&lt;VLOOKUP(V$5,NFI,5,0),1,0)*Table_NFI[[#This Row],[Jerry Can]],Table_NFI[Jerry Can])</f>
        <v>0</v>
      </c>
      <c r="AO576" s="579" t="str">
        <f>IFERROR(VLOOKUP(Table_NFI[[#This Row],[Camp Name]],CL,2,0),"")</f>
        <v>MMR001CMP024</v>
      </c>
      <c r="AP576" s="574">
        <f ca="1">IF(Table_NFI[[#This Row],[Pcode]]="","",IF(OFFSET(CampList[Opening Date],MATCH(Table_NFI[[#This Row],[Pcode]],CampList[CP_Pcode],0)-1,0,1,1)&gt;=NFI_Monitor_Date,1,0))</f>
        <v>0</v>
      </c>
      <c r="AQ576" s="579" t="str">
        <f>IFERROR(VLOOKUP(Table_NFI[[#This Row],[Camp Name]],CL,3,0),"")</f>
        <v>Open</v>
      </c>
      <c r="AR576" s="378" t="str">
        <f ca="1">IF(Table_NFI[[#This Row],[Pcode]]="","",OFFSET(CampList[Priority],MATCH(Table_NFI[[#This Row],[Pcode]],CampList[CP_Pcode],0)-1,0,1,1))</f>
        <v>P4</v>
      </c>
      <c r="AS576" s="377">
        <f>IFERROR(Table_NFI[[#This Row],[Kitchen Set]]/VLOOKUP(Table_NFI[[#This Row],[Camp Name]],CL,4,0),"")</f>
        <v>0</v>
      </c>
      <c r="AT576" s="577"/>
      <c r="AU576" s="580"/>
    </row>
    <row r="577" spans="1:47" x14ac:dyDescent="0.25">
      <c r="A577" s="381">
        <f t="shared" si="8"/>
        <v>24.9</v>
      </c>
      <c r="B577" s="571">
        <v>41775</v>
      </c>
      <c r="C577" s="572" t="s">
        <v>1107</v>
      </c>
      <c r="D577" s="572" t="s">
        <v>903</v>
      </c>
      <c r="E577" s="572" t="s">
        <v>380</v>
      </c>
      <c r="F577" s="572" t="s">
        <v>237</v>
      </c>
      <c r="G577" s="572" t="s">
        <v>271</v>
      </c>
      <c r="H577" s="375"/>
      <c r="I577" s="375"/>
      <c r="J577" s="375"/>
      <c r="K577" s="375"/>
      <c r="L577" s="376"/>
      <c r="M577" s="376"/>
      <c r="N577" s="376"/>
      <c r="O577" s="376"/>
      <c r="P577" s="378"/>
      <c r="Q577" s="378"/>
      <c r="R577" s="378"/>
      <c r="S577" s="378"/>
      <c r="T577" s="378"/>
      <c r="U577" s="378">
        <v>142</v>
      </c>
      <c r="V577" s="533"/>
      <c r="W577" s="378"/>
      <c r="X577" s="378"/>
      <c r="Y577" s="378">
        <f>IF(NFI_Expiration=1,IF($A577&lt;VLOOKUP(H$5,NFI,5,0),1,0)*Table_NFI[[#This Row],[Hygiene Kit]],Table_NFI[Hygiene Kit])</f>
        <v>0</v>
      </c>
      <c r="Z577" s="378">
        <f>IF(NFI_Expiration=1,IF($A577&lt;VLOOKUP(I$5,NFI,5,0),1,0)*Table_NFI[[#This Row],[NFI Core Kit]],Table_NFI[NFI Core Kit])</f>
        <v>0</v>
      </c>
      <c r="AA577" s="378">
        <f>IF(NFI_Expiration=1,IF($A577&lt;VLOOKUP(J$5,NFI,5,0),1,0)*Table_NFI[[#This Row],[Sanitary Kit]],Table_NFI[Sanitary Kit])</f>
        <v>0</v>
      </c>
      <c r="AB577" s="378">
        <f>IF(NFI_Expiration=1,IF($A577&lt;VLOOKUP(K$5,NFI,5,0),1,0)*Table_NFI[[#This Row],[Mosquito net]],Table_NFI[Mosquito net])</f>
        <v>0</v>
      </c>
      <c r="AC577" s="378">
        <f>IF(NFI_Expiration=1,IF($A577&lt;VLOOKUP(L$5,NFI,5,0),1,0)*Table_NFI[[#This Row],[Tarpaulin]],Table_NFI[[#This Row],[Tarpaulin]])</f>
        <v>0</v>
      </c>
      <c r="AD577" s="378">
        <f>IF(NFI_Expiration=1,IF($A577&lt;VLOOKUP(M$5,NFI,5,0),1,0)*Table_NFI[[#This Row],[Blanket]],Table_NFI[[#This Row],[Blanket]])</f>
        <v>0</v>
      </c>
      <c r="AE577" s="378">
        <f>IF(NFI_Expiration=1,IF($A577&lt;VLOOKUP(N$5,NFI,5,0),1,0)*Table_NFI[[#This Row],[Kitchen Set]],Table_NFI[Kitchen Set])</f>
        <v>0</v>
      </c>
      <c r="AF577" s="378">
        <f>IF(NFI_Expiration=1,IF($A577&lt;VLOOKUP(O$5,NFI,5,0),1,0)*Table_NFI[[#This Row],[Clothes Kit]],Table_NFI[Clothes Kit])</f>
        <v>0</v>
      </c>
      <c r="AG577" s="378">
        <f>IF(NFI_Expiration=1,IF($A577&lt;VLOOKUP(P$5,NFI,5,0),1,0)*Table_NFI[[#This Row],[Plastic Bucket]],Table_NFI[Plastic Bucket])</f>
        <v>0</v>
      </c>
      <c r="AH577" s="378">
        <f>IF(NFI_Expiration=1,IF($A577&lt;VLOOKUP(Q$5,NFI,5,0),1,0)*Table_NFI[[#This Row],[Plastic Mat]],Table_NFI[Plastic Mat])*IF(Table_NFI[[#This Row],[Distribution Date]]&gt;"2014-04-01",1,2.5)</f>
        <v>0</v>
      </c>
      <c r="AI577" s="378">
        <f>IF(NFI_Expiration=1,IF($A577&lt;VLOOKUP(R$5,NFI,5,0),1,0)*Table_NFI[[#This Row],[Winter Clothes Adult]],Table_NFI[Winter Clothes Adult])</f>
        <v>0</v>
      </c>
      <c r="AJ577" s="378">
        <f>IF(NFI_Expiration=1,IF($A577&lt;VLOOKUP(S$5,NFI,5,0),1,0)*Table_NFI[[#This Row],[Winter Clothes Children]],Table_NFI[Winter Clothes Children])</f>
        <v>0</v>
      </c>
      <c r="AK577" s="378">
        <f>IF(NFI_Expiration=1,IF($A577&lt;VLOOKUP(T$5,NFI,5,0),1,0)*Table_NFI[[#This Row],[Winter Items Other]],Table_NFI[Winter Items Other])</f>
        <v>0</v>
      </c>
      <c r="AL577" s="378">
        <f>IF(NFI_Expiration=1,IF($A577&lt;VLOOKUP(M$5,NFI,5,0),1,0)*Table_NFI[[#This Row],[Winter Blanket]],Table_NFI[[#This Row],[Winter Blanket]])</f>
        <v>0</v>
      </c>
      <c r="AM577" s="378">
        <f>IF(Table_NFI[[#This Row],[Winter Clothes Adult]]+Table_NFI[[#This Row],[Winter Clothes Children]]+Table_NFI[[#This Row],[Winter Items Other]]+Table_NFI[[#This Row],[Winter Blanket]]&gt;0,1,0)</f>
        <v>1</v>
      </c>
      <c r="AN577" s="418">
        <f>IF(NFI_Expiration=1,IF($A577&lt;VLOOKUP(V$5,NFI,5,0),1,0)*Table_NFI[[#This Row],[Jerry Can]],Table_NFI[Jerry Can])</f>
        <v>0</v>
      </c>
      <c r="AO577" s="579" t="str">
        <f>IFERROR(VLOOKUP(Table_NFI[[#This Row],[Camp Name]],CL,2,0),"")</f>
        <v>MMR001CMP024</v>
      </c>
      <c r="AP577" s="574">
        <f ca="1">IF(Table_NFI[[#This Row],[Pcode]]="","",IF(OFFSET(CampList[Opening Date],MATCH(Table_NFI[[#This Row],[Pcode]],CampList[CP_Pcode],0)-1,0,1,1)&gt;=NFI_Monitor_Date,1,0))</f>
        <v>0</v>
      </c>
      <c r="AQ577" s="579" t="str">
        <f>IFERROR(VLOOKUP(Table_NFI[[#This Row],[Camp Name]],CL,3,0),"")</f>
        <v>Open</v>
      </c>
      <c r="AR577" s="378" t="str">
        <f ca="1">IF(Table_NFI[[#This Row],[Pcode]]="","",OFFSET(CampList[Priority],MATCH(Table_NFI[[#This Row],[Pcode]],CampList[CP_Pcode],0)-1,0,1,1))</f>
        <v>P4</v>
      </c>
      <c r="AS577" s="377">
        <f>IFERROR(Table_NFI[[#This Row],[Kitchen Set]]/VLOOKUP(Table_NFI[[#This Row],[Camp Name]],CL,4,0),"")</f>
        <v>0</v>
      </c>
      <c r="AT577" s="572"/>
      <c r="AU577" s="575"/>
    </row>
    <row r="578" spans="1:47" x14ac:dyDescent="0.25">
      <c r="A578" s="381">
        <f t="shared" si="8"/>
        <v>34.766666666666666</v>
      </c>
      <c r="B578" s="571">
        <v>41479</v>
      </c>
      <c r="C578" s="572" t="s">
        <v>454</v>
      </c>
      <c r="D578" s="572" t="s">
        <v>508</v>
      </c>
      <c r="E578" s="572" t="s">
        <v>380</v>
      </c>
      <c r="F578" s="374" t="s">
        <v>237</v>
      </c>
      <c r="G578" s="374" t="s">
        <v>271</v>
      </c>
      <c r="H578" s="375"/>
      <c r="I578" s="375"/>
      <c r="J578" s="375">
        <v>21</v>
      </c>
      <c r="K578" s="375">
        <v>30</v>
      </c>
      <c r="L578" s="378">
        <v>15</v>
      </c>
      <c r="M578" s="378">
        <v>30</v>
      </c>
      <c r="N578" s="378">
        <v>15</v>
      </c>
      <c r="O578" s="378">
        <v>15</v>
      </c>
      <c r="P578" s="378">
        <v>15</v>
      </c>
      <c r="Q578" s="378">
        <v>15</v>
      </c>
      <c r="R578" s="378"/>
      <c r="S578" s="378"/>
      <c r="T578" s="378"/>
      <c r="U578" s="378"/>
      <c r="V578" s="533"/>
      <c r="W578" s="378"/>
      <c r="X578" s="378"/>
      <c r="Y578" s="378">
        <f>IF(NFI_Expiration=1,IF($A578&lt;VLOOKUP(H$5,NFI,5,0),1,0)*Table_NFI[[#This Row],[Hygiene Kit]],Table_NFI[Hygiene Kit])</f>
        <v>0</v>
      </c>
      <c r="Z578" s="378">
        <f>IF(NFI_Expiration=1,IF($A578&lt;VLOOKUP(I$5,NFI,5,0),1,0)*Table_NFI[[#This Row],[NFI Core Kit]],Table_NFI[NFI Core Kit])</f>
        <v>0</v>
      </c>
      <c r="AA578" s="378">
        <f>IF(NFI_Expiration=1,IF($A578&lt;VLOOKUP(J$5,NFI,5,0),1,0)*Table_NFI[[#This Row],[Sanitary Kit]],Table_NFI[Sanitary Kit])</f>
        <v>0</v>
      </c>
      <c r="AB578" s="378">
        <f>IF(NFI_Expiration=1,IF($A578&lt;VLOOKUP(K$5,NFI,5,0),1,0)*Table_NFI[[#This Row],[Mosquito net]],Table_NFI[Mosquito net])</f>
        <v>0</v>
      </c>
      <c r="AC578" s="378">
        <f>IF(NFI_Expiration=1,IF($A578&lt;VLOOKUP(L$5,NFI,5,0),1,0)*Table_NFI[[#This Row],[Tarpaulin]],Table_NFI[[#This Row],[Tarpaulin]])</f>
        <v>0</v>
      </c>
      <c r="AD578" s="378">
        <f>IF(NFI_Expiration=1,IF($A578&lt;VLOOKUP(M$5,NFI,5,0),1,0)*Table_NFI[[#This Row],[Blanket]],Table_NFI[[#This Row],[Blanket]])</f>
        <v>0</v>
      </c>
      <c r="AE578" s="378">
        <f>IF(NFI_Expiration=1,IF($A578&lt;VLOOKUP(N$5,NFI,5,0),1,0)*Table_NFI[[#This Row],[Kitchen Set]],Table_NFI[Kitchen Set])</f>
        <v>0</v>
      </c>
      <c r="AF578" s="378">
        <f>IF(NFI_Expiration=1,IF($A578&lt;VLOOKUP(O$5,NFI,5,0),1,0)*Table_NFI[[#This Row],[Clothes Kit]],Table_NFI[Clothes Kit])</f>
        <v>0</v>
      </c>
      <c r="AG578" s="378">
        <f>IF(NFI_Expiration=1,IF($A578&lt;VLOOKUP(P$5,NFI,5,0),1,0)*Table_NFI[[#This Row],[Plastic Bucket]],Table_NFI[Plastic Bucket])</f>
        <v>0</v>
      </c>
      <c r="AH578" s="378">
        <f>IF(NFI_Expiration=1,IF($A578&lt;VLOOKUP(Q$5,NFI,5,0),1,0)*Table_NFI[[#This Row],[Plastic Mat]],Table_NFI[Plastic Mat])*IF(Table_NFI[[#This Row],[Distribution Date]]&gt;"2014-04-01",1,2.5)</f>
        <v>0</v>
      </c>
      <c r="AI578" s="378">
        <f>IF(NFI_Expiration=1,IF($A578&lt;VLOOKUP(R$5,NFI,5,0),1,0)*Table_NFI[[#This Row],[Winter Clothes Adult]],Table_NFI[Winter Clothes Adult])</f>
        <v>0</v>
      </c>
      <c r="AJ578" s="378">
        <f>IF(NFI_Expiration=1,IF($A578&lt;VLOOKUP(S$5,NFI,5,0),1,0)*Table_NFI[[#This Row],[Winter Clothes Children]],Table_NFI[Winter Clothes Children])</f>
        <v>0</v>
      </c>
      <c r="AK578" s="378">
        <f>IF(NFI_Expiration=1,IF($A578&lt;VLOOKUP(T$5,NFI,5,0),1,0)*Table_NFI[[#This Row],[Winter Items Other]],Table_NFI[Winter Items Other])</f>
        <v>0</v>
      </c>
      <c r="AL578" s="378">
        <f>IF(NFI_Expiration=1,IF($A578&lt;VLOOKUP(M$5,NFI,5,0),1,0)*Table_NFI[[#This Row],[Winter Blanket]],Table_NFI[[#This Row],[Winter Blanket]])</f>
        <v>0</v>
      </c>
      <c r="AM578" s="378">
        <f>IF(Table_NFI[[#This Row],[Winter Clothes Adult]]+Table_NFI[[#This Row],[Winter Clothes Children]]+Table_NFI[[#This Row],[Winter Items Other]]+Table_NFI[[#This Row],[Winter Blanket]]&gt;0,1,0)</f>
        <v>0</v>
      </c>
      <c r="AN578" s="418">
        <f>IF(NFI_Expiration=1,IF($A578&lt;VLOOKUP(V$5,NFI,5,0),1,0)*Table_NFI[[#This Row],[Jerry Can]],Table_NFI[Jerry Can])</f>
        <v>0</v>
      </c>
      <c r="AO578" s="579" t="str">
        <f>IFERROR(VLOOKUP(Table_NFI[[#This Row],[Camp Name]],CL,2,0),"")</f>
        <v>MMR001CMP024</v>
      </c>
      <c r="AP578" s="574">
        <f ca="1">IF(Table_NFI[[#This Row],[Pcode]]="","",IF(OFFSET(CampList[Opening Date],MATCH(Table_NFI[[#This Row],[Pcode]],CampList[CP_Pcode],0)-1,0,1,1)&gt;=NFI_Monitor_Date,1,0))</f>
        <v>0</v>
      </c>
      <c r="AQ578" s="579" t="str">
        <f>IFERROR(VLOOKUP(Table_NFI[[#This Row],[Camp Name]],CL,3,0),"")</f>
        <v>Open</v>
      </c>
      <c r="AR578" s="378" t="str">
        <f ca="1">IF(Table_NFI[[#This Row],[Pcode]]="","",OFFSET(CampList[Priority],MATCH(Table_NFI[[#This Row],[Pcode]],CampList[CP_Pcode],0)-1,0,1,1))</f>
        <v>P4</v>
      </c>
      <c r="AS578" s="377">
        <f>IFERROR(Table_NFI[[#This Row],[Kitchen Set]]/VLOOKUP(Table_NFI[[#This Row],[Camp Name]],CL,4,0),"")</f>
        <v>0.22727272727272727</v>
      </c>
      <c r="AT578" s="572" t="s">
        <v>1095</v>
      </c>
      <c r="AU578" s="575"/>
    </row>
    <row r="579" spans="1:47" x14ac:dyDescent="0.25">
      <c r="A579" s="381">
        <f t="shared" si="8"/>
        <v>37.299999999999997</v>
      </c>
      <c r="B579" s="571">
        <v>41403</v>
      </c>
      <c r="C579" s="572" t="s">
        <v>904</v>
      </c>
      <c r="D579" s="572" t="s">
        <v>508</v>
      </c>
      <c r="E579" s="572" t="s">
        <v>380</v>
      </c>
      <c r="F579" s="374" t="s">
        <v>237</v>
      </c>
      <c r="G579" s="374" t="s">
        <v>271</v>
      </c>
      <c r="H579" s="375">
        <v>324</v>
      </c>
      <c r="I579" s="375"/>
      <c r="J579" s="375"/>
      <c r="K579" s="375"/>
      <c r="L579" s="376"/>
      <c r="M579" s="376"/>
      <c r="N579" s="376"/>
      <c r="O579" s="376"/>
      <c r="P579" s="378"/>
      <c r="Q579" s="378"/>
      <c r="R579" s="378"/>
      <c r="S579" s="378"/>
      <c r="T579" s="378"/>
      <c r="U579" s="378"/>
      <c r="V579" s="533"/>
      <c r="W579" s="378"/>
      <c r="X579" s="378"/>
      <c r="Y579" s="378">
        <f>IF(NFI_Expiration=1,IF($A579&lt;VLOOKUP(H$5,NFI,5,0),1,0)*Table_NFI[[#This Row],[Hygiene Kit]],Table_NFI[Hygiene Kit])</f>
        <v>0</v>
      </c>
      <c r="Z579" s="378">
        <f>IF(NFI_Expiration=1,IF($A579&lt;VLOOKUP(I$5,NFI,5,0),1,0)*Table_NFI[[#This Row],[NFI Core Kit]],Table_NFI[NFI Core Kit])</f>
        <v>0</v>
      </c>
      <c r="AA579" s="378">
        <f>IF(NFI_Expiration=1,IF($A579&lt;VLOOKUP(J$5,NFI,5,0),1,0)*Table_NFI[[#This Row],[Sanitary Kit]],Table_NFI[Sanitary Kit])</f>
        <v>0</v>
      </c>
      <c r="AB579" s="378">
        <f>IF(NFI_Expiration=1,IF($A579&lt;VLOOKUP(K$5,NFI,5,0),1,0)*Table_NFI[[#This Row],[Mosquito net]],Table_NFI[Mosquito net])</f>
        <v>0</v>
      </c>
      <c r="AC579" s="378">
        <f>IF(NFI_Expiration=1,IF($A579&lt;VLOOKUP(L$5,NFI,5,0),1,0)*Table_NFI[[#This Row],[Tarpaulin]],Table_NFI[[#This Row],[Tarpaulin]])</f>
        <v>0</v>
      </c>
      <c r="AD579" s="378">
        <f>IF(NFI_Expiration=1,IF($A579&lt;VLOOKUP(M$5,NFI,5,0),1,0)*Table_NFI[[#This Row],[Blanket]],Table_NFI[[#This Row],[Blanket]])</f>
        <v>0</v>
      </c>
      <c r="AE579" s="378">
        <f>IF(NFI_Expiration=1,IF($A579&lt;VLOOKUP(N$5,NFI,5,0),1,0)*Table_NFI[[#This Row],[Kitchen Set]],Table_NFI[Kitchen Set])</f>
        <v>0</v>
      </c>
      <c r="AF579" s="378">
        <f>IF(NFI_Expiration=1,IF($A579&lt;VLOOKUP(O$5,NFI,5,0),1,0)*Table_NFI[[#This Row],[Clothes Kit]],Table_NFI[Clothes Kit])</f>
        <v>0</v>
      </c>
      <c r="AG579" s="378">
        <f>IF(NFI_Expiration=1,IF($A579&lt;VLOOKUP(P$5,NFI,5,0),1,0)*Table_NFI[[#This Row],[Plastic Bucket]],Table_NFI[Plastic Bucket])</f>
        <v>0</v>
      </c>
      <c r="AH579" s="378">
        <f>IF(NFI_Expiration=1,IF($A579&lt;VLOOKUP(Q$5,NFI,5,0),1,0)*Table_NFI[[#This Row],[Plastic Mat]],Table_NFI[Plastic Mat])*IF(Table_NFI[[#This Row],[Distribution Date]]&gt;"2014-04-01",1,2.5)</f>
        <v>0</v>
      </c>
      <c r="AI579" s="378">
        <f>IF(NFI_Expiration=1,IF($A579&lt;VLOOKUP(R$5,NFI,5,0),1,0)*Table_NFI[[#This Row],[Winter Clothes Adult]],Table_NFI[Winter Clothes Adult])</f>
        <v>0</v>
      </c>
      <c r="AJ579" s="378">
        <f>IF(NFI_Expiration=1,IF($A579&lt;VLOOKUP(S$5,NFI,5,0),1,0)*Table_NFI[[#This Row],[Winter Clothes Children]],Table_NFI[Winter Clothes Children])</f>
        <v>0</v>
      </c>
      <c r="AK579" s="378">
        <f>IF(NFI_Expiration=1,IF($A579&lt;VLOOKUP(T$5,NFI,5,0),1,0)*Table_NFI[[#This Row],[Winter Items Other]],Table_NFI[Winter Items Other])</f>
        <v>0</v>
      </c>
      <c r="AL579" s="378">
        <f>IF(NFI_Expiration=1,IF($A579&lt;VLOOKUP(M$5,NFI,5,0),1,0)*Table_NFI[[#This Row],[Winter Blanket]],Table_NFI[[#This Row],[Winter Blanket]])</f>
        <v>0</v>
      </c>
      <c r="AM579" s="378">
        <f>IF(Table_NFI[[#This Row],[Winter Clothes Adult]]+Table_NFI[[#This Row],[Winter Clothes Children]]+Table_NFI[[#This Row],[Winter Items Other]]+Table_NFI[[#This Row],[Winter Blanket]]&gt;0,1,0)</f>
        <v>0</v>
      </c>
      <c r="AN579" s="418">
        <f>IF(NFI_Expiration=1,IF($A579&lt;VLOOKUP(V$5,NFI,5,0),1,0)*Table_NFI[[#This Row],[Jerry Can]],Table_NFI[Jerry Can])</f>
        <v>0</v>
      </c>
      <c r="AO579" s="579" t="str">
        <f>IFERROR(VLOOKUP(Table_NFI[[#This Row],[Camp Name]],CL,2,0),"")</f>
        <v>MMR001CMP024</v>
      </c>
      <c r="AP579" s="574">
        <f ca="1">IF(Table_NFI[[#This Row],[Pcode]]="","",IF(OFFSET(CampList[Opening Date],MATCH(Table_NFI[[#This Row],[Pcode]],CampList[CP_Pcode],0)-1,0,1,1)&gt;=NFI_Monitor_Date,1,0))</f>
        <v>0</v>
      </c>
      <c r="AQ579" s="579" t="str">
        <f>IFERROR(VLOOKUP(Table_NFI[[#This Row],[Camp Name]],CL,3,0),"")</f>
        <v>Open</v>
      </c>
      <c r="AR579" s="378" t="str">
        <f ca="1">IF(Table_NFI[[#This Row],[Pcode]]="","",OFFSET(CampList[Priority],MATCH(Table_NFI[[#This Row],[Pcode]],CampList[CP_Pcode],0)-1,0,1,1))</f>
        <v>P4</v>
      </c>
      <c r="AS579" s="377">
        <f>IFERROR(Table_NFI[[#This Row],[Kitchen Set]]/VLOOKUP(Table_NFI[[#This Row],[Camp Name]],CL,4,0),"")</f>
        <v>0</v>
      </c>
      <c r="AT579" s="572" t="s">
        <v>1095</v>
      </c>
      <c r="AU579" s="575"/>
    </row>
    <row r="580" spans="1:47" ht="14.45" customHeight="1" x14ac:dyDescent="0.25">
      <c r="A580" s="381">
        <f t="shared" si="8"/>
        <v>42.2</v>
      </c>
      <c r="B580" s="571">
        <v>41256</v>
      </c>
      <c r="C580" s="572" t="s">
        <v>454</v>
      </c>
      <c r="D580" s="573" t="s">
        <v>454</v>
      </c>
      <c r="E580" s="572" t="s">
        <v>380</v>
      </c>
      <c r="F580" s="374" t="s">
        <v>237</v>
      </c>
      <c r="G580" s="374" t="s">
        <v>271</v>
      </c>
      <c r="H580" s="375"/>
      <c r="I580" s="375"/>
      <c r="J580" s="375"/>
      <c r="K580" s="375">
        <v>16</v>
      </c>
      <c r="L580" s="376">
        <v>7</v>
      </c>
      <c r="M580" s="376">
        <v>16</v>
      </c>
      <c r="N580" s="376">
        <v>7</v>
      </c>
      <c r="O580" s="376">
        <v>7</v>
      </c>
      <c r="P580" s="378">
        <v>7</v>
      </c>
      <c r="Q580" s="378">
        <v>7</v>
      </c>
      <c r="R580" s="378"/>
      <c r="S580" s="378"/>
      <c r="T580" s="378"/>
      <c r="U580" s="378"/>
      <c r="V580" s="533"/>
      <c r="W580" s="378"/>
      <c r="X580" s="378"/>
      <c r="Y580" s="378">
        <f>IF(NFI_Expiration=1,IF($A580&lt;VLOOKUP(H$5,NFI,5,0),1,0)*Table_NFI[[#This Row],[Hygiene Kit]],Table_NFI[Hygiene Kit])</f>
        <v>0</v>
      </c>
      <c r="Z580" s="378">
        <f>IF(NFI_Expiration=1,IF($A580&lt;VLOOKUP(I$5,NFI,5,0),1,0)*Table_NFI[[#This Row],[NFI Core Kit]],Table_NFI[NFI Core Kit])</f>
        <v>0</v>
      </c>
      <c r="AA580" s="378">
        <f>IF(NFI_Expiration=1,IF($A580&lt;VLOOKUP(J$5,NFI,5,0),1,0)*Table_NFI[[#This Row],[Sanitary Kit]],Table_NFI[Sanitary Kit])</f>
        <v>0</v>
      </c>
      <c r="AB580" s="378">
        <f>IF(NFI_Expiration=1,IF($A580&lt;VLOOKUP(K$5,NFI,5,0),1,0)*Table_NFI[[#This Row],[Mosquito net]],Table_NFI[Mosquito net])</f>
        <v>0</v>
      </c>
      <c r="AC580" s="378">
        <f>IF(NFI_Expiration=1,IF($A580&lt;VLOOKUP(L$5,NFI,5,0),1,0)*Table_NFI[[#This Row],[Tarpaulin]],Table_NFI[[#This Row],[Tarpaulin]])</f>
        <v>0</v>
      </c>
      <c r="AD580" s="378">
        <f>IF(NFI_Expiration=1,IF($A580&lt;VLOOKUP(M$5,NFI,5,0),1,0)*Table_NFI[[#This Row],[Blanket]],Table_NFI[[#This Row],[Blanket]])</f>
        <v>0</v>
      </c>
      <c r="AE580" s="378">
        <f>IF(NFI_Expiration=1,IF($A580&lt;VLOOKUP(N$5,NFI,5,0),1,0)*Table_NFI[[#This Row],[Kitchen Set]],Table_NFI[Kitchen Set])</f>
        <v>0</v>
      </c>
      <c r="AF580" s="378">
        <f>IF(NFI_Expiration=1,IF($A580&lt;VLOOKUP(O$5,NFI,5,0),1,0)*Table_NFI[[#This Row],[Clothes Kit]],Table_NFI[Clothes Kit])</f>
        <v>0</v>
      </c>
      <c r="AG580" s="378">
        <f>IF(NFI_Expiration=1,IF($A580&lt;VLOOKUP(P$5,NFI,5,0),1,0)*Table_NFI[[#This Row],[Plastic Bucket]],Table_NFI[Plastic Bucket])</f>
        <v>0</v>
      </c>
      <c r="AH580" s="378">
        <f>IF(NFI_Expiration=1,IF($A580&lt;VLOOKUP(Q$5,NFI,5,0),1,0)*Table_NFI[[#This Row],[Plastic Mat]],Table_NFI[Plastic Mat])*IF(Table_NFI[[#This Row],[Distribution Date]]&gt;"2014-04-01",1,2.5)</f>
        <v>0</v>
      </c>
      <c r="AI580" s="378">
        <f>IF(NFI_Expiration=1,IF($A580&lt;VLOOKUP(R$5,NFI,5,0),1,0)*Table_NFI[[#This Row],[Winter Clothes Adult]],Table_NFI[Winter Clothes Adult])</f>
        <v>0</v>
      </c>
      <c r="AJ580" s="378">
        <f>IF(NFI_Expiration=1,IF($A580&lt;VLOOKUP(S$5,NFI,5,0),1,0)*Table_NFI[[#This Row],[Winter Clothes Children]],Table_NFI[Winter Clothes Children])</f>
        <v>0</v>
      </c>
      <c r="AK580" s="378">
        <f>IF(NFI_Expiration=1,IF($A580&lt;VLOOKUP(T$5,NFI,5,0),1,0)*Table_NFI[[#This Row],[Winter Items Other]],Table_NFI[Winter Items Other])</f>
        <v>0</v>
      </c>
      <c r="AL580" s="378">
        <f>IF(NFI_Expiration=1,IF($A580&lt;VLOOKUP(M$5,NFI,5,0),1,0)*Table_NFI[[#This Row],[Winter Blanket]],Table_NFI[[#This Row],[Winter Blanket]])</f>
        <v>0</v>
      </c>
      <c r="AM580" s="378">
        <f>IF(Table_NFI[[#This Row],[Winter Clothes Adult]]+Table_NFI[[#This Row],[Winter Clothes Children]]+Table_NFI[[#This Row],[Winter Items Other]]+Table_NFI[[#This Row],[Winter Blanket]]&gt;0,1,0)</f>
        <v>0</v>
      </c>
      <c r="AN580" s="418">
        <f>IF(NFI_Expiration=1,IF($A580&lt;VLOOKUP(V$5,NFI,5,0),1,0)*Table_NFI[[#This Row],[Jerry Can]],Table_NFI[Jerry Can])</f>
        <v>0</v>
      </c>
      <c r="AO580" s="579" t="str">
        <f>IFERROR(VLOOKUP(Table_NFI[[#This Row],[Camp Name]],CL,2,0),"")</f>
        <v>MMR001CMP024</v>
      </c>
      <c r="AP580" s="574">
        <f ca="1">IF(Table_NFI[[#This Row],[Pcode]]="","",IF(OFFSET(CampList[Opening Date],MATCH(Table_NFI[[#This Row],[Pcode]],CampList[CP_Pcode],0)-1,0,1,1)&gt;=NFI_Monitor_Date,1,0))</f>
        <v>0</v>
      </c>
      <c r="AQ580" s="579" t="str">
        <f>IFERROR(VLOOKUP(Table_NFI[[#This Row],[Camp Name]],CL,3,0),"")</f>
        <v>Open</v>
      </c>
      <c r="AR580" s="378" t="str">
        <f ca="1">IF(Table_NFI[[#This Row],[Pcode]]="","",OFFSET(CampList[Priority],MATCH(Table_NFI[[#This Row],[Pcode]],CampList[CP_Pcode],0)-1,0,1,1))</f>
        <v>P4</v>
      </c>
      <c r="AS580" s="377">
        <f>IFERROR(Table_NFI[[#This Row],[Kitchen Set]]/VLOOKUP(Table_NFI[[#This Row],[Camp Name]],CL,4,0),"")</f>
        <v>0.10606060606060606</v>
      </c>
      <c r="AT580" s="572" t="s">
        <v>1095</v>
      </c>
      <c r="AU580" s="575"/>
    </row>
    <row r="581" spans="1:47" ht="14.45" customHeight="1" x14ac:dyDescent="0.25">
      <c r="A581" s="381">
        <f t="shared" si="8"/>
        <v>46.4</v>
      </c>
      <c r="B581" s="571">
        <v>41130</v>
      </c>
      <c r="C581" s="572" t="s">
        <v>454</v>
      </c>
      <c r="D581" s="573" t="s">
        <v>454</v>
      </c>
      <c r="E581" s="572" t="s">
        <v>380</v>
      </c>
      <c r="F581" s="374" t="s">
        <v>237</v>
      </c>
      <c r="G581" s="374" t="s">
        <v>271</v>
      </c>
      <c r="H581" s="375"/>
      <c r="I581" s="375"/>
      <c r="J581" s="375"/>
      <c r="K581" s="375">
        <v>42</v>
      </c>
      <c r="L581" s="376">
        <v>20</v>
      </c>
      <c r="M581" s="376">
        <v>42</v>
      </c>
      <c r="N581" s="376">
        <v>20</v>
      </c>
      <c r="O581" s="376">
        <v>20</v>
      </c>
      <c r="P581" s="378">
        <v>20</v>
      </c>
      <c r="Q581" s="378">
        <v>20</v>
      </c>
      <c r="R581" s="378"/>
      <c r="S581" s="378"/>
      <c r="T581" s="378"/>
      <c r="U581" s="378"/>
      <c r="V581" s="533"/>
      <c r="W581" s="378"/>
      <c r="X581" s="378"/>
      <c r="Y581" s="378">
        <f>IF(NFI_Expiration=1,IF($A581&lt;VLOOKUP(H$5,NFI,5,0),1,0)*Table_NFI[[#This Row],[Hygiene Kit]],Table_NFI[Hygiene Kit])</f>
        <v>0</v>
      </c>
      <c r="Z581" s="378">
        <f>IF(NFI_Expiration=1,IF($A581&lt;VLOOKUP(I$5,NFI,5,0),1,0)*Table_NFI[[#This Row],[NFI Core Kit]],Table_NFI[NFI Core Kit])</f>
        <v>0</v>
      </c>
      <c r="AA581" s="378">
        <f>IF(NFI_Expiration=1,IF($A581&lt;VLOOKUP(J$5,NFI,5,0),1,0)*Table_NFI[[#This Row],[Sanitary Kit]],Table_NFI[Sanitary Kit])</f>
        <v>0</v>
      </c>
      <c r="AB581" s="378">
        <f>IF(NFI_Expiration=1,IF($A581&lt;VLOOKUP(K$5,NFI,5,0),1,0)*Table_NFI[[#This Row],[Mosquito net]],Table_NFI[Mosquito net])</f>
        <v>0</v>
      </c>
      <c r="AC581" s="378">
        <f>IF(NFI_Expiration=1,IF($A581&lt;VLOOKUP(L$5,NFI,5,0),1,0)*Table_NFI[[#This Row],[Tarpaulin]],Table_NFI[[#This Row],[Tarpaulin]])</f>
        <v>0</v>
      </c>
      <c r="AD581" s="378">
        <f>IF(NFI_Expiration=1,IF($A581&lt;VLOOKUP(M$5,NFI,5,0),1,0)*Table_NFI[[#This Row],[Blanket]],Table_NFI[[#This Row],[Blanket]])</f>
        <v>0</v>
      </c>
      <c r="AE581" s="378">
        <f>IF(NFI_Expiration=1,IF($A581&lt;VLOOKUP(N$5,NFI,5,0),1,0)*Table_NFI[[#This Row],[Kitchen Set]],Table_NFI[Kitchen Set])</f>
        <v>0</v>
      </c>
      <c r="AF581" s="378">
        <f>IF(NFI_Expiration=1,IF($A581&lt;VLOOKUP(O$5,NFI,5,0),1,0)*Table_NFI[[#This Row],[Clothes Kit]],Table_NFI[Clothes Kit])</f>
        <v>0</v>
      </c>
      <c r="AG581" s="378">
        <f>IF(NFI_Expiration=1,IF($A581&lt;VLOOKUP(P$5,NFI,5,0),1,0)*Table_NFI[[#This Row],[Plastic Bucket]],Table_NFI[Plastic Bucket])</f>
        <v>0</v>
      </c>
      <c r="AH581" s="378">
        <f>IF(NFI_Expiration=1,IF($A581&lt;VLOOKUP(Q$5,NFI,5,0),1,0)*Table_NFI[[#This Row],[Plastic Mat]],Table_NFI[Plastic Mat])*IF(Table_NFI[[#This Row],[Distribution Date]]&gt;"2014-04-01",1,2.5)</f>
        <v>0</v>
      </c>
      <c r="AI581" s="378">
        <f>IF(NFI_Expiration=1,IF($A581&lt;VLOOKUP(R$5,NFI,5,0),1,0)*Table_NFI[[#This Row],[Winter Clothes Adult]],Table_NFI[Winter Clothes Adult])</f>
        <v>0</v>
      </c>
      <c r="AJ581" s="378">
        <f>IF(NFI_Expiration=1,IF($A581&lt;VLOOKUP(S$5,NFI,5,0),1,0)*Table_NFI[[#This Row],[Winter Clothes Children]],Table_NFI[Winter Clothes Children])</f>
        <v>0</v>
      </c>
      <c r="AK581" s="378">
        <f>IF(NFI_Expiration=1,IF($A581&lt;VLOOKUP(T$5,NFI,5,0),1,0)*Table_NFI[[#This Row],[Winter Items Other]],Table_NFI[Winter Items Other])</f>
        <v>0</v>
      </c>
      <c r="AL581" s="378">
        <f>IF(NFI_Expiration=1,IF($A581&lt;VLOOKUP(M$5,NFI,5,0),1,0)*Table_NFI[[#This Row],[Winter Blanket]],Table_NFI[[#This Row],[Winter Blanket]])</f>
        <v>0</v>
      </c>
      <c r="AM581" s="378">
        <f>IF(Table_NFI[[#This Row],[Winter Clothes Adult]]+Table_NFI[[#This Row],[Winter Clothes Children]]+Table_NFI[[#This Row],[Winter Items Other]]+Table_NFI[[#This Row],[Winter Blanket]]&gt;0,1,0)</f>
        <v>0</v>
      </c>
      <c r="AN581" s="418">
        <f>IF(NFI_Expiration=1,IF($A581&lt;VLOOKUP(V$5,NFI,5,0),1,0)*Table_NFI[[#This Row],[Jerry Can]],Table_NFI[Jerry Can])</f>
        <v>0</v>
      </c>
      <c r="AO581" s="579" t="str">
        <f>IFERROR(VLOOKUP(Table_NFI[[#This Row],[Camp Name]],CL,2,0),"")</f>
        <v>MMR001CMP024</v>
      </c>
      <c r="AP581" s="574">
        <f ca="1">IF(Table_NFI[[#This Row],[Pcode]]="","",IF(OFFSET(CampList[Opening Date],MATCH(Table_NFI[[#This Row],[Pcode]],CampList[CP_Pcode],0)-1,0,1,1)&gt;=NFI_Monitor_Date,1,0))</f>
        <v>0</v>
      </c>
      <c r="AQ581" s="579" t="str">
        <f>IFERROR(VLOOKUP(Table_NFI[[#This Row],[Camp Name]],CL,3,0),"")</f>
        <v>Open</v>
      </c>
      <c r="AR581" s="378" t="str">
        <f ca="1">IF(Table_NFI[[#This Row],[Pcode]]="","",OFFSET(CampList[Priority],MATCH(Table_NFI[[#This Row],[Pcode]],CampList[CP_Pcode],0)-1,0,1,1))</f>
        <v>P4</v>
      </c>
      <c r="AS581" s="377">
        <f>IFERROR(Table_NFI[[#This Row],[Kitchen Set]]/VLOOKUP(Table_NFI[[#This Row],[Camp Name]],CL,4,0),"")</f>
        <v>0.30303030303030304</v>
      </c>
      <c r="AT581" s="572" t="s">
        <v>1095</v>
      </c>
      <c r="AU581" s="575"/>
    </row>
    <row r="582" spans="1:47" x14ac:dyDescent="0.25">
      <c r="A582" s="381">
        <f t="shared" ref="A582:A645" si="9">IF(ISBLANK(B582),"",(Report_Date-B582)/30)</f>
        <v>47.166666666666664</v>
      </c>
      <c r="B582" s="571">
        <v>41107</v>
      </c>
      <c r="C582" s="572" t="s">
        <v>454</v>
      </c>
      <c r="D582" s="573" t="s">
        <v>454</v>
      </c>
      <c r="E582" s="572" t="s">
        <v>380</v>
      </c>
      <c r="F582" s="374" t="s">
        <v>237</v>
      </c>
      <c r="G582" s="374" t="s">
        <v>271</v>
      </c>
      <c r="H582" s="375"/>
      <c r="I582" s="375"/>
      <c r="J582" s="375"/>
      <c r="K582" s="375">
        <v>6</v>
      </c>
      <c r="L582" s="376">
        <v>6</v>
      </c>
      <c r="M582" s="376">
        <v>6</v>
      </c>
      <c r="N582" s="376">
        <v>6</v>
      </c>
      <c r="O582" s="376">
        <v>6</v>
      </c>
      <c r="P582" s="378">
        <v>6</v>
      </c>
      <c r="Q582" s="378">
        <v>6</v>
      </c>
      <c r="R582" s="378"/>
      <c r="S582" s="378"/>
      <c r="T582" s="378"/>
      <c r="U582" s="378"/>
      <c r="V582" s="533"/>
      <c r="W582" s="378"/>
      <c r="X582" s="378"/>
      <c r="Y582" s="378">
        <f>IF(NFI_Expiration=1,IF($A582&lt;VLOOKUP(H$5,NFI,5,0),1,0)*Table_NFI[[#This Row],[Hygiene Kit]],Table_NFI[Hygiene Kit])</f>
        <v>0</v>
      </c>
      <c r="Z582" s="378">
        <f>IF(NFI_Expiration=1,IF($A582&lt;VLOOKUP(I$5,NFI,5,0),1,0)*Table_NFI[[#This Row],[NFI Core Kit]],Table_NFI[NFI Core Kit])</f>
        <v>0</v>
      </c>
      <c r="AA582" s="378">
        <f>IF(NFI_Expiration=1,IF($A582&lt;VLOOKUP(J$5,NFI,5,0),1,0)*Table_NFI[[#This Row],[Sanitary Kit]],Table_NFI[Sanitary Kit])</f>
        <v>0</v>
      </c>
      <c r="AB582" s="378">
        <f>IF(NFI_Expiration=1,IF($A582&lt;VLOOKUP(K$5,NFI,5,0),1,0)*Table_NFI[[#This Row],[Mosquito net]],Table_NFI[Mosquito net])</f>
        <v>0</v>
      </c>
      <c r="AC582" s="378">
        <f>IF(NFI_Expiration=1,IF($A582&lt;VLOOKUP(L$5,NFI,5,0),1,0)*Table_NFI[[#This Row],[Tarpaulin]],Table_NFI[[#This Row],[Tarpaulin]])</f>
        <v>0</v>
      </c>
      <c r="AD582" s="378">
        <f>IF(NFI_Expiration=1,IF($A582&lt;VLOOKUP(M$5,NFI,5,0),1,0)*Table_NFI[[#This Row],[Blanket]],Table_NFI[[#This Row],[Blanket]])</f>
        <v>0</v>
      </c>
      <c r="AE582" s="378">
        <f>IF(NFI_Expiration=1,IF($A582&lt;VLOOKUP(N$5,NFI,5,0),1,0)*Table_NFI[[#This Row],[Kitchen Set]],Table_NFI[Kitchen Set])</f>
        <v>0</v>
      </c>
      <c r="AF582" s="378">
        <f>IF(NFI_Expiration=1,IF($A582&lt;VLOOKUP(O$5,NFI,5,0),1,0)*Table_NFI[[#This Row],[Clothes Kit]],Table_NFI[Clothes Kit])</f>
        <v>0</v>
      </c>
      <c r="AG582" s="378">
        <f>IF(NFI_Expiration=1,IF($A582&lt;VLOOKUP(P$5,NFI,5,0),1,0)*Table_NFI[[#This Row],[Plastic Bucket]],Table_NFI[Plastic Bucket])</f>
        <v>0</v>
      </c>
      <c r="AH582" s="378">
        <f>IF(NFI_Expiration=1,IF($A582&lt;VLOOKUP(Q$5,NFI,5,0),1,0)*Table_NFI[[#This Row],[Plastic Mat]],Table_NFI[Plastic Mat])*IF(Table_NFI[[#This Row],[Distribution Date]]&gt;"2014-04-01",1,2.5)</f>
        <v>0</v>
      </c>
      <c r="AI582" s="378">
        <f>IF(NFI_Expiration=1,IF($A582&lt;VLOOKUP(R$5,NFI,5,0),1,0)*Table_NFI[[#This Row],[Winter Clothes Adult]],Table_NFI[Winter Clothes Adult])</f>
        <v>0</v>
      </c>
      <c r="AJ582" s="378">
        <f>IF(NFI_Expiration=1,IF($A582&lt;VLOOKUP(S$5,NFI,5,0),1,0)*Table_NFI[[#This Row],[Winter Clothes Children]],Table_NFI[Winter Clothes Children])</f>
        <v>0</v>
      </c>
      <c r="AK582" s="378">
        <f>IF(NFI_Expiration=1,IF($A582&lt;VLOOKUP(T$5,NFI,5,0),1,0)*Table_NFI[[#This Row],[Winter Items Other]],Table_NFI[Winter Items Other])</f>
        <v>0</v>
      </c>
      <c r="AL582" s="378">
        <f>IF(NFI_Expiration=1,IF($A582&lt;VLOOKUP(M$5,NFI,5,0),1,0)*Table_NFI[[#This Row],[Winter Blanket]],Table_NFI[[#This Row],[Winter Blanket]])</f>
        <v>0</v>
      </c>
      <c r="AM582" s="378">
        <f>IF(Table_NFI[[#This Row],[Winter Clothes Adult]]+Table_NFI[[#This Row],[Winter Clothes Children]]+Table_NFI[[#This Row],[Winter Items Other]]+Table_NFI[[#This Row],[Winter Blanket]]&gt;0,1,0)</f>
        <v>0</v>
      </c>
      <c r="AN582" s="418">
        <f>IF(NFI_Expiration=1,IF($A582&lt;VLOOKUP(V$5,NFI,5,0),1,0)*Table_NFI[[#This Row],[Jerry Can]],Table_NFI[Jerry Can])</f>
        <v>0</v>
      </c>
      <c r="AO582" s="579" t="str">
        <f>IFERROR(VLOOKUP(Table_NFI[[#This Row],[Camp Name]],CL,2,0),"")</f>
        <v>MMR001CMP024</v>
      </c>
      <c r="AP582" s="574">
        <f ca="1">IF(Table_NFI[[#This Row],[Pcode]]="","",IF(OFFSET(CampList[Opening Date],MATCH(Table_NFI[[#This Row],[Pcode]],CampList[CP_Pcode],0)-1,0,1,1)&gt;=NFI_Monitor_Date,1,0))</f>
        <v>0</v>
      </c>
      <c r="AQ582" s="579" t="str">
        <f>IFERROR(VLOOKUP(Table_NFI[[#This Row],[Camp Name]],CL,3,0),"")</f>
        <v>Open</v>
      </c>
      <c r="AR582" s="378" t="str">
        <f ca="1">IF(Table_NFI[[#This Row],[Pcode]]="","",OFFSET(CampList[Priority],MATCH(Table_NFI[[#This Row],[Pcode]],CampList[CP_Pcode],0)-1,0,1,1))</f>
        <v>P4</v>
      </c>
      <c r="AS582" s="377">
        <f>IFERROR(Table_NFI[[#This Row],[Kitchen Set]]/VLOOKUP(Table_NFI[[#This Row],[Camp Name]],CL,4,0),"")</f>
        <v>9.0909090909090912E-2</v>
      </c>
      <c r="AT582" s="572" t="s">
        <v>1095</v>
      </c>
      <c r="AU582" s="575"/>
    </row>
    <row r="583" spans="1:47" x14ac:dyDescent="0.25">
      <c r="A583" s="381">
        <f t="shared" si="9"/>
        <v>49</v>
      </c>
      <c r="B583" s="571">
        <v>41052</v>
      </c>
      <c r="C583" s="572" t="s">
        <v>454</v>
      </c>
      <c r="D583" s="572" t="s">
        <v>454</v>
      </c>
      <c r="E583" s="572" t="s">
        <v>380</v>
      </c>
      <c r="F583" s="374" t="s">
        <v>237</v>
      </c>
      <c r="G583" s="374" t="s">
        <v>271</v>
      </c>
      <c r="H583" s="375"/>
      <c r="I583" s="375"/>
      <c r="J583" s="375"/>
      <c r="K583" s="375">
        <v>58</v>
      </c>
      <c r="L583" s="376">
        <v>29</v>
      </c>
      <c r="M583" s="376">
        <v>58</v>
      </c>
      <c r="N583" s="376">
        <v>29</v>
      </c>
      <c r="O583" s="376">
        <v>29</v>
      </c>
      <c r="P583" s="378">
        <v>29</v>
      </c>
      <c r="Q583" s="378">
        <v>29</v>
      </c>
      <c r="R583" s="378"/>
      <c r="S583" s="378"/>
      <c r="T583" s="378"/>
      <c r="U583" s="378"/>
      <c r="V583" s="533"/>
      <c r="W583" s="378"/>
      <c r="X583" s="378"/>
      <c r="Y583" s="378">
        <f>IF(NFI_Expiration=1,IF($A583&lt;VLOOKUP(H$5,NFI,5,0),1,0)*Table_NFI[[#This Row],[Hygiene Kit]],Table_NFI[Hygiene Kit])</f>
        <v>0</v>
      </c>
      <c r="Z583" s="378">
        <f>IF(NFI_Expiration=1,IF($A583&lt;VLOOKUP(I$5,NFI,5,0),1,0)*Table_NFI[[#This Row],[NFI Core Kit]],Table_NFI[NFI Core Kit])</f>
        <v>0</v>
      </c>
      <c r="AA583" s="378">
        <f>IF(NFI_Expiration=1,IF($A583&lt;VLOOKUP(J$5,NFI,5,0),1,0)*Table_NFI[[#This Row],[Sanitary Kit]],Table_NFI[Sanitary Kit])</f>
        <v>0</v>
      </c>
      <c r="AB583" s="378">
        <f>IF(NFI_Expiration=1,IF($A583&lt;VLOOKUP(K$5,NFI,5,0),1,0)*Table_NFI[[#This Row],[Mosquito net]],Table_NFI[Mosquito net])</f>
        <v>0</v>
      </c>
      <c r="AC583" s="378">
        <f>IF(NFI_Expiration=1,IF($A583&lt;VLOOKUP(L$5,NFI,5,0),1,0)*Table_NFI[[#This Row],[Tarpaulin]],Table_NFI[[#This Row],[Tarpaulin]])</f>
        <v>0</v>
      </c>
      <c r="AD583" s="378">
        <f>IF(NFI_Expiration=1,IF($A583&lt;VLOOKUP(M$5,NFI,5,0),1,0)*Table_NFI[[#This Row],[Blanket]],Table_NFI[[#This Row],[Blanket]])</f>
        <v>0</v>
      </c>
      <c r="AE583" s="378">
        <f>IF(NFI_Expiration=1,IF($A583&lt;VLOOKUP(N$5,NFI,5,0),1,0)*Table_NFI[[#This Row],[Kitchen Set]],Table_NFI[Kitchen Set])</f>
        <v>0</v>
      </c>
      <c r="AF583" s="378">
        <f>IF(NFI_Expiration=1,IF($A583&lt;VLOOKUP(O$5,NFI,5,0),1,0)*Table_NFI[[#This Row],[Clothes Kit]],Table_NFI[Clothes Kit])</f>
        <v>0</v>
      </c>
      <c r="AG583" s="378">
        <f>IF(NFI_Expiration=1,IF($A583&lt;VLOOKUP(P$5,NFI,5,0),1,0)*Table_NFI[[#This Row],[Plastic Bucket]],Table_NFI[Plastic Bucket])</f>
        <v>0</v>
      </c>
      <c r="AH583" s="378">
        <f>IF(NFI_Expiration=1,IF($A583&lt;VLOOKUP(Q$5,NFI,5,0),1,0)*Table_NFI[[#This Row],[Plastic Mat]],Table_NFI[Plastic Mat])*IF(Table_NFI[[#This Row],[Distribution Date]]&gt;"2014-04-01",1,2.5)</f>
        <v>0</v>
      </c>
      <c r="AI583" s="378">
        <f>IF(NFI_Expiration=1,IF($A583&lt;VLOOKUP(R$5,NFI,5,0),1,0)*Table_NFI[[#This Row],[Winter Clothes Adult]],Table_NFI[Winter Clothes Adult])</f>
        <v>0</v>
      </c>
      <c r="AJ583" s="378">
        <f>IF(NFI_Expiration=1,IF($A583&lt;VLOOKUP(S$5,NFI,5,0),1,0)*Table_NFI[[#This Row],[Winter Clothes Children]],Table_NFI[Winter Clothes Children])</f>
        <v>0</v>
      </c>
      <c r="AK583" s="378">
        <f>IF(NFI_Expiration=1,IF($A583&lt;VLOOKUP(T$5,NFI,5,0),1,0)*Table_NFI[[#This Row],[Winter Items Other]],Table_NFI[Winter Items Other])</f>
        <v>0</v>
      </c>
      <c r="AL583" s="378">
        <f>IF(NFI_Expiration=1,IF($A583&lt;VLOOKUP(M$5,NFI,5,0),1,0)*Table_NFI[[#This Row],[Winter Blanket]],Table_NFI[[#This Row],[Winter Blanket]])</f>
        <v>0</v>
      </c>
      <c r="AM583" s="378">
        <f>IF(Table_NFI[[#This Row],[Winter Clothes Adult]]+Table_NFI[[#This Row],[Winter Clothes Children]]+Table_NFI[[#This Row],[Winter Items Other]]+Table_NFI[[#This Row],[Winter Blanket]]&gt;0,1,0)</f>
        <v>0</v>
      </c>
      <c r="AN583" s="418">
        <f>IF(NFI_Expiration=1,IF($A583&lt;VLOOKUP(V$5,NFI,5,0),1,0)*Table_NFI[[#This Row],[Jerry Can]],Table_NFI[Jerry Can])</f>
        <v>0</v>
      </c>
      <c r="AO583" s="579" t="str">
        <f>IFERROR(VLOOKUP(Table_NFI[[#This Row],[Camp Name]],CL,2,0),"")</f>
        <v>MMR001CMP024</v>
      </c>
      <c r="AP583" s="574">
        <f ca="1">IF(Table_NFI[[#This Row],[Pcode]]="","",IF(OFFSET(CampList[Opening Date],MATCH(Table_NFI[[#This Row],[Pcode]],CampList[CP_Pcode],0)-1,0,1,1)&gt;=NFI_Monitor_Date,1,0))</f>
        <v>0</v>
      </c>
      <c r="AQ583" s="579" t="str">
        <f>IFERROR(VLOOKUP(Table_NFI[[#This Row],[Camp Name]],CL,3,0),"")</f>
        <v>Open</v>
      </c>
      <c r="AR583" s="378" t="str">
        <f ca="1">IF(Table_NFI[[#This Row],[Pcode]]="","",OFFSET(CampList[Priority],MATCH(Table_NFI[[#This Row],[Pcode]],CampList[CP_Pcode],0)-1,0,1,1))</f>
        <v>P4</v>
      </c>
      <c r="AS583" s="377">
        <f>IFERROR(Table_NFI[[#This Row],[Kitchen Set]]/VLOOKUP(Table_NFI[[#This Row],[Camp Name]],CL,4,0),"")</f>
        <v>0.43939393939393939</v>
      </c>
      <c r="AT583" s="572" t="s">
        <v>1095</v>
      </c>
      <c r="AU583" s="575"/>
    </row>
    <row r="584" spans="1:47" x14ac:dyDescent="0.25">
      <c r="A584" s="381">
        <f t="shared" si="9"/>
        <v>30.466666666666665</v>
      </c>
      <c r="B584" s="571">
        <v>41608</v>
      </c>
      <c r="C584" s="572" t="s">
        <v>908</v>
      </c>
      <c r="D584" s="572"/>
      <c r="E584" s="572" t="s">
        <v>380</v>
      </c>
      <c r="F584" s="374" t="s">
        <v>5</v>
      </c>
      <c r="G584" s="374" t="s">
        <v>20</v>
      </c>
      <c r="H584" s="375"/>
      <c r="I584" s="375"/>
      <c r="J584" s="375"/>
      <c r="K584" s="375"/>
      <c r="L584" s="376"/>
      <c r="M584" s="376"/>
      <c r="N584" s="376"/>
      <c r="O584" s="376"/>
      <c r="P584" s="378"/>
      <c r="Q584" s="378">
        <v>57</v>
      </c>
      <c r="R584" s="378"/>
      <c r="S584" s="378"/>
      <c r="T584" s="378"/>
      <c r="U584" s="378"/>
      <c r="V584" s="533"/>
      <c r="W584" s="378"/>
      <c r="X584" s="378"/>
      <c r="Y584" s="378">
        <f>IF(NFI_Expiration=1,IF($A584&lt;VLOOKUP(H$5,NFI,5,0),1,0)*Table_NFI[[#This Row],[Hygiene Kit]],Table_NFI[Hygiene Kit])</f>
        <v>0</v>
      </c>
      <c r="Z584" s="378">
        <f>IF(NFI_Expiration=1,IF($A584&lt;VLOOKUP(I$5,NFI,5,0),1,0)*Table_NFI[[#This Row],[NFI Core Kit]],Table_NFI[NFI Core Kit])</f>
        <v>0</v>
      </c>
      <c r="AA584" s="378">
        <f>IF(NFI_Expiration=1,IF($A584&lt;VLOOKUP(J$5,NFI,5,0),1,0)*Table_NFI[[#This Row],[Sanitary Kit]],Table_NFI[Sanitary Kit])</f>
        <v>0</v>
      </c>
      <c r="AB584" s="378">
        <f>IF(NFI_Expiration=1,IF($A584&lt;VLOOKUP(K$5,NFI,5,0),1,0)*Table_NFI[[#This Row],[Mosquito net]],Table_NFI[Mosquito net])</f>
        <v>0</v>
      </c>
      <c r="AC584" s="378">
        <f>IF(NFI_Expiration=1,IF($A584&lt;VLOOKUP(L$5,NFI,5,0),1,0)*Table_NFI[[#This Row],[Tarpaulin]],Table_NFI[[#This Row],[Tarpaulin]])</f>
        <v>0</v>
      </c>
      <c r="AD584" s="378">
        <f>IF(NFI_Expiration=1,IF($A584&lt;VLOOKUP(M$5,NFI,5,0),1,0)*Table_NFI[[#This Row],[Blanket]],Table_NFI[[#This Row],[Blanket]])</f>
        <v>0</v>
      </c>
      <c r="AE584" s="378">
        <f>IF(NFI_Expiration=1,IF($A584&lt;VLOOKUP(N$5,NFI,5,0),1,0)*Table_NFI[[#This Row],[Kitchen Set]],Table_NFI[Kitchen Set])</f>
        <v>0</v>
      </c>
      <c r="AF584" s="378">
        <f>IF(NFI_Expiration=1,IF($A584&lt;VLOOKUP(O$5,NFI,5,0),1,0)*Table_NFI[[#This Row],[Clothes Kit]],Table_NFI[Clothes Kit])</f>
        <v>0</v>
      </c>
      <c r="AG584" s="378">
        <f>IF(NFI_Expiration=1,IF($A584&lt;VLOOKUP(P$5,NFI,5,0),1,0)*Table_NFI[[#This Row],[Plastic Bucket]],Table_NFI[Plastic Bucket])</f>
        <v>0</v>
      </c>
      <c r="AH584" s="378">
        <f>IF(NFI_Expiration=1,IF($A584&lt;VLOOKUP(Q$5,NFI,5,0),1,0)*Table_NFI[[#This Row],[Plastic Mat]],Table_NFI[Plastic Mat])*IF(Table_NFI[[#This Row],[Distribution Date]]&gt;"2014-04-01",1,2.5)</f>
        <v>0</v>
      </c>
      <c r="AI584" s="378">
        <f>IF(NFI_Expiration=1,IF($A584&lt;VLOOKUP(R$5,NFI,5,0),1,0)*Table_NFI[[#This Row],[Winter Clothes Adult]],Table_NFI[Winter Clothes Adult])</f>
        <v>0</v>
      </c>
      <c r="AJ584" s="378">
        <f>IF(NFI_Expiration=1,IF($A584&lt;VLOOKUP(S$5,NFI,5,0),1,0)*Table_NFI[[#This Row],[Winter Clothes Children]],Table_NFI[Winter Clothes Children])</f>
        <v>0</v>
      </c>
      <c r="AK584" s="378">
        <f>IF(NFI_Expiration=1,IF($A584&lt;VLOOKUP(T$5,NFI,5,0),1,0)*Table_NFI[[#This Row],[Winter Items Other]],Table_NFI[Winter Items Other])</f>
        <v>0</v>
      </c>
      <c r="AL584" s="378">
        <f>IF(NFI_Expiration=1,IF($A584&lt;VLOOKUP(M$5,NFI,5,0),1,0)*Table_NFI[[#This Row],[Winter Blanket]],Table_NFI[[#This Row],[Winter Blanket]])</f>
        <v>0</v>
      </c>
      <c r="AM584" s="378">
        <f>IF(Table_NFI[[#This Row],[Winter Clothes Adult]]+Table_NFI[[#This Row],[Winter Clothes Children]]+Table_NFI[[#This Row],[Winter Items Other]]+Table_NFI[[#This Row],[Winter Blanket]]&gt;0,1,0)</f>
        <v>0</v>
      </c>
      <c r="AN584" s="418">
        <f>IF(NFI_Expiration=1,IF($A584&lt;VLOOKUP(V$5,NFI,5,0),1,0)*Table_NFI[[#This Row],[Jerry Can]],Table_NFI[Jerry Can])</f>
        <v>0</v>
      </c>
      <c r="AO584" s="579" t="str">
        <f>IFERROR(VLOOKUP(Table_NFI[[#This Row],[Camp Name]],CL,2,0),"")</f>
        <v>MMR001CMP054</v>
      </c>
      <c r="AP584" s="574">
        <f ca="1">IF(Table_NFI[[#This Row],[Pcode]]="","",IF(OFFSET(CampList[Opening Date],MATCH(Table_NFI[[#This Row],[Pcode]],CampList[CP_Pcode],0)-1,0,1,1)&gt;=NFI_Monitor_Date,1,0))</f>
        <v>0</v>
      </c>
      <c r="AQ584" s="579" t="str">
        <f>IFERROR(VLOOKUP(Table_NFI[[#This Row],[Camp Name]],CL,3,0),"")</f>
        <v>Open</v>
      </c>
      <c r="AR584" s="378" t="str">
        <f ca="1">IF(Table_NFI[[#This Row],[Pcode]]="","",OFFSET(CampList[Priority],MATCH(Table_NFI[[#This Row],[Pcode]],CampList[CP_Pcode],0)-1,0,1,1))</f>
        <v>P4</v>
      </c>
      <c r="AS584" s="377">
        <f>IFERROR(Table_NFI[[#This Row],[Kitchen Set]]/VLOOKUP(Table_NFI[[#This Row],[Camp Name]],CL,4,0),"")</f>
        <v>0</v>
      </c>
      <c r="AT584" s="572" t="s">
        <v>1095</v>
      </c>
      <c r="AU584" s="575"/>
    </row>
    <row r="585" spans="1:47" x14ac:dyDescent="0.25">
      <c r="A585" s="381">
        <f t="shared" si="9"/>
        <v>40.9</v>
      </c>
      <c r="B585" s="571">
        <v>41295</v>
      </c>
      <c r="C585" s="572" t="s">
        <v>908</v>
      </c>
      <c r="D585" s="572" t="s">
        <v>908</v>
      </c>
      <c r="E585" s="572" t="s">
        <v>380</v>
      </c>
      <c r="F585" s="374" t="s">
        <v>5</v>
      </c>
      <c r="G585" s="374" t="s">
        <v>20</v>
      </c>
      <c r="H585" s="375">
        <v>85</v>
      </c>
      <c r="I585" s="375"/>
      <c r="J585" s="375">
        <v>105</v>
      </c>
      <c r="K585" s="375"/>
      <c r="L585" s="376"/>
      <c r="M585" s="376"/>
      <c r="N585" s="376"/>
      <c r="O585" s="376"/>
      <c r="P585" s="378">
        <v>0</v>
      </c>
      <c r="Q585" s="378">
        <v>0</v>
      </c>
      <c r="R585" s="378"/>
      <c r="S585" s="378"/>
      <c r="T585" s="378"/>
      <c r="U585" s="378"/>
      <c r="V585" s="533"/>
      <c r="W585" s="378"/>
      <c r="X585" s="378"/>
      <c r="Y585" s="378">
        <f>IF(NFI_Expiration=1,IF($A585&lt;VLOOKUP(H$5,NFI,5,0),1,0)*Table_NFI[[#This Row],[Hygiene Kit]],Table_NFI[Hygiene Kit])</f>
        <v>0</v>
      </c>
      <c r="Z585" s="378">
        <f>IF(NFI_Expiration=1,IF($A585&lt;VLOOKUP(I$5,NFI,5,0),1,0)*Table_NFI[[#This Row],[NFI Core Kit]],Table_NFI[NFI Core Kit])</f>
        <v>0</v>
      </c>
      <c r="AA585" s="378">
        <f>IF(NFI_Expiration=1,IF($A585&lt;VLOOKUP(J$5,NFI,5,0),1,0)*Table_NFI[[#This Row],[Sanitary Kit]],Table_NFI[Sanitary Kit])</f>
        <v>0</v>
      </c>
      <c r="AB585" s="378">
        <f>IF(NFI_Expiration=1,IF($A585&lt;VLOOKUP(K$5,NFI,5,0),1,0)*Table_NFI[[#This Row],[Mosquito net]],Table_NFI[Mosquito net])</f>
        <v>0</v>
      </c>
      <c r="AC585" s="378">
        <f>IF(NFI_Expiration=1,IF($A585&lt;VLOOKUP(L$5,NFI,5,0),1,0)*Table_NFI[[#This Row],[Tarpaulin]],Table_NFI[[#This Row],[Tarpaulin]])</f>
        <v>0</v>
      </c>
      <c r="AD585" s="378">
        <f>IF(NFI_Expiration=1,IF($A585&lt;VLOOKUP(M$5,NFI,5,0),1,0)*Table_NFI[[#This Row],[Blanket]],Table_NFI[[#This Row],[Blanket]])</f>
        <v>0</v>
      </c>
      <c r="AE585" s="378">
        <f>IF(NFI_Expiration=1,IF($A585&lt;VLOOKUP(N$5,NFI,5,0),1,0)*Table_NFI[[#This Row],[Kitchen Set]],Table_NFI[Kitchen Set])</f>
        <v>0</v>
      </c>
      <c r="AF585" s="378">
        <f>IF(NFI_Expiration=1,IF($A585&lt;VLOOKUP(O$5,NFI,5,0),1,0)*Table_NFI[[#This Row],[Clothes Kit]],Table_NFI[Clothes Kit])</f>
        <v>0</v>
      </c>
      <c r="AG585" s="378">
        <f>IF(NFI_Expiration=1,IF($A585&lt;VLOOKUP(P$5,NFI,5,0),1,0)*Table_NFI[[#This Row],[Plastic Bucket]],Table_NFI[Plastic Bucket])</f>
        <v>0</v>
      </c>
      <c r="AH585" s="378">
        <f>IF(NFI_Expiration=1,IF($A585&lt;VLOOKUP(Q$5,NFI,5,0),1,0)*Table_NFI[[#This Row],[Plastic Mat]],Table_NFI[Plastic Mat])*IF(Table_NFI[[#This Row],[Distribution Date]]&gt;"2014-04-01",1,2.5)</f>
        <v>0</v>
      </c>
      <c r="AI585" s="378">
        <f>IF(NFI_Expiration=1,IF($A585&lt;VLOOKUP(R$5,NFI,5,0),1,0)*Table_NFI[[#This Row],[Winter Clothes Adult]],Table_NFI[Winter Clothes Adult])</f>
        <v>0</v>
      </c>
      <c r="AJ585" s="378">
        <f>IF(NFI_Expiration=1,IF($A585&lt;VLOOKUP(S$5,NFI,5,0),1,0)*Table_NFI[[#This Row],[Winter Clothes Children]],Table_NFI[Winter Clothes Children])</f>
        <v>0</v>
      </c>
      <c r="AK585" s="378">
        <f>IF(NFI_Expiration=1,IF($A585&lt;VLOOKUP(T$5,NFI,5,0),1,0)*Table_NFI[[#This Row],[Winter Items Other]],Table_NFI[Winter Items Other])</f>
        <v>0</v>
      </c>
      <c r="AL585" s="378">
        <f>IF(NFI_Expiration=1,IF($A585&lt;VLOOKUP(M$5,NFI,5,0),1,0)*Table_NFI[[#This Row],[Winter Blanket]],Table_NFI[[#This Row],[Winter Blanket]])</f>
        <v>0</v>
      </c>
      <c r="AM585" s="378">
        <f>IF(Table_NFI[[#This Row],[Winter Clothes Adult]]+Table_NFI[[#This Row],[Winter Clothes Children]]+Table_NFI[[#This Row],[Winter Items Other]]+Table_NFI[[#This Row],[Winter Blanket]]&gt;0,1,0)</f>
        <v>0</v>
      </c>
      <c r="AN585" s="418">
        <f>IF(NFI_Expiration=1,IF($A585&lt;VLOOKUP(V$5,NFI,5,0),1,0)*Table_NFI[[#This Row],[Jerry Can]],Table_NFI[Jerry Can])</f>
        <v>0</v>
      </c>
      <c r="AO585" s="579" t="str">
        <f>IFERROR(VLOOKUP(Table_NFI[[#This Row],[Camp Name]],CL,2,0),"")</f>
        <v>MMR001CMP054</v>
      </c>
      <c r="AP585" s="574">
        <f ca="1">IF(Table_NFI[[#This Row],[Pcode]]="","",IF(OFFSET(CampList[Opening Date],MATCH(Table_NFI[[#This Row],[Pcode]],CampList[CP_Pcode],0)-1,0,1,1)&gt;=NFI_Monitor_Date,1,0))</f>
        <v>0</v>
      </c>
      <c r="AQ585" s="579" t="str">
        <f>IFERROR(VLOOKUP(Table_NFI[[#This Row],[Camp Name]],CL,3,0),"")</f>
        <v>Open</v>
      </c>
      <c r="AR585" s="378" t="str">
        <f ca="1">IF(Table_NFI[[#This Row],[Pcode]]="","",OFFSET(CampList[Priority],MATCH(Table_NFI[[#This Row],[Pcode]],CampList[CP_Pcode],0)-1,0,1,1))</f>
        <v>P4</v>
      </c>
      <c r="AS585" s="377">
        <f>IFERROR(Table_NFI[[#This Row],[Kitchen Set]]/VLOOKUP(Table_NFI[[#This Row],[Camp Name]],CL,4,0),"")</f>
        <v>0</v>
      </c>
      <c r="AT585" s="572" t="s">
        <v>1095</v>
      </c>
      <c r="AU585" s="575"/>
    </row>
    <row r="586" spans="1:47" x14ac:dyDescent="0.25">
      <c r="A586" s="381">
        <f t="shared" si="9"/>
        <v>48.466666666666669</v>
      </c>
      <c r="B586" s="571">
        <v>41068</v>
      </c>
      <c r="C586" s="572" t="s">
        <v>454</v>
      </c>
      <c r="D586" s="572" t="s">
        <v>454</v>
      </c>
      <c r="E586" s="572" t="s">
        <v>380</v>
      </c>
      <c r="F586" s="374" t="s">
        <v>5</v>
      </c>
      <c r="G586" s="374" t="s">
        <v>20</v>
      </c>
      <c r="H586" s="375"/>
      <c r="I586" s="375"/>
      <c r="J586" s="375"/>
      <c r="K586" s="375">
        <v>12</v>
      </c>
      <c r="L586" s="376">
        <v>6</v>
      </c>
      <c r="M586" s="376">
        <v>12</v>
      </c>
      <c r="N586" s="376">
        <v>6</v>
      </c>
      <c r="O586" s="376">
        <v>6</v>
      </c>
      <c r="P586" s="378">
        <v>6</v>
      </c>
      <c r="Q586" s="378">
        <v>6</v>
      </c>
      <c r="R586" s="378"/>
      <c r="S586" s="378"/>
      <c r="T586" s="378"/>
      <c r="U586" s="378"/>
      <c r="V586" s="533"/>
      <c r="W586" s="378"/>
      <c r="X586" s="378"/>
      <c r="Y586" s="378">
        <f>IF(NFI_Expiration=1,IF($A586&lt;VLOOKUP(H$5,NFI,5,0),1,0)*Table_NFI[[#This Row],[Hygiene Kit]],Table_NFI[Hygiene Kit])</f>
        <v>0</v>
      </c>
      <c r="Z586" s="378">
        <f>IF(NFI_Expiration=1,IF($A586&lt;VLOOKUP(I$5,NFI,5,0),1,0)*Table_NFI[[#This Row],[NFI Core Kit]],Table_NFI[NFI Core Kit])</f>
        <v>0</v>
      </c>
      <c r="AA586" s="378">
        <f>IF(NFI_Expiration=1,IF($A586&lt;VLOOKUP(J$5,NFI,5,0),1,0)*Table_NFI[[#This Row],[Sanitary Kit]],Table_NFI[Sanitary Kit])</f>
        <v>0</v>
      </c>
      <c r="AB586" s="378">
        <f>IF(NFI_Expiration=1,IF($A586&lt;VLOOKUP(K$5,NFI,5,0),1,0)*Table_NFI[[#This Row],[Mosquito net]],Table_NFI[Mosquito net])</f>
        <v>0</v>
      </c>
      <c r="AC586" s="378">
        <f>IF(NFI_Expiration=1,IF($A586&lt;VLOOKUP(L$5,NFI,5,0),1,0)*Table_NFI[[#This Row],[Tarpaulin]],Table_NFI[[#This Row],[Tarpaulin]])</f>
        <v>0</v>
      </c>
      <c r="AD586" s="378">
        <f>IF(NFI_Expiration=1,IF($A586&lt;VLOOKUP(M$5,NFI,5,0),1,0)*Table_NFI[[#This Row],[Blanket]],Table_NFI[[#This Row],[Blanket]])</f>
        <v>0</v>
      </c>
      <c r="AE586" s="378">
        <f>IF(NFI_Expiration=1,IF($A586&lt;VLOOKUP(N$5,NFI,5,0),1,0)*Table_NFI[[#This Row],[Kitchen Set]],Table_NFI[Kitchen Set])</f>
        <v>0</v>
      </c>
      <c r="AF586" s="378">
        <f>IF(NFI_Expiration=1,IF($A586&lt;VLOOKUP(O$5,NFI,5,0),1,0)*Table_NFI[[#This Row],[Clothes Kit]],Table_NFI[Clothes Kit])</f>
        <v>0</v>
      </c>
      <c r="AG586" s="378">
        <f>IF(NFI_Expiration=1,IF($A586&lt;VLOOKUP(P$5,NFI,5,0),1,0)*Table_NFI[[#This Row],[Plastic Bucket]],Table_NFI[Plastic Bucket])</f>
        <v>0</v>
      </c>
      <c r="AH586" s="378">
        <f>IF(NFI_Expiration=1,IF($A586&lt;VLOOKUP(Q$5,NFI,5,0),1,0)*Table_NFI[[#This Row],[Plastic Mat]],Table_NFI[Plastic Mat])*IF(Table_NFI[[#This Row],[Distribution Date]]&gt;"2014-04-01",1,2.5)</f>
        <v>0</v>
      </c>
      <c r="AI586" s="378">
        <f>IF(NFI_Expiration=1,IF($A586&lt;VLOOKUP(R$5,NFI,5,0),1,0)*Table_NFI[[#This Row],[Winter Clothes Adult]],Table_NFI[Winter Clothes Adult])</f>
        <v>0</v>
      </c>
      <c r="AJ586" s="378">
        <f>IF(NFI_Expiration=1,IF($A586&lt;VLOOKUP(S$5,NFI,5,0),1,0)*Table_NFI[[#This Row],[Winter Clothes Children]],Table_NFI[Winter Clothes Children])</f>
        <v>0</v>
      </c>
      <c r="AK586" s="378">
        <f>IF(NFI_Expiration=1,IF($A586&lt;VLOOKUP(T$5,NFI,5,0),1,0)*Table_NFI[[#This Row],[Winter Items Other]],Table_NFI[Winter Items Other])</f>
        <v>0</v>
      </c>
      <c r="AL586" s="378">
        <f>IF(NFI_Expiration=1,IF($A586&lt;VLOOKUP(M$5,NFI,5,0),1,0)*Table_NFI[[#This Row],[Winter Blanket]],Table_NFI[[#This Row],[Winter Blanket]])</f>
        <v>0</v>
      </c>
      <c r="AM586" s="378">
        <f>IF(Table_NFI[[#This Row],[Winter Clothes Adult]]+Table_NFI[[#This Row],[Winter Clothes Children]]+Table_NFI[[#This Row],[Winter Items Other]]+Table_NFI[[#This Row],[Winter Blanket]]&gt;0,1,0)</f>
        <v>0</v>
      </c>
      <c r="AN586" s="418">
        <f>IF(NFI_Expiration=1,IF($A586&lt;VLOOKUP(V$5,NFI,5,0),1,0)*Table_NFI[[#This Row],[Jerry Can]],Table_NFI[Jerry Can])</f>
        <v>0</v>
      </c>
      <c r="AO586" s="579" t="str">
        <f>IFERROR(VLOOKUP(Table_NFI[[#This Row],[Camp Name]],CL,2,0),"")</f>
        <v>MMR001CMP054</v>
      </c>
      <c r="AP586" s="574">
        <f ca="1">IF(Table_NFI[[#This Row],[Pcode]]="","",IF(OFFSET(CampList[Opening Date],MATCH(Table_NFI[[#This Row],[Pcode]],CampList[CP_Pcode],0)-1,0,1,1)&gt;=NFI_Monitor_Date,1,0))</f>
        <v>0</v>
      </c>
      <c r="AQ586" s="579" t="str">
        <f>IFERROR(VLOOKUP(Table_NFI[[#This Row],[Camp Name]],CL,3,0),"")</f>
        <v>Open</v>
      </c>
      <c r="AR586" s="378" t="str">
        <f ca="1">IF(Table_NFI[[#This Row],[Pcode]]="","",OFFSET(CampList[Priority],MATCH(Table_NFI[[#This Row],[Pcode]],CampList[CP_Pcode],0)-1,0,1,1))</f>
        <v>P4</v>
      </c>
      <c r="AS586" s="377">
        <f>IFERROR(Table_NFI[[#This Row],[Kitchen Set]]/VLOOKUP(Table_NFI[[#This Row],[Camp Name]],CL,4,0),"")</f>
        <v>0.3</v>
      </c>
      <c r="AT586" s="572" t="s">
        <v>1095</v>
      </c>
      <c r="AU586" s="575"/>
    </row>
    <row r="587" spans="1:47" x14ac:dyDescent="0.25">
      <c r="A587" s="381">
        <f t="shared" si="9"/>
        <v>18.966666666666665</v>
      </c>
      <c r="B587" s="571">
        <v>41953</v>
      </c>
      <c r="C587" s="572" t="s">
        <v>1097</v>
      </c>
      <c r="D587" s="572" t="s">
        <v>903</v>
      </c>
      <c r="E587" s="572" t="s">
        <v>380</v>
      </c>
      <c r="F587" s="572" t="s">
        <v>529</v>
      </c>
      <c r="G587" s="572" t="s">
        <v>108</v>
      </c>
      <c r="H587" s="375"/>
      <c r="I587" s="375"/>
      <c r="J587" s="375"/>
      <c r="K587" s="375"/>
      <c r="L587" s="376"/>
      <c r="M587" s="376"/>
      <c r="N587" s="376"/>
      <c r="O587" s="376"/>
      <c r="P587" s="378"/>
      <c r="Q587" s="378"/>
      <c r="R587" s="378">
        <v>117</v>
      </c>
      <c r="S587" s="378">
        <v>65</v>
      </c>
      <c r="T587" s="378"/>
      <c r="U587" s="378"/>
      <c r="V587" s="533"/>
      <c r="W587" s="378"/>
      <c r="X587" s="378"/>
      <c r="Y587" s="378">
        <f>IF(NFI_Expiration=1,IF($A587&lt;VLOOKUP(H$5,NFI,5,0),1,0)*Table_NFI[[#This Row],[Hygiene Kit]],Table_NFI[Hygiene Kit])</f>
        <v>0</v>
      </c>
      <c r="Z587" s="378">
        <f>IF(NFI_Expiration=1,IF($A587&lt;VLOOKUP(I$5,NFI,5,0),1,0)*Table_NFI[[#This Row],[NFI Core Kit]],Table_NFI[NFI Core Kit])</f>
        <v>0</v>
      </c>
      <c r="AA587" s="378">
        <f>IF(NFI_Expiration=1,IF($A587&lt;VLOOKUP(J$5,NFI,5,0),1,0)*Table_NFI[[#This Row],[Sanitary Kit]],Table_NFI[Sanitary Kit])</f>
        <v>0</v>
      </c>
      <c r="AB587" s="378">
        <f>IF(NFI_Expiration=1,IF($A587&lt;VLOOKUP(K$5,NFI,5,0),1,0)*Table_NFI[[#This Row],[Mosquito net]],Table_NFI[Mosquito net])</f>
        <v>0</v>
      </c>
      <c r="AC587" s="378">
        <f>IF(NFI_Expiration=1,IF($A587&lt;VLOOKUP(L$5,NFI,5,0),1,0)*Table_NFI[[#This Row],[Tarpaulin]],Table_NFI[[#This Row],[Tarpaulin]])</f>
        <v>0</v>
      </c>
      <c r="AD587" s="378">
        <f>IF(NFI_Expiration=1,IF($A587&lt;VLOOKUP(M$5,NFI,5,0),1,0)*Table_NFI[[#This Row],[Blanket]],Table_NFI[[#This Row],[Blanket]])</f>
        <v>0</v>
      </c>
      <c r="AE587" s="378">
        <f>IF(NFI_Expiration=1,IF($A587&lt;VLOOKUP(N$5,NFI,5,0),1,0)*Table_NFI[[#This Row],[Kitchen Set]],Table_NFI[Kitchen Set])</f>
        <v>0</v>
      </c>
      <c r="AF587" s="378">
        <f>IF(NFI_Expiration=1,IF($A587&lt;VLOOKUP(O$5,NFI,5,0),1,0)*Table_NFI[[#This Row],[Clothes Kit]],Table_NFI[Clothes Kit])</f>
        <v>0</v>
      </c>
      <c r="AG587" s="378">
        <f>IF(NFI_Expiration=1,IF($A587&lt;VLOOKUP(P$5,NFI,5,0),1,0)*Table_NFI[[#This Row],[Plastic Bucket]],Table_NFI[Plastic Bucket])</f>
        <v>0</v>
      </c>
      <c r="AH587" s="378">
        <f>IF(NFI_Expiration=1,IF($A587&lt;VLOOKUP(Q$5,NFI,5,0),1,0)*Table_NFI[[#This Row],[Plastic Mat]],Table_NFI[Plastic Mat])*IF(Table_NFI[[#This Row],[Distribution Date]]&gt;"2014-04-01",1,2.5)</f>
        <v>0</v>
      </c>
      <c r="AI587" s="378">
        <f>IF(NFI_Expiration=1,IF($A587&lt;VLOOKUP(R$5,NFI,5,0),1,0)*Table_NFI[[#This Row],[Winter Clothes Adult]],Table_NFI[Winter Clothes Adult])</f>
        <v>0</v>
      </c>
      <c r="AJ587" s="378">
        <f>IF(NFI_Expiration=1,IF($A587&lt;VLOOKUP(S$5,NFI,5,0),1,0)*Table_NFI[[#This Row],[Winter Clothes Children]],Table_NFI[Winter Clothes Children])</f>
        <v>0</v>
      </c>
      <c r="AK587" s="378">
        <f>IF(NFI_Expiration=1,IF($A587&lt;VLOOKUP(T$5,NFI,5,0),1,0)*Table_NFI[[#This Row],[Winter Items Other]],Table_NFI[Winter Items Other])</f>
        <v>0</v>
      </c>
      <c r="AL587" s="378">
        <f>IF(NFI_Expiration=1,IF($A587&lt;VLOOKUP(M$5,NFI,5,0),1,0)*Table_NFI[[#This Row],[Winter Blanket]],Table_NFI[[#This Row],[Winter Blanket]])</f>
        <v>0</v>
      </c>
      <c r="AM587" s="378">
        <f>IF(Table_NFI[[#This Row],[Winter Clothes Adult]]+Table_NFI[[#This Row],[Winter Clothes Children]]+Table_NFI[[#This Row],[Winter Items Other]]+Table_NFI[[#This Row],[Winter Blanket]]&gt;0,1,0)</f>
        <v>1</v>
      </c>
      <c r="AN587" s="418">
        <f>IF(NFI_Expiration=1,IF($A587&lt;VLOOKUP(V$5,NFI,5,0),1,0)*Table_NFI[[#This Row],[Jerry Can]],Table_NFI[Jerry Can])</f>
        <v>0</v>
      </c>
      <c r="AO587" s="579" t="str">
        <f>IFERROR(VLOOKUP(Table_NFI[[#This Row],[Camp Name]],CL,2,0),"")</f>
        <v>MMR001CMP103</v>
      </c>
      <c r="AP587" s="574">
        <f ca="1">IF(Table_NFI[[#This Row],[Pcode]]="","",IF(OFFSET(CampList[Opening Date],MATCH(Table_NFI[[#This Row],[Pcode]],CampList[CP_Pcode],0)-1,0,1,1)&gt;=NFI_Monitor_Date,1,0))</f>
        <v>0</v>
      </c>
      <c r="AQ587" s="579" t="str">
        <f>IFERROR(VLOOKUP(Table_NFI[[#This Row],[Camp Name]],CL,3,0),"")</f>
        <v>Open</v>
      </c>
      <c r="AR587" s="378" t="str">
        <f ca="1">IF(Table_NFI[[#This Row],[Pcode]]="","",OFFSET(CampList[Priority],MATCH(Table_NFI[[#This Row],[Pcode]],CampList[CP_Pcode],0)-1,0,1,1))</f>
        <v>P4</v>
      </c>
      <c r="AS587" s="377">
        <f>IFERROR(Table_NFI[[#This Row],[Kitchen Set]]/VLOOKUP(Table_NFI[[#This Row],[Camp Name]],CL,4,0),"")</f>
        <v>0</v>
      </c>
      <c r="AT587" s="572"/>
      <c r="AU587" s="575"/>
    </row>
    <row r="588" spans="1:47" x14ac:dyDescent="0.25">
      <c r="A588" s="381">
        <f t="shared" si="9"/>
        <v>19.3</v>
      </c>
      <c r="B588" s="571">
        <v>41943</v>
      </c>
      <c r="C588" s="572" t="s">
        <v>454</v>
      </c>
      <c r="D588" s="572"/>
      <c r="E588" s="572" t="s">
        <v>380</v>
      </c>
      <c r="F588" s="572" t="s">
        <v>529</v>
      </c>
      <c r="G588" s="572" t="s">
        <v>108</v>
      </c>
      <c r="H588" s="375"/>
      <c r="I588" s="375"/>
      <c r="J588" s="375">
        <v>36</v>
      </c>
      <c r="K588" s="375">
        <v>72</v>
      </c>
      <c r="L588" s="376">
        <v>36</v>
      </c>
      <c r="M588" s="376">
        <v>72</v>
      </c>
      <c r="N588" s="376">
        <v>36</v>
      </c>
      <c r="O588" s="376"/>
      <c r="P588" s="378">
        <v>36</v>
      </c>
      <c r="Q588" s="378">
        <v>180</v>
      </c>
      <c r="R588" s="378"/>
      <c r="S588" s="378"/>
      <c r="T588" s="378"/>
      <c r="U588" s="378"/>
      <c r="V588" s="533"/>
      <c r="W588" s="378"/>
      <c r="X588" s="378"/>
      <c r="Y588" s="378">
        <f>IF(NFI_Expiration=1,IF($A588&lt;VLOOKUP(H$5,NFI,5,0),1,0)*Table_NFI[[#This Row],[Hygiene Kit]],Table_NFI[Hygiene Kit])</f>
        <v>0</v>
      </c>
      <c r="Z588" s="378">
        <f>IF(NFI_Expiration=1,IF($A588&lt;VLOOKUP(I$5,NFI,5,0),1,0)*Table_NFI[[#This Row],[NFI Core Kit]],Table_NFI[NFI Core Kit])</f>
        <v>0</v>
      </c>
      <c r="AA588" s="378">
        <f>IF(NFI_Expiration=1,IF($A588&lt;VLOOKUP(J$5,NFI,5,0),1,0)*Table_NFI[[#This Row],[Sanitary Kit]],Table_NFI[Sanitary Kit])</f>
        <v>0</v>
      </c>
      <c r="AB588" s="378">
        <f>IF(NFI_Expiration=1,IF($A588&lt;VLOOKUP(K$5,NFI,5,0),1,0)*Table_NFI[[#This Row],[Mosquito net]],Table_NFI[Mosquito net])</f>
        <v>0</v>
      </c>
      <c r="AC588" s="378">
        <f>IF(NFI_Expiration=1,IF($A588&lt;VLOOKUP(L$5,NFI,5,0),1,0)*Table_NFI[[#This Row],[Tarpaulin]],Table_NFI[[#This Row],[Tarpaulin]])</f>
        <v>0</v>
      </c>
      <c r="AD588" s="378">
        <f>IF(NFI_Expiration=1,IF($A588&lt;VLOOKUP(M$5,NFI,5,0),1,0)*Table_NFI[[#This Row],[Blanket]],Table_NFI[[#This Row],[Blanket]])</f>
        <v>0</v>
      </c>
      <c r="AE588" s="378">
        <f>IF(NFI_Expiration=1,IF($A588&lt;VLOOKUP(N$5,NFI,5,0),1,0)*Table_NFI[[#This Row],[Kitchen Set]],Table_NFI[Kitchen Set])</f>
        <v>0</v>
      </c>
      <c r="AF588" s="378">
        <f>IF(NFI_Expiration=1,IF($A588&lt;VLOOKUP(O$5,NFI,5,0),1,0)*Table_NFI[[#This Row],[Clothes Kit]],Table_NFI[Clothes Kit])</f>
        <v>0</v>
      </c>
      <c r="AG588" s="378">
        <f>IF(NFI_Expiration=1,IF($A588&lt;VLOOKUP(P$5,NFI,5,0),1,0)*Table_NFI[[#This Row],[Plastic Bucket]],Table_NFI[Plastic Bucket])</f>
        <v>0</v>
      </c>
      <c r="AH588" s="378">
        <f>IF(NFI_Expiration=1,IF($A588&lt;VLOOKUP(Q$5,NFI,5,0),1,0)*Table_NFI[[#This Row],[Plastic Mat]],Table_NFI[Plastic Mat])*IF(Table_NFI[[#This Row],[Distribution Date]]&gt;"2014-04-01",1,2.5)</f>
        <v>0</v>
      </c>
      <c r="AI588" s="378">
        <f>IF(NFI_Expiration=1,IF($A588&lt;VLOOKUP(R$5,NFI,5,0),1,0)*Table_NFI[[#This Row],[Winter Clothes Adult]],Table_NFI[Winter Clothes Adult])</f>
        <v>0</v>
      </c>
      <c r="AJ588" s="378">
        <f>IF(NFI_Expiration=1,IF($A588&lt;VLOOKUP(S$5,NFI,5,0),1,0)*Table_NFI[[#This Row],[Winter Clothes Children]],Table_NFI[Winter Clothes Children])</f>
        <v>0</v>
      </c>
      <c r="AK588" s="378">
        <f>IF(NFI_Expiration=1,IF($A588&lt;VLOOKUP(T$5,NFI,5,0),1,0)*Table_NFI[[#This Row],[Winter Items Other]],Table_NFI[Winter Items Other])</f>
        <v>0</v>
      </c>
      <c r="AL588" s="378">
        <f>IF(NFI_Expiration=1,IF($A588&lt;VLOOKUP(M$5,NFI,5,0),1,0)*Table_NFI[[#This Row],[Winter Blanket]],Table_NFI[[#This Row],[Winter Blanket]])</f>
        <v>0</v>
      </c>
      <c r="AM588" s="378">
        <f>IF(Table_NFI[[#This Row],[Winter Clothes Adult]]+Table_NFI[[#This Row],[Winter Clothes Children]]+Table_NFI[[#This Row],[Winter Items Other]]+Table_NFI[[#This Row],[Winter Blanket]]&gt;0,1,0)</f>
        <v>0</v>
      </c>
      <c r="AN588" s="418">
        <f>IF(NFI_Expiration=1,IF($A588&lt;VLOOKUP(V$5,NFI,5,0),1,0)*Table_NFI[[#This Row],[Jerry Can]],Table_NFI[Jerry Can])</f>
        <v>0</v>
      </c>
      <c r="AO588" s="579" t="str">
        <f>IFERROR(VLOOKUP(Table_NFI[[#This Row],[Camp Name]],CL,2,0),"")</f>
        <v>MMR001CMP103</v>
      </c>
      <c r="AP588" s="574">
        <f ca="1">IF(Table_NFI[[#This Row],[Pcode]]="","",IF(OFFSET(CampList[Opening Date],MATCH(Table_NFI[[#This Row],[Pcode]],CampList[CP_Pcode],0)-1,0,1,1)&gt;=NFI_Monitor_Date,1,0))</f>
        <v>0</v>
      </c>
      <c r="AQ588" s="579" t="str">
        <f>IFERROR(VLOOKUP(Table_NFI[[#This Row],[Camp Name]],CL,3,0),"")</f>
        <v>Open</v>
      </c>
      <c r="AR588" s="378" t="str">
        <f ca="1">IF(Table_NFI[[#This Row],[Pcode]]="","",OFFSET(CampList[Priority],MATCH(Table_NFI[[#This Row],[Pcode]],CampList[CP_Pcode],0)-1,0,1,1))</f>
        <v>P4</v>
      </c>
      <c r="AS588" s="377">
        <f>IFERROR(Table_NFI[[#This Row],[Kitchen Set]]/VLOOKUP(Table_NFI[[#This Row],[Camp Name]],CL,4,0),"")</f>
        <v>0.67924528301886788</v>
      </c>
      <c r="AT588" s="572"/>
      <c r="AU588" s="575" t="s">
        <v>1113</v>
      </c>
    </row>
    <row r="589" spans="1:47" x14ac:dyDescent="0.25">
      <c r="A589" s="381">
        <f t="shared" si="9"/>
        <v>20.3</v>
      </c>
      <c r="B589" s="571">
        <v>41913</v>
      </c>
      <c r="C589" s="572" t="s">
        <v>454</v>
      </c>
      <c r="D589" s="577" t="s">
        <v>508</v>
      </c>
      <c r="E589" s="577" t="s">
        <v>380</v>
      </c>
      <c r="F589" s="577" t="s">
        <v>529</v>
      </c>
      <c r="G589" s="577" t="s">
        <v>108</v>
      </c>
      <c r="H589" s="376"/>
      <c r="I589" s="376"/>
      <c r="J589" s="376"/>
      <c r="K589" s="376">
        <v>80</v>
      </c>
      <c r="L589" s="376"/>
      <c r="M589" s="376"/>
      <c r="N589" s="376"/>
      <c r="O589" s="376"/>
      <c r="P589" s="378"/>
      <c r="Q589" s="378"/>
      <c r="R589" s="378"/>
      <c r="S589" s="378"/>
      <c r="T589" s="378"/>
      <c r="U589" s="378"/>
      <c r="V589" s="533"/>
      <c r="W589" s="378"/>
      <c r="X589" s="378"/>
      <c r="Y589" s="378">
        <f>IF(NFI_Expiration=1,IF($A589&lt;VLOOKUP(H$5,NFI,5,0),1,0)*Table_NFI[[#This Row],[Hygiene Kit]],Table_NFI[Hygiene Kit])</f>
        <v>0</v>
      </c>
      <c r="Z589" s="378">
        <f>IF(NFI_Expiration=1,IF($A589&lt;VLOOKUP(I$5,NFI,5,0),1,0)*Table_NFI[[#This Row],[NFI Core Kit]],Table_NFI[NFI Core Kit])</f>
        <v>0</v>
      </c>
      <c r="AA589" s="378">
        <f>IF(NFI_Expiration=1,IF($A589&lt;VLOOKUP(J$5,NFI,5,0),1,0)*Table_NFI[[#This Row],[Sanitary Kit]],Table_NFI[Sanitary Kit])</f>
        <v>0</v>
      </c>
      <c r="AB589" s="378">
        <f>IF(NFI_Expiration=1,IF($A589&lt;VLOOKUP(K$5,NFI,5,0),1,0)*Table_NFI[[#This Row],[Mosquito net]],Table_NFI[Mosquito net])</f>
        <v>0</v>
      </c>
      <c r="AC589" s="378">
        <f>IF(NFI_Expiration=1,IF($A589&lt;VLOOKUP(L$5,NFI,5,0),1,0)*Table_NFI[[#This Row],[Tarpaulin]],Table_NFI[[#This Row],[Tarpaulin]])</f>
        <v>0</v>
      </c>
      <c r="AD589" s="378">
        <f>IF(NFI_Expiration=1,IF($A589&lt;VLOOKUP(M$5,NFI,5,0),1,0)*Table_NFI[[#This Row],[Blanket]],Table_NFI[[#This Row],[Blanket]])</f>
        <v>0</v>
      </c>
      <c r="AE589" s="378">
        <f>IF(NFI_Expiration=1,IF($A589&lt;VLOOKUP(N$5,NFI,5,0),1,0)*Table_NFI[[#This Row],[Kitchen Set]],Table_NFI[Kitchen Set])</f>
        <v>0</v>
      </c>
      <c r="AF589" s="378">
        <f>IF(NFI_Expiration=1,IF($A589&lt;VLOOKUP(O$5,NFI,5,0),1,0)*Table_NFI[[#This Row],[Clothes Kit]],Table_NFI[Clothes Kit])</f>
        <v>0</v>
      </c>
      <c r="AG589" s="378">
        <f>IF(NFI_Expiration=1,IF($A589&lt;VLOOKUP(P$5,NFI,5,0),1,0)*Table_NFI[[#This Row],[Plastic Bucket]],Table_NFI[Plastic Bucket])</f>
        <v>0</v>
      </c>
      <c r="AH589" s="378">
        <f>IF(NFI_Expiration=1,IF($A589&lt;VLOOKUP(Q$5,NFI,5,0),1,0)*Table_NFI[[#This Row],[Plastic Mat]],Table_NFI[Plastic Mat])*IF(Table_NFI[[#This Row],[Distribution Date]]&gt;"2014-04-01",1,2.5)</f>
        <v>0</v>
      </c>
      <c r="AI589" s="378">
        <f>IF(NFI_Expiration=1,IF($A589&lt;VLOOKUP(R$5,NFI,5,0),1,0)*Table_NFI[[#This Row],[Winter Clothes Adult]],Table_NFI[Winter Clothes Adult])</f>
        <v>0</v>
      </c>
      <c r="AJ589" s="378">
        <f>IF(NFI_Expiration=1,IF($A589&lt;VLOOKUP(S$5,NFI,5,0),1,0)*Table_NFI[[#This Row],[Winter Clothes Children]],Table_NFI[Winter Clothes Children])</f>
        <v>0</v>
      </c>
      <c r="AK589" s="378">
        <f>IF(NFI_Expiration=1,IF($A589&lt;VLOOKUP(T$5,NFI,5,0),1,0)*Table_NFI[[#This Row],[Winter Items Other]],Table_NFI[Winter Items Other])</f>
        <v>0</v>
      </c>
      <c r="AL589" s="378">
        <f>IF(NFI_Expiration=1,IF($A589&lt;VLOOKUP(M$5,NFI,5,0),1,0)*Table_NFI[[#This Row],[Winter Blanket]],Table_NFI[[#This Row],[Winter Blanket]])</f>
        <v>0</v>
      </c>
      <c r="AM589" s="378">
        <f>IF(Table_NFI[[#This Row],[Winter Clothes Adult]]+Table_NFI[[#This Row],[Winter Clothes Children]]+Table_NFI[[#This Row],[Winter Items Other]]+Table_NFI[[#This Row],[Winter Blanket]]&gt;0,1,0)</f>
        <v>0</v>
      </c>
      <c r="AN589" s="418">
        <f>IF(NFI_Expiration=1,IF($A589&lt;VLOOKUP(V$5,NFI,5,0),1,0)*Table_NFI[[#This Row],[Jerry Can]],Table_NFI[Jerry Can])</f>
        <v>0</v>
      </c>
      <c r="AO589" s="579" t="str">
        <f>IFERROR(VLOOKUP(Table_NFI[[#This Row],[Camp Name]],CL,2,0),"")</f>
        <v>MMR001CMP103</v>
      </c>
      <c r="AP589" s="574">
        <f ca="1">IF(Table_NFI[[#This Row],[Pcode]]="","",IF(OFFSET(CampList[Opening Date],MATCH(Table_NFI[[#This Row],[Pcode]],CampList[CP_Pcode],0)-1,0,1,1)&gt;=NFI_Monitor_Date,1,0))</f>
        <v>0</v>
      </c>
      <c r="AQ589" s="579" t="str">
        <f>IFERROR(VLOOKUP(Table_NFI[[#This Row],[Camp Name]],CL,3,0),"")</f>
        <v>Open</v>
      </c>
      <c r="AR589" s="378" t="str">
        <f ca="1">IF(Table_NFI[[#This Row],[Pcode]]="","",OFFSET(CampList[Priority],MATCH(Table_NFI[[#This Row],[Pcode]],CampList[CP_Pcode],0)-1,0,1,1))</f>
        <v>P4</v>
      </c>
      <c r="AS589" s="377">
        <f>IFERROR(Table_NFI[[#This Row],[Kitchen Set]]/VLOOKUP(Table_NFI[[#This Row],[Camp Name]],CL,4,0),"")</f>
        <v>0</v>
      </c>
      <c r="AT589" s="577"/>
      <c r="AU589" s="580"/>
    </row>
    <row r="590" spans="1:47" x14ac:dyDescent="0.25">
      <c r="A590" s="381">
        <f t="shared" si="9"/>
        <v>34.766666666666666</v>
      </c>
      <c r="B590" s="571">
        <v>41479</v>
      </c>
      <c r="C590" s="572" t="s">
        <v>454</v>
      </c>
      <c r="D590" s="572" t="s">
        <v>508</v>
      </c>
      <c r="E590" s="572" t="s">
        <v>380</v>
      </c>
      <c r="F590" s="572" t="s">
        <v>529</v>
      </c>
      <c r="G590" s="374" t="s">
        <v>108</v>
      </c>
      <c r="H590" s="375"/>
      <c r="I590" s="375"/>
      <c r="J590" s="375">
        <v>15</v>
      </c>
      <c r="K590" s="375">
        <v>25</v>
      </c>
      <c r="L590" s="376">
        <v>10</v>
      </c>
      <c r="M590" s="376">
        <v>25</v>
      </c>
      <c r="N590" s="376">
        <v>10</v>
      </c>
      <c r="O590" s="376">
        <v>10</v>
      </c>
      <c r="P590" s="378">
        <v>10</v>
      </c>
      <c r="Q590" s="378">
        <v>10</v>
      </c>
      <c r="R590" s="378"/>
      <c r="S590" s="378"/>
      <c r="T590" s="378"/>
      <c r="U590" s="378"/>
      <c r="V590" s="533"/>
      <c r="W590" s="378"/>
      <c r="X590" s="378"/>
      <c r="Y590" s="378">
        <f>IF(NFI_Expiration=1,IF($A590&lt;VLOOKUP(H$5,NFI,5,0),1,0)*Table_NFI[[#This Row],[Hygiene Kit]],Table_NFI[Hygiene Kit])</f>
        <v>0</v>
      </c>
      <c r="Z590" s="378">
        <f>IF(NFI_Expiration=1,IF($A590&lt;VLOOKUP(I$5,NFI,5,0),1,0)*Table_NFI[[#This Row],[NFI Core Kit]],Table_NFI[NFI Core Kit])</f>
        <v>0</v>
      </c>
      <c r="AA590" s="378">
        <f>IF(NFI_Expiration=1,IF($A590&lt;VLOOKUP(J$5,NFI,5,0),1,0)*Table_NFI[[#This Row],[Sanitary Kit]],Table_NFI[Sanitary Kit])</f>
        <v>0</v>
      </c>
      <c r="AB590" s="378">
        <f>IF(NFI_Expiration=1,IF($A590&lt;VLOOKUP(K$5,NFI,5,0),1,0)*Table_NFI[[#This Row],[Mosquito net]],Table_NFI[Mosquito net])</f>
        <v>0</v>
      </c>
      <c r="AC590" s="378">
        <f>IF(NFI_Expiration=1,IF($A590&lt;VLOOKUP(L$5,NFI,5,0),1,0)*Table_NFI[[#This Row],[Tarpaulin]],Table_NFI[[#This Row],[Tarpaulin]])</f>
        <v>0</v>
      </c>
      <c r="AD590" s="378">
        <f>IF(NFI_Expiration=1,IF($A590&lt;VLOOKUP(M$5,NFI,5,0),1,0)*Table_NFI[[#This Row],[Blanket]],Table_NFI[[#This Row],[Blanket]])</f>
        <v>0</v>
      </c>
      <c r="AE590" s="378">
        <f>IF(NFI_Expiration=1,IF($A590&lt;VLOOKUP(N$5,NFI,5,0),1,0)*Table_NFI[[#This Row],[Kitchen Set]],Table_NFI[Kitchen Set])</f>
        <v>0</v>
      </c>
      <c r="AF590" s="378">
        <f>IF(NFI_Expiration=1,IF($A590&lt;VLOOKUP(O$5,NFI,5,0),1,0)*Table_NFI[[#This Row],[Clothes Kit]],Table_NFI[Clothes Kit])</f>
        <v>0</v>
      </c>
      <c r="AG590" s="378">
        <f>IF(NFI_Expiration=1,IF($A590&lt;VLOOKUP(P$5,NFI,5,0),1,0)*Table_NFI[[#This Row],[Plastic Bucket]],Table_NFI[Plastic Bucket])</f>
        <v>0</v>
      </c>
      <c r="AH590" s="378">
        <f>IF(NFI_Expiration=1,IF($A590&lt;VLOOKUP(Q$5,NFI,5,0),1,0)*Table_NFI[[#This Row],[Plastic Mat]],Table_NFI[Plastic Mat])*IF(Table_NFI[[#This Row],[Distribution Date]]&gt;"2014-04-01",1,2.5)</f>
        <v>0</v>
      </c>
      <c r="AI590" s="378">
        <f>IF(NFI_Expiration=1,IF($A590&lt;VLOOKUP(R$5,NFI,5,0),1,0)*Table_NFI[[#This Row],[Winter Clothes Adult]],Table_NFI[Winter Clothes Adult])</f>
        <v>0</v>
      </c>
      <c r="AJ590" s="378">
        <f>IF(NFI_Expiration=1,IF($A590&lt;VLOOKUP(S$5,NFI,5,0),1,0)*Table_NFI[[#This Row],[Winter Clothes Children]],Table_NFI[Winter Clothes Children])</f>
        <v>0</v>
      </c>
      <c r="AK590" s="378">
        <f>IF(NFI_Expiration=1,IF($A590&lt;VLOOKUP(T$5,NFI,5,0),1,0)*Table_NFI[[#This Row],[Winter Items Other]],Table_NFI[Winter Items Other])</f>
        <v>0</v>
      </c>
      <c r="AL590" s="378">
        <f>IF(NFI_Expiration=1,IF($A590&lt;VLOOKUP(M$5,NFI,5,0),1,0)*Table_NFI[[#This Row],[Winter Blanket]],Table_NFI[[#This Row],[Winter Blanket]])</f>
        <v>0</v>
      </c>
      <c r="AM590" s="378">
        <f>IF(Table_NFI[[#This Row],[Winter Clothes Adult]]+Table_NFI[[#This Row],[Winter Clothes Children]]+Table_NFI[[#This Row],[Winter Items Other]]+Table_NFI[[#This Row],[Winter Blanket]]&gt;0,1,0)</f>
        <v>0</v>
      </c>
      <c r="AN590" s="418">
        <f>IF(NFI_Expiration=1,IF($A590&lt;VLOOKUP(V$5,NFI,5,0),1,0)*Table_NFI[[#This Row],[Jerry Can]],Table_NFI[Jerry Can])</f>
        <v>0</v>
      </c>
      <c r="AO590" s="579" t="str">
        <f>IFERROR(VLOOKUP(Table_NFI[[#This Row],[Camp Name]],CL,2,0),"")</f>
        <v>MMR001CMP103</v>
      </c>
      <c r="AP590" s="574">
        <f ca="1">IF(Table_NFI[[#This Row],[Pcode]]="","",IF(OFFSET(CampList[Opening Date],MATCH(Table_NFI[[#This Row],[Pcode]],CampList[CP_Pcode],0)-1,0,1,1)&gt;=NFI_Monitor_Date,1,0))</f>
        <v>0</v>
      </c>
      <c r="AQ590" s="579" t="str">
        <f>IFERROR(VLOOKUP(Table_NFI[[#This Row],[Camp Name]],CL,3,0),"")</f>
        <v>Open</v>
      </c>
      <c r="AR590" s="378" t="str">
        <f ca="1">IF(Table_NFI[[#This Row],[Pcode]]="","",OFFSET(CampList[Priority],MATCH(Table_NFI[[#This Row],[Pcode]],CampList[CP_Pcode],0)-1,0,1,1))</f>
        <v>P4</v>
      </c>
      <c r="AS590" s="377">
        <f>IFERROR(Table_NFI[[#This Row],[Kitchen Set]]/VLOOKUP(Table_NFI[[#This Row],[Camp Name]],CL,4,0),"")</f>
        <v>0.18867924528301888</v>
      </c>
      <c r="AT590" s="572" t="s">
        <v>1095</v>
      </c>
      <c r="AU590" s="575"/>
    </row>
    <row r="591" spans="1:47" x14ac:dyDescent="0.25">
      <c r="A591" s="381">
        <f t="shared" si="9"/>
        <v>37.06666666666667</v>
      </c>
      <c r="B591" s="571">
        <v>41410</v>
      </c>
      <c r="C591" s="572" t="s">
        <v>904</v>
      </c>
      <c r="D591" s="572" t="s">
        <v>508</v>
      </c>
      <c r="E591" s="572" t="s">
        <v>380</v>
      </c>
      <c r="F591" s="374" t="s">
        <v>529</v>
      </c>
      <c r="G591" s="374" t="s">
        <v>108</v>
      </c>
      <c r="H591" s="375">
        <v>423</v>
      </c>
      <c r="I591" s="375"/>
      <c r="J591" s="375"/>
      <c r="K591" s="375"/>
      <c r="L591" s="376"/>
      <c r="M591" s="376"/>
      <c r="N591" s="376"/>
      <c r="O591" s="376"/>
      <c r="P591" s="378"/>
      <c r="Q591" s="378"/>
      <c r="R591" s="378"/>
      <c r="S591" s="378"/>
      <c r="T591" s="378"/>
      <c r="U591" s="378"/>
      <c r="V591" s="533"/>
      <c r="W591" s="378"/>
      <c r="X591" s="378"/>
      <c r="Y591" s="378">
        <f>IF(NFI_Expiration=1,IF($A591&lt;VLOOKUP(H$5,NFI,5,0),1,0)*Table_NFI[[#This Row],[Hygiene Kit]],Table_NFI[Hygiene Kit])</f>
        <v>0</v>
      </c>
      <c r="Z591" s="378">
        <f>IF(NFI_Expiration=1,IF($A591&lt;VLOOKUP(I$5,NFI,5,0),1,0)*Table_NFI[[#This Row],[NFI Core Kit]],Table_NFI[NFI Core Kit])</f>
        <v>0</v>
      </c>
      <c r="AA591" s="378">
        <f>IF(NFI_Expiration=1,IF($A591&lt;VLOOKUP(J$5,NFI,5,0),1,0)*Table_NFI[[#This Row],[Sanitary Kit]],Table_NFI[Sanitary Kit])</f>
        <v>0</v>
      </c>
      <c r="AB591" s="378">
        <f>IF(NFI_Expiration=1,IF($A591&lt;VLOOKUP(K$5,NFI,5,0),1,0)*Table_NFI[[#This Row],[Mosquito net]],Table_NFI[Mosquito net])</f>
        <v>0</v>
      </c>
      <c r="AC591" s="378">
        <f>IF(NFI_Expiration=1,IF($A591&lt;VLOOKUP(L$5,NFI,5,0),1,0)*Table_NFI[[#This Row],[Tarpaulin]],Table_NFI[[#This Row],[Tarpaulin]])</f>
        <v>0</v>
      </c>
      <c r="AD591" s="378">
        <f>IF(NFI_Expiration=1,IF($A591&lt;VLOOKUP(M$5,NFI,5,0),1,0)*Table_NFI[[#This Row],[Blanket]],Table_NFI[[#This Row],[Blanket]])</f>
        <v>0</v>
      </c>
      <c r="AE591" s="378">
        <f>IF(NFI_Expiration=1,IF($A591&lt;VLOOKUP(N$5,NFI,5,0),1,0)*Table_NFI[[#This Row],[Kitchen Set]],Table_NFI[Kitchen Set])</f>
        <v>0</v>
      </c>
      <c r="AF591" s="378">
        <f>IF(NFI_Expiration=1,IF($A591&lt;VLOOKUP(O$5,NFI,5,0),1,0)*Table_NFI[[#This Row],[Clothes Kit]],Table_NFI[Clothes Kit])</f>
        <v>0</v>
      </c>
      <c r="AG591" s="378">
        <f>IF(NFI_Expiration=1,IF($A591&lt;VLOOKUP(P$5,NFI,5,0),1,0)*Table_NFI[[#This Row],[Plastic Bucket]],Table_NFI[Plastic Bucket])</f>
        <v>0</v>
      </c>
      <c r="AH591" s="378">
        <f>IF(NFI_Expiration=1,IF($A591&lt;VLOOKUP(Q$5,NFI,5,0),1,0)*Table_NFI[[#This Row],[Plastic Mat]],Table_NFI[Plastic Mat])*IF(Table_NFI[[#This Row],[Distribution Date]]&gt;"2014-04-01",1,2.5)</f>
        <v>0</v>
      </c>
      <c r="AI591" s="378">
        <f>IF(NFI_Expiration=1,IF($A591&lt;VLOOKUP(R$5,NFI,5,0),1,0)*Table_NFI[[#This Row],[Winter Clothes Adult]],Table_NFI[Winter Clothes Adult])</f>
        <v>0</v>
      </c>
      <c r="AJ591" s="378">
        <f>IF(NFI_Expiration=1,IF($A591&lt;VLOOKUP(S$5,NFI,5,0),1,0)*Table_NFI[[#This Row],[Winter Clothes Children]],Table_NFI[Winter Clothes Children])</f>
        <v>0</v>
      </c>
      <c r="AK591" s="378">
        <f>IF(NFI_Expiration=1,IF($A591&lt;VLOOKUP(T$5,NFI,5,0),1,0)*Table_NFI[[#This Row],[Winter Items Other]],Table_NFI[Winter Items Other])</f>
        <v>0</v>
      </c>
      <c r="AL591" s="378">
        <f>IF(NFI_Expiration=1,IF($A591&lt;VLOOKUP(M$5,NFI,5,0),1,0)*Table_NFI[[#This Row],[Winter Blanket]],Table_NFI[[#This Row],[Winter Blanket]])</f>
        <v>0</v>
      </c>
      <c r="AM591" s="378">
        <f>IF(Table_NFI[[#This Row],[Winter Clothes Adult]]+Table_NFI[[#This Row],[Winter Clothes Children]]+Table_NFI[[#This Row],[Winter Items Other]]+Table_NFI[[#This Row],[Winter Blanket]]&gt;0,1,0)</f>
        <v>0</v>
      </c>
      <c r="AN591" s="418">
        <f>IF(NFI_Expiration=1,IF($A591&lt;VLOOKUP(V$5,NFI,5,0),1,0)*Table_NFI[[#This Row],[Jerry Can]],Table_NFI[Jerry Can])</f>
        <v>0</v>
      </c>
      <c r="AO591" s="579" t="str">
        <f>IFERROR(VLOOKUP(Table_NFI[[#This Row],[Camp Name]],CL,2,0),"")</f>
        <v>MMR001CMP103</v>
      </c>
      <c r="AP591" s="574">
        <f ca="1">IF(Table_NFI[[#This Row],[Pcode]]="","",IF(OFFSET(CampList[Opening Date],MATCH(Table_NFI[[#This Row],[Pcode]],CampList[CP_Pcode],0)-1,0,1,1)&gt;=NFI_Monitor_Date,1,0))</f>
        <v>0</v>
      </c>
      <c r="AQ591" s="579" t="str">
        <f>IFERROR(VLOOKUP(Table_NFI[[#This Row],[Camp Name]],CL,3,0),"")</f>
        <v>Open</v>
      </c>
      <c r="AR591" s="378" t="str">
        <f ca="1">IF(Table_NFI[[#This Row],[Pcode]]="","",OFFSET(CampList[Priority],MATCH(Table_NFI[[#This Row],[Pcode]],CampList[CP_Pcode],0)-1,0,1,1))</f>
        <v>P4</v>
      </c>
      <c r="AS591" s="377">
        <f>IFERROR(Table_NFI[[#This Row],[Kitchen Set]]/VLOOKUP(Table_NFI[[#This Row],[Camp Name]],CL,4,0),"")</f>
        <v>0</v>
      </c>
      <c r="AT591" s="572" t="s">
        <v>1095</v>
      </c>
      <c r="AU591" s="575"/>
    </row>
    <row r="592" spans="1:47" x14ac:dyDescent="0.25">
      <c r="A592" s="381">
        <f t="shared" si="9"/>
        <v>39.9</v>
      </c>
      <c r="B592" s="571">
        <v>41325</v>
      </c>
      <c r="C592" s="572" t="s">
        <v>454</v>
      </c>
      <c r="D592" s="573" t="s">
        <v>454</v>
      </c>
      <c r="E592" s="572" t="s">
        <v>380</v>
      </c>
      <c r="F592" s="374" t="s">
        <v>529</v>
      </c>
      <c r="G592" s="374" t="s">
        <v>108</v>
      </c>
      <c r="H592" s="375"/>
      <c r="I592" s="380"/>
      <c r="J592" s="373">
        <v>35</v>
      </c>
      <c r="K592" s="373">
        <v>0</v>
      </c>
      <c r="L592" s="373">
        <v>0</v>
      </c>
      <c r="M592" s="373">
        <v>0</v>
      </c>
      <c r="N592" s="373">
        <v>0</v>
      </c>
      <c r="O592" s="373">
        <v>0</v>
      </c>
      <c r="P592" s="378"/>
      <c r="Q592" s="378"/>
      <c r="R592" s="378"/>
      <c r="S592" s="378"/>
      <c r="T592" s="378"/>
      <c r="U592" s="378"/>
      <c r="V592" s="533"/>
      <c r="W592" s="378"/>
      <c r="X592" s="378"/>
      <c r="Y592" s="378">
        <f>IF(NFI_Expiration=1,IF($A592&lt;VLOOKUP(H$5,NFI,5,0),1,0)*Table_NFI[[#This Row],[Hygiene Kit]],Table_NFI[Hygiene Kit])</f>
        <v>0</v>
      </c>
      <c r="Z592" s="378">
        <f>IF(NFI_Expiration=1,IF($A592&lt;VLOOKUP(I$5,NFI,5,0),1,0)*Table_NFI[[#This Row],[NFI Core Kit]],Table_NFI[NFI Core Kit])</f>
        <v>0</v>
      </c>
      <c r="AA592" s="378">
        <f>IF(NFI_Expiration=1,IF($A592&lt;VLOOKUP(J$5,NFI,5,0),1,0)*Table_NFI[[#This Row],[Sanitary Kit]],Table_NFI[Sanitary Kit])</f>
        <v>0</v>
      </c>
      <c r="AB592" s="378">
        <f>IF(NFI_Expiration=1,IF($A592&lt;VLOOKUP(K$5,NFI,5,0),1,0)*Table_NFI[[#This Row],[Mosquito net]],Table_NFI[Mosquito net])</f>
        <v>0</v>
      </c>
      <c r="AC592" s="378">
        <f>IF(NFI_Expiration=1,IF($A592&lt;VLOOKUP(L$5,NFI,5,0),1,0)*Table_NFI[[#This Row],[Tarpaulin]],Table_NFI[[#This Row],[Tarpaulin]])</f>
        <v>0</v>
      </c>
      <c r="AD592" s="378">
        <f>IF(NFI_Expiration=1,IF($A592&lt;VLOOKUP(M$5,NFI,5,0),1,0)*Table_NFI[[#This Row],[Blanket]],Table_NFI[[#This Row],[Blanket]])</f>
        <v>0</v>
      </c>
      <c r="AE592" s="378">
        <f>IF(NFI_Expiration=1,IF($A592&lt;VLOOKUP(N$5,NFI,5,0),1,0)*Table_NFI[[#This Row],[Kitchen Set]],Table_NFI[Kitchen Set])</f>
        <v>0</v>
      </c>
      <c r="AF592" s="378">
        <f>IF(NFI_Expiration=1,IF($A592&lt;VLOOKUP(O$5,NFI,5,0),1,0)*Table_NFI[[#This Row],[Clothes Kit]],Table_NFI[Clothes Kit])</f>
        <v>0</v>
      </c>
      <c r="AG592" s="378">
        <f>IF(NFI_Expiration=1,IF($A592&lt;VLOOKUP(P$5,NFI,5,0),1,0)*Table_NFI[[#This Row],[Plastic Bucket]],Table_NFI[Plastic Bucket])</f>
        <v>0</v>
      </c>
      <c r="AH592" s="378">
        <f>IF(NFI_Expiration=1,IF($A592&lt;VLOOKUP(Q$5,NFI,5,0),1,0)*Table_NFI[[#This Row],[Plastic Mat]],Table_NFI[Plastic Mat])*IF(Table_NFI[[#This Row],[Distribution Date]]&gt;"2014-04-01",1,2.5)</f>
        <v>0</v>
      </c>
      <c r="AI592" s="378">
        <f>IF(NFI_Expiration=1,IF($A592&lt;VLOOKUP(R$5,NFI,5,0),1,0)*Table_NFI[[#This Row],[Winter Clothes Adult]],Table_NFI[Winter Clothes Adult])</f>
        <v>0</v>
      </c>
      <c r="AJ592" s="378">
        <f>IF(NFI_Expiration=1,IF($A592&lt;VLOOKUP(S$5,NFI,5,0),1,0)*Table_NFI[[#This Row],[Winter Clothes Children]],Table_NFI[Winter Clothes Children])</f>
        <v>0</v>
      </c>
      <c r="AK592" s="378">
        <f>IF(NFI_Expiration=1,IF($A592&lt;VLOOKUP(T$5,NFI,5,0),1,0)*Table_NFI[[#This Row],[Winter Items Other]],Table_NFI[Winter Items Other])</f>
        <v>0</v>
      </c>
      <c r="AL592" s="378">
        <f>IF(NFI_Expiration=1,IF($A592&lt;VLOOKUP(M$5,NFI,5,0),1,0)*Table_NFI[[#This Row],[Winter Blanket]],Table_NFI[[#This Row],[Winter Blanket]])</f>
        <v>0</v>
      </c>
      <c r="AM592" s="378">
        <f>IF(Table_NFI[[#This Row],[Winter Clothes Adult]]+Table_NFI[[#This Row],[Winter Clothes Children]]+Table_NFI[[#This Row],[Winter Items Other]]+Table_NFI[[#This Row],[Winter Blanket]]&gt;0,1,0)</f>
        <v>0</v>
      </c>
      <c r="AN592" s="418">
        <f>IF(NFI_Expiration=1,IF($A592&lt;VLOOKUP(V$5,NFI,5,0),1,0)*Table_NFI[[#This Row],[Jerry Can]],Table_NFI[Jerry Can])</f>
        <v>0</v>
      </c>
      <c r="AO592" s="579" t="str">
        <f>IFERROR(VLOOKUP(Table_NFI[[#This Row],[Camp Name]],CL,2,0),"")</f>
        <v>MMR001CMP103</v>
      </c>
      <c r="AP592" s="574">
        <f ca="1">IF(Table_NFI[[#This Row],[Pcode]]="","",IF(OFFSET(CampList[Opening Date],MATCH(Table_NFI[[#This Row],[Pcode]],CampList[CP_Pcode],0)-1,0,1,1)&gt;=NFI_Monitor_Date,1,0))</f>
        <v>0</v>
      </c>
      <c r="AQ592" s="579" t="str">
        <f>IFERROR(VLOOKUP(Table_NFI[[#This Row],[Camp Name]],CL,3,0),"")</f>
        <v>Open</v>
      </c>
      <c r="AR592" s="378" t="str">
        <f ca="1">IF(Table_NFI[[#This Row],[Pcode]]="","",OFFSET(CampList[Priority],MATCH(Table_NFI[[#This Row],[Pcode]],CampList[CP_Pcode],0)-1,0,1,1))</f>
        <v>P4</v>
      </c>
      <c r="AS592" s="377">
        <f>IFERROR(Table_NFI[[#This Row],[Kitchen Set]]/VLOOKUP(Table_NFI[[#This Row],[Camp Name]],CL,4,0),"")</f>
        <v>0</v>
      </c>
      <c r="AT592" s="572" t="s">
        <v>1095</v>
      </c>
      <c r="AU592" s="575"/>
    </row>
    <row r="593" spans="1:47" x14ac:dyDescent="0.25">
      <c r="A593" s="381">
        <f t="shared" si="9"/>
        <v>39.9</v>
      </c>
      <c r="B593" s="571">
        <v>41325</v>
      </c>
      <c r="C593" s="572" t="s">
        <v>454</v>
      </c>
      <c r="D593" s="573" t="s">
        <v>454</v>
      </c>
      <c r="E593" s="572" t="s">
        <v>380</v>
      </c>
      <c r="F593" s="374" t="s">
        <v>529</v>
      </c>
      <c r="G593" s="374" t="s">
        <v>108</v>
      </c>
      <c r="H593" s="375"/>
      <c r="I593" s="380"/>
      <c r="J593" s="373">
        <v>32</v>
      </c>
      <c r="K593" s="373">
        <v>64</v>
      </c>
      <c r="L593" s="373">
        <v>33</v>
      </c>
      <c r="M593" s="373">
        <v>64</v>
      </c>
      <c r="N593" s="373">
        <v>33</v>
      </c>
      <c r="O593" s="373">
        <v>33</v>
      </c>
      <c r="P593" s="378">
        <v>33</v>
      </c>
      <c r="Q593" s="378">
        <v>33</v>
      </c>
      <c r="R593" s="378"/>
      <c r="S593" s="378"/>
      <c r="T593" s="378"/>
      <c r="U593" s="378"/>
      <c r="V593" s="533"/>
      <c r="W593" s="378"/>
      <c r="X593" s="378"/>
      <c r="Y593" s="378">
        <f>IF(NFI_Expiration=1,IF($A593&lt;VLOOKUP(H$5,NFI,5,0),1,0)*Table_NFI[[#This Row],[Hygiene Kit]],Table_NFI[Hygiene Kit])</f>
        <v>0</v>
      </c>
      <c r="Z593" s="378">
        <f>IF(NFI_Expiration=1,IF($A593&lt;VLOOKUP(I$5,NFI,5,0),1,0)*Table_NFI[[#This Row],[NFI Core Kit]],Table_NFI[NFI Core Kit])</f>
        <v>0</v>
      </c>
      <c r="AA593" s="378">
        <f>IF(NFI_Expiration=1,IF($A593&lt;VLOOKUP(J$5,NFI,5,0),1,0)*Table_NFI[[#This Row],[Sanitary Kit]],Table_NFI[Sanitary Kit])</f>
        <v>0</v>
      </c>
      <c r="AB593" s="378">
        <f>IF(NFI_Expiration=1,IF($A593&lt;VLOOKUP(K$5,NFI,5,0),1,0)*Table_NFI[[#This Row],[Mosquito net]],Table_NFI[Mosquito net])</f>
        <v>0</v>
      </c>
      <c r="AC593" s="378">
        <f>IF(NFI_Expiration=1,IF($A593&lt;VLOOKUP(L$5,NFI,5,0),1,0)*Table_NFI[[#This Row],[Tarpaulin]],Table_NFI[[#This Row],[Tarpaulin]])</f>
        <v>0</v>
      </c>
      <c r="AD593" s="378">
        <f>IF(NFI_Expiration=1,IF($A593&lt;VLOOKUP(M$5,NFI,5,0),1,0)*Table_NFI[[#This Row],[Blanket]],Table_NFI[[#This Row],[Blanket]])</f>
        <v>0</v>
      </c>
      <c r="AE593" s="378">
        <f>IF(NFI_Expiration=1,IF($A593&lt;VLOOKUP(N$5,NFI,5,0),1,0)*Table_NFI[[#This Row],[Kitchen Set]],Table_NFI[Kitchen Set])</f>
        <v>0</v>
      </c>
      <c r="AF593" s="378">
        <f>IF(NFI_Expiration=1,IF($A593&lt;VLOOKUP(O$5,NFI,5,0),1,0)*Table_NFI[[#This Row],[Clothes Kit]],Table_NFI[Clothes Kit])</f>
        <v>0</v>
      </c>
      <c r="AG593" s="378">
        <f>IF(NFI_Expiration=1,IF($A593&lt;VLOOKUP(P$5,NFI,5,0),1,0)*Table_NFI[[#This Row],[Plastic Bucket]],Table_NFI[Plastic Bucket])</f>
        <v>0</v>
      </c>
      <c r="AH593" s="378">
        <f>IF(NFI_Expiration=1,IF($A593&lt;VLOOKUP(Q$5,NFI,5,0),1,0)*Table_NFI[[#This Row],[Plastic Mat]],Table_NFI[Plastic Mat])*IF(Table_NFI[[#This Row],[Distribution Date]]&gt;"2014-04-01",1,2.5)</f>
        <v>0</v>
      </c>
      <c r="AI593" s="378">
        <f>IF(NFI_Expiration=1,IF($A593&lt;VLOOKUP(R$5,NFI,5,0),1,0)*Table_NFI[[#This Row],[Winter Clothes Adult]],Table_NFI[Winter Clothes Adult])</f>
        <v>0</v>
      </c>
      <c r="AJ593" s="378">
        <f>IF(NFI_Expiration=1,IF($A593&lt;VLOOKUP(S$5,NFI,5,0),1,0)*Table_NFI[[#This Row],[Winter Clothes Children]],Table_NFI[Winter Clothes Children])</f>
        <v>0</v>
      </c>
      <c r="AK593" s="378">
        <f>IF(NFI_Expiration=1,IF($A593&lt;VLOOKUP(T$5,NFI,5,0),1,0)*Table_NFI[[#This Row],[Winter Items Other]],Table_NFI[Winter Items Other])</f>
        <v>0</v>
      </c>
      <c r="AL593" s="378">
        <f>IF(NFI_Expiration=1,IF($A593&lt;VLOOKUP(M$5,NFI,5,0),1,0)*Table_NFI[[#This Row],[Winter Blanket]],Table_NFI[[#This Row],[Winter Blanket]])</f>
        <v>0</v>
      </c>
      <c r="AM593" s="378">
        <f>IF(Table_NFI[[#This Row],[Winter Clothes Adult]]+Table_NFI[[#This Row],[Winter Clothes Children]]+Table_NFI[[#This Row],[Winter Items Other]]+Table_NFI[[#This Row],[Winter Blanket]]&gt;0,1,0)</f>
        <v>0</v>
      </c>
      <c r="AN593" s="418">
        <f>IF(NFI_Expiration=1,IF($A593&lt;VLOOKUP(V$5,NFI,5,0),1,0)*Table_NFI[[#This Row],[Jerry Can]],Table_NFI[Jerry Can])</f>
        <v>0</v>
      </c>
      <c r="AO593" s="579" t="str">
        <f>IFERROR(VLOOKUP(Table_NFI[[#This Row],[Camp Name]],CL,2,0),"")</f>
        <v>MMR001CMP103</v>
      </c>
      <c r="AP593" s="574">
        <f ca="1">IF(Table_NFI[[#This Row],[Pcode]]="","",IF(OFFSET(CampList[Opening Date],MATCH(Table_NFI[[#This Row],[Pcode]],CampList[CP_Pcode],0)-1,0,1,1)&gt;=NFI_Monitor_Date,1,0))</f>
        <v>0</v>
      </c>
      <c r="AQ593" s="579" t="str">
        <f>IFERROR(VLOOKUP(Table_NFI[[#This Row],[Camp Name]],CL,3,0),"")</f>
        <v>Open</v>
      </c>
      <c r="AR593" s="378" t="str">
        <f ca="1">IF(Table_NFI[[#This Row],[Pcode]]="","",OFFSET(CampList[Priority],MATCH(Table_NFI[[#This Row],[Pcode]],CampList[CP_Pcode],0)-1,0,1,1))</f>
        <v>P4</v>
      </c>
      <c r="AS593" s="377">
        <f>IFERROR(Table_NFI[[#This Row],[Kitchen Set]]/VLOOKUP(Table_NFI[[#This Row],[Camp Name]],CL,4,0),"")</f>
        <v>0.62264150943396224</v>
      </c>
      <c r="AT593" s="572" t="s">
        <v>1095</v>
      </c>
      <c r="AU593" s="575"/>
    </row>
    <row r="594" spans="1:47" x14ac:dyDescent="0.25">
      <c r="A594" s="381">
        <f t="shared" si="9"/>
        <v>41.6</v>
      </c>
      <c r="B594" s="571">
        <v>41274</v>
      </c>
      <c r="C594" s="572" t="s">
        <v>455</v>
      </c>
      <c r="D594" s="573" t="s">
        <v>455</v>
      </c>
      <c r="E594" s="572" t="s">
        <v>380</v>
      </c>
      <c r="F594" s="374" t="s">
        <v>529</v>
      </c>
      <c r="G594" s="374" t="s">
        <v>108</v>
      </c>
      <c r="H594" s="375">
        <v>4</v>
      </c>
      <c r="I594" s="375"/>
      <c r="J594" s="375"/>
      <c r="K594" s="375"/>
      <c r="L594" s="376"/>
      <c r="M594" s="376"/>
      <c r="N594" s="376"/>
      <c r="O594" s="376"/>
      <c r="P594" s="378">
        <v>0</v>
      </c>
      <c r="Q594" s="378">
        <v>0</v>
      </c>
      <c r="R594" s="378"/>
      <c r="S594" s="378"/>
      <c r="T594" s="378"/>
      <c r="U594" s="378"/>
      <c r="V594" s="533"/>
      <c r="W594" s="378"/>
      <c r="X594" s="378"/>
      <c r="Y594" s="378">
        <f>IF(NFI_Expiration=1,IF($A594&lt;VLOOKUP(H$5,NFI,5,0),1,0)*Table_NFI[[#This Row],[Hygiene Kit]],Table_NFI[Hygiene Kit])</f>
        <v>0</v>
      </c>
      <c r="Z594" s="378">
        <f>IF(NFI_Expiration=1,IF($A594&lt;VLOOKUP(I$5,NFI,5,0),1,0)*Table_NFI[[#This Row],[NFI Core Kit]],Table_NFI[NFI Core Kit])</f>
        <v>0</v>
      </c>
      <c r="AA594" s="378">
        <f>IF(NFI_Expiration=1,IF($A594&lt;VLOOKUP(J$5,NFI,5,0),1,0)*Table_NFI[[#This Row],[Sanitary Kit]],Table_NFI[Sanitary Kit])</f>
        <v>0</v>
      </c>
      <c r="AB594" s="378">
        <f>IF(NFI_Expiration=1,IF($A594&lt;VLOOKUP(K$5,NFI,5,0),1,0)*Table_NFI[[#This Row],[Mosquito net]],Table_NFI[Mosquito net])</f>
        <v>0</v>
      </c>
      <c r="AC594" s="378">
        <f>IF(NFI_Expiration=1,IF($A594&lt;VLOOKUP(L$5,NFI,5,0),1,0)*Table_NFI[[#This Row],[Tarpaulin]],Table_NFI[[#This Row],[Tarpaulin]])</f>
        <v>0</v>
      </c>
      <c r="AD594" s="378">
        <f>IF(NFI_Expiration=1,IF($A594&lt;VLOOKUP(M$5,NFI,5,0),1,0)*Table_NFI[[#This Row],[Blanket]],Table_NFI[[#This Row],[Blanket]])</f>
        <v>0</v>
      </c>
      <c r="AE594" s="378">
        <f>IF(NFI_Expiration=1,IF($A594&lt;VLOOKUP(N$5,NFI,5,0),1,0)*Table_NFI[[#This Row],[Kitchen Set]],Table_NFI[Kitchen Set])</f>
        <v>0</v>
      </c>
      <c r="AF594" s="378">
        <f>IF(NFI_Expiration=1,IF($A594&lt;VLOOKUP(O$5,NFI,5,0),1,0)*Table_NFI[[#This Row],[Clothes Kit]],Table_NFI[Clothes Kit])</f>
        <v>0</v>
      </c>
      <c r="AG594" s="378">
        <f>IF(NFI_Expiration=1,IF($A594&lt;VLOOKUP(P$5,NFI,5,0),1,0)*Table_NFI[[#This Row],[Plastic Bucket]],Table_NFI[Plastic Bucket])</f>
        <v>0</v>
      </c>
      <c r="AH594" s="378">
        <f>IF(NFI_Expiration=1,IF($A594&lt;VLOOKUP(Q$5,NFI,5,0),1,0)*Table_NFI[[#This Row],[Plastic Mat]],Table_NFI[Plastic Mat])*IF(Table_NFI[[#This Row],[Distribution Date]]&gt;"2014-04-01",1,2.5)</f>
        <v>0</v>
      </c>
      <c r="AI594" s="378">
        <f>IF(NFI_Expiration=1,IF($A594&lt;VLOOKUP(R$5,NFI,5,0),1,0)*Table_NFI[[#This Row],[Winter Clothes Adult]],Table_NFI[Winter Clothes Adult])</f>
        <v>0</v>
      </c>
      <c r="AJ594" s="378">
        <f>IF(NFI_Expiration=1,IF($A594&lt;VLOOKUP(S$5,NFI,5,0),1,0)*Table_NFI[[#This Row],[Winter Clothes Children]],Table_NFI[Winter Clothes Children])</f>
        <v>0</v>
      </c>
      <c r="AK594" s="378">
        <f>IF(NFI_Expiration=1,IF($A594&lt;VLOOKUP(T$5,NFI,5,0),1,0)*Table_NFI[[#This Row],[Winter Items Other]],Table_NFI[Winter Items Other])</f>
        <v>0</v>
      </c>
      <c r="AL594" s="378">
        <f>IF(NFI_Expiration=1,IF($A594&lt;VLOOKUP(M$5,NFI,5,0),1,0)*Table_NFI[[#This Row],[Winter Blanket]],Table_NFI[[#This Row],[Winter Blanket]])</f>
        <v>0</v>
      </c>
      <c r="AM594" s="378">
        <f>IF(Table_NFI[[#This Row],[Winter Clothes Adult]]+Table_NFI[[#This Row],[Winter Clothes Children]]+Table_NFI[[#This Row],[Winter Items Other]]+Table_NFI[[#This Row],[Winter Blanket]]&gt;0,1,0)</f>
        <v>0</v>
      </c>
      <c r="AN594" s="418">
        <f>IF(NFI_Expiration=1,IF($A594&lt;VLOOKUP(V$5,NFI,5,0),1,0)*Table_NFI[[#This Row],[Jerry Can]],Table_NFI[Jerry Can])</f>
        <v>0</v>
      </c>
      <c r="AO594" s="579" t="str">
        <f>IFERROR(VLOOKUP(Table_NFI[[#This Row],[Camp Name]],CL,2,0),"")</f>
        <v>MMR001CMP103</v>
      </c>
      <c r="AP594" s="574">
        <f ca="1">IF(Table_NFI[[#This Row],[Pcode]]="","",IF(OFFSET(CampList[Opening Date],MATCH(Table_NFI[[#This Row],[Pcode]],CampList[CP_Pcode],0)-1,0,1,1)&gt;=NFI_Monitor_Date,1,0))</f>
        <v>0</v>
      </c>
      <c r="AQ594" s="579" t="str">
        <f>IFERROR(VLOOKUP(Table_NFI[[#This Row],[Camp Name]],CL,3,0),"")</f>
        <v>Open</v>
      </c>
      <c r="AR594" s="378" t="str">
        <f ca="1">IF(Table_NFI[[#This Row],[Pcode]]="","",OFFSET(CampList[Priority],MATCH(Table_NFI[[#This Row],[Pcode]],CampList[CP_Pcode],0)-1,0,1,1))</f>
        <v>P4</v>
      </c>
      <c r="AS594" s="377">
        <f>IFERROR(Table_NFI[[#This Row],[Kitchen Set]]/VLOOKUP(Table_NFI[[#This Row],[Camp Name]],CL,4,0),"")</f>
        <v>0</v>
      </c>
      <c r="AT594" s="572" t="s">
        <v>1095</v>
      </c>
      <c r="AU594" s="575"/>
    </row>
    <row r="595" spans="1:47" x14ac:dyDescent="0.25">
      <c r="A595" s="381">
        <f t="shared" si="9"/>
        <v>29.4</v>
      </c>
      <c r="B595" s="571">
        <v>41640</v>
      </c>
      <c r="C595" s="572" t="s">
        <v>1040</v>
      </c>
      <c r="D595" s="572" t="s">
        <v>903</v>
      </c>
      <c r="E595" s="572" t="s">
        <v>380</v>
      </c>
      <c r="F595" s="374" t="s">
        <v>180</v>
      </c>
      <c r="G595" s="572" t="s">
        <v>183</v>
      </c>
      <c r="H595" s="375"/>
      <c r="I595" s="375"/>
      <c r="J595" s="375"/>
      <c r="K595" s="375"/>
      <c r="L595" s="376"/>
      <c r="M595" s="376"/>
      <c r="N595" s="376">
        <v>12</v>
      </c>
      <c r="O595" s="376"/>
      <c r="P595" s="378"/>
      <c r="Q595" s="378"/>
      <c r="R595" s="378"/>
      <c r="S595" s="378"/>
      <c r="T595" s="378"/>
      <c r="U595" s="378"/>
      <c r="V595" s="533"/>
      <c r="W595" s="378"/>
      <c r="X595" s="378"/>
      <c r="Y595" s="378">
        <f>IF(NFI_Expiration=1,IF($A595&lt;VLOOKUP(H$5,NFI,5,0),1,0)*Table_NFI[[#This Row],[Hygiene Kit]],Table_NFI[Hygiene Kit])</f>
        <v>0</v>
      </c>
      <c r="Z595" s="378">
        <f>IF(NFI_Expiration=1,IF($A595&lt;VLOOKUP(I$5,NFI,5,0),1,0)*Table_NFI[[#This Row],[NFI Core Kit]],Table_NFI[NFI Core Kit])</f>
        <v>0</v>
      </c>
      <c r="AA595" s="378">
        <f>IF(NFI_Expiration=1,IF($A595&lt;VLOOKUP(J$5,NFI,5,0),1,0)*Table_NFI[[#This Row],[Sanitary Kit]],Table_NFI[Sanitary Kit])</f>
        <v>0</v>
      </c>
      <c r="AB595" s="378">
        <f>IF(NFI_Expiration=1,IF($A595&lt;VLOOKUP(K$5,NFI,5,0),1,0)*Table_NFI[[#This Row],[Mosquito net]],Table_NFI[Mosquito net])</f>
        <v>0</v>
      </c>
      <c r="AC595" s="378">
        <f>IF(NFI_Expiration=1,IF($A595&lt;VLOOKUP(L$5,NFI,5,0),1,0)*Table_NFI[[#This Row],[Tarpaulin]],Table_NFI[[#This Row],[Tarpaulin]])</f>
        <v>0</v>
      </c>
      <c r="AD595" s="378">
        <f>IF(NFI_Expiration=1,IF($A595&lt;VLOOKUP(M$5,NFI,5,0),1,0)*Table_NFI[[#This Row],[Blanket]],Table_NFI[[#This Row],[Blanket]])</f>
        <v>0</v>
      </c>
      <c r="AE595" s="378">
        <f>IF(NFI_Expiration=1,IF($A595&lt;VLOOKUP(N$5,NFI,5,0),1,0)*Table_NFI[[#This Row],[Kitchen Set]],Table_NFI[Kitchen Set])</f>
        <v>0</v>
      </c>
      <c r="AF595" s="378">
        <f>IF(NFI_Expiration=1,IF($A595&lt;VLOOKUP(O$5,NFI,5,0),1,0)*Table_NFI[[#This Row],[Clothes Kit]],Table_NFI[Clothes Kit])</f>
        <v>0</v>
      </c>
      <c r="AG595" s="378">
        <f>IF(NFI_Expiration=1,IF($A595&lt;VLOOKUP(P$5,NFI,5,0),1,0)*Table_NFI[[#This Row],[Plastic Bucket]],Table_NFI[Plastic Bucket])</f>
        <v>0</v>
      </c>
      <c r="AH595" s="378">
        <f>IF(NFI_Expiration=1,IF($A595&lt;VLOOKUP(Q$5,NFI,5,0),1,0)*Table_NFI[[#This Row],[Plastic Mat]],Table_NFI[Plastic Mat])*IF(Table_NFI[[#This Row],[Distribution Date]]&gt;"2014-04-01",1,2.5)</f>
        <v>0</v>
      </c>
      <c r="AI595" s="378">
        <f>IF(NFI_Expiration=1,IF($A595&lt;VLOOKUP(R$5,NFI,5,0),1,0)*Table_NFI[[#This Row],[Winter Clothes Adult]],Table_NFI[Winter Clothes Adult])</f>
        <v>0</v>
      </c>
      <c r="AJ595" s="378">
        <f>IF(NFI_Expiration=1,IF($A595&lt;VLOOKUP(S$5,NFI,5,0),1,0)*Table_NFI[[#This Row],[Winter Clothes Children]],Table_NFI[Winter Clothes Children])</f>
        <v>0</v>
      </c>
      <c r="AK595" s="378">
        <f>IF(NFI_Expiration=1,IF($A595&lt;VLOOKUP(T$5,NFI,5,0),1,0)*Table_NFI[[#This Row],[Winter Items Other]],Table_NFI[Winter Items Other])</f>
        <v>0</v>
      </c>
      <c r="AL595" s="378">
        <f>IF(NFI_Expiration=1,IF($A595&lt;VLOOKUP(M$5,NFI,5,0),1,0)*Table_NFI[[#This Row],[Winter Blanket]],Table_NFI[[#This Row],[Winter Blanket]])</f>
        <v>0</v>
      </c>
      <c r="AM595" s="378">
        <f>IF(Table_NFI[[#This Row],[Winter Clothes Adult]]+Table_NFI[[#This Row],[Winter Clothes Children]]+Table_NFI[[#This Row],[Winter Items Other]]+Table_NFI[[#This Row],[Winter Blanket]]&gt;0,1,0)</f>
        <v>0</v>
      </c>
      <c r="AN595" s="418">
        <f>IF(NFI_Expiration=1,IF($A595&lt;VLOOKUP(V$5,NFI,5,0),1,0)*Table_NFI[[#This Row],[Jerry Can]],Table_NFI[Jerry Can])</f>
        <v>0</v>
      </c>
      <c r="AO595" s="579" t="str">
        <f>IFERROR(VLOOKUP(Table_NFI[[#This Row],[Camp Name]],CL,2,0),"")</f>
        <v>MMR001CMP081</v>
      </c>
      <c r="AP595" s="574">
        <f ca="1">IF(Table_NFI[[#This Row],[Pcode]]="","",IF(OFFSET(CampList[Opening Date],MATCH(Table_NFI[[#This Row],[Pcode]],CampList[CP_Pcode],0)-1,0,1,1)&gt;=NFI_Monitor_Date,1,0))</f>
        <v>0</v>
      </c>
      <c r="AQ595" s="579" t="str">
        <f>IFERROR(VLOOKUP(Table_NFI[[#This Row],[Camp Name]],CL,3,0),"")</f>
        <v>Closed</v>
      </c>
      <c r="AR595" s="378" t="str">
        <f ca="1">IF(Table_NFI[[#This Row],[Pcode]]="","",OFFSET(CampList[Priority],MATCH(Table_NFI[[#This Row],[Pcode]],CampList[CP_Pcode],0)-1,0,1,1))</f>
        <v>P4</v>
      </c>
      <c r="AS595" s="377" t="str">
        <f>IFERROR(Table_NFI[[#This Row],[Kitchen Set]]/VLOOKUP(Table_NFI[[#This Row],[Camp Name]],CL,4,0),"")</f>
        <v/>
      </c>
      <c r="AT595" s="572" t="s">
        <v>1095</v>
      </c>
      <c r="AU595" s="575"/>
    </row>
    <row r="596" spans="1:47" x14ac:dyDescent="0.25">
      <c r="A596" s="381">
        <f t="shared" si="9"/>
        <v>40.233333333333334</v>
      </c>
      <c r="B596" s="571">
        <v>41315</v>
      </c>
      <c r="C596" s="572" t="s">
        <v>903</v>
      </c>
      <c r="D596" s="572" t="s">
        <v>903</v>
      </c>
      <c r="E596" s="572" t="s">
        <v>380</v>
      </c>
      <c r="F596" s="374" t="s">
        <v>180</v>
      </c>
      <c r="G596" s="374" t="s">
        <v>183</v>
      </c>
      <c r="H596" s="375"/>
      <c r="I596" s="375"/>
      <c r="J596" s="375"/>
      <c r="K596" s="375"/>
      <c r="L596" s="376">
        <v>36</v>
      </c>
      <c r="M596" s="376"/>
      <c r="N596" s="376">
        <v>22</v>
      </c>
      <c r="O596" s="376"/>
      <c r="P596" s="378">
        <v>0</v>
      </c>
      <c r="Q596" s="378">
        <v>0</v>
      </c>
      <c r="R596" s="378"/>
      <c r="S596" s="378"/>
      <c r="T596" s="378"/>
      <c r="U596" s="378"/>
      <c r="V596" s="533"/>
      <c r="W596" s="378"/>
      <c r="X596" s="378"/>
      <c r="Y596" s="378">
        <f>IF(NFI_Expiration=1,IF($A596&lt;VLOOKUP(H$5,NFI,5,0),1,0)*Table_NFI[[#This Row],[Hygiene Kit]],Table_NFI[Hygiene Kit])</f>
        <v>0</v>
      </c>
      <c r="Z596" s="378">
        <f>IF(NFI_Expiration=1,IF($A596&lt;VLOOKUP(I$5,NFI,5,0),1,0)*Table_NFI[[#This Row],[NFI Core Kit]],Table_NFI[NFI Core Kit])</f>
        <v>0</v>
      </c>
      <c r="AA596" s="378">
        <f>IF(NFI_Expiration=1,IF($A596&lt;VLOOKUP(J$5,NFI,5,0),1,0)*Table_NFI[[#This Row],[Sanitary Kit]],Table_NFI[Sanitary Kit])</f>
        <v>0</v>
      </c>
      <c r="AB596" s="378">
        <f>IF(NFI_Expiration=1,IF($A596&lt;VLOOKUP(K$5,NFI,5,0),1,0)*Table_NFI[[#This Row],[Mosquito net]],Table_NFI[Mosquito net])</f>
        <v>0</v>
      </c>
      <c r="AC596" s="378">
        <f>IF(NFI_Expiration=1,IF($A596&lt;VLOOKUP(L$5,NFI,5,0),1,0)*Table_NFI[[#This Row],[Tarpaulin]],Table_NFI[[#This Row],[Tarpaulin]])</f>
        <v>0</v>
      </c>
      <c r="AD596" s="378">
        <f>IF(NFI_Expiration=1,IF($A596&lt;VLOOKUP(M$5,NFI,5,0),1,0)*Table_NFI[[#This Row],[Blanket]],Table_NFI[[#This Row],[Blanket]])</f>
        <v>0</v>
      </c>
      <c r="AE596" s="378">
        <f>IF(NFI_Expiration=1,IF($A596&lt;VLOOKUP(N$5,NFI,5,0),1,0)*Table_NFI[[#This Row],[Kitchen Set]],Table_NFI[Kitchen Set])</f>
        <v>0</v>
      </c>
      <c r="AF596" s="378">
        <f>IF(NFI_Expiration=1,IF($A596&lt;VLOOKUP(O$5,NFI,5,0),1,0)*Table_NFI[[#This Row],[Clothes Kit]],Table_NFI[Clothes Kit])</f>
        <v>0</v>
      </c>
      <c r="AG596" s="378">
        <f>IF(NFI_Expiration=1,IF($A596&lt;VLOOKUP(P$5,NFI,5,0),1,0)*Table_NFI[[#This Row],[Plastic Bucket]],Table_NFI[Plastic Bucket])</f>
        <v>0</v>
      </c>
      <c r="AH596" s="378">
        <f>IF(NFI_Expiration=1,IF($A596&lt;VLOOKUP(Q$5,NFI,5,0),1,0)*Table_NFI[[#This Row],[Plastic Mat]],Table_NFI[Plastic Mat])*IF(Table_NFI[[#This Row],[Distribution Date]]&gt;"2014-04-01",1,2.5)</f>
        <v>0</v>
      </c>
      <c r="AI596" s="378">
        <f>IF(NFI_Expiration=1,IF($A596&lt;VLOOKUP(R$5,NFI,5,0),1,0)*Table_NFI[[#This Row],[Winter Clothes Adult]],Table_NFI[Winter Clothes Adult])</f>
        <v>0</v>
      </c>
      <c r="AJ596" s="378">
        <f>IF(NFI_Expiration=1,IF($A596&lt;VLOOKUP(S$5,NFI,5,0),1,0)*Table_NFI[[#This Row],[Winter Clothes Children]],Table_NFI[Winter Clothes Children])</f>
        <v>0</v>
      </c>
      <c r="AK596" s="378">
        <f>IF(NFI_Expiration=1,IF($A596&lt;VLOOKUP(T$5,NFI,5,0),1,0)*Table_NFI[[#This Row],[Winter Items Other]],Table_NFI[Winter Items Other])</f>
        <v>0</v>
      </c>
      <c r="AL596" s="378">
        <f>IF(NFI_Expiration=1,IF($A596&lt;VLOOKUP(M$5,NFI,5,0),1,0)*Table_NFI[[#This Row],[Winter Blanket]],Table_NFI[[#This Row],[Winter Blanket]])</f>
        <v>0</v>
      </c>
      <c r="AM596" s="378">
        <f>IF(Table_NFI[[#This Row],[Winter Clothes Adult]]+Table_NFI[[#This Row],[Winter Clothes Children]]+Table_NFI[[#This Row],[Winter Items Other]]+Table_NFI[[#This Row],[Winter Blanket]]&gt;0,1,0)</f>
        <v>0</v>
      </c>
      <c r="AN596" s="418">
        <f>IF(NFI_Expiration=1,IF($A596&lt;VLOOKUP(V$5,NFI,5,0),1,0)*Table_NFI[[#This Row],[Jerry Can]],Table_NFI[Jerry Can])</f>
        <v>0</v>
      </c>
      <c r="AO596" s="579" t="str">
        <f>IFERROR(VLOOKUP(Table_NFI[[#This Row],[Camp Name]],CL,2,0),"")</f>
        <v>MMR001CMP081</v>
      </c>
      <c r="AP596" s="574">
        <f ca="1">IF(Table_NFI[[#This Row],[Pcode]]="","",IF(OFFSET(CampList[Opening Date],MATCH(Table_NFI[[#This Row],[Pcode]],CampList[CP_Pcode],0)-1,0,1,1)&gt;=NFI_Monitor_Date,1,0))</f>
        <v>0</v>
      </c>
      <c r="AQ596" s="579" t="str">
        <f>IFERROR(VLOOKUP(Table_NFI[[#This Row],[Camp Name]],CL,3,0),"")</f>
        <v>Closed</v>
      </c>
      <c r="AR596" s="378" t="str">
        <f ca="1">IF(Table_NFI[[#This Row],[Pcode]]="","",OFFSET(CampList[Priority],MATCH(Table_NFI[[#This Row],[Pcode]],CampList[CP_Pcode],0)-1,0,1,1))</f>
        <v>P4</v>
      </c>
      <c r="AS596" s="377" t="str">
        <f>IFERROR(Table_NFI[[#This Row],[Kitchen Set]]/VLOOKUP(Table_NFI[[#This Row],[Camp Name]],CL,4,0),"")</f>
        <v/>
      </c>
      <c r="AT596" s="572" t="s">
        <v>1095</v>
      </c>
      <c r="AU596" s="575"/>
    </row>
    <row r="597" spans="1:47" x14ac:dyDescent="0.25">
      <c r="A597" s="381">
        <f t="shared" si="9"/>
        <v>53.366666666666667</v>
      </c>
      <c r="B597" s="571">
        <v>40921</v>
      </c>
      <c r="C597" s="572" t="s">
        <v>454</v>
      </c>
      <c r="D597" s="573" t="s">
        <v>462</v>
      </c>
      <c r="E597" s="572" t="s">
        <v>380</v>
      </c>
      <c r="F597" s="374"/>
      <c r="G597" s="374" t="s">
        <v>918</v>
      </c>
      <c r="H597" s="375"/>
      <c r="I597" s="375"/>
      <c r="J597" s="375"/>
      <c r="K597" s="375">
        <v>126</v>
      </c>
      <c r="L597" s="376">
        <v>63</v>
      </c>
      <c r="M597" s="376">
        <v>63</v>
      </c>
      <c r="N597" s="376">
        <v>0</v>
      </c>
      <c r="O597" s="376">
        <v>63</v>
      </c>
      <c r="P597" s="378">
        <v>63</v>
      </c>
      <c r="Q597" s="378">
        <v>63</v>
      </c>
      <c r="R597" s="378"/>
      <c r="S597" s="378"/>
      <c r="T597" s="378"/>
      <c r="U597" s="378"/>
      <c r="V597" s="533"/>
      <c r="W597" s="378"/>
      <c r="X597" s="378"/>
      <c r="Y597" s="378">
        <f>IF(NFI_Expiration=1,IF($A597&lt;VLOOKUP(H$5,NFI,5,0),1,0)*Table_NFI[[#This Row],[Hygiene Kit]],Table_NFI[Hygiene Kit])</f>
        <v>0</v>
      </c>
      <c r="Z597" s="378">
        <f>IF(NFI_Expiration=1,IF($A597&lt;VLOOKUP(I$5,NFI,5,0),1,0)*Table_NFI[[#This Row],[NFI Core Kit]],Table_NFI[NFI Core Kit])</f>
        <v>0</v>
      </c>
      <c r="AA597" s="378">
        <f>IF(NFI_Expiration=1,IF($A597&lt;VLOOKUP(J$5,NFI,5,0),1,0)*Table_NFI[[#This Row],[Sanitary Kit]],Table_NFI[Sanitary Kit])</f>
        <v>0</v>
      </c>
      <c r="AB597" s="378">
        <f>IF(NFI_Expiration=1,IF($A597&lt;VLOOKUP(K$5,NFI,5,0),1,0)*Table_NFI[[#This Row],[Mosquito net]],Table_NFI[Mosquito net])</f>
        <v>0</v>
      </c>
      <c r="AC597" s="378">
        <f>IF(NFI_Expiration=1,IF($A597&lt;VLOOKUP(L$5,NFI,5,0),1,0)*Table_NFI[[#This Row],[Tarpaulin]],Table_NFI[[#This Row],[Tarpaulin]])</f>
        <v>0</v>
      </c>
      <c r="AD597" s="378">
        <f>IF(NFI_Expiration=1,IF($A597&lt;VLOOKUP(M$5,NFI,5,0),1,0)*Table_NFI[[#This Row],[Blanket]],Table_NFI[[#This Row],[Blanket]])</f>
        <v>0</v>
      </c>
      <c r="AE597" s="378">
        <f>IF(NFI_Expiration=1,IF($A597&lt;VLOOKUP(N$5,NFI,5,0),1,0)*Table_NFI[[#This Row],[Kitchen Set]],Table_NFI[Kitchen Set])</f>
        <v>0</v>
      </c>
      <c r="AF597" s="378">
        <f>IF(NFI_Expiration=1,IF($A597&lt;VLOOKUP(O$5,NFI,5,0),1,0)*Table_NFI[[#This Row],[Clothes Kit]],Table_NFI[Clothes Kit])</f>
        <v>0</v>
      </c>
      <c r="AG597" s="378">
        <f>IF(NFI_Expiration=1,IF($A597&lt;VLOOKUP(P$5,NFI,5,0),1,0)*Table_NFI[[#This Row],[Plastic Bucket]],Table_NFI[Plastic Bucket])</f>
        <v>0</v>
      </c>
      <c r="AH597" s="378">
        <f>IF(NFI_Expiration=1,IF($A597&lt;VLOOKUP(Q$5,NFI,5,0),1,0)*Table_NFI[[#This Row],[Plastic Mat]],Table_NFI[Plastic Mat])*IF(Table_NFI[[#This Row],[Distribution Date]]&gt;"2014-04-01",1,2.5)</f>
        <v>0</v>
      </c>
      <c r="AI597" s="378">
        <f>IF(NFI_Expiration=1,IF($A597&lt;VLOOKUP(R$5,NFI,5,0),1,0)*Table_NFI[[#This Row],[Winter Clothes Adult]],Table_NFI[Winter Clothes Adult])</f>
        <v>0</v>
      </c>
      <c r="AJ597" s="378">
        <f>IF(NFI_Expiration=1,IF($A597&lt;VLOOKUP(S$5,NFI,5,0),1,0)*Table_NFI[[#This Row],[Winter Clothes Children]],Table_NFI[Winter Clothes Children])</f>
        <v>0</v>
      </c>
      <c r="AK597" s="378">
        <f>IF(NFI_Expiration=1,IF($A597&lt;VLOOKUP(T$5,NFI,5,0),1,0)*Table_NFI[[#This Row],[Winter Items Other]],Table_NFI[Winter Items Other])</f>
        <v>0</v>
      </c>
      <c r="AL597" s="378">
        <f>IF(NFI_Expiration=1,IF($A597&lt;VLOOKUP(M$5,NFI,5,0),1,0)*Table_NFI[[#This Row],[Winter Blanket]],Table_NFI[[#This Row],[Winter Blanket]])</f>
        <v>0</v>
      </c>
      <c r="AM597" s="378">
        <f>IF(Table_NFI[[#This Row],[Winter Clothes Adult]]+Table_NFI[[#This Row],[Winter Clothes Children]]+Table_NFI[[#This Row],[Winter Items Other]]+Table_NFI[[#This Row],[Winter Blanket]]&gt;0,1,0)</f>
        <v>0</v>
      </c>
      <c r="AN597" s="418">
        <f>IF(NFI_Expiration=1,IF($A597&lt;VLOOKUP(V$5,NFI,5,0),1,0)*Table_NFI[[#This Row],[Jerry Can]],Table_NFI[Jerry Can])</f>
        <v>0</v>
      </c>
      <c r="AO597" s="579" t="str">
        <f>IFERROR(VLOOKUP(Table_NFI[[#This Row],[Camp Name]],CL,2,0),"")</f>
        <v/>
      </c>
      <c r="AP597" s="574" t="str">
        <f ca="1">IF(Table_NFI[[#This Row],[Pcode]]="","",IF(OFFSET(CampList[Opening Date],MATCH(Table_NFI[[#This Row],[Pcode]],CampList[CP_Pcode],0)-1,0,1,1)&gt;=NFI_Monitor_Date,1,0))</f>
        <v/>
      </c>
      <c r="AQ597" s="579" t="str">
        <f>IFERROR(VLOOKUP(Table_NFI[[#This Row],[Camp Name]],CL,3,0),"")</f>
        <v/>
      </c>
      <c r="AR597" s="378" t="str">
        <f ca="1">IF(Table_NFI[[#This Row],[Pcode]]="","",OFFSET(CampList[Priority],MATCH(Table_NFI[[#This Row],[Pcode]],CampList[CP_Pcode],0)-1,0,1,1))</f>
        <v/>
      </c>
      <c r="AS597" s="377" t="str">
        <f>IFERROR(Table_NFI[[#This Row],[Kitchen Set]]/VLOOKUP(Table_NFI[[#This Row],[Camp Name]],CL,4,0),"")</f>
        <v/>
      </c>
      <c r="AT597" s="572" t="s">
        <v>1095</v>
      </c>
      <c r="AU597" s="575" t="s">
        <v>1164</v>
      </c>
    </row>
    <row r="598" spans="1:47" x14ac:dyDescent="0.25">
      <c r="A598" s="381">
        <f t="shared" si="9"/>
        <v>30.466666666666665</v>
      </c>
      <c r="B598" s="571">
        <v>41608</v>
      </c>
      <c r="C598" s="572" t="s">
        <v>1100</v>
      </c>
      <c r="D598" s="573" t="s">
        <v>947</v>
      </c>
      <c r="E598" s="572" t="s">
        <v>555</v>
      </c>
      <c r="F598" s="374" t="s">
        <v>781</v>
      </c>
      <c r="G598" s="374" t="s">
        <v>596</v>
      </c>
      <c r="H598" s="375"/>
      <c r="I598" s="375"/>
      <c r="J598" s="375"/>
      <c r="K598" s="375"/>
      <c r="L598" s="376"/>
      <c r="M598" s="376">
        <v>201</v>
      </c>
      <c r="N598" s="376"/>
      <c r="O598" s="376"/>
      <c r="P598" s="378"/>
      <c r="Q598" s="378"/>
      <c r="R598" s="378">
        <v>266</v>
      </c>
      <c r="S598" s="378">
        <v>126</v>
      </c>
      <c r="T598" s="378">
        <v>0</v>
      </c>
      <c r="U598" s="378"/>
      <c r="V598" s="533"/>
      <c r="W598" s="378"/>
      <c r="X598" s="378"/>
      <c r="Y598" s="378">
        <f>IF(NFI_Expiration=1,IF($A598&lt;VLOOKUP(H$5,NFI,5,0),1,0)*Table_NFI[[#This Row],[Hygiene Kit]],Table_NFI[Hygiene Kit])</f>
        <v>0</v>
      </c>
      <c r="Z598" s="378">
        <f>IF(NFI_Expiration=1,IF($A598&lt;VLOOKUP(I$5,NFI,5,0),1,0)*Table_NFI[[#This Row],[NFI Core Kit]],Table_NFI[NFI Core Kit])</f>
        <v>0</v>
      </c>
      <c r="AA598" s="378">
        <f>IF(NFI_Expiration=1,IF($A598&lt;VLOOKUP(J$5,NFI,5,0),1,0)*Table_NFI[[#This Row],[Sanitary Kit]],Table_NFI[Sanitary Kit])</f>
        <v>0</v>
      </c>
      <c r="AB598" s="378">
        <f>IF(NFI_Expiration=1,IF($A598&lt;VLOOKUP(K$5,NFI,5,0),1,0)*Table_NFI[[#This Row],[Mosquito net]],Table_NFI[Mosquito net])</f>
        <v>0</v>
      </c>
      <c r="AC598" s="378">
        <f>IF(NFI_Expiration=1,IF($A598&lt;VLOOKUP(L$5,NFI,5,0),1,0)*Table_NFI[[#This Row],[Tarpaulin]],Table_NFI[[#This Row],[Tarpaulin]])</f>
        <v>0</v>
      </c>
      <c r="AD598" s="378">
        <f>IF(NFI_Expiration=1,IF($A598&lt;VLOOKUP(M$5,NFI,5,0),1,0)*Table_NFI[[#This Row],[Blanket]],Table_NFI[[#This Row],[Blanket]])</f>
        <v>0</v>
      </c>
      <c r="AE598" s="378">
        <f>IF(NFI_Expiration=1,IF($A598&lt;VLOOKUP(N$5,NFI,5,0),1,0)*Table_NFI[[#This Row],[Kitchen Set]],Table_NFI[Kitchen Set])</f>
        <v>0</v>
      </c>
      <c r="AF598" s="378">
        <f>IF(NFI_Expiration=1,IF($A598&lt;VLOOKUP(O$5,NFI,5,0),1,0)*Table_NFI[[#This Row],[Clothes Kit]],Table_NFI[Clothes Kit])</f>
        <v>0</v>
      </c>
      <c r="AG598" s="378">
        <f>IF(NFI_Expiration=1,IF($A598&lt;VLOOKUP(P$5,NFI,5,0),1,0)*Table_NFI[[#This Row],[Plastic Bucket]],Table_NFI[Plastic Bucket])</f>
        <v>0</v>
      </c>
      <c r="AH598" s="378">
        <f>IF(NFI_Expiration=1,IF($A598&lt;VLOOKUP(Q$5,NFI,5,0),1,0)*Table_NFI[[#This Row],[Plastic Mat]],Table_NFI[Plastic Mat])*IF(Table_NFI[[#This Row],[Distribution Date]]&gt;"2014-04-01",1,2.5)</f>
        <v>0</v>
      </c>
      <c r="AI598" s="378">
        <f>IF(NFI_Expiration=1,IF($A598&lt;VLOOKUP(R$5,NFI,5,0),1,0)*Table_NFI[[#This Row],[Winter Clothes Adult]],Table_NFI[Winter Clothes Adult])</f>
        <v>0</v>
      </c>
      <c r="AJ598" s="378">
        <f>IF(NFI_Expiration=1,IF($A598&lt;VLOOKUP(S$5,NFI,5,0),1,0)*Table_NFI[[#This Row],[Winter Clothes Children]],Table_NFI[Winter Clothes Children])</f>
        <v>0</v>
      </c>
      <c r="AK598" s="378">
        <f>IF(NFI_Expiration=1,IF($A598&lt;VLOOKUP(T$5,NFI,5,0),1,0)*Table_NFI[[#This Row],[Winter Items Other]],Table_NFI[Winter Items Other])</f>
        <v>0</v>
      </c>
      <c r="AL598" s="378">
        <f>IF(NFI_Expiration=1,IF($A598&lt;VLOOKUP(M$5,NFI,5,0),1,0)*Table_NFI[[#This Row],[Winter Blanket]],Table_NFI[[#This Row],[Winter Blanket]])</f>
        <v>0</v>
      </c>
      <c r="AM598" s="378">
        <f>IF(Table_NFI[[#This Row],[Winter Clothes Adult]]+Table_NFI[[#This Row],[Winter Clothes Children]]+Table_NFI[[#This Row],[Winter Items Other]]+Table_NFI[[#This Row],[Winter Blanket]]&gt;0,1,0)</f>
        <v>1</v>
      </c>
      <c r="AN598" s="418">
        <f>IF(NFI_Expiration=1,IF($A598&lt;VLOOKUP(V$5,NFI,5,0),1,0)*Table_NFI[[#This Row],[Jerry Can]],Table_NFI[Jerry Can])</f>
        <v>0</v>
      </c>
      <c r="AO598" s="579" t="str">
        <f>IFERROR(VLOOKUP(Table_NFI[[#This Row],[Camp Name]],CL,2,0),"")</f>
        <v>MMR015CMP207</v>
      </c>
      <c r="AP598" s="574">
        <f ca="1">IF(Table_NFI[[#This Row],[Pcode]]="","",IF(OFFSET(CampList[Opening Date],MATCH(Table_NFI[[#This Row],[Pcode]],CampList[CP_Pcode],0)-1,0,1,1)&gt;=NFI_Monitor_Date,1,0))</f>
        <v>0</v>
      </c>
      <c r="AQ598" s="579" t="str">
        <f>IFERROR(VLOOKUP(Table_NFI[[#This Row],[Camp Name]],CL,3,0),"")</f>
        <v>Open</v>
      </c>
      <c r="AR598" s="378" t="str">
        <f ca="1">IF(Table_NFI[[#This Row],[Pcode]]="","",OFFSET(CampList[Priority],MATCH(Table_NFI[[#This Row],[Pcode]],CampList[CP_Pcode],0)-1,0,1,1))</f>
        <v>P4</v>
      </c>
      <c r="AS598" s="377">
        <f>IFERROR(Table_NFI[[#This Row],[Kitchen Set]]/VLOOKUP(Table_NFI[[#This Row],[Camp Name]],CL,4,0),"")</f>
        <v>0</v>
      </c>
      <c r="AT598" s="572" t="s">
        <v>1095</v>
      </c>
      <c r="AU598" s="575"/>
    </row>
    <row r="599" spans="1:47" x14ac:dyDescent="0.25">
      <c r="A599" s="381">
        <f t="shared" si="9"/>
        <v>34.1</v>
      </c>
      <c r="B599" s="571">
        <v>41499</v>
      </c>
      <c r="C599" s="572" t="s">
        <v>454</v>
      </c>
      <c r="D599" s="572" t="s">
        <v>462</v>
      </c>
      <c r="E599" s="572" t="s">
        <v>555</v>
      </c>
      <c r="F599" s="374" t="s">
        <v>781</v>
      </c>
      <c r="G599" s="374" t="s">
        <v>596</v>
      </c>
      <c r="H599" s="375"/>
      <c r="I599" s="375"/>
      <c r="J599" s="375">
        <v>27</v>
      </c>
      <c r="K599" s="375">
        <v>43</v>
      </c>
      <c r="L599" s="376">
        <v>17</v>
      </c>
      <c r="M599" s="376">
        <v>43</v>
      </c>
      <c r="N599" s="376">
        <v>17</v>
      </c>
      <c r="O599" s="376">
        <v>17</v>
      </c>
      <c r="P599" s="378">
        <v>17</v>
      </c>
      <c r="Q599" s="378">
        <v>17</v>
      </c>
      <c r="R599" s="378"/>
      <c r="S599" s="378"/>
      <c r="T599" s="378"/>
      <c r="U599" s="378"/>
      <c r="V599" s="533"/>
      <c r="W599" s="378"/>
      <c r="X599" s="378"/>
      <c r="Y599" s="378">
        <f>IF(NFI_Expiration=1,IF($A599&lt;VLOOKUP(H$5,NFI,5,0),1,0)*Table_NFI[[#This Row],[Hygiene Kit]],Table_NFI[Hygiene Kit])</f>
        <v>0</v>
      </c>
      <c r="Z599" s="378">
        <f>IF(NFI_Expiration=1,IF($A599&lt;VLOOKUP(I$5,NFI,5,0),1,0)*Table_NFI[[#This Row],[NFI Core Kit]],Table_NFI[NFI Core Kit])</f>
        <v>0</v>
      </c>
      <c r="AA599" s="378">
        <f>IF(NFI_Expiration=1,IF($A599&lt;VLOOKUP(J$5,NFI,5,0),1,0)*Table_NFI[[#This Row],[Sanitary Kit]],Table_NFI[Sanitary Kit])</f>
        <v>0</v>
      </c>
      <c r="AB599" s="378">
        <f>IF(NFI_Expiration=1,IF($A599&lt;VLOOKUP(K$5,NFI,5,0),1,0)*Table_NFI[[#This Row],[Mosquito net]],Table_NFI[Mosquito net])</f>
        <v>0</v>
      </c>
      <c r="AC599" s="378">
        <f>IF(NFI_Expiration=1,IF($A599&lt;VLOOKUP(L$5,NFI,5,0),1,0)*Table_NFI[[#This Row],[Tarpaulin]],Table_NFI[[#This Row],[Tarpaulin]])</f>
        <v>0</v>
      </c>
      <c r="AD599" s="378">
        <f>IF(NFI_Expiration=1,IF($A599&lt;VLOOKUP(M$5,NFI,5,0),1,0)*Table_NFI[[#This Row],[Blanket]],Table_NFI[[#This Row],[Blanket]])</f>
        <v>0</v>
      </c>
      <c r="AE599" s="378">
        <f>IF(NFI_Expiration=1,IF($A599&lt;VLOOKUP(N$5,NFI,5,0),1,0)*Table_NFI[[#This Row],[Kitchen Set]],Table_NFI[Kitchen Set])</f>
        <v>0</v>
      </c>
      <c r="AF599" s="378">
        <f>IF(NFI_Expiration=1,IF($A599&lt;VLOOKUP(O$5,NFI,5,0),1,0)*Table_NFI[[#This Row],[Clothes Kit]],Table_NFI[Clothes Kit])</f>
        <v>0</v>
      </c>
      <c r="AG599" s="378">
        <f>IF(NFI_Expiration=1,IF($A599&lt;VLOOKUP(P$5,NFI,5,0),1,0)*Table_NFI[[#This Row],[Plastic Bucket]],Table_NFI[Plastic Bucket])</f>
        <v>0</v>
      </c>
      <c r="AH599" s="378">
        <f>IF(NFI_Expiration=1,IF($A599&lt;VLOOKUP(Q$5,NFI,5,0),1,0)*Table_NFI[[#This Row],[Plastic Mat]],Table_NFI[Plastic Mat])*IF(Table_NFI[[#This Row],[Distribution Date]]&gt;"2014-04-01",1,2.5)</f>
        <v>0</v>
      </c>
      <c r="AI599" s="378">
        <f>IF(NFI_Expiration=1,IF($A599&lt;VLOOKUP(R$5,NFI,5,0),1,0)*Table_NFI[[#This Row],[Winter Clothes Adult]],Table_NFI[Winter Clothes Adult])</f>
        <v>0</v>
      </c>
      <c r="AJ599" s="378">
        <f>IF(NFI_Expiration=1,IF($A599&lt;VLOOKUP(S$5,NFI,5,0),1,0)*Table_NFI[[#This Row],[Winter Clothes Children]],Table_NFI[Winter Clothes Children])</f>
        <v>0</v>
      </c>
      <c r="AK599" s="378">
        <f>IF(NFI_Expiration=1,IF($A599&lt;VLOOKUP(T$5,NFI,5,0),1,0)*Table_NFI[[#This Row],[Winter Items Other]],Table_NFI[Winter Items Other])</f>
        <v>0</v>
      </c>
      <c r="AL599" s="378">
        <f>IF(NFI_Expiration=1,IF($A599&lt;VLOOKUP(M$5,NFI,5,0),1,0)*Table_NFI[[#This Row],[Winter Blanket]],Table_NFI[[#This Row],[Winter Blanket]])</f>
        <v>0</v>
      </c>
      <c r="AM599" s="378">
        <f>IF(Table_NFI[[#This Row],[Winter Clothes Adult]]+Table_NFI[[#This Row],[Winter Clothes Children]]+Table_NFI[[#This Row],[Winter Items Other]]+Table_NFI[[#This Row],[Winter Blanket]]&gt;0,1,0)</f>
        <v>0</v>
      </c>
      <c r="AN599" s="418">
        <f>IF(NFI_Expiration=1,IF($A599&lt;VLOOKUP(V$5,NFI,5,0),1,0)*Table_NFI[[#This Row],[Jerry Can]],Table_NFI[Jerry Can])</f>
        <v>0</v>
      </c>
      <c r="AO599" s="579" t="str">
        <f>IFERROR(VLOOKUP(Table_NFI[[#This Row],[Camp Name]],CL,2,0),"")</f>
        <v>MMR015CMP207</v>
      </c>
      <c r="AP599" s="574">
        <f ca="1">IF(Table_NFI[[#This Row],[Pcode]]="","",IF(OFFSET(CampList[Opening Date],MATCH(Table_NFI[[#This Row],[Pcode]],CampList[CP_Pcode],0)-1,0,1,1)&gt;=NFI_Monitor_Date,1,0))</f>
        <v>0</v>
      </c>
      <c r="AQ599" s="579" t="str">
        <f>IFERROR(VLOOKUP(Table_NFI[[#This Row],[Camp Name]],CL,3,0),"")</f>
        <v>Open</v>
      </c>
      <c r="AR599" s="378" t="str">
        <f ca="1">IF(Table_NFI[[#This Row],[Pcode]]="","",OFFSET(CampList[Priority],MATCH(Table_NFI[[#This Row],[Pcode]],CampList[CP_Pcode],0)-1,0,1,1))</f>
        <v>P4</v>
      </c>
      <c r="AS599" s="377">
        <f>IFERROR(Table_NFI[[#This Row],[Kitchen Set]]/VLOOKUP(Table_NFI[[#This Row],[Camp Name]],CL,4,0),"")</f>
        <v>0.2537313432835821</v>
      </c>
      <c r="AT599" s="572" t="s">
        <v>1095</v>
      </c>
      <c r="AU599" s="575"/>
    </row>
    <row r="600" spans="1:47" x14ac:dyDescent="0.25">
      <c r="A600" s="381">
        <f t="shared" si="9"/>
        <v>27.566666666666666</v>
      </c>
      <c r="B600" s="571">
        <v>41695</v>
      </c>
      <c r="C600" s="572" t="s">
        <v>1107</v>
      </c>
      <c r="D600" s="572" t="s">
        <v>903</v>
      </c>
      <c r="E600" s="572" t="s">
        <v>380</v>
      </c>
      <c r="F600" s="572" t="s">
        <v>173</v>
      </c>
      <c r="G600" s="572" t="s">
        <v>178</v>
      </c>
      <c r="H600" s="375"/>
      <c r="I600" s="375"/>
      <c r="J600" s="375"/>
      <c r="K600" s="375"/>
      <c r="L600" s="376"/>
      <c r="M600" s="376"/>
      <c r="N600" s="376"/>
      <c r="O600" s="376"/>
      <c r="P600" s="378"/>
      <c r="Q600" s="378"/>
      <c r="R600" s="378"/>
      <c r="S600" s="378"/>
      <c r="T600" s="378"/>
      <c r="U600" s="378">
        <v>28</v>
      </c>
      <c r="V600" s="533"/>
      <c r="W600" s="378"/>
      <c r="X600" s="378"/>
      <c r="Y600" s="378">
        <f>IF(NFI_Expiration=1,IF($A600&lt;VLOOKUP(H$5,NFI,5,0),1,0)*Table_NFI[[#This Row],[Hygiene Kit]],Table_NFI[Hygiene Kit])</f>
        <v>0</v>
      </c>
      <c r="Z600" s="378">
        <f>IF(NFI_Expiration=1,IF($A600&lt;VLOOKUP(I$5,NFI,5,0),1,0)*Table_NFI[[#This Row],[NFI Core Kit]],Table_NFI[NFI Core Kit])</f>
        <v>0</v>
      </c>
      <c r="AA600" s="378">
        <f>IF(NFI_Expiration=1,IF($A600&lt;VLOOKUP(J$5,NFI,5,0),1,0)*Table_NFI[[#This Row],[Sanitary Kit]],Table_NFI[Sanitary Kit])</f>
        <v>0</v>
      </c>
      <c r="AB600" s="378">
        <f>IF(NFI_Expiration=1,IF($A600&lt;VLOOKUP(K$5,NFI,5,0),1,0)*Table_NFI[[#This Row],[Mosquito net]],Table_NFI[Mosquito net])</f>
        <v>0</v>
      </c>
      <c r="AC600" s="378">
        <f>IF(NFI_Expiration=1,IF($A600&lt;VLOOKUP(L$5,NFI,5,0),1,0)*Table_NFI[[#This Row],[Tarpaulin]],Table_NFI[[#This Row],[Tarpaulin]])</f>
        <v>0</v>
      </c>
      <c r="AD600" s="378">
        <f>IF(NFI_Expiration=1,IF($A600&lt;VLOOKUP(M$5,NFI,5,0),1,0)*Table_NFI[[#This Row],[Blanket]],Table_NFI[[#This Row],[Blanket]])</f>
        <v>0</v>
      </c>
      <c r="AE600" s="378">
        <f>IF(NFI_Expiration=1,IF($A600&lt;VLOOKUP(N$5,NFI,5,0),1,0)*Table_NFI[[#This Row],[Kitchen Set]],Table_NFI[Kitchen Set])</f>
        <v>0</v>
      </c>
      <c r="AF600" s="378">
        <f>IF(NFI_Expiration=1,IF($A600&lt;VLOOKUP(O$5,NFI,5,0),1,0)*Table_NFI[[#This Row],[Clothes Kit]],Table_NFI[Clothes Kit])</f>
        <v>0</v>
      </c>
      <c r="AG600" s="378">
        <f>IF(NFI_Expiration=1,IF($A600&lt;VLOOKUP(P$5,NFI,5,0),1,0)*Table_NFI[[#This Row],[Plastic Bucket]],Table_NFI[Plastic Bucket])</f>
        <v>0</v>
      </c>
      <c r="AH600" s="378">
        <f>IF(NFI_Expiration=1,IF($A600&lt;VLOOKUP(Q$5,NFI,5,0),1,0)*Table_NFI[[#This Row],[Plastic Mat]],Table_NFI[Plastic Mat])*IF(Table_NFI[[#This Row],[Distribution Date]]&gt;"2014-04-01",1,2.5)</f>
        <v>0</v>
      </c>
      <c r="AI600" s="378">
        <f>IF(NFI_Expiration=1,IF($A600&lt;VLOOKUP(R$5,NFI,5,0),1,0)*Table_NFI[[#This Row],[Winter Clothes Adult]],Table_NFI[Winter Clothes Adult])</f>
        <v>0</v>
      </c>
      <c r="AJ600" s="378">
        <f>IF(NFI_Expiration=1,IF($A600&lt;VLOOKUP(S$5,NFI,5,0),1,0)*Table_NFI[[#This Row],[Winter Clothes Children]],Table_NFI[Winter Clothes Children])</f>
        <v>0</v>
      </c>
      <c r="AK600" s="378">
        <f>IF(NFI_Expiration=1,IF($A600&lt;VLOOKUP(T$5,NFI,5,0),1,0)*Table_NFI[[#This Row],[Winter Items Other]],Table_NFI[Winter Items Other])</f>
        <v>0</v>
      </c>
      <c r="AL600" s="378">
        <f>IF(NFI_Expiration=1,IF($A600&lt;VLOOKUP(M$5,NFI,5,0),1,0)*Table_NFI[[#This Row],[Winter Blanket]],Table_NFI[[#This Row],[Winter Blanket]])</f>
        <v>0</v>
      </c>
      <c r="AM600" s="378">
        <f>IF(Table_NFI[[#This Row],[Winter Clothes Adult]]+Table_NFI[[#This Row],[Winter Clothes Children]]+Table_NFI[[#This Row],[Winter Items Other]]+Table_NFI[[#This Row],[Winter Blanket]]&gt;0,1,0)</f>
        <v>1</v>
      </c>
      <c r="AN600" s="418">
        <f>IF(NFI_Expiration=1,IF($A600&lt;VLOOKUP(V$5,NFI,5,0),1,0)*Table_NFI[[#This Row],[Jerry Can]],Table_NFI[Jerry Can])</f>
        <v>0</v>
      </c>
      <c r="AO600" s="579" t="str">
        <f>IFERROR(VLOOKUP(Table_NFI[[#This Row],[Camp Name]],CL,2,0),"")</f>
        <v>MMR001CMP079</v>
      </c>
      <c r="AP600" s="574">
        <f ca="1">IF(Table_NFI[[#This Row],[Pcode]]="","",IF(OFFSET(CampList[Opening Date],MATCH(Table_NFI[[#This Row],[Pcode]],CampList[CP_Pcode],0)-1,0,1,1)&gt;=NFI_Monitor_Date,1,0))</f>
        <v>0</v>
      </c>
      <c r="AQ600" s="579" t="str">
        <f>IFERROR(VLOOKUP(Table_NFI[[#This Row],[Camp Name]],CL,3,0),"")</f>
        <v>Open</v>
      </c>
      <c r="AR600" s="378" t="str">
        <f ca="1">IF(Table_NFI[[#This Row],[Pcode]]="","",OFFSET(CampList[Priority],MATCH(Table_NFI[[#This Row],[Pcode]],CampList[CP_Pcode],0)-1,0,1,1))</f>
        <v>P4</v>
      </c>
      <c r="AS600" s="377">
        <f>IFERROR(Table_NFI[[#This Row],[Kitchen Set]]/VLOOKUP(Table_NFI[[#This Row],[Camp Name]],CL,4,0),"")</f>
        <v>0</v>
      </c>
      <c r="AT600" s="572"/>
      <c r="AU600" s="575"/>
    </row>
    <row r="601" spans="1:47" x14ac:dyDescent="0.25">
      <c r="A601" s="381">
        <f t="shared" si="9"/>
        <v>29.4</v>
      </c>
      <c r="B601" s="571">
        <v>41640</v>
      </c>
      <c r="C601" s="572" t="s">
        <v>1040</v>
      </c>
      <c r="D601" s="572" t="s">
        <v>903</v>
      </c>
      <c r="E601" s="572" t="s">
        <v>380</v>
      </c>
      <c r="F601" s="572" t="s">
        <v>173</v>
      </c>
      <c r="G601" s="572" t="s">
        <v>178</v>
      </c>
      <c r="H601" s="375"/>
      <c r="I601" s="375"/>
      <c r="J601" s="375"/>
      <c r="K601" s="375"/>
      <c r="L601" s="376"/>
      <c r="M601" s="376"/>
      <c r="N601" s="376">
        <v>13</v>
      </c>
      <c r="O601" s="376"/>
      <c r="P601" s="378"/>
      <c r="Q601" s="378"/>
      <c r="R601" s="378"/>
      <c r="S601" s="378"/>
      <c r="T601" s="378"/>
      <c r="U601" s="378"/>
      <c r="V601" s="533"/>
      <c r="W601" s="378"/>
      <c r="X601" s="378"/>
      <c r="Y601" s="378">
        <f>IF(NFI_Expiration=1,IF($A601&lt;VLOOKUP(H$5,NFI,5,0),1,0)*Table_NFI[[#This Row],[Hygiene Kit]],Table_NFI[Hygiene Kit])</f>
        <v>0</v>
      </c>
      <c r="Z601" s="378">
        <f>IF(NFI_Expiration=1,IF($A601&lt;VLOOKUP(I$5,NFI,5,0),1,0)*Table_NFI[[#This Row],[NFI Core Kit]],Table_NFI[NFI Core Kit])</f>
        <v>0</v>
      </c>
      <c r="AA601" s="378">
        <f>IF(NFI_Expiration=1,IF($A601&lt;VLOOKUP(J$5,NFI,5,0),1,0)*Table_NFI[[#This Row],[Sanitary Kit]],Table_NFI[Sanitary Kit])</f>
        <v>0</v>
      </c>
      <c r="AB601" s="378">
        <f>IF(NFI_Expiration=1,IF($A601&lt;VLOOKUP(K$5,NFI,5,0),1,0)*Table_NFI[[#This Row],[Mosquito net]],Table_NFI[Mosquito net])</f>
        <v>0</v>
      </c>
      <c r="AC601" s="378">
        <f>IF(NFI_Expiration=1,IF($A601&lt;VLOOKUP(L$5,NFI,5,0),1,0)*Table_NFI[[#This Row],[Tarpaulin]],Table_NFI[[#This Row],[Tarpaulin]])</f>
        <v>0</v>
      </c>
      <c r="AD601" s="378">
        <f>IF(NFI_Expiration=1,IF($A601&lt;VLOOKUP(M$5,NFI,5,0),1,0)*Table_NFI[[#This Row],[Blanket]],Table_NFI[[#This Row],[Blanket]])</f>
        <v>0</v>
      </c>
      <c r="AE601" s="378">
        <f>IF(NFI_Expiration=1,IF($A601&lt;VLOOKUP(N$5,NFI,5,0),1,0)*Table_NFI[[#This Row],[Kitchen Set]],Table_NFI[Kitchen Set])</f>
        <v>0</v>
      </c>
      <c r="AF601" s="378">
        <f>IF(NFI_Expiration=1,IF($A601&lt;VLOOKUP(O$5,NFI,5,0),1,0)*Table_NFI[[#This Row],[Clothes Kit]],Table_NFI[Clothes Kit])</f>
        <v>0</v>
      </c>
      <c r="AG601" s="378">
        <f>IF(NFI_Expiration=1,IF($A601&lt;VLOOKUP(P$5,NFI,5,0),1,0)*Table_NFI[[#This Row],[Plastic Bucket]],Table_NFI[Plastic Bucket])</f>
        <v>0</v>
      </c>
      <c r="AH601" s="378">
        <f>IF(NFI_Expiration=1,IF($A601&lt;VLOOKUP(Q$5,NFI,5,0),1,0)*Table_NFI[[#This Row],[Plastic Mat]],Table_NFI[Plastic Mat])*IF(Table_NFI[[#This Row],[Distribution Date]]&gt;"2014-04-01",1,2.5)</f>
        <v>0</v>
      </c>
      <c r="AI601" s="378">
        <f>IF(NFI_Expiration=1,IF($A601&lt;VLOOKUP(R$5,NFI,5,0),1,0)*Table_NFI[[#This Row],[Winter Clothes Adult]],Table_NFI[Winter Clothes Adult])</f>
        <v>0</v>
      </c>
      <c r="AJ601" s="378">
        <f>IF(NFI_Expiration=1,IF($A601&lt;VLOOKUP(S$5,NFI,5,0),1,0)*Table_NFI[[#This Row],[Winter Clothes Children]],Table_NFI[Winter Clothes Children])</f>
        <v>0</v>
      </c>
      <c r="AK601" s="378">
        <f>IF(NFI_Expiration=1,IF($A601&lt;VLOOKUP(T$5,NFI,5,0),1,0)*Table_NFI[[#This Row],[Winter Items Other]],Table_NFI[Winter Items Other])</f>
        <v>0</v>
      </c>
      <c r="AL601" s="378">
        <f>IF(NFI_Expiration=1,IF($A601&lt;VLOOKUP(M$5,NFI,5,0),1,0)*Table_NFI[[#This Row],[Winter Blanket]],Table_NFI[[#This Row],[Winter Blanket]])</f>
        <v>0</v>
      </c>
      <c r="AM601" s="378">
        <f>IF(Table_NFI[[#This Row],[Winter Clothes Adult]]+Table_NFI[[#This Row],[Winter Clothes Children]]+Table_NFI[[#This Row],[Winter Items Other]]+Table_NFI[[#This Row],[Winter Blanket]]&gt;0,1,0)</f>
        <v>0</v>
      </c>
      <c r="AN601" s="418">
        <f>IF(NFI_Expiration=1,IF($A601&lt;VLOOKUP(V$5,NFI,5,0),1,0)*Table_NFI[[#This Row],[Jerry Can]],Table_NFI[Jerry Can])</f>
        <v>0</v>
      </c>
      <c r="AO601" s="579" t="str">
        <f>IFERROR(VLOOKUP(Table_NFI[[#This Row],[Camp Name]],CL,2,0),"")</f>
        <v>MMR001CMP079</v>
      </c>
      <c r="AP601" s="574">
        <f ca="1">IF(Table_NFI[[#This Row],[Pcode]]="","",IF(OFFSET(CampList[Opening Date],MATCH(Table_NFI[[#This Row],[Pcode]],CampList[CP_Pcode],0)-1,0,1,1)&gt;=NFI_Monitor_Date,1,0))</f>
        <v>0</v>
      </c>
      <c r="AQ601" s="579" t="str">
        <f>IFERROR(VLOOKUP(Table_NFI[[#This Row],[Camp Name]],CL,3,0),"")</f>
        <v>Open</v>
      </c>
      <c r="AR601" s="378" t="str">
        <f ca="1">IF(Table_NFI[[#This Row],[Pcode]]="","",OFFSET(CampList[Priority],MATCH(Table_NFI[[#This Row],[Pcode]],CampList[CP_Pcode],0)-1,0,1,1))</f>
        <v>P4</v>
      </c>
      <c r="AS601" s="377">
        <f>IFERROR(Table_NFI[[#This Row],[Kitchen Set]]/VLOOKUP(Table_NFI[[#This Row],[Camp Name]],CL,4,0),"")</f>
        <v>1.0833333333333333</v>
      </c>
      <c r="AT601" s="572" t="s">
        <v>1095</v>
      </c>
      <c r="AU601" s="575"/>
    </row>
    <row r="602" spans="1:47" x14ac:dyDescent="0.25">
      <c r="A602" s="381">
        <f t="shared" si="9"/>
        <v>46.866666666666667</v>
      </c>
      <c r="B602" s="571">
        <v>41116</v>
      </c>
      <c r="C602" s="572" t="s">
        <v>454</v>
      </c>
      <c r="D602" s="573" t="s">
        <v>454</v>
      </c>
      <c r="E602" s="572" t="s">
        <v>380</v>
      </c>
      <c r="F602" s="374" t="s">
        <v>173</v>
      </c>
      <c r="G602" s="374" t="s">
        <v>178</v>
      </c>
      <c r="H602" s="375"/>
      <c r="I602" s="375"/>
      <c r="J602" s="375"/>
      <c r="K602" s="375">
        <v>21</v>
      </c>
      <c r="L602" s="376">
        <v>17</v>
      </c>
      <c r="M602" s="376">
        <v>21</v>
      </c>
      <c r="N602" s="376">
        <v>17</v>
      </c>
      <c r="O602" s="376">
        <v>17</v>
      </c>
      <c r="P602" s="378">
        <v>17</v>
      </c>
      <c r="Q602" s="378">
        <v>17</v>
      </c>
      <c r="R602" s="378"/>
      <c r="S602" s="378"/>
      <c r="T602" s="378"/>
      <c r="U602" s="378"/>
      <c r="V602" s="533"/>
      <c r="W602" s="378"/>
      <c r="X602" s="378"/>
      <c r="Y602" s="378">
        <f>IF(NFI_Expiration=1,IF($A602&lt;VLOOKUP(H$5,NFI,5,0),1,0)*Table_NFI[[#This Row],[Hygiene Kit]],Table_NFI[Hygiene Kit])</f>
        <v>0</v>
      </c>
      <c r="Z602" s="378">
        <f>IF(NFI_Expiration=1,IF($A602&lt;VLOOKUP(I$5,NFI,5,0),1,0)*Table_NFI[[#This Row],[NFI Core Kit]],Table_NFI[NFI Core Kit])</f>
        <v>0</v>
      </c>
      <c r="AA602" s="378">
        <f>IF(NFI_Expiration=1,IF($A602&lt;VLOOKUP(J$5,NFI,5,0),1,0)*Table_NFI[[#This Row],[Sanitary Kit]],Table_NFI[Sanitary Kit])</f>
        <v>0</v>
      </c>
      <c r="AB602" s="378">
        <f>IF(NFI_Expiration=1,IF($A602&lt;VLOOKUP(K$5,NFI,5,0),1,0)*Table_NFI[[#This Row],[Mosquito net]],Table_NFI[Mosquito net])</f>
        <v>0</v>
      </c>
      <c r="AC602" s="378">
        <f>IF(NFI_Expiration=1,IF($A602&lt;VLOOKUP(L$5,NFI,5,0),1,0)*Table_NFI[[#This Row],[Tarpaulin]],Table_NFI[[#This Row],[Tarpaulin]])</f>
        <v>0</v>
      </c>
      <c r="AD602" s="378">
        <f>IF(NFI_Expiration=1,IF($A602&lt;VLOOKUP(M$5,NFI,5,0),1,0)*Table_NFI[[#This Row],[Blanket]],Table_NFI[[#This Row],[Blanket]])</f>
        <v>0</v>
      </c>
      <c r="AE602" s="378">
        <f>IF(NFI_Expiration=1,IF($A602&lt;VLOOKUP(N$5,NFI,5,0),1,0)*Table_NFI[[#This Row],[Kitchen Set]],Table_NFI[Kitchen Set])</f>
        <v>0</v>
      </c>
      <c r="AF602" s="378">
        <f>IF(NFI_Expiration=1,IF($A602&lt;VLOOKUP(O$5,NFI,5,0),1,0)*Table_NFI[[#This Row],[Clothes Kit]],Table_NFI[Clothes Kit])</f>
        <v>0</v>
      </c>
      <c r="AG602" s="378">
        <f>IF(NFI_Expiration=1,IF($A602&lt;VLOOKUP(P$5,NFI,5,0),1,0)*Table_NFI[[#This Row],[Plastic Bucket]],Table_NFI[Plastic Bucket])</f>
        <v>0</v>
      </c>
      <c r="AH602" s="378">
        <f>IF(NFI_Expiration=1,IF($A602&lt;VLOOKUP(Q$5,NFI,5,0),1,0)*Table_NFI[[#This Row],[Plastic Mat]],Table_NFI[Plastic Mat])*IF(Table_NFI[[#This Row],[Distribution Date]]&gt;"2014-04-01",1,2.5)</f>
        <v>0</v>
      </c>
      <c r="AI602" s="378">
        <f>IF(NFI_Expiration=1,IF($A602&lt;VLOOKUP(R$5,NFI,5,0),1,0)*Table_NFI[[#This Row],[Winter Clothes Adult]],Table_NFI[Winter Clothes Adult])</f>
        <v>0</v>
      </c>
      <c r="AJ602" s="378">
        <f>IF(NFI_Expiration=1,IF($A602&lt;VLOOKUP(S$5,NFI,5,0),1,0)*Table_NFI[[#This Row],[Winter Clothes Children]],Table_NFI[Winter Clothes Children])</f>
        <v>0</v>
      </c>
      <c r="AK602" s="378">
        <f>IF(NFI_Expiration=1,IF($A602&lt;VLOOKUP(T$5,NFI,5,0),1,0)*Table_NFI[[#This Row],[Winter Items Other]],Table_NFI[Winter Items Other])</f>
        <v>0</v>
      </c>
      <c r="AL602" s="378">
        <f>IF(NFI_Expiration=1,IF($A602&lt;VLOOKUP(M$5,NFI,5,0),1,0)*Table_NFI[[#This Row],[Winter Blanket]],Table_NFI[[#This Row],[Winter Blanket]])</f>
        <v>0</v>
      </c>
      <c r="AM602" s="378">
        <f>IF(Table_NFI[[#This Row],[Winter Clothes Adult]]+Table_NFI[[#This Row],[Winter Clothes Children]]+Table_NFI[[#This Row],[Winter Items Other]]+Table_NFI[[#This Row],[Winter Blanket]]&gt;0,1,0)</f>
        <v>0</v>
      </c>
      <c r="AN602" s="418">
        <f>IF(NFI_Expiration=1,IF($A602&lt;VLOOKUP(V$5,NFI,5,0),1,0)*Table_NFI[[#This Row],[Jerry Can]],Table_NFI[Jerry Can])</f>
        <v>0</v>
      </c>
      <c r="AO602" s="579" t="str">
        <f>IFERROR(VLOOKUP(Table_NFI[[#This Row],[Camp Name]],CL,2,0),"")</f>
        <v>MMR001CMP079</v>
      </c>
      <c r="AP602" s="574">
        <f ca="1">IF(Table_NFI[[#This Row],[Pcode]]="","",IF(OFFSET(CampList[Opening Date],MATCH(Table_NFI[[#This Row],[Pcode]],CampList[CP_Pcode],0)-1,0,1,1)&gt;=NFI_Monitor_Date,1,0))</f>
        <v>0</v>
      </c>
      <c r="AQ602" s="579" t="str">
        <f>IFERROR(VLOOKUP(Table_NFI[[#This Row],[Camp Name]],CL,3,0),"")</f>
        <v>Open</v>
      </c>
      <c r="AR602" s="378" t="str">
        <f ca="1">IF(Table_NFI[[#This Row],[Pcode]]="","",OFFSET(CampList[Priority],MATCH(Table_NFI[[#This Row],[Pcode]],CampList[CP_Pcode],0)-1,0,1,1))</f>
        <v>P4</v>
      </c>
      <c r="AS602" s="377">
        <f>IFERROR(Table_NFI[[#This Row],[Kitchen Set]]/VLOOKUP(Table_NFI[[#This Row],[Camp Name]],CL,4,0),"")</f>
        <v>1.4166666666666667</v>
      </c>
      <c r="AT602" s="572" t="s">
        <v>1095</v>
      </c>
      <c r="AU602" s="575"/>
    </row>
    <row r="603" spans="1:47" x14ac:dyDescent="0.25">
      <c r="A603" s="381">
        <f t="shared" si="9"/>
        <v>16.933333333333334</v>
      </c>
      <c r="B603" s="571">
        <v>42014</v>
      </c>
      <c r="C603" s="572" t="s">
        <v>454</v>
      </c>
      <c r="D603" s="577" t="s">
        <v>454</v>
      </c>
      <c r="E603" s="577" t="s">
        <v>380</v>
      </c>
      <c r="F603" s="577" t="s">
        <v>300</v>
      </c>
      <c r="G603" s="577" t="s">
        <v>893</v>
      </c>
      <c r="H603" s="376"/>
      <c r="I603" s="376"/>
      <c r="J603" s="376">
        <v>55</v>
      </c>
      <c r="K603" s="376">
        <v>110</v>
      </c>
      <c r="L603" s="376">
        <v>55</v>
      </c>
      <c r="M603" s="376">
        <v>110</v>
      </c>
      <c r="N603" s="376">
        <v>55</v>
      </c>
      <c r="O603" s="376"/>
      <c r="P603" s="378">
        <v>55</v>
      </c>
      <c r="Q603" s="378">
        <v>275</v>
      </c>
      <c r="R603" s="378"/>
      <c r="S603" s="378"/>
      <c r="T603" s="378"/>
      <c r="U603" s="378"/>
      <c r="V603" s="533">
        <v>55</v>
      </c>
      <c r="W603" s="378"/>
      <c r="X603" s="378"/>
      <c r="Y603" s="378">
        <f>IF(NFI_Expiration=1,IF($A603&lt;VLOOKUP(H$5,NFI,5,0),1,0)*Table_NFI[[#This Row],[Hygiene Kit]],Table_NFI[Hygiene Kit])</f>
        <v>0</v>
      </c>
      <c r="Z603" s="378">
        <f>IF(NFI_Expiration=1,IF($A603&lt;VLOOKUP(I$5,NFI,5,0),1,0)*Table_NFI[[#This Row],[NFI Core Kit]],Table_NFI[NFI Core Kit])</f>
        <v>0</v>
      </c>
      <c r="AA603" s="378">
        <f>IF(NFI_Expiration=1,IF($A603&lt;VLOOKUP(J$5,NFI,5,0),1,0)*Table_NFI[[#This Row],[Sanitary Kit]],Table_NFI[Sanitary Kit])</f>
        <v>0</v>
      </c>
      <c r="AB603" s="378">
        <f>IF(NFI_Expiration=1,IF($A603&lt;VLOOKUP(K$5,NFI,5,0),1,0)*Table_NFI[[#This Row],[Mosquito net]],Table_NFI[Mosquito net])</f>
        <v>0</v>
      </c>
      <c r="AC603" s="378">
        <f>IF(NFI_Expiration=1,IF($A603&lt;VLOOKUP(L$5,NFI,5,0),1,0)*Table_NFI[[#This Row],[Tarpaulin]],Table_NFI[[#This Row],[Tarpaulin]])</f>
        <v>0</v>
      </c>
      <c r="AD603" s="378">
        <f>IF(NFI_Expiration=1,IF($A603&lt;VLOOKUP(M$5,NFI,5,0),1,0)*Table_NFI[[#This Row],[Blanket]],Table_NFI[[#This Row],[Blanket]])</f>
        <v>0</v>
      </c>
      <c r="AE603" s="378">
        <f>IF(NFI_Expiration=1,IF($A603&lt;VLOOKUP(N$5,NFI,5,0),1,0)*Table_NFI[[#This Row],[Kitchen Set]],Table_NFI[Kitchen Set])</f>
        <v>0</v>
      </c>
      <c r="AF603" s="378">
        <f>IF(NFI_Expiration=1,IF($A603&lt;VLOOKUP(O$5,NFI,5,0),1,0)*Table_NFI[[#This Row],[Clothes Kit]],Table_NFI[Clothes Kit])</f>
        <v>0</v>
      </c>
      <c r="AG603" s="378">
        <f>IF(NFI_Expiration=1,IF($A603&lt;VLOOKUP(P$5,NFI,5,0),1,0)*Table_NFI[[#This Row],[Plastic Bucket]],Table_NFI[Plastic Bucket])</f>
        <v>0</v>
      </c>
      <c r="AH603" s="378">
        <f>IF(NFI_Expiration=1,IF($A603&lt;VLOOKUP(Q$5,NFI,5,0),1,0)*Table_NFI[[#This Row],[Plastic Mat]],Table_NFI[Plastic Mat])*IF(Table_NFI[[#This Row],[Distribution Date]]&gt;"2014-04-01",1,2.5)</f>
        <v>0</v>
      </c>
      <c r="AI603" s="378">
        <f>IF(NFI_Expiration=1,IF($A603&lt;VLOOKUP(R$5,NFI,5,0),1,0)*Table_NFI[[#This Row],[Winter Clothes Adult]],Table_NFI[Winter Clothes Adult])</f>
        <v>0</v>
      </c>
      <c r="AJ603" s="378">
        <f>IF(NFI_Expiration=1,IF($A603&lt;VLOOKUP(S$5,NFI,5,0),1,0)*Table_NFI[[#This Row],[Winter Clothes Children]],Table_NFI[Winter Clothes Children])</f>
        <v>0</v>
      </c>
      <c r="AK603" s="378">
        <f>IF(NFI_Expiration=1,IF($A603&lt;VLOOKUP(T$5,NFI,5,0),1,0)*Table_NFI[[#This Row],[Winter Items Other]],Table_NFI[Winter Items Other])</f>
        <v>0</v>
      </c>
      <c r="AL603" s="378">
        <f>IF(NFI_Expiration=1,IF($A603&lt;VLOOKUP(M$5,NFI,5,0),1,0)*Table_NFI[[#This Row],[Winter Blanket]],Table_NFI[[#This Row],[Winter Blanket]])</f>
        <v>0</v>
      </c>
      <c r="AM603" s="378">
        <f>IF(Table_NFI[[#This Row],[Winter Clothes Adult]]+Table_NFI[[#This Row],[Winter Clothes Children]]+Table_NFI[[#This Row],[Winter Items Other]]+Table_NFI[[#This Row],[Winter Blanket]]&gt;0,1,0)</f>
        <v>0</v>
      </c>
      <c r="AN603" s="418">
        <f>IF(NFI_Expiration=1,IF($A603&lt;VLOOKUP(V$5,NFI,5,0),1,0)*Table_NFI[[#This Row],[Jerry Can]],Table_NFI[Jerry Can])</f>
        <v>0</v>
      </c>
      <c r="AO603" s="579" t="str">
        <f>IFERROR(VLOOKUP(Table_NFI[[#This Row],[Camp Name]],CL,2,0),"")</f>
        <v>MMR001CMP220</v>
      </c>
      <c r="AP603" s="574">
        <f ca="1">IF(Table_NFI[[#This Row],[Pcode]]="","",IF(OFFSET(CampList[Opening Date],MATCH(Table_NFI[[#This Row],[Pcode]],CampList[CP_Pcode],0)-1,0,1,1)&gt;=NFI_Monitor_Date,1,0))</f>
        <v>0</v>
      </c>
      <c r="AQ603" s="579" t="str">
        <f>IFERROR(VLOOKUP(Table_NFI[[#This Row],[Camp Name]],CL,3,0),"")</f>
        <v>Closed</v>
      </c>
      <c r="AR603" s="378" t="str">
        <f ca="1">IF(Table_NFI[[#This Row],[Pcode]]="","",OFFSET(CampList[Priority],MATCH(Table_NFI[[#This Row],[Pcode]],CampList[CP_Pcode],0)-1,0,1,1))</f>
        <v>P3</v>
      </c>
      <c r="AS603" s="377" t="str">
        <f>IFERROR(Table_NFI[[#This Row],[Kitchen Set]]/VLOOKUP(Table_NFI[[#This Row],[Camp Name]],CL,4,0),"")</f>
        <v/>
      </c>
      <c r="AT603" s="572" t="s">
        <v>1095</v>
      </c>
      <c r="AU603" s="575"/>
    </row>
    <row r="604" spans="1:47" x14ac:dyDescent="0.25">
      <c r="A604" s="381">
        <f t="shared" si="9"/>
        <v>18.966666666666665</v>
      </c>
      <c r="B604" s="571">
        <v>41953</v>
      </c>
      <c r="C604" s="572" t="s">
        <v>1097</v>
      </c>
      <c r="D604" s="572" t="s">
        <v>903</v>
      </c>
      <c r="E604" s="572" t="s">
        <v>380</v>
      </c>
      <c r="F604" s="572" t="s">
        <v>300</v>
      </c>
      <c r="G604" s="572" t="s">
        <v>893</v>
      </c>
      <c r="H604" s="375"/>
      <c r="I604" s="375"/>
      <c r="J604" s="375"/>
      <c r="K604" s="375"/>
      <c r="L604" s="376"/>
      <c r="M604" s="376"/>
      <c r="N604" s="376"/>
      <c r="O604" s="376"/>
      <c r="P604" s="378"/>
      <c r="Q604" s="378"/>
      <c r="R604" s="378">
        <v>52</v>
      </c>
      <c r="S604" s="378">
        <v>16</v>
      </c>
      <c r="T604" s="378"/>
      <c r="U604" s="378"/>
      <c r="V604" s="533"/>
      <c r="W604" s="378"/>
      <c r="X604" s="378"/>
      <c r="Y604" s="378">
        <f>IF(NFI_Expiration=1,IF($A604&lt;VLOOKUP(H$5,NFI,5,0),1,0)*Table_NFI[[#This Row],[Hygiene Kit]],Table_NFI[Hygiene Kit])</f>
        <v>0</v>
      </c>
      <c r="Z604" s="378">
        <f>IF(NFI_Expiration=1,IF($A604&lt;VLOOKUP(I$5,NFI,5,0),1,0)*Table_NFI[[#This Row],[NFI Core Kit]],Table_NFI[NFI Core Kit])</f>
        <v>0</v>
      </c>
      <c r="AA604" s="378">
        <f>IF(NFI_Expiration=1,IF($A604&lt;VLOOKUP(J$5,NFI,5,0),1,0)*Table_NFI[[#This Row],[Sanitary Kit]],Table_NFI[Sanitary Kit])</f>
        <v>0</v>
      </c>
      <c r="AB604" s="378">
        <f>IF(NFI_Expiration=1,IF($A604&lt;VLOOKUP(K$5,NFI,5,0),1,0)*Table_NFI[[#This Row],[Mosquito net]],Table_NFI[Mosquito net])</f>
        <v>0</v>
      </c>
      <c r="AC604" s="378">
        <f>IF(NFI_Expiration=1,IF($A604&lt;VLOOKUP(L$5,NFI,5,0),1,0)*Table_NFI[[#This Row],[Tarpaulin]],Table_NFI[[#This Row],[Tarpaulin]])</f>
        <v>0</v>
      </c>
      <c r="AD604" s="378">
        <f>IF(NFI_Expiration=1,IF($A604&lt;VLOOKUP(M$5,NFI,5,0),1,0)*Table_NFI[[#This Row],[Blanket]],Table_NFI[[#This Row],[Blanket]])</f>
        <v>0</v>
      </c>
      <c r="AE604" s="378">
        <f>IF(NFI_Expiration=1,IF($A604&lt;VLOOKUP(N$5,NFI,5,0),1,0)*Table_NFI[[#This Row],[Kitchen Set]],Table_NFI[Kitchen Set])</f>
        <v>0</v>
      </c>
      <c r="AF604" s="378">
        <f>IF(NFI_Expiration=1,IF($A604&lt;VLOOKUP(O$5,NFI,5,0),1,0)*Table_NFI[[#This Row],[Clothes Kit]],Table_NFI[Clothes Kit])</f>
        <v>0</v>
      </c>
      <c r="AG604" s="378">
        <f>IF(NFI_Expiration=1,IF($A604&lt;VLOOKUP(P$5,NFI,5,0),1,0)*Table_NFI[[#This Row],[Plastic Bucket]],Table_NFI[Plastic Bucket])</f>
        <v>0</v>
      </c>
      <c r="AH604" s="378">
        <f>IF(NFI_Expiration=1,IF($A604&lt;VLOOKUP(Q$5,NFI,5,0),1,0)*Table_NFI[[#This Row],[Plastic Mat]],Table_NFI[Plastic Mat])*IF(Table_NFI[[#This Row],[Distribution Date]]&gt;"2014-04-01",1,2.5)</f>
        <v>0</v>
      </c>
      <c r="AI604" s="378">
        <f>IF(NFI_Expiration=1,IF($A604&lt;VLOOKUP(R$5,NFI,5,0),1,0)*Table_NFI[[#This Row],[Winter Clothes Adult]],Table_NFI[Winter Clothes Adult])</f>
        <v>0</v>
      </c>
      <c r="AJ604" s="378">
        <f>IF(NFI_Expiration=1,IF($A604&lt;VLOOKUP(S$5,NFI,5,0),1,0)*Table_NFI[[#This Row],[Winter Clothes Children]],Table_NFI[Winter Clothes Children])</f>
        <v>0</v>
      </c>
      <c r="AK604" s="378">
        <f>IF(NFI_Expiration=1,IF($A604&lt;VLOOKUP(T$5,NFI,5,0),1,0)*Table_NFI[[#This Row],[Winter Items Other]],Table_NFI[Winter Items Other])</f>
        <v>0</v>
      </c>
      <c r="AL604" s="378">
        <f>IF(NFI_Expiration=1,IF($A604&lt;VLOOKUP(M$5,NFI,5,0),1,0)*Table_NFI[[#This Row],[Winter Blanket]],Table_NFI[[#This Row],[Winter Blanket]])</f>
        <v>0</v>
      </c>
      <c r="AM604" s="378">
        <f>IF(Table_NFI[[#This Row],[Winter Clothes Adult]]+Table_NFI[[#This Row],[Winter Clothes Children]]+Table_NFI[[#This Row],[Winter Items Other]]+Table_NFI[[#This Row],[Winter Blanket]]&gt;0,1,0)</f>
        <v>1</v>
      </c>
      <c r="AN604" s="418">
        <f>IF(NFI_Expiration=1,IF($A604&lt;VLOOKUP(V$5,NFI,5,0),1,0)*Table_NFI[[#This Row],[Jerry Can]],Table_NFI[Jerry Can])</f>
        <v>0</v>
      </c>
      <c r="AO604" s="579" t="str">
        <f>IFERROR(VLOOKUP(Table_NFI[[#This Row],[Camp Name]],CL,2,0),"")</f>
        <v>MMR001CMP220</v>
      </c>
      <c r="AP604" s="574">
        <f ca="1">IF(Table_NFI[[#This Row],[Pcode]]="","",IF(OFFSET(CampList[Opening Date],MATCH(Table_NFI[[#This Row],[Pcode]],CampList[CP_Pcode],0)-1,0,1,1)&gt;=NFI_Monitor_Date,1,0))</f>
        <v>0</v>
      </c>
      <c r="AQ604" s="579" t="str">
        <f>IFERROR(VLOOKUP(Table_NFI[[#This Row],[Camp Name]],CL,3,0),"")</f>
        <v>Closed</v>
      </c>
      <c r="AR604" s="378" t="str">
        <f ca="1">IF(Table_NFI[[#This Row],[Pcode]]="","",OFFSET(CampList[Priority],MATCH(Table_NFI[[#This Row],[Pcode]],CampList[CP_Pcode],0)-1,0,1,1))</f>
        <v>P3</v>
      </c>
      <c r="AS604" s="377" t="str">
        <f>IFERROR(Table_NFI[[#This Row],[Kitchen Set]]/VLOOKUP(Table_NFI[[#This Row],[Camp Name]],CL,4,0),"")</f>
        <v/>
      </c>
      <c r="AT604" s="572"/>
      <c r="AU604" s="575"/>
    </row>
    <row r="605" spans="1:47" x14ac:dyDescent="0.25">
      <c r="A605" s="381">
        <f t="shared" si="9"/>
        <v>28.766666666666666</v>
      </c>
      <c r="B605" s="571">
        <v>41659</v>
      </c>
      <c r="C605" s="572" t="s">
        <v>1097</v>
      </c>
      <c r="D605" s="572" t="s">
        <v>903</v>
      </c>
      <c r="E605" s="572" t="s">
        <v>380</v>
      </c>
      <c r="F605" s="572" t="s">
        <v>300</v>
      </c>
      <c r="G605" s="572" t="s">
        <v>893</v>
      </c>
      <c r="H605" s="375"/>
      <c r="I605" s="375"/>
      <c r="J605" s="375"/>
      <c r="K605" s="375">
        <v>17</v>
      </c>
      <c r="L605" s="376">
        <v>34</v>
      </c>
      <c r="M605" s="376">
        <v>34</v>
      </c>
      <c r="N605" s="376">
        <v>17</v>
      </c>
      <c r="O605" s="376"/>
      <c r="P605" s="378"/>
      <c r="Q605" s="378"/>
      <c r="R605" s="378">
        <v>31</v>
      </c>
      <c r="S605" s="378">
        <v>28</v>
      </c>
      <c r="T605" s="378"/>
      <c r="U605" s="378"/>
      <c r="V605" s="533"/>
      <c r="W605" s="378"/>
      <c r="X605" s="378"/>
      <c r="Y605" s="378">
        <f>IF(NFI_Expiration=1,IF($A605&lt;VLOOKUP(H$5,NFI,5,0),1,0)*Table_NFI[[#This Row],[Hygiene Kit]],Table_NFI[Hygiene Kit])</f>
        <v>0</v>
      </c>
      <c r="Z605" s="378">
        <f>IF(NFI_Expiration=1,IF($A605&lt;VLOOKUP(I$5,NFI,5,0),1,0)*Table_NFI[[#This Row],[NFI Core Kit]],Table_NFI[NFI Core Kit])</f>
        <v>0</v>
      </c>
      <c r="AA605" s="378">
        <f>IF(NFI_Expiration=1,IF($A605&lt;VLOOKUP(J$5,NFI,5,0),1,0)*Table_NFI[[#This Row],[Sanitary Kit]],Table_NFI[Sanitary Kit])</f>
        <v>0</v>
      </c>
      <c r="AB605" s="378">
        <f>IF(NFI_Expiration=1,IF($A605&lt;VLOOKUP(K$5,NFI,5,0),1,0)*Table_NFI[[#This Row],[Mosquito net]],Table_NFI[Mosquito net])</f>
        <v>0</v>
      </c>
      <c r="AC605" s="378">
        <f>IF(NFI_Expiration=1,IF($A605&lt;VLOOKUP(L$5,NFI,5,0),1,0)*Table_NFI[[#This Row],[Tarpaulin]],Table_NFI[[#This Row],[Tarpaulin]])</f>
        <v>0</v>
      </c>
      <c r="AD605" s="378">
        <f>IF(NFI_Expiration=1,IF($A605&lt;VLOOKUP(M$5,NFI,5,0),1,0)*Table_NFI[[#This Row],[Blanket]],Table_NFI[[#This Row],[Blanket]])</f>
        <v>0</v>
      </c>
      <c r="AE605" s="378">
        <f>IF(NFI_Expiration=1,IF($A605&lt;VLOOKUP(N$5,NFI,5,0),1,0)*Table_NFI[[#This Row],[Kitchen Set]],Table_NFI[Kitchen Set])</f>
        <v>0</v>
      </c>
      <c r="AF605" s="378">
        <f>IF(NFI_Expiration=1,IF($A605&lt;VLOOKUP(O$5,NFI,5,0),1,0)*Table_NFI[[#This Row],[Clothes Kit]],Table_NFI[Clothes Kit])</f>
        <v>0</v>
      </c>
      <c r="AG605" s="378">
        <f>IF(NFI_Expiration=1,IF($A605&lt;VLOOKUP(P$5,NFI,5,0),1,0)*Table_NFI[[#This Row],[Plastic Bucket]],Table_NFI[Plastic Bucket])</f>
        <v>0</v>
      </c>
      <c r="AH605" s="378">
        <f>IF(NFI_Expiration=1,IF($A605&lt;VLOOKUP(Q$5,NFI,5,0),1,0)*Table_NFI[[#This Row],[Plastic Mat]],Table_NFI[Plastic Mat])*IF(Table_NFI[[#This Row],[Distribution Date]]&gt;"2014-04-01",1,2.5)</f>
        <v>0</v>
      </c>
      <c r="AI605" s="378">
        <f>IF(NFI_Expiration=1,IF($A605&lt;VLOOKUP(R$5,NFI,5,0),1,0)*Table_NFI[[#This Row],[Winter Clothes Adult]],Table_NFI[Winter Clothes Adult])</f>
        <v>0</v>
      </c>
      <c r="AJ605" s="378">
        <f>IF(NFI_Expiration=1,IF($A605&lt;VLOOKUP(S$5,NFI,5,0),1,0)*Table_NFI[[#This Row],[Winter Clothes Children]],Table_NFI[Winter Clothes Children])</f>
        <v>0</v>
      </c>
      <c r="AK605" s="378">
        <f>IF(NFI_Expiration=1,IF($A605&lt;VLOOKUP(T$5,NFI,5,0),1,0)*Table_NFI[[#This Row],[Winter Items Other]],Table_NFI[Winter Items Other])</f>
        <v>0</v>
      </c>
      <c r="AL605" s="378">
        <f>IF(NFI_Expiration=1,IF($A605&lt;VLOOKUP(M$5,NFI,5,0),1,0)*Table_NFI[[#This Row],[Winter Blanket]],Table_NFI[[#This Row],[Winter Blanket]])</f>
        <v>0</v>
      </c>
      <c r="AM605" s="378">
        <f>IF(Table_NFI[[#This Row],[Winter Clothes Adult]]+Table_NFI[[#This Row],[Winter Clothes Children]]+Table_NFI[[#This Row],[Winter Items Other]]+Table_NFI[[#This Row],[Winter Blanket]]&gt;0,1,0)</f>
        <v>1</v>
      </c>
      <c r="AN605" s="418">
        <f>IF(NFI_Expiration=1,IF($A605&lt;VLOOKUP(V$5,NFI,5,0),1,0)*Table_NFI[[#This Row],[Jerry Can]],Table_NFI[Jerry Can])</f>
        <v>0</v>
      </c>
      <c r="AO605" s="579" t="str">
        <f>IFERROR(VLOOKUP(Table_NFI[[#This Row],[Camp Name]],CL,2,0),"")</f>
        <v>MMR001CMP220</v>
      </c>
      <c r="AP605" s="574">
        <f ca="1">IF(Table_NFI[[#This Row],[Pcode]]="","",IF(OFFSET(CampList[Opening Date],MATCH(Table_NFI[[#This Row],[Pcode]],CampList[CP_Pcode],0)-1,0,1,1)&gt;=NFI_Monitor_Date,1,0))</f>
        <v>0</v>
      </c>
      <c r="AQ605" s="579" t="str">
        <f>IFERROR(VLOOKUP(Table_NFI[[#This Row],[Camp Name]],CL,3,0),"")</f>
        <v>Closed</v>
      </c>
      <c r="AR605" s="378" t="str">
        <f ca="1">IF(Table_NFI[[#This Row],[Pcode]]="","",OFFSET(CampList[Priority],MATCH(Table_NFI[[#This Row],[Pcode]],CampList[CP_Pcode],0)-1,0,1,1))</f>
        <v>P3</v>
      </c>
      <c r="AS605" s="377" t="str">
        <f>IFERROR(Table_NFI[[#This Row],[Kitchen Set]]/VLOOKUP(Table_NFI[[#This Row],[Camp Name]],CL,4,0),"")</f>
        <v/>
      </c>
      <c r="AT605" s="572"/>
      <c r="AU605" s="575"/>
    </row>
    <row r="606" spans="1:47" x14ac:dyDescent="0.25">
      <c r="A606" s="381">
        <f t="shared" si="9"/>
        <v>20.3</v>
      </c>
      <c r="B606" s="571">
        <v>41913</v>
      </c>
      <c r="C606" s="572" t="s">
        <v>454</v>
      </c>
      <c r="D606" s="577" t="s">
        <v>507</v>
      </c>
      <c r="E606" s="577" t="s">
        <v>380</v>
      </c>
      <c r="F606" s="577" t="s">
        <v>310</v>
      </c>
      <c r="G606" s="577" t="s">
        <v>344</v>
      </c>
      <c r="H606" s="376"/>
      <c r="I606" s="376"/>
      <c r="J606" s="376"/>
      <c r="K606" s="376">
        <v>36</v>
      </c>
      <c r="L606" s="376"/>
      <c r="M606" s="376"/>
      <c r="N606" s="376"/>
      <c r="O606" s="376"/>
      <c r="P606" s="378"/>
      <c r="Q606" s="378"/>
      <c r="R606" s="378"/>
      <c r="S606" s="378"/>
      <c r="T606" s="378"/>
      <c r="U606" s="378"/>
      <c r="V606" s="533"/>
      <c r="W606" s="378"/>
      <c r="X606" s="378"/>
      <c r="Y606" s="378">
        <f>IF(NFI_Expiration=1,IF($A606&lt;VLOOKUP(H$5,NFI,5,0),1,0)*Table_NFI[[#This Row],[Hygiene Kit]],Table_NFI[Hygiene Kit])</f>
        <v>0</v>
      </c>
      <c r="Z606" s="378">
        <f>IF(NFI_Expiration=1,IF($A606&lt;VLOOKUP(I$5,NFI,5,0),1,0)*Table_NFI[[#This Row],[NFI Core Kit]],Table_NFI[NFI Core Kit])</f>
        <v>0</v>
      </c>
      <c r="AA606" s="378">
        <f>IF(NFI_Expiration=1,IF($A606&lt;VLOOKUP(J$5,NFI,5,0),1,0)*Table_NFI[[#This Row],[Sanitary Kit]],Table_NFI[Sanitary Kit])</f>
        <v>0</v>
      </c>
      <c r="AB606" s="378">
        <f>IF(NFI_Expiration=1,IF($A606&lt;VLOOKUP(K$5,NFI,5,0),1,0)*Table_NFI[[#This Row],[Mosquito net]],Table_NFI[Mosquito net])</f>
        <v>0</v>
      </c>
      <c r="AC606" s="378">
        <f>IF(NFI_Expiration=1,IF($A606&lt;VLOOKUP(L$5,NFI,5,0),1,0)*Table_NFI[[#This Row],[Tarpaulin]],Table_NFI[[#This Row],[Tarpaulin]])</f>
        <v>0</v>
      </c>
      <c r="AD606" s="378">
        <f>IF(NFI_Expiration=1,IF($A606&lt;VLOOKUP(M$5,NFI,5,0),1,0)*Table_NFI[[#This Row],[Blanket]],Table_NFI[[#This Row],[Blanket]])</f>
        <v>0</v>
      </c>
      <c r="AE606" s="378">
        <f>IF(NFI_Expiration=1,IF($A606&lt;VLOOKUP(N$5,NFI,5,0),1,0)*Table_NFI[[#This Row],[Kitchen Set]],Table_NFI[Kitchen Set])</f>
        <v>0</v>
      </c>
      <c r="AF606" s="378">
        <f>IF(NFI_Expiration=1,IF($A606&lt;VLOOKUP(O$5,NFI,5,0),1,0)*Table_NFI[[#This Row],[Clothes Kit]],Table_NFI[Clothes Kit])</f>
        <v>0</v>
      </c>
      <c r="AG606" s="378">
        <f>IF(NFI_Expiration=1,IF($A606&lt;VLOOKUP(P$5,NFI,5,0),1,0)*Table_NFI[[#This Row],[Plastic Bucket]],Table_NFI[Plastic Bucket])</f>
        <v>0</v>
      </c>
      <c r="AH606" s="378">
        <f>IF(NFI_Expiration=1,IF($A606&lt;VLOOKUP(Q$5,NFI,5,0),1,0)*Table_NFI[[#This Row],[Plastic Mat]],Table_NFI[Plastic Mat])*IF(Table_NFI[[#This Row],[Distribution Date]]&gt;"2014-04-01",1,2.5)</f>
        <v>0</v>
      </c>
      <c r="AI606" s="378">
        <f>IF(NFI_Expiration=1,IF($A606&lt;VLOOKUP(R$5,NFI,5,0),1,0)*Table_NFI[[#This Row],[Winter Clothes Adult]],Table_NFI[Winter Clothes Adult])</f>
        <v>0</v>
      </c>
      <c r="AJ606" s="378">
        <f>IF(NFI_Expiration=1,IF($A606&lt;VLOOKUP(S$5,NFI,5,0),1,0)*Table_NFI[[#This Row],[Winter Clothes Children]],Table_NFI[Winter Clothes Children])</f>
        <v>0</v>
      </c>
      <c r="AK606" s="378">
        <f>IF(NFI_Expiration=1,IF($A606&lt;VLOOKUP(T$5,NFI,5,0),1,0)*Table_NFI[[#This Row],[Winter Items Other]],Table_NFI[Winter Items Other])</f>
        <v>0</v>
      </c>
      <c r="AL606" s="378">
        <f>IF(NFI_Expiration=1,IF($A606&lt;VLOOKUP(M$5,NFI,5,0),1,0)*Table_NFI[[#This Row],[Winter Blanket]],Table_NFI[[#This Row],[Winter Blanket]])</f>
        <v>0</v>
      </c>
      <c r="AM606" s="378">
        <f>IF(Table_NFI[[#This Row],[Winter Clothes Adult]]+Table_NFI[[#This Row],[Winter Clothes Children]]+Table_NFI[[#This Row],[Winter Items Other]]+Table_NFI[[#This Row],[Winter Blanket]]&gt;0,1,0)</f>
        <v>0</v>
      </c>
      <c r="AN606" s="418">
        <f>IF(NFI_Expiration=1,IF($A606&lt;VLOOKUP(V$5,NFI,5,0),1,0)*Table_NFI[[#This Row],[Jerry Can]],Table_NFI[Jerry Can])</f>
        <v>0</v>
      </c>
      <c r="AO606" s="579" t="str">
        <f>IFERROR(VLOOKUP(Table_NFI[[#This Row],[Camp Name]],CL,2,0),"")</f>
        <v>MMR001CMP033</v>
      </c>
      <c r="AP606" s="574">
        <f ca="1">IF(Table_NFI[[#This Row],[Pcode]]="","",IF(OFFSET(CampList[Opening Date],MATCH(Table_NFI[[#This Row],[Pcode]],CampList[CP_Pcode],0)-1,0,1,1)&gt;=NFI_Monitor_Date,1,0))</f>
        <v>0</v>
      </c>
      <c r="AQ606" s="579" t="str">
        <f>IFERROR(VLOOKUP(Table_NFI[[#This Row],[Camp Name]],CL,3,0),"")</f>
        <v>Open</v>
      </c>
      <c r="AR606" s="378" t="str">
        <f ca="1">IF(Table_NFI[[#This Row],[Pcode]]="","",OFFSET(CampList[Priority],MATCH(Table_NFI[[#This Row],[Pcode]],CampList[CP_Pcode],0)-1,0,1,1))</f>
        <v>P4</v>
      </c>
      <c r="AS606" s="377">
        <f>IFERROR(Table_NFI[[#This Row],[Kitchen Set]]/VLOOKUP(Table_NFI[[#This Row],[Camp Name]],CL,4,0),"")</f>
        <v>0</v>
      </c>
      <c r="AT606" s="577"/>
      <c r="AU606" s="580"/>
    </row>
    <row r="607" spans="1:47" x14ac:dyDescent="0.25">
      <c r="A607" s="381">
        <f t="shared" si="9"/>
        <v>24.566666666666666</v>
      </c>
      <c r="B607" s="571">
        <v>41785</v>
      </c>
      <c r="C607" s="572" t="s">
        <v>1107</v>
      </c>
      <c r="D607" s="572" t="s">
        <v>903</v>
      </c>
      <c r="E607" s="572" t="s">
        <v>380</v>
      </c>
      <c r="F607" s="572" t="s">
        <v>310</v>
      </c>
      <c r="G607" s="572" t="s">
        <v>344</v>
      </c>
      <c r="H607" s="375"/>
      <c r="I607" s="375"/>
      <c r="J607" s="375"/>
      <c r="K607" s="375"/>
      <c r="L607" s="376"/>
      <c r="M607" s="376"/>
      <c r="N607" s="376"/>
      <c r="O607" s="376"/>
      <c r="P607" s="378"/>
      <c r="Q607" s="378"/>
      <c r="R607" s="378"/>
      <c r="S607" s="378"/>
      <c r="T607" s="378"/>
      <c r="U607" s="378">
        <v>36</v>
      </c>
      <c r="V607" s="533"/>
      <c r="W607" s="378"/>
      <c r="X607" s="378"/>
      <c r="Y607" s="378">
        <f>IF(NFI_Expiration=1,IF($A607&lt;VLOOKUP(H$5,NFI,5,0),1,0)*Table_NFI[[#This Row],[Hygiene Kit]],Table_NFI[Hygiene Kit])</f>
        <v>0</v>
      </c>
      <c r="Z607" s="378">
        <f>IF(NFI_Expiration=1,IF($A607&lt;VLOOKUP(I$5,NFI,5,0),1,0)*Table_NFI[[#This Row],[NFI Core Kit]],Table_NFI[NFI Core Kit])</f>
        <v>0</v>
      </c>
      <c r="AA607" s="378">
        <f>IF(NFI_Expiration=1,IF($A607&lt;VLOOKUP(J$5,NFI,5,0),1,0)*Table_NFI[[#This Row],[Sanitary Kit]],Table_NFI[Sanitary Kit])</f>
        <v>0</v>
      </c>
      <c r="AB607" s="378">
        <f>IF(NFI_Expiration=1,IF($A607&lt;VLOOKUP(K$5,NFI,5,0),1,0)*Table_NFI[[#This Row],[Mosquito net]],Table_NFI[Mosquito net])</f>
        <v>0</v>
      </c>
      <c r="AC607" s="378">
        <f>IF(NFI_Expiration=1,IF($A607&lt;VLOOKUP(L$5,NFI,5,0),1,0)*Table_NFI[[#This Row],[Tarpaulin]],Table_NFI[[#This Row],[Tarpaulin]])</f>
        <v>0</v>
      </c>
      <c r="AD607" s="378">
        <f>IF(NFI_Expiration=1,IF($A607&lt;VLOOKUP(M$5,NFI,5,0),1,0)*Table_NFI[[#This Row],[Blanket]],Table_NFI[[#This Row],[Blanket]])</f>
        <v>0</v>
      </c>
      <c r="AE607" s="378">
        <f>IF(NFI_Expiration=1,IF($A607&lt;VLOOKUP(N$5,NFI,5,0),1,0)*Table_NFI[[#This Row],[Kitchen Set]],Table_NFI[Kitchen Set])</f>
        <v>0</v>
      </c>
      <c r="AF607" s="378">
        <f>IF(NFI_Expiration=1,IF($A607&lt;VLOOKUP(O$5,NFI,5,0),1,0)*Table_NFI[[#This Row],[Clothes Kit]],Table_NFI[Clothes Kit])</f>
        <v>0</v>
      </c>
      <c r="AG607" s="378">
        <f>IF(NFI_Expiration=1,IF($A607&lt;VLOOKUP(P$5,NFI,5,0),1,0)*Table_NFI[[#This Row],[Plastic Bucket]],Table_NFI[Plastic Bucket])</f>
        <v>0</v>
      </c>
      <c r="AH607" s="378">
        <f>IF(NFI_Expiration=1,IF($A607&lt;VLOOKUP(Q$5,NFI,5,0),1,0)*Table_NFI[[#This Row],[Plastic Mat]],Table_NFI[Plastic Mat])*IF(Table_NFI[[#This Row],[Distribution Date]]&gt;"2014-04-01",1,2.5)</f>
        <v>0</v>
      </c>
      <c r="AI607" s="378">
        <f>IF(NFI_Expiration=1,IF($A607&lt;VLOOKUP(R$5,NFI,5,0),1,0)*Table_NFI[[#This Row],[Winter Clothes Adult]],Table_NFI[Winter Clothes Adult])</f>
        <v>0</v>
      </c>
      <c r="AJ607" s="378">
        <f>IF(NFI_Expiration=1,IF($A607&lt;VLOOKUP(S$5,NFI,5,0),1,0)*Table_NFI[[#This Row],[Winter Clothes Children]],Table_NFI[Winter Clothes Children])</f>
        <v>0</v>
      </c>
      <c r="AK607" s="378">
        <f>IF(NFI_Expiration=1,IF($A607&lt;VLOOKUP(T$5,NFI,5,0),1,0)*Table_NFI[[#This Row],[Winter Items Other]],Table_NFI[Winter Items Other])</f>
        <v>0</v>
      </c>
      <c r="AL607" s="378">
        <f>IF(NFI_Expiration=1,IF($A607&lt;VLOOKUP(M$5,NFI,5,0),1,0)*Table_NFI[[#This Row],[Winter Blanket]],Table_NFI[[#This Row],[Winter Blanket]])</f>
        <v>0</v>
      </c>
      <c r="AM607" s="378">
        <f>IF(Table_NFI[[#This Row],[Winter Clothes Adult]]+Table_NFI[[#This Row],[Winter Clothes Children]]+Table_NFI[[#This Row],[Winter Items Other]]+Table_NFI[[#This Row],[Winter Blanket]]&gt;0,1,0)</f>
        <v>1</v>
      </c>
      <c r="AN607" s="418">
        <f>IF(NFI_Expiration=1,IF($A607&lt;VLOOKUP(V$5,NFI,5,0),1,0)*Table_NFI[[#This Row],[Jerry Can]],Table_NFI[Jerry Can])</f>
        <v>0</v>
      </c>
      <c r="AO607" s="579" t="str">
        <f>IFERROR(VLOOKUP(Table_NFI[[#This Row],[Camp Name]],CL,2,0),"")</f>
        <v>MMR001CMP033</v>
      </c>
      <c r="AP607" s="574">
        <f ca="1">IF(Table_NFI[[#This Row],[Pcode]]="","",IF(OFFSET(CampList[Opening Date],MATCH(Table_NFI[[#This Row],[Pcode]],CampList[CP_Pcode],0)-1,0,1,1)&gt;=NFI_Monitor_Date,1,0))</f>
        <v>0</v>
      </c>
      <c r="AQ607" s="579" t="str">
        <f>IFERROR(VLOOKUP(Table_NFI[[#This Row],[Camp Name]],CL,3,0),"")</f>
        <v>Open</v>
      </c>
      <c r="AR607" s="378" t="str">
        <f ca="1">IF(Table_NFI[[#This Row],[Pcode]]="","",OFFSET(CampList[Priority],MATCH(Table_NFI[[#This Row],[Pcode]],CampList[CP_Pcode],0)-1,0,1,1))</f>
        <v>P4</v>
      </c>
      <c r="AS607" s="377">
        <f>IFERROR(Table_NFI[[#This Row],[Kitchen Set]]/VLOOKUP(Table_NFI[[#This Row],[Camp Name]],CL,4,0),"")</f>
        <v>0</v>
      </c>
      <c r="AT607" s="572"/>
      <c r="AU607" s="575"/>
    </row>
    <row r="608" spans="1:47" x14ac:dyDescent="0.25">
      <c r="A608" s="381">
        <f t="shared" si="9"/>
        <v>24.166666666666668</v>
      </c>
      <c r="B608" s="571">
        <v>41797</v>
      </c>
      <c r="C608" s="572" t="s">
        <v>1107</v>
      </c>
      <c r="D608" s="572" t="s">
        <v>903</v>
      </c>
      <c r="E608" s="572" t="s">
        <v>380</v>
      </c>
      <c r="F608" s="572" t="s">
        <v>180</v>
      </c>
      <c r="G608" s="572" t="s">
        <v>287</v>
      </c>
      <c r="H608" s="375"/>
      <c r="I608" s="375"/>
      <c r="J608" s="375"/>
      <c r="K608" s="375"/>
      <c r="L608" s="376"/>
      <c r="M608" s="376"/>
      <c r="N608" s="376"/>
      <c r="O608" s="376"/>
      <c r="P608" s="378"/>
      <c r="Q608" s="378"/>
      <c r="R608" s="378"/>
      <c r="S608" s="378"/>
      <c r="T608" s="378"/>
      <c r="U608" s="378">
        <v>40</v>
      </c>
      <c r="V608" s="533"/>
      <c r="W608" s="378"/>
      <c r="X608" s="378"/>
      <c r="Y608" s="378">
        <f>IF(NFI_Expiration=1,IF($A608&lt;VLOOKUP(H$5,NFI,5,0),1,0)*Table_NFI[[#This Row],[Hygiene Kit]],Table_NFI[Hygiene Kit])</f>
        <v>0</v>
      </c>
      <c r="Z608" s="378">
        <f>IF(NFI_Expiration=1,IF($A608&lt;VLOOKUP(I$5,NFI,5,0),1,0)*Table_NFI[[#This Row],[NFI Core Kit]],Table_NFI[NFI Core Kit])</f>
        <v>0</v>
      </c>
      <c r="AA608" s="378">
        <f>IF(NFI_Expiration=1,IF($A608&lt;VLOOKUP(J$5,NFI,5,0),1,0)*Table_NFI[[#This Row],[Sanitary Kit]],Table_NFI[Sanitary Kit])</f>
        <v>0</v>
      </c>
      <c r="AB608" s="378">
        <f>IF(NFI_Expiration=1,IF($A608&lt;VLOOKUP(K$5,NFI,5,0),1,0)*Table_NFI[[#This Row],[Mosquito net]],Table_NFI[Mosquito net])</f>
        <v>0</v>
      </c>
      <c r="AC608" s="378">
        <f>IF(NFI_Expiration=1,IF($A608&lt;VLOOKUP(L$5,NFI,5,0),1,0)*Table_NFI[[#This Row],[Tarpaulin]],Table_NFI[[#This Row],[Tarpaulin]])</f>
        <v>0</v>
      </c>
      <c r="AD608" s="378">
        <f>IF(NFI_Expiration=1,IF($A608&lt;VLOOKUP(M$5,NFI,5,0),1,0)*Table_NFI[[#This Row],[Blanket]],Table_NFI[[#This Row],[Blanket]])</f>
        <v>0</v>
      </c>
      <c r="AE608" s="378">
        <f>IF(NFI_Expiration=1,IF($A608&lt;VLOOKUP(N$5,NFI,5,0),1,0)*Table_NFI[[#This Row],[Kitchen Set]],Table_NFI[Kitchen Set])</f>
        <v>0</v>
      </c>
      <c r="AF608" s="378">
        <f>IF(NFI_Expiration=1,IF($A608&lt;VLOOKUP(O$5,NFI,5,0),1,0)*Table_NFI[[#This Row],[Clothes Kit]],Table_NFI[Clothes Kit])</f>
        <v>0</v>
      </c>
      <c r="AG608" s="378">
        <f>IF(NFI_Expiration=1,IF($A608&lt;VLOOKUP(P$5,NFI,5,0),1,0)*Table_NFI[[#This Row],[Plastic Bucket]],Table_NFI[Plastic Bucket])</f>
        <v>0</v>
      </c>
      <c r="AH608" s="378">
        <f>IF(NFI_Expiration=1,IF($A608&lt;VLOOKUP(Q$5,NFI,5,0),1,0)*Table_NFI[[#This Row],[Plastic Mat]],Table_NFI[Plastic Mat])*IF(Table_NFI[[#This Row],[Distribution Date]]&gt;"2014-04-01",1,2.5)</f>
        <v>0</v>
      </c>
      <c r="AI608" s="378">
        <f>IF(NFI_Expiration=1,IF($A608&lt;VLOOKUP(R$5,NFI,5,0),1,0)*Table_NFI[[#This Row],[Winter Clothes Adult]],Table_NFI[Winter Clothes Adult])</f>
        <v>0</v>
      </c>
      <c r="AJ608" s="378">
        <f>IF(NFI_Expiration=1,IF($A608&lt;VLOOKUP(S$5,NFI,5,0),1,0)*Table_NFI[[#This Row],[Winter Clothes Children]],Table_NFI[Winter Clothes Children])</f>
        <v>0</v>
      </c>
      <c r="AK608" s="378">
        <f>IF(NFI_Expiration=1,IF($A608&lt;VLOOKUP(T$5,NFI,5,0),1,0)*Table_NFI[[#This Row],[Winter Items Other]],Table_NFI[Winter Items Other])</f>
        <v>0</v>
      </c>
      <c r="AL608" s="378">
        <f>IF(NFI_Expiration=1,IF($A608&lt;VLOOKUP(M$5,NFI,5,0),1,0)*Table_NFI[[#This Row],[Winter Blanket]],Table_NFI[[#This Row],[Winter Blanket]])</f>
        <v>0</v>
      </c>
      <c r="AM608" s="378">
        <f>IF(Table_NFI[[#This Row],[Winter Clothes Adult]]+Table_NFI[[#This Row],[Winter Clothes Children]]+Table_NFI[[#This Row],[Winter Items Other]]+Table_NFI[[#This Row],[Winter Blanket]]&gt;0,1,0)</f>
        <v>1</v>
      </c>
      <c r="AN608" s="418">
        <f>IF(NFI_Expiration=1,IF($A608&lt;VLOOKUP(V$5,NFI,5,0),1,0)*Table_NFI[[#This Row],[Jerry Can]],Table_NFI[Jerry Can])</f>
        <v>0</v>
      </c>
      <c r="AO608" s="579" t="str">
        <f>IFERROR(VLOOKUP(Table_NFI[[#This Row],[Camp Name]],CL,2,0),"")</f>
        <v>MMR001CMP152</v>
      </c>
      <c r="AP608" s="574">
        <f ca="1">IF(Table_NFI[[#This Row],[Pcode]]="","",IF(OFFSET(CampList[Opening Date],MATCH(Table_NFI[[#This Row],[Pcode]],CampList[CP_Pcode],0)-1,0,1,1)&gt;=NFI_Monitor_Date,1,0))</f>
        <v>0</v>
      </c>
      <c r="AQ608" s="579" t="str">
        <f>IFERROR(VLOOKUP(Table_NFI[[#This Row],[Camp Name]],CL,3,0),"")</f>
        <v>Open</v>
      </c>
      <c r="AR608" s="378" t="str">
        <f ca="1">IF(Table_NFI[[#This Row],[Pcode]]="","",OFFSET(CampList[Priority],MATCH(Table_NFI[[#This Row],[Pcode]],CampList[CP_Pcode],0)-1,0,1,1))</f>
        <v>P4</v>
      </c>
      <c r="AS608" s="377">
        <f>IFERROR(Table_NFI[[#This Row],[Kitchen Set]]/VLOOKUP(Table_NFI[[#This Row],[Camp Name]],CL,4,0),"")</f>
        <v>0</v>
      </c>
      <c r="AT608" s="572"/>
      <c r="AU608" s="575"/>
    </row>
    <row r="609" spans="1:47" x14ac:dyDescent="0.25">
      <c r="A609" s="381">
        <f t="shared" si="9"/>
        <v>36.866666666666667</v>
      </c>
      <c r="B609" s="571">
        <v>41416</v>
      </c>
      <c r="C609" s="572" t="s">
        <v>454</v>
      </c>
      <c r="D609" s="572" t="s">
        <v>454</v>
      </c>
      <c r="E609" s="572" t="s">
        <v>380</v>
      </c>
      <c r="F609" s="572" t="s">
        <v>529</v>
      </c>
      <c r="G609" s="374" t="s">
        <v>110</v>
      </c>
      <c r="H609" s="375"/>
      <c r="I609" s="375"/>
      <c r="J609" s="375">
        <v>273</v>
      </c>
      <c r="K609" s="375">
        <v>339</v>
      </c>
      <c r="L609" s="376">
        <v>151</v>
      </c>
      <c r="M609" s="376">
        <v>339</v>
      </c>
      <c r="N609" s="376">
        <v>151</v>
      </c>
      <c r="O609" s="376">
        <v>151</v>
      </c>
      <c r="P609" s="378">
        <v>151</v>
      </c>
      <c r="Q609" s="378">
        <v>151</v>
      </c>
      <c r="R609" s="378"/>
      <c r="S609" s="378"/>
      <c r="T609" s="378"/>
      <c r="U609" s="378"/>
      <c r="V609" s="533"/>
      <c r="W609" s="378"/>
      <c r="X609" s="378"/>
      <c r="Y609" s="378">
        <f>IF(NFI_Expiration=1,IF($A609&lt;VLOOKUP(H$5,NFI,5,0),1,0)*Table_NFI[[#This Row],[Hygiene Kit]],Table_NFI[Hygiene Kit])</f>
        <v>0</v>
      </c>
      <c r="Z609" s="378">
        <f>IF(NFI_Expiration=1,IF($A609&lt;VLOOKUP(I$5,NFI,5,0),1,0)*Table_NFI[[#This Row],[NFI Core Kit]],Table_NFI[NFI Core Kit])</f>
        <v>0</v>
      </c>
      <c r="AA609" s="378">
        <f>IF(NFI_Expiration=1,IF($A609&lt;VLOOKUP(J$5,NFI,5,0),1,0)*Table_NFI[[#This Row],[Sanitary Kit]],Table_NFI[Sanitary Kit])</f>
        <v>0</v>
      </c>
      <c r="AB609" s="378">
        <f>IF(NFI_Expiration=1,IF($A609&lt;VLOOKUP(K$5,NFI,5,0),1,0)*Table_NFI[[#This Row],[Mosquito net]],Table_NFI[Mosquito net])</f>
        <v>0</v>
      </c>
      <c r="AC609" s="378">
        <f>IF(NFI_Expiration=1,IF($A609&lt;VLOOKUP(L$5,NFI,5,0),1,0)*Table_NFI[[#This Row],[Tarpaulin]],Table_NFI[[#This Row],[Tarpaulin]])</f>
        <v>0</v>
      </c>
      <c r="AD609" s="378">
        <f>IF(NFI_Expiration=1,IF($A609&lt;VLOOKUP(M$5,NFI,5,0),1,0)*Table_NFI[[#This Row],[Blanket]],Table_NFI[[#This Row],[Blanket]])</f>
        <v>0</v>
      </c>
      <c r="AE609" s="378">
        <f>IF(NFI_Expiration=1,IF($A609&lt;VLOOKUP(N$5,NFI,5,0),1,0)*Table_NFI[[#This Row],[Kitchen Set]],Table_NFI[Kitchen Set])</f>
        <v>0</v>
      </c>
      <c r="AF609" s="378">
        <f>IF(NFI_Expiration=1,IF($A609&lt;VLOOKUP(O$5,NFI,5,0),1,0)*Table_NFI[[#This Row],[Clothes Kit]],Table_NFI[Clothes Kit])</f>
        <v>0</v>
      </c>
      <c r="AG609" s="378">
        <f>IF(NFI_Expiration=1,IF($A609&lt;VLOOKUP(P$5,NFI,5,0),1,0)*Table_NFI[[#This Row],[Plastic Bucket]],Table_NFI[Plastic Bucket])</f>
        <v>0</v>
      </c>
      <c r="AH609" s="378">
        <f>IF(NFI_Expiration=1,IF($A609&lt;VLOOKUP(Q$5,NFI,5,0),1,0)*Table_NFI[[#This Row],[Plastic Mat]],Table_NFI[Plastic Mat])*IF(Table_NFI[[#This Row],[Distribution Date]]&gt;"2014-04-01",1,2.5)</f>
        <v>0</v>
      </c>
      <c r="AI609" s="378">
        <f>IF(NFI_Expiration=1,IF($A609&lt;VLOOKUP(R$5,NFI,5,0),1,0)*Table_NFI[[#This Row],[Winter Clothes Adult]],Table_NFI[Winter Clothes Adult])</f>
        <v>0</v>
      </c>
      <c r="AJ609" s="378">
        <f>IF(NFI_Expiration=1,IF($A609&lt;VLOOKUP(S$5,NFI,5,0),1,0)*Table_NFI[[#This Row],[Winter Clothes Children]],Table_NFI[Winter Clothes Children])</f>
        <v>0</v>
      </c>
      <c r="AK609" s="378">
        <f>IF(NFI_Expiration=1,IF($A609&lt;VLOOKUP(T$5,NFI,5,0),1,0)*Table_NFI[[#This Row],[Winter Items Other]],Table_NFI[Winter Items Other])</f>
        <v>0</v>
      </c>
      <c r="AL609" s="378">
        <f>IF(NFI_Expiration=1,IF($A609&lt;VLOOKUP(M$5,NFI,5,0),1,0)*Table_NFI[[#This Row],[Winter Blanket]],Table_NFI[[#This Row],[Winter Blanket]])</f>
        <v>0</v>
      </c>
      <c r="AM609" s="378">
        <f>IF(Table_NFI[[#This Row],[Winter Clothes Adult]]+Table_NFI[[#This Row],[Winter Clothes Children]]+Table_NFI[[#This Row],[Winter Items Other]]+Table_NFI[[#This Row],[Winter Blanket]]&gt;0,1,0)</f>
        <v>0</v>
      </c>
      <c r="AN609" s="418">
        <f>IF(NFI_Expiration=1,IF($A609&lt;VLOOKUP(V$5,NFI,5,0),1,0)*Table_NFI[[#This Row],[Jerry Can]],Table_NFI[Jerry Can])</f>
        <v>0</v>
      </c>
      <c r="AO609" s="579" t="str">
        <f>IFERROR(VLOOKUP(Table_NFI[[#This Row],[Camp Name]],CL,2,0),"")</f>
        <v>MMR001CMP082</v>
      </c>
      <c r="AP609" s="574">
        <f ca="1">IF(Table_NFI[[#This Row],[Pcode]]="","",IF(OFFSET(CampList[Opening Date],MATCH(Table_NFI[[#This Row],[Pcode]],CampList[CP_Pcode],0)-1,0,1,1)&gt;=NFI_Monitor_Date,1,0))</f>
        <v>0</v>
      </c>
      <c r="AQ609" s="579" t="str">
        <f>IFERROR(VLOOKUP(Table_NFI[[#This Row],[Camp Name]],CL,3,0),"")</f>
        <v>Closed</v>
      </c>
      <c r="AR609" s="378" t="str">
        <f ca="1">IF(Table_NFI[[#This Row],[Pcode]]="","",OFFSET(CampList[Priority],MATCH(Table_NFI[[#This Row],[Pcode]],CampList[CP_Pcode],0)-1,0,1,1))</f>
        <v/>
      </c>
      <c r="AS609" s="377" t="str">
        <f>IFERROR(Table_NFI[[#This Row],[Kitchen Set]]/VLOOKUP(Table_NFI[[#This Row],[Camp Name]],CL,4,0),"")</f>
        <v/>
      </c>
      <c r="AT609" s="572" t="s">
        <v>1095</v>
      </c>
      <c r="AU609" s="575"/>
    </row>
    <row r="610" spans="1:47" x14ac:dyDescent="0.25">
      <c r="A610" s="381">
        <f t="shared" si="9"/>
        <v>39.9</v>
      </c>
      <c r="B610" s="571">
        <v>41325</v>
      </c>
      <c r="C610" s="572" t="s">
        <v>454</v>
      </c>
      <c r="D610" s="573" t="s">
        <v>454</v>
      </c>
      <c r="E610" s="572" t="s">
        <v>380</v>
      </c>
      <c r="F610" s="374" t="s">
        <v>529</v>
      </c>
      <c r="G610" s="374" t="s">
        <v>110</v>
      </c>
      <c r="H610" s="375"/>
      <c r="I610" s="375"/>
      <c r="J610" s="375">
        <v>175</v>
      </c>
      <c r="K610" s="375">
        <v>0</v>
      </c>
      <c r="L610" s="376">
        <v>0</v>
      </c>
      <c r="M610" s="376">
        <v>0</v>
      </c>
      <c r="N610" s="376">
        <v>0</v>
      </c>
      <c r="O610" s="376">
        <v>0</v>
      </c>
      <c r="P610" s="378"/>
      <c r="Q610" s="378"/>
      <c r="R610" s="378"/>
      <c r="S610" s="378"/>
      <c r="T610" s="378"/>
      <c r="U610" s="378"/>
      <c r="V610" s="533"/>
      <c r="W610" s="378"/>
      <c r="X610" s="378"/>
      <c r="Y610" s="378">
        <f>IF(NFI_Expiration=1,IF($A610&lt;VLOOKUP(H$5,NFI,5,0),1,0)*Table_NFI[[#This Row],[Hygiene Kit]],Table_NFI[Hygiene Kit])</f>
        <v>0</v>
      </c>
      <c r="Z610" s="378">
        <f>IF(NFI_Expiration=1,IF($A610&lt;VLOOKUP(I$5,NFI,5,0),1,0)*Table_NFI[[#This Row],[NFI Core Kit]],Table_NFI[NFI Core Kit])</f>
        <v>0</v>
      </c>
      <c r="AA610" s="378">
        <f>IF(NFI_Expiration=1,IF($A610&lt;VLOOKUP(J$5,NFI,5,0),1,0)*Table_NFI[[#This Row],[Sanitary Kit]],Table_NFI[Sanitary Kit])</f>
        <v>0</v>
      </c>
      <c r="AB610" s="378">
        <f>IF(NFI_Expiration=1,IF($A610&lt;VLOOKUP(K$5,NFI,5,0),1,0)*Table_NFI[[#This Row],[Mosquito net]],Table_NFI[Mosquito net])</f>
        <v>0</v>
      </c>
      <c r="AC610" s="378">
        <f>IF(NFI_Expiration=1,IF($A610&lt;VLOOKUP(L$5,NFI,5,0),1,0)*Table_NFI[[#This Row],[Tarpaulin]],Table_NFI[[#This Row],[Tarpaulin]])</f>
        <v>0</v>
      </c>
      <c r="AD610" s="378">
        <f>IF(NFI_Expiration=1,IF($A610&lt;VLOOKUP(M$5,NFI,5,0),1,0)*Table_NFI[[#This Row],[Blanket]],Table_NFI[[#This Row],[Blanket]])</f>
        <v>0</v>
      </c>
      <c r="AE610" s="378">
        <f>IF(NFI_Expiration=1,IF($A610&lt;VLOOKUP(N$5,NFI,5,0),1,0)*Table_NFI[[#This Row],[Kitchen Set]],Table_NFI[Kitchen Set])</f>
        <v>0</v>
      </c>
      <c r="AF610" s="378">
        <f>IF(NFI_Expiration=1,IF($A610&lt;VLOOKUP(O$5,NFI,5,0),1,0)*Table_NFI[[#This Row],[Clothes Kit]],Table_NFI[Clothes Kit])</f>
        <v>0</v>
      </c>
      <c r="AG610" s="378">
        <f>IF(NFI_Expiration=1,IF($A610&lt;VLOOKUP(P$5,NFI,5,0),1,0)*Table_NFI[[#This Row],[Plastic Bucket]],Table_NFI[Plastic Bucket])</f>
        <v>0</v>
      </c>
      <c r="AH610" s="378">
        <f>IF(NFI_Expiration=1,IF($A610&lt;VLOOKUP(Q$5,NFI,5,0),1,0)*Table_NFI[[#This Row],[Plastic Mat]],Table_NFI[Plastic Mat])*IF(Table_NFI[[#This Row],[Distribution Date]]&gt;"2014-04-01",1,2.5)</f>
        <v>0</v>
      </c>
      <c r="AI610" s="378">
        <f>IF(NFI_Expiration=1,IF($A610&lt;VLOOKUP(R$5,NFI,5,0),1,0)*Table_NFI[[#This Row],[Winter Clothes Adult]],Table_NFI[Winter Clothes Adult])</f>
        <v>0</v>
      </c>
      <c r="AJ610" s="378">
        <f>IF(NFI_Expiration=1,IF($A610&lt;VLOOKUP(S$5,NFI,5,0),1,0)*Table_NFI[[#This Row],[Winter Clothes Children]],Table_NFI[Winter Clothes Children])</f>
        <v>0</v>
      </c>
      <c r="AK610" s="378">
        <f>IF(NFI_Expiration=1,IF($A610&lt;VLOOKUP(T$5,NFI,5,0),1,0)*Table_NFI[[#This Row],[Winter Items Other]],Table_NFI[Winter Items Other])</f>
        <v>0</v>
      </c>
      <c r="AL610" s="378">
        <f>IF(NFI_Expiration=1,IF($A610&lt;VLOOKUP(M$5,NFI,5,0),1,0)*Table_NFI[[#This Row],[Winter Blanket]],Table_NFI[[#This Row],[Winter Blanket]])</f>
        <v>0</v>
      </c>
      <c r="AM610" s="378">
        <f>IF(Table_NFI[[#This Row],[Winter Clothes Adult]]+Table_NFI[[#This Row],[Winter Clothes Children]]+Table_NFI[[#This Row],[Winter Items Other]]+Table_NFI[[#This Row],[Winter Blanket]]&gt;0,1,0)</f>
        <v>0</v>
      </c>
      <c r="AN610" s="418">
        <f>IF(NFI_Expiration=1,IF($A610&lt;VLOOKUP(V$5,NFI,5,0),1,0)*Table_NFI[[#This Row],[Jerry Can]],Table_NFI[Jerry Can])</f>
        <v>0</v>
      </c>
      <c r="AO610" s="579" t="str">
        <f>IFERROR(VLOOKUP(Table_NFI[[#This Row],[Camp Name]],CL,2,0),"")</f>
        <v>MMR001CMP082</v>
      </c>
      <c r="AP610" s="574">
        <f ca="1">IF(Table_NFI[[#This Row],[Pcode]]="","",IF(OFFSET(CampList[Opening Date],MATCH(Table_NFI[[#This Row],[Pcode]],CampList[CP_Pcode],0)-1,0,1,1)&gt;=NFI_Monitor_Date,1,0))</f>
        <v>0</v>
      </c>
      <c r="AQ610" s="579" t="str">
        <f>IFERROR(VLOOKUP(Table_NFI[[#This Row],[Camp Name]],CL,3,0),"")</f>
        <v>Closed</v>
      </c>
      <c r="AR610" s="378" t="str">
        <f ca="1">IF(Table_NFI[[#This Row],[Pcode]]="","",OFFSET(CampList[Priority],MATCH(Table_NFI[[#This Row],[Pcode]],CampList[CP_Pcode],0)-1,0,1,1))</f>
        <v/>
      </c>
      <c r="AS610" s="377" t="str">
        <f>IFERROR(Table_NFI[[#This Row],[Kitchen Set]]/VLOOKUP(Table_NFI[[#This Row],[Camp Name]],CL,4,0),"")</f>
        <v/>
      </c>
      <c r="AT610" s="572" t="s">
        <v>1095</v>
      </c>
      <c r="AU610" s="575"/>
    </row>
    <row r="611" spans="1:47" x14ac:dyDescent="0.25">
      <c r="A611" s="381">
        <f t="shared" si="9"/>
        <v>53.366666666666667</v>
      </c>
      <c r="B611" s="571">
        <v>40921</v>
      </c>
      <c r="C611" s="572" t="s">
        <v>454</v>
      </c>
      <c r="D611" s="573" t="s">
        <v>462</v>
      </c>
      <c r="E611" s="572" t="s">
        <v>380</v>
      </c>
      <c r="F611" s="374" t="s">
        <v>529</v>
      </c>
      <c r="G611" s="374" t="s">
        <v>110</v>
      </c>
      <c r="H611" s="375"/>
      <c r="I611" s="375"/>
      <c r="J611" s="375"/>
      <c r="K611" s="375">
        <v>112</v>
      </c>
      <c r="L611" s="376">
        <v>56</v>
      </c>
      <c r="M611" s="376">
        <v>56</v>
      </c>
      <c r="N611" s="376">
        <v>0</v>
      </c>
      <c r="O611" s="376">
        <v>56</v>
      </c>
      <c r="P611" s="378">
        <v>56</v>
      </c>
      <c r="Q611" s="378">
        <v>56</v>
      </c>
      <c r="R611" s="378"/>
      <c r="S611" s="378"/>
      <c r="T611" s="378"/>
      <c r="U611" s="378"/>
      <c r="V611" s="533"/>
      <c r="W611" s="378"/>
      <c r="X611" s="378"/>
      <c r="Y611" s="378">
        <f>IF(NFI_Expiration=1,IF($A611&lt;VLOOKUP(H$5,NFI,5,0),1,0)*Table_NFI[[#This Row],[Hygiene Kit]],Table_NFI[Hygiene Kit])</f>
        <v>0</v>
      </c>
      <c r="Z611" s="378">
        <f>IF(NFI_Expiration=1,IF($A611&lt;VLOOKUP(I$5,NFI,5,0),1,0)*Table_NFI[[#This Row],[NFI Core Kit]],Table_NFI[NFI Core Kit])</f>
        <v>0</v>
      </c>
      <c r="AA611" s="378">
        <f>IF(NFI_Expiration=1,IF($A611&lt;VLOOKUP(J$5,NFI,5,0),1,0)*Table_NFI[[#This Row],[Sanitary Kit]],Table_NFI[Sanitary Kit])</f>
        <v>0</v>
      </c>
      <c r="AB611" s="378">
        <f>IF(NFI_Expiration=1,IF($A611&lt;VLOOKUP(K$5,NFI,5,0),1,0)*Table_NFI[[#This Row],[Mosquito net]],Table_NFI[Mosquito net])</f>
        <v>0</v>
      </c>
      <c r="AC611" s="378">
        <f>IF(NFI_Expiration=1,IF($A611&lt;VLOOKUP(L$5,NFI,5,0),1,0)*Table_NFI[[#This Row],[Tarpaulin]],Table_NFI[[#This Row],[Tarpaulin]])</f>
        <v>0</v>
      </c>
      <c r="AD611" s="378">
        <f>IF(NFI_Expiration=1,IF($A611&lt;VLOOKUP(M$5,NFI,5,0),1,0)*Table_NFI[[#This Row],[Blanket]],Table_NFI[[#This Row],[Blanket]])</f>
        <v>0</v>
      </c>
      <c r="AE611" s="378">
        <f>IF(NFI_Expiration=1,IF($A611&lt;VLOOKUP(N$5,NFI,5,0),1,0)*Table_NFI[[#This Row],[Kitchen Set]],Table_NFI[Kitchen Set])</f>
        <v>0</v>
      </c>
      <c r="AF611" s="378">
        <f>IF(NFI_Expiration=1,IF($A611&lt;VLOOKUP(O$5,NFI,5,0),1,0)*Table_NFI[[#This Row],[Clothes Kit]],Table_NFI[Clothes Kit])</f>
        <v>0</v>
      </c>
      <c r="AG611" s="378">
        <f>IF(NFI_Expiration=1,IF($A611&lt;VLOOKUP(P$5,NFI,5,0),1,0)*Table_NFI[[#This Row],[Plastic Bucket]],Table_NFI[Plastic Bucket])</f>
        <v>0</v>
      </c>
      <c r="AH611" s="378">
        <f>IF(NFI_Expiration=1,IF($A611&lt;VLOOKUP(Q$5,NFI,5,0),1,0)*Table_NFI[[#This Row],[Plastic Mat]],Table_NFI[Plastic Mat])*IF(Table_NFI[[#This Row],[Distribution Date]]&gt;"2014-04-01",1,2.5)</f>
        <v>0</v>
      </c>
      <c r="AI611" s="378">
        <f>IF(NFI_Expiration=1,IF($A611&lt;VLOOKUP(R$5,NFI,5,0),1,0)*Table_NFI[[#This Row],[Winter Clothes Adult]],Table_NFI[Winter Clothes Adult])</f>
        <v>0</v>
      </c>
      <c r="AJ611" s="378">
        <f>IF(NFI_Expiration=1,IF($A611&lt;VLOOKUP(S$5,NFI,5,0),1,0)*Table_NFI[[#This Row],[Winter Clothes Children]],Table_NFI[Winter Clothes Children])</f>
        <v>0</v>
      </c>
      <c r="AK611" s="378">
        <f>IF(NFI_Expiration=1,IF($A611&lt;VLOOKUP(T$5,NFI,5,0),1,0)*Table_NFI[[#This Row],[Winter Items Other]],Table_NFI[Winter Items Other])</f>
        <v>0</v>
      </c>
      <c r="AL611" s="378">
        <f>IF(NFI_Expiration=1,IF($A611&lt;VLOOKUP(M$5,NFI,5,0),1,0)*Table_NFI[[#This Row],[Winter Blanket]],Table_NFI[[#This Row],[Winter Blanket]])</f>
        <v>0</v>
      </c>
      <c r="AM611" s="378">
        <f>IF(Table_NFI[[#This Row],[Winter Clothes Adult]]+Table_NFI[[#This Row],[Winter Clothes Children]]+Table_NFI[[#This Row],[Winter Items Other]]+Table_NFI[[#This Row],[Winter Blanket]]&gt;0,1,0)</f>
        <v>0</v>
      </c>
      <c r="AN611" s="418">
        <f>IF(NFI_Expiration=1,IF($A611&lt;VLOOKUP(V$5,NFI,5,0),1,0)*Table_NFI[[#This Row],[Jerry Can]],Table_NFI[Jerry Can])</f>
        <v>0</v>
      </c>
      <c r="AO611" s="579" t="str">
        <f>IFERROR(VLOOKUP(Table_NFI[[#This Row],[Camp Name]],CL,2,0),"")</f>
        <v>MMR001CMP082</v>
      </c>
      <c r="AP611" s="574">
        <f ca="1">IF(Table_NFI[[#This Row],[Pcode]]="","",IF(OFFSET(CampList[Opening Date],MATCH(Table_NFI[[#This Row],[Pcode]],CampList[CP_Pcode],0)-1,0,1,1)&gt;=NFI_Monitor_Date,1,0))</f>
        <v>0</v>
      </c>
      <c r="AQ611" s="579" t="str">
        <f>IFERROR(VLOOKUP(Table_NFI[[#This Row],[Camp Name]],CL,3,0),"")</f>
        <v>Closed</v>
      </c>
      <c r="AR611" s="378" t="str">
        <f ca="1">IF(Table_NFI[[#This Row],[Pcode]]="","",OFFSET(CampList[Priority],MATCH(Table_NFI[[#This Row],[Pcode]],CampList[CP_Pcode],0)-1,0,1,1))</f>
        <v/>
      </c>
      <c r="AS611" s="377" t="str">
        <f>IFERROR(Table_NFI[[#This Row],[Kitchen Set]]/VLOOKUP(Table_NFI[[#This Row],[Camp Name]],CL,4,0),"")</f>
        <v/>
      </c>
      <c r="AT611" s="572" t="s">
        <v>1095</v>
      </c>
      <c r="AU611" s="575"/>
    </row>
    <row r="612" spans="1:47" x14ac:dyDescent="0.25">
      <c r="A612" s="381">
        <f t="shared" si="9"/>
        <v>39.9</v>
      </c>
      <c r="B612" s="571">
        <v>41325</v>
      </c>
      <c r="C612" s="572" t="s">
        <v>454</v>
      </c>
      <c r="D612" s="572" t="s">
        <v>454</v>
      </c>
      <c r="E612" s="572" t="s">
        <v>380</v>
      </c>
      <c r="F612" s="572" t="s">
        <v>529</v>
      </c>
      <c r="G612" s="374" t="s">
        <v>112</v>
      </c>
      <c r="H612" s="375"/>
      <c r="I612" s="375"/>
      <c r="J612" s="375">
        <v>38</v>
      </c>
      <c r="K612" s="375">
        <v>89</v>
      </c>
      <c r="L612" s="376">
        <v>44</v>
      </c>
      <c r="M612" s="376">
        <v>89</v>
      </c>
      <c r="N612" s="376">
        <v>44</v>
      </c>
      <c r="O612" s="376">
        <v>44</v>
      </c>
      <c r="P612" s="378">
        <v>44</v>
      </c>
      <c r="Q612" s="378">
        <v>44</v>
      </c>
      <c r="R612" s="378"/>
      <c r="S612" s="378"/>
      <c r="T612" s="378"/>
      <c r="U612" s="378"/>
      <c r="V612" s="533"/>
      <c r="W612" s="378"/>
      <c r="X612" s="378"/>
      <c r="Y612" s="378">
        <f>IF(NFI_Expiration=1,IF($A612&lt;VLOOKUP(H$5,NFI,5,0),1,0)*Table_NFI[[#This Row],[Hygiene Kit]],Table_NFI[Hygiene Kit])</f>
        <v>0</v>
      </c>
      <c r="Z612" s="378">
        <f>IF(NFI_Expiration=1,IF($A612&lt;VLOOKUP(I$5,NFI,5,0),1,0)*Table_NFI[[#This Row],[NFI Core Kit]],Table_NFI[NFI Core Kit])</f>
        <v>0</v>
      </c>
      <c r="AA612" s="378">
        <f>IF(NFI_Expiration=1,IF($A612&lt;VLOOKUP(J$5,NFI,5,0),1,0)*Table_NFI[[#This Row],[Sanitary Kit]],Table_NFI[Sanitary Kit])</f>
        <v>0</v>
      </c>
      <c r="AB612" s="378">
        <f>IF(NFI_Expiration=1,IF($A612&lt;VLOOKUP(K$5,NFI,5,0),1,0)*Table_NFI[[#This Row],[Mosquito net]],Table_NFI[Mosquito net])</f>
        <v>0</v>
      </c>
      <c r="AC612" s="378">
        <f>IF(NFI_Expiration=1,IF($A612&lt;VLOOKUP(L$5,NFI,5,0),1,0)*Table_NFI[[#This Row],[Tarpaulin]],Table_NFI[[#This Row],[Tarpaulin]])</f>
        <v>0</v>
      </c>
      <c r="AD612" s="378">
        <f>IF(NFI_Expiration=1,IF($A612&lt;VLOOKUP(M$5,NFI,5,0),1,0)*Table_NFI[[#This Row],[Blanket]],Table_NFI[[#This Row],[Blanket]])</f>
        <v>0</v>
      </c>
      <c r="AE612" s="378">
        <f>IF(NFI_Expiration=1,IF($A612&lt;VLOOKUP(N$5,NFI,5,0),1,0)*Table_NFI[[#This Row],[Kitchen Set]],Table_NFI[Kitchen Set])</f>
        <v>0</v>
      </c>
      <c r="AF612" s="378">
        <f>IF(NFI_Expiration=1,IF($A612&lt;VLOOKUP(O$5,NFI,5,0),1,0)*Table_NFI[[#This Row],[Clothes Kit]],Table_NFI[Clothes Kit])</f>
        <v>0</v>
      </c>
      <c r="AG612" s="378">
        <f>IF(NFI_Expiration=1,IF($A612&lt;VLOOKUP(P$5,NFI,5,0),1,0)*Table_NFI[[#This Row],[Plastic Bucket]],Table_NFI[Plastic Bucket])</f>
        <v>0</v>
      </c>
      <c r="AH612" s="378">
        <f>IF(NFI_Expiration=1,IF($A612&lt;VLOOKUP(Q$5,NFI,5,0),1,0)*Table_NFI[[#This Row],[Plastic Mat]],Table_NFI[Plastic Mat])*IF(Table_NFI[[#This Row],[Distribution Date]]&gt;"2014-04-01",1,2.5)</f>
        <v>0</v>
      </c>
      <c r="AI612" s="378">
        <f>IF(NFI_Expiration=1,IF($A612&lt;VLOOKUP(R$5,NFI,5,0),1,0)*Table_NFI[[#This Row],[Winter Clothes Adult]],Table_NFI[Winter Clothes Adult])</f>
        <v>0</v>
      </c>
      <c r="AJ612" s="378">
        <f>IF(NFI_Expiration=1,IF($A612&lt;VLOOKUP(S$5,NFI,5,0),1,0)*Table_NFI[[#This Row],[Winter Clothes Children]],Table_NFI[Winter Clothes Children])</f>
        <v>0</v>
      </c>
      <c r="AK612" s="378">
        <f>IF(NFI_Expiration=1,IF($A612&lt;VLOOKUP(T$5,NFI,5,0),1,0)*Table_NFI[[#This Row],[Winter Items Other]],Table_NFI[Winter Items Other])</f>
        <v>0</v>
      </c>
      <c r="AL612" s="378">
        <f>IF(NFI_Expiration=1,IF($A612&lt;VLOOKUP(M$5,NFI,5,0),1,0)*Table_NFI[[#This Row],[Winter Blanket]],Table_NFI[[#This Row],[Winter Blanket]])</f>
        <v>0</v>
      </c>
      <c r="AM612" s="378">
        <f>IF(Table_NFI[[#This Row],[Winter Clothes Adult]]+Table_NFI[[#This Row],[Winter Clothes Children]]+Table_NFI[[#This Row],[Winter Items Other]]+Table_NFI[[#This Row],[Winter Blanket]]&gt;0,1,0)</f>
        <v>0</v>
      </c>
      <c r="AN612" s="418">
        <f>IF(NFI_Expiration=1,IF($A612&lt;VLOOKUP(V$5,NFI,5,0),1,0)*Table_NFI[[#This Row],[Jerry Can]],Table_NFI[Jerry Can])</f>
        <v>0</v>
      </c>
      <c r="AO612" s="579" t="str">
        <f>IFERROR(VLOOKUP(Table_NFI[[#This Row],[Camp Name]],CL,2,0),"")</f>
        <v>MMR001CMP083</v>
      </c>
      <c r="AP612" s="574">
        <f ca="1">IF(Table_NFI[[#This Row],[Pcode]]="","",IF(OFFSET(CampList[Opening Date],MATCH(Table_NFI[[#This Row],[Pcode]],CampList[CP_Pcode],0)-1,0,1,1)&gt;=NFI_Monitor_Date,1,0))</f>
        <v>0</v>
      </c>
      <c r="AQ612" s="579" t="str">
        <f>IFERROR(VLOOKUP(Table_NFI[[#This Row],[Camp Name]],CL,3,0),"")</f>
        <v>Closed</v>
      </c>
      <c r="AR612" s="378" t="str">
        <f ca="1">IF(Table_NFI[[#This Row],[Pcode]]="","",OFFSET(CampList[Priority],MATCH(Table_NFI[[#This Row],[Pcode]],CampList[CP_Pcode],0)-1,0,1,1))</f>
        <v/>
      </c>
      <c r="AS612" s="377" t="str">
        <f>IFERROR(Table_NFI[[#This Row],[Kitchen Set]]/VLOOKUP(Table_NFI[[#This Row],[Camp Name]],CL,4,0),"")</f>
        <v/>
      </c>
      <c r="AT612" s="572" t="s">
        <v>1095</v>
      </c>
      <c r="AU612" s="575"/>
    </row>
    <row r="613" spans="1:47" x14ac:dyDescent="0.25">
      <c r="A613" s="381">
        <f t="shared" si="9"/>
        <v>41.6</v>
      </c>
      <c r="B613" s="571">
        <v>41274</v>
      </c>
      <c r="C613" s="572" t="s">
        <v>455</v>
      </c>
      <c r="D613" s="573" t="s">
        <v>455</v>
      </c>
      <c r="E613" s="572" t="s">
        <v>380</v>
      </c>
      <c r="F613" s="374" t="s">
        <v>529</v>
      </c>
      <c r="G613" s="374" t="s">
        <v>112</v>
      </c>
      <c r="H613" s="375">
        <v>3</v>
      </c>
      <c r="I613" s="375"/>
      <c r="J613" s="375"/>
      <c r="K613" s="375"/>
      <c r="L613" s="376"/>
      <c r="M613" s="376"/>
      <c r="N613" s="376"/>
      <c r="O613" s="376"/>
      <c r="P613" s="378">
        <v>0</v>
      </c>
      <c r="Q613" s="378">
        <v>0</v>
      </c>
      <c r="R613" s="378"/>
      <c r="S613" s="378"/>
      <c r="T613" s="378"/>
      <c r="U613" s="378"/>
      <c r="V613" s="533"/>
      <c r="W613" s="378"/>
      <c r="X613" s="378"/>
      <c r="Y613" s="378">
        <f>IF(NFI_Expiration=1,IF($A613&lt;VLOOKUP(H$5,NFI,5,0),1,0)*Table_NFI[[#This Row],[Hygiene Kit]],Table_NFI[Hygiene Kit])</f>
        <v>0</v>
      </c>
      <c r="Z613" s="378">
        <f>IF(NFI_Expiration=1,IF($A613&lt;VLOOKUP(I$5,NFI,5,0),1,0)*Table_NFI[[#This Row],[NFI Core Kit]],Table_NFI[NFI Core Kit])</f>
        <v>0</v>
      </c>
      <c r="AA613" s="378">
        <f>IF(NFI_Expiration=1,IF($A613&lt;VLOOKUP(J$5,NFI,5,0),1,0)*Table_NFI[[#This Row],[Sanitary Kit]],Table_NFI[Sanitary Kit])</f>
        <v>0</v>
      </c>
      <c r="AB613" s="378">
        <f>IF(NFI_Expiration=1,IF($A613&lt;VLOOKUP(K$5,NFI,5,0),1,0)*Table_NFI[[#This Row],[Mosquito net]],Table_NFI[Mosquito net])</f>
        <v>0</v>
      </c>
      <c r="AC613" s="378">
        <f>IF(NFI_Expiration=1,IF($A613&lt;VLOOKUP(L$5,NFI,5,0),1,0)*Table_NFI[[#This Row],[Tarpaulin]],Table_NFI[[#This Row],[Tarpaulin]])</f>
        <v>0</v>
      </c>
      <c r="AD613" s="378">
        <f>IF(NFI_Expiration=1,IF($A613&lt;VLOOKUP(M$5,NFI,5,0),1,0)*Table_NFI[[#This Row],[Blanket]],Table_NFI[[#This Row],[Blanket]])</f>
        <v>0</v>
      </c>
      <c r="AE613" s="378">
        <f>IF(NFI_Expiration=1,IF($A613&lt;VLOOKUP(N$5,NFI,5,0),1,0)*Table_NFI[[#This Row],[Kitchen Set]],Table_NFI[Kitchen Set])</f>
        <v>0</v>
      </c>
      <c r="AF613" s="378">
        <f>IF(NFI_Expiration=1,IF($A613&lt;VLOOKUP(O$5,NFI,5,0),1,0)*Table_NFI[[#This Row],[Clothes Kit]],Table_NFI[Clothes Kit])</f>
        <v>0</v>
      </c>
      <c r="AG613" s="378">
        <f>IF(NFI_Expiration=1,IF($A613&lt;VLOOKUP(P$5,NFI,5,0),1,0)*Table_NFI[[#This Row],[Plastic Bucket]],Table_NFI[Plastic Bucket])</f>
        <v>0</v>
      </c>
      <c r="AH613" s="378">
        <f>IF(NFI_Expiration=1,IF($A613&lt;VLOOKUP(Q$5,NFI,5,0),1,0)*Table_NFI[[#This Row],[Plastic Mat]],Table_NFI[Plastic Mat])*IF(Table_NFI[[#This Row],[Distribution Date]]&gt;"2014-04-01",1,2.5)</f>
        <v>0</v>
      </c>
      <c r="AI613" s="378">
        <f>IF(NFI_Expiration=1,IF($A613&lt;VLOOKUP(R$5,NFI,5,0),1,0)*Table_NFI[[#This Row],[Winter Clothes Adult]],Table_NFI[Winter Clothes Adult])</f>
        <v>0</v>
      </c>
      <c r="AJ613" s="378">
        <f>IF(NFI_Expiration=1,IF($A613&lt;VLOOKUP(S$5,NFI,5,0),1,0)*Table_NFI[[#This Row],[Winter Clothes Children]],Table_NFI[Winter Clothes Children])</f>
        <v>0</v>
      </c>
      <c r="AK613" s="378">
        <f>IF(NFI_Expiration=1,IF($A613&lt;VLOOKUP(T$5,NFI,5,0),1,0)*Table_NFI[[#This Row],[Winter Items Other]],Table_NFI[Winter Items Other])</f>
        <v>0</v>
      </c>
      <c r="AL613" s="378">
        <f>IF(NFI_Expiration=1,IF($A613&lt;VLOOKUP(M$5,NFI,5,0),1,0)*Table_NFI[[#This Row],[Winter Blanket]],Table_NFI[[#This Row],[Winter Blanket]])</f>
        <v>0</v>
      </c>
      <c r="AM613" s="378">
        <f>IF(Table_NFI[[#This Row],[Winter Clothes Adult]]+Table_NFI[[#This Row],[Winter Clothes Children]]+Table_NFI[[#This Row],[Winter Items Other]]+Table_NFI[[#This Row],[Winter Blanket]]&gt;0,1,0)</f>
        <v>0</v>
      </c>
      <c r="AN613" s="418">
        <f>IF(NFI_Expiration=1,IF($A613&lt;VLOOKUP(V$5,NFI,5,0),1,0)*Table_NFI[[#This Row],[Jerry Can]],Table_NFI[Jerry Can])</f>
        <v>0</v>
      </c>
      <c r="AO613" s="579" t="str">
        <f>IFERROR(VLOOKUP(Table_NFI[[#This Row],[Camp Name]],CL,2,0),"")</f>
        <v>MMR001CMP083</v>
      </c>
      <c r="AP613" s="574">
        <f ca="1">IF(Table_NFI[[#This Row],[Pcode]]="","",IF(OFFSET(CampList[Opening Date],MATCH(Table_NFI[[#This Row],[Pcode]],CampList[CP_Pcode],0)-1,0,1,1)&gt;=NFI_Monitor_Date,1,0))</f>
        <v>0</v>
      </c>
      <c r="AQ613" s="579" t="str">
        <f>IFERROR(VLOOKUP(Table_NFI[[#This Row],[Camp Name]],CL,3,0),"")</f>
        <v>Closed</v>
      </c>
      <c r="AR613" s="378" t="str">
        <f ca="1">IF(Table_NFI[[#This Row],[Pcode]]="","",OFFSET(CampList[Priority],MATCH(Table_NFI[[#This Row],[Pcode]],CampList[CP_Pcode],0)-1,0,1,1))</f>
        <v/>
      </c>
      <c r="AS613" s="377" t="str">
        <f>IFERROR(Table_NFI[[#This Row],[Kitchen Set]]/VLOOKUP(Table_NFI[[#This Row],[Camp Name]],CL,4,0),"")</f>
        <v/>
      </c>
      <c r="AT613" s="572" t="s">
        <v>1095</v>
      </c>
      <c r="AU613" s="575"/>
    </row>
    <row r="614" spans="1:47" x14ac:dyDescent="0.25">
      <c r="A614" s="381">
        <f t="shared" si="9"/>
        <v>14.166666666666666</v>
      </c>
      <c r="B614" s="571">
        <v>42097</v>
      </c>
      <c r="C614" s="572" t="s">
        <v>454</v>
      </c>
      <c r="D614" s="572" t="s">
        <v>454</v>
      </c>
      <c r="E614" s="572" t="s">
        <v>380</v>
      </c>
      <c r="F614" s="572" t="s">
        <v>185</v>
      </c>
      <c r="G614" s="572" t="s">
        <v>215</v>
      </c>
      <c r="H614" s="375"/>
      <c r="I614" s="378"/>
      <c r="J614" s="378"/>
      <c r="K614" s="378"/>
      <c r="L614" s="376"/>
      <c r="M614" s="376"/>
      <c r="N614" s="376"/>
      <c r="O614" s="376"/>
      <c r="P614" s="378"/>
      <c r="Q614" s="378"/>
      <c r="R614" s="378"/>
      <c r="S614" s="378"/>
      <c r="T614" s="378"/>
      <c r="U614" s="378"/>
      <c r="V614" s="533">
        <v>405</v>
      </c>
      <c r="W614" s="378"/>
      <c r="X614" s="378"/>
      <c r="Y614" s="378">
        <f>IF(NFI_Expiration=1,IF($A614&lt;VLOOKUP(H$5,NFI,5,0),1,0)*Table_NFI[[#This Row],[Hygiene Kit]],Table_NFI[Hygiene Kit])</f>
        <v>0</v>
      </c>
      <c r="Z614" s="378">
        <f>IF(NFI_Expiration=1,IF($A614&lt;VLOOKUP(I$5,NFI,5,0),1,0)*Table_NFI[[#This Row],[NFI Core Kit]],Table_NFI[NFI Core Kit])</f>
        <v>0</v>
      </c>
      <c r="AA614" s="378">
        <f>IF(NFI_Expiration=1,IF($A614&lt;VLOOKUP(J$5,NFI,5,0),1,0)*Table_NFI[[#This Row],[Sanitary Kit]],Table_NFI[Sanitary Kit])</f>
        <v>0</v>
      </c>
      <c r="AB614" s="378">
        <f>IF(NFI_Expiration=1,IF($A614&lt;VLOOKUP(K$5,NFI,5,0),1,0)*Table_NFI[[#This Row],[Mosquito net]],Table_NFI[Mosquito net])</f>
        <v>0</v>
      </c>
      <c r="AC614" s="378">
        <f>IF(NFI_Expiration=1,IF($A614&lt;VLOOKUP(L$5,NFI,5,0),1,0)*Table_NFI[[#This Row],[Tarpaulin]],Table_NFI[[#This Row],[Tarpaulin]])</f>
        <v>0</v>
      </c>
      <c r="AD614" s="378">
        <f>IF(NFI_Expiration=1,IF($A614&lt;VLOOKUP(M$5,NFI,5,0),1,0)*Table_NFI[[#This Row],[Blanket]],Table_NFI[[#This Row],[Blanket]])</f>
        <v>0</v>
      </c>
      <c r="AE614" s="378">
        <f>IF(NFI_Expiration=1,IF($A614&lt;VLOOKUP(N$5,NFI,5,0),1,0)*Table_NFI[[#This Row],[Kitchen Set]],Table_NFI[Kitchen Set])</f>
        <v>0</v>
      </c>
      <c r="AF614" s="378">
        <f>IF(NFI_Expiration=1,IF($A614&lt;VLOOKUP(O$5,NFI,5,0),1,0)*Table_NFI[[#This Row],[Clothes Kit]],Table_NFI[Clothes Kit])</f>
        <v>0</v>
      </c>
      <c r="AG614" s="378">
        <f>IF(NFI_Expiration=1,IF($A614&lt;VLOOKUP(P$5,NFI,5,0),1,0)*Table_NFI[[#This Row],[Plastic Bucket]],Table_NFI[Plastic Bucket])</f>
        <v>0</v>
      </c>
      <c r="AH614" s="378">
        <f>IF(NFI_Expiration=1,IF($A614&lt;VLOOKUP(Q$5,NFI,5,0),1,0)*Table_NFI[[#This Row],[Plastic Mat]],Table_NFI[Plastic Mat])*IF(Table_NFI[[#This Row],[Distribution Date]]&gt;"2014-04-01",1,2.5)</f>
        <v>0</v>
      </c>
      <c r="AI614" s="378">
        <f>IF(NFI_Expiration=1,IF($A614&lt;VLOOKUP(R$5,NFI,5,0),1,0)*Table_NFI[[#This Row],[Winter Clothes Adult]],Table_NFI[Winter Clothes Adult])</f>
        <v>0</v>
      </c>
      <c r="AJ614" s="378">
        <f>IF(NFI_Expiration=1,IF($A614&lt;VLOOKUP(S$5,NFI,5,0),1,0)*Table_NFI[[#This Row],[Winter Clothes Children]],Table_NFI[Winter Clothes Children])</f>
        <v>0</v>
      </c>
      <c r="AK614" s="378">
        <f>IF(NFI_Expiration=1,IF($A614&lt;VLOOKUP(T$5,NFI,5,0),1,0)*Table_NFI[[#This Row],[Winter Items Other]],Table_NFI[Winter Items Other])</f>
        <v>0</v>
      </c>
      <c r="AL614" s="378">
        <f>IF(NFI_Expiration=1,IF($A614&lt;VLOOKUP(M$5,NFI,5,0),1,0)*Table_NFI[[#This Row],[Winter Blanket]],Table_NFI[[#This Row],[Winter Blanket]])</f>
        <v>0</v>
      </c>
      <c r="AM614" s="378">
        <f>IF(Table_NFI[[#This Row],[Winter Clothes Adult]]+Table_NFI[[#This Row],[Winter Clothes Children]]+Table_NFI[[#This Row],[Winter Items Other]]+Table_NFI[[#This Row],[Winter Blanket]]&gt;0,1,0)</f>
        <v>0</v>
      </c>
      <c r="AN614" s="418">
        <f>IF(NFI_Expiration=1,IF($A614&lt;VLOOKUP(V$5,NFI,5,0),1,0)*Table_NFI[[#This Row],[Jerry Can]],Table_NFI[Jerry Can])</f>
        <v>0</v>
      </c>
      <c r="AO614" s="579" t="str">
        <f>IFERROR(VLOOKUP(Table_NFI[[#This Row],[Camp Name]],CL,2,0),"")</f>
        <v>MMR001CMP131</v>
      </c>
      <c r="AP614" s="574">
        <f ca="1">IF(Table_NFI[[#This Row],[Pcode]]="","",IF(OFFSET(CampList[Opening Date],MATCH(Table_NFI[[#This Row],[Pcode]],CampList[CP_Pcode],0)-1,0,1,1)&gt;=NFI_Monitor_Date,1,0))</f>
        <v>0</v>
      </c>
      <c r="AQ614" s="579" t="str">
        <f>IFERROR(VLOOKUP(Table_NFI[[#This Row],[Camp Name]],CL,3,0),"")</f>
        <v>Open</v>
      </c>
      <c r="AR614" s="378" t="str">
        <f ca="1">IF(Table_NFI[[#This Row],[Pcode]]="","",OFFSET(CampList[Priority],MATCH(Table_NFI[[#This Row],[Pcode]],CampList[CP_Pcode],0)-1,0,1,1))</f>
        <v>P1</v>
      </c>
      <c r="AS614" s="377">
        <f>IFERROR(Table_NFI[[#This Row],[Kitchen Set]]/VLOOKUP(Table_NFI[[#This Row],[Camp Name]],CL,4,0),"")</f>
        <v>0</v>
      </c>
      <c r="AT614" s="572" t="s">
        <v>1095</v>
      </c>
      <c r="AU614" s="575"/>
    </row>
    <row r="615" spans="1:47" x14ac:dyDescent="0.25">
      <c r="A615" s="381">
        <f t="shared" si="9"/>
        <v>20.633333333333333</v>
      </c>
      <c r="B615" s="571">
        <v>41903</v>
      </c>
      <c r="C615" s="572" t="s">
        <v>454</v>
      </c>
      <c r="D615" s="572"/>
      <c r="E615" s="572" t="s">
        <v>380</v>
      </c>
      <c r="F615" s="572" t="s">
        <v>185</v>
      </c>
      <c r="G615" s="572" t="s">
        <v>215</v>
      </c>
      <c r="H615" s="375"/>
      <c r="I615" s="375"/>
      <c r="J615" s="375"/>
      <c r="K615" s="375">
        <v>604</v>
      </c>
      <c r="L615" s="376"/>
      <c r="M615" s="376"/>
      <c r="N615" s="376"/>
      <c r="O615" s="376"/>
      <c r="P615" s="378"/>
      <c r="Q615" s="378"/>
      <c r="R615" s="378"/>
      <c r="S615" s="378"/>
      <c r="T615" s="378"/>
      <c r="U615" s="378">
        <v>784</v>
      </c>
      <c r="V615" s="533"/>
      <c r="W615" s="378"/>
      <c r="X615" s="378"/>
      <c r="Y615" s="378">
        <f>IF(NFI_Expiration=1,IF($A615&lt;VLOOKUP(H$5,NFI,5,0),1,0)*Table_NFI[[#This Row],[Hygiene Kit]],Table_NFI[Hygiene Kit])</f>
        <v>0</v>
      </c>
      <c r="Z615" s="378">
        <f>IF(NFI_Expiration=1,IF($A615&lt;VLOOKUP(I$5,NFI,5,0),1,0)*Table_NFI[[#This Row],[NFI Core Kit]],Table_NFI[NFI Core Kit])</f>
        <v>0</v>
      </c>
      <c r="AA615" s="378">
        <f>IF(NFI_Expiration=1,IF($A615&lt;VLOOKUP(J$5,NFI,5,0),1,0)*Table_NFI[[#This Row],[Sanitary Kit]],Table_NFI[Sanitary Kit])</f>
        <v>0</v>
      </c>
      <c r="AB615" s="378">
        <f>IF(NFI_Expiration=1,IF($A615&lt;VLOOKUP(K$5,NFI,5,0),1,0)*Table_NFI[[#This Row],[Mosquito net]],Table_NFI[Mosquito net])</f>
        <v>0</v>
      </c>
      <c r="AC615" s="378">
        <f>IF(NFI_Expiration=1,IF($A615&lt;VLOOKUP(L$5,NFI,5,0),1,0)*Table_NFI[[#This Row],[Tarpaulin]],Table_NFI[[#This Row],[Tarpaulin]])</f>
        <v>0</v>
      </c>
      <c r="AD615" s="378">
        <f>IF(NFI_Expiration=1,IF($A615&lt;VLOOKUP(M$5,NFI,5,0),1,0)*Table_NFI[[#This Row],[Blanket]],Table_NFI[[#This Row],[Blanket]])</f>
        <v>0</v>
      </c>
      <c r="AE615" s="378">
        <f>IF(NFI_Expiration=1,IF($A615&lt;VLOOKUP(N$5,NFI,5,0),1,0)*Table_NFI[[#This Row],[Kitchen Set]],Table_NFI[Kitchen Set])</f>
        <v>0</v>
      </c>
      <c r="AF615" s="378">
        <f>IF(NFI_Expiration=1,IF($A615&lt;VLOOKUP(O$5,NFI,5,0),1,0)*Table_NFI[[#This Row],[Clothes Kit]],Table_NFI[Clothes Kit])</f>
        <v>0</v>
      </c>
      <c r="AG615" s="378">
        <f>IF(NFI_Expiration=1,IF($A615&lt;VLOOKUP(P$5,NFI,5,0),1,0)*Table_NFI[[#This Row],[Plastic Bucket]],Table_NFI[Plastic Bucket])</f>
        <v>0</v>
      </c>
      <c r="AH615" s="378">
        <f>IF(NFI_Expiration=1,IF($A615&lt;VLOOKUP(Q$5,NFI,5,0),1,0)*Table_NFI[[#This Row],[Plastic Mat]],Table_NFI[Plastic Mat])*IF(Table_NFI[[#This Row],[Distribution Date]]&gt;"2014-04-01",1,2.5)</f>
        <v>0</v>
      </c>
      <c r="AI615" s="378">
        <f>IF(NFI_Expiration=1,IF($A615&lt;VLOOKUP(R$5,NFI,5,0),1,0)*Table_NFI[[#This Row],[Winter Clothes Adult]],Table_NFI[Winter Clothes Adult])</f>
        <v>0</v>
      </c>
      <c r="AJ615" s="378">
        <f>IF(NFI_Expiration=1,IF($A615&lt;VLOOKUP(S$5,NFI,5,0),1,0)*Table_NFI[[#This Row],[Winter Clothes Children]],Table_NFI[Winter Clothes Children])</f>
        <v>0</v>
      </c>
      <c r="AK615" s="378">
        <f>IF(NFI_Expiration=1,IF($A615&lt;VLOOKUP(T$5,NFI,5,0),1,0)*Table_NFI[[#This Row],[Winter Items Other]],Table_NFI[Winter Items Other])</f>
        <v>0</v>
      </c>
      <c r="AL615" s="378">
        <f>IF(NFI_Expiration=1,IF($A615&lt;VLOOKUP(M$5,NFI,5,0),1,0)*Table_NFI[[#This Row],[Winter Blanket]],Table_NFI[[#This Row],[Winter Blanket]])</f>
        <v>0</v>
      </c>
      <c r="AM615" s="378">
        <f>IF(Table_NFI[[#This Row],[Winter Clothes Adult]]+Table_NFI[[#This Row],[Winter Clothes Children]]+Table_NFI[[#This Row],[Winter Items Other]]+Table_NFI[[#This Row],[Winter Blanket]]&gt;0,1,0)</f>
        <v>1</v>
      </c>
      <c r="AN615" s="418">
        <f>IF(NFI_Expiration=1,IF($A615&lt;VLOOKUP(V$5,NFI,5,0),1,0)*Table_NFI[[#This Row],[Jerry Can]],Table_NFI[Jerry Can])</f>
        <v>0</v>
      </c>
      <c r="AO615" s="579" t="str">
        <f>IFERROR(VLOOKUP(Table_NFI[[#This Row],[Camp Name]],CL,2,0),"")</f>
        <v>MMR001CMP131</v>
      </c>
      <c r="AP615" s="574">
        <f ca="1">IF(Table_NFI[[#This Row],[Pcode]]="","",IF(OFFSET(CampList[Opening Date],MATCH(Table_NFI[[#This Row],[Pcode]],CampList[CP_Pcode],0)-1,0,1,1)&gt;=NFI_Monitor_Date,1,0))</f>
        <v>0</v>
      </c>
      <c r="AQ615" s="579" t="str">
        <f>IFERROR(VLOOKUP(Table_NFI[[#This Row],[Camp Name]],CL,3,0),"")</f>
        <v>Open</v>
      </c>
      <c r="AR615" s="378" t="str">
        <f ca="1">IF(Table_NFI[[#This Row],[Pcode]]="","",OFFSET(CampList[Priority],MATCH(Table_NFI[[#This Row],[Pcode]],CampList[CP_Pcode],0)-1,0,1,1))</f>
        <v>P1</v>
      </c>
      <c r="AS615" s="377">
        <f>IFERROR(Table_NFI[[#This Row],[Kitchen Set]]/VLOOKUP(Table_NFI[[#This Row],[Camp Name]],CL,4,0),"")</f>
        <v>0</v>
      </c>
      <c r="AT615" s="572"/>
      <c r="AU615" s="575"/>
    </row>
    <row r="616" spans="1:47" ht="14.45" customHeight="1" x14ac:dyDescent="0.25">
      <c r="A616" s="381">
        <f t="shared" si="9"/>
        <v>30.1</v>
      </c>
      <c r="B616" s="571">
        <v>41619</v>
      </c>
      <c r="C616" s="572" t="s">
        <v>1030</v>
      </c>
      <c r="D616" s="572" t="s">
        <v>1031</v>
      </c>
      <c r="E616" s="572" t="s">
        <v>380</v>
      </c>
      <c r="F616" s="572" t="s">
        <v>185</v>
      </c>
      <c r="G616" s="572" t="s">
        <v>215</v>
      </c>
      <c r="H616" s="375"/>
      <c r="I616" s="375"/>
      <c r="J616" s="375"/>
      <c r="K616" s="375"/>
      <c r="L616" s="376"/>
      <c r="M616" s="376">
        <v>350</v>
      </c>
      <c r="N616" s="376"/>
      <c r="O616" s="376"/>
      <c r="P616" s="378"/>
      <c r="Q616" s="378"/>
      <c r="R616" s="378"/>
      <c r="S616" s="378"/>
      <c r="T616" s="378"/>
      <c r="U616" s="378"/>
      <c r="V616" s="533"/>
      <c r="W616" s="378"/>
      <c r="X616" s="378"/>
      <c r="Y616" s="378">
        <f>IF(NFI_Expiration=1,IF($A616&lt;VLOOKUP(H$5,NFI,5,0),1,0)*Table_NFI[[#This Row],[Hygiene Kit]],Table_NFI[Hygiene Kit])</f>
        <v>0</v>
      </c>
      <c r="Z616" s="378">
        <f>IF(NFI_Expiration=1,IF($A616&lt;VLOOKUP(I$5,NFI,5,0),1,0)*Table_NFI[[#This Row],[NFI Core Kit]],Table_NFI[NFI Core Kit])</f>
        <v>0</v>
      </c>
      <c r="AA616" s="378">
        <f>IF(NFI_Expiration=1,IF($A616&lt;VLOOKUP(J$5,NFI,5,0),1,0)*Table_NFI[[#This Row],[Sanitary Kit]],Table_NFI[Sanitary Kit])</f>
        <v>0</v>
      </c>
      <c r="AB616" s="378">
        <f>IF(NFI_Expiration=1,IF($A616&lt;VLOOKUP(K$5,NFI,5,0),1,0)*Table_NFI[[#This Row],[Mosquito net]],Table_NFI[Mosquito net])</f>
        <v>0</v>
      </c>
      <c r="AC616" s="378">
        <f>IF(NFI_Expiration=1,IF($A616&lt;VLOOKUP(L$5,NFI,5,0),1,0)*Table_NFI[[#This Row],[Tarpaulin]],Table_NFI[[#This Row],[Tarpaulin]])</f>
        <v>0</v>
      </c>
      <c r="AD616" s="378">
        <f>IF(NFI_Expiration=1,IF($A616&lt;VLOOKUP(M$5,NFI,5,0),1,0)*Table_NFI[[#This Row],[Blanket]],Table_NFI[[#This Row],[Blanket]])</f>
        <v>0</v>
      </c>
      <c r="AE616" s="378">
        <f>IF(NFI_Expiration=1,IF($A616&lt;VLOOKUP(N$5,NFI,5,0),1,0)*Table_NFI[[#This Row],[Kitchen Set]],Table_NFI[Kitchen Set])</f>
        <v>0</v>
      </c>
      <c r="AF616" s="378">
        <f>IF(NFI_Expiration=1,IF($A616&lt;VLOOKUP(O$5,NFI,5,0),1,0)*Table_NFI[[#This Row],[Clothes Kit]],Table_NFI[Clothes Kit])</f>
        <v>0</v>
      </c>
      <c r="AG616" s="378">
        <f>IF(NFI_Expiration=1,IF($A616&lt;VLOOKUP(P$5,NFI,5,0),1,0)*Table_NFI[[#This Row],[Plastic Bucket]],Table_NFI[Plastic Bucket])</f>
        <v>0</v>
      </c>
      <c r="AH616" s="378">
        <f>IF(NFI_Expiration=1,IF($A616&lt;VLOOKUP(Q$5,NFI,5,0),1,0)*Table_NFI[[#This Row],[Plastic Mat]],Table_NFI[Plastic Mat])*IF(Table_NFI[[#This Row],[Distribution Date]]&gt;"2014-04-01",1,2.5)</f>
        <v>0</v>
      </c>
      <c r="AI616" s="378">
        <f>IF(NFI_Expiration=1,IF($A616&lt;VLOOKUP(R$5,NFI,5,0),1,0)*Table_NFI[[#This Row],[Winter Clothes Adult]],Table_NFI[Winter Clothes Adult])</f>
        <v>0</v>
      </c>
      <c r="AJ616" s="378">
        <f>IF(NFI_Expiration=1,IF($A616&lt;VLOOKUP(S$5,NFI,5,0),1,0)*Table_NFI[[#This Row],[Winter Clothes Children]],Table_NFI[Winter Clothes Children])</f>
        <v>0</v>
      </c>
      <c r="AK616" s="378">
        <f>IF(NFI_Expiration=1,IF($A616&lt;VLOOKUP(T$5,NFI,5,0),1,0)*Table_NFI[[#This Row],[Winter Items Other]],Table_NFI[Winter Items Other])</f>
        <v>0</v>
      </c>
      <c r="AL616" s="378">
        <f>IF(NFI_Expiration=1,IF($A616&lt;VLOOKUP(M$5,NFI,5,0),1,0)*Table_NFI[[#This Row],[Winter Blanket]],Table_NFI[[#This Row],[Winter Blanket]])</f>
        <v>0</v>
      </c>
      <c r="AM616" s="378">
        <f>IF(Table_NFI[[#This Row],[Winter Clothes Adult]]+Table_NFI[[#This Row],[Winter Clothes Children]]+Table_NFI[[#This Row],[Winter Items Other]]+Table_NFI[[#This Row],[Winter Blanket]]&gt;0,1,0)</f>
        <v>0</v>
      </c>
      <c r="AN616" s="418">
        <f>IF(NFI_Expiration=1,IF($A616&lt;VLOOKUP(V$5,NFI,5,0),1,0)*Table_NFI[[#This Row],[Jerry Can]],Table_NFI[Jerry Can])</f>
        <v>0</v>
      </c>
      <c r="AO616" s="579" t="str">
        <f>IFERROR(VLOOKUP(Table_NFI[[#This Row],[Camp Name]],CL,2,0),"")</f>
        <v>MMR001CMP131</v>
      </c>
      <c r="AP616" s="574">
        <f ca="1">IF(Table_NFI[[#This Row],[Pcode]]="","",IF(OFFSET(CampList[Opening Date],MATCH(Table_NFI[[#This Row],[Pcode]],CampList[CP_Pcode],0)-1,0,1,1)&gt;=NFI_Monitor_Date,1,0))</f>
        <v>0</v>
      </c>
      <c r="AQ616" s="579" t="str">
        <f>IFERROR(VLOOKUP(Table_NFI[[#This Row],[Camp Name]],CL,3,0),"")</f>
        <v>Open</v>
      </c>
      <c r="AR616" s="378" t="str">
        <f ca="1">IF(Table_NFI[[#This Row],[Pcode]]="","",OFFSET(CampList[Priority],MATCH(Table_NFI[[#This Row],[Pcode]],CampList[CP_Pcode],0)-1,0,1,1))</f>
        <v>P1</v>
      </c>
      <c r="AS616" s="377">
        <f>IFERROR(Table_NFI[[#This Row],[Kitchen Set]]/VLOOKUP(Table_NFI[[#This Row],[Camp Name]],CL,4,0),"")</f>
        <v>0</v>
      </c>
      <c r="AT616" s="572" t="s">
        <v>1095</v>
      </c>
      <c r="AU616" s="575"/>
    </row>
    <row r="617" spans="1:47" x14ac:dyDescent="0.25">
      <c r="A617" s="381">
        <f t="shared" si="9"/>
        <v>30.466666666666665</v>
      </c>
      <c r="B617" s="571">
        <v>41608</v>
      </c>
      <c r="C617" s="572" t="s">
        <v>908</v>
      </c>
      <c r="D617" s="572" t="s">
        <v>1005</v>
      </c>
      <c r="E617" s="572" t="s">
        <v>380</v>
      </c>
      <c r="F617" s="374" t="s">
        <v>185</v>
      </c>
      <c r="G617" s="374" t="s">
        <v>215</v>
      </c>
      <c r="H617" s="375"/>
      <c r="I617" s="375"/>
      <c r="J617" s="375"/>
      <c r="K617" s="375"/>
      <c r="L617" s="376"/>
      <c r="M617" s="376"/>
      <c r="N617" s="376"/>
      <c r="O617" s="376"/>
      <c r="P617" s="378"/>
      <c r="Q617" s="378"/>
      <c r="R617" s="378"/>
      <c r="S617" s="378"/>
      <c r="T617" s="378"/>
      <c r="U617" s="378"/>
      <c r="V617" s="533"/>
      <c r="W617" s="378"/>
      <c r="X617" s="378"/>
      <c r="Y617" s="378">
        <f>IF(NFI_Expiration=1,IF($A617&lt;VLOOKUP(H$5,NFI,5,0),1,0)*Table_NFI[[#This Row],[Hygiene Kit]],Table_NFI[Hygiene Kit])</f>
        <v>0</v>
      </c>
      <c r="Z617" s="378">
        <f>IF(NFI_Expiration=1,IF($A617&lt;VLOOKUP(I$5,NFI,5,0),1,0)*Table_NFI[[#This Row],[NFI Core Kit]],Table_NFI[NFI Core Kit])</f>
        <v>0</v>
      </c>
      <c r="AA617" s="378">
        <f>IF(NFI_Expiration=1,IF($A617&lt;VLOOKUP(J$5,NFI,5,0),1,0)*Table_NFI[[#This Row],[Sanitary Kit]],Table_NFI[Sanitary Kit])</f>
        <v>0</v>
      </c>
      <c r="AB617" s="378">
        <f>IF(NFI_Expiration=1,IF($A617&lt;VLOOKUP(K$5,NFI,5,0),1,0)*Table_NFI[[#This Row],[Mosquito net]],Table_NFI[Mosquito net])</f>
        <v>0</v>
      </c>
      <c r="AC617" s="378">
        <f>IF(NFI_Expiration=1,IF($A617&lt;VLOOKUP(L$5,NFI,5,0),1,0)*Table_NFI[[#This Row],[Tarpaulin]],Table_NFI[[#This Row],[Tarpaulin]])</f>
        <v>0</v>
      </c>
      <c r="AD617" s="378">
        <f>IF(NFI_Expiration=1,IF($A617&lt;VLOOKUP(M$5,NFI,5,0),1,0)*Table_NFI[[#This Row],[Blanket]],Table_NFI[[#This Row],[Blanket]])</f>
        <v>0</v>
      </c>
      <c r="AE617" s="378">
        <f>IF(NFI_Expiration=1,IF($A617&lt;VLOOKUP(N$5,NFI,5,0),1,0)*Table_NFI[[#This Row],[Kitchen Set]],Table_NFI[Kitchen Set])</f>
        <v>0</v>
      </c>
      <c r="AF617" s="378">
        <f>IF(NFI_Expiration=1,IF($A617&lt;VLOOKUP(O$5,NFI,5,0),1,0)*Table_NFI[[#This Row],[Clothes Kit]],Table_NFI[Clothes Kit])</f>
        <v>0</v>
      </c>
      <c r="AG617" s="378">
        <f>IF(NFI_Expiration=1,IF($A617&lt;VLOOKUP(P$5,NFI,5,0),1,0)*Table_NFI[[#This Row],[Plastic Bucket]],Table_NFI[Plastic Bucket])</f>
        <v>0</v>
      </c>
      <c r="AH617" s="378">
        <f>IF(NFI_Expiration=1,IF($A617&lt;VLOOKUP(Q$5,NFI,5,0),1,0)*Table_NFI[[#This Row],[Plastic Mat]],Table_NFI[Plastic Mat])*IF(Table_NFI[[#This Row],[Distribution Date]]&gt;"2014-04-01",1,2.5)</f>
        <v>0</v>
      </c>
      <c r="AI617" s="378">
        <f>IF(NFI_Expiration=1,IF($A617&lt;VLOOKUP(R$5,NFI,5,0),1,0)*Table_NFI[[#This Row],[Winter Clothes Adult]],Table_NFI[Winter Clothes Adult])</f>
        <v>0</v>
      </c>
      <c r="AJ617" s="378">
        <f>IF(NFI_Expiration=1,IF($A617&lt;VLOOKUP(S$5,NFI,5,0),1,0)*Table_NFI[[#This Row],[Winter Clothes Children]],Table_NFI[Winter Clothes Children])</f>
        <v>0</v>
      </c>
      <c r="AK617" s="378">
        <f>IF(NFI_Expiration=1,IF($A617&lt;VLOOKUP(T$5,NFI,5,0),1,0)*Table_NFI[[#This Row],[Winter Items Other]],Table_NFI[Winter Items Other])</f>
        <v>0</v>
      </c>
      <c r="AL617" s="378">
        <f>IF(NFI_Expiration=1,IF($A617&lt;VLOOKUP(M$5,NFI,5,0),1,0)*Table_NFI[[#This Row],[Winter Blanket]],Table_NFI[[#This Row],[Winter Blanket]])</f>
        <v>0</v>
      </c>
      <c r="AM617" s="378">
        <f>IF(Table_NFI[[#This Row],[Winter Clothes Adult]]+Table_NFI[[#This Row],[Winter Clothes Children]]+Table_NFI[[#This Row],[Winter Items Other]]+Table_NFI[[#This Row],[Winter Blanket]]&gt;0,1,0)</f>
        <v>0</v>
      </c>
      <c r="AN617" s="418">
        <f>IF(NFI_Expiration=1,IF($A617&lt;VLOOKUP(V$5,NFI,5,0),1,0)*Table_NFI[[#This Row],[Jerry Can]],Table_NFI[Jerry Can])</f>
        <v>0</v>
      </c>
      <c r="AO617" s="579" t="str">
        <f>IFERROR(VLOOKUP(Table_NFI[[#This Row],[Camp Name]],CL,2,0),"")</f>
        <v>MMR001CMP131</v>
      </c>
      <c r="AP617" s="574">
        <f ca="1">IF(Table_NFI[[#This Row],[Pcode]]="","",IF(OFFSET(CampList[Opening Date],MATCH(Table_NFI[[#This Row],[Pcode]],CampList[CP_Pcode],0)-1,0,1,1)&gt;=NFI_Monitor_Date,1,0))</f>
        <v>0</v>
      </c>
      <c r="AQ617" s="579" t="str">
        <f>IFERROR(VLOOKUP(Table_NFI[[#This Row],[Camp Name]],CL,3,0),"")</f>
        <v>Open</v>
      </c>
      <c r="AR617" s="378" t="str">
        <f ca="1">IF(Table_NFI[[#This Row],[Pcode]]="","",OFFSET(CampList[Priority],MATCH(Table_NFI[[#This Row],[Pcode]],CampList[CP_Pcode],0)-1,0,1,1))</f>
        <v>P1</v>
      </c>
      <c r="AS617" s="377">
        <f>IFERROR(Table_NFI[[#This Row],[Kitchen Set]]/VLOOKUP(Table_NFI[[#This Row],[Camp Name]],CL,4,0),"")</f>
        <v>0</v>
      </c>
      <c r="AT617" s="572" t="s">
        <v>1095</v>
      </c>
      <c r="AU617" s="575"/>
    </row>
    <row r="618" spans="1:47" x14ac:dyDescent="0.25">
      <c r="A618" s="381">
        <f t="shared" si="9"/>
        <v>30.966666666666665</v>
      </c>
      <c r="B618" s="571">
        <v>41593</v>
      </c>
      <c r="C618" s="572" t="s">
        <v>908</v>
      </c>
      <c r="D618" s="572" t="s">
        <v>1005</v>
      </c>
      <c r="E618" s="572" t="s">
        <v>380</v>
      </c>
      <c r="F618" s="572" t="s">
        <v>185</v>
      </c>
      <c r="G618" s="572" t="s">
        <v>215</v>
      </c>
      <c r="H618" s="375"/>
      <c r="I618" s="375"/>
      <c r="J618" s="375"/>
      <c r="K618" s="375"/>
      <c r="L618" s="376"/>
      <c r="M618" s="376"/>
      <c r="N618" s="376"/>
      <c r="O618" s="376"/>
      <c r="P618" s="378"/>
      <c r="Q618" s="378"/>
      <c r="R618" s="378">
        <v>387</v>
      </c>
      <c r="S618" s="378">
        <v>760</v>
      </c>
      <c r="T618" s="378">
        <v>2294</v>
      </c>
      <c r="U618" s="378">
        <v>1147</v>
      </c>
      <c r="V618" s="533"/>
      <c r="W618" s="378"/>
      <c r="X618" s="378"/>
      <c r="Y618" s="378">
        <f>IF(NFI_Expiration=1,IF($A618&lt;VLOOKUP(H$5,NFI,5,0),1,0)*Table_NFI[[#This Row],[Hygiene Kit]],Table_NFI[Hygiene Kit])</f>
        <v>0</v>
      </c>
      <c r="Z618" s="378">
        <f>IF(NFI_Expiration=1,IF($A618&lt;VLOOKUP(I$5,NFI,5,0),1,0)*Table_NFI[[#This Row],[NFI Core Kit]],Table_NFI[NFI Core Kit])</f>
        <v>0</v>
      </c>
      <c r="AA618" s="378">
        <f>IF(NFI_Expiration=1,IF($A618&lt;VLOOKUP(J$5,NFI,5,0),1,0)*Table_NFI[[#This Row],[Sanitary Kit]],Table_NFI[Sanitary Kit])</f>
        <v>0</v>
      </c>
      <c r="AB618" s="378">
        <f>IF(NFI_Expiration=1,IF($A618&lt;VLOOKUP(K$5,NFI,5,0),1,0)*Table_NFI[[#This Row],[Mosquito net]],Table_NFI[Mosquito net])</f>
        <v>0</v>
      </c>
      <c r="AC618" s="378">
        <f>IF(NFI_Expiration=1,IF($A618&lt;VLOOKUP(L$5,NFI,5,0),1,0)*Table_NFI[[#This Row],[Tarpaulin]],Table_NFI[[#This Row],[Tarpaulin]])</f>
        <v>0</v>
      </c>
      <c r="AD618" s="378">
        <f>IF(NFI_Expiration=1,IF($A618&lt;VLOOKUP(M$5,NFI,5,0),1,0)*Table_NFI[[#This Row],[Blanket]],Table_NFI[[#This Row],[Blanket]])</f>
        <v>0</v>
      </c>
      <c r="AE618" s="378">
        <f>IF(NFI_Expiration=1,IF($A618&lt;VLOOKUP(N$5,NFI,5,0),1,0)*Table_NFI[[#This Row],[Kitchen Set]],Table_NFI[Kitchen Set])</f>
        <v>0</v>
      </c>
      <c r="AF618" s="378">
        <f>IF(NFI_Expiration=1,IF($A618&lt;VLOOKUP(O$5,NFI,5,0),1,0)*Table_NFI[[#This Row],[Clothes Kit]],Table_NFI[Clothes Kit])</f>
        <v>0</v>
      </c>
      <c r="AG618" s="378">
        <f>IF(NFI_Expiration=1,IF($A618&lt;VLOOKUP(P$5,NFI,5,0),1,0)*Table_NFI[[#This Row],[Plastic Bucket]],Table_NFI[Plastic Bucket])</f>
        <v>0</v>
      </c>
      <c r="AH618" s="378">
        <f>IF(NFI_Expiration=1,IF($A618&lt;VLOOKUP(Q$5,NFI,5,0),1,0)*Table_NFI[[#This Row],[Plastic Mat]],Table_NFI[Plastic Mat])*IF(Table_NFI[[#This Row],[Distribution Date]]&gt;"2014-04-01",1,2.5)</f>
        <v>0</v>
      </c>
      <c r="AI618" s="378">
        <f>IF(NFI_Expiration=1,IF($A618&lt;VLOOKUP(R$5,NFI,5,0),1,0)*Table_NFI[[#This Row],[Winter Clothes Adult]],Table_NFI[Winter Clothes Adult])</f>
        <v>0</v>
      </c>
      <c r="AJ618" s="378">
        <f>IF(NFI_Expiration=1,IF($A618&lt;VLOOKUP(S$5,NFI,5,0),1,0)*Table_NFI[[#This Row],[Winter Clothes Children]],Table_NFI[Winter Clothes Children])</f>
        <v>0</v>
      </c>
      <c r="AK618" s="378">
        <f>IF(NFI_Expiration=1,IF($A618&lt;VLOOKUP(T$5,NFI,5,0),1,0)*Table_NFI[[#This Row],[Winter Items Other]],Table_NFI[Winter Items Other])</f>
        <v>0</v>
      </c>
      <c r="AL618" s="378">
        <f>IF(NFI_Expiration=1,IF($A618&lt;VLOOKUP(M$5,NFI,5,0),1,0)*Table_NFI[[#This Row],[Winter Blanket]],Table_NFI[[#This Row],[Winter Blanket]])</f>
        <v>0</v>
      </c>
      <c r="AM618" s="378">
        <f>IF(Table_NFI[[#This Row],[Winter Clothes Adult]]+Table_NFI[[#This Row],[Winter Clothes Children]]+Table_NFI[[#This Row],[Winter Items Other]]+Table_NFI[[#This Row],[Winter Blanket]]&gt;0,1,0)</f>
        <v>1</v>
      </c>
      <c r="AN618" s="418">
        <f>IF(NFI_Expiration=1,IF($A618&lt;VLOOKUP(V$5,NFI,5,0),1,0)*Table_NFI[[#This Row],[Jerry Can]],Table_NFI[Jerry Can])</f>
        <v>0</v>
      </c>
      <c r="AO618" s="579" t="str">
        <f>IFERROR(VLOOKUP(Table_NFI[[#This Row],[Camp Name]],CL,2,0),"")</f>
        <v>MMR001CMP131</v>
      </c>
      <c r="AP618" s="574">
        <f ca="1">IF(Table_NFI[[#This Row],[Pcode]]="","",IF(OFFSET(CampList[Opening Date],MATCH(Table_NFI[[#This Row],[Pcode]],CampList[CP_Pcode],0)-1,0,1,1)&gt;=NFI_Monitor_Date,1,0))</f>
        <v>0</v>
      </c>
      <c r="AQ618" s="579" t="str">
        <f>IFERROR(VLOOKUP(Table_NFI[[#This Row],[Camp Name]],CL,3,0),"")</f>
        <v>Open</v>
      </c>
      <c r="AR618" s="378" t="str">
        <f ca="1">IF(Table_NFI[[#This Row],[Pcode]]="","",OFFSET(CampList[Priority],MATCH(Table_NFI[[#This Row],[Pcode]],CampList[CP_Pcode],0)-1,0,1,1))</f>
        <v>P1</v>
      </c>
      <c r="AS618" s="377">
        <f>IFERROR(Table_NFI[[#This Row],[Kitchen Set]]/VLOOKUP(Table_NFI[[#This Row],[Camp Name]],CL,4,0),"")</f>
        <v>0</v>
      </c>
      <c r="AT618" s="572"/>
      <c r="AU618" s="575"/>
    </row>
    <row r="619" spans="1:47" x14ac:dyDescent="0.25">
      <c r="A619" s="381">
        <f t="shared" si="9"/>
        <v>31.1</v>
      </c>
      <c r="B619" s="571">
        <v>41589</v>
      </c>
      <c r="C619" s="572" t="s">
        <v>454</v>
      </c>
      <c r="D619" s="572" t="s">
        <v>575</v>
      </c>
      <c r="E619" s="572" t="s">
        <v>380</v>
      </c>
      <c r="F619" s="374" t="s">
        <v>185</v>
      </c>
      <c r="G619" s="374" t="s">
        <v>215</v>
      </c>
      <c r="H619" s="375"/>
      <c r="I619" s="375"/>
      <c r="J619" s="375">
        <v>36</v>
      </c>
      <c r="K619" s="375">
        <v>200</v>
      </c>
      <c r="L619" s="376">
        <v>100</v>
      </c>
      <c r="M619" s="376"/>
      <c r="N619" s="376">
        <v>100</v>
      </c>
      <c r="O619" s="376">
        <v>100</v>
      </c>
      <c r="P619" s="378"/>
      <c r="Q619" s="378"/>
      <c r="R619" s="378"/>
      <c r="S619" s="378"/>
      <c r="T619" s="378"/>
      <c r="U619" s="378"/>
      <c r="V619" s="533"/>
      <c r="W619" s="378"/>
      <c r="X619" s="378"/>
      <c r="Y619" s="378">
        <f>IF(NFI_Expiration=1,IF($A619&lt;VLOOKUP(H$5,NFI,5,0),1,0)*Table_NFI[[#This Row],[Hygiene Kit]],Table_NFI[Hygiene Kit])</f>
        <v>0</v>
      </c>
      <c r="Z619" s="378">
        <f>IF(NFI_Expiration=1,IF($A619&lt;VLOOKUP(I$5,NFI,5,0),1,0)*Table_NFI[[#This Row],[NFI Core Kit]],Table_NFI[NFI Core Kit])</f>
        <v>0</v>
      </c>
      <c r="AA619" s="378">
        <f>IF(NFI_Expiration=1,IF($A619&lt;VLOOKUP(J$5,NFI,5,0),1,0)*Table_NFI[[#This Row],[Sanitary Kit]],Table_NFI[Sanitary Kit])</f>
        <v>0</v>
      </c>
      <c r="AB619" s="378">
        <f>IF(NFI_Expiration=1,IF($A619&lt;VLOOKUP(K$5,NFI,5,0),1,0)*Table_NFI[[#This Row],[Mosquito net]],Table_NFI[Mosquito net])</f>
        <v>0</v>
      </c>
      <c r="AC619" s="378">
        <f>IF(NFI_Expiration=1,IF($A619&lt;VLOOKUP(L$5,NFI,5,0),1,0)*Table_NFI[[#This Row],[Tarpaulin]],Table_NFI[[#This Row],[Tarpaulin]])</f>
        <v>0</v>
      </c>
      <c r="AD619" s="378">
        <f>IF(NFI_Expiration=1,IF($A619&lt;VLOOKUP(M$5,NFI,5,0),1,0)*Table_NFI[[#This Row],[Blanket]],Table_NFI[[#This Row],[Blanket]])</f>
        <v>0</v>
      </c>
      <c r="AE619" s="378">
        <f>IF(NFI_Expiration=1,IF($A619&lt;VLOOKUP(N$5,NFI,5,0),1,0)*Table_NFI[[#This Row],[Kitchen Set]],Table_NFI[Kitchen Set])</f>
        <v>0</v>
      </c>
      <c r="AF619" s="378">
        <f>IF(NFI_Expiration=1,IF($A619&lt;VLOOKUP(O$5,NFI,5,0),1,0)*Table_NFI[[#This Row],[Clothes Kit]],Table_NFI[Clothes Kit])</f>
        <v>0</v>
      </c>
      <c r="AG619" s="378">
        <f>IF(NFI_Expiration=1,IF($A619&lt;VLOOKUP(P$5,NFI,5,0),1,0)*Table_NFI[[#This Row],[Plastic Bucket]],Table_NFI[Plastic Bucket])</f>
        <v>0</v>
      </c>
      <c r="AH619" s="378">
        <f>IF(NFI_Expiration=1,IF($A619&lt;VLOOKUP(Q$5,NFI,5,0),1,0)*Table_NFI[[#This Row],[Plastic Mat]],Table_NFI[Plastic Mat])*IF(Table_NFI[[#This Row],[Distribution Date]]&gt;"2014-04-01",1,2.5)</f>
        <v>0</v>
      </c>
      <c r="AI619" s="378">
        <f>IF(NFI_Expiration=1,IF($A619&lt;VLOOKUP(R$5,NFI,5,0),1,0)*Table_NFI[[#This Row],[Winter Clothes Adult]],Table_NFI[Winter Clothes Adult])</f>
        <v>0</v>
      </c>
      <c r="AJ619" s="378">
        <f>IF(NFI_Expiration=1,IF($A619&lt;VLOOKUP(S$5,NFI,5,0),1,0)*Table_NFI[[#This Row],[Winter Clothes Children]],Table_NFI[Winter Clothes Children])</f>
        <v>0</v>
      </c>
      <c r="AK619" s="378">
        <f>IF(NFI_Expiration=1,IF($A619&lt;VLOOKUP(T$5,NFI,5,0),1,0)*Table_NFI[[#This Row],[Winter Items Other]],Table_NFI[Winter Items Other])</f>
        <v>0</v>
      </c>
      <c r="AL619" s="378">
        <f>IF(NFI_Expiration=1,IF($A619&lt;VLOOKUP(M$5,NFI,5,0),1,0)*Table_NFI[[#This Row],[Winter Blanket]],Table_NFI[[#This Row],[Winter Blanket]])</f>
        <v>0</v>
      </c>
      <c r="AM619" s="378">
        <f>IF(Table_NFI[[#This Row],[Winter Clothes Adult]]+Table_NFI[[#This Row],[Winter Clothes Children]]+Table_NFI[[#This Row],[Winter Items Other]]+Table_NFI[[#This Row],[Winter Blanket]]&gt;0,1,0)</f>
        <v>0</v>
      </c>
      <c r="AN619" s="418">
        <f>IF(NFI_Expiration=1,IF($A619&lt;VLOOKUP(V$5,NFI,5,0),1,0)*Table_NFI[[#This Row],[Jerry Can]],Table_NFI[Jerry Can])</f>
        <v>0</v>
      </c>
      <c r="AO619" s="579" t="str">
        <f>IFERROR(VLOOKUP(Table_NFI[[#This Row],[Camp Name]],CL,2,0),"")</f>
        <v>MMR001CMP131</v>
      </c>
      <c r="AP619" s="574">
        <f ca="1">IF(Table_NFI[[#This Row],[Pcode]]="","",IF(OFFSET(CampList[Opening Date],MATCH(Table_NFI[[#This Row],[Pcode]],CampList[CP_Pcode],0)-1,0,1,1)&gt;=NFI_Monitor_Date,1,0))</f>
        <v>0</v>
      </c>
      <c r="AQ619" s="579" t="str">
        <f>IFERROR(VLOOKUP(Table_NFI[[#This Row],[Camp Name]],CL,3,0),"")</f>
        <v>Open</v>
      </c>
      <c r="AR619" s="378" t="str">
        <f ca="1">IF(Table_NFI[[#This Row],[Pcode]]="","",OFFSET(CampList[Priority],MATCH(Table_NFI[[#This Row],[Pcode]],CampList[CP_Pcode],0)-1,0,1,1))</f>
        <v>P1</v>
      </c>
      <c r="AS619" s="377">
        <f>IFERROR(Table_NFI[[#This Row],[Kitchen Set]]/VLOOKUP(Table_NFI[[#This Row],[Camp Name]],CL,4,0),"")</f>
        <v>0.26666666666666666</v>
      </c>
      <c r="AT619" s="572" t="s">
        <v>1095</v>
      </c>
      <c r="AU619" s="575"/>
    </row>
    <row r="620" spans="1:47" x14ac:dyDescent="0.25">
      <c r="A620" s="381">
        <f t="shared" si="9"/>
        <v>33.1</v>
      </c>
      <c r="B620" s="571">
        <v>41529</v>
      </c>
      <c r="C620" s="572" t="s">
        <v>454</v>
      </c>
      <c r="D620" s="572" t="s">
        <v>454</v>
      </c>
      <c r="E620" s="572" t="s">
        <v>380</v>
      </c>
      <c r="F620" s="374" t="s">
        <v>185</v>
      </c>
      <c r="G620" s="374" t="s">
        <v>215</v>
      </c>
      <c r="H620" s="375"/>
      <c r="I620" s="375"/>
      <c r="J620" s="375">
        <v>640</v>
      </c>
      <c r="K620" s="375">
        <v>640</v>
      </c>
      <c r="L620" s="376">
        <v>320</v>
      </c>
      <c r="M620" s="376">
        <v>320</v>
      </c>
      <c r="N620" s="376">
        <v>320</v>
      </c>
      <c r="O620" s="376">
        <v>320</v>
      </c>
      <c r="P620" s="378">
        <v>640</v>
      </c>
      <c r="Q620" s="378">
        <v>320</v>
      </c>
      <c r="R620" s="378"/>
      <c r="S620" s="378"/>
      <c r="T620" s="378"/>
      <c r="U620" s="378"/>
      <c r="V620" s="533"/>
      <c r="W620" s="378"/>
      <c r="X620" s="378"/>
      <c r="Y620" s="378">
        <f>IF(NFI_Expiration=1,IF($A620&lt;VLOOKUP(H$5,NFI,5,0),1,0)*Table_NFI[[#This Row],[Hygiene Kit]],Table_NFI[Hygiene Kit])</f>
        <v>0</v>
      </c>
      <c r="Z620" s="378">
        <f>IF(NFI_Expiration=1,IF($A620&lt;VLOOKUP(I$5,NFI,5,0),1,0)*Table_NFI[[#This Row],[NFI Core Kit]],Table_NFI[NFI Core Kit])</f>
        <v>0</v>
      </c>
      <c r="AA620" s="378">
        <f>IF(NFI_Expiration=1,IF($A620&lt;VLOOKUP(J$5,NFI,5,0),1,0)*Table_NFI[[#This Row],[Sanitary Kit]],Table_NFI[Sanitary Kit])</f>
        <v>0</v>
      </c>
      <c r="AB620" s="378">
        <f>IF(NFI_Expiration=1,IF($A620&lt;VLOOKUP(K$5,NFI,5,0),1,0)*Table_NFI[[#This Row],[Mosquito net]],Table_NFI[Mosquito net])</f>
        <v>0</v>
      </c>
      <c r="AC620" s="378">
        <f>IF(NFI_Expiration=1,IF($A620&lt;VLOOKUP(L$5,NFI,5,0),1,0)*Table_NFI[[#This Row],[Tarpaulin]],Table_NFI[[#This Row],[Tarpaulin]])</f>
        <v>0</v>
      </c>
      <c r="AD620" s="378">
        <f>IF(NFI_Expiration=1,IF($A620&lt;VLOOKUP(M$5,NFI,5,0),1,0)*Table_NFI[[#This Row],[Blanket]],Table_NFI[[#This Row],[Blanket]])</f>
        <v>0</v>
      </c>
      <c r="AE620" s="378">
        <f>IF(NFI_Expiration=1,IF($A620&lt;VLOOKUP(N$5,NFI,5,0),1,0)*Table_NFI[[#This Row],[Kitchen Set]],Table_NFI[Kitchen Set])</f>
        <v>0</v>
      </c>
      <c r="AF620" s="378">
        <f>IF(NFI_Expiration=1,IF($A620&lt;VLOOKUP(O$5,NFI,5,0),1,0)*Table_NFI[[#This Row],[Clothes Kit]],Table_NFI[Clothes Kit])</f>
        <v>0</v>
      </c>
      <c r="AG620" s="378">
        <f>IF(NFI_Expiration=1,IF($A620&lt;VLOOKUP(P$5,NFI,5,0),1,0)*Table_NFI[[#This Row],[Plastic Bucket]],Table_NFI[Plastic Bucket])</f>
        <v>0</v>
      </c>
      <c r="AH620" s="378">
        <f>IF(NFI_Expiration=1,IF($A620&lt;VLOOKUP(Q$5,NFI,5,0),1,0)*Table_NFI[[#This Row],[Plastic Mat]],Table_NFI[Plastic Mat])*IF(Table_NFI[[#This Row],[Distribution Date]]&gt;"2014-04-01",1,2.5)</f>
        <v>0</v>
      </c>
      <c r="AI620" s="378">
        <f>IF(NFI_Expiration=1,IF($A620&lt;VLOOKUP(R$5,NFI,5,0),1,0)*Table_NFI[[#This Row],[Winter Clothes Adult]],Table_NFI[Winter Clothes Adult])</f>
        <v>0</v>
      </c>
      <c r="AJ620" s="378">
        <f>IF(NFI_Expiration=1,IF($A620&lt;VLOOKUP(S$5,NFI,5,0),1,0)*Table_NFI[[#This Row],[Winter Clothes Children]],Table_NFI[Winter Clothes Children])</f>
        <v>0</v>
      </c>
      <c r="AK620" s="378">
        <f>IF(NFI_Expiration=1,IF($A620&lt;VLOOKUP(T$5,NFI,5,0),1,0)*Table_NFI[[#This Row],[Winter Items Other]],Table_NFI[Winter Items Other])</f>
        <v>0</v>
      </c>
      <c r="AL620" s="378">
        <f>IF(NFI_Expiration=1,IF($A620&lt;VLOOKUP(M$5,NFI,5,0),1,0)*Table_NFI[[#This Row],[Winter Blanket]],Table_NFI[[#This Row],[Winter Blanket]])</f>
        <v>0</v>
      </c>
      <c r="AM620" s="378">
        <f>IF(Table_NFI[[#This Row],[Winter Clothes Adult]]+Table_NFI[[#This Row],[Winter Clothes Children]]+Table_NFI[[#This Row],[Winter Items Other]]+Table_NFI[[#This Row],[Winter Blanket]]&gt;0,1,0)</f>
        <v>0</v>
      </c>
      <c r="AN620" s="418">
        <f>IF(NFI_Expiration=1,IF($A620&lt;VLOOKUP(V$5,NFI,5,0),1,0)*Table_NFI[[#This Row],[Jerry Can]],Table_NFI[Jerry Can])</f>
        <v>0</v>
      </c>
      <c r="AO620" s="579" t="str">
        <f>IFERROR(VLOOKUP(Table_NFI[[#This Row],[Camp Name]],CL,2,0),"")</f>
        <v>MMR001CMP131</v>
      </c>
      <c r="AP620" s="574">
        <f ca="1">IF(Table_NFI[[#This Row],[Pcode]]="","",IF(OFFSET(CampList[Opening Date],MATCH(Table_NFI[[#This Row],[Pcode]],CampList[CP_Pcode],0)-1,0,1,1)&gt;=NFI_Monitor_Date,1,0))</f>
        <v>0</v>
      </c>
      <c r="AQ620" s="579" t="str">
        <f>IFERROR(VLOOKUP(Table_NFI[[#This Row],[Camp Name]],CL,3,0),"")</f>
        <v>Open</v>
      </c>
      <c r="AR620" s="378" t="str">
        <f ca="1">IF(Table_NFI[[#This Row],[Pcode]]="","",OFFSET(CampList[Priority],MATCH(Table_NFI[[#This Row],[Pcode]],CampList[CP_Pcode],0)-1,0,1,1))</f>
        <v>P1</v>
      </c>
      <c r="AS620" s="377">
        <f>IFERROR(Table_NFI[[#This Row],[Kitchen Set]]/VLOOKUP(Table_NFI[[#This Row],[Camp Name]],CL,4,0),"")</f>
        <v>0.85333333333333339</v>
      </c>
      <c r="AT620" s="572" t="s">
        <v>1095</v>
      </c>
      <c r="AU620" s="575"/>
    </row>
    <row r="621" spans="1:47" x14ac:dyDescent="0.25">
      <c r="A621" s="381">
        <f t="shared" si="9"/>
        <v>48</v>
      </c>
      <c r="B621" s="571">
        <v>41082</v>
      </c>
      <c r="C621" s="572" t="s">
        <v>454</v>
      </c>
      <c r="D621" s="572" t="s">
        <v>454</v>
      </c>
      <c r="E621" s="572" t="s">
        <v>380</v>
      </c>
      <c r="F621" s="374" t="s">
        <v>185</v>
      </c>
      <c r="G621" s="374" t="s">
        <v>215</v>
      </c>
      <c r="H621" s="375"/>
      <c r="I621" s="375"/>
      <c r="J621" s="375"/>
      <c r="K621" s="375">
        <v>140</v>
      </c>
      <c r="L621" s="376">
        <v>70</v>
      </c>
      <c r="M621" s="376">
        <v>140</v>
      </c>
      <c r="N621" s="376">
        <v>70</v>
      </c>
      <c r="O621" s="376">
        <v>70</v>
      </c>
      <c r="P621" s="378">
        <v>70</v>
      </c>
      <c r="Q621" s="378">
        <v>70</v>
      </c>
      <c r="R621" s="378"/>
      <c r="S621" s="378"/>
      <c r="T621" s="378"/>
      <c r="U621" s="378"/>
      <c r="V621" s="533"/>
      <c r="W621" s="378"/>
      <c r="X621" s="378"/>
      <c r="Y621" s="378">
        <f>IF(NFI_Expiration=1,IF($A621&lt;VLOOKUP(H$5,NFI,5,0),1,0)*Table_NFI[[#This Row],[Hygiene Kit]],Table_NFI[Hygiene Kit])</f>
        <v>0</v>
      </c>
      <c r="Z621" s="378">
        <f>IF(NFI_Expiration=1,IF($A621&lt;VLOOKUP(I$5,NFI,5,0),1,0)*Table_NFI[[#This Row],[NFI Core Kit]],Table_NFI[NFI Core Kit])</f>
        <v>0</v>
      </c>
      <c r="AA621" s="378">
        <f>IF(NFI_Expiration=1,IF($A621&lt;VLOOKUP(J$5,NFI,5,0),1,0)*Table_NFI[[#This Row],[Sanitary Kit]],Table_NFI[Sanitary Kit])</f>
        <v>0</v>
      </c>
      <c r="AB621" s="378">
        <f>IF(NFI_Expiration=1,IF($A621&lt;VLOOKUP(K$5,NFI,5,0),1,0)*Table_NFI[[#This Row],[Mosquito net]],Table_NFI[Mosquito net])</f>
        <v>0</v>
      </c>
      <c r="AC621" s="378">
        <f>IF(NFI_Expiration=1,IF($A621&lt;VLOOKUP(L$5,NFI,5,0),1,0)*Table_NFI[[#This Row],[Tarpaulin]],Table_NFI[[#This Row],[Tarpaulin]])</f>
        <v>0</v>
      </c>
      <c r="AD621" s="378">
        <f>IF(NFI_Expiration=1,IF($A621&lt;VLOOKUP(M$5,NFI,5,0),1,0)*Table_NFI[[#This Row],[Blanket]],Table_NFI[[#This Row],[Blanket]])</f>
        <v>0</v>
      </c>
      <c r="AE621" s="378">
        <f>IF(NFI_Expiration=1,IF($A621&lt;VLOOKUP(N$5,NFI,5,0),1,0)*Table_NFI[[#This Row],[Kitchen Set]],Table_NFI[Kitchen Set])</f>
        <v>0</v>
      </c>
      <c r="AF621" s="378">
        <f>IF(NFI_Expiration=1,IF($A621&lt;VLOOKUP(O$5,NFI,5,0),1,0)*Table_NFI[[#This Row],[Clothes Kit]],Table_NFI[Clothes Kit])</f>
        <v>0</v>
      </c>
      <c r="AG621" s="378">
        <f>IF(NFI_Expiration=1,IF($A621&lt;VLOOKUP(P$5,NFI,5,0),1,0)*Table_NFI[[#This Row],[Plastic Bucket]],Table_NFI[Plastic Bucket])</f>
        <v>0</v>
      </c>
      <c r="AH621" s="378">
        <f>IF(NFI_Expiration=1,IF($A621&lt;VLOOKUP(Q$5,NFI,5,0),1,0)*Table_NFI[[#This Row],[Plastic Mat]],Table_NFI[Plastic Mat])*IF(Table_NFI[[#This Row],[Distribution Date]]&gt;"2014-04-01",1,2.5)</f>
        <v>0</v>
      </c>
      <c r="AI621" s="378">
        <f>IF(NFI_Expiration=1,IF($A621&lt;VLOOKUP(R$5,NFI,5,0),1,0)*Table_NFI[[#This Row],[Winter Clothes Adult]],Table_NFI[Winter Clothes Adult])</f>
        <v>0</v>
      </c>
      <c r="AJ621" s="378">
        <f>IF(NFI_Expiration=1,IF($A621&lt;VLOOKUP(S$5,NFI,5,0),1,0)*Table_NFI[[#This Row],[Winter Clothes Children]],Table_NFI[Winter Clothes Children])</f>
        <v>0</v>
      </c>
      <c r="AK621" s="378">
        <f>IF(NFI_Expiration=1,IF($A621&lt;VLOOKUP(T$5,NFI,5,0),1,0)*Table_NFI[[#This Row],[Winter Items Other]],Table_NFI[Winter Items Other])</f>
        <v>0</v>
      </c>
      <c r="AL621" s="378">
        <f>IF(NFI_Expiration=1,IF($A621&lt;VLOOKUP(M$5,NFI,5,0),1,0)*Table_NFI[[#This Row],[Winter Blanket]],Table_NFI[[#This Row],[Winter Blanket]])</f>
        <v>0</v>
      </c>
      <c r="AM621" s="378">
        <f>IF(Table_NFI[[#This Row],[Winter Clothes Adult]]+Table_NFI[[#This Row],[Winter Clothes Children]]+Table_NFI[[#This Row],[Winter Items Other]]+Table_NFI[[#This Row],[Winter Blanket]]&gt;0,1,0)</f>
        <v>0</v>
      </c>
      <c r="AN621" s="418">
        <f>IF(NFI_Expiration=1,IF($A621&lt;VLOOKUP(V$5,NFI,5,0),1,0)*Table_NFI[[#This Row],[Jerry Can]],Table_NFI[Jerry Can])</f>
        <v>0</v>
      </c>
      <c r="AO621" s="579" t="str">
        <f>IFERROR(VLOOKUP(Table_NFI[[#This Row],[Camp Name]],CL,2,0),"")</f>
        <v>MMR001CMP131</v>
      </c>
      <c r="AP621" s="574">
        <f ca="1">IF(Table_NFI[[#This Row],[Pcode]]="","",IF(OFFSET(CampList[Opening Date],MATCH(Table_NFI[[#This Row],[Pcode]],CampList[CP_Pcode],0)-1,0,1,1)&gt;=NFI_Monitor_Date,1,0))</f>
        <v>0</v>
      </c>
      <c r="AQ621" s="579" t="str">
        <f>IFERROR(VLOOKUP(Table_NFI[[#This Row],[Camp Name]],CL,3,0),"")</f>
        <v>Open</v>
      </c>
      <c r="AR621" s="378" t="str">
        <f ca="1">IF(Table_NFI[[#This Row],[Pcode]]="","",OFFSET(CampList[Priority],MATCH(Table_NFI[[#This Row],[Pcode]],CampList[CP_Pcode],0)-1,0,1,1))</f>
        <v>P1</v>
      </c>
      <c r="AS621" s="377">
        <f>IFERROR(Table_NFI[[#This Row],[Kitchen Set]]/VLOOKUP(Table_NFI[[#This Row],[Camp Name]],CL,4,0),"")</f>
        <v>0.18666666666666668</v>
      </c>
      <c r="AT621" s="572" t="s">
        <v>1095</v>
      </c>
      <c r="AU621" s="575"/>
    </row>
    <row r="622" spans="1:47" x14ac:dyDescent="0.25">
      <c r="A622" s="381">
        <f t="shared" si="9"/>
        <v>14.466666666666667</v>
      </c>
      <c r="B622" s="571">
        <v>42088</v>
      </c>
      <c r="C622" s="572" t="s">
        <v>454</v>
      </c>
      <c r="D622" s="572" t="s">
        <v>454</v>
      </c>
      <c r="E622" s="572" t="s">
        <v>380</v>
      </c>
      <c r="F622" s="572" t="s">
        <v>5</v>
      </c>
      <c r="G622" s="374" t="s">
        <v>1357</v>
      </c>
      <c r="H622" s="375"/>
      <c r="I622" s="375"/>
      <c r="J622" s="375"/>
      <c r="K622" s="375"/>
      <c r="L622" s="376"/>
      <c r="M622" s="376"/>
      <c r="N622" s="376"/>
      <c r="O622" s="376"/>
      <c r="P622" s="378"/>
      <c r="Q622" s="378"/>
      <c r="R622" s="378">
        <v>2086</v>
      </c>
      <c r="S622" s="378">
        <v>3036</v>
      </c>
      <c r="T622" s="378"/>
      <c r="U622" s="378"/>
      <c r="V622" s="533"/>
      <c r="W622" s="378"/>
      <c r="X622" s="378"/>
      <c r="Y622" s="378">
        <f>IF(NFI_Expiration=1,IF($A622&lt;VLOOKUP(H$5,NFI,5,0),1,0)*Table_NFI[[#This Row],[Hygiene Kit]],Table_NFI[Hygiene Kit])</f>
        <v>0</v>
      </c>
      <c r="Z622" s="378">
        <f>IF(NFI_Expiration=1,IF($A622&lt;VLOOKUP(I$5,NFI,5,0),1,0)*Table_NFI[[#This Row],[NFI Core Kit]],Table_NFI[NFI Core Kit])</f>
        <v>0</v>
      </c>
      <c r="AA622" s="378">
        <f>IF(NFI_Expiration=1,IF($A622&lt;VLOOKUP(J$5,NFI,5,0),1,0)*Table_NFI[[#This Row],[Sanitary Kit]],Table_NFI[Sanitary Kit])</f>
        <v>0</v>
      </c>
      <c r="AB622" s="378">
        <f>IF(NFI_Expiration=1,IF($A622&lt;VLOOKUP(K$5,NFI,5,0),1,0)*Table_NFI[[#This Row],[Mosquito net]],Table_NFI[Mosquito net])</f>
        <v>0</v>
      </c>
      <c r="AC622" s="378">
        <f>IF(NFI_Expiration=1,IF($A622&lt;VLOOKUP(L$5,NFI,5,0),1,0)*Table_NFI[[#This Row],[Tarpaulin]],Table_NFI[[#This Row],[Tarpaulin]])</f>
        <v>0</v>
      </c>
      <c r="AD622" s="378">
        <f>IF(NFI_Expiration=1,IF($A622&lt;VLOOKUP(M$5,NFI,5,0),1,0)*Table_NFI[[#This Row],[Blanket]],Table_NFI[[#This Row],[Blanket]])</f>
        <v>0</v>
      </c>
      <c r="AE622" s="378">
        <f>IF(NFI_Expiration=1,IF($A622&lt;VLOOKUP(N$5,NFI,5,0),1,0)*Table_NFI[[#This Row],[Kitchen Set]],Table_NFI[Kitchen Set])</f>
        <v>0</v>
      </c>
      <c r="AF622" s="378">
        <f>IF(NFI_Expiration=1,IF($A622&lt;VLOOKUP(O$5,NFI,5,0),1,0)*Table_NFI[[#This Row],[Clothes Kit]],Table_NFI[Clothes Kit])</f>
        <v>0</v>
      </c>
      <c r="AG622" s="378">
        <f>IF(NFI_Expiration=1,IF($A622&lt;VLOOKUP(P$5,NFI,5,0),1,0)*Table_NFI[[#This Row],[Plastic Bucket]],Table_NFI[Plastic Bucket])</f>
        <v>0</v>
      </c>
      <c r="AH622" s="378">
        <f>IF(NFI_Expiration=1,IF($A622&lt;VLOOKUP(Q$5,NFI,5,0),1,0)*Table_NFI[[#This Row],[Plastic Mat]],Table_NFI[Plastic Mat])*IF(Table_NFI[[#This Row],[Distribution Date]]&gt;"2014-04-01",1,2.5)</f>
        <v>0</v>
      </c>
      <c r="AI622" s="378">
        <f>IF(NFI_Expiration=1,IF($A622&lt;VLOOKUP(R$5,NFI,5,0),1,0)*Table_NFI[[#This Row],[Winter Clothes Adult]],Table_NFI[Winter Clothes Adult])</f>
        <v>0</v>
      </c>
      <c r="AJ622" s="378">
        <f>IF(NFI_Expiration=1,IF($A622&lt;VLOOKUP(S$5,NFI,5,0),1,0)*Table_NFI[[#This Row],[Winter Clothes Children]],Table_NFI[Winter Clothes Children])</f>
        <v>0</v>
      </c>
      <c r="AK622" s="378">
        <f>IF(NFI_Expiration=1,IF($A622&lt;VLOOKUP(T$5,NFI,5,0),1,0)*Table_NFI[[#This Row],[Winter Items Other]],Table_NFI[Winter Items Other])</f>
        <v>0</v>
      </c>
      <c r="AL622" s="378">
        <f>IF(NFI_Expiration=1,IF($A622&lt;VLOOKUP(M$5,NFI,5,0),1,0)*Table_NFI[[#This Row],[Winter Blanket]],Table_NFI[[#This Row],[Winter Blanket]])</f>
        <v>0</v>
      </c>
      <c r="AM622" s="378">
        <f>IF(Table_NFI[[#This Row],[Winter Clothes Adult]]+Table_NFI[[#This Row],[Winter Clothes Children]]+Table_NFI[[#This Row],[Winter Items Other]]+Table_NFI[[#This Row],[Winter Blanket]]&gt;0,1,0)</f>
        <v>1</v>
      </c>
      <c r="AN622" s="418">
        <f>IF(NFI_Expiration=1,IF($A622&lt;VLOOKUP(V$5,NFI,5,0),1,0)*Table_NFI[[#This Row],[Jerry Can]],Table_NFI[Jerry Can])</f>
        <v>0</v>
      </c>
      <c r="AO622" s="579" t="str">
        <f>IFERROR(VLOOKUP(Table_NFI[[#This Row],[Camp Name]],CL,2,0),"")</f>
        <v/>
      </c>
      <c r="AP622" s="574" t="str">
        <f ca="1">IF(Table_NFI[[#This Row],[Pcode]]="","",IF(OFFSET(CampList[Opening Date],MATCH(Table_NFI[[#This Row],[Pcode]],CampList[CP_Pcode],0)-1,0,1,1)&gt;=NFI_Monitor_Date,1,0))</f>
        <v/>
      </c>
      <c r="AQ622" s="579" t="str">
        <f>IFERROR(VLOOKUP(Table_NFI[[#This Row],[Camp Name]],CL,3,0),"")</f>
        <v/>
      </c>
      <c r="AR622" s="378" t="str">
        <f ca="1">IF(Table_NFI[[#This Row],[Pcode]]="","",OFFSET(CampList[Priority],MATCH(Table_NFI[[#This Row],[Pcode]],CampList[CP_Pcode],0)-1,0,1,1))</f>
        <v/>
      </c>
      <c r="AS622" s="377" t="str">
        <f>IFERROR(Table_NFI[[#This Row],[Kitchen Set]]/VLOOKUP(Table_NFI[[#This Row],[Camp Name]],CL,4,0),"")</f>
        <v/>
      </c>
      <c r="AT622" s="572" t="s">
        <v>1095</v>
      </c>
      <c r="AU622" s="575"/>
    </row>
    <row r="623" spans="1:47" x14ac:dyDescent="0.25">
      <c r="A623" s="381">
        <f t="shared" si="9"/>
        <v>14.766666666666667</v>
      </c>
      <c r="B623" s="571">
        <v>42079</v>
      </c>
      <c r="C623" s="572" t="s">
        <v>454</v>
      </c>
      <c r="D623" s="572" t="s">
        <v>454</v>
      </c>
      <c r="E623" s="572" t="s">
        <v>380</v>
      </c>
      <c r="F623" s="572" t="s">
        <v>5</v>
      </c>
      <c r="G623" s="572" t="s">
        <v>1357</v>
      </c>
      <c r="H623" s="375"/>
      <c r="I623" s="375"/>
      <c r="J623" s="378"/>
      <c r="K623" s="378"/>
      <c r="L623" s="376"/>
      <c r="M623" s="376"/>
      <c r="N623" s="376"/>
      <c r="O623" s="376"/>
      <c r="P623" s="378"/>
      <c r="Q623" s="378"/>
      <c r="R623" s="378">
        <v>2460</v>
      </c>
      <c r="S623" s="378">
        <v>3600</v>
      </c>
      <c r="T623" s="378"/>
      <c r="U623" s="378"/>
      <c r="V623" s="533"/>
      <c r="W623" s="378"/>
      <c r="X623" s="378"/>
      <c r="Y623" s="378">
        <f>IF(NFI_Expiration=1,IF($A623&lt;VLOOKUP(H$5,NFI,5,0),1,0)*Table_NFI[[#This Row],[Hygiene Kit]],Table_NFI[Hygiene Kit])</f>
        <v>0</v>
      </c>
      <c r="Z623" s="378">
        <f>IF(NFI_Expiration=1,IF($A623&lt;VLOOKUP(I$5,NFI,5,0),1,0)*Table_NFI[[#This Row],[NFI Core Kit]],Table_NFI[NFI Core Kit])</f>
        <v>0</v>
      </c>
      <c r="AA623" s="378">
        <f>IF(NFI_Expiration=1,IF($A623&lt;VLOOKUP(J$5,NFI,5,0),1,0)*Table_NFI[[#This Row],[Sanitary Kit]],Table_NFI[Sanitary Kit])</f>
        <v>0</v>
      </c>
      <c r="AB623" s="378">
        <f>IF(NFI_Expiration=1,IF($A623&lt;VLOOKUP(K$5,NFI,5,0),1,0)*Table_NFI[[#This Row],[Mosquito net]],Table_NFI[Mosquito net])</f>
        <v>0</v>
      </c>
      <c r="AC623" s="378">
        <f>IF(NFI_Expiration=1,IF($A623&lt;VLOOKUP(L$5,NFI,5,0),1,0)*Table_NFI[[#This Row],[Tarpaulin]],Table_NFI[[#This Row],[Tarpaulin]])</f>
        <v>0</v>
      </c>
      <c r="AD623" s="378">
        <f>IF(NFI_Expiration=1,IF($A623&lt;VLOOKUP(M$5,NFI,5,0),1,0)*Table_NFI[[#This Row],[Blanket]],Table_NFI[[#This Row],[Blanket]])</f>
        <v>0</v>
      </c>
      <c r="AE623" s="378">
        <f>IF(NFI_Expiration=1,IF($A623&lt;VLOOKUP(N$5,NFI,5,0),1,0)*Table_NFI[[#This Row],[Kitchen Set]],Table_NFI[Kitchen Set])</f>
        <v>0</v>
      </c>
      <c r="AF623" s="378">
        <f>IF(NFI_Expiration=1,IF($A623&lt;VLOOKUP(O$5,NFI,5,0),1,0)*Table_NFI[[#This Row],[Clothes Kit]],Table_NFI[Clothes Kit])</f>
        <v>0</v>
      </c>
      <c r="AG623" s="378">
        <f>IF(NFI_Expiration=1,IF($A623&lt;VLOOKUP(P$5,NFI,5,0),1,0)*Table_NFI[[#This Row],[Plastic Bucket]],Table_NFI[Plastic Bucket])</f>
        <v>0</v>
      </c>
      <c r="AH623" s="378">
        <f>IF(NFI_Expiration=1,IF($A623&lt;VLOOKUP(Q$5,NFI,5,0),1,0)*Table_NFI[[#This Row],[Plastic Mat]],Table_NFI[Plastic Mat])*IF(Table_NFI[[#This Row],[Distribution Date]]&gt;"2014-04-01",1,2.5)</f>
        <v>0</v>
      </c>
      <c r="AI623" s="378">
        <f>IF(NFI_Expiration=1,IF($A623&lt;VLOOKUP(R$5,NFI,5,0),1,0)*Table_NFI[[#This Row],[Winter Clothes Adult]],Table_NFI[Winter Clothes Adult])</f>
        <v>0</v>
      </c>
      <c r="AJ623" s="378">
        <f>IF(NFI_Expiration=1,IF($A623&lt;VLOOKUP(S$5,NFI,5,0),1,0)*Table_NFI[[#This Row],[Winter Clothes Children]],Table_NFI[Winter Clothes Children])</f>
        <v>0</v>
      </c>
      <c r="AK623" s="378">
        <f>IF(NFI_Expiration=1,IF($A623&lt;VLOOKUP(T$5,NFI,5,0),1,0)*Table_NFI[[#This Row],[Winter Items Other]],Table_NFI[Winter Items Other])</f>
        <v>0</v>
      </c>
      <c r="AL623" s="378">
        <f>IF(NFI_Expiration=1,IF($A623&lt;VLOOKUP(M$5,NFI,5,0),1,0)*Table_NFI[[#This Row],[Winter Blanket]],Table_NFI[[#This Row],[Winter Blanket]])</f>
        <v>0</v>
      </c>
      <c r="AM623" s="378">
        <f>IF(Table_NFI[[#This Row],[Winter Clothes Adult]]+Table_NFI[[#This Row],[Winter Clothes Children]]+Table_NFI[[#This Row],[Winter Items Other]]+Table_NFI[[#This Row],[Winter Blanket]]&gt;0,1,0)</f>
        <v>1</v>
      </c>
      <c r="AN623" s="418">
        <f>IF(NFI_Expiration=1,IF($A623&lt;VLOOKUP(V$5,NFI,5,0),1,0)*Table_NFI[[#This Row],[Jerry Can]],Table_NFI[Jerry Can])</f>
        <v>0</v>
      </c>
      <c r="AO623" s="579" t="str">
        <f>IFERROR(VLOOKUP(Table_NFI[[#This Row],[Camp Name]],CL,2,0),"")</f>
        <v/>
      </c>
      <c r="AP623" s="574" t="str">
        <f ca="1">IF(Table_NFI[[#This Row],[Pcode]]="","",IF(OFFSET(CampList[Opening Date],MATCH(Table_NFI[[#This Row],[Pcode]],CampList[CP_Pcode],0)-1,0,1,1)&gt;=NFI_Monitor_Date,1,0))</f>
        <v/>
      </c>
      <c r="AQ623" s="579" t="str">
        <f>IFERROR(VLOOKUP(Table_NFI[[#This Row],[Camp Name]],CL,3,0),"")</f>
        <v/>
      </c>
      <c r="AR623" s="378" t="str">
        <f ca="1">IF(Table_NFI[[#This Row],[Pcode]]="","",OFFSET(CampList[Priority],MATCH(Table_NFI[[#This Row],[Pcode]],CampList[CP_Pcode],0)-1,0,1,1))</f>
        <v/>
      </c>
      <c r="AS623" s="377" t="str">
        <f>IFERROR(Table_NFI[[#This Row],[Kitchen Set]]/VLOOKUP(Table_NFI[[#This Row],[Camp Name]],CL,4,0),"")</f>
        <v/>
      </c>
      <c r="AT623" s="572" t="s">
        <v>1095</v>
      </c>
      <c r="AU623" s="575"/>
    </row>
    <row r="624" spans="1:47" x14ac:dyDescent="0.25">
      <c r="A624" s="381">
        <f t="shared" si="9"/>
        <v>14.166666666666666</v>
      </c>
      <c r="B624" s="571">
        <v>42097</v>
      </c>
      <c r="C624" s="572" t="s">
        <v>454</v>
      </c>
      <c r="D624" s="572" t="s">
        <v>507</v>
      </c>
      <c r="E624" s="572" t="s">
        <v>380</v>
      </c>
      <c r="F624" s="572" t="s">
        <v>185</v>
      </c>
      <c r="G624" s="572" t="s">
        <v>217</v>
      </c>
      <c r="H624" s="375"/>
      <c r="I624" s="378"/>
      <c r="J624" s="378"/>
      <c r="K624" s="378">
        <v>105</v>
      </c>
      <c r="L624" s="376">
        <v>26</v>
      </c>
      <c r="M624" s="376">
        <v>308</v>
      </c>
      <c r="N624" s="376">
        <v>29</v>
      </c>
      <c r="O624" s="376"/>
      <c r="P624" s="378"/>
      <c r="Q624" s="378">
        <v>69</v>
      </c>
      <c r="R624" s="378"/>
      <c r="S624" s="378"/>
      <c r="T624" s="378"/>
      <c r="U624" s="378"/>
      <c r="V624" s="533"/>
      <c r="W624" s="378"/>
      <c r="X624" s="378"/>
      <c r="Y624" s="378">
        <f>IF(NFI_Expiration=1,IF($A624&lt;VLOOKUP(H$5,NFI,5,0),1,0)*Table_NFI[[#This Row],[Hygiene Kit]],Table_NFI[Hygiene Kit])</f>
        <v>0</v>
      </c>
      <c r="Z624" s="378">
        <f>IF(NFI_Expiration=1,IF($A624&lt;VLOOKUP(I$5,NFI,5,0),1,0)*Table_NFI[[#This Row],[NFI Core Kit]],Table_NFI[NFI Core Kit])</f>
        <v>0</v>
      </c>
      <c r="AA624" s="378">
        <f>IF(NFI_Expiration=1,IF($A624&lt;VLOOKUP(J$5,NFI,5,0),1,0)*Table_NFI[[#This Row],[Sanitary Kit]],Table_NFI[Sanitary Kit])</f>
        <v>0</v>
      </c>
      <c r="AB624" s="378">
        <f>IF(NFI_Expiration=1,IF($A624&lt;VLOOKUP(K$5,NFI,5,0),1,0)*Table_NFI[[#This Row],[Mosquito net]],Table_NFI[Mosquito net])</f>
        <v>0</v>
      </c>
      <c r="AC624" s="378">
        <f>IF(NFI_Expiration=1,IF($A624&lt;VLOOKUP(L$5,NFI,5,0),1,0)*Table_NFI[[#This Row],[Tarpaulin]],Table_NFI[[#This Row],[Tarpaulin]])</f>
        <v>0</v>
      </c>
      <c r="AD624" s="378">
        <f>IF(NFI_Expiration=1,IF($A624&lt;VLOOKUP(M$5,NFI,5,0),1,0)*Table_NFI[[#This Row],[Blanket]],Table_NFI[[#This Row],[Blanket]])</f>
        <v>0</v>
      </c>
      <c r="AE624" s="378">
        <f>IF(NFI_Expiration=1,IF($A624&lt;VLOOKUP(N$5,NFI,5,0),1,0)*Table_NFI[[#This Row],[Kitchen Set]],Table_NFI[Kitchen Set])</f>
        <v>0</v>
      </c>
      <c r="AF624" s="378">
        <f>IF(NFI_Expiration=1,IF($A624&lt;VLOOKUP(O$5,NFI,5,0),1,0)*Table_NFI[[#This Row],[Clothes Kit]],Table_NFI[Clothes Kit])</f>
        <v>0</v>
      </c>
      <c r="AG624" s="378">
        <f>IF(NFI_Expiration=1,IF($A624&lt;VLOOKUP(P$5,NFI,5,0),1,0)*Table_NFI[[#This Row],[Plastic Bucket]],Table_NFI[Plastic Bucket])</f>
        <v>0</v>
      </c>
      <c r="AH624" s="378">
        <f>IF(NFI_Expiration=1,IF($A624&lt;VLOOKUP(Q$5,NFI,5,0),1,0)*Table_NFI[[#This Row],[Plastic Mat]],Table_NFI[Plastic Mat])*IF(Table_NFI[[#This Row],[Distribution Date]]&gt;"2014-04-01",1,2.5)</f>
        <v>0</v>
      </c>
      <c r="AI624" s="378">
        <f>IF(NFI_Expiration=1,IF($A624&lt;VLOOKUP(R$5,NFI,5,0),1,0)*Table_NFI[[#This Row],[Winter Clothes Adult]],Table_NFI[Winter Clothes Adult])</f>
        <v>0</v>
      </c>
      <c r="AJ624" s="378">
        <f>IF(NFI_Expiration=1,IF($A624&lt;VLOOKUP(S$5,NFI,5,0),1,0)*Table_NFI[[#This Row],[Winter Clothes Children]],Table_NFI[Winter Clothes Children])</f>
        <v>0</v>
      </c>
      <c r="AK624" s="378">
        <f>IF(NFI_Expiration=1,IF($A624&lt;VLOOKUP(T$5,NFI,5,0),1,0)*Table_NFI[[#This Row],[Winter Items Other]],Table_NFI[Winter Items Other])</f>
        <v>0</v>
      </c>
      <c r="AL624" s="378">
        <f>IF(NFI_Expiration=1,IF($A624&lt;VLOOKUP(M$5,NFI,5,0),1,0)*Table_NFI[[#This Row],[Winter Blanket]],Table_NFI[[#This Row],[Winter Blanket]])</f>
        <v>0</v>
      </c>
      <c r="AM624" s="378">
        <f>IF(Table_NFI[[#This Row],[Winter Clothes Adult]]+Table_NFI[[#This Row],[Winter Clothes Children]]+Table_NFI[[#This Row],[Winter Items Other]]+Table_NFI[[#This Row],[Winter Blanket]]&gt;0,1,0)</f>
        <v>0</v>
      </c>
      <c r="AN624" s="418">
        <f>IF(NFI_Expiration=1,IF($A624&lt;VLOOKUP(V$5,NFI,5,0),1,0)*Table_NFI[[#This Row],[Jerry Can]],Table_NFI[Jerry Can])</f>
        <v>0</v>
      </c>
      <c r="AO624" s="579" t="str">
        <f>IFERROR(VLOOKUP(Table_NFI[[#This Row],[Camp Name]],CL,2,0),"")</f>
        <v>MMR001CMP059</v>
      </c>
      <c r="AP624" s="574">
        <f ca="1">IF(Table_NFI[[#This Row],[Pcode]]="","",IF(OFFSET(CampList[Opening Date],MATCH(Table_NFI[[#This Row],[Pcode]],CampList[CP_Pcode],0)-1,0,1,1)&gt;=NFI_Monitor_Date,1,0))</f>
        <v>0</v>
      </c>
      <c r="AQ624" s="579" t="str">
        <f>IFERROR(VLOOKUP(Table_NFI[[#This Row],[Camp Name]],CL,3,0),"")</f>
        <v>Closed</v>
      </c>
      <c r="AR624" s="378" t="str">
        <f ca="1">IF(Table_NFI[[#This Row],[Pcode]]="","",OFFSET(CampList[Priority],MATCH(Table_NFI[[#This Row],[Pcode]],CampList[CP_Pcode],0)-1,0,1,1))</f>
        <v>P4</v>
      </c>
      <c r="AS624" s="377" t="str">
        <f>IFERROR(Table_NFI[[#This Row],[Kitchen Set]]/VLOOKUP(Table_NFI[[#This Row],[Camp Name]],CL,4,0),"")</f>
        <v/>
      </c>
      <c r="AT624" s="572" t="s">
        <v>1095</v>
      </c>
      <c r="AU624" s="575"/>
    </row>
    <row r="625" spans="1:47" x14ac:dyDescent="0.25">
      <c r="A625" s="381">
        <f t="shared" si="9"/>
        <v>26.166666666666668</v>
      </c>
      <c r="B625" s="571">
        <v>41737</v>
      </c>
      <c r="C625" s="572" t="s">
        <v>1107</v>
      </c>
      <c r="D625" s="572" t="s">
        <v>903</v>
      </c>
      <c r="E625" s="572" t="s">
        <v>380</v>
      </c>
      <c r="F625" s="572" t="s">
        <v>185</v>
      </c>
      <c r="G625" s="572" t="s">
        <v>217</v>
      </c>
      <c r="H625" s="375"/>
      <c r="I625" s="375"/>
      <c r="J625" s="375"/>
      <c r="K625" s="375"/>
      <c r="L625" s="376"/>
      <c r="M625" s="376"/>
      <c r="N625" s="376"/>
      <c r="O625" s="376"/>
      <c r="P625" s="378"/>
      <c r="Q625" s="378"/>
      <c r="R625" s="378"/>
      <c r="S625" s="378"/>
      <c r="T625" s="378"/>
      <c r="U625" s="378">
        <v>46</v>
      </c>
      <c r="V625" s="533"/>
      <c r="W625" s="378"/>
      <c r="X625" s="378"/>
      <c r="Y625" s="378">
        <f>IF(NFI_Expiration=1,IF($A625&lt;VLOOKUP(H$5,NFI,5,0),1,0)*Table_NFI[[#This Row],[Hygiene Kit]],Table_NFI[Hygiene Kit])</f>
        <v>0</v>
      </c>
      <c r="Z625" s="378">
        <f>IF(NFI_Expiration=1,IF($A625&lt;VLOOKUP(I$5,NFI,5,0),1,0)*Table_NFI[[#This Row],[NFI Core Kit]],Table_NFI[NFI Core Kit])</f>
        <v>0</v>
      </c>
      <c r="AA625" s="378">
        <f>IF(NFI_Expiration=1,IF($A625&lt;VLOOKUP(J$5,NFI,5,0),1,0)*Table_NFI[[#This Row],[Sanitary Kit]],Table_NFI[Sanitary Kit])</f>
        <v>0</v>
      </c>
      <c r="AB625" s="378">
        <f>IF(NFI_Expiration=1,IF($A625&lt;VLOOKUP(K$5,NFI,5,0),1,0)*Table_NFI[[#This Row],[Mosquito net]],Table_NFI[Mosquito net])</f>
        <v>0</v>
      </c>
      <c r="AC625" s="378">
        <f>IF(NFI_Expiration=1,IF($A625&lt;VLOOKUP(L$5,NFI,5,0),1,0)*Table_NFI[[#This Row],[Tarpaulin]],Table_NFI[[#This Row],[Tarpaulin]])</f>
        <v>0</v>
      </c>
      <c r="AD625" s="378">
        <f>IF(NFI_Expiration=1,IF($A625&lt;VLOOKUP(M$5,NFI,5,0),1,0)*Table_NFI[[#This Row],[Blanket]],Table_NFI[[#This Row],[Blanket]])</f>
        <v>0</v>
      </c>
      <c r="AE625" s="378">
        <f>IF(NFI_Expiration=1,IF($A625&lt;VLOOKUP(N$5,NFI,5,0),1,0)*Table_NFI[[#This Row],[Kitchen Set]],Table_NFI[Kitchen Set])</f>
        <v>0</v>
      </c>
      <c r="AF625" s="378">
        <f>IF(NFI_Expiration=1,IF($A625&lt;VLOOKUP(O$5,NFI,5,0),1,0)*Table_NFI[[#This Row],[Clothes Kit]],Table_NFI[Clothes Kit])</f>
        <v>0</v>
      </c>
      <c r="AG625" s="378">
        <f>IF(NFI_Expiration=1,IF($A625&lt;VLOOKUP(P$5,NFI,5,0),1,0)*Table_NFI[[#This Row],[Plastic Bucket]],Table_NFI[Plastic Bucket])</f>
        <v>0</v>
      </c>
      <c r="AH625" s="378">
        <f>IF(NFI_Expiration=1,IF($A625&lt;VLOOKUP(Q$5,NFI,5,0),1,0)*Table_NFI[[#This Row],[Plastic Mat]],Table_NFI[Plastic Mat])*IF(Table_NFI[[#This Row],[Distribution Date]]&gt;"2014-04-01",1,2.5)</f>
        <v>0</v>
      </c>
      <c r="AI625" s="378">
        <f>IF(NFI_Expiration=1,IF($A625&lt;VLOOKUP(R$5,NFI,5,0),1,0)*Table_NFI[[#This Row],[Winter Clothes Adult]],Table_NFI[Winter Clothes Adult])</f>
        <v>0</v>
      </c>
      <c r="AJ625" s="378">
        <f>IF(NFI_Expiration=1,IF($A625&lt;VLOOKUP(S$5,NFI,5,0),1,0)*Table_NFI[[#This Row],[Winter Clothes Children]],Table_NFI[Winter Clothes Children])</f>
        <v>0</v>
      </c>
      <c r="AK625" s="378">
        <f>IF(NFI_Expiration=1,IF($A625&lt;VLOOKUP(T$5,NFI,5,0),1,0)*Table_NFI[[#This Row],[Winter Items Other]],Table_NFI[Winter Items Other])</f>
        <v>0</v>
      </c>
      <c r="AL625" s="378">
        <f>IF(NFI_Expiration=1,IF($A625&lt;VLOOKUP(M$5,NFI,5,0),1,0)*Table_NFI[[#This Row],[Winter Blanket]],Table_NFI[[#This Row],[Winter Blanket]])</f>
        <v>0</v>
      </c>
      <c r="AM625" s="378">
        <f>IF(Table_NFI[[#This Row],[Winter Clothes Adult]]+Table_NFI[[#This Row],[Winter Clothes Children]]+Table_NFI[[#This Row],[Winter Items Other]]+Table_NFI[[#This Row],[Winter Blanket]]&gt;0,1,0)</f>
        <v>1</v>
      </c>
      <c r="AN625" s="418">
        <f>IF(NFI_Expiration=1,IF($A625&lt;VLOOKUP(V$5,NFI,5,0),1,0)*Table_NFI[[#This Row],[Jerry Can]],Table_NFI[Jerry Can])</f>
        <v>0</v>
      </c>
      <c r="AO625" s="579" t="str">
        <f>IFERROR(VLOOKUP(Table_NFI[[#This Row],[Camp Name]],CL,2,0),"")</f>
        <v>MMR001CMP059</v>
      </c>
      <c r="AP625" s="574">
        <f ca="1">IF(Table_NFI[[#This Row],[Pcode]]="","",IF(OFFSET(CampList[Opening Date],MATCH(Table_NFI[[#This Row],[Pcode]],CampList[CP_Pcode],0)-1,0,1,1)&gt;=NFI_Monitor_Date,1,0))</f>
        <v>0</v>
      </c>
      <c r="AQ625" s="579" t="str">
        <f>IFERROR(VLOOKUP(Table_NFI[[#This Row],[Camp Name]],CL,3,0),"")</f>
        <v>Closed</v>
      </c>
      <c r="AR625" s="378" t="str">
        <f ca="1">IF(Table_NFI[[#This Row],[Pcode]]="","",OFFSET(CampList[Priority],MATCH(Table_NFI[[#This Row],[Pcode]],CampList[CP_Pcode],0)-1,0,1,1))</f>
        <v>P4</v>
      </c>
      <c r="AS625" s="377" t="str">
        <f>IFERROR(Table_NFI[[#This Row],[Kitchen Set]]/VLOOKUP(Table_NFI[[#This Row],[Camp Name]],CL,4,0),"")</f>
        <v/>
      </c>
      <c r="AT625" s="572"/>
      <c r="AU625" s="575"/>
    </row>
    <row r="626" spans="1:47" x14ac:dyDescent="0.25">
      <c r="A626" s="381">
        <f t="shared" si="9"/>
        <v>30.466666666666665</v>
      </c>
      <c r="B626" s="571">
        <v>41608</v>
      </c>
      <c r="C626" s="572" t="s">
        <v>908</v>
      </c>
      <c r="D626" s="572"/>
      <c r="E626" s="572" t="s">
        <v>380</v>
      </c>
      <c r="F626" s="374" t="s">
        <v>185</v>
      </c>
      <c r="G626" s="374" t="s">
        <v>217</v>
      </c>
      <c r="H626" s="375"/>
      <c r="I626" s="375"/>
      <c r="J626" s="375"/>
      <c r="K626" s="375"/>
      <c r="L626" s="376"/>
      <c r="M626" s="376"/>
      <c r="N626" s="376"/>
      <c r="O626" s="376"/>
      <c r="P626" s="378"/>
      <c r="Q626" s="378">
        <v>60</v>
      </c>
      <c r="R626" s="378"/>
      <c r="S626" s="378"/>
      <c r="T626" s="378"/>
      <c r="U626" s="378"/>
      <c r="V626" s="533"/>
      <c r="W626" s="378"/>
      <c r="X626" s="378"/>
      <c r="Y626" s="378">
        <f>IF(NFI_Expiration=1,IF($A626&lt;VLOOKUP(H$5,NFI,5,0),1,0)*Table_NFI[[#This Row],[Hygiene Kit]],Table_NFI[Hygiene Kit])</f>
        <v>0</v>
      </c>
      <c r="Z626" s="378">
        <f>IF(NFI_Expiration=1,IF($A626&lt;VLOOKUP(I$5,NFI,5,0),1,0)*Table_NFI[[#This Row],[NFI Core Kit]],Table_NFI[NFI Core Kit])</f>
        <v>0</v>
      </c>
      <c r="AA626" s="378">
        <f>IF(NFI_Expiration=1,IF($A626&lt;VLOOKUP(J$5,NFI,5,0),1,0)*Table_NFI[[#This Row],[Sanitary Kit]],Table_NFI[Sanitary Kit])</f>
        <v>0</v>
      </c>
      <c r="AB626" s="378">
        <f>IF(NFI_Expiration=1,IF($A626&lt;VLOOKUP(K$5,NFI,5,0),1,0)*Table_NFI[[#This Row],[Mosquito net]],Table_NFI[Mosquito net])</f>
        <v>0</v>
      </c>
      <c r="AC626" s="378">
        <f>IF(NFI_Expiration=1,IF($A626&lt;VLOOKUP(L$5,NFI,5,0),1,0)*Table_NFI[[#This Row],[Tarpaulin]],Table_NFI[[#This Row],[Tarpaulin]])</f>
        <v>0</v>
      </c>
      <c r="AD626" s="378">
        <f>IF(NFI_Expiration=1,IF($A626&lt;VLOOKUP(M$5,NFI,5,0),1,0)*Table_NFI[[#This Row],[Blanket]],Table_NFI[[#This Row],[Blanket]])</f>
        <v>0</v>
      </c>
      <c r="AE626" s="378">
        <f>IF(NFI_Expiration=1,IF($A626&lt;VLOOKUP(N$5,NFI,5,0),1,0)*Table_NFI[[#This Row],[Kitchen Set]],Table_NFI[Kitchen Set])</f>
        <v>0</v>
      </c>
      <c r="AF626" s="378">
        <f>IF(NFI_Expiration=1,IF($A626&lt;VLOOKUP(O$5,NFI,5,0),1,0)*Table_NFI[[#This Row],[Clothes Kit]],Table_NFI[Clothes Kit])</f>
        <v>0</v>
      </c>
      <c r="AG626" s="378">
        <f>IF(NFI_Expiration=1,IF($A626&lt;VLOOKUP(P$5,NFI,5,0),1,0)*Table_NFI[[#This Row],[Plastic Bucket]],Table_NFI[Plastic Bucket])</f>
        <v>0</v>
      </c>
      <c r="AH626" s="378">
        <f>IF(NFI_Expiration=1,IF($A626&lt;VLOOKUP(Q$5,NFI,5,0),1,0)*Table_NFI[[#This Row],[Plastic Mat]],Table_NFI[Plastic Mat])*IF(Table_NFI[[#This Row],[Distribution Date]]&gt;"2014-04-01",1,2.5)</f>
        <v>0</v>
      </c>
      <c r="AI626" s="378">
        <f>IF(NFI_Expiration=1,IF($A626&lt;VLOOKUP(R$5,NFI,5,0),1,0)*Table_NFI[[#This Row],[Winter Clothes Adult]],Table_NFI[Winter Clothes Adult])</f>
        <v>0</v>
      </c>
      <c r="AJ626" s="378">
        <f>IF(NFI_Expiration=1,IF($A626&lt;VLOOKUP(S$5,NFI,5,0),1,0)*Table_NFI[[#This Row],[Winter Clothes Children]],Table_NFI[Winter Clothes Children])</f>
        <v>0</v>
      </c>
      <c r="AK626" s="378">
        <f>IF(NFI_Expiration=1,IF($A626&lt;VLOOKUP(T$5,NFI,5,0),1,0)*Table_NFI[[#This Row],[Winter Items Other]],Table_NFI[Winter Items Other])</f>
        <v>0</v>
      </c>
      <c r="AL626" s="378">
        <f>IF(NFI_Expiration=1,IF($A626&lt;VLOOKUP(M$5,NFI,5,0),1,0)*Table_NFI[[#This Row],[Winter Blanket]],Table_NFI[[#This Row],[Winter Blanket]])</f>
        <v>0</v>
      </c>
      <c r="AM626" s="378">
        <f>IF(Table_NFI[[#This Row],[Winter Clothes Adult]]+Table_NFI[[#This Row],[Winter Clothes Children]]+Table_NFI[[#This Row],[Winter Items Other]]+Table_NFI[[#This Row],[Winter Blanket]]&gt;0,1,0)</f>
        <v>0</v>
      </c>
      <c r="AN626" s="418">
        <f>IF(NFI_Expiration=1,IF($A626&lt;VLOOKUP(V$5,NFI,5,0),1,0)*Table_NFI[[#This Row],[Jerry Can]],Table_NFI[Jerry Can])</f>
        <v>0</v>
      </c>
      <c r="AO626" s="579" t="str">
        <f>IFERROR(VLOOKUP(Table_NFI[[#This Row],[Camp Name]],CL,2,0),"")</f>
        <v>MMR001CMP059</v>
      </c>
      <c r="AP626" s="574">
        <f ca="1">IF(Table_NFI[[#This Row],[Pcode]]="","",IF(OFFSET(CampList[Opening Date],MATCH(Table_NFI[[#This Row],[Pcode]],CampList[CP_Pcode],0)-1,0,1,1)&gt;=NFI_Monitor_Date,1,0))</f>
        <v>0</v>
      </c>
      <c r="AQ626" s="579" t="str">
        <f>IFERROR(VLOOKUP(Table_NFI[[#This Row],[Camp Name]],CL,3,0),"")</f>
        <v>Closed</v>
      </c>
      <c r="AR626" s="378" t="str">
        <f ca="1">IF(Table_NFI[[#This Row],[Pcode]]="","",OFFSET(CampList[Priority],MATCH(Table_NFI[[#This Row],[Pcode]],CampList[CP_Pcode],0)-1,0,1,1))</f>
        <v>P4</v>
      </c>
      <c r="AS626" s="377" t="str">
        <f>IFERROR(Table_NFI[[#This Row],[Kitchen Set]]/VLOOKUP(Table_NFI[[#This Row],[Camp Name]],CL,4,0),"")</f>
        <v/>
      </c>
      <c r="AT626" s="572" t="s">
        <v>1095</v>
      </c>
      <c r="AU626" s="575"/>
    </row>
    <row r="627" spans="1:47" x14ac:dyDescent="0.25">
      <c r="A627" s="381">
        <f t="shared" si="9"/>
        <v>40.766666666666666</v>
      </c>
      <c r="B627" s="571">
        <v>41299</v>
      </c>
      <c r="C627" s="572" t="s">
        <v>908</v>
      </c>
      <c r="D627" s="572" t="s">
        <v>908</v>
      </c>
      <c r="E627" s="572" t="s">
        <v>380</v>
      </c>
      <c r="F627" s="572" t="s">
        <v>185</v>
      </c>
      <c r="G627" s="374" t="s">
        <v>217</v>
      </c>
      <c r="H627" s="375">
        <v>75</v>
      </c>
      <c r="I627" s="375"/>
      <c r="J627" s="375">
        <v>120</v>
      </c>
      <c r="K627" s="375"/>
      <c r="L627" s="376"/>
      <c r="M627" s="376"/>
      <c r="N627" s="376"/>
      <c r="O627" s="376"/>
      <c r="P627" s="378">
        <v>0</v>
      </c>
      <c r="Q627" s="378">
        <v>0</v>
      </c>
      <c r="R627" s="378"/>
      <c r="S627" s="378"/>
      <c r="T627" s="378"/>
      <c r="U627" s="378"/>
      <c r="V627" s="533"/>
      <c r="W627" s="378"/>
      <c r="X627" s="378"/>
      <c r="Y627" s="378">
        <f>IF(NFI_Expiration=1,IF($A627&lt;VLOOKUP(H$5,NFI,5,0),1,0)*Table_NFI[[#This Row],[Hygiene Kit]],Table_NFI[Hygiene Kit])</f>
        <v>0</v>
      </c>
      <c r="Z627" s="378">
        <f>IF(NFI_Expiration=1,IF($A627&lt;VLOOKUP(I$5,NFI,5,0),1,0)*Table_NFI[[#This Row],[NFI Core Kit]],Table_NFI[NFI Core Kit])</f>
        <v>0</v>
      </c>
      <c r="AA627" s="378">
        <f>IF(NFI_Expiration=1,IF($A627&lt;VLOOKUP(J$5,NFI,5,0),1,0)*Table_NFI[[#This Row],[Sanitary Kit]],Table_NFI[Sanitary Kit])</f>
        <v>0</v>
      </c>
      <c r="AB627" s="378">
        <f>IF(NFI_Expiration=1,IF($A627&lt;VLOOKUP(K$5,NFI,5,0),1,0)*Table_NFI[[#This Row],[Mosquito net]],Table_NFI[Mosquito net])</f>
        <v>0</v>
      </c>
      <c r="AC627" s="378">
        <f>IF(NFI_Expiration=1,IF($A627&lt;VLOOKUP(L$5,NFI,5,0),1,0)*Table_NFI[[#This Row],[Tarpaulin]],Table_NFI[[#This Row],[Tarpaulin]])</f>
        <v>0</v>
      </c>
      <c r="AD627" s="378">
        <f>IF(NFI_Expiration=1,IF($A627&lt;VLOOKUP(M$5,NFI,5,0),1,0)*Table_NFI[[#This Row],[Blanket]],Table_NFI[[#This Row],[Blanket]])</f>
        <v>0</v>
      </c>
      <c r="AE627" s="378">
        <f>IF(NFI_Expiration=1,IF($A627&lt;VLOOKUP(N$5,NFI,5,0),1,0)*Table_NFI[[#This Row],[Kitchen Set]],Table_NFI[Kitchen Set])</f>
        <v>0</v>
      </c>
      <c r="AF627" s="378">
        <f>IF(NFI_Expiration=1,IF($A627&lt;VLOOKUP(O$5,NFI,5,0),1,0)*Table_NFI[[#This Row],[Clothes Kit]],Table_NFI[Clothes Kit])</f>
        <v>0</v>
      </c>
      <c r="AG627" s="378">
        <f>IF(NFI_Expiration=1,IF($A627&lt;VLOOKUP(P$5,NFI,5,0),1,0)*Table_NFI[[#This Row],[Plastic Bucket]],Table_NFI[Plastic Bucket])</f>
        <v>0</v>
      </c>
      <c r="AH627" s="378">
        <f>IF(NFI_Expiration=1,IF($A627&lt;VLOOKUP(Q$5,NFI,5,0),1,0)*Table_NFI[[#This Row],[Plastic Mat]],Table_NFI[Plastic Mat])*IF(Table_NFI[[#This Row],[Distribution Date]]&gt;"2014-04-01",1,2.5)</f>
        <v>0</v>
      </c>
      <c r="AI627" s="378">
        <f>IF(NFI_Expiration=1,IF($A627&lt;VLOOKUP(R$5,NFI,5,0),1,0)*Table_NFI[[#This Row],[Winter Clothes Adult]],Table_NFI[Winter Clothes Adult])</f>
        <v>0</v>
      </c>
      <c r="AJ627" s="378">
        <f>IF(NFI_Expiration=1,IF($A627&lt;VLOOKUP(S$5,NFI,5,0),1,0)*Table_NFI[[#This Row],[Winter Clothes Children]],Table_NFI[Winter Clothes Children])</f>
        <v>0</v>
      </c>
      <c r="AK627" s="378">
        <f>IF(NFI_Expiration=1,IF($A627&lt;VLOOKUP(T$5,NFI,5,0),1,0)*Table_NFI[[#This Row],[Winter Items Other]],Table_NFI[Winter Items Other])</f>
        <v>0</v>
      </c>
      <c r="AL627" s="378">
        <f>IF(NFI_Expiration=1,IF($A627&lt;VLOOKUP(M$5,NFI,5,0),1,0)*Table_NFI[[#This Row],[Winter Blanket]],Table_NFI[[#This Row],[Winter Blanket]])</f>
        <v>0</v>
      </c>
      <c r="AM627" s="378">
        <f>IF(Table_NFI[[#This Row],[Winter Clothes Adult]]+Table_NFI[[#This Row],[Winter Clothes Children]]+Table_NFI[[#This Row],[Winter Items Other]]+Table_NFI[[#This Row],[Winter Blanket]]&gt;0,1,0)</f>
        <v>0</v>
      </c>
      <c r="AN627" s="418">
        <f>IF(NFI_Expiration=1,IF($A627&lt;VLOOKUP(V$5,NFI,5,0),1,0)*Table_NFI[[#This Row],[Jerry Can]],Table_NFI[Jerry Can])</f>
        <v>0</v>
      </c>
      <c r="AO627" s="579" t="str">
        <f>IFERROR(VLOOKUP(Table_NFI[[#This Row],[Camp Name]],CL,2,0),"")</f>
        <v>MMR001CMP059</v>
      </c>
      <c r="AP627" s="574">
        <f ca="1">IF(Table_NFI[[#This Row],[Pcode]]="","",IF(OFFSET(CampList[Opening Date],MATCH(Table_NFI[[#This Row],[Pcode]],CampList[CP_Pcode],0)-1,0,1,1)&gt;=NFI_Monitor_Date,1,0))</f>
        <v>0</v>
      </c>
      <c r="AQ627" s="579" t="str">
        <f>IFERROR(VLOOKUP(Table_NFI[[#This Row],[Camp Name]],CL,3,0),"")</f>
        <v>Closed</v>
      </c>
      <c r="AR627" s="378" t="str">
        <f ca="1">IF(Table_NFI[[#This Row],[Pcode]]="","",OFFSET(CampList[Priority],MATCH(Table_NFI[[#This Row],[Pcode]],CampList[CP_Pcode],0)-1,0,1,1))</f>
        <v>P4</v>
      </c>
      <c r="AS627" s="377" t="str">
        <f>IFERROR(Table_NFI[[#This Row],[Kitchen Set]]/VLOOKUP(Table_NFI[[#This Row],[Camp Name]],CL,4,0),"")</f>
        <v/>
      </c>
      <c r="AT627" s="572" t="s">
        <v>1095</v>
      </c>
      <c r="AU627" s="575"/>
    </row>
    <row r="628" spans="1:47" x14ac:dyDescent="0.25">
      <c r="A628" s="381">
        <f t="shared" si="9"/>
        <v>25</v>
      </c>
      <c r="B628" s="571">
        <v>41772</v>
      </c>
      <c r="C628" s="572" t="s">
        <v>1107</v>
      </c>
      <c r="D628" s="572" t="s">
        <v>903</v>
      </c>
      <c r="E628" s="572" t="s">
        <v>380</v>
      </c>
      <c r="F628" s="572" t="s">
        <v>237</v>
      </c>
      <c r="G628" s="572" t="s">
        <v>269</v>
      </c>
      <c r="H628" s="375"/>
      <c r="I628" s="375"/>
      <c r="J628" s="375"/>
      <c r="K628" s="375"/>
      <c r="L628" s="376"/>
      <c r="M628" s="376"/>
      <c r="N628" s="376"/>
      <c r="O628" s="376"/>
      <c r="P628" s="378"/>
      <c r="Q628" s="378"/>
      <c r="R628" s="378"/>
      <c r="S628" s="378"/>
      <c r="T628" s="378"/>
      <c r="U628" s="378">
        <v>112</v>
      </c>
      <c r="V628" s="533"/>
      <c r="W628" s="378"/>
      <c r="X628" s="378"/>
      <c r="Y628" s="378">
        <f>IF(NFI_Expiration=1,IF($A628&lt;VLOOKUP(H$5,NFI,5,0),1,0)*Table_NFI[[#This Row],[Hygiene Kit]],Table_NFI[Hygiene Kit])</f>
        <v>0</v>
      </c>
      <c r="Z628" s="378">
        <f>IF(NFI_Expiration=1,IF($A628&lt;VLOOKUP(I$5,NFI,5,0),1,0)*Table_NFI[[#This Row],[NFI Core Kit]],Table_NFI[NFI Core Kit])</f>
        <v>0</v>
      </c>
      <c r="AA628" s="378">
        <f>IF(NFI_Expiration=1,IF($A628&lt;VLOOKUP(J$5,NFI,5,0),1,0)*Table_NFI[[#This Row],[Sanitary Kit]],Table_NFI[Sanitary Kit])</f>
        <v>0</v>
      </c>
      <c r="AB628" s="378">
        <f>IF(NFI_Expiration=1,IF($A628&lt;VLOOKUP(K$5,NFI,5,0),1,0)*Table_NFI[[#This Row],[Mosquito net]],Table_NFI[Mosquito net])</f>
        <v>0</v>
      </c>
      <c r="AC628" s="378">
        <f>IF(NFI_Expiration=1,IF($A628&lt;VLOOKUP(L$5,NFI,5,0),1,0)*Table_NFI[[#This Row],[Tarpaulin]],Table_NFI[[#This Row],[Tarpaulin]])</f>
        <v>0</v>
      </c>
      <c r="AD628" s="378">
        <f>IF(NFI_Expiration=1,IF($A628&lt;VLOOKUP(M$5,NFI,5,0),1,0)*Table_NFI[[#This Row],[Blanket]],Table_NFI[[#This Row],[Blanket]])</f>
        <v>0</v>
      </c>
      <c r="AE628" s="378">
        <f>IF(NFI_Expiration=1,IF($A628&lt;VLOOKUP(N$5,NFI,5,0),1,0)*Table_NFI[[#This Row],[Kitchen Set]],Table_NFI[Kitchen Set])</f>
        <v>0</v>
      </c>
      <c r="AF628" s="378">
        <f>IF(NFI_Expiration=1,IF($A628&lt;VLOOKUP(O$5,NFI,5,0),1,0)*Table_NFI[[#This Row],[Clothes Kit]],Table_NFI[Clothes Kit])</f>
        <v>0</v>
      </c>
      <c r="AG628" s="378">
        <f>IF(NFI_Expiration=1,IF($A628&lt;VLOOKUP(P$5,NFI,5,0),1,0)*Table_NFI[[#This Row],[Plastic Bucket]],Table_NFI[Plastic Bucket])</f>
        <v>0</v>
      </c>
      <c r="AH628" s="378">
        <f>IF(NFI_Expiration=1,IF($A628&lt;VLOOKUP(Q$5,NFI,5,0),1,0)*Table_NFI[[#This Row],[Plastic Mat]],Table_NFI[Plastic Mat])*IF(Table_NFI[[#This Row],[Distribution Date]]&gt;"2014-04-01",1,2.5)</f>
        <v>0</v>
      </c>
      <c r="AI628" s="378">
        <f>IF(NFI_Expiration=1,IF($A628&lt;VLOOKUP(R$5,NFI,5,0),1,0)*Table_NFI[[#This Row],[Winter Clothes Adult]],Table_NFI[Winter Clothes Adult])</f>
        <v>0</v>
      </c>
      <c r="AJ628" s="378">
        <f>IF(NFI_Expiration=1,IF($A628&lt;VLOOKUP(S$5,NFI,5,0),1,0)*Table_NFI[[#This Row],[Winter Clothes Children]],Table_NFI[Winter Clothes Children])</f>
        <v>0</v>
      </c>
      <c r="AK628" s="378">
        <f>IF(NFI_Expiration=1,IF($A628&lt;VLOOKUP(T$5,NFI,5,0),1,0)*Table_NFI[[#This Row],[Winter Items Other]],Table_NFI[Winter Items Other])</f>
        <v>0</v>
      </c>
      <c r="AL628" s="378">
        <f>IF(NFI_Expiration=1,IF($A628&lt;VLOOKUP(M$5,NFI,5,0),1,0)*Table_NFI[[#This Row],[Winter Blanket]],Table_NFI[[#This Row],[Winter Blanket]])</f>
        <v>0</v>
      </c>
      <c r="AM628" s="378">
        <f>IF(Table_NFI[[#This Row],[Winter Clothes Adult]]+Table_NFI[[#This Row],[Winter Clothes Children]]+Table_NFI[[#This Row],[Winter Items Other]]+Table_NFI[[#This Row],[Winter Blanket]]&gt;0,1,0)</f>
        <v>1</v>
      </c>
      <c r="AN628" s="418">
        <f>IF(NFI_Expiration=1,IF($A628&lt;VLOOKUP(V$5,NFI,5,0),1,0)*Table_NFI[[#This Row],[Jerry Can]],Table_NFI[Jerry Can])</f>
        <v>0</v>
      </c>
      <c r="AO628" s="579" t="str">
        <f>IFERROR(VLOOKUP(Table_NFI[[#This Row],[Camp Name]],CL,2,0),"")</f>
        <v>MMR001CMP002</v>
      </c>
      <c r="AP628" s="574">
        <f ca="1">IF(Table_NFI[[#This Row],[Pcode]]="","",IF(OFFSET(CampList[Opening Date],MATCH(Table_NFI[[#This Row],[Pcode]],CampList[CP_Pcode],0)-1,0,1,1)&gt;=NFI_Monitor_Date,1,0))</f>
        <v>0</v>
      </c>
      <c r="AQ628" s="579" t="str">
        <f>IFERROR(VLOOKUP(Table_NFI[[#This Row],[Camp Name]],CL,3,0),"")</f>
        <v>Open</v>
      </c>
      <c r="AR628" s="378" t="str">
        <f ca="1">IF(Table_NFI[[#This Row],[Pcode]]="","",OFFSET(CampList[Priority],MATCH(Table_NFI[[#This Row],[Pcode]],CampList[CP_Pcode],0)-1,0,1,1))</f>
        <v>P4</v>
      </c>
      <c r="AS628" s="377">
        <f>IFERROR(Table_NFI[[#This Row],[Kitchen Set]]/VLOOKUP(Table_NFI[[#This Row],[Camp Name]],CL,4,0),"")</f>
        <v>0</v>
      </c>
      <c r="AT628" s="572"/>
      <c r="AU628" s="575"/>
    </row>
    <row r="629" spans="1:47" x14ac:dyDescent="0.25">
      <c r="A629" s="381">
        <f t="shared" si="9"/>
        <v>47.2</v>
      </c>
      <c r="B629" s="571">
        <v>41106</v>
      </c>
      <c r="C629" s="572" t="s">
        <v>454</v>
      </c>
      <c r="D629" s="572" t="s">
        <v>454</v>
      </c>
      <c r="E629" s="572" t="s">
        <v>380</v>
      </c>
      <c r="F629" s="572" t="s">
        <v>237</v>
      </c>
      <c r="G629" s="374" t="s">
        <v>269</v>
      </c>
      <c r="H629" s="375"/>
      <c r="I629" s="375"/>
      <c r="J629" s="375"/>
      <c r="K629" s="375">
        <v>25</v>
      </c>
      <c r="L629" s="376">
        <v>25</v>
      </c>
      <c r="M629" s="376">
        <v>25</v>
      </c>
      <c r="N629" s="376">
        <v>25</v>
      </c>
      <c r="O629" s="376">
        <v>25</v>
      </c>
      <c r="P629" s="378">
        <v>25</v>
      </c>
      <c r="Q629" s="378">
        <v>25</v>
      </c>
      <c r="R629" s="378"/>
      <c r="S629" s="378"/>
      <c r="T629" s="378"/>
      <c r="U629" s="378"/>
      <c r="V629" s="533"/>
      <c r="W629" s="378"/>
      <c r="X629" s="378"/>
      <c r="Y629" s="378">
        <f>IF(NFI_Expiration=1,IF($A629&lt;VLOOKUP(H$5,NFI,5,0),1,0)*Table_NFI[[#This Row],[Hygiene Kit]],Table_NFI[Hygiene Kit])</f>
        <v>0</v>
      </c>
      <c r="Z629" s="378">
        <f>IF(NFI_Expiration=1,IF($A629&lt;VLOOKUP(I$5,NFI,5,0),1,0)*Table_NFI[[#This Row],[NFI Core Kit]],Table_NFI[NFI Core Kit])</f>
        <v>0</v>
      </c>
      <c r="AA629" s="378">
        <f>IF(NFI_Expiration=1,IF($A629&lt;VLOOKUP(J$5,NFI,5,0),1,0)*Table_NFI[[#This Row],[Sanitary Kit]],Table_NFI[Sanitary Kit])</f>
        <v>0</v>
      </c>
      <c r="AB629" s="378">
        <f>IF(NFI_Expiration=1,IF($A629&lt;VLOOKUP(K$5,NFI,5,0),1,0)*Table_NFI[[#This Row],[Mosquito net]],Table_NFI[Mosquito net])</f>
        <v>0</v>
      </c>
      <c r="AC629" s="378">
        <f>IF(NFI_Expiration=1,IF($A629&lt;VLOOKUP(L$5,NFI,5,0),1,0)*Table_NFI[[#This Row],[Tarpaulin]],Table_NFI[[#This Row],[Tarpaulin]])</f>
        <v>0</v>
      </c>
      <c r="AD629" s="378">
        <f>IF(NFI_Expiration=1,IF($A629&lt;VLOOKUP(M$5,NFI,5,0),1,0)*Table_NFI[[#This Row],[Blanket]],Table_NFI[[#This Row],[Blanket]])</f>
        <v>0</v>
      </c>
      <c r="AE629" s="378">
        <f>IF(NFI_Expiration=1,IF($A629&lt;VLOOKUP(N$5,NFI,5,0),1,0)*Table_NFI[[#This Row],[Kitchen Set]],Table_NFI[Kitchen Set])</f>
        <v>0</v>
      </c>
      <c r="AF629" s="378">
        <f>IF(NFI_Expiration=1,IF($A629&lt;VLOOKUP(O$5,NFI,5,0),1,0)*Table_NFI[[#This Row],[Clothes Kit]],Table_NFI[Clothes Kit])</f>
        <v>0</v>
      </c>
      <c r="AG629" s="378">
        <f>IF(NFI_Expiration=1,IF($A629&lt;VLOOKUP(P$5,NFI,5,0),1,0)*Table_NFI[[#This Row],[Plastic Bucket]],Table_NFI[Plastic Bucket])</f>
        <v>0</v>
      </c>
      <c r="AH629" s="378">
        <f>IF(NFI_Expiration=1,IF($A629&lt;VLOOKUP(Q$5,NFI,5,0),1,0)*Table_NFI[[#This Row],[Plastic Mat]],Table_NFI[Plastic Mat])*IF(Table_NFI[[#This Row],[Distribution Date]]&gt;"2014-04-01",1,2.5)</f>
        <v>0</v>
      </c>
      <c r="AI629" s="378">
        <f>IF(NFI_Expiration=1,IF($A629&lt;VLOOKUP(R$5,NFI,5,0),1,0)*Table_NFI[[#This Row],[Winter Clothes Adult]],Table_NFI[Winter Clothes Adult])</f>
        <v>0</v>
      </c>
      <c r="AJ629" s="378">
        <f>IF(NFI_Expiration=1,IF($A629&lt;VLOOKUP(S$5,NFI,5,0),1,0)*Table_NFI[[#This Row],[Winter Clothes Children]],Table_NFI[Winter Clothes Children])</f>
        <v>0</v>
      </c>
      <c r="AK629" s="378">
        <f>IF(NFI_Expiration=1,IF($A629&lt;VLOOKUP(T$5,NFI,5,0),1,0)*Table_NFI[[#This Row],[Winter Items Other]],Table_NFI[Winter Items Other])</f>
        <v>0</v>
      </c>
      <c r="AL629" s="378">
        <f>IF(NFI_Expiration=1,IF($A629&lt;VLOOKUP(M$5,NFI,5,0),1,0)*Table_NFI[[#This Row],[Winter Blanket]],Table_NFI[[#This Row],[Winter Blanket]])</f>
        <v>0</v>
      </c>
      <c r="AM629" s="378">
        <f>IF(Table_NFI[[#This Row],[Winter Clothes Adult]]+Table_NFI[[#This Row],[Winter Clothes Children]]+Table_NFI[[#This Row],[Winter Items Other]]+Table_NFI[[#This Row],[Winter Blanket]]&gt;0,1,0)</f>
        <v>0</v>
      </c>
      <c r="AN629" s="418">
        <f>IF(NFI_Expiration=1,IF($A629&lt;VLOOKUP(V$5,NFI,5,0),1,0)*Table_NFI[[#This Row],[Jerry Can]],Table_NFI[Jerry Can])</f>
        <v>0</v>
      </c>
      <c r="AO629" s="579" t="str">
        <f>IFERROR(VLOOKUP(Table_NFI[[#This Row],[Camp Name]],CL,2,0),"")</f>
        <v>MMR001CMP002</v>
      </c>
      <c r="AP629" s="574">
        <f ca="1">IF(Table_NFI[[#This Row],[Pcode]]="","",IF(OFFSET(CampList[Opening Date],MATCH(Table_NFI[[#This Row],[Pcode]],CampList[CP_Pcode],0)-1,0,1,1)&gt;=NFI_Monitor_Date,1,0))</f>
        <v>0</v>
      </c>
      <c r="AQ629" s="579" t="str">
        <f>IFERROR(VLOOKUP(Table_NFI[[#This Row],[Camp Name]],CL,3,0),"")</f>
        <v>Open</v>
      </c>
      <c r="AR629" s="378" t="str">
        <f ca="1">IF(Table_NFI[[#This Row],[Pcode]]="","",OFFSET(CampList[Priority],MATCH(Table_NFI[[#This Row],[Pcode]],CampList[CP_Pcode],0)-1,0,1,1))</f>
        <v>P4</v>
      </c>
      <c r="AS629" s="377">
        <f>IFERROR(Table_NFI[[#This Row],[Kitchen Set]]/VLOOKUP(Table_NFI[[#This Row],[Camp Name]],CL,4,0),"")</f>
        <v>0.43103448275862066</v>
      </c>
      <c r="AT629" s="572" t="s">
        <v>1095</v>
      </c>
      <c r="AU629" s="575"/>
    </row>
    <row r="630" spans="1:47" x14ac:dyDescent="0.25">
      <c r="A630" s="381">
        <f t="shared" si="9"/>
        <v>55.3</v>
      </c>
      <c r="B630" s="571">
        <v>40863</v>
      </c>
      <c r="C630" s="572" t="s">
        <v>454</v>
      </c>
      <c r="D630" s="573" t="s">
        <v>462</v>
      </c>
      <c r="E630" s="572" t="s">
        <v>380</v>
      </c>
      <c r="F630" s="374" t="s">
        <v>237</v>
      </c>
      <c r="G630" s="374" t="s">
        <v>269</v>
      </c>
      <c r="H630" s="375"/>
      <c r="I630" s="375"/>
      <c r="J630" s="375"/>
      <c r="K630" s="375">
        <v>92</v>
      </c>
      <c r="L630" s="376">
        <v>53</v>
      </c>
      <c r="M630" s="376">
        <v>92</v>
      </c>
      <c r="N630" s="376">
        <v>53</v>
      </c>
      <c r="O630" s="376">
        <v>53</v>
      </c>
      <c r="P630" s="378">
        <v>53</v>
      </c>
      <c r="Q630" s="378">
        <v>53</v>
      </c>
      <c r="R630" s="378"/>
      <c r="S630" s="378"/>
      <c r="T630" s="378"/>
      <c r="U630" s="378"/>
      <c r="V630" s="533"/>
      <c r="W630" s="378"/>
      <c r="X630" s="378"/>
      <c r="Y630" s="378">
        <f>IF(NFI_Expiration=1,IF($A630&lt;VLOOKUP(H$5,NFI,5,0),1,0)*Table_NFI[[#This Row],[Hygiene Kit]],Table_NFI[Hygiene Kit])</f>
        <v>0</v>
      </c>
      <c r="Z630" s="378">
        <f>IF(NFI_Expiration=1,IF($A630&lt;VLOOKUP(I$5,NFI,5,0),1,0)*Table_NFI[[#This Row],[NFI Core Kit]],Table_NFI[NFI Core Kit])</f>
        <v>0</v>
      </c>
      <c r="AA630" s="378">
        <f>IF(NFI_Expiration=1,IF($A630&lt;VLOOKUP(J$5,NFI,5,0),1,0)*Table_NFI[[#This Row],[Sanitary Kit]],Table_NFI[Sanitary Kit])</f>
        <v>0</v>
      </c>
      <c r="AB630" s="378">
        <f>IF(NFI_Expiration=1,IF($A630&lt;VLOOKUP(K$5,NFI,5,0),1,0)*Table_NFI[[#This Row],[Mosquito net]],Table_NFI[Mosquito net])</f>
        <v>0</v>
      </c>
      <c r="AC630" s="378">
        <f>IF(NFI_Expiration=1,IF($A630&lt;VLOOKUP(L$5,NFI,5,0),1,0)*Table_NFI[[#This Row],[Tarpaulin]],Table_NFI[[#This Row],[Tarpaulin]])</f>
        <v>0</v>
      </c>
      <c r="AD630" s="378">
        <f>IF(NFI_Expiration=1,IF($A630&lt;VLOOKUP(M$5,NFI,5,0),1,0)*Table_NFI[[#This Row],[Blanket]],Table_NFI[[#This Row],[Blanket]])</f>
        <v>0</v>
      </c>
      <c r="AE630" s="378">
        <f>IF(NFI_Expiration=1,IF($A630&lt;VLOOKUP(N$5,NFI,5,0),1,0)*Table_NFI[[#This Row],[Kitchen Set]],Table_NFI[Kitchen Set])</f>
        <v>0</v>
      </c>
      <c r="AF630" s="378">
        <f>IF(NFI_Expiration=1,IF($A630&lt;VLOOKUP(O$5,NFI,5,0),1,0)*Table_NFI[[#This Row],[Clothes Kit]],Table_NFI[Clothes Kit])</f>
        <v>0</v>
      </c>
      <c r="AG630" s="378">
        <f>IF(NFI_Expiration=1,IF($A630&lt;VLOOKUP(P$5,NFI,5,0),1,0)*Table_NFI[[#This Row],[Plastic Bucket]],Table_NFI[Plastic Bucket])</f>
        <v>0</v>
      </c>
      <c r="AH630" s="378">
        <f>IF(NFI_Expiration=1,IF($A630&lt;VLOOKUP(Q$5,NFI,5,0),1,0)*Table_NFI[[#This Row],[Plastic Mat]],Table_NFI[Plastic Mat])*IF(Table_NFI[[#This Row],[Distribution Date]]&gt;"2014-04-01",1,2.5)</f>
        <v>0</v>
      </c>
      <c r="AI630" s="378">
        <f>IF(NFI_Expiration=1,IF($A630&lt;VLOOKUP(R$5,NFI,5,0),1,0)*Table_NFI[[#This Row],[Winter Clothes Adult]],Table_NFI[Winter Clothes Adult])</f>
        <v>0</v>
      </c>
      <c r="AJ630" s="378">
        <f>IF(NFI_Expiration=1,IF($A630&lt;VLOOKUP(S$5,NFI,5,0),1,0)*Table_NFI[[#This Row],[Winter Clothes Children]],Table_NFI[Winter Clothes Children])</f>
        <v>0</v>
      </c>
      <c r="AK630" s="378">
        <f>IF(NFI_Expiration=1,IF($A630&lt;VLOOKUP(T$5,NFI,5,0),1,0)*Table_NFI[[#This Row],[Winter Items Other]],Table_NFI[Winter Items Other])</f>
        <v>0</v>
      </c>
      <c r="AL630" s="378">
        <f>IF(NFI_Expiration=1,IF($A630&lt;VLOOKUP(M$5,NFI,5,0),1,0)*Table_NFI[[#This Row],[Winter Blanket]],Table_NFI[[#This Row],[Winter Blanket]])</f>
        <v>0</v>
      </c>
      <c r="AM630" s="378">
        <f>IF(Table_NFI[[#This Row],[Winter Clothes Adult]]+Table_NFI[[#This Row],[Winter Clothes Children]]+Table_NFI[[#This Row],[Winter Items Other]]+Table_NFI[[#This Row],[Winter Blanket]]&gt;0,1,0)</f>
        <v>0</v>
      </c>
      <c r="AN630" s="418">
        <f>IF(NFI_Expiration=1,IF($A630&lt;VLOOKUP(V$5,NFI,5,0),1,0)*Table_NFI[[#This Row],[Jerry Can]],Table_NFI[Jerry Can])</f>
        <v>0</v>
      </c>
      <c r="AO630" s="579" t="str">
        <f>IFERROR(VLOOKUP(Table_NFI[[#This Row],[Camp Name]],CL,2,0),"")</f>
        <v>MMR001CMP002</v>
      </c>
      <c r="AP630" s="574">
        <f ca="1">IF(Table_NFI[[#This Row],[Pcode]]="","",IF(OFFSET(CampList[Opening Date],MATCH(Table_NFI[[#This Row],[Pcode]],CampList[CP_Pcode],0)-1,0,1,1)&gt;=NFI_Monitor_Date,1,0))</f>
        <v>0</v>
      </c>
      <c r="AQ630" s="579" t="str">
        <f>IFERROR(VLOOKUP(Table_NFI[[#This Row],[Camp Name]],CL,3,0),"")</f>
        <v>Open</v>
      </c>
      <c r="AR630" s="378" t="str">
        <f ca="1">IF(Table_NFI[[#This Row],[Pcode]]="","",OFFSET(CampList[Priority],MATCH(Table_NFI[[#This Row],[Pcode]],CampList[CP_Pcode],0)-1,0,1,1))</f>
        <v>P4</v>
      </c>
      <c r="AS630" s="377">
        <f>IFERROR(Table_NFI[[#This Row],[Kitchen Set]]/VLOOKUP(Table_NFI[[#This Row],[Camp Name]],CL,4,0),"")</f>
        <v>0.91379310344827591</v>
      </c>
      <c r="AT630" s="572" t="s">
        <v>1095</v>
      </c>
      <c r="AU630" s="575"/>
    </row>
    <row r="631" spans="1:47" x14ac:dyDescent="0.25">
      <c r="A631" s="381">
        <f t="shared" si="9"/>
        <v>16.833333333333332</v>
      </c>
      <c r="B631" s="571">
        <v>42017</v>
      </c>
      <c r="C631" s="572" t="s">
        <v>1097</v>
      </c>
      <c r="D631" s="572" t="s">
        <v>903</v>
      </c>
      <c r="E631" s="572" t="s">
        <v>380</v>
      </c>
      <c r="F631" s="572" t="s">
        <v>185</v>
      </c>
      <c r="G631" s="572" t="s">
        <v>229</v>
      </c>
      <c r="H631" s="375"/>
      <c r="I631" s="378"/>
      <c r="J631" s="378"/>
      <c r="K631" s="378"/>
      <c r="L631" s="376"/>
      <c r="M631" s="376"/>
      <c r="N631" s="376"/>
      <c r="O631" s="376"/>
      <c r="P631" s="378"/>
      <c r="Q631" s="378"/>
      <c r="R631" s="378">
        <v>195</v>
      </c>
      <c r="S631" s="378">
        <v>91</v>
      </c>
      <c r="T631" s="378"/>
      <c r="U631" s="378">
        <v>92</v>
      </c>
      <c r="V631" s="533"/>
      <c r="W631" s="378"/>
      <c r="X631" s="378"/>
      <c r="Y631" s="378">
        <f>IF(NFI_Expiration=1,IF($A631&lt;VLOOKUP(H$5,NFI,5,0),1,0)*Table_NFI[[#This Row],[Hygiene Kit]],Table_NFI[Hygiene Kit])</f>
        <v>0</v>
      </c>
      <c r="Z631" s="378">
        <f>IF(NFI_Expiration=1,IF($A631&lt;VLOOKUP(I$5,NFI,5,0),1,0)*Table_NFI[[#This Row],[NFI Core Kit]],Table_NFI[NFI Core Kit])</f>
        <v>0</v>
      </c>
      <c r="AA631" s="378">
        <f>IF(NFI_Expiration=1,IF($A631&lt;VLOOKUP(J$5,NFI,5,0),1,0)*Table_NFI[[#This Row],[Sanitary Kit]],Table_NFI[Sanitary Kit])</f>
        <v>0</v>
      </c>
      <c r="AB631" s="378">
        <f>IF(NFI_Expiration=1,IF($A631&lt;VLOOKUP(K$5,NFI,5,0),1,0)*Table_NFI[[#This Row],[Mosquito net]],Table_NFI[Mosquito net])</f>
        <v>0</v>
      </c>
      <c r="AC631" s="378">
        <f>IF(NFI_Expiration=1,IF($A631&lt;VLOOKUP(L$5,NFI,5,0),1,0)*Table_NFI[[#This Row],[Tarpaulin]],Table_NFI[[#This Row],[Tarpaulin]])</f>
        <v>0</v>
      </c>
      <c r="AD631" s="378">
        <f>IF(NFI_Expiration=1,IF($A631&lt;VLOOKUP(M$5,NFI,5,0),1,0)*Table_NFI[[#This Row],[Blanket]],Table_NFI[[#This Row],[Blanket]])</f>
        <v>0</v>
      </c>
      <c r="AE631" s="378">
        <f>IF(NFI_Expiration=1,IF($A631&lt;VLOOKUP(N$5,NFI,5,0),1,0)*Table_NFI[[#This Row],[Kitchen Set]],Table_NFI[Kitchen Set])</f>
        <v>0</v>
      </c>
      <c r="AF631" s="378">
        <f>IF(NFI_Expiration=1,IF($A631&lt;VLOOKUP(O$5,NFI,5,0),1,0)*Table_NFI[[#This Row],[Clothes Kit]],Table_NFI[Clothes Kit])</f>
        <v>0</v>
      </c>
      <c r="AG631" s="378">
        <f>IF(NFI_Expiration=1,IF($A631&lt;VLOOKUP(P$5,NFI,5,0),1,0)*Table_NFI[[#This Row],[Plastic Bucket]],Table_NFI[Plastic Bucket])</f>
        <v>0</v>
      </c>
      <c r="AH631" s="378">
        <f>IF(NFI_Expiration=1,IF($A631&lt;VLOOKUP(Q$5,NFI,5,0),1,0)*Table_NFI[[#This Row],[Plastic Mat]],Table_NFI[Plastic Mat])*IF(Table_NFI[[#This Row],[Distribution Date]]&gt;"2014-04-01",1,2.5)</f>
        <v>0</v>
      </c>
      <c r="AI631" s="378">
        <f>IF(NFI_Expiration=1,IF($A631&lt;VLOOKUP(R$5,NFI,5,0),1,0)*Table_NFI[[#This Row],[Winter Clothes Adult]],Table_NFI[Winter Clothes Adult])</f>
        <v>0</v>
      </c>
      <c r="AJ631" s="378">
        <f>IF(NFI_Expiration=1,IF($A631&lt;VLOOKUP(S$5,NFI,5,0),1,0)*Table_NFI[[#This Row],[Winter Clothes Children]],Table_NFI[Winter Clothes Children])</f>
        <v>0</v>
      </c>
      <c r="AK631" s="378">
        <f>IF(NFI_Expiration=1,IF($A631&lt;VLOOKUP(T$5,NFI,5,0),1,0)*Table_NFI[[#This Row],[Winter Items Other]],Table_NFI[Winter Items Other])</f>
        <v>0</v>
      </c>
      <c r="AL631" s="378">
        <f>IF(NFI_Expiration=1,IF($A631&lt;VLOOKUP(M$5,NFI,5,0),1,0)*Table_NFI[[#This Row],[Winter Blanket]],Table_NFI[[#This Row],[Winter Blanket]])</f>
        <v>0</v>
      </c>
      <c r="AM631" s="378">
        <f>IF(Table_NFI[[#This Row],[Winter Clothes Adult]]+Table_NFI[[#This Row],[Winter Clothes Children]]+Table_NFI[[#This Row],[Winter Items Other]]+Table_NFI[[#This Row],[Winter Blanket]]&gt;0,1,0)</f>
        <v>1</v>
      </c>
      <c r="AN631" s="418">
        <f>IF(NFI_Expiration=1,IF($A631&lt;VLOOKUP(V$5,NFI,5,0),1,0)*Table_NFI[[#This Row],[Jerry Can]],Table_NFI[Jerry Can])</f>
        <v>0</v>
      </c>
      <c r="AO631" s="579" t="str">
        <f>IFERROR(VLOOKUP(Table_NFI[[#This Row],[Camp Name]],CL,2,0),"")</f>
        <v>MMR001CMP072</v>
      </c>
      <c r="AP631" s="574">
        <f ca="1">IF(Table_NFI[[#This Row],[Pcode]]="","",IF(OFFSET(CampList[Opening Date],MATCH(Table_NFI[[#This Row],[Pcode]],CampList[CP_Pcode],0)-1,0,1,1)&gt;=NFI_Monitor_Date,1,0))</f>
        <v>0</v>
      </c>
      <c r="AQ631" s="579" t="str">
        <f>IFERROR(VLOOKUP(Table_NFI[[#This Row],[Camp Name]],CL,3,0),"")</f>
        <v>Open</v>
      </c>
      <c r="AR631" s="378" t="str">
        <f ca="1">IF(Table_NFI[[#This Row],[Pcode]]="","",OFFSET(CampList[Priority],MATCH(Table_NFI[[#This Row],[Pcode]],CampList[CP_Pcode],0)-1,0,1,1))</f>
        <v>P3</v>
      </c>
      <c r="AS631" s="377">
        <f>IFERROR(Table_NFI[[#This Row],[Kitchen Set]]/VLOOKUP(Table_NFI[[#This Row],[Camp Name]],CL,4,0),"")</f>
        <v>0</v>
      </c>
      <c r="AT631" s="572"/>
      <c r="AU631" s="601"/>
    </row>
    <row r="632" spans="1:47" x14ac:dyDescent="0.25">
      <c r="A632" s="381">
        <f t="shared" si="9"/>
        <v>20</v>
      </c>
      <c r="B632" s="571">
        <v>41922</v>
      </c>
      <c r="C632" s="572" t="s">
        <v>454</v>
      </c>
      <c r="D632" s="572"/>
      <c r="E632" s="572" t="s">
        <v>380</v>
      </c>
      <c r="F632" s="572" t="s">
        <v>185</v>
      </c>
      <c r="G632" s="572" t="s">
        <v>229</v>
      </c>
      <c r="H632" s="375"/>
      <c r="I632" s="375"/>
      <c r="J632" s="375"/>
      <c r="K632" s="375"/>
      <c r="L632" s="376">
        <v>60</v>
      </c>
      <c r="M632" s="376"/>
      <c r="N632" s="376"/>
      <c r="O632" s="376"/>
      <c r="P632" s="378"/>
      <c r="Q632" s="378"/>
      <c r="R632" s="378"/>
      <c r="S632" s="378"/>
      <c r="T632" s="378"/>
      <c r="U632" s="378"/>
      <c r="V632" s="533"/>
      <c r="W632" s="378"/>
      <c r="X632" s="378"/>
      <c r="Y632" s="378">
        <f>IF(NFI_Expiration=1,IF($A632&lt;VLOOKUP(H$5,NFI,5,0),1,0)*Table_NFI[[#This Row],[Hygiene Kit]],Table_NFI[Hygiene Kit])</f>
        <v>0</v>
      </c>
      <c r="Z632" s="378">
        <f>IF(NFI_Expiration=1,IF($A632&lt;VLOOKUP(I$5,NFI,5,0),1,0)*Table_NFI[[#This Row],[NFI Core Kit]],Table_NFI[NFI Core Kit])</f>
        <v>0</v>
      </c>
      <c r="AA632" s="378">
        <f>IF(NFI_Expiration=1,IF($A632&lt;VLOOKUP(J$5,NFI,5,0),1,0)*Table_NFI[[#This Row],[Sanitary Kit]],Table_NFI[Sanitary Kit])</f>
        <v>0</v>
      </c>
      <c r="AB632" s="378">
        <f>IF(NFI_Expiration=1,IF($A632&lt;VLOOKUP(K$5,NFI,5,0),1,0)*Table_NFI[[#This Row],[Mosquito net]],Table_NFI[Mosquito net])</f>
        <v>0</v>
      </c>
      <c r="AC632" s="378">
        <f>IF(NFI_Expiration=1,IF($A632&lt;VLOOKUP(L$5,NFI,5,0),1,0)*Table_NFI[[#This Row],[Tarpaulin]],Table_NFI[[#This Row],[Tarpaulin]])</f>
        <v>0</v>
      </c>
      <c r="AD632" s="378">
        <f>IF(NFI_Expiration=1,IF($A632&lt;VLOOKUP(M$5,NFI,5,0),1,0)*Table_NFI[[#This Row],[Blanket]],Table_NFI[[#This Row],[Blanket]])</f>
        <v>0</v>
      </c>
      <c r="AE632" s="378">
        <f>IF(NFI_Expiration=1,IF($A632&lt;VLOOKUP(N$5,NFI,5,0),1,0)*Table_NFI[[#This Row],[Kitchen Set]],Table_NFI[Kitchen Set])</f>
        <v>0</v>
      </c>
      <c r="AF632" s="378">
        <f>IF(NFI_Expiration=1,IF($A632&lt;VLOOKUP(O$5,NFI,5,0),1,0)*Table_NFI[[#This Row],[Clothes Kit]],Table_NFI[Clothes Kit])</f>
        <v>0</v>
      </c>
      <c r="AG632" s="378">
        <f>IF(NFI_Expiration=1,IF($A632&lt;VLOOKUP(P$5,NFI,5,0),1,0)*Table_NFI[[#This Row],[Plastic Bucket]],Table_NFI[Plastic Bucket])</f>
        <v>0</v>
      </c>
      <c r="AH632" s="378">
        <f>IF(NFI_Expiration=1,IF($A632&lt;VLOOKUP(Q$5,NFI,5,0),1,0)*Table_NFI[[#This Row],[Plastic Mat]],Table_NFI[Plastic Mat])*IF(Table_NFI[[#This Row],[Distribution Date]]&gt;"2014-04-01",1,2.5)</f>
        <v>0</v>
      </c>
      <c r="AI632" s="378">
        <f>IF(NFI_Expiration=1,IF($A632&lt;VLOOKUP(R$5,NFI,5,0),1,0)*Table_NFI[[#This Row],[Winter Clothes Adult]],Table_NFI[Winter Clothes Adult])</f>
        <v>0</v>
      </c>
      <c r="AJ632" s="378">
        <f>IF(NFI_Expiration=1,IF($A632&lt;VLOOKUP(S$5,NFI,5,0),1,0)*Table_NFI[[#This Row],[Winter Clothes Children]],Table_NFI[Winter Clothes Children])</f>
        <v>0</v>
      </c>
      <c r="AK632" s="378">
        <f>IF(NFI_Expiration=1,IF($A632&lt;VLOOKUP(T$5,NFI,5,0),1,0)*Table_NFI[[#This Row],[Winter Items Other]],Table_NFI[Winter Items Other])</f>
        <v>0</v>
      </c>
      <c r="AL632" s="378">
        <f>IF(NFI_Expiration=1,IF($A632&lt;VLOOKUP(M$5,NFI,5,0),1,0)*Table_NFI[[#This Row],[Winter Blanket]],Table_NFI[[#This Row],[Winter Blanket]])</f>
        <v>0</v>
      </c>
      <c r="AM632" s="378">
        <f>IF(Table_NFI[[#This Row],[Winter Clothes Adult]]+Table_NFI[[#This Row],[Winter Clothes Children]]+Table_NFI[[#This Row],[Winter Items Other]]+Table_NFI[[#This Row],[Winter Blanket]]&gt;0,1,0)</f>
        <v>0</v>
      </c>
      <c r="AN632" s="418">
        <f>IF(NFI_Expiration=1,IF($A632&lt;VLOOKUP(V$5,NFI,5,0),1,0)*Table_NFI[[#This Row],[Jerry Can]],Table_NFI[Jerry Can])</f>
        <v>0</v>
      </c>
      <c r="AO632" s="579" t="str">
        <f>IFERROR(VLOOKUP(Table_NFI[[#This Row],[Camp Name]],CL,2,0),"")</f>
        <v>MMR001CMP072</v>
      </c>
      <c r="AP632" s="574">
        <f ca="1">IF(Table_NFI[[#This Row],[Pcode]]="","",IF(OFFSET(CampList[Opening Date],MATCH(Table_NFI[[#This Row],[Pcode]],CampList[CP_Pcode],0)-1,0,1,1)&gt;=NFI_Monitor_Date,1,0))</f>
        <v>0</v>
      </c>
      <c r="AQ632" s="579" t="str">
        <f>IFERROR(VLOOKUP(Table_NFI[[#This Row],[Camp Name]],CL,3,0),"")</f>
        <v>Open</v>
      </c>
      <c r="AR632" s="378" t="str">
        <f ca="1">IF(Table_NFI[[#This Row],[Pcode]]="","",OFFSET(CampList[Priority],MATCH(Table_NFI[[#This Row],[Pcode]],CampList[CP_Pcode],0)-1,0,1,1))</f>
        <v>P3</v>
      </c>
      <c r="AS632" s="377">
        <f>IFERROR(Table_NFI[[#This Row],[Kitchen Set]]/VLOOKUP(Table_NFI[[#This Row],[Camp Name]],CL,4,0),"")</f>
        <v>0</v>
      </c>
      <c r="AT632" s="572"/>
      <c r="AU632" s="575"/>
    </row>
    <row r="633" spans="1:47" x14ac:dyDescent="0.25">
      <c r="A633" s="381">
        <f t="shared" si="9"/>
        <v>30.466666666666665</v>
      </c>
      <c r="B633" s="571">
        <v>41608</v>
      </c>
      <c r="C633" s="572" t="s">
        <v>908</v>
      </c>
      <c r="D633" s="572"/>
      <c r="E633" s="572" t="s">
        <v>380</v>
      </c>
      <c r="F633" s="374" t="s">
        <v>185</v>
      </c>
      <c r="G633" s="374" t="s">
        <v>229</v>
      </c>
      <c r="H633" s="375"/>
      <c r="I633" s="375"/>
      <c r="J633" s="375"/>
      <c r="K633" s="375"/>
      <c r="L633" s="376"/>
      <c r="M633" s="376"/>
      <c r="N633" s="376"/>
      <c r="O633" s="376"/>
      <c r="P633" s="378"/>
      <c r="Q633" s="378">
        <v>135</v>
      </c>
      <c r="R633" s="378"/>
      <c r="S633" s="378"/>
      <c r="T633" s="378"/>
      <c r="U633" s="378"/>
      <c r="V633" s="533"/>
      <c r="W633" s="378"/>
      <c r="X633" s="378"/>
      <c r="Y633" s="378">
        <f>IF(NFI_Expiration=1,IF($A633&lt;VLOOKUP(H$5,NFI,5,0),1,0)*Table_NFI[[#This Row],[Hygiene Kit]],Table_NFI[Hygiene Kit])</f>
        <v>0</v>
      </c>
      <c r="Z633" s="378">
        <f>IF(NFI_Expiration=1,IF($A633&lt;VLOOKUP(I$5,NFI,5,0),1,0)*Table_NFI[[#This Row],[NFI Core Kit]],Table_NFI[NFI Core Kit])</f>
        <v>0</v>
      </c>
      <c r="AA633" s="378">
        <f>IF(NFI_Expiration=1,IF($A633&lt;VLOOKUP(J$5,NFI,5,0),1,0)*Table_NFI[[#This Row],[Sanitary Kit]],Table_NFI[Sanitary Kit])</f>
        <v>0</v>
      </c>
      <c r="AB633" s="378">
        <f>IF(NFI_Expiration=1,IF($A633&lt;VLOOKUP(K$5,NFI,5,0),1,0)*Table_NFI[[#This Row],[Mosquito net]],Table_NFI[Mosquito net])</f>
        <v>0</v>
      </c>
      <c r="AC633" s="378">
        <f>IF(NFI_Expiration=1,IF($A633&lt;VLOOKUP(L$5,NFI,5,0),1,0)*Table_NFI[[#This Row],[Tarpaulin]],Table_NFI[[#This Row],[Tarpaulin]])</f>
        <v>0</v>
      </c>
      <c r="AD633" s="378">
        <f>IF(NFI_Expiration=1,IF($A633&lt;VLOOKUP(M$5,NFI,5,0),1,0)*Table_NFI[[#This Row],[Blanket]],Table_NFI[[#This Row],[Blanket]])</f>
        <v>0</v>
      </c>
      <c r="AE633" s="378">
        <f>IF(NFI_Expiration=1,IF($A633&lt;VLOOKUP(N$5,NFI,5,0),1,0)*Table_NFI[[#This Row],[Kitchen Set]],Table_NFI[Kitchen Set])</f>
        <v>0</v>
      </c>
      <c r="AF633" s="378">
        <f>IF(NFI_Expiration=1,IF($A633&lt;VLOOKUP(O$5,NFI,5,0),1,0)*Table_NFI[[#This Row],[Clothes Kit]],Table_NFI[Clothes Kit])</f>
        <v>0</v>
      </c>
      <c r="AG633" s="378">
        <f>IF(NFI_Expiration=1,IF($A633&lt;VLOOKUP(P$5,NFI,5,0),1,0)*Table_NFI[[#This Row],[Plastic Bucket]],Table_NFI[Plastic Bucket])</f>
        <v>0</v>
      </c>
      <c r="AH633" s="378">
        <f>IF(NFI_Expiration=1,IF($A633&lt;VLOOKUP(Q$5,NFI,5,0),1,0)*Table_NFI[[#This Row],[Plastic Mat]],Table_NFI[Plastic Mat])*IF(Table_NFI[[#This Row],[Distribution Date]]&gt;"2014-04-01",1,2.5)</f>
        <v>0</v>
      </c>
      <c r="AI633" s="378">
        <f>IF(NFI_Expiration=1,IF($A633&lt;VLOOKUP(R$5,NFI,5,0),1,0)*Table_NFI[[#This Row],[Winter Clothes Adult]],Table_NFI[Winter Clothes Adult])</f>
        <v>0</v>
      </c>
      <c r="AJ633" s="378">
        <f>IF(NFI_Expiration=1,IF($A633&lt;VLOOKUP(S$5,NFI,5,0),1,0)*Table_NFI[[#This Row],[Winter Clothes Children]],Table_NFI[Winter Clothes Children])</f>
        <v>0</v>
      </c>
      <c r="AK633" s="378">
        <f>IF(NFI_Expiration=1,IF($A633&lt;VLOOKUP(T$5,NFI,5,0),1,0)*Table_NFI[[#This Row],[Winter Items Other]],Table_NFI[Winter Items Other])</f>
        <v>0</v>
      </c>
      <c r="AL633" s="378">
        <f>IF(NFI_Expiration=1,IF($A633&lt;VLOOKUP(M$5,NFI,5,0),1,0)*Table_NFI[[#This Row],[Winter Blanket]],Table_NFI[[#This Row],[Winter Blanket]])</f>
        <v>0</v>
      </c>
      <c r="AM633" s="378">
        <f>IF(Table_NFI[[#This Row],[Winter Clothes Adult]]+Table_NFI[[#This Row],[Winter Clothes Children]]+Table_NFI[[#This Row],[Winter Items Other]]+Table_NFI[[#This Row],[Winter Blanket]]&gt;0,1,0)</f>
        <v>0</v>
      </c>
      <c r="AN633" s="418">
        <f>IF(NFI_Expiration=1,IF($A633&lt;VLOOKUP(V$5,NFI,5,0),1,0)*Table_NFI[[#This Row],[Jerry Can]],Table_NFI[Jerry Can])</f>
        <v>0</v>
      </c>
      <c r="AO633" s="579" t="str">
        <f>IFERROR(VLOOKUP(Table_NFI[[#This Row],[Camp Name]],CL,2,0),"")</f>
        <v>MMR001CMP072</v>
      </c>
      <c r="AP633" s="574">
        <f ca="1">IF(Table_NFI[[#This Row],[Pcode]]="","",IF(OFFSET(CampList[Opening Date],MATCH(Table_NFI[[#This Row],[Pcode]],CampList[CP_Pcode],0)-1,0,1,1)&gt;=NFI_Monitor_Date,1,0))</f>
        <v>0</v>
      </c>
      <c r="AQ633" s="579" t="str">
        <f>IFERROR(VLOOKUP(Table_NFI[[#This Row],[Camp Name]],CL,3,0),"")</f>
        <v>Open</v>
      </c>
      <c r="AR633" s="378" t="str">
        <f ca="1">IF(Table_NFI[[#This Row],[Pcode]]="","",OFFSET(CampList[Priority],MATCH(Table_NFI[[#This Row],[Pcode]],CampList[CP_Pcode],0)-1,0,1,1))</f>
        <v>P3</v>
      </c>
      <c r="AS633" s="377">
        <f>IFERROR(Table_NFI[[#This Row],[Kitchen Set]]/VLOOKUP(Table_NFI[[#This Row],[Camp Name]],CL,4,0),"")</f>
        <v>0</v>
      </c>
      <c r="AT633" s="572" t="s">
        <v>1095</v>
      </c>
      <c r="AU633" s="575"/>
    </row>
    <row r="634" spans="1:47" x14ac:dyDescent="0.25">
      <c r="A634" s="381">
        <f t="shared" si="9"/>
        <v>30.9</v>
      </c>
      <c r="B634" s="571">
        <v>41595</v>
      </c>
      <c r="C634" s="572" t="s">
        <v>455</v>
      </c>
      <c r="D634" s="572"/>
      <c r="E634" s="572" t="s">
        <v>380</v>
      </c>
      <c r="F634" s="572" t="s">
        <v>185</v>
      </c>
      <c r="G634" s="572" t="s">
        <v>229</v>
      </c>
      <c r="H634" s="375"/>
      <c r="I634" s="375"/>
      <c r="J634" s="375"/>
      <c r="K634" s="375"/>
      <c r="L634" s="376"/>
      <c r="M634" s="376">
        <v>145</v>
      </c>
      <c r="N634" s="376"/>
      <c r="O634" s="376"/>
      <c r="P634" s="378"/>
      <c r="Q634" s="378"/>
      <c r="R634" s="378"/>
      <c r="S634" s="378"/>
      <c r="T634" s="378"/>
      <c r="U634" s="378"/>
      <c r="V634" s="533"/>
      <c r="W634" s="378"/>
      <c r="X634" s="378"/>
      <c r="Y634" s="378">
        <f>IF(NFI_Expiration=1,IF($A634&lt;VLOOKUP(H$5,NFI,5,0),1,0)*Table_NFI[[#This Row],[Hygiene Kit]],Table_NFI[Hygiene Kit])</f>
        <v>0</v>
      </c>
      <c r="Z634" s="378">
        <f>IF(NFI_Expiration=1,IF($A634&lt;VLOOKUP(I$5,NFI,5,0),1,0)*Table_NFI[[#This Row],[NFI Core Kit]],Table_NFI[NFI Core Kit])</f>
        <v>0</v>
      </c>
      <c r="AA634" s="378">
        <f>IF(NFI_Expiration=1,IF($A634&lt;VLOOKUP(J$5,NFI,5,0),1,0)*Table_NFI[[#This Row],[Sanitary Kit]],Table_NFI[Sanitary Kit])</f>
        <v>0</v>
      </c>
      <c r="AB634" s="378">
        <f>IF(NFI_Expiration=1,IF($A634&lt;VLOOKUP(K$5,NFI,5,0),1,0)*Table_NFI[[#This Row],[Mosquito net]],Table_NFI[Mosquito net])</f>
        <v>0</v>
      </c>
      <c r="AC634" s="378">
        <f>IF(NFI_Expiration=1,IF($A634&lt;VLOOKUP(L$5,NFI,5,0),1,0)*Table_NFI[[#This Row],[Tarpaulin]],Table_NFI[[#This Row],[Tarpaulin]])</f>
        <v>0</v>
      </c>
      <c r="AD634" s="378">
        <f>IF(NFI_Expiration=1,IF($A634&lt;VLOOKUP(M$5,NFI,5,0),1,0)*Table_NFI[[#This Row],[Blanket]],Table_NFI[[#This Row],[Blanket]])</f>
        <v>0</v>
      </c>
      <c r="AE634" s="378">
        <f>IF(NFI_Expiration=1,IF($A634&lt;VLOOKUP(N$5,NFI,5,0),1,0)*Table_NFI[[#This Row],[Kitchen Set]],Table_NFI[Kitchen Set])</f>
        <v>0</v>
      </c>
      <c r="AF634" s="378">
        <f>IF(NFI_Expiration=1,IF($A634&lt;VLOOKUP(O$5,NFI,5,0),1,0)*Table_NFI[[#This Row],[Clothes Kit]],Table_NFI[Clothes Kit])</f>
        <v>0</v>
      </c>
      <c r="AG634" s="378">
        <f>IF(NFI_Expiration=1,IF($A634&lt;VLOOKUP(P$5,NFI,5,0),1,0)*Table_NFI[[#This Row],[Plastic Bucket]],Table_NFI[Plastic Bucket])</f>
        <v>0</v>
      </c>
      <c r="AH634" s="378">
        <f>IF(NFI_Expiration=1,IF($A634&lt;VLOOKUP(Q$5,NFI,5,0),1,0)*Table_NFI[[#This Row],[Plastic Mat]],Table_NFI[Plastic Mat])*IF(Table_NFI[[#This Row],[Distribution Date]]&gt;"2014-04-01",1,2.5)</f>
        <v>0</v>
      </c>
      <c r="AI634" s="378">
        <f>IF(NFI_Expiration=1,IF($A634&lt;VLOOKUP(R$5,NFI,5,0),1,0)*Table_NFI[[#This Row],[Winter Clothes Adult]],Table_NFI[Winter Clothes Adult])</f>
        <v>0</v>
      </c>
      <c r="AJ634" s="378">
        <f>IF(NFI_Expiration=1,IF($A634&lt;VLOOKUP(S$5,NFI,5,0),1,0)*Table_NFI[[#This Row],[Winter Clothes Children]],Table_NFI[Winter Clothes Children])</f>
        <v>0</v>
      </c>
      <c r="AK634" s="378">
        <f>IF(NFI_Expiration=1,IF($A634&lt;VLOOKUP(T$5,NFI,5,0),1,0)*Table_NFI[[#This Row],[Winter Items Other]],Table_NFI[Winter Items Other])</f>
        <v>0</v>
      </c>
      <c r="AL634" s="378">
        <f>IF(NFI_Expiration=1,IF($A634&lt;VLOOKUP(M$5,NFI,5,0),1,0)*Table_NFI[[#This Row],[Winter Blanket]],Table_NFI[[#This Row],[Winter Blanket]])</f>
        <v>0</v>
      </c>
      <c r="AM634" s="378">
        <f>IF(Table_NFI[[#This Row],[Winter Clothes Adult]]+Table_NFI[[#This Row],[Winter Clothes Children]]+Table_NFI[[#This Row],[Winter Items Other]]+Table_NFI[[#This Row],[Winter Blanket]]&gt;0,1,0)</f>
        <v>0</v>
      </c>
      <c r="AN634" s="418">
        <f>IF(NFI_Expiration=1,IF($A634&lt;VLOOKUP(V$5,NFI,5,0),1,0)*Table_NFI[[#This Row],[Jerry Can]],Table_NFI[Jerry Can])</f>
        <v>0</v>
      </c>
      <c r="AO634" s="579" t="str">
        <f>IFERROR(VLOOKUP(Table_NFI[[#This Row],[Camp Name]],CL,2,0),"")</f>
        <v>MMR001CMP072</v>
      </c>
      <c r="AP634" s="574">
        <f ca="1">IF(Table_NFI[[#This Row],[Pcode]]="","",IF(OFFSET(CampList[Opening Date],MATCH(Table_NFI[[#This Row],[Pcode]],CampList[CP_Pcode],0)-1,0,1,1)&gt;=NFI_Monitor_Date,1,0))</f>
        <v>0</v>
      </c>
      <c r="AQ634" s="579" t="str">
        <f>IFERROR(VLOOKUP(Table_NFI[[#This Row],[Camp Name]],CL,3,0),"")</f>
        <v>Open</v>
      </c>
      <c r="AR634" s="378" t="str">
        <f ca="1">IF(Table_NFI[[#This Row],[Pcode]]="","",OFFSET(CampList[Priority],MATCH(Table_NFI[[#This Row],[Pcode]],CampList[CP_Pcode],0)-1,0,1,1))</f>
        <v>P3</v>
      </c>
      <c r="AS634" s="377">
        <f>IFERROR(Table_NFI[[#This Row],[Kitchen Set]]/VLOOKUP(Table_NFI[[#This Row],[Camp Name]],CL,4,0),"")</f>
        <v>0</v>
      </c>
      <c r="AT634" s="572" t="s">
        <v>1095</v>
      </c>
      <c r="AU634" s="575"/>
    </row>
    <row r="635" spans="1:47" x14ac:dyDescent="0.25">
      <c r="A635" s="381">
        <f t="shared" si="9"/>
        <v>45.733333333333334</v>
      </c>
      <c r="B635" s="571">
        <v>41150</v>
      </c>
      <c r="C635" s="572" t="s">
        <v>454</v>
      </c>
      <c r="D635" s="573" t="s">
        <v>454</v>
      </c>
      <c r="E635" s="572" t="s">
        <v>380</v>
      </c>
      <c r="F635" s="374" t="s">
        <v>185</v>
      </c>
      <c r="G635" s="374" t="s">
        <v>229</v>
      </c>
      <c r="H635" s="375"/>
      <c r="I635" s="375"/>
      <c r="J635" s="375"/>
      <c r="K635" s="375">
        <v>112</v>
      </c>
      <c r="L635" s="376">
        <v>41</v>
      </c>
      <c r="M635" s="376">
        <v>112</v>
      </c>
      <c r="N635" s="376">
        <v>41</v>
      </c>
      <c r="O635" s="376">
        <v>41</v>
      </c>
      <c r="P635" s="378">
        <v>41</v>
      </c>
      <c r="Q635" s="378">
        <v>41</v>
      </c>
      <c r="R635" s="378"/>
      <c r="S635" s="378"/>
      <c r="T635" s="378"/>
      <c r="U635" s="378"/>
      <c r="V635" s="533"/>
      <c r="W635" s="378"/>
      <c r="X635" s="378"/>
      <c r="Y635" s="378">
        <f>IF(NFI_Expiration=1,IF($A635&lt;VLOOKUP(H$5,NFI,5,0),1,0)*Table_NFI[[#This Row],[Hygiene Kit]],Table_NFI[Hygiene Kit])</f>
        <v>0</v>
      </c>
      <c r="Z635" s="378">
        <f>IF(NFI_Expiration=1,IF($A635&lt;VLOOKUP(I$5,NFI,5,0),1,0)*Table_NFI[[#This Row],[NFI Core Kit]],Table_NFI[NFI Core Kit])</f>
        <v>0</v>
      </c>
      <c r="AA635" s="378">
        <f>IF(NFI_Expiration=1,IF($A635&lt;VLOOKUP(J$5,NFI,5,0),1,0)*Table_NFI[[#This Row],[Sanitary Kit]],Table_NFI[Sanitary Kit])</f>
        <v>0</v>
      </c>
      <c r="AB635" s="378">
        <f>IF(NFI_Expiration=1,IF($A635&lt;VLOOKUP(K$5,NFI,5,0),1,0)*Table_NFI[[#This Row],[Mosquito net]],Table_NFI[Mosquito net])</f>
        <v>0</v>
      </c>
      <c r="AC635" s="378">
        <f>IF(NFI_Expiration=1,IF($A635&lt;VLOOKUP(L$5,NFI,5,0),1,0)*Table_NFI[[#This Row],[Tarpaulin]],Table_NFI[[#This Row],[Tarpaulin]])</f>
        <v>0</v>
      </c>
      <c r="AD635" s="378">
        <f>IF(NFI_Expiration=1,IF($A635&lt;VLOOKUP(M$5,NFI,5,0),1,0)*Table_NFI[[#This Row],[Blanket]],Table_NFI[[#This Row],[Blanket]])</f>
        <v>0</v>
      </c>
      <c r="AE635" s="378">
        <f>IF(NFI_Expiration=1,IF($A635&lt;VLOOKUP(N$5,NFI,5,0),1,0)*Table_NFI[[#This Row],[Kitchen Set]],Table_NFI[Kitchen Set])</f>
        <v>0</v>
      </c>
      <c r="AF635" s="378">
        <f>IF(NFI_Expiration=1,IF($A635&lt;VLOOKUP(O$5,NFI,5,0),1,0)*Table_NFI[[#This Row],[Clothes Kit]],Table_NFI[Clothes Kit])</f>
        <v>0</v>
      </c>
      <c r="AG635" s="378">
        <f>IF(NFI_Expiration=1,IF($A635&lt;VLOOKUP(P$5,NFI,5,0),1,0)*Table_NFI[[#This Row],[Plastic Bucket]],Table_NFI[Plastic Bucket])</f>
        <v>0</v>
      </c>
      <c r="AH635" s="378">
        <f>IF(NFI_Expiration=1,IF($A635&lt;VLOOKUP(Q$5,NFI,5,0),1,0)*Table_NFI[[#This Row],[Plastic Mat]],Table_NFI[Plastic Mat])*IF(Table_NFI[[#This Row],[Distribution Date]]&gt;"2014-04-01",1,2.5)</f>
        <v>0</v>
      </c>
      <c r="AI635" s="378">
        <f>IF(NFI_Expiration=1,IF($A635&lt;VLOOKUP(R$5,NFI,5,0),1,0)*Table_NFI[[#This Row],[Winter Clothes Adult]],Table_NFI[Winter Clothes Adult])</f>
        <v>0</v>
      </c>
      <c r="AJ635" s="378">
        <f>IF(NFI_Expiration=1,IF($A635&lt;VLOOKUP(S$5,NFI,5,0),1,0)*Table_NFI[[#This Row],[Winter Clothes Children]],Table_NFI[Winter Clothes Children])</f>
        <v>0</v>
      </c>
      <c r="AK635" s="378">
        <f>IF(NFI_Expiration=1,IF($A635&lt;VLOOKUP(T$5,NFI,5,0),1,0)*Table_NFI[[#This Row],[Winter Items Other]],Table_NFI[Winter Items Other])</f>
        <v>0</v>
      </c>
      <c r="AL635" s="378">
        <f>IF(NFI_Expiration=1,IF($A635&lt;VLOOKUP(M$5,NFI,5,0),1,0)*Table_NFI[[#This Row],[Winter Blanket]],Table_NFI[[#This Row],[Winter Blanket]])</f>
        <v>0</v>
      </c>
      <c r="AM635" s="378">
        <f>IF(Table_NFI[[#This Row],[Winter Clothes Adult]]+Table_NFI[[#This Row],[Winter Clothes Children]]+Table_NFI[[#This Row],[Winter Items Other]]+Table_NFI[[#This Row],[Winter Blanket]]&gt;0,1,0)</f>
        <v>0</v>
      </c>
      <c r="AN635" s="418">
        <f>IF(NFI_Expiration=1,IF($A635&lt;VLOOKUP(V$5,NFI,5,0),1,0)*Table_NFI[[#This Row],[Jerry Can]],Table_NFI[Jerry Can])</f>
        <v>0</v>
      </c>
      <c r="AO635" s="579" t="str">
        <f>IFERROR(VLOOKUP(Table_NFI[[#This Row],[Camp Name]],CL,2,0),"")</f>
        <v>MMR001CMP072</v>
      </c>
      <c r="AP635" s="574">
        <f ca="1">IF(Table_NFI[[#This Row],[Pcode]]="","",IF(OFFSET(CampList[Opening Date],MATCH(Table_NFI[[#This Row],[Pcode]],CampList[CP_Pcode],0)-1,0,1,1)&gt;=NFI_Monitor_Date,1,0))</f>
        <v>0</v>
      </c>
      <c r="AQ635" s="579" t="str">
        <f>IFERROR(VLOOKUP(Table_NFI[[#This Row],[Camp Name]],CL,3,0),"")</f>
        <v>Open</v>
      </c>
      <c r="AR635" s="378" t="str">
        <f ca="1">IF(Table_NFI[[#This Row],[Pcode]]="","",OFFSET(CampList[Priority],MATCH(Table_NFI[[#This Row],[Pcode]],CampList[CP_Pcode],0)-1,0,1,1))</f>
        <v>P3</v>
      </c>
      <c r="AS635" s="377">
        <f>IFERROR(Table_NFI[[#This Row],[Kitchen Set]]/VLOOKUP(Table_NFI[[#This Row],[Camp Name]],CL,4,0),"")</f>
        <v>0.82</v>
      </c>
      <c r="AT635" s="572" t="s">
        <v>1095</v>
      </c>
      <c r="AU635" s="575"/>
    </row>
    <row r="636" spans="1:47" x14ac:dyDescent="0.25">
      <c r="A636" s="381">
        <f t="shared" si="9"/>
        <v>6.333333333333333</v>
      </c>
      <c r="B636" s="571">
        <v>42332</v>
      </c>
      <c r="C636" s="572" t="s">
        <v>454</v>
      </c>
      <c r="D636" s="572" t="s">
        <v>508</v>
      </c>
      <c r="E636" s="572" t="s">
        <v>380</v>
      </c>
      <c r="F636" s="572" t="s">
        <v>237</v>
      </c>
      <c r="G636" s="572" t="s">
        <v>273</v>
      </c>
      <c r="H636" s="375"/>
      <c r="I636" s="378"/>
      <c r="J636" s="378"/>
      <c r="K636" s="378"/>
      <c r="L636" s="376"/>
      <c r="M636" s="376"/>
      <c r="N636" s="376"/>
      <c r="O636" s="376"/>
      <c r="P636" s="378"/>
      <c r="Q636" s="378"/>
      <c r="R636" s="378"/>
      <c r="S636" s="378"/>
      <c r="T636" s="378"/>
      <c r="U636" s="378">
        <v>50</v>
      </c>
      <c r="V636" s="533"/>
      <c r="W636" s="378"/>
      <c r="X636" s="378"/>
      <c r="Y636" s="378">
        <f>IF(NFI_Expiration=1,IF($A636&lt;VLOOKUP(H$5,NFI,5,0),1,0)*Table_NFI[[#This Row],[Hygiene Kit]],Table_NFI[Hygiene Kit])</f>
        <v>0</v>
      </c>
      <c r="Z636" s="378">
        <f>IF(NFI_Expiration=1,IF($A636&lt;VLOOKUP(I$5,NFI,5,0),1,0)*Table_NFI[[#This Row],[NFI Core Kit]],Table_NFI[NFI Core Kit])</f>
        <v>0</v>
      </c>
      <c r="AA636" s="378">
        <f>IF(NFI_Expiration=1,IF($A636&lt;VLOOKUP(J$5,NFI,5,0),1,0)*Table_NFI[[#This Row],[Sanitary Kit]],Table_NFI[Sanitary Kit])</f>
        <v>0</v>
      </c>
      <c r="AB636" s="378">
        <f>IF(NFI_Expiration=1,IF($A636&lt;VLOOKUP(K$5,NFI,5,0),1,0)*Table_NFI[[#This Row],[Mosquito net]],Table_NFI[Mosquito net])</f>
        <v>0</v>
      </c>
      <c r="AC636" s="378">
        <f>IF(NFI_Expiration=1,IF($A636&lt;VLOOKUP(L$5,NFI,5,0),1,0)*Table_NFI[[#This Row],[Tarpaulin]],Table_NFI[[#This Row],[Tarpaulin]])</f>
        <v>0</v>
      </c>
      <c r="AD636" s="378">
        <f>IF(NFI_Expiration=1,IF($A636&lt;VLOOKUP(M$5,NFI,5,0),1,0)*Table_NFI[[#This Row],[Blanket]],Table_NFI[[#This Row],[Blanket]])</f>
        <v>0</v>
      </c>
      <c r="AE636" s="378">
        <f>IF(NFI_Expiration=1,IF($A636&lt;VLOOKUP(N$5,NFI,5,0),1,0)*Table_NFI[[#This Row],[Kitchen Set]],Table_NFI[Kitchen Set])</f>
        <v>0</v>
      </c>
      <c r="AF636" s="378">
        <f>IF(NFI_Expiration=1,IF($A636&lt;VLOOKUP(O$5,NFI,5,0),1,0)*Table_NFI[[#This Row],[Clothes Kit]],Table_NFI[Clothes Kit])</f>
        <v>0</v>
      </c>
      <c r="AG636" s="378">
        <f>IF(NFI_Expiration=1,IF($A636&lt;VLOOKUP(P$5,NFI,5,0),1,0)*Table_NFI[[#This Row],[Plastic Bucket]],Table_NFI[Plastic Bucket])</f>
        <v>0</v>
      </c>
      <c r="AH636" s="378">
        <f>IF(NFI_Expiration=1,IF($A636&lt;VLOOKUP(Q$5,NFI,5,0),1,0)*Table_NFI[[#This Row],[Plastic Mat]],Table_NFI[Plastic Mat])*IF(Table_NFI[[#This Row],[Distribution Date]]&gt;"2014-04-01",1,2.5)</f>
        <v>0</v>
      </c>
      <c r="AI636" s="378">
        <f>IF(NFI_Expiration=1,IF($A636&lt;VLOOKUP(R$5,NFI,5,0),1,0)*Table_NFI[[#This Row],[Winter Clothes Adult]],Table_NFI[Winter Clothes Adult])</f>
        <v>0</v>
      </c>
      <c r="AJ636" s="378">
        <f>IF(NFI_Expiration=1,IF($A636&lt;VLOOKUP(S$5,NFI,5,0),1,0)*Table_NFI[[#This Row],[Winter Clothes Children]],Table_NFI[Winter Clothes Children])</f>
        <v>0</v>
      </c>
      <c r="AK636" s="378">
        <f>IF(NFI_Expiration=1,IF($A636&lt;VLOOKUP(T$5,NFI,5,0),1,0)*Table_NFI[[#This Row],[Winter Items Other]],Table_NFI[Winter Items Other])</f>
        <v>0</v>
      </c>
      <c r="AL636" s="378">
        <f>IF(NFI_Expiration=1,IF($A636&lt;VLOOKUP(M$5,NFI,5,0),1,0)*Table_NFI[[#This Row],[Winter Blanket]],Table_NFI[[#This Row],[Winter Blanket]])</f>
        <v>50</v>
      </c>
      <c r="AM636" s="378">
        <f>IF(Table_NFI[[#This Row],[Winter Clothes Adult]]+Table_NFI[[#This Row],[Winter Clothes Children]]+Table_NFI[[#This Row],[Winter Items Other]]+Table_NFI[[#This Row],[Winter Blanket]]&gt;0,1,0)</f>
        <v>1</v>
      </c>
      <c r="AN636" s="418">
        <f>IF(NFI_Expiration=1,IF($A636&lt;VLOOKUP(V$5,NFI,5,0),1,0)*Table_NFI[[#This Row],[Jerry Can]],Table_NFI[Jerry Can])</f>
        <v>0</v>
      </c>
      <c r="AO636" s="579" t="str">
        <f>IFERROR(VLOOKUP(Table_NFI[[#This Row],[Camp Name]],CL,2,0),"")</f>
        <v>MMR001CMP162</v>
      </c>
      <c r="AP636" s="574">
        <f ca="1">IF(Table_NFI[[#This Row],[Pcode]]="","",IF(OFFSET(CampList[Opening Date],MATCH(Table_NFI[[#This Row],[Pcode]],CampList[CP_Pcode],0)-1,0,1,1)&gt;=NFI_Monitor_Date,1,0))</f>
        <v>0</v>
      </c>
      <c r="AQ636" s="579" t="str">
        <f>IFERROR(VLOOKUP(Table_NFI[[#This Row],[Camp Name]],CL,3,0),"")</f>
        <v>Open</v>
      </c>
      <c r="AR636" s="378" t="str">
        <f ca="1">IF(Table_NFI[[#This Row],[Pcode]]="","",OFFSET(CampList[Priority],MATCH(Table_NFI[[#This Row],[Pcode]],CampList[CP_Pcode],0)-1,0,1,1))</f>
        <v>P4</v>
      </c>
      <c r="AS636" s="377">
        <f>IFERROR(Table_NFI[[#This Row],[Kitchen Set]]/VLOOKUP(Table_NFI[[#This Row],[Camp Name]],CL,4,0),"")</f>
        <v>0</v>
      </c>
      <c r="AT636" s="572" t="s">
        <v>1095</v>
      </c>
      <c r="AU636" s="592"/>
    </row>
    <row r="637" spans="1:47" x14ac:dyDescent="0.25">
      <c r="A637" s="381">
        <f t="shared" si="9"/>
        <v>8.5666666666666664</v>
      </c>
      <c r="B637" s="571">
        <v>42265</v>
      </c>
      <c r="C637" s="577" t="s">
        <v>454</v>
      </c>
      <c r="D637" s="577" t="s">
        <v>508</v>
      </c>
      <c r="E637" s="577" t="s">
        <v>380</v>
      </c>
      <c r="F637" s="577" t="s">
        <v>237</v>
      </c>
      <c r="G637" s="577" t="s">
        <v>273</v>
      </c>
      <c r="H637" s="376"/>
      <c r="I637" s="376">
        <v>11</v>
      </c>
      <c r="J637" s="376">
        <v>11</v>
      </c>
      <c r="K637" s="376">
        <v>21</v>
      </c>
      <c r="L637" s="376">
        <v>16</v>
      </c>
      <c r="M637" s="376">
        <v>21</v>
      </c>
      <c r="N637" s="376">
        <v>11</v>
      </c>
      <c r="O637" s="376"/>
      <c r="P637" s="378">
        <v>11</v>
      </c>
      <c r="Q637" s="378">
        <v>42</v>
      </c>
      <c r="R637" s="378"/>
      <c r="S637" s="378"/>
      <c r="T637" s="378"/>
      <c r="U637" s="378"/>
      <c r="V637" s="533">
        <v>11</v>
      </c>
      <c r="W637" s="378"/>
      <c r="X637" s="378">
        <v>6</v>
      </c>
      <c r="Y637" s="378">
        <f>IF(NFI_Expiration=1,IF($A637&lt;VLOOKUP(H$5,NFI,5,0),1,0)*Table_NFI[[#This Row],[Hygiene Kit]],Table_NFI[Hygiene Kit])</f>
        <v>0</v>
      </c>
      <c r="Z637" s="378">
        <f>IF(NFI_Expiration=1,IF($A637&lt;VLOOKUP(I$5,NFI,5,0),1,0)*Table_NFI[[#This Row],[NFI Core Kit]],Table_NFI[NFI Core Kit])</f>
        <v>11</v>
      </c>
      <c r="AA637" s="378">
        <f>IF(NFI_Expiration=1,IF($A637&lt;VLOOKUP(J$5,NFI,5,0),1,0)*Table_NFI[[#This Row],[Sanitary Kit]],Table_NFI[Sanitary Kit])</f>
        <v>11</v>
      </c>
      <c r="AB637" s="378">
        <f>IF(NFI_Expiration=1,IF($A637&lt;VLOOKUP(K$5,NFI,5,0),1,0)*Table_NFI[[#This Row],[Mosquito net]],Table_NFI[Mosquito net])</f>
        <v>21</v>
      </c>
      <c r="AC637" s="378">
        <f>IF(NFI_Expiration=1,IF($A637&lt;VLOOKUP(L$5,NFI,5,0),1,0)*Table_NFI[[#This Row],[Tarpaulin]],Table_NFI[[#This Row],[Tarpaulin]])</f>
        <v>16</v>
      </c>
      <c r="AD637" s="378">
        <f>IF(NFI_Expiration=1,IF($A637&lt;VLOOKUP(M$5,NFI,5,0),1,0)*Table_NFI[[#This Row],[Blanket]],Table_NFI[[#This Row],[Blanket]])</f>
        <v>21</v>
      </c>
      <c r="AE637" s="378">
        <f>IF(NFI_Expiration=1,IF($A637&lt;VLOOKUP(N$5,NFI,5,0),1,0)*Table_NFI[[#This Row],[Kitchen Set]],Table_NFI[Kitchen Set])</f>
        <v>11</v>
      </c>
      <c r="AF637" s="378">
        <f>IF(NFI_Expiration=1,IF($A637&lt;VLOOKUP(O$5,NFI,5,0),1,0)*Table_NFI[[#This Row],[Clothes Kit]],Table_NFI[Clothes Kit])</f>
        <v>0</v>
      </c>
      <c r="AG637" s="378">
        <f>IF(NFI_Expiration=1,IF($A637&lt;VLOOKUP(P$5,NFI,5,0),1,0)*Table_NFI[[#This Row],[Plastic Bucket]],Table_NFI[Plastic Bucket])</f>
        <v>11</v>
      </c>
      <c r="AH637" s="378">
        <f>IF(NFI_Expiration=1,IF($A637&lt;VLOOKUP(Q$5,NFI,5,0),1,0)*Table_NFI[[#This Row],[Plastic Mat]],Table_NFI[Plastic Mat])*IF(Table_NFI[[#This Row],[Distribution Date]]&gt;"2014-04-01",1,2.5)</f>
        <v>105</v>
      </c>
      <c r="AI637" s="378">
        <f>IF(NFI_Expiration=1,IF($A637&lt;VLOOKUP(R$5,NFI,5,0),1,0)*Table_NFI[[#This Row],[Winter Clothes Adult]],Table_NFI[Winter Clothes Adult])</f>
        <v>0</v>
      </c>
      <c r="AJ637" s="378">
        <f>IF(NFI_Expiration=1,IF($A637&lt;VLOOKUP(S$5,NFI,5,0),1,0)*Table_NFI[[#This Row],[Winter Clothes Children]],Table_NFI[Winter Clothes Children])</f>
        <v>0</v>
      </c>
      <c r="AK637" s="378">
        <f>IF(NFI_Expiration=1,IF($A637&lt;VLOOKUP(T$5,NFI,5,0),1,0)*Table_NFI[[#This Row],[Winter Items Other]],Table_NFI[Winter Items Other])</f>
        <v>0</v>
      </c>
      <c r="AL637" s="378">
        <f>IF(NFI_Expiration=1,IF($A637&lt;VLOOKUP(M$5,NFI,5,0),1,0)*Table_NFI[[#This Row],[Winter Blanket]],Table_NFI[[#This Row],[Winter Blanket]])</f>
        <v>0</v>
      </c>
      <c r="AM637" s="378">
        <f>IF(Table_NFI[[#This Row],[Winter Clothes Adult]]+Table_NFI[[#This Row],[Winter Clothes Children]]+Table_NFI[[#This Row],[Winter Items Other]]+Table_NFI[[#This Row],[Winter Blanket]]&gt;0,1,0)</f>
        <v>0</v>
      </c>
      <c r="AN637" s="418">
        <f>IF(NFI_Expiration=1,IF($A637&lt;VLOOKUP(V$5,NFI,5,0),1,0)*Table_NFI[[#This Row],[Jerry Can]],Table_NFI[Jerry Can])</f>
        <v>11</v>
      </c>
      <c r="AO637" s="579" t="str">
        <f>IFERROR(VLOOKUP(Table_NFI[[#This Row],[Camp Name]],CL,2,0),"")</f>
        <v>MMR001CMP162</v>
      </c>
      <c r="AP637" s="574">
        <f ca="1">IF(Table_NFI[[#This Row],[Pcode]]="","",IF(OFFSET(CampList[Opening Date],MATCH(Table_NFI[[#This Row],[Pcode]],CampList[CP_Pcode],0)-1,0,1,1)&gt;=NFI_Monitor_Date,1,0))</f>
        <v>0</v>
      </c>
      <c r="AQ637" s="579" t="str">
        <f>IFERROR(VLOOKUP(Table_NFI[[#This Row],[Camp Name]],CL,3,0),"")</f>
        <v>Open</v>
      </c>
      <c r="AR637" s="378" t="str">
        <f ca="1">IF(Table_NFI[[#This Row],[Pcode]]="","",OFFSET(CampList[Priority],MATCH(Table_NFI[[#This Row],[Pcode]],CampList[CP_Pcode],0)-1,0,1,1))</f>
        <v>P4</v>
      </c>
      <c r="AS637" s="377">
        <f>IFERROR(Table_NFI[[#This Row],[Kitchen Set]]/VLOOKUP(Table_NFI[[#This Row],[Camp Name]],CL,4,0),"")</f>
        <v>0.2558139534883721</v>
      </c>
      <c r="AT637" s="572" t="s">
        <v>1095</v>
      </c>
      <c r="AU637" s="580"/>
    </row>
    <row r="638" spans="1:47" x14ac:dyDescent="0.25">
      <c r="A638" s="381">
        <f t="shared" si="9"/>
        <v>15.8</v>
      </c>
      <c r="B638" s="571">
        <v>42048</v>
      </c>
      <c r="C638" s="577" t="s">
        <v>454</v>
      </c>
      <c r="D638" s="577" t="s">
        <v>508</v>
      </c>
      <c r="E638" s="577" t="s">
        <v>380</v>
      </c>
      <c r="F638" s="577" t="s">
        <v>237</v>
      </c>
      <c r="G638" s="577" t="s">
        <v>273</v>
      </c>
      <c r="H638" s="376"/>
      <c r="I638" s="376"/>
      <c r="J638" s="376"/>
      <c r="K638" s="376"/>
      <c r="L638" s="376"/>
      <c r="M638" s="376">
        <v>18</v>
      </c>
      <c r="N638" s="376">
        <v>9</v>
      </c>
      <c r="O638" s="376"/>
      <c r="P638" s="378">
        <v>29</v>
      </c>
      <c r="Q638" s="378">
        <v>145</v>
      </c>
      <c r="R638" s="378"/>
      <c r="S638" s="378"/>
      <c r="T638" s="378"/>
      <c r="U638" s="378"/>
      <c r="V638" s="533"/>
      <c r="W638" s="378"/>
      <c r="X638" s="378"/>
      <c r="Y638" s="378">
        <f>IF(NFI_Expiration=1,IF($A638&lt;VLOOKUP(H$5,NFI,5,0),1,0)*Table_NFI[[#This Row],[Hygiene Kit]],Table_NFI[Hygiene Kit])</f>
        <v>0</v>
      </c>
      <c r="Z638" s="378">
        <f>IF(NFI_Expiration=1,IF($A638&lt;VLOOKUP(I$5,NFI,5,0),1,0)*Table_NFI[[#This Row],[NFI Core Kit]],Table_NFI[NFI Core Kit])</f>
        <v>0</v>
      </c>
      <c r="AA638" s="378">
        <f>IF(NFI_Expiration=1,IF($A638&lt;VLOOKUP(J$5,NFI,5,0),1,0)*Table_NFI[[#This Row],[Sanitary Kit]],Table_NFI[Sanitary Kit])</f>
        <v>0</v>
      </c>
      <c r="AB638" s="378">
        <f>IF(NFI_Expiration=1,IF($A638&lt;VLOOKUP(K$5,NFI,5,0),1,0)*Table_NFI[[#This Row],[Mosquito net]],Table_NFI[Mosquito net])</f>
        <v>0</v>
      </c>
      <c r="AC638" s="378">
        <f>IF(NFI_Expiration=1,IF($A638&lt;VLOOKUP(L$5,NFI,5,0),1,0)*Table_NFI[[#This Row],[Tarpaulin]],Table_NFI[[#This Row],[Tarpaulin]])</f>
        <v>0</v>
      </c>
      <c r="AD638" s="378">
        <f>IF(NFI_Expiration=1,IF($A638&lt;VLOOKUP(M$5,NFI,5,0),1,0)*Table_NFI[[#This Row],[Blanket]],Table_NFI[[#This Row],[Blanket]])</f>
        <v>0</v>
      </c>
      <c r="AE638" s="378">
        <f>IF(NFI_Expiration=1,IF($A638&lt;VLOOKUP(N$5,NFI,5,0),1,0)*Table_NFI[[#This Row],[Kitchen Set]],Table_NFI[Kitchen Set])</f>
        <v>0</v>
      </c>
      <c r="AF638" s="378">
        <f>IF(NFI_Expiration=1,IF($A638&lt;VLOOKUP(O$5,NFI,5,0),1,0)*Table_NFI[[#This Row],[Clothes Kit]],Table_NFI[Clothes Kit])</f>
        <v>0</v>
      </c>
      <c r="AG638" s="378">
        <f>IF(NFI_Expiration=1,IF($A638&lt;VLOOKUP(P$5,NFI,5,0),1,0)*Table_NFI[[#This Row],[Plastic Bucket]],Table_NFI[Plastic Bucket])</f>
        <v>0</v>
      </c>
      <c r="AH638" s="378">
        <f>IF(NFI_Expiration=1,IF($A638&lt;VLOOKUP(Q$5,NFI,5,0),1,0)*Table_NFI[[#This Row],[Plastic Mat]],Table_NFI[Plastic Mat])*IF(Table_NFI[[#This Row],[Distribution Date]]&gt;"2014-04-01",1,2.5)</f>
        <v>0</v>
      </c>
      <c r="AI638" s="378">
        <f>IF(NFI_Expiration=1,IF($A638&lt;VLOOKUP(R$5,NFI,5,0),1,0)*Table_NFI[[#This Row],[Winter Clothes Adult]],Table_NFI[Winter Clothes Adult])</f>
        <v>0</v>
      </c>
      <c r="AJ638" s="378">
        <f>IF(NFI_Expiration=1,IF($A638&lt;VLOOKUP(S$5,NFI,5,0),1,0)*Table_NFI[[#This Row],[Winter Clothes Children]],Table_NFI[Winter Clothes Children])</f>
        <v>0</v>
      </c>
      <c r="AK638" s="378">
        <f>IF(NFI_Expiration=1,IF($A638&lt;VLOOKUP(T$5,NFI,5,0),1,0)*Table_NFI[[#This Row],[Winter Items Other]],Table_NFI[Winter Items Other])</f>
        <v>0</v>
      </c>
      <c r="AL638" s="378">
        <f>IF(NFI_Expiration=1,IF($A638&lt;VLOOKUP(M$5,NFI,5,0),1,0)*Table_NFI[[#This Row],[Winter Blanket]],Table_NFI[[#This Row],[Winter Blanket]])</f>
        <v>0</v>
      </c>
      <c r="AM638" s="378">
        <f>IF(Table_NFI[[#This Row],[Winter Clothes Adult]]+Table_NFI[[#This Row],[Winter Clothes Children]]+Table_NFI[[#This Row],[Winter Items Other]]+Table_NFI[[#This Row],[Winter Blanket]]&gt;0,1,0)</f>
        <v>0</v>
      </c>
      <c r="AN638" s="418">
        <f>IF(NFI_Expiration=1,IF($A638&lt;VLOOKUP(V$5,NFI,5,0),1,0)*Table_NFI[[#This Row],[Jerry Can]],Table_NFI[Jerry Can])</f>
        <v>0</v>
      </c>
      <c r="AO638" s="579" t="str">
        <f>IFERROR(VLOOKUP(Table_NFI[[#This Row],[Camp Name]],CL,2,0),"")</f>
        <v>MMR001CMP162</v>
      </c>
      <c r="AP638" s="574">
        <f ca="1">IF(Table_NFI[[#This Row],[Pcode]]="","",IF(OFFSET(CampList[Opening Date],MATCH(Table_NFI[[#This Row],[Pcode]],CampList[CP_Pcode],0)-1,0,1,1)&gt;=NFI_Monitor_Date,1,0))</f>
        <v>0</v>
      </c>
      <c r="AQ638" s="579" t="str">
        <f>IFERROR(VLOOKUP(Table_NFI[[#This Row],[Camp Name]],CL,3,0),"")</f>
        <v>Open</v>
      </c>
      <c r="AR638" s="378" t="str">
        <f ca="1">IF(Table_NFI[[#This Row],[Pcode]]="","",OFFSET(CampList[Priority],MATCH(Table_NFI[[#This Row],[Pcode]],CampList[CP_Pcode],0)-1,0,1,1))</f>
        <v>P4</v>
      </c>
      <c r="AS638" s="377">
        <f>IFERROR(Table_NFI[[#This Row],[Kitchen Set]]/VLOOKUP(Table_NFI[[#This Row],[Camp Name]],CL,4,0),"")</f>
        <v>0.20930232558139536</v>
      </c>
      <c r="AT638" s="572" t="s">
        <v>1095</v>
      </c>
      <c r="AU638" s="580"/>
    </row>
    <row r="639" spans="1:47" x14ac:dyDescent="0.25">
      <c r="A639" s="381">
        <f t="shared" si="9"/>
        <v>16.833333333333332</v>
      </c>
      <c r="B639" s="571">
        <v>42017</v>
      </c>
      <c r="C639" s="572" t="s">
        <v>1097</v>
      </c>
      <c r="D639" s="572" t="s">
        <v>903</v>
      </c>
      <c r="E639" s="572" t="s">
        <v>380</v>
      </c>
      <c r="F639" s="572" t="s">
        <v>237</v>
      </c>
      <c r="G639" s="572" t="s">
        <v>273</v>
      </c>
      <c r="H639" s="375"/>
      <c r="I639" s="378"/>
      <c r="J639" s="378"/>
      <c r="K639" s="378"/>
      <c r="L639" s="376"/>
      <c r="M639" s="376"/>
      <c r="N639" s="376"/>
      <c r="O639" s="376"/>
      <c r="P639" s="378"/>
      <c r="Q639" s="378"/>
      <c r="R639" s="378">
        <v>323</v>
      </c>
      <c r="S639" s="378">
        <v>178</v>
      </c>
      <c r="T639" s="378"/>
      <c r="U639" s="378"/>
      <c r="V639" s="533"/>
      <c r="W639" s="378"/>
      <c r="X639" s="378"/>
      <c r="Y639" s="378">
        <f>IF(NFI_Expiration=1,IF($A639&lt;VLOOKUP(H$5,NFI,5,0),1,0)*Table_NFI[[#This Row],[Hygiene Kit]],Table_NFI[Hygiene Kit])</f>
        <v>0</v>
      </c>
      <c r="Z639" s="378">
        <f>IF(NFI_Expiration=1,IF($A639&lt;VLOOKUP(I$5,NFI,5,0),1,0)*Table_NFI[[#This Row],[NFI Core Kit]],Table_NFI[NFI Core Kit])</f>
        <v>0</v>
      </c>
      <c r="AA639" s="378">
        <f>IF(NFI_Expiration=1,IF($A639&lt;VLOOKUP(J$5,NFI,5,0),1,0)*Table_NFI[[#This Row],[Sanitary Kit]],Table_NFI[Sanitary Kit])</f>
        <v>0</v>
      </c>
      <c r="AB639" s="378">
        <f>IF(NFI_Expiration=1,IF($A639&lt;VLOOKUP(K$5,NFI,5,0),1,0)*Table_NFI[[#This Row],[Mosquito net]],Table_NFI[Mosquito net])</f>
        <v>0</v>
      </c>
      <c r="AC639" s="378">
        <f>IF(NFI_Expiration=1,IF($A639&lt;VLOOKUP(L$5,NFI,5,0),1,0)*Table_NFI[[#This Row],[Tarpaulin]],Table_NFI[[#This Row],[Tarpaulin]])</f>
        <v>0</v>
      </c>
      <c r="AD639" s="378">
        <f>IF(NFI_Expiration=1,IF($A639&lt;VLOOKUP(M$5,NFI,5,0),1,0)*Table_NFI[[#This Row],[Blanket]],Table_NFI[[#This Row],[Blanket]])</f>
        <v>0</v>
      </c>
      <c r="AE639" s="378">
        <f>IF(NFI_Expiration=1,IF($A639&lt;VLOOKUP(N$5,NFI,5,0),1,0)*Table_NFI[[#This Row],[Kitchen Set]],Table_NFI[Kitchen Set])</f>
        <v>0</v>
      </c>
      <c r="AF639" s="378">
        <f>IF(NFI_Expiration=1,IF($A639&lt;VLOOKUP(O$5,NFI,5,0),1,0)*Table_NFI[[#This Row],[Clothes Kit]],Table_NFI[Clothes Kit])</f>
        <v>0</v>
      </c>
      <c r="AG639" s="378">
        <f>IF(NFI_Expiration=1,IF($A639&lt;VLOOKUP(P$5,NFI,5,0),1,0)*Table_NFI[[#This Row],[Plastic Bucket]],Table_NFI[Plastic Bucket])</f>
        <v>0</v>
      </c>
      <c r="AH639" s="378">
        <f>IF(NFI_Expiration=1,IF($A639&lt;VLOOKUP(Q$5,NFI,5,0),1,0)*Table_NFI[[#This Row],[Plastic Mat]],Table_NFI[Plastic Mat])*IF(Table_NFI[[#This Row],[Distribution Date]]&gt;"2014-04-01",1,2.5)</f>
        <v>0</v>
      </c>
      <c r="AI639" s="378">
        <f>IF(NFI_Expiration=1,IF($A639&lt;VLOOKUP(R$5,NFI,5,0),1,0)*Table_NFI[[#This Row],[Winter Clothes Adult]],Table_NFI[Winter Clothes Adult])</f>
        <v>0</v>
      </c>
      <c r="AJ639" s="378">
        <f>IF(NFI_Expiration=1,IF($A639&lt;VLOOKUP(S$5,NFI,5,0),1,0)*Table_NFI[[#This Row],[Winter Clothes Children]],Table_NFI[Winter Clothes Children])</f>
        <v>0</v>
      </c>
      <c r="AK639" s="378">
        <f>IF(NFI_Expiration=1,IF($A639&lt;VLOOKUP(T$5,NFI,5,0),1,0)*Table_NFI[[#This Row],[Winter Items Other]],Table_NFI[Winter Items Other])</f>
        <v>0</v>
      </c>
      <c r="AL639" s="378">
        <f>IF(NFI_Expiration=1,IF($A639&lt;VLOOKUP(M$5,NFI,5,0),1,0)*Table_NFI[[#This Row],[Winter Blanket]],Table_NFI[[#This Row],[Winter Blanket]])</f>
        <v>0</v>
      </c>
      <c r="AM639" s="378">
        <f>IF(Table_NFI[[#This Row],[Winter Clothes Adult]]+Table_NFI[[#This Row],[Winter Clothes Children]]+Table_NFI[[#This Row],[Winter Items Other]]+Table_NFI[[#This Row],[Winter Blanket]]&gt;0,1,0)</f>
        <v>1</v>
      </c>
      <c r="AN639" s="418">
        <f>IF(NFI_Expiration=1,IF($A639&lt;VLOOKUP(V$5,NFI,5,0),1,0)*Table_NFI[[#This Row],[Jerry Can]],Table_NFI[Jerry Can])</f>
        <v>0</v>
      </c>
      <c r="AO639" s="579" t="str">
        <f>IFERROR(VLOOKUP(Table_NFI[[#This Row],[Camp Name]],CL,2,0),"")</f>
        <v>MMR001CMP162</v>
      </c>
      <c r="AP639" s="574">
        <f ca="1">IF(Table_NFI[[#This Row],[Pcode]]="","",IF(OFFSET(CampList[Opening Date],MATCH(Table_NFI[[#This Row],[Pcode]],CampList[CP_Pcode],0)-1,0,1,1)&gt;=NFI_Monitor_Date,1,0))</f>
        <v>0</v>
      </c>
      <c r="AQ639" s="579" t="str">
        <f>IFERROR(VLOOKUP(Table_NFI[[#This Row],[Camp Name]],CL,3,0),"")</f>
        <v>Open</v>
      </c>
      <c r="AR639" s="378" t="str">
        <f ca="1">IF(Table_NFI[[#This Row],[Pcode]]="","",OFFSET(CampList[Priority],MATCH(Table_NFI[[#This Row],[Pcode]],CampList[CP_Pcode],0)-1,0,1,1))</f>
        <v>P4</v>
      </c>
      <c r="AS639" s="377">
        <f>IFERROR(Table_NFI[[#This Row],[Kitchen Set]]/VLOOKUP(Table_NFI[[#This Row],[Camp Name]],CL,4,0),"")</f>
        <v>0</v>
      </c>
      <c r="AT639" s="572"/>
      <c r="AU639" s="601"/>
    </row>
    <row r="640" spans="1:47" x14ac:dyDescent="0.25">
      <c r="A640" s="381">
        <f t="shared" si="9"/>
        <v>20.3</v>
      </c>
      <c r="B640" s="571">
        <v>41913</v>
      </c>
      <c r="C640" s="572" t="s">
        <v>454</v>
      </c>
      <c r="D640" s="577" t="s">
        <v>508</v>
      </c>
      <c r="E640" s="577" t="s">
        <v>380</v>
      </c>
      <c r="F640" s="577" t="s">
        <v>237</v>
      </c>
      <c r="G640" s="577" t="s">
        <v>273</v>
      </c>
      <c r="H640" s="376"/>
      <c r="I640" s="376"/>
      <c r="J640" s="376"/>
      <c r="K640" s="376">
        <v>62</v>
      </c>
      <c r="L640" s="376"/>
      <c r="M640" s="376"/>
      <c r="N640" s="376"/>
      <c r="O640" s="376"/>
      <c r="P640" s="378"/>
      <c r="Q640" s="378"/>
      <c r="R640" s="378"/>
      <c r="S640" s="378"/>
      <c r="T640" s="378"/>
      <c r="U640" s="378"/>
      <c r="V640" s="533"/>
      <c r="W640" s="378"/>
      <c r="X640" s="378"/>
      <c r="Y640" s="378">
        <f>IF(NFI_Expiration=1,IF($A640&lt;VLOOKUP(H$5,NFI,5,0),1,0)*Table_NFI[[#This Row],[Hygiene Kit]],Table_NFI[Hygiene Kit])</f>
        <v>0</v>
      </c>
      <c r="Z640" s="378">
        <f>IF(NFI_Expiration=1,IF($A640&lt;VLOOKUP(I$5,NFI,5,0),1,0)*Table_NFI[[#This Row],[NFI Core Kit]],Table_NFI[NFI Core Kit])</f>
        <v>0</v>
      </c>
      <c r="AA640" s="378">
        <f>IF(NFI_Expiration=1,IF($A640&lt;VLOOKUP(J$5,NFI,5,0),1,0)*Table_NFI[[#This Row],[Sanitary Kit]],Table_NFI[Sanitary Kit])</f>
        <v>0</v>
      </c>
      <c r="AB640" s="378">
        <f>IF(NFI_Expiration=1,IF($A640&lt;VLOOKUP(K$5,NFI,5,0),1,0)*Table_NFI[[#This Row],[Mosquito net]],Table_NFI[Mosquito net])</f>
        <v>0</v>
      </c>
      <c r="AC640" s="378">
        <f>IF(NFI_Expiration=1,IF($A640&lt;VLOOKUP(L$5,NFI,5,0),1,0)*Table_NFI[[#This Row],[Tarpaulin]],Table_NFI[[#This Row],[Tarpaulin]])</f>
        <v>0</v>
      </c>
      <c r="AD640" s="378">
        <f>IF(NFI_Expiration=1,IF($A640&lt;VLOOKUP(M$5,NFI,5,0),1,0)*Table_NFI[[#This Row],[Blanket]],Table_NFI[[#This Row],[Blanket]])</f>
        <v>0</v>
      </c>
      <c r="AE640" s="378">
        <f>IF(NFI_Expiration=1,IF($A640&lt;VLOOKUP(N$5,NFI,5,0),1,0)*Table_NFI[[#This Row],[Kitchen Set]],Table_NFI[Kitchen Set])</f>
        <v>0</v>
      </c>
      <c r="AF640" s="378">
        <f>IF(NFI_Expiration=1,IF($A640&lt;VLOOKUP(O$5,NFI,5,0),1,0)*Table_NFI[[#This Row],[Clothes Kit]],Table_NFI[Clothes Kit])</f>
        <v>0</v>
      </c>
      <c r="AG640" s="378">
        <f>IF(NFI_Expiration=1,IF($A640&lt;VLOOKUP(P$5,NFI,5,0),1,0)*Table_NFI[[#This Row],[Plastic Bucket]],Table_NFI[Plastic Bucket])</f>
        <v>0</v>
      </c>
      <c r="AH640" s="378">
        <f>IF(NFI_Expiration=1,IF($A640&lt;VLOOKUP(Q$5,NFI,5,0),1,0)*Table_NFI[[#This Row],[Plastic Mat]],Table_NFI[Plastic Mat])*IF(Table_NFI[[#This Row],[Distribution Date]]&gt;"2014-04-01",1,2.5)</f>
        <v>0</v>
      </c>
      <c r="AI640" s="378">
        <f>IF(NFI_Expiration=1,IF($A640&lt;VLOOKUP(R$5,NFI,5,0),1,0)*Table_NFI[[#This Row],[Winter Clothes Adult]],Table_NFI[Winter Clothes Adult])</f>
        <v>0</v>
      </c>
      <c r="AJ640" s="378">
        <f>IF(NFI_Expiration=1,IF($A640&lt;VLOOKUP(S$5,NFI,5,0),1,0)*Table_NFI[[#This Row],[Winter Clothes Children]],Table_NFI[Winter Clothes Children])</f>
        <v>0</v>
      </c>
      <c r="AK640" s="378">
        <f>IF(NFI_Expiration=1,IF($A640&lt;VLOOKUP(T$5,NFI,5,0),1,0)*Table_NFI[[#This Row],[Winter Items Other]],Table_NFI[Winter Items Other])</f>
        <v>0</v>
      </c>
      <c r="AL640" s="378">
        <f>IF(NFI_Expiration=1,IF($A640&lt;VLOOKUP(M$5,NFI,5,0),1,0)*Table_NFI[[#This Row],[Winter Blanket]],Table_NFI[[#This Row],[Winter Blanket]])</f>
        <v>0</v>
      </c>
      <c r="AM640" s="378">
        <f>IF(Table_NFI[[#This Row],[Winter Clothes Adult]]+Table_NFI[[#This Row],[Winter Clothes Children]]+Table_NFI[[#This Row],[Winter Items Other]]+Table_NFI[[#This Row],[Winter Blanket]]&gt;0,1,0)</f>
        <v>0</v>
      </c>
      <c r="AN640" s="418">
        <f>IF(NFI_Expiration=1,IF($A640&lt;VLOOKUP(V$5,NFI,5,0),1,0)*Table_NFI[[#This Row],[Jerry Can]],Table_NFI[Jerry Can])</f>
        <v>0</v>
      </c>
      <c r="AO640" s="579" t="str">
        <f>IFERROR(VLOOKUP(Table_NFI[[#This Row],[Camp Name]],CL,2,0),"")</f>
        <v>MMR001CMP162</v>
      </c>
      <c r="AP640" s="574">
        <f ca="1">IF(Table_NFI[[#This Row],[Pcode]]="","",IF(OFFSET(CampList[Opening Date],MATCH(Table_NFI[[#This Row],[Pcode]],CampList[CP_Pcode],0)-1,0,1,1)&gt;=NFI_Monitor_Date,1,0))</f>
        <v>0</v>
      </c>
      <c r="AQ640" s="579" t="str">
        <f>IFERROR(VLOOKUP(Table_NFI[[#This Row],[Camp Name]],CL,3,0),"")</f>
        <v>Open</v>
      </c>
      <c r="AR640" s="378" t="str">
        <f ca="1">IF(Table_NFI[[#This Row],[Pcode]]="","",OFFSET(CampList[Priority],MATCH(Table_NFI[[#This Row],[Pcode]],CampList[CP_Pcode],0)-1,0,1,1))</f>
        <v>P4</v>
      </c>
      <c r="AS640" s="377">
        <f>IFERROR(Table_NFI[[#This Row],[Kitchen Set]]/VLOOKUP(Table_NFI[[#This Row],[Camp Name]],CL,4,0),"")</f>
        <v>0</v>
      </c>
      <c r="AT640" s="577"/>
      <c r="AU640" s="580"/>
    </row>
    <row r="641" spans="1:47" x14ac:dyDescent="0.25">
      <c r="A641" s="381">
        <f t="shared" si="9"/>
        <v>25.133333333333333</v>
      </c>
      <c r="B641" s="571">
        <v>41768</v>
      </c>
      <c r="C641" s="572" t="s">
        <v>1107</v>
      </c>
      <c r="D641" s="572" t="s">
        <v>903</v>
      </c>
      <c r="E641" s="572" t="s">
        <v>380</v>
      </c>
      <c r="F641" s="572" t="s">
        <v>237</v>
      </c>
      <c r="G641" s="572" t="s">
        <v>273</v>
      </c>
      <c r="H641" s="375"/>
      <c r="I641" s="375"/>
      <c r="J641" s="375"/>
      <c r="K641" s="375"/>
      <c r="L641" s="376"/>
      <c r="M641" s="376"/>
      <c r="N641" s="376"/>
      <c r="O641" s="376"/>
      <c r="P641" s="378"/>
      <c r="Q641" s="378"/>
      <c r="R641" s="378"/>
      <c r="S641" s="378"/>
      <c r="T641" s="378"/>
      <c r="U641" s="378">
        <v>58</v>
      </c>
      <c r="V641" s="533"/>
      <c r="W641" s="378"/>
      <c r="X641" s="378"/>
      <c r="Y641" s="378">
        <f>IF(NFI_Expiration=1,IF($A641&lt;VLOOKUP(H$5,NFI,5,0),1,0)*Table_NFI[[#This Row],[Hygiene Kit]],Table_NFI[Hygiene Kit])</f>
        <v>0</v>
      </c>
      <c r="Z641" s="378">
        <f>IF(NFI_Expiration=1,IF($A641&lt;VLOOKUP(I$5,NFI,5,0),1,0)*Table_NFI[[#This Row],[NFI Core Kit]],Table_NFI[NFI Core Kit])</f>
        <v>0</v>
      </c>
      <c r="AA641" s="378">
        <f>IF(NFI_Expiration=1,IF($A641&lt;VLOOKUP(J$5,NFI,5,0),1,0)*Table_NFI[[#This Row],[Sanitary Kit]],Table_NFI[Sanitary Kit])</f>
        <v>0</v>
      </c>
      <c r="AB641" s="378">
        <f>IF(NFI_Expiration=1,IF($A641&lt;VLOOKUP(K$5,NFI,5,0),1,0)*Table_NFI[[#This Row],[Mosquito net]],Table_NFI[Mosquito net])</f>
        <v>0</v>
      </c>
      <c r="AC641" s="378">
        <f>IF(NFI_Expiration=1,IF($A641&lt;VLOOKUP(L$5,NFI,5,0),1,0)*Table_NFI[[#This Row],[Tarpaulin]],Table_NFI[[#This Row],[Tarpaulin]])</f>
        <v>0</v>
      </c>
      <c r="AD641" s="378">
        <f>IF(NFI_Expiration=1,IF($A641&lt;VLOOKUP(M$5,NFI,5,0),1,0)*Table_NFI[[#This Row],[Blanket]],Table_NFI[[#This Row],[Blanket]])</f>
        <v>0</v>
      </c>
      <c r="AE641" s="378">
        <f>IF(NFI_Expiration=1,IF($A641&lt;VLOOKUP(N$5,NFI,5,0),1,0)*Table_NFI[[#This Row],[Kitchen Set]],Table_NFI[Kitchen Set])</f>
        <v>0</v>
      </c>
      <c r="AF641" s="378">
        <f>IF(NFI_Expiration=1,IF($A641&lt;VLOOKUP(O$5,NFI,5,0),1,0)*Table_NFI[[#This Row],[Clothes Kit]],Table_NFI[Clothes Kit])</f>
        <v>0</v>
      </c>
      <c r="AG641" s="378">
        <f>IF(NFI_Expiration=1,IF($A641&lt;VLOOKUP(P$5,NFI,5,0),1,0)*Table_NFI[[#This Row],[Plastic Bucket]],Table_NFI[Plastic Bucket])</f>
        <v>0</v>
      </c>
      <c r="AH641" s="378">
        <f>IF(NFI_Expiration=1,IF($A641&lt;VLOOKUP(Q$5,NFI,5,0),1,0)*Table_NFI[[#This Row],[Plastic Mat]],Table_NFI[Plastic Mat])*IF(Table_NFI[[#This Row],[Distribution Date]]&gt;"2014-04-01",1,2.5)</f>
        <v>0</v>
      </c>
      <c r="AI641" s="378">
        <f>IF(NFI_Expiration=1,IF($A641&lt;VLOOKUP(R$5,NFI,5,0),1,0)*Table_NFI[[#This Row],[Winter Clothes Adult]],Table_NFI[Winter Clothes Adult])</f>
        <v>0</v>
      </c>
      <c r="AJ641" s="378">
        <f>IF(NFI_Expiration=1,IF($A641&lt;VLOOKUP(S$5,NFI,5,0),1,0)*Table_NFI[[#This Row],[Winter Clothes Children]],Table_NFI[Winter Clothes Children])</f>
        <v>0</v>
      </c>
      <c r="AK641" s="378">
        <f>IF(NFI_Expiration=1,IF($A641&lt;VLOOKUP(T$5,NFI,5,0),1,0)*Table_NFI[[#This Row],[Winter Items Other]],Table_NFI[Winter Items Other])</f>
        <v>0</v>
      </c>
      <c r="AL641" s="378">
        <f>IF(NFI_Expiration=1,IF($A641&lt;VLOOKUP(M$5,NFI,5,0),1,0)*Table_NFI[[#This Row],[Winter Blanket]],Table_NFI[[#This Row],[Winter Blanket]])</f>
        <v>0</v>
      </c>
      <c r="AM641" s="378">
        <f>IF(Table_NFI[[#This Row],[Winter Clothes Adult]]+Table_NFI[[#This Row],[Winter Clothes Children]]+Table_NFI[[#This Row],[Winter Items Other]]+Table_NFI[[#This Row],[Winter Blanket]]&gt;0,1,0)</f>
        <v>1</v>
      </c>
      <c r="AN641" s="418">
        <f>IF(NFI_Expiration=1,IF($A641&lt;VLOOKUP(V$5,NFI,5,0),1,0)*Table_NFI[[#This Row],[Jerry Can]],Table_NFI[Jerry Can])</f>
        <v>0</v>
      </c>
      <c r="AO641" s="579" t="str">
        <f>IFERROR(VLOOKUP(Table_NFI[[#This Row],[Camp Name]],CL,2,0),"")</f>
        <v>MMR001CMP162</v>
      </c>
      <c r="AP641" s="574">
        <f ca="1">IF(Table_NFI[[#This Row],[Pcode]]="","",IF(OFFSET(CampList[Opening Date],MATCH(Table_NFI[[#This Row],[Pcode]],CampList[CP_Pcode],0)-1,0,1,1)&gt;=NFI_Monitor_Date,1,0))</f>
        <v>0</v>
      </c>
      <c r="AQ641" s="579" t="str">
        <f>IFERROR(VLOOKUP(Table_NFI[[#This Row],[Camp Name]],CL,3,0),"")</f>
        <v>Open</v>
      </c>
      <c r="AR641" s="378" t="str">
        <f ca="1">IF(Table_NFI[[#This Row],[Pcode]]="","",OFFSET(CampList[Priority],MATCH(Table_NFI[[#This Row],[Pcode]],CampList[CP_Pcode],0)-1,0,1,1))</f>
        <v>P4</v>
      </c>
      <c r="AS641" s="377">
        <f>IFERROR(Table_NFI[[#This Row],[Kitchen Set]]/VLOOKUP(Table_NFI[[#This Row],[Camp Name]],CL,4,0),"")</f>
        <v>0</v>
      </c>
      <c r="AT641" s="572"/>
      <c r="AU641" s="575"/>
    </row>
    <row r="642" spans="1:47" x14ac:dyDescent="0.25">
      <c r="A642" s="381">
        <f t="shared" si="9"/>
        <v>34.766666666666666</v>
      </c>
      <c r="B642" s="571">
        <v>41479</v>
      </c>
      <c r="C642" s="572" t="s">
        <v>454</v>
      </c>
      <c r="D642" s="572" t="s">
        <v>508</v>
      </c>
      <c r="E642" s="572" t="s">
        <v>380</v>
      </c>
      <c r="F642" s="572" t="s">
        <v>237</v>
      </c>
      <c r="G642" s="374" t="s">
        <v>273</v>
      </c>
      <c r="H642" s="375"/>
      <c r="I642" s="375"/>
      <c r="J642" s="375">
        <v>31</v>
      </c>
      <c r="K642" s="375">
        <v>41</v>
      </c>
      <c r="L642" s="376">
        <v>17</v>
      </c>
      <c r="M642" s="376">
        <v>41</v>
      </c>
      <c r="N642" s="376">
        <v>17</v>
      </c>
      <c r="O642" s="376">
        <v>17</v>
      </c>
      <c r="P642" s="378">
        <v>17</v>
      </c>
      <c r="Q642" s="378">
        <v>17</v>
      </c>
      <c r="R642" s="378"/>
      <c r="S642" s="378"/>
      <c r="T642" s="378"/>
      <c r="U642" s="378"/>
      <c r="V642" s="533"/>
      <c r="W642" s="378"/>
      <c r="X642" s="378"/>
      <c r="Y642" s="378">
        <f>IF(NFI_Expiration=1,IF($A642&lt;VLOOKUP(H$5,NFI,5,0),1,0)*Table_NFI[[#This Row],[Hygiene Kit]],Table_NFI[Hygiene Kit])</f>
        <v>0</v>
      </c>
      <c r="Z642" s="378">
        <f>IF(NFI_Expiration=1,IF($A642&lt;VLOOKUP(I$5,NFI,5,0),1,0)*Table_NFI[[#This Row],[NFI Core Kit]],Table_NFI[NFI Core Kit])</f>
        <v>0</v>
      </c>
      <c r="AA642" s="378">
        <f>IF(NFI_Expiration=1,IF($A642&lt;VLOOKUP(J$5,NFI,5,0),1,0)*Table_NFI[[#This Row],[Sanitary Kit]],Table_NFI[Sanitary Kit])</f>
        <v>0</v>
      </c>
      <c r="AB642" s="378">
        <f>IF(NFI_Expiration=1,IF($A642&lt;VLOOKUP(K$5,NFI,5,0),1,0)*Table_NFI[[#This Row],[Mosquito net]],Table_NFI[Mosquito net])</f>
        <v>0</v>
      </c>
      <c r="AC642" s="378">
        <f>IF(NFI_Expiration=1,IF($A642&lt;VLOOKUP(L$5,NFI,5,0),1,0)*Table_NFI[[#This Row],[Tarpaulin]],Table_NFI[[#This Row],[Tarpaulin]])</f>
        <v>0</v>
      </c>
      <c r="AD642" s="378">
        <f>IF(NFI_Expiration=1,IF($A642&lt;VLOOKUP(M$5,NFI,5,0),1,0)*Table_NFI[[#This Row],[Blanket]],Table_NFI[[#This Row],[Blanket]])</f>
        <v>0</v>
      </c>
      <c r="AE642" s="378">
        <f>IF(NFI_Expiration=1,IF($A642&lt;VLOOKUP(N$5,NFI,5,0),1,0)*Table_NFI[[#This Row],[Kitchen Set]],Table_NFI[Kitchen Set])</f>
        <v>0</v>
      </c>
      <c r="AF642" s="378">
        <f>IF(NFI_Expiration=1,IF($A642&lt;VLOOKUP(O$5,NFI,5,0),1,0)*Table_NFI[[#This Row],[Clothes Kit]],Table_NFI[Clothes Kit])</f>
        <v>0</v>
      </c>
      <c r="AG642" s="378">
        <f>IF(NFI_Expiration=1,IF($A642&lt;VLOOKUP(P$5,NFI,5,0),1,0)*Table_NFI[[#This Row],[Plastic Bucket]],Table_NFI[Plastic Bucket])</f>
        <v>0</v>
      </c>
      <c r="AH642" s="378">
        <f>IF(NFI_Expiration=1,IF($A642&lt;VLOOKUP(Q$5,NFI,5,0),1,0)*Table_NFI[[#This Row],[Plastic Mat]],Table_NFI[Plastic Mat])*IF(Table_NFI[[#This Row],[Distribution Date]]&gt;"2014-04-01",1,2.5)</f>
        <v>0</v>
      </c>
      <c r="AI642" s="378">
        <f>IF(NFI_Expiration=1,IF($A642&lt;VLOOKUP(R$5,NFI,5,0),1,0)*Table_NFI[[#This Row],[Winter Clothes Adult]],Table_NFI[Winter Clothes Adult])</f>
        <v>0</v>
      </c>
      <c r="AJ642" s="378">
        <f>IF(NFI_Expiration=1,IF($A642&lt;VLOOKUP(S$5,NFI,5,0),1,0)*Table_NFI[[#This Row],[Winter Clothes Children]],Table_NFI[Winter Clothes Children])</f>
        <v>0</v>
      </c>
      <c r="AK642" s="378">
        <f>IF(NFI_Expiration=1,IF($A642&lt;VLOOKUP(T$5,NFI,5,0),1,0)*Table_NFI[[#This Row],[Winter Items Other]],Table_NFI[Winter Items Other])</f>
        <v>0</v>
      </c>
      <c r="AL642" s="378">
        <f>IF(NFI_Expiration=1,IF($A642&lt;VLOOKUP(M$5,NFI,5,0),1,0)*Table_NFI[[#This Row],[Winter Blanket]],Table_NFI[[#This Row],[Winter Blanket]])</f>
        <v>0</v>
      </c>
      <c r="AM642" s="378">
        <f>IF(Table_NFI[[#This Row],[Winter Clothes Adult]]+Table_NFI[[#This Row],[Winter Clothes Children]]+Table_NFI[[#This Row],[Winter Items Other]]+Table_NFI[[#This Row],[Winter Blanket]]&gt;0,1,0)</f>
        <v>0</v>
      </c>
      <c r="AN642" s="418">
        <f>IF(NFI_Expiration=1,IF($A642&lt;VLOOKUP(V$5,NFI,5,0),1,0)*Table_NFI[[#This Row],[Jerry Can]],Table_NFI[Jerry Can])</f>
        <v>0</v>
      </c>
      <c r="AO642" s="579" t="str">
        <f>IFERROR(VLOOKUP(Table_NFI[[#This Row],[Camp Name]],CL,2,0),"")</f>
        <v>MMR001CMP162</v>
      </c>
      <c r="AP642" s="574">
        <f ca="1">IF(Table_NFI[[#This Row],[Pcode]]="","",IF(OFFSET(CampList[Opening Date],MATCH(Table_NFI[[#This Row],[Pcode]],CampList[CP_Pcode],0)-1,0,1,1)&gt;=NFI_Monitor_Date,1,0))</f>
        <v>0</v>
      </c>
      <c r="AQ642" s="579" t="str">
        <f>IFERROR(VLOOKUP(Table_NFI[[#This Row],[Camp Name]],CL,3,0),"")</f>
        <v>Open</v>
      </c>
      <c r="AR642" s="378" t="str">
        <f ca="1">IF(Table_NFI[[#This Row],[Pcode]]="","",OFFSET(CampList[Priority],MATCH(Table_NFI[[#This Row],[Pcode]],CampList[CP_Pcode],0)-1,0,1,1))</f>
        <v>P4</v>
      </c>
      <c r="AS642" s="377">
        <f>IFERROR(Table_NFI[[#This Row],[Kitchen Set]]/VLOOKUP(Table_NFI[[#This Row],[Camp Name]],CL,4,0),"")</f>
        <v>0.39534883720930231</v>
      </c>
      <c r="AT642" s="572" t="s">
        <v>1095</v>
      </c>
      <c r="AU642" s="575"/>
    </row>
    <row r="643" spans="1:47" x14ac:dyDescent="0.25">
      <c r="A643" s="381">
        <f t="shared" si="9"/>
        <v>37.366666666666667</v>
      </c>
      <c r="B643" s="571">
        <v>41401</v>
      </c>
      <c r="C643" s="572" t="s">
        <v>904</v>
      </c>
      <c r="D643" s="573" t="s">
        <v>508</v>
      </c>
      <c r="E643" s="572" t="s">
        <v>380</v>
      </c>
      <c r="F643" s="374" t="s">
        <v>237</v>
      </c>
      <c r="G643" s="374" t="s">
        <v>273</v>
      </c>
      <c r="H643" s="375">
        <v>149</v>
      </c>
      <c r="I643" s="375"/>
      <c r="J643" s="375"/>
      <c r="K643" s="375"/>
      <c r="L643" s="376"/>
      <c r="M643" s="376"/>
      <c r="N643" s="376"/>
      <c r="O643" s="376"/>
      <c r="P643" s="378"/>
      <c r="Q643" s="378"/>
      <c r="R643" s="378"/>
      <c r="S643" s="378"/>
      <c r="T643" s="378"/>
      <c r="U643" s="378"/>
      <c r="V643" s="533"/>
      <c r="W643" s="378"/>
      <c r="X643" s="378"/>
      <c r="Y643" s="378">
        <f>IF(NFI_Expiration=1,IF($A643&lt;VLOOKUP(H$5,NFI,5,0),1,0)*Table_NFI[[#This Row],[Hygiene Kit]],Table_NFI[Hygiene Kit])</f>
        <v>0</v>
      </c>
      <c r="Z643" s="378">
        <f>IF(NFI_Expiration=1,IF($A643&lt;VLOOKUP(I$5,NFI,5,0),1,0)*Table_NFI[[#This Row],[NFI Core Kit]],Table_NFI[NFI Core Kit])</f>
        <v>0</v>
      </c>
      <c r="AA643" s="378">
        <f>IF(NFI_Expiration=1,IF($A643&lt;VLOOKUP(J$5,NFI,5,0),1,0)*Table_NFI[[#This Row],[Sanitary Kit]],Table_NFI[Sanitary Kit])</f>
        <v>0</v>
      </c>
      <c r="AB643" s="378">
        <f>IF(NFI_Expiration=1,IF($A643&lt;VLOOKUP(K$5,NFI,5,0),1,0)*Table_NFI[[#This Row],[Mosquito net]],Table_NFI[Mosquito net])</f>
        <v>0</v>
      </c>
      <c r="AC643" s="378">
        <f>IF(NFI_Expiration=1,IF($A643&lt;VLOOKUP(L$5,NFI,5,0),1,0)*Table_NFI[[#This Row],[Tarpaulin]],Table_NFI[[#This Row],[Tarpaulin]])</f>
        <v>0</v>
      </c>
      <c r="AD643" s="378">
        <f>IF(NFI_Expiration=1,IF($A643&lt;VLOOKUP(M$5,NFI,5,0),1,0)*Table_NFI[[#This Row],[Blanket]],Table_NFI[[#This Row],[Blanket]])</f>
        <v>0</v>
      </c>
      <c r="AE643" s="378">
        <f>IF(NFI_Expiration=1,IF($A643&lt;VLOOKUP(N$5,NFI,5,0),1,0)*Table_NFI[[#This Row],[Kitchen Set]],Table_NFI[Kitchen Set])</f>
        <v>0</v>
      </c>
      <c r="AF643" s="378">
        <f>IF(NFI_Expiration=1,IF($A643&lt;VLOOKUP(O$5,NFI,5,0),1,0)*Table_NFI[[#This Row],[Clothes Kit]],Table_NFI[Clothes Kit])</f>
        <v>0</v>
      </c>
      <c r="AG643" s="378">
        <f>IF(NFI_Expiration=1,IF($A643&lt;VLOOKUP(P$5,NFI,5,0),1,0)*Table_NFI[[#This Row],[Plastic Bucket]],Table_NFI[Plastic Bucket])</f>
        <v>0</v>
      </c>
      <c r="AH643" s="378">
        <f>IF(NFI_Expiration=1,IF($A643&lt;VLOOKUP(Q$5,NFI,5,0),1,0)*Table_NFI[[#This Row],[Plastic Mat]],Table_NFI[Plastic Mat])*IF(Table_NFI[[#This Row],[Distribution Date]]&gt;"2014-04-01",1,2.5)</f>
        <v>0</v>
      </c>
      <c r="AI643" s="378">
        <f>IF(NFI_Expiration=1,IF($A643&lt;VLOOKUP(R$5,NFI,5,0),1,0)*Table_NFI[[#This Row],[Winter Clothes Adult]],Table_NFI[Winter Clothes Adult])</f>
        <v>0</v>
      </c>
      <c r="AJ643" s="378">
        <f>IF(NFI_Expiration=1,IF($A643&lt;VLOOKUP(S$5,NFI,5,0),1,0)*Table_NFI[[#This Row],[Winter Clothes Children]],Table_NFI[Winter Clothes Children])</f>
        <v>0</v>
      </c>
      <c r="AK643" s="378">
        <f>IF(NFI_Expiration=1,IF($A643&lt;VLOOKUP(T$5,NFI,5,0),1,0)*Table_NFI[[#This Row],[Winter Items Other]],Table_NFI[Winter Items Other])</f>
        <v>0</v>
      </c>
      <c r="AL643" s="378">
        <f>IF(NFI_Expiration=1,IF($A643&lt;VLOOKUP(M$5,NFI,5,0),1,0)*Table_NFI[[#This Row],[Winter Blanket]],Table_NFI[[#This Row],[Winter Blanket]])</f>
        <v>0</v>
      </c>
      <c r="AM643" s="378">
        <f>IF(Table_NFI[[#This Row],[Winter Clothes Adult]]+Table_NFI[[#This Row],[Winter Clothes Children]]+Table_NFI[[#This Row],[Winter Items Other]]+Table_NFI[[#This Row],[Winter Blanket]]&gt;0,1,0)</f>
        <v>0</v>
      </c>
      <c r="AN643" s="418">
        <f>IF(NFI_Expiration=1,IF($A643&lt;VLOOKUP(V$5,NFI,5,0),1,0)*Table_NFI[[#This Row],[Jerry Can]],Table_NFI[Jerry Can])</f>
        <v>0</v>
      </c>
      <c r="AO643" s="579" t="str">
        <f>IFERROR(VLOOKUP(Table_NFI[[#This Row],[Camp Name]],CL,2,0),"")</f>
        <v>MMR001CMP162</v>
      </c>
      <c r="AP643" s="574">
        <f ca="1">IF(Table_NFI[[#This Row],[Pcode]]="","",IF(OFFSET(CampList[Opening Date],MATCH(Table_NFI[[#This Row],[Pcode]],CampList[CP_Pcode],0)-1,0,1,1)&gt;=NFI_Monitor_Date,1,0))</f>
        <v>0</v>
      </c>
      <c r="AQ643" s="579" t="str">
        <f>IFERROR(VLOOKUP(Table_NFI[[#This Row],[Camp Name]],CL,3,0),"")</f>
        <v>Open</v>
      </c>
      <c r="AR643" s="378" t="str">
        <f ca="1">IF(Table_NFI[[#This Row],[Pcode]]="","",OFFSET(CampList[Priority],MATCH(Table_NFI[[#This Row],[Pcode]],CampList[CP_Pcode],0)-1,0,1,1))</f>
        <v>P4</v>
      </c>
      <c r="AS643" s="377">
        <f>IFERROR(Table_NFI[[#This Row],[Kitchen Set]]/VLOOKUP(Table_NFI[[#This Row],[Camp Name]],CL,4,0),"")</f>
        <v>0</v>
      </c>
      <c r="AT643" s="572" t="s">
        <v>1095</v>
      </c>
      <c r="AU643" s="575"/>
    </row>
    <row r="644" spans="1:47" x14ac:dyDescent="0.25">
      <c r="A644" s="381">
        <f t="shared" si="9"/>
        <v>40.43333333333333</v>
      </c>
      <c r="B644" s="571">
        <v>41309</v>
      </c>
      <c r="C644" s="572" t="s">
        <v>454</v>
      </c>
      <c r="D644" s="573" t="s">
        <v>454</v>
      </c>
      <c r="E644" s="572" t="s">
        <v>380</v>
      </c>
      <c r="F644" s="374" t="s">
        <v>237</v>
      </c>
      <c r="G644" s="374" t="s">
        <v>273</v>
      </c>
      <c r="H644" s="375"/>
      <c r="I644" s="375"/>
      <c r="J644" s="375">
        <v>5</v>
      </c>
      <c r="K644" s="375">
        <v>8</v>
      </c>
      <c r="L644" s="376">
        <v>5</v>
      </c>
      <c r="M644" s="376">
        <v>8</v>
      </c>
      <c r="N644" s="376">
        <v>5</v>
      </c>
      <c r="O644" s="376">
        <v>5</v>
      </c>
      <c r="P644" s="378">
        <v>5</v>
      </c>
      <c r="Q644" s="378">
        <v>5</v>
      </c>
      <c r="R644" s="378"/>
      <c r="S644" s="378"/>
      <c r="T644" s="378"/>
      <c r="U644" s="378"/>
      <c r="V644" s="533"/>
      <c r="W644" s="378"/>
      <c r="X644" s="378"/>
      <c r="Y644" s="378">
        <f>IF(NFI_Expiration=1,IF($A644&lt;VLOOKUP(H$5,NFI,5,0),1,0)*Table_NFI[[#This Row],[Hygiene Kit]],Table_NFI[Hygiene Kit])</f>
        <v>0</v>
      </c>
      <c r="Z644" s="378">
        <f>IF(NFI_Expiration=1,IF($A644&lt;VLOOKUP(I$5,NFI,5,0),1,0)*Table_NFI[[#This Row],[NFI Core Kit]],Table_NFI[NFI Core Kit])</f>
        <v>0</v>
      </c>
      <c r="AA644" s="378">
        <f>IF(NFI_Expiration=1,IF($A644&lt;VLOOKUP(J$5,NFI,5,0),1,0)*Table_NFI[[#This Row],[Sanitary Kit]],Table_NFI[Sanitary Kit])</f>
        <v>0</v>
      </c>
      <c r="AB644" s="378">
        <f>IF(NFI_Expiration=1,IF($A644&lt;VLOOKUP(K$5,NFI,5,0),1,0)*Table_NFI[[#This Row],[Mosquito net]],Table_NFI[Mosquito net])</f>
        <v>0</v>
      </c>
      <c r="AC644" s="378">
        <f>IF(NFI_Expiration=1,IF($A644&lt;VLOOKUP(L$5,NFI,5,0),1,0)*Table_NFI[[#This Row],[Tarpaulin]],Table_NFI[[#This Row],[Tarpaulin]])</f>
        <v>0</v>
      </c>
      <c r="AD644" s="378">
        <f>IF(NFI_Expiration=1,IF($A644&lt;VLOOKUP(M$5,NFI,5,0),1,0)*Table_NFI[[#This Row],[Blanket]],Table_NFI[[#This Row],[Blanket]])</f>
        <v>0</v>
      </c>
      <c r="AE644" s="378">
        <f>IF(NFI_Expiration=1,IF($A644&lt;VLOOKUP(N$5,NFI,5,0),1,0)*Table_NFI[[#This Row],[Kitchen Set]],Table_NFI[Kitchen Set])</f>
        <v>0</v>
      </c>
      <c r="AF644" s="378">
        <f>IF(NFI_Expiration=1,IF($A644&lt;VLOOKUP(O$5,NFI,5,0),1,0)*Table_NFI[[#This Row],[Clothes Kit]],Table_NFI[Clothes Kit])</f>
        <v>0</v>
      </c>
      <c r="AG644" s="378">
        <f>IF(NFI_Expiration=1,IF($A644&lt;VLOOKUP(P$5,NFI,5,0),1,0)*Table_NFI[[#This Row],[Plastic Bucket]],Table_NFI[Plastic Bucket])</f>
        <v>0</v>
      </c>
      <c r="AH644" s="378">
        <f>IF(NFI_Expiration=1,IF($A644&lt;VLOOKUP(Q$5,NFI,5,0),1,0)*Table_NFI[[#This Row],[Plastic Mat]],Table_NFI[Plastic Mat])*IF(Table_NFI[[#This Row],[Distribution Date]]&gt;"2014-04-01",1,2.5)</f>
        <v>0</v>
      </c>
      <c r="AI644" s="378">
        <f>IF(NFI_Expiration=1,IF($A644&lt;VLOOKUP(R$5,NFI,5,0),1,0)*Table_NFI[[#This Row],[Winter Clothes Adult]],Table_NFI[Winter Clothes Adult])</f>
        <v>0</v>
      </c>
      <c r="AJ644" s="378">
        <f>IF(NFI_Expiration=1,IF($A644&lt;VLOOKUP(S$5,NFI,5,0),1,0)*Table_NFI[[#This Row],[Winter Clothes Children]],Table_NFI[Winter Clothes Children])</f>
        <v>0</v>
      </c>
      <c r="AK644" s="378">
        <f>IF(NFI_Expiration=1,IF($A644&lt;VLOOKUP(T$5,NFI,5,0),1,0)*Table_NFI[[#This Row],[Winter Items Other]],Table_NFI[Winter Items Other])</f>
        <v>0</v>
      </c>
      <c r="AL644" s="378">
        <f>IF(NFI_Expiration=1,IF($A644&lt;VLOOKUP(M$5,NFI,5,0),1,0)*Table_NFI[[#This Row],[Winter Blanket]],Table_NFI[[#This Row],[Winter Blanket]])</f>
        <v>0</v>
      </c>
      <c r="AM644" s="378">
        <f>IF(Table_NFI[[#This Row],[Winter Clothes Adult]]+Table_NFI[[#This Row],[Winter Clothes Children]]+Table_NFI[[#This Row],[Winter Items Other]]+Table_NFI[[#This Row],[Winter Blanket]]&gt;0,1,0)</f>
        <v>0</v>
      </c>
      <c r="AN644" s="418">
        <f>IF(NFI_Expiration=1,IF($A644&lt;VLOOKUP(V$5,NFI,5,0),1,0)*Table_NFI[[#This Row],[Jerry Can]],Table_NFI[Jerry Can])</f>
        <v>0</v>
      </c>
      <c r="AO644" s="579" t="str">
        <f>IFERROR(VLOOKUP(Table_NFI[[#This Row],[Camp Name]],CL,2,0),"")</f>
        <v>MMR001CMP162</v>
      </c>
      <c r="AP644" s="574">
        <f ca="1">IF(Table_NFI[[#This Row],[Pcode]]="","",IF(OFFSET(CampList[Opening Date],MATCH(Table_NFI[[#This Row],[Pcode]],CampList[CP_Pcode],0)-1,0,1,1)&gt;=NFI_Monitor_Date,1,0))</f>
        <v>0</v>
      </c>
      <c r="AQ644" s="579" t="str">
        <f>IFERROR(VLOOKUP(Table_NFI[[#This Row],[Camp Name]],CL,3,0),"")</f>
        <v>Open</v>
      </c>
      <c r="AR644" s="378" t="str">
        <f ca="1">IF(Table_NFI[[#This Row],[Pcode]]="","",OFFSET(CampList[Priority],MATCH(Table_NFI[[#This Row],[Pcode]],CampList[CP_Pcode],0)-1,0,1,1))</f>
        <v>P4</v>
      </c>
      <c r="AS644" s="377">
        <f>IFERROR(Table_NFI[[#This Row],[Kitchen Set]]/VLOOKUP(Table_NFI[[#This Row],[Camp Name]],CL,4,0),"")</f>
        <v>0.11627906976744186</v>
      </c>
      <c r="AT644" s="572" t="s">
        <v>1095</v>
      </c>
      <c r="AU644" s="575"/>
    </row>
    <row r="645" spans="1:47" x14ac:dyDescent="0.25">
      <c r="A645" s="381">
        <f t="shared" si="9"/>
        <v>42</v>
      </c>
      <c r="B645" s="571">
        <v>41262</v>
      </c>
      <c r="C645" s="572" t="s">
        <v>454</v>
      </c>
      <c r="D645" s="573" t="s">
        <v>454</v>
      </c>
      <c r="E645" s="572" t="s">
        <v>380</v>
      </c>
      <c r="F645" s="374" t="s">
        <v>237</v>
      </c>
      <c r="G645" s="374" t="s">
        <v>273</v>
      </c>
      <c r="H645" s="375"/>
      <c r="I645" s="380"/>
      <c r="J645" s="373"/>
      <c r="K645" s="373">
        <v>37</v>
      </c>
      <c r="L645" s="373">
        <v>10</v>
      </c>
      <c r="M645" s="373">
        <v>37</v>
      </c>
      <c r="N645" s="373">
        <v>10</v>
      </c>
      <c r="O645" s="373">
        <v>10</v>
      </c>
      <c r="P645" s="378">
        <v>10</v>
      </c>
      <c r="Q645" s="378">
        <v>10</v>
      </c>
      <c r="R645" s="378"/>
      <c r="S645" s="378"/>
      <c r="T645" s="378"/>
      <c r="U645" s="378"/>
      <c r="V645" s="533"/>
      <c r="W645" s="378"/>
      <c r="X645" s="378"/>
      <c r="Y645" s="378">
        <f>IF(NFI_Expiration=1,IF($A645&lt;VLOOKUP(H$5,NFI,5,0),1,0)*Table_NFI[[#This Row],[Hygiene Kit]],Table_NFI[Hygiene Kit])</f>
        <v>0</v>
      </c>
      <c r="Z645" s="378">
        <f>IF(NFI_Expiration=1,IF($A645&lt;VLOOKUP(I$5,NFI,5,0),1,0)*Table_NFI[[#This Row],[NFI Core Kit]],Table_NFI[NFI Core Kit])</f>
        <v>0</v>
      </c>
      <c r="AA645" s="378">
        <f>IF(NFI_Expiration=1,IF($A645&lt;VLOOKUP(J$5,NFI,5,0),1,0)*Table_NFI[[#This Row],[Sanitary Kit]],Table_NFI[Sanitary Kit])</f>
        <v>0</v>
      </c>
      <c r="AB645" s="378">
        <f>IF(NFI_Expiration=1,IF($A645&lt;VLOOKUP(K$5,NFI,5,0),1,0)*Table_NFI[[#This Row],[Mosquito net]],Table_NFI[Mosquito net])</f>
        <v>0</v>
      </c>
      <c r="AC645" s="378">
        <f>IF(NFI_Expiration=1,IF($A645&lt;VLOOKUP(L$5,NFI,5,0),1,0)*Table_NFI[[#This Row],[Tarpaulin]],Table_NFI[[#This Row],[Tarpaulin]])</f>
        <v>0</v>
      </c>
      <c r="AD645" s="378">
        <f>IF(NFI_Expiration=1,IF($A645&lt;VLOOKUP(M$5,NFI,5,0),1,0)*Table_NFI[[#This Row],[Blanket]],Table_NFI[[#This Row],[Blanket]])</f>
        <v>0</v>
      </c>
      <c r="AE645" s="378">
        <f>IF(NFI_Expiration=1,IF($A645&lt;VLOOKUP(N$5,NFI,5,0),1,0)*Table_NFI[[#This Row],[Kitchen Set]],Table_NFI[Kitchen Set])</f>
        <v>0</v>
      </c>
      <c r="AF645" s="378">
        <f>IF(NFI_Expiration=1,IF($A645&lt;VLOOKUP(O$5,NFI,5,0),1,0)*Table_NFI[[#This Row],[Clothes Kit]],Table_NFI[Clothes Kit])</f>
        <v>0</v>
      </c>
      <c r="AG645" s="378">
        <f>IF(NFI_Expiration=1,IF($A645&lt;VLOOKUP(P$5,NFI,5,0),1,0)*Table_NFI[[#This Row],[Plastic Bucket]],Table_NFI[Plastic Bucket])</f>
        <v>0</v>
      </c>
      <c r="AH645" s="378">
        <f>IF(NFI_Expiration=1,IF($A645&lt;VLOOKUP(Q$5,NFI,5,0),1,0)*Table_NFI[[#This Row],[Plastic Mat]],Table_NFI[Plastic Mat])*IF(Table_NFI[[#This Row],[Distribution Date]]&gt;"2014-04-01",1,2.5)</f>
        <v>0</v>
      </c>
      <c r="AI645" s="378">
        <f>IF(NFI_Expiration=1,IF($A645&lt;VLOOKUP(R$5,NFI,5,0),1,0)*Table_NFI[[#This Row],[Winter Clothes Adult]],Table_NFI[Winter Clothes Adult])</f>
        <v>0</v>
      </c>
      <c r="AJ645" s="378">
        <f>IF(NFI_Expiration=1,IF($A645&lt;VLOOKUP(S$5,NFI,5,0),1,0)*Table_NFI[[#This Row],[Winter Clothes Children]],Table_NFI[Winter Clothes Children])</f>
        <v>0</v>
      </c>
      <c r="AK645" s="378">
        <f>IF(NFI_Expiration=1,IF($A645&lt;VLOOKUP(T$5,NFI,5,0),1,0)*Table_NFI[[#This Row],[Winter Items Other]],Table_NFI[Winter Items Other])</f>
        <v>0</v>
      </c>
      <c r="AL645" s="378">
        <f>IF(NFI_Expiration=1,IF($A645&lt;VLOOKUP(M$5,NFI,5,0),1,0)*Table_NFI[[#This Row],[Winter Blanket]],Table_NFI[[#This Row],[Winter Blanket]])</f>
        <v>0</v>
      </c>
      <c r="AM645" s="378">
        <f>IF(Table_NFI[[#This Row],[Winter Clothes Adult]]+Table_NFI[[#This Row],[Winter Clothes Children]]+Table_NFI[[#This Row],[Winter Items Other]]+Table_NFI[[#This Row],[Winter Blanket]]&gt;0,1,0)</f>
        <v>0</v>
      </c>
      <c r="AN645" s="418">
        <f>IF(NFI_Expiration=1,IF($A645&lt;VLOOKUP(V$5,NFI,5,0),1,0)*Table_NFI[[#This Row],[Jerry Can]],Table_NFI[Jerry Can])</f>
        <v>0</v>
      </c>
      <c r="AO645" s="579" t="str">
        <f>IFERROR(VLOOKUP(Table_NFI[[#This Row],[Camp Name]],CL,2,0),"")</f>
        <v>MMR001CMP162</v>
      </c>
      <c r="AP645" s="574">
        <f ca="1">IF(Table_NFI[[#This Row],[Pcode]]="","",IF(OFFSET(CampList[Opening Date],MATCH(Table_NFI[[#This Row],[Pcode]],CampList[CP_Pcode],0)-1,0,1,1)&gt;=NFI_Monitor_Date,1,0))</f>
        <v>0</v>
      </c>
      <c r="AQ645" s="579" t="str">
        <f>IFERROR(VLOOKUP(Table_NFI[[#This Row],[Camp Name]],CL,3,0),"")</f>
        <v>Open</v>
      </c>
      <c r="AR645" s="378" t="str">
        <f ca="1">IF(Table_NFI[[#This Row],[Pcode]]="","",OFFSET(CampList[Priority],MATCH(Table_NFI[[#This Row],[Pcode]],CampList[CP_Pcode],0)-1,0,1,1))</f>
        <v>P4</v>
      </c>
      <c r="AS645" s="377">
        <f>IFERROR(Table_NFI[[#This Row],[Kitchen Set]]/VLOOKUP(Table_NFI[[#This Row],[Camp Name]],CL,4,0),"")</f>
        <v>0.23255813953488372</v>
      </c>
      <c r="AT645" s="572" t="s">
        <v>1095</v>
      </c>
      <c r="AU645" s="575"/>
    </row>
    <row r="646" spans="1:47" x14ac:dyDescent="0.25">
      <c r="A646" s="381">
        <f t="shared" ref="A646:A709" si="10">IF(ISBLANK(B646),"",(Report_Date-B646)/30)</f>
        <v>20.666666666666668</v>
      </c>
      <c r="B646" s="571">
        <v>41902</v>
      </c>
      <c r="C646" s="572" t="s">
        <v>454</v>
      </c>
      <c r="D646" s="572"/>
      <c r="E646" s="572" t="s">
        <v>380</v>
      </c>
      <c r="F646" s="572" t="s">
        <v>185</v>
      </c>
      <c r="G646" s="572" t="s">
        <v>219</v>
      </c>
      <c r="H646" s="375"/>
      <c r="I646" s="375"/>
      <c r="J646" s="375"/>
      <c r="K646" s="375">
        <v>1238</v>
      </c>
      <c r="L646" s="376"/>
      <c r="M646" s="376"/>
      <c r="N646" s="376"/>
      <c r="O646" s="376"/>
      <c r="P646" s="378"/>
      <c r="Q646" s="378"/>
      <c r="R646" s="378"/>
      <c r="S646" s="378"/>
      <c r="T646" s="378"/>
      <c r="U646" s="378">
        <v>1761</v>
      </c>
      <c r="V646" s="533"/>
      <c r="W646" s="378"/>
      <c r="X646" s="378"/>
      <c r="Y646" s="378">
        <f>IF(NFI_Expiration=1,IF($A646&lt;VLOOKUP(H$5,NFI,5,0),1,0)*Table_NFI[[#This Row],[Hygiene Kit]],Table_NFI[Hygiene Kit])</f>
        <v>0</v>
      </c>
      <c r="Z646" s="378">
        <f>IF(NFI_Expiration=1,IF($A646&lt;VLOOKUP(I$5,NFI,5,0),1,0)*Table_NFI[[#This Row],[NFI Core Kit]],Table_NFI[NFI Core Kit])</f>
        <v>0</v>
      </c>
      <c r="AA646" s="378">
        <f>IF(NFI_Expiration=1,IF($A646&lt;VLOOKUP(J$5,NFI,5,0),1,0)*Table_NFI[[#This Row],[Sanitary Kit]],Table_NFI[Sanitary Kit])</f>
        <v>0</v>
      </c>
      <c r="AB646" s="378">
        <f>IF(NFI_Expiration=1,IF($A646&lt;VLOOKUP(K$5,NFI,5,0),1,0)*Table_NFI[[#This Row],[Mosquito net]],Table_NFI[Mosquito net])</f>
        <v>0</v>
      </c>
      <c r="AC646" s="378">
        <f>IF(NFI_Expiration=1,IF($A646&lt;VLOOKUP(L$5,NFI,5,0),1,0)*Table_NFI[[#This Row],[Tarpaulin]],Table_NFI[[#This Row],[Tarpaulin]])</f>
        <v>0</v>
      </c>
      <c r="AD646" s="378">
        <f>IF(NFI_Expiration=1,IF($A646&lt;VLOOKUP(M$5,NFI,5,0),1,0)*Table_NFI[[#This Row],[Blanket]],Table_NFI[[#This Row],[Blanket]])</f>
        <v>0</v>
      </c>
      <c r="AE646" s="378">
        <f>IF(NFI_Expiration=1,IF($A646&lt;VLOOKUP(N$5,NFI,5,0),1,0)*Table_NFI[[#This Row],[Kitchen Set]],Table_NFI[Kitchen Set])</f>
        <v>0</v>
      </c>
      <c r="AF646" s="378">
        <f>IF(NFI_Expiration=1,IF($A646&lt;VLOOKUP(O$5,NFI,5,0),1,0)*Table_NFI[[#This Row],[Clothes Kit]],Table_NFI[Clothes Kit])</f>
        <v>0</v>
      </c>
      <c r="AG646" s="378">
        <f>IF(NFI_Expiration=1,IF($A646&lt;VLOOKUP(P$5,NFI,5,0),1,0)*Table_NFI[[#This Row],[Plastic Bucket]],Table_NFI[Plastic Bucket])</f>
        <v>0</v>
      </c>
      <c r="AH646" s="378">
        <f>IF(NFI_Expiration=1,IF($A646&lt;VLOOKUP(Q$5,NFI,5,0),1,0)*Table_NFI[[#This Row],[Plastic Mat]],Table_NFI[Plastic Mat])*IF(Table_NFI[[#This Row],[Distribution Date]]&gt;"2014-04-01",1,2.5)</f>
        <v>0</v>
      </c>
      <c r="AI646" s="378">
        <f>IF(NFI_Expiration=1,IF($A646&lt;VLOOKUP(R$5,NFI,5,0),1,0)*Table_NFI[[#This Row],[Winter Clothes Adult]],Table_NFI[Winter Clothes Adult])</f>
        <v>0</v>
      </c>
      <c r="AJ646" s="378">
        <f>IF(NFI_Expiration=1,IF($A646&lt;VLOOKUP(S$5,NFI,5,0),1,0)*Table_NFI[[#This Row],[Winter Clothes Children]],Table_NFI[Winter Clothes Children])</f>
        <v>0</v>
      </c>
      <c r="AK646" s="378">
        <f>IF(NFI_Expiration=1,IF($A646&lt;VLOOKUP(T$5,NFI,5,0),1,0)*Table_NFI[[#This Row],[Winter Items Other]],Table_NFI[Winter Items Other])</f>
        <v>0</v>
      </c>
      <c r="AL646" s="378">
        <f>IF(NFI_Expiration=1,IF($A646&lt;VLOOKUP(M$5,NFI,5,0),1,0)*Table_NFI[[#This Row],[Winter Blanket]],Table_NFI[[#This Row],[Winter Blanket]])</f>
        <v>0</v>
      </c>
      <c r="AM646" s="378">
        <f>IF(Table_NFI[[#This Row],[Winter Clothes Adult]]+Table_NFI[[#This Row],[Winter Clothes Children]]+Table_NFI[[#This Row],[Winter Items Other]]+Table_NFI[[#This Row],[Winter Blanket]]&gt;0,1,0)</f>
        <v>1</v>
      </c>
      <c r="AN646" s="418">
        <f>IF(NFI_Expiration=1,IF($A646&lt;VLOOKUP(V$5,NFI,5,0),1,0)*Table_NFI[[#This Row],[Jerry Can]],Table_NFI[Jerry Can])</f>
        <v>0</v>
      </c>
      <c r="AO646" s="579" t="str">
        <f>IFERROR(VLOOKUP(Table_NFI[[#This Row],[Camp Name]],CL,2,0),"")</f>
        <v>MMR001CMP126</v>
      </c>
      <c r="AP646" s="574">
        <f ca="1">IF(Table_NFI[[#This Row],[Pcode]]="","",IF(OFFSET(CampList[Opening Date],MATCH(Table_NFI[[#This Row],[Pcode]],CampList[CP_Pcode],0)-1,0,1,1)&gt;=NFI_Monitor_Date,1,0))</f>
        <v>0</v>
      </c>
      <c r="AQ646" s="579" t="str">
        <f>IFERROR(VLOOKUP(Table_NFI[[#This Row],[Camp Name]],CL,3,0),"")</f>
        <v>Open</v>
      </c>
      <c r="AR646" s="378" t="str">
        <f ca="1">IF(Table_NFI[[#This Row],[Pcode]]="","",OFFSET(CampList[Priority],MATCH(Table_NFI[[#This Row],[Pcode]],CampList[CP_Pcode],0)-1,0,1,1))</f>
        <v>P2</v>
      </c>
      <c r="AS646" s="377">
        <f>IFERROR(Table_NFI[[#This Row],[Kitchen Set]]/VLOOKUP(Table_NFI[[#This Row],[Camp Name]],CL,4,0),"")</f>
        <v>0</v>
      </c>
      <c r="AT646" s="572"/>
      <c r="AU646" s="575"/>
    </row>
    <row r="647" spans="1:47" x14ac:dyDescent="0.25">
      <c r="A647" s="381">
        <f t="shared" si="10"/>
        <v>22.033333333333335</v>
      </c>
      <c r="B647" s="571">
        <v>41861</v>
      </c>
      <c r="C647" s="572" t="s">
        <v>454</v>
      </c>
      <c r="D647" s="572"/>
      <c r="E647" s="572" t="s">
        <v>380</v>
      </c>
      <c r="F647" s="572" t="s">
        <v>185</v>
      </c>
      <c r="G647" s="572" t="s">
        <v>219</v>
      </c>
      <c r="H647" s="375"/>
      <c r="I647" s="375"/>
      <c r="J647" s="375"/>
      <c r="K647" s="375">
        <v>100</v>
      </c>
      <c r="L647" s="376">
        <v>52</v>
      </c>
      <c r="M647" s="376">
        <v>156</v>
      </c>
      <c r="N647" s="376">
        <v>40</v>
      </c>
      <c r="O647" s="376"/>
      <c r="P647" s="378">
        <v>52</v>
      </c>
      <c r="Q647" s="378">
        <v>210</v>
      </c>
      <c r="R647" s="378"/>
      <c r="S647" s="378"/>
      <c r="T647" s="378"/>
      <c r="U647" s="378"/>
      <c r="V647" s="533"/>
      <c r="W647" s="378"/>
      <c r="X647" s="378"/>
      <c r="Y647" s="378">
        <f>IF(NFI_Expiration=1,IF($A647&lt;VLOOKUP(H$5,NFI,5,0),1,0)*Table_NFI[[#This Row],[Hygiene Kit]],Table_NFI[Hygiene Kit])</f>
        <v>0</v>
      </c>
      <c r="Z647" s="378">
        <f>IF(NFI_Expiration=1,IF($A647&lt;VLOOKUP(I$5,NFI,5,0),1,0)*Table_NFI[[#This Row],[NFI Core Kit]],Table_NFI[NFI Core Kit])</f>
        <v>0</v>
      </c>
      <c r="AA647" s="378">
        <f>IF(NFI_Expiration=1,IF($A647&lt;VLOOKUP(J$5,NFI,5,0),1,0)*Table_NFI[[#This Row],[Sanitary Kit]],Table_NFI[Sanitary Kit])</f>
        <v>0</v>
      </c>
      <c r="AB647" s="378">
        <f>IF(NFI_Expiration=1,IF($A647&lt;VLOOKUP(K$5,NFI,5,0),1,0)*Table_NFI[[#This Row],[Mosquito net]],Table_NFI[Mosquito net])</f>
        <v>0</v>
      </c>
      <c r="AC647" s="378">
        <f>IF(NFI_Expiration=1,IF($A647&lt;VLOOKUP(L$5,NFI,5,0),1,0)*Table_NFI[[#This Row],[Tarpaulin]],Table_NFI[[#This Row],[Tarpaulin]])</f>
        <v>0</v>
      </c>
      <c r="AD647" s="378">
        <f>IF(NFI_Expiration=1,IF($A647&lt;VLOOKUP(M$5,NFI,5,0),1,0)*Table_NFI[[#This Row],[Blanket]],Table_NFI[[#This Row],[Blanket]])</f>
        <v>0</v>
      </c>
      <c r="AE647" s="378">
        <f>IF(NFI_Expiration=1,IF($A647&lt;VLOOKUP(N$5,NFI,5,0),1,0)*Table_NFI[[#This Row],[Kitchen Set]],Table_NFI[Kitchen Set])</f>
        <v>0</v>
      </c>
      <c r="AF647" s="378">
        <f>IF(NFI_Expiration=1,IF($A647&lt;VLOOKUP(O$5,NFI,5,0),1,0)*Table_NFI[[#This Row],[Clothes Kit]],Table_NFI[Clothes Kit])</f>
        <v>0</v>
      </c>
      <c r="AG647" s="378">
        <f>IF(NFI_Expiration=1,IF($A647&lt;VLOOKUP(P$5,NFI,5,0),1,0)*Table_NFI[[#This Row],[Plastic Bucket]],Table_NFI[Plastic Bucket])</f>
        <v>0</v>
      </c>
      <c r="AH647" s="378">
        <f>IF(NFI_Expiration=1,IF($A647&lt;VLOOKUP(Q$5,NFI,5,0),1,0)*Table_NFI[[#This Row],[Plastic Mat]],Table_NFI[Plastic Mat])*IF(Table_NFI[[#This Row],[Distribution Date]]&gt;"2014-04-01",1,2.5)</f>
        <v>0</v>
      </c>
      <c r="AI647" s="378">
        <f>IF(NFI_Expiration=1,IF($A647&lt;VLOOKUP(R$5,NFI,5,0),1,0)*Table_NFI[[#This Row],[Winter Clothes Adult]],Table_NFI[Winter Clothes Adult])</f>
        <v>0</v>
      </c>
      <c r="AJ647" s="378">
        <f>IF(NFI_Expiration=1,IF($A647&lt;VLOOKUP(S$5,NFI,5,0),1,0)*Table_NFI[[#This Row],[Winter Clothes Children]],Table_NFI[Winter Clothes Children])</f>
        <v>0</v>
      </c>
      <c r="AK647" s="378">
        <f>IF(NFI_Expiration=1,IF($A647&lt;VLOOKUP(T$5,NFI,5,0),1,0)*Table_NFI[[#This Row],[Winter Items Other]],Table_NFI[Winter Items Other])</f>
        <v>0</v>
      </c>
      <c r="AL647" s="378">
        <f>IF(NFI_Expiration=1,IF($A647&lt;VLOOKUP(M$5,NFI,5,0),1,0)*Table_NFI[[#This Row],[Winter Blanket]],Table_NFI[[#This Row],[Winter Blanket]])</f>
        <v>0</v>
      </c>
      <c r="AM647" s="378">
        <f>IF(Table_NFI[[#This Row],[Winter Clothes Adult]]+Table_NFI[[#This Row],[Winter Clothes Children]]+Table_NFI[[#This Row],[Winter Items Other]]+Table_NFI[[#This Row],[Winter Blanket]]&gt;0,1,0)</f>
        <v>0</v>
      </c>
      <c r="AN647" s="418">
        <f>IF(NFI_Expiration=1,IF($A647&lt;VLOOKUP(V$5,NFI,5,0),1,0)*Table_NFI[[#This Row],[Jerry Can]],Table_NFI[Jerry Can])</f>
        <v>0</v>
      </c>
      <c r="AO647" s="579" t="str">
        <f>IFERROR(VLOOKUP(Table_NFI[[#This Row],[Camp Name]],CL,2,0),"")</f>
        <v>MMR001CMP126</v>
      </c>
      <c r="AP647" s="574">
        <f ca="1">IF(Table_NFI[[#This Row],[Pcode]]="","",IF(OFFSET(CampList[Opening Date],MATCH(Table_NFI[[#This Row],[Pcode]],CampList[CP_Pcode],0)-1,0,1,1)&gt;=NFI_Monitor_Date,1,0))</f>
        <v>0</v>
      </c>
      <c r="AQ647" s="579" t="str">
        <f>IFERROR(VLOOKUP(Table_NFI[[#This Row],[Camp Name]],CL,3,0),"")</f>
        <v>Open</v>
      </c>
      <c r="AR647" s="378" t="str">
        <f ca="1">IF(Table_NFI[[#This Row],[Pcode]]="","",OFFSET(CampList[Priority],MATCH(Table_NFI[[#This Row],[Pcode]],CampList[CP_Pcode],0)-1,0,1,1))</f>
        <v>P2</v>
      </c>
      <c r="AS647" s="377">
        <f>IFERROR(Table_NFI[[#This Row],[Kitchen Set]]/VLOOKUP(Table_NFI[[#This Row],[Camp Name]],CL,4,0),"")</f>
        <v>5.9084194977843424E-2</v>
      </c>
      <c r="AT647" s="572"/>
      <c r="AU647" s="575"/>
    </row>
    <row r="648" spans="1:47" x14ac:dyDescent="0.25">
      <c r="A648" s="381">
        <f t="shared" si="10"/>
        <v>28.633333333333333</v>
      </c>
      <c r="B648" s="571">
        <v>41663</v>
      </c>
      <c r="C648" s="572" t="s">
        <v>454</v>
      </c>
      <c r="D648" s="573" t="s">
        <v>454</v>
      </c>
      <c r="E648" s="572" t="s">
        <v>380</v>
      </c>
      <c r="F648" s="572" t="s">
        <v>185</v>
      </c>
      <c r="G648" s="374" t="s">
        <v>219</v>
      </c>
      <c r="H648" s="375"/>
      <c r="I648" s="375"/>
      <c r="J648" s="375"/>
      <c r="K648" s="375">
        <v>60</v>
      </c>
      <c r="L648" s="376">
        <v>30</v>
      </c>
      <c r="M648" s="376">
        <v>60</v>
      </c>
      <c r="N648" s="376">
        <v>30</v>
      </c>
      <c r="O648" s="376"/>
      <c r="P648" s="378">
        <v>30</v>
      </c>
      <c r="Q648" s="378">
        <v>150</v>
      </c>
      <c r="R648" s="378"/>
      <c r="S648" s="378"/>
      <c r="T648" s="378"/>
      <c r="U648" s="378"/>
      <c r="V648" s="533"/>
      <c r="W648" s="378"/>
      <c r="X648" s="378"/>
      <c r="Y648" s="378">
        <f>IF(NFI_Expiration=1,IF($A648&lt;VLOOKUP(H$5,NFI,5,0),1,0)*Table_NFI[[#This Row],[Hygiene Kit]],Table_NFI[Hygiene Kit])</f>
        <v>0</v>
      </c>
      <c r="Z648" s="378">
        <f>IF(NFI_Expiration=1,IF($A648&lt;VLOOKUP(I$5,NFI,5,0),1,0)*Table_NFI[[#This Row],[NFI Core Kit]],Table_NFI[NFI Core Kit])</f>
        <v>0</v>
      </c>
      <c r="AA648" s="378">
        <f>IF(NFI_Expiration=1,IF($A648&lt;VLOOKUP(J$5,NFI,5,0),1,0)*Table_NFI[[#This Row],[Sanitary Kit]],Table_NFI[Sanitary Kit])</f>
        <v>0</v>
      </c>
      <c r="AB648" s="378">
        <f>IF(NFI_Expiration=1,IF($A648&lt;VLOOKUP(K$5,NFI,5,0),1,0)*Table_NFI[[#This Row],[Mosquito net]],Table_NFI[Mosquito net])</f>
        <v>0</v>
      </c>
      <c r="AC648" s="378">
        <f>IF(NFI_Expiration=1,IF($A648&lt;VLOOKUP(L$5,NFI,5,0),1,0)*Table_NFI[[#This Row],[Tarpaulin]],Table_NFI[[#This Row],[Tarpaulin]])</f>
        <v>0</v>
      </c>
      <c r="AD648" s="378">
        <f>IF(NFI_Expiration=1,IF($A648&lt;VLOOKUP(M$5,NFI,5,0),1,0)*Table_NFI[[#This Row],[Blanket]],Table_NFI[[#This Row],[Blanket]])</f>
        <v>0</v>
      </c>
      <c r="AE648" s="378">
        <f>IF(NFI_Expiration=1,IF($A648&lt;VLOOKUP(N$5,NFI,5,0),1,0)*Table_NFI[[#This Row],[Kitchen Set]],Table_NFI[Kitchen Set])</f>
        <v>0</v>
      </c>
      <c r="AF648" s="378">
        <f>IF(NFI_Expiration=1,IF($A648&lt;VLOOKUP(O$5,NFI,5,0),1,0)*Table_NFI[[#This Row],[Clothes Kit]],Table_NFI[Clothes Kit])</f>
        <v>0</v>
      </c>
      <c r="AG648" s="378">
        <f>IF(NFI_Expiration=1,IF($A648&lt;VLOOKUP(P$5,NFI,5,0),1,0)*Table_NFI[[#This Row],[Plastic Bucket]],Table_NFI[Plastic Bucket])</f>
        <v>0</v>
      </c>
      <c r="AH648" s="378">
        <f>IF(NFI_Expiration=1,IF($A648&lt;VLOOKUP(Q$5,NFI,5,0),1,0)*Table_NFI[[#This Row],[Plastic Mat]],Table_NFI[Plastic Mat])*IF(Table_NFI[[#This Row],[Distribution Date]]&gt;"2014-04-01",1,2.5)</f>
        <v>0</v>
      </c>
      <c r="AI648" s="378">
        <f>IF(NFI_Expiration=1,IF($A648&lt;VLOOKUP(R$5,NFI,5,0),1,0)*Table_NFI[[#This Row],[Winter Clothes Adult]],Table_NFI[Winter Clothes Adult])</f>
        <v>0</v>
      </c>
      <c r="AJ648" s="378">
        <f>IF(NFI_Expiration=1,IF($A648&lt;VLOOKUP(S$5,NFI,5,0),1,0)*Table_NFI[[#This Row],[Winter Clothes Children]],Table_NFI[Winter Clothes Children])</f>
        <v>0</v>
      </c>
      <c r="AK648" s="378">
        <f>IF(NFI_Expiration=1,IF($A648&lt;VLOOKUP(T$5,NFI,5,0),1,0)*Table_NFI[[#This Row],[Winter Items Other]],Table_NFI[Winter Items Other])</f>
        <v>0</v>
      </c>
      <c r="AL648" s="378">
        <f>IF(NFI_Expiration=1,IF($A648&lt;VLOOKUP(M$5,NFI,5,0),1,0)*Table_NFI[[#This Row],[Winter Blanket]],Table_NFI[[#This Row],[Winter Blanket]])</f>
        <v>0</v>
      </c>
      <c r="AM648" s="378">
        <f>IF(Table_NFI[[#This Row],[Winter Clothes Adult]]+Table_NFI[[#This Row],[Winter Clothes Children]]+Table_NFI[[#This Row],[Winter Items Other]]+Table_NFI[[#This Row],[Winter Blanket]]&gt;0,1,0)</f>
        <v>0</v>
      </c>
      <c r="AN648" s="418">
        <f>IF(NFI_Expiration=1,IF($A648&lt;VLOOKUP(V$5,NFI,5,0),1,0)*Table_NFI[[#This Row],[Jerry Can]],Table_NFI[Jerry Can])</f>
        <v>0</v>
      </c>
      <c r="AO648" s="579" t="str">
        <f>IFERROR(VLOOKUP(Table_NFI[[#This Row],[Camp Name]],CL,2,0),"")</f>
        <v>MMR001CMP126</v>
      </c>
      <c r="AP648" s="574">
        <f ca="1">IF(Table_NFI[[#This Row],[Pcode]]="","",IF(OFFSET(CampList[Opening Date],MATCH(Table_NFI[[#This Row],[Pcode]],CampList[CP_Pcode],0)-1,0,1,1)&gt;=NFI_Monitor_Date,1,0))</f>
        <v>0</v>
      </c>
      <c r="AQ648" s="579" t="str">
        <f>IFERROR(VLOOKUP(Table_NFI[[#This Row],[Camp Name]],CL,3,0),"")</f>
        <v>Open</v>
      </c>
      <c r="AR648" s="378" t="str">
        <f ca="1">IF(Table_NFI[[#This Row],[Pcode]]="","",OFFSET(CampList[Priority],MATCH(Table_NFI[[#This Row],[Pcode]],CampList[CP_Pcode],0)-1,0,1,1))</f>
        <v>P2</v>
      </c>
      <c r="AS648" s="377">
        <f>IFERROR(Table_NFI[[#This Row],[Kitchen Set]]/VLOOKUP(Table_NFI[[#This Row],[Camp Name]],CL,4,0),"")</f>
        <v>4.4313146233382568E-2</v>
      </c>
      <c r="AT648" s="572" t="s">
        <v>1095</v>
      </c>
      <c r="AU648" s="575"/>
    </row>
    <row r="649" spans="1:47" ht="16.149999999999999" customHeight="1" x14ac:dyDescent="0.25">
      <c r="A649" s="381">
        <f t="shared" si="10"/>
        <v>30.1</v>
      </c>
      <c r="B649" s="571">
        <v>41619</v>
      </c>
      <c r="C649" s="572" t="s">
        <v>1030</v>
      </c>
      <c r="D649" s="572" t="s">
        <v>1031</v>
      </c>
      <c r="E649" s="572" t="s">
        <v>380</v>
      </c>
      <c r="F649" s="572" t="s">
        <v>185</v>
      </c>
      <c r="G649" s="572" t="s">
        <v>219</v>
      </c>
      <c r="H649" s="375"/>
      <c r="I649" s="375"/>
      <c r="J649" s="375"/>
      <c r="K649" s="375"/>
      <c r="L649" s="376"/>
      <c r="M649" s="376">
        <v>417</v>
      </c>
      <c r="N649" s="376"/>
      <c r="O649" s="376"/>
      <c r="P649" s="378"/>
      <c r="Q649" s="378"/>
      <c r="R649" s="378"/>
      <c r="S649" s="378"/>
      <c r="T649" s="378"/>
      <c r="U649" s="378"/>
      <c r="V649" s="533"/>
      <c r="W649" s="378"/>
      <c r="X649" s="378"/>
      <c r="Y649" s="378">
        <f>IF(NFI_Expiration=1,IF($A649&lt;VLOOKUP(H$5,NFI,5,0),1,0)*Table_NFI[[#This Row],[Hygiene Kit]],Table_NFI[Hygiene Kit])</f>
        <v>0</v>
      </c>
      <c r="Z649" s="378">
        <f>IF(NFI_Expiration=1,IF($A649&lt;VLOOKUP(I$5,NFI,5,0),1,0)*Table_NFI[[#This Row],[NFI Core Kit]],Table_NFI[NFI Core Kit])</f>
        <v>0</v>
      </c>
      <c r="AA649" s="378">
        <f>IF(NFI_Expiration=1,IF($A649&lt;VLOOKUP(J$5,NFI,5,0),1,0)*Table_NFI[[#This Row],[Sanitary Kit]],Table_NFI[Sanitary Kit])</f>
        <v>0</v>
      </c>
      <c r="AB649" s="378">
        <f>IF(NFI_Expiration=1,IF($A649&lt;VLOOKUP(K$5,NFI,5,0),1,0)*Table_NFI[[#This Row],[Mosquito net]],Table_NFI[Mosquito net])</f>
        <v>0</v>
      </c>
      <c r="AC649" s="378">
        <f>IF(NFI_Expiration=1,IF($A649&lt;VLOOKUP(L$5,NFI,5,0),1,0)*Table_NFI[[#This Row],[Tarpaulin]],Table_NFI[[#This Row],[Tarpaulin]])</f>
        <v>0</v>
      </c>
      <c r="AD649" s="378">
        <f>IF(NFI_Expiration=1,IF($A649&lt;VLOOKUP(M$5,NFI,5,0),1,0)*Table_NFI[[#This Row],[Blanket]],Table_NFI[[#This Row],[Blanket]])</f>
        <v>0</v>
      </c>
      <c r="AE649" s="378">
        <f>IF(NFI_Expiration=1,IF($A649&lt;VLOOKUP(N$5,NFI,5,0),1,0)*Table_NFI[[#This Row],[Kitchen Set]],Table_NFI[Kitchen Set])</f>
        <v>0</v>
      </c>
      <c r="AF649" s="378">
        <f>IF(NFI_Expiration=1,IF($A649&lt;VLOOKUP(O$5,NFI,5,0),1,0)*Table_NFI[[#This Row],[Clothes Kit]],Table_NFI[Clothes Kit])</f>
        <v>0</v>
      </c>
      <c r="AG649" s="378">
        <f>IF(NFI_Expiration=1,IF($A649&lt;VLOOKUP(P$5,NFI,5,0),1,0)*Table_NFI[[#This Row],[Plastic Bucket]],Table_NFI[Plastic Bucket])</f>
        <v>0</v>
      </c>
      <c r="AH649" s="378">
        <f>IF(NFI_Expiration=1,IF($A649&lt;VLOOKUP(Q$5,NFI,5,0),1,0)*Table_NFI[[#This Row],[Plastic Mat]],Table_NFI[Plastic Mat])*IF(Table_NFI[[#This Row],[Distribution Date]]&gt;"2014-04-01",1,2.5)</f>
        <v>0</v>
      </c>
      <c r="AI649" s="378">
        <f>IF(NFI_Expiration=1,IF($A649&lt;VLOOKUP(R$5,NFI,5,0),1,0)*Table_NFI[[#This Row],[Winter Clothes Adult]],Table_NFI[Winter Clothes Adult])</f>
        <v>0</v>
      </c>
      <c r="AJ649" s="378">
        <f>IF(NFI_Expiration=1,IF($A649&lt;VLOOKUP(S$5,NFI,5,0),1,0)*Table_NFI[[#This Row],[Winter Clothes Children]],Table_NFI[Winter Clothes Children])</f>
        <v>0</v>
      </c>
      <c r="AK649" s="378">
        <f>IF(NFI_Expiration=1,IF($A649&lt;VLOOKUP(T$5,NFI,5,0),1,0)*Table_NFI[[#This Row],[Winter Items Other]],Table_NFI[Winter Items Other])</f>
        <v>0</v>
      </c>
      <c r="AL649" s="378">
        <f>IF(NFI_Expiration=1,IF($A649&lt;VLOOKUP(M$5,NFI,5,0),1,0)*Table_NFI[[#This Row],[Winter Blanket]],Table_NFI[[#This Row],[Winter Blanket]])</f>
        <v>0</v>
      </c>
      <c r="AM649" s="378">
        <f>IF(Table_NFI[[#This Row],[Winter Clothes Adult]]+Table_NFI[[#This Row],[Winter Clothes Children]]+Table_NFI[[#This Row],[Winter Items Other]]+Table_NFI[[#This Row],[Winter Blanket]]&gt;0,1,0)</f>
        <v>0</v>
      </c>
      <c r="AN649" s="418">
        <f>IF(NFI_Expiration=1,IF($A649&lt;VLOOKUP(V$5,NFI,5,0),1,0)*Table_NFI[[#This Row],[Jerry Can]],Table_NFI[Jerry Can])</f>
        <v>0</v>
      </c>
      <c r="AO649" s="579" t="str">
        <f>IFERROR(VLOOKUP(Table_NFI[[#This Row],[Camp Name]],CL,2,0),"")</f>
        <v>MMR001CMP126</v>
      </c>
      <c r="AP649" s="574">
        <f ca="1">IF(Table_NFI[[#This Row],[Pcode]]="","",IF(OFFSET(CampList[Opening Date],MATCH(Table_NFI[[#This Row],[Pcode]],CampList[CP_Pcode],0)-1,0,1,1)&gt;=NFI_Monitor_Date,1,0))</f>
        <v>0</v>
      </c>
      <c r="AQ649" s="579" t="str">
        <f>IFERROR(VLOOKUP(Table_NFI[[#This Row],[Camp Name]],CL,3,0),"")</f>
        <v>Open</v>
      </c>
      <c r="AR649" s="378" t="str">
        <f ca="1">IF(Table_NFI[[#This Row],[Pcode]]="","",OFFSET(CampList[Priority],MATCH(Table_NFI[[#This Row],[Pcode]],CampList[CP_Pcode],0)-1,0,1,1))</f>
        <v>P2</v>
      </c>
      <c r="AS649" s="377">
        <f>IFERROR(Table_NFI[[#This Row],[Kitchen Set]]/VLOOKUP(Table_NFI[[#This Row],[Camp Name]],CL,4,0),"")</f>
        <v>0</v>
      </c>
      <c r="AT649" s="572" t="s">
        <v>1095</v>
      </c>
      <c r="AU649" s="575"/>
    </row>
    <row r="650" spans="1:47" ht="13.9" customHeight="1" x14ac:dyDescent="0.25">
      <c r="A650" s="381">
        <f t="shared" si="10"/>
        <v>30.466666666666665</v>
      </c>
      <c r="B650" s="571">
        <v>41608</v>
      </c>
      <c r="C650" s="572" t="s">
        <v>908</v>
      </c>
      <c r="D650" s="572" t="s">
        <v>1005</v>
      </c>
      <c r="E650" s="572" t="s">
        <v>380</v>
      </c>
      <c r="F650" s="374" t="s">
        <v>185</v>
      </c>
      <c r="G650" s="374" t="s">
        <v>219</v>
      </c>
      <c r="H650" s="375"/>
      <c r="I650" s="375"/>
      <c r="J650" s="375"/>
      <c r="K650" s="375"/>
      <c r="L650" s="376"/>
      <c r="M650" s="376"/>
      <c r="N650" s="376"/>
      <c r="O650" s="376"/>
      <c r="P650" s="378"/>
      <c r="Q650" s="378"/>
      <c r="R650" s="378"/>
      <c r="S650" s="378"/>
      <c r="T650" s="378"/>
      <c r="U650" s="378"/>
      <c r="V650" s="533"/>
      <c r="W650" s="378"/>
      <c r="X650" s="378"/>
      <c r="Y650" s="378">
        <f>IF(NFI_Expiration=1,IF($A650&lt;VLOOKUP(H$5,NFI,5,0),1,0)*Table_NFI[[#This Row],[Hygiene Kit]],Table_NFI[Hygiene Kit])</f>
        <v>0</v>
      </c>
      <c r="Z650" s="378">
        <f>IF(NFI_Expiration=1,IF($A650&lt;VLOOKUP(I$5,NFI,5,0),1,0)*Table_NFI[[#This Row],[NFI Core Kit]],Table_NFI[NFI Core Kit])</f>
        <v>0</v>
      </c>
      <c r="AA650" s="378">
        <f>IF(NFI_Expiration=1,IF($A650&lt;VLOOKUP(J$5,NFI,5,0),1,0)*Table_NFI[[#This Row],[Sanitary Kit]],Table_NFI[Sanitary Kit])</f>
        <v>0</v>
      </c>
      <c r="AB650" s="378">
        <f>IF(NFI_Expiration=1,IF($A650&lt;VLOOKUP(K$5,NFI,5,0),1,0)*Table_NFI[[#This Row],[Mosquito net]],Table_NFI[Mosquito net])</f>
        <v>0</v>
      </c>
      <c r="AC650" s="378">
        <f>IF(NFI_Expiration=1,IF($A650&lt;VLOOKUP(L$5,NFI,5,0),1,0)*Table_NFI[[#This Row],[Tarpaulin]],Table_NFI[[#This Row],[Tarpaulin]])</f>
        <v>0</v>
      </c>
      <c r="AD650" s="378">
        <f>IF(NFI_Expiration=1,IF($A650&lt;VLOOKUP(M$5,NFI,5,0),1,0)*Table_NFI[[#This Row],[Blanket]],Table_NFI[[#This Row],[Blanket]])</f>
        <v>0</v>
      </c>
      <c r="AE650" s="378">
        <f>IF(NFI_Expiration=1,IF($A650&lt;VLOOKUP(N$5,NFI,5,0),1,0)*Table_NFI[[#This Row],[Kitchen Set]],Table_NFI[Kitchen Set])</f>
        <v>0</v>
      </c>
      <c r="AF650" s="378">
        <f>IF(NFI_Expiration=1,IF($A650&lt;VLOOKUP(O$5,NFI,5,0),1,0)*Table_NFI[[#This Row],[Clothes Kit]],Table_NFI[Clothes Kit])</f>
        <v>0</v>
      </c>
      <c r="AG650" s="378">
        <f>IF(NFI_Expiration=1,IF($A650&lt;VLOOKUP(P$5,NFI,5,0),1,0)*Table_NFI[[#This Row],[Plastic Bucket]],Table_NFI[Plastic Bucket])</f>
        <v>0</v>
      </c>
      <c r="AH650" s="378">
        <f>IF(NFI_Expiration=1,IF($A650&lt;VLOOKUP(Q$5,NFI,5,0),1,0)*Table_NFI[[#This Row],[Plastic Mat]],Table_NFI[Plastic Mat])*IF(Table_NFI[[#This Row],[Distribution Date]]&gt;"2014-04-01",1,2.5)</f>
        <v>0</v>
      </c>
      <c r="AI650" s="378">
        <f>IF(NFI_Expiration=1,IF($A650&lt;VLOOKUP(R$5,NFI,5,0),1,0)*Table_NFI[[#This Row],[Winter Clothes Adult]],Table_NFI[Winter Clothes Adult])</f>
        <v>0</v>
      </c>
      <c r="AJ650" s="378">
        <f>IF(NFI_Expiration=1,IF($A650&lt;VLOOKUP(S$5,NFI,5,0),1,0)*Table_NFI[[#This Row],[Winter Clothes Children]],Table_NFI[Winter Clothes Children])</f>
        <v>0</v>
      </c>
      <c r="AK650" s="378">
        <f>IF(NFI_Expiration=1,IF($A650&lt;VLOOKUP(T$5,NFI,5,0),1,0)*Table_NFI[[#This Row],[Winter Items Other]],Table_NFI[Winter Items Other])</f>
        <v>0</v>
      </c>
      <c r="AL650" s="378">
        <f>IF(NFI_Expiration=1,IF($A650&lt;VLOOKUP(M$5,NFI,5,0),1,0)*Table_NFI[[#This Row],[Winter Blanket]],Table_NFI[[#This Row],[Winter Blanket]])</f>
        <v>0</v>
      </c>
      <c r="AM650" s="378">
        <f>IF(Table_NFI[[#This Row],[Winter Clothes Adult]]+Table_NFI[[#This Row],[Winter Clothes Children]]+Table_NFI[[#This Row],[Winter Items Other]]+Table_NFI[[#This Row],[Winter Blanket]]&gt;0,1,0)</f>
        <v>0</v>
      </c>
      <c r="AN650" s="418">
        <f>IF(NFI_Expiration=1,IF($A650&lt;VLOOKUP(V$5,NFI,5,0),1,0)*Table_NFI[[#This Row],[Jerry Can]],Table_NFI[Jerry Can])</f>
        <v>0</v>
      </c>
      <c r="AO650" s="579" t="str">
        <f>IFERROR(VLOOKUP(Table_NFI[[#This Row],[Camp Name]],CL,2,0),"")</f>
        <v>MMR001CMP126</v>
      </c>
      <c r="AP650" s="574">
        <f ca="1">IF(Table_NFI[[#This Row],[Pcode]]="","",IF(OFFSET(CampList[Opening Date],MATCH(Table_NFI[[#This Row],[Pcode]],CampList[CP_Pcode],0)-1,0,1,1)&gt;=NFI_Monitor_Date,1,0))</f>
        <v>0</v>
      </c>
      <c r="AQ650" s="579" t="str">
        <f>IFERROR(VLOOKUP(Table_NFI[[#This Row],[Camp Name]],CL,3,0),"")</f>
        <v>Open</v>
      </c>
      <c r="AR650" s="378" t="str">
        <f ca="1">IF(Table_NFI[[#This Row],[Pcode]]="","",OFFSET(CampList[Priority],MATCH(Table_NFI[[#This Row],[Pcode]],CampList[CP_Pcode],0)-1,0,1,1))</f>
        <v>P2</v>
      </c>
      <c r="AS650" s="377">
        <f>IFERROR(Table_NFI[[#This Row],[Kitchen Set]]/VLOOKUP(Table_NFI[[#This Row],[Camp Name]],CL,4,0),"")</f>
        <v>0</v>
      </c>
      <c r="AT650" s="572" t="s">
        <v>1095</v>
      </c>
      <c r="AU650" s="575"/>
    </row>
    <row r="651" spans="1:47" x14ac:dyDescent="0.25">
      <c r="A651" s="381">
        <f t="shared" si="10"/>
        <v>30.466666666666665</v>
      </c>
      <c r="B651" s="571">
        <v>41608</v>
      </c>
      <c r="C651" s="572" t="s">
        <v>454</v>
      </c>
      <c r="D651" s="573" t="s">
        <v>454</v>
      </c>
      <c r="E651" s="572" t="s">
        <v>380</v>
      </c>
      <c r="F651" s="374" t="s">
        <v>185</v>
      </c>
      <c r="G651" s="374" t="s">
        <v>219</v>
      </c>
      <c r="H651" s="375"/>
      <c r="I651" s="375"/>
      <c r="J651" s="375"/>
      <c r="K651" s="375"/>
      <c r="L651" s="376"/>
      <c r="M651" s="376"/>
      <c r="N651" s="376"/>
      <c r="O651" s="376"/>
      <c r="P651" s="378"/>
      <c r="Q651" s="378"/>
      <c r="R651" s="378"/>
      <c r="S651" s="378"/>
      <c r="T651" s="378"/>
      <c r="U651" s="378"/>
      <c r="V651" s="533"/>
      <c r="W651" s="378"/>
      <c r="X651" s="378"/>
      <c r="Y651" s="378">
        <f>IF(NFI_Expiration=1,IF($A651&lt;VLOOKUP(H$5,NFI,5,0),1,0)*Table_NFI[[#This Row],[Hygiene Kit]],Table_NFI[Hygiene Kit])</f>
        <v>0</v>
      </c>
      <c r="Z651" s="378">
        <f>IF(NFI_Expiration=1,IF($A651&lt;VLOOKUP(I$5,NFI,5,0),1,0)*Table_NFI[[#This Row],[NFI Core Kit]],Table_NFI[NFI Core Kit])</f>
        <v>0</v>
      </c>
      <c r="AA651" s="378">
        <f>IF(NFI_Expiration=1,IF($A651&lt;VLOOKUP(J$5,NFI,5,0),1,0)*Table_NFI[[#This Row],[Sanitary Kit]],Table_NFI[Sanitary Kit])</f>
        <v>0</v>
      </c>
      <c r="AB651" s="378">
        <f>IF(NFI_Expiration=1,IF($A651&lt;VLOOKUP(K$5,NFI,5,0),1,0)*Table_NFI[[#This Row],[Mosquito net]],Table_NFI[Mosquito net])</f>
        <v>0</v>
      </c>
      <c r="AC651" s="378">
        <f>IF(NFI_Expiration=1,IF($A651&lt;VLOOKUP(L$5,NFI,5,0),1,0)*Table_NFI[[#This Row],[Tarpaulin]],Table_NFI[[#This Row],[Tarpaulin]])</f>
        <v>0</v>
      </c>
      <c r="AD651" s="378">
        <f>IF(NFI_Expiration=1,IF($A651&lt;VLOOKUP(M$5,NFI,5,0),1,0)*Table_NFI[[#This Row],[Blanket]],Table_NFI[[#This Row],[Blanket]])</f>
        <v>0</v>
      </c>
      <c r="AE651" s="378">
        <f>IF(NFI_Expiration=1,IF($A651&lt;VLOOKUP(N$5,NFI,5,0),1,0)*Table_NFI[[#This Row],[Kitchen Set]],Table_NFI[Kitchen Set])</f>
        <v>0</v>
      </c>
      <c r="AF651" s="378">
        <f>IF(NFI_Expiration=1,IF($A651&lt;VLOOKUP(O$5,NFI,5,0),1,0)*Table_NFI[[#This Row],[Clothes Kit]],Table_NFI[Clothes Kit])</f>
        <v>0</v>
      </c>
      <c r="AG651" s="378">
        <f>IF(NFI_Expiration=1,IF($A651&lt;VLOOKUP(P$5,NFI,5,0),1,0)*Table_NFI[[#This Row],[Plastic Bucket]],Table_NFI[Plastic Bucket])</f>
        <v>0</v>
      </c>
      <c r="AH651" s="378">
        <f>IF(NFI_Expiration=1,IF($A651&lt;VLOOKUP(Q$5,NFI,5,0),1,0)*Table_NFI[[#This Row],[Plastic Mat]],Table_NFI[Plastic Mat])*IF(Table_NFI[[#This Row],[Distribution Date]]&gt;"2014-04-01",1,2.5)</f>
        <v>0</v>
      </c>
      <c r="AI651" s="378">
        <f>IF(NFI_Expiration=1,IF($A651&lt;VLOOKUP(R$5,NFI,5,0),1,0)*Table_NFI[[#This Row],[Winter Clothes Adult]],Table_NFI[Winter Clothes Adult])</f>
        <v>0</v>
      </c>
      <c r="AJ651" s="378">
        <f>IF(NFI_Expiration=1,IF($A651&lt;VLOOKUP(S$5,NFI,5,0),1,0)*Table_NFI[[#This Row],[Winter Clothes Children]],Table_NFI[Winter Clothes Children])</f>
        <v>0</v>
      </c>
      <c r="AK651" s="378">
        <f>IF(NFI_Expiration=1,IF($A651&lt;VLOOKUP(T$5,NFI,5,0),1,0)*Table_NFI[[#This Row],[Winter Items Other]],Table_NFI[Winter Items Other])</f>
        <v>0</v>
      </c>
      <c r="AL651" s="378">
        <f>IF(NFI_Expiration=1,IF($A651&lt;VLOOKUP(M$5,NFI,5,0),1,0)*Table_NFI[[#This Row],[Winter Blanket]],Table_NFI[[#This Row],[Winter Blanket]])</f>
        <v>0</v>
      </c>
      <c r="AM651" s="378">
        <f>IF(Table_NFI[[#This Row],[Winter Clothes Adult]]+Table_NFI[[#This Row],[Winter Clothes Children]]+Table_NFI[[#This Row],[Winter Items Other]]+Table_NFI[[#This Row],[Winter Blanket]]&gt;0,1,0)</f>
        <v>0</v>
      </c>
      <c r="AN651" s="418">
        <f>IF(NFI_Expiration=1,IF($A651&lt;VLOOKUP(V$5,NFI,5,0),1,0)*Table_NFI[[#This Row],[Jerry Can]],Table_NFI[Jerry Can])</f>
        <v>0</v>
      </c>
      <c r="AO651" s="579" t="str">
        <f>IFERROR(VLOOKUP(Table_NFI[[#This Row],[Camp Name]],CL,2,0),"")</f>
        <v>MMR001CMP126</v>
      </c>
      <c r="AP651" s="574">
        <f ca="1">IF(Table_NFI[[#This Row],[Pcode]]="","",IF(OFFSET(CampList[Opening Date],MATCH(Table_NFI[[#This Row],[Pcode]],CampList[CP_Pcode],0)-1,0,1,1)&gt;=NFI_Monitor_Date,1,0))</f>
        <v>0</v>
      </c>
      <c r="AQ651" s="579" t="str">
        <f>IFERROR(VLOOKUP(Table_NFI[[#This Row],[Camp Name]],CL,3,0),"")</f>
        <v>Open</v>
      </c>
      <c r="AR651" s="378" t="str">
        <f ca="1">IF(Table_NFI[[#This Row],[Pcode]]="","",OFFSET(CampList[Priority],MATCH(Table_NFI[[#This Row],[Pcode]],CampList[CP_Pcode],0)-1,0,1,1))</f>
        <v>P2</v>
      </c>
      <c r="AS651" s="377">
        <f>IFERROR(Table_NFI[[#This Row],[Kitchen Set]]/VLOOKUP(Table_NFI[[#This Row],[Camp Name]],CL,4,0),"")</f>
        <v>0</v>
      </c>
      <c r="AT651" s="572" t="s">
        <v>1095</v>
      </c>
      <c r="AU651" s="575"/>
    </row>
    <row r="652" spans="1:47" x14ac:dyDescent="0.25">
      <c r="A652" s="381">
        <f t="shared" si="10"/>
        <v>31.033333333333335</v>
      </c>
      <c r="B652" s="571">
        <v>41591</v>
      </c>
      <c r="C652" s="572" t="s">
        <v>908</v>
      </c>
      <c r="D652" s="572" t="s">
        <v>1005</v>
      </c>
      <c r="E652" s="572" t="s">
        <v>380</v>
      </c>
      <c r="F652" s="572" t="s">
        <v>185</v>
      </c>
      <c r="G652" s="572" t="s">
        <v>219</v>
      </c>
      <c r="H652" s="375"/>
      <c r="I652" s="375"/>
      <c r="J652" s="375"/>
      <c r="K652" s="375"/>
      <c r="L652" s="376"/>
      <c r="M652" s="376"/>
      <c r="N652" s="376"/>
      <c r="O652" s="376"/>
      <c r="P652" s="378"/>
      <c r="Q652" s="378"/>
      <c r="R652" s="378">
        <v>514</v>
      </c>
      <c r="S652" s="378">
        <v>1016</v>
      </c>
      <c r="T652" s="378">
        <v>3060</v>
      </c>
      <c r="U652" s="378">
        <v>1530</v>
      </c>
      <c r="V652" s="533"/>
      <c r="W652" s="378"/>
      <c r="X652" s="378"/>
      <c r="Y652" s="378">
        <f>IF(NFI_Expiration=1,IF($A652&lt;VLOOKUP(H$5,NFI,5,0),1,0)*Table_NFI[[#This Row],[Hygiene Kit]],Table_NFI[Hygiene Kit])</f>
        <v>0</v>
      </c>
      <c r="Z652" s="378">
        <f>IF(NFI_Expiration=1,IF($A652&lt;VLOOKUP(I$5,NFI,5,0),1,0)*Table_NFI[[#This Row],[NFI Core Kit]],Table_NFI[NFI Core Kit])</f>
        <v>0</v>
      </c>
      <c r="AA652" s="378">
        <f>IF(NFI_Expiration=1,IF($A652&lt;VLOOKUP(J$5,NFI,5,0),1,0)*Table_NFI[[#This Row],[Sanitary Kit]],Table_NFI[Sanitary Kit])</f>
        <v>0</v>
      </c>
      <c r="AB652" s="378">
        <f>IF(NFI_Expiration=1,IF($A652&lt;VLOOKUP(K$5,NFI,5,0),1,0)*Table_NFI[[#This Row],[Mosquito net]],Table_NFI[Mosquito net])</f>
        <v>0</v>
      </c>
      <c r="AC652" s="378">
        <f>IF(NFI_Expiration=1,IF($A652&lt;VLOOKUP(L$5,NFI,5,0),1,0)*Table_NFI[[#This Row],[Tarpaulin]],Table_NFI[[#This Row],[Tarpaulin]])</f>
        <v>0</v>
      </c>
      <c r="AD652" s="378">
        <f>IF(NFI_Expiration=1,IF($A652&lt;VLOOKUP(M$5,NFI,5,0),1,0)*Table_NFI[[#This Row],[Blanket]],Table_NFI[[#This Row],[Blanket]])</f>
        <v>0</v>
      </c>
      <c r="AE652" s="378">
        <f>IF(NFI_Expiration=1,IF($A652&lt;VLOOKUP(N$5,NFI,5,0),1,0)*Table_NFI[[#This Row],[Kitchen Set]],Table_NFI[Kitchen Set])</f>
        <v>0</v>
      </c>
      <c r="AF652" s="378">
        <f>IF(NFI_Expiration=1,IF($A652&lt;VLOOKUP(O$5,NFI,5,0),1,0)*Table_NFI[[#This Row],[Clothes Kit]],Table_NFI[Clothes Kit])</f>
        <v>0</v>
      </c>
      <c r="AG652" s="378">
        <f>IF(NFI_Expiration=1,IF($A652&lt;VLOOKUP(P$5,NFI,5,0),1,0)*Table_NFI[[#This Row],[Plastic Bucket]],Table_NFI[Plastic Bucket])</f>
        <v>0</v>
      </c>
      <c r="AH652" s="378">
        <f>IF(NFI_Expiration=1,IF($A652&lt;VLOOKUP(Q$5,NFI,5,0),1,0)*Table_NFI[[#This Row],[Plastic Mat]],Table_NFI[Plastic Mat])*IF(Table_NFI[[#This Row],[Distribution Date]]&gt;"2014-04-01",1,2.5)</f>
        <v>0</v>
      </c>
      <c r="AI652" s="378">
        <f>IF(NFI_Expiration=1,IF($A652&lt;VLOOKUP(R$5,NFI,5,0),1,0)*Table_NFI[[#This Row],[Winter Clothes Adult]],Table_NFI[Winter Clothes Adult])</f>
        <v>0</v>
      </c>
      <c r="AJ652" s="378">
        <f>IF(NFI_Expiration=1,IF($A652&lt;VLOOKUP(S$5,NFI,5,0),1,0)*Table_NFI[[#This Row],[Winter Clothes Children]],Table_NFI[Winter Clothes Children])</f>
        <v>0</v>
      </c>
      <c r="AK652" s="378">
        <f>IF(NFI_Expiration=1,IF($A652&lt;VLOOKUP(T$5,NFI,5,0),1,0)*Table_NFI[[#This Row],[Winter Items Other]],Table_NFI[Winter Items Other])</f>
        <v>0</v>
      </c>
      <c r="AL652" s="378">
        <f>IF(NFI_Expiration=1,IF($A652&lt;VLOOKUP(M$5,NFI,5,0),1,0)*Table_NFI[[#This Row],[Winter Blanket]],Table_NFI[[#This Row],[Winter Blanket]])</f>
        <v>0</v>
      </c>
      <c r="AM652" s="378">
        <f>IF(Table_NFI[[#This Row],[Winter Clothes Adult]]+Table_NFI[[#This Row],[Winter Clothes Children]]+Table_NFI[[#This Row],[Winter Items Other]]+Table_NFI[[#This Row],[Winter Blanket]]&gt;0,1,0)</f>
        <v>1</v>
      </c>
      <c r="AN652" s="418">
        <f>IF(NFI_Expiration=1,IF($A652&lt;VLOOKUP(V$5,NFI,5,0),1,0)*Table_NFI[[#This Row],[Jerry Can]],Table_NFI[Jerry Can])</f>
        <v>0</v>
      </c>
      <c r="AO652" s="579" t="str">
        <f>IFERROR(VLOOKUP(Table_NFI[[#This Row],[Camp Name]],CL,2,0),"")</f>
        <v>MMR001CMP126</v>
      </c>
      <c r="AP652" s="574">
        <f ca="1">IF(Table_NFI[[#This Row],[Pcode]]="","",IF(OFFSET(CampList[Opening Date],MATCH(Table_NFI[[#This Row],[Pcode]],CampList[CP_Pcode],0)-1,0,1,1)&gt;=NFI_Monitor_Date,1,0))</f>
        <v>0</v>
      </c>
      <c r="AQ652" s="579" t="str">
        <f>IFERROR(VLOOKUP(Table_NFI[[#This Row],[Camp Name]],CL,3,0),"")</f>
        <v>Open</v>
      </c>
      <c r="AR652" s="378" t="str">
        <f ca="1">IF(Table_NFI[[#This Row],[Pcode]]="","",OFFSET(CampList[Priority],MATCH(Table_NFI[[#This Row],[Pcode]],CampList[CP_Pcode],0)-1,0,1,1))</f>
        <v>P2</v>
      </c>
      <c r="AS652" s="377">
        <f>IFERROR(Table_NFI[[#This Row],[Kitchen Set]]/VLOOKUP(Table_NFI[[#This Row],[Camp Name]],CL,4,0),"")</f>
        <v>0</v>
      </c>
      <c r="AT652" s="572"/>
      <c r="AU652" s="575"/>
    </row>
    <row r="653" spans="1:47" x14ac:dyDescent="0.25">
      <c r="A653" s="381">
        <f t="shared" si="10"/>
        <v>36.1</v>
      </c>
      <c r="B653" s="571">
        <v>41439</v>
      </c>
      <c r="C653" s="572" t="s">
        <v>454</v>
      </c>
      <c r="D653" s="573" t="s">
        <v>454</v>
      </c>
      <c r="E653" s="572" t="s">
        <v>380</v>
      </c>
      <c r="F653" s="374" t="s">
        <v>185</v>
      </c>
      <c r="G653" s="374" t="s">
        <v>219</v>
      </c>
      <c r="H653" s="375"/>
      <c r="I653" s="375"/>
      <c r="J653" s="375">
        <v>42</v>
      </c>
      <c r="K653" s="375">
        <v>42</v>
      </c>
      <c r="L653" s="376">
        <v>21</v>
      </c>
      <c r="M653" s="376">
        <v>42</v>
      </c>
      <c r="N653" s="376">
        <v>21</v>
      </c>
      <c r="O653" s="376">
        <v>21</v>
      </c>
      <c r="P653" s="378">
        <v>21</v>
      </c>
      <c r="Q653" s="378">
        <v>21</v>
      </c>
      <c r="R653" s="378"/>
      <c r="S653" s="378"/>
      <c r="T653" s="378"/>
      <c r="U653" s="378"/>
      <c r="V653" s="533"/>
      <c r="W653" s="378"/>
      <c r="X653" s="378"/>
      <c r="Y653" s="378">
        <f>IF(NFI_Expiration=1,IF($A653&lt;VLOOKUP(H$5,NFI,5,0),1,0)*Table_NFI[[#This Row],[Hygiene Kit]],Table_NFI[Hygiene Kit])</f>
        <v>0</v>
      </c>
      <c r="Z653" s="378">
        <f>IF(NFI_Expiration=1,IF($A653&lt;VLOOKUP(I$5,NFI,5,0),1,0)*Table_NFI[[#This Row],[NFI Core Kit]],Table_NFI[NFI Core Kit])</f>
        <v>0</v>
      </c>
      <c r="AA653" s="378">
        <f>IF(NFI_Expiration=1,IF($A653&lt;VLOOKUP(J$5,NFI,5,0),1,0)*Table_NFI[[#This Row],[Sanitary Kit]],Table_NFI[Sanitary Kit])</f>
        <v>0</v>
      </c>
      <c r="AB653" s="378">
        <f>IF(NFI_Expiration=1,IF($A653&lt;VLOOKUP(K$5,NFI,5,0),1,0)*Table_NFI[[#This Row],[Mosquito net]],Table_NFI[Mosquito net])</f>
        <v>0</v>
      </c>
      <c r="AC653" s="378">
        <f>IF(NFI_Expiration=1,IF($A653&lt;VLOOKUP(L$5,NFI,5,0),1,0)*Table_NFI[[#This Row],[Tarpaulin]],Table_NFI[[#This Row],[Tarpaulin]])</f>
        <v>0</v>
      </c>
      <c r="AD653" s="378">
        <f>IF(NFI_Expiration=1,IF($A653&lt;VLOOKUP(M$5,NFI,5,0),1,0)*Table_NFI[[#This Row],[Blanket]],Table_NFI[[#This Row],[Blanket]])</f>
        <v>0</v>
      </c>
      <c r="AE653" s="378">
        <f>IF(NFI_Expiration=1,IF($A653&lt;VLOOKUP(N$5,NFI,5,0),1,0)*Table_NFI[[#This Row],[Kitchen Set]],Table_NFI[Kitchen Set])</f>
        <v>0</v>
      </c>
      <c r="AF653" s="378">
        <f>IF(NFI_Expiration=1,IF($A653&lt;VLOOKUP(O$5,NFI,5,0),1,0)*Table_NFI[[#This Row],[Clothes Kit]],Table_NFI[Clothes Kit])</f>
        <v>0</v>
      </c>
      <c r="AG653" s="378">
        <f>IF(NFI_Expiration=1,IF($A653&lt;VLOOKUP(P$5,NFI,5,0),1,0)*Table_NFI[[#This Row],[Plastic Bucket]],Table_NFI[Plastic Bucket])</f>
        <v>0</v>
      </c>
      <c r="AH653" s="378">
        <f>IF(NFI_Expiration=1,IF($A653&lt;VLOOKUP(Q$5,NFI,5,0),1,0)*Table_NFI[[#This Row],[Plastic Mat]],Table_NFI[Plastic Mat])*IF(Table_NFI[[#This Row],[Distribution Date]]&gt;"2014-04-01",1,2.5)</f>
        <v>0</v>
      </c>
      <c r="AI653" s="378">
        <f>IF(NFI_Expiration=1,IF($A653&lt;VLOOKUP(R$5,NFI,5,0),1,0)*Table_NFI[[#This Row],[Winter Clothes Adult]],Table_NFI[Winter Clothes Adult])</f>
        <v>0</v>
      </c>
      <c r="AJ653" s="378">
        <f>IF(NFI_Expiration=1,IF($A653&lt;VLOOKUP(S$5,NFI,5,0),1,0)*Table_NFI[[#This Row],[Winter Clothes Children]],Table_NFI[Winter Clothes Children])</f>
        <v>0</v>
      </c>
      <c r="AK653" s="378">
        <f>IF(NFI_Expiration=1,IF($A653&lt;VLOOKUP(T$5,NFI,5,0),1,0)*Table_NFI[[#This Row],[Winter Items Other]],Table_NFI[Winter Items Other])</f>
        <v>0</v>
      </c>
      <c r="AL653" s="378">
        <f>IF(NFI_Expiration=1,IF($A653&lt;VLOOKUP(M$5,NFI,5,0),1,0)*Table_NFI[[#This Row],[Winter Blanket]],Table_NFI[[#This Row],[Winter Blanket]])</f>
        <v>0</v>
      </c>
      <c r="AM653" s="378">
        <f>IF(Table_NFI[[#This Row],[Winter Clothes Adult]]+Table_NFI[[#This Row],[Winter Clothes Children]]+Table_NFI[[#This Row],[Winter Items Other]]+Table_NFI[[#This Row],[Winter Blanket]]&gt;0,1,0)</f>
        <v>0</v>
      </c>
      <c r="AN653" s="418">
        <f>IF(NFI_Expiration=1,IF($A653&lt;VLOOKUP(V$5,NFI,5,0),1,0)*Table_NFI[[#This Row],[Jerry Can]],Table_NFI[Jerry Can])</f>
        <v>0</v>
      </c>
      <c r="AO653" s="579" t="str">
        <f>IFERROR(VLOOKUP(Table_NFI[[#This Row],[Camp Name]],CL,2,0),"")</f>
        <v>MMR001CMP126</v>
      </c>
      <c r="AP653" s="574">
        <f ca="1">IF(Table_NFI[[#This Row],[Pcode]]="","",IF(OFFSET(CampList[Opening Date],MATCH(Table_NFI[[#This Row],[Pcode]],CampList[CP_Pcode],0)-1,0,1,1)&gt;=NFI_Monitor_Date,1,0))</f>
        <v>0</v>
      </c>
      <c r="AQ653" s="579" t="str">
        <f>IFERROR(VLOOKUP(Table_NFI[[#This Row],[Camp Name]],CL,3,0),"")</f>
        <v>Open</v>
      </c>
      <c r="AR653" s="378" t="str">
        <f ca="1">IF(Table_NFI[[#This Row],[Pcode]]="","",OFFSET(CampList[Priority],MATCH(Table_NFI[[#This Row],[Pcode]],CampList[CP_Pcode],0)-1,0,1,1))</f>
        <v>P2</v>
      </c>
      <c r="AS653" s="377">
        <f>IFERROR(Table_NFI[[#This Row],[Kitchen Set]]/VLOOKUP(Table_NFI[[#This Row],[Camp Name]],CL,4,0),"")</f>
        <v>3.10192023633678E-2</v>
      </c>
      <c r="AT653" s="572" t="s">
        <v>1095</v>
      </c>
      <c r="AU653" s="575"/>
    </row>
    <row r="654" spans="1:47" x14ac:dyDescent="0.25">
      <c r="A654" s="381">
        <f t="shared" si="10"/>
        <v>47.166666666666664</v>
      </c>
      <c r="B654" s="571">
        <v>41107</v>
      </c>
      <c r="C654" s="572" t="s">
        <v>454</v>
      </c>
      <c r="D654" s="573" t="s">
        <v>454</v>
      </c>
      <c r="E654" s="572" t="s">
        <v>380</v>
      </c>
      <c r="F654" s="374" t="s">
        <v>185</v>
      </c>
      <c r="G654" s="374" t="s">
        <v>219</v>
      </c>
      <c r="H654" s="375"/>
      <c r="I654" s="375"/>
      <c r="J654" s="375"/>
      <c r="K654" s="375">
        <v>0</v>
      </c>
      <c r="L654" s="376">
        <v>0</v>
      </c>
      <c r="M654" s="376">
        <v>0</v>
      </c>
      <c r="N654" s="376">
        <v>0</v>
      </c>
      <c r="O654" s="376">
        <v>0</v>
      </c>
      <c r="P654" s="378"/>
      <c r="Q654" s="378"/>
      <c r="R654" s="378"/>
      <c r="S654" s="378"/>
      <c r="T654" s="378"/>
      <c r="U654" s="378"/>
      <c r="V654" s="533"/>
      <c r="W654" s="378"/>
      <c r="X654" s="378"/>
      <c r="Y654" s="378">
        <f>IF(NFI_Expiration=1,IF($A654&lt;VLOOKUP(H$5,NFI,5,0),1,0)*Table_NFI[[#This Row],[Hygiene Kit]],Table_NFI[Hygiene Kit])</f>
        <v>0</v>
      </c>
      <c r="Z654" s="378">
        <f>IF(NFI_Expiration=1,IF($A654&lt;VLOOKUP(I$5,NFI,5,0),1,0)*Table_NFI[[#This Row],[NFI Core Kit]],Table_NFI[NFI Core Kit])</f>
        <v>0</v>
      </c>
      <c r="AA654" s="378">
        <f>IF(NFI_Expiration=1,IF($A654&lt;VLOOKUP(J$5,NFI,5,0),1,0)*Table_NFI[[#This Row],[Sanitary Kit]],Table_NFI[Sanitary Kit])</f>
        <v>0</v>
      </c>
      <c r="AB654" s="378">
        <f>IF(NFI_Expiration=1,IF($A654&lt;VLOOKUP(K$5,NFI,5,0),1,0)*Table_NFI[[#This Row],[Mosquito net]],Table_NFI[Mosquito net])</f>
        <v>0</v>
      </c>
      <c r="AC654" s="378">
        <f>IF(NFI_Expiration=1,IF($A654&lt;VLOOKUP(L$5,NFI,5,0),1,0)*Table_NFI[[#This Row],[Tarpaulin]],Table_NFI[[#This Row],[Tarpaulin]])</f>
        <v>0</v>
      </c>
      <c r="AD654" s="378">
        <f>IF(NFI_Expiration=1,IF($A654&lt;VLOOKUP(M$5,NFI,5,0),1,0)*Table_NFI[[#This Row],[Blanket]],Table_NFI[[#This Row],[Blanket]])</f>
        <v>0</v>
      </c>
      <c r="AE654" s="378">
        <f>IF(NFI_Expiration=1,IF($A654&lt;VLOOKUP(N$5,NFI,5,0),1,0)*Table_NFI[[#This Row],[Kitchen Set]],Table_NFI[Kitchen Set])</f>
        <v>0</v>
      </c>
      <c r="AF654" s="378">
        <f>IF(NFI_Expiration=1,IF($A654&lt;VLOOKUP(O$5,NFI,5,0),1,0)*Table_NFI[[#This Row],[Clothes Kit]],Table_NFI[Clothes Kit])</f>
        <v>0</v>
      </c>
      <c r="AG654" s="378">
        <f>IF(NFI_Expiration=1,IF($A654&lt;VLOOKUP(P$5,NFI,5,0),1,0)*Table_NFI[[#This Row],[Plastic Bucket]],Table_NFI[Plastic Bucket])</f>
        <v>0</v>
      </c>
      <c r="AH654" s="378">
        <f>IF(NFI_Expiration=1,IF($A654&lt;VLOOKUP(Q$5,NFI,5,0),1,0)*Table_NFI[[#This Row],[Plastic Mat]],Table_NFI[Plastic Mat])*IF(Table_NFI[[#This Row],[Distribution Date]]&gt;"2014-04-01",1,2.5)</f>
        <v>0</v>
      </c>
      <c r="AI654" s="378">
        <f>IF(NFI_Expiration=1,IF($A654&lt;VLOOKUP(R$5,NFI,5,0),1,0)*Table_NFI[[#This Row],[Winter Clothes Adult]],Table_NFI[Winter Clothes Adult])</f>
        <v>0</v>
      </c>
      <c r="AJ654" s="378">
        <f>IF(NFI_Expiration=1,IF($A654&lt;VLOOKUP(S$5,NFI,5,0),1,0)*Table_NFI[[#This Row],[Winter Clothes Children]],Table_NFI[Winter Clothes Children])</f>
        <v>0</v>
      </c>
      <c r="AK654" s="378">
        <f>IF(NFI_Expiration=1,IF($A654&lt;VLOOKUP(T$5,NFI,5,0),1,0)*Table_NFI[[#This Row],[Winter Items Other]],Table_NFI[Winter Items Other])</f>
        <v>0</v>
      </c>
      <c r="AL654" s="378">
        <f>IF(NFI_Expiration=1,IF($A654&lt;VLOOKUP(M$5,NFI,5,0),1,0)*Table_NFI[[#This Row],[Winter Blanket]],Table_NFI[[#This Row],[Winter Blanket]])</f>
        <v>0</v>
      </c>
      <c r="AM654" s="378">
        <f>IF(Table_NFI[[#This Row],[Winter Clothes Adult]]+Table_NFI[[#This Row],[Winter Clothes Children]]+Table_NFI[[#This Row],[Winter Items Other]]+Table_NFI[[#This Row],[Winter Blanket]]&gt;0,1,0)</f>
        <v>0</v>
      </c>
      <c r="AN654" s="418">
        <f>IF(NFI_Expiration=1,IF($A654&lt;VLOOKUP(V$5,NFI,5,0),1,0)*Table_NFI[[#This Row],[Jerry Can]],Table_NFI[Jerry Can])</f>
        <v>0</v>
      </c>
      <c r="AO654" s="579" t="str">
        <f>IFERROR(VLOOKUP(Table_NFI[[#This Row],[Camp Name]],CL,2,0),"")</f>
        <v>MMR001CMP126</v>
      </c>
      <c r="AP654" s="574">
        <f ca="1">IF(Table_NFI[[#This Row],[Pcode]]="","",IF(OFFSET(CampList[Opening Date],MATCH(Table_NFI[[#This Row],[Pcode]],CampList[CP_Pcode],0)-1,0,1,1)&gt;=NFI_Monitor_Date,1,0))</f>
        <v>0</v>
      </c>
      <c r="AQ654" s="579" t="str">
        <f>IFERROR(VLOOKUP(Table_NFI[[#This Row],[Camp Name]],CL,3,0),"")</f>
        <v>Open</v>
      </c>
      <c r="AR654" s="378" t="str">
        <f ca="1">IF(Table_NFI[[#This Row],[Pcode]]="","",OFFSET(CampList[Priority],MATCH(Table_NFI[[#This Row],[Pcode]],CampList[CP_Pcode],0)-1,0,1,1))</f>
        <v>P2</v>
      </c>
      <c r="AS654" s="377">
        <f>IFERROR(Table_NFI[[#This Row],[Kitchen Set]]/VLOOKUP(Table_NFI[[#This Row],[Camp Name]],CL,4,0),"")</f>
        <v>0</v>
      </c>
      <c r="AT654" s="572" t="s">
        <v>1095</v>
      </c>
      <c r="AU654" s="575"/>
    </row>
    <row r="655" spans="1:47" x14ac:dyDescent="0.25">
      <c r="A655" s="381">
        <f t="shared" si="10"/>
        <v>47.166666666666664</v>
      </c>
      <c r="B655" s="571">
        <v>41107</v>
      </c>
      <c r="C655" s="572" t="s">
        <v>454</v>
      </c>
      <c r="D655" s="573" t="s">
        <v>454</v>
      </c>
      <c r="E655" s="572" t="s">
        <v>380</v>
      </c>
      <c r="F655" s="374" t="s">
        <v>185</v>
      </c>
      <c r="G655" s="374" t="s">
        <v>219</v>
      </c>
      <c r="H655" s="375"/>
      <c r="I655" s="375"/>
      <c r="J655" s="375"/>
      <c r="K655" s="375">
        <v>0</v>
      </c>
      <c r="L655" s="376">
        <v>0</v>
      </c>
      <c r="M655" s="376">
        <v>0</v>
      </c>
      <c r="N655" s="376">
        <v>0</v>
      </c>
      <c r="O655" s="376">
        <v>0</v>
      </c>
      <c r="P655" s="378"/>
      <c r="Q655" s="378"/>
      <c r="R655" s="378"/>
      <c r="S655" s="378"/>
      <c r="T655" s="378"/>
      <c r="U655" s="378"/>
      <c r="V655" s="533"/>
      <c r="W655" s="378"/>
      <c r="X655" s="378"/>
      <c r="Y655" s="378">
        <f>IF(NFI_Expiration=1,IF($A655&lt;VLOOKUP(H$5,NFI,5,0),1,0)*Table_NFI[[#This Row],[Hygiene Kit]],Table_NFI[Hygiene Kit])</f>
        <v>0</v>
      </c>
      <c r="Z655" s="378">
        <f>IF(NFI_Expiration=1,IF($A655&lt;VLOOKUP(I$5,NFI,5,0),1,0)*Table_NFI[[#This Row],[NFI Core Kit]],Table_NFI[NFI Core Kit])</f>
        <v>0</v>
      </c>
      <c r="AA655" s="378">
        <f>IF(NFI_Expiration=1,IF($A655&lt;VLOOKUP(J$5,NFI,5,0),1,0)*Table_NFI[[#This Row],[Sanitary Kit]],Table_NFI[Sanitary Kit])</f>
        <v>0</v>
      </c>
      <c r="AB655" s="378">
        <f>IF(NFI_Expiration=1,IF($A655&lt;VLOOKUP(K$5,NFI,5,0),1,0)*Table_NFI[[#This Row],[Mosquito net]],Table_NFI[Mosquito net])</f>
        <v>0</v>
      </c>
      <c r="AC655" s="378">
        <f>IF(NFI_Expiration=1,IF($A655&lt;VLOOKUP(L$5,NFI,5,0),1,0)*Table_NFI[[#This Row],[Tarpaulin]],Table_NFI[[#This Row],[Tarpaulin]])</f>
        <v>0</v>
      </c>
      <c r="AD655" s="378">
        <f>IF(NFI_Expiration=1,IF($A655&lt;VLOOKUP(M$5,NFI,5,0),1,0)*Table_NFI[[#This Row],[Blanket]],Table_NFI[[#This Row],[Blanket]])</f>
        <v>0</v>
      </c>
      <c r="AE655" s="378">
        <f>IF(NFI_Expiration=1,IF($A655&lt;VLOOKUP(N$5,NFI,5,0),1,0)*Table_NFI[[#This Row],[Kitchen Set]],Table_NFI[Kitchen Set])</f>
        <v>0</v>
      </c>
      <c r="AF655" s="378">
        <f>IF(NFI_Expiration=1,IF($A655&lt;VLOOKUP(O$5,NFI,5,0),1,0)*Table_NFI[[#This Row],[Clothes Kit]],Table_NFI[Clothes Kit])</f>
        <v>0</v>
      </c>
      <c r="AG655" s="378">
        <f>IF(NFI_Expiration=1,IF($A655&lt;VLOOKUP(P$5,NFI,5,0),1,0)*Table_NFI[[#This Row],[Plastic Bucket]],Table_NFI[Plastic Bucket])</f>
        <v>0</v>
      </c>
      <c r="AH655" s="378">
        <f>IF(NFI_Expiration=1,IF($A655&lt;VLOOKUP(Q$5,NFI,5,0),1,0)*Table_NFI[[#This Row],[Plastic Mat]],Table_NFI[Plastic Mat])*IF(Table_NFI[[#This Row],[Distribution Date]]&gt;"2014-04-01",1,2.5)</f>
        <v>0</v>
      </c>
      <c r="AI655" s="378">
        <f>IF(NFI_Expiration=1,IF($A655&lt;VLOOKUP(R$5,NFI,5,0),1,0)*Table_NFI[[#This Row],[Winter Clothes Adult]],Table_NFI[Winter Clothes Adult])</f>
        <v>0</v>
      </c>
      <c r="AJ655" s="378">
        <f>IF(NFI_Expiration=1,IF($A655&lt;VLOOKUP(S$5,NFI,5,0),1,0)*Table_NFI[[#This Row],[Winter Clothes Children]],Table_NFI[Winter Clothes Children])</f>
        <v>0</v>
      </c>
      <c r="AK655" s="378">
        <f>IF(NFI_Expiration=1,IF($A655&lt;VLOOKUP(T$5,NFI,5,0),1,0)*Table_NFI[[#This Row],[Winter Items Other]],Table_NFI[Winter Items Other])</f>
        <v>0</v>
      </c>
      <c r="AL655" s="378">
        <f>IF(NFI_Expiration=1,IF($A655&lt;VLOOKUP(M$5,NFI,5,0),1,0)*Table_NFI[[#This Row],[Winter Blanket]],Table_NFI[[#This Row],[Winter Blanket]])</f>
        <v>0</v>
      </c>
      <c r="AM655" s="378">
        <f>IF(Table_NFI[[#This Row],[Winter Clothes Adult]]+Table_NFI[[#This Row],[Winter Clothes Children]]+Table_NFI[[#This Row],[Winter Items Other]]+Table_NFI[[#This Row],[Winter Blanket]]&gt;0,1,0)</f>
        <v>0</v>
      </c>
      <c r="AN655" s="418">
        <f>IF(NFI_Expiration=1,IF($A655&lt;VLOOKUP(V$5,NFI,5,0),1,0)*Table_NFI[[#This Row],[Jerry Can]],Table_NFI[Jerry Can])</f>
        <v>0</v>
      </c>
      <c r="AO655" s="579" t="str">
        <f>IFERROR(VLOOKUP(Table_NFI[[#This Row],[Camp Name]],CL,2,0),"")</f>
        <v>MMR001CMP126</v>
      </c>
      <c r="AP655" s="574">
        <f ca="1">IF(Table_NFI[[#This Row],[Pcode]]="","",IF(OFFSET(CampList[Opening Date],MATCH(Table_NFI[[#This Row],[Pcode]],CampList[CP_Pcode],0)-1,0,1,1)&gt;=NFI_Monitor_Date,1,0))</f>
        <v>0</v>
      </c>
      <c r="AQ655" s="579" t="str">
        <f>IFERROR(VLOOKUP(Table_NFI[[#This Row],[Camp Name]],CL,3,0),"")</f>
        <v>Open</v>
      </c>
      <c r="AR655" s="378" t="str">
        <f ca="1">IF(Table_NFI[[#This Row],[Pcode]]="","",OFFSET(CampList[Priority],MATCH(Table_NFI[[#This Row],[Pcode]],CampList[CP_Pcode],0)-1,0,1,1))</f>
        <v>P2</v>
      </c>
      <c r="AS655" s="377">
        <f>IFERROR(Table_NFI[[#This Row],[Kitchen Set]]/VLOOKUP(Table_NFI[[#This Row],[Camp Name]],CL,4,0),"")</f>
        <v>0</v>
      </c>
      <c r="AT655" s="572" t="s">
        <v>1095</v>
      </c>
      <c r="AU655" s="575"/>
    </row>
    <row r="656" spans="1:47" x14ac:dyDescent="0.25">
      <c r="A656" s="381">
        <f t="shared" si="10"/>
        <v>48.533333333333331</v>
      </c>
      <c r="B656" s="571">
        <v>41066</v>
      </c>
      <c r="C656" s="572" t="s">
        <v>454</v>
      </c>
      <c r="D656" s="573" t="s">
        <v>454</v>
      </c>
      <c r="E656" s="572" t="s">
        <v>380</v>
      </c>
      <c r="F656" s="374" t="s">
        <v>185</v>
      </c>
      <c r="G656" s="374" t="s">
        <v>219</v>
      </c>
      <c r="H656" s="375"/>
      <c r="I656" s="375"/>
      <c r="J656" s="375"/>
      <c r="K656" s="375">
        <v>144</v>
      </c>
      <c r="L656" s="376">
        <v>76</v>
      </c>
      <c r="M656" s="376">
        <v>143</v>
      </c>
      <c r="N656" s="376">
        <v>76</v>
      </c>
      <c r="O656" s="376">
        <v>78</v>
      </c>
      <c r="P656" s="378">
        <v>78</v>
      </c>
      <c r="Q656" s="378">
        <v>78</v>
      </c>
      <c r="R656" s="378"/>
      <c r="S656" s="378"/>
      <c r="T656" s="378"/>
      <c r="U656" s="378"/>
      <c r="V656" s="533"/>
      <c r="W656" s="378"/>
      <c r="X656" s="378"/>
      <c r="Y656" s="378">
        <f>IF(NFI_Expiration=1,IF($A656&lt;VLOOKUP(H$5,NFI,5,0),1,0)*Table_NFI[[#This Row],[Hygiene Kit]],Table_NFI[Hygiene Kit])</f>
        <v>0</v>
      </c>
      <c r="Z656" s="378">
        <f>IF(NFI_Expiration=1,IF($A656&lt;VLOOKUP(I$5,NFI,5,0),1,0)*Table_NFI[[#This Row],[NFI Core Kit]],Table_NFI[NFI Core Kit])</f>
        <v>0</v>
      </c>
      <c r="AA656" s="378">
        <f>IF(NFI_Expiration=1,IF($A656&lt;VLOOKUP(J$5,NFI,5,0),1,0)*Table_NFI[[#This Row],[Sanitary Kit]],Table_NFI[Sanitary Kit])</f>
        <v>0</v>
      </c>
      <c r="AB656" s="378">
        <f>IF(NFI_Expiration=1,IF($A656&lt;VLOOKUP(K$5,NFI,5,0),1,0)*Table_NFI[[#This Row],[Mosquito net]],Table_NFI[Mosquito net])</f>
        <v>0</v>
      </c>
      <c r="AC656" s="378">
        <f>IF(NFI_Expiration=1,IF($A656&lt;VLOOKUP(L$5,NFI,5,0),1,0)*Table_NFI[[#This Row],[Tarpaulin]],Table_NFI[[#This Row],[Tarpaulin]])</f>
        <v>0</v>
      </c>
      <c r="AD656" s="378">
        <f>IF(NFI_Expiration=1,IF($A656&lt;VLOOKUP(M$5,NFI,5,0),1,0)*Table_NFI[[#This Row],[Blanket]],Table_NFI[[#This Row],[Blanket]])</f>
        <v>0</v>
      </c>
      <c r="AE656" s="378">
        <f>IF(NFI_Expiration=1,IF($A656&lt;VLOOKUP(N$5,NFI,5,0),1,0)*Table_NFI[[#This Row],[Kitchen Set]],Table_NFI[Kitchen Set])</f>
        <v>0</v>
      </c>
      <c r="AF656" s="378">
        <f>IF(NFI_Expiration=1,IF($A656&lt;VLOOKUP(O$5,NFI,5,0),1,0)*Table_NFI[[#This Row],[Clothes Kit]],Table_NFI[Clothes Kit])</f>
        <v>0</v>
      </c>
      <c r="AG656" s="378">
        <f>IF(NFI_Expiration=1,IF($A656&lt;VLOOKUP(P$5,NFI,5,0),1,0)*Table_NFI[[#This Row],[Plastic Bucket]],Table_NFI[Plastic Bucket])</f>
        <v>0</v>
      </c>
      <c r="AH656" s="378">
        <f>IF(NFI_Expiration=1,IF($A656&lt;VLOOKUP(Q$5,NFI,5,0),1,0)*Table_NFI[[#This Row],[Plastic Mat]],Table_NFI[Plastic Mat])*IF(Table_NFI[[#This Row],[Distribution Date]]&gt;"2014-04-01",1,2.5)</f>
        <v>0</v>
      </c>
      <c r="AI656" s="378">
        <f>IF(NFI_Expiration=1,IF($A656&lt;VLOOKUP(R$5,NFI,5,0),1,0)*Table_NFI[[#This Row],[Winter Clothes Adult]],Table_NFI[Winter Clothes Adult])</f>
        <v>0</v>
      </c>
      <c r="AJ656" s="378">
        <f>IF(NFI_Expiration=1,IF($A656&lt;VLOOKUP(S$5,NFI,5,0),1,0)*Table_NFI[[#This Row],[Winter Clothes Children]],Table_NFI[Winter Clothes Children])</f>
        <v>0</v>
      </c>
      <c r="AK656" s="378">
        <f>IF(NFI_Expiration=1,IF($A656&lt;VLOOKUP(T$5,NFI,5,0),1,0)*Table_NFI[[#This Row],[Winter Items Other]],Table_NFI[Winter Items Other])</f>
        <v>0</v>
      </c>
      <c r="AL656" s="378">
        <f>IF(NFI_Expiration=1,IF($A656&lt;VLOOKUP(M$5,NFI,5,0),1,0)*Table_NFI[[#This Row],[Winter Blanket]],Table_NFI[[#This Row],[Winter Blanket]])</f>
        <v>0</v>
      </c>
      <c r="AM656" s="378">
        <f>IF(Table_NFI[[#This Row],[Winter Clothes Adult]]+Table_NFI[[#This Row],[Winter Clothes Children]]+Table_NFI[[#This Row],[Winter Items Other]]+Table_NFI[[#This Row],[Winter Blanket]]&gt;0,1,0)</f>
        <v>0</v>
      </c>
      <c r="AN656" s="418">
        <f>IF(NFI_Expiration=1,IF($A656&lt;VLOOKUP(V$5,NFI,5,0),1,0)*Table_NFI[[#This Row],[Jerry Can]],Table_NFI[Jerry Can])</f>
        <v>0</v>
      </c>
      <c r="AO656" s="579" t="str">
        <f>IFERROR(VLOOKUP(Table_NFI[[#This Row],[Camp Name]],CL,2,0),"")</f>
        <v>MMR001CMP126</v>
      </c>
      <c r="AP656" s="574">
        <f ca="1">IF(Table_NFI[[#This Row],[Pcode]]="","",IF(OFFSET(CampList[Opening Date],MATCH(Table_NFI[[#This Row],[Pcode]],CampList[CP_Pcode],0)-1,0,1,1)&gt;=NFI_Monitor_Date,1,0))</f>
        <v>0</v>
      </c>
      <c r="AQ656" s="579" t="str">
        <f>IFERROR(VLOOKUP(Table_NFI[[#This Row],[Camp Name]],CL,3,0),"")</f>
        <v>Open</v>
      </c>
      <c r="AR656" s="378" t="str">
        <f ca="1">IF(Table_NFI[[#This Row],[Pcode]]="","",OFFSET(CampList[Priority],MATCH(Table_NFI[[#This Row],[Pcode]],CampList[CP_Pcode],0)-1,0,1,1))</f>
        <v>P2</v>
      </c>
      <c r="AS656" s="377">
        <f>IFERROR(Table_NFI[[#This Row],[Kitchen Set]]/VLOOKUP(Table_NFI[[#This Row],[Camp Name]],CL,4,0),"")</f>
        <v>0.11225997045790251</v>
      </c>
      <c r="AT656" s="572" t="s">
        <v>1095</v>
      </c>
      <c r="AU656" s="575"/>
    </row>
    <row r="657" spans="1:47" x14ac:dyDescent="0.25">
      <c r="A657" s="381">
        <f t="shared" si="10"/>
        <v>50.833333333333336</v>
      </c>
      <c r="B657" s="571">
        <v>40997</v>
      </c>
      <c r="C657" s="572" t="s">
        <v>454</v>
      </c>
      <c r="D657" s="573" t="s">
        <v>454</v>
      </c>
      <c r="E657" s="572" t="s">
        <v>380</v>
      </c>
      <c r="F657" s="374" t="s">
        <v>185</v>
      </c>
      <c r="G657" s="374" t="s">
        <v>219</v>
      </c>
      <c r="H657" s="375"/>
      <c r="I657" s="375"/>
      <c r="J657" s="375"/>
      <c r="K657" s="375">
        <v>0</v>
      </c>
      <c r="L657" s="376">
        <v>50</v>
      </c>
      <c r="M657" s="376">
        <v>0</v>
      </c>
      <c r="N657" s="376">
        <v>0</v>
      </c>
      <c r="O657" s="376">
        <v>0</v>
      </c>
      <c r="P657" s="378"/>
      <c r="Q657" s="378"/>
      <c r="R657" s="378"/>
      <c r="S657" s="378"/>
      <c r="T657" s="378"/>
      <c r="U657" s="378"/>
      <c r="V657" s="533"/>
      <c r="W657" s="378"/>
      <c r="X657" s="378"/>
      <c r="Y657" s="378">
        <f>IF(NFI_Expiration=1,IF($A657&lt;VLOOKUP(H$5,NFI,5,0),1,0)*Table_NFI[[#This Row],[Hygiene Kit]],Table_NFI[Hygiene Kit])</f>
        <v>0</v>
      </c>
      <c r="Z657" s="378">
        <f>IF(NFI_Expiration=1,IF($A657&lt;VLOOKUP(I$5,NFI,5,0),1,0)*Table_NFI[[#This Row],[NFI Core Kit]],Table_NFI[NFI Core Kit])</f>
        <v>0</v>
      </c>
      <c r="AA657" s="378">
        <f>IF(NFI_Expiration=1,IF($A657&lt;VLOOKUP(J$5,NFI,5,0),1,0)*Table_NFI[[#This Row],[Sanitary Kit]],Table_NFI[Sanitary Kit])</f>
        <v>0</v>
      </c>
      <c r="AB657" s="378">
        <f>IF(NFI_Expiration=1,IF($A657&lt;VLOOKUP(K$5,NFI,5,0),1,0)*Table_NFI[[#This Row],[Mosquito net]],Table_NFI[Mosquito net])</f>
        <v>0</v>
      </c>
      <c r="AC657" s="378">
        <f>IF(NFI_Expiration=1,IF($A657&lt;VLOOKUP(L$5,NFI,5,0),1,0)*Table_NFI[[#This Row],[Tarpaulin]],Table_NFI[[#This Row],[Tarpaulin]])</f>
        <v>0</v>
      </c>
      <c r="AD657" s="378">
        <f>IF(NFI_Expiration=1,IF($A657&lt;VLOOKUP(M$5,NFI,5,0),1,0)*Table_NFI[[#This Row],[Blanket]],Table_NFI[[#This Row],[Blanket]])</f>
        <v>0</v>
      </c>
      <c r="AE657" s="378">
        <f>IF(NFI_Expiration=1,IF($A657&lt;VLOOKUP(N$5,NFI,5,0),1,0)*Table_NFI[[#This Row],[Kitchen Set]],Table_NFI[Kitchen Set])</f>
        <v>0</v>
      </c>
      <c r="AF657" s="378">
        <f>IF(NFI_Expiration=1,IF($A657&lt;VLOOKUP(O$5,NFI,5,0),1,0)*Table_NFI[[#This Row],[Clothes Kit]],Table_NFI[Clothes Kit])</f>
        <v>0</v>
      </c>
      <c r="AG657" s="378">
        <f>IF(NFI_Expiration=1,IF($A657&lt;VLOOKUP(P$5,NFI,5,0),1,0)*Table_NFI[[#This Row],[Plastic Bucket]],Table_NFI[Plastic Bucket])</f>
        <v>0</v>
      </c>
      <c r="AH657" s="378">
        <f>IF(NFI_Expiration=1,IF($A657&lt;VLOOKUP(Q$5,NFI,5,0),1,0)*Table_NFI[[#This Row],[Plastic Mat]],Table_NFI[Plastic Mat])*IF(Table_NFI[[#This Row],[Distribution Date]]&gt;"2014-04-01",1,2.5)</f>
        <v>0</v>
      </c>
      <c r="AI657" s="378">
        <f>IF(NFI_Expiration=1,IF($A657&lt;VLOOKUP(R$5,NFI,5,0),1,0)*Table_NFI[[#This Row],[Winter Clothes Adult]],Table_NFI[Winter Clothes Adult])</f>
        <v>0</v>
      </c>
      <c r="AJ657" s="378">
        <f>IF(NFI_Expiration=1,IF($A657&lt;VLOOKUP(S$5,NFI,5,0),1,0)*Table_NFI[[#This Row],[Winter Clothes Children]],Table_NFI[Winter Clothes Children])</f>
        <v>0</v>
      </c>
      <c r="AK657" s="378">
        <f>IF(NFI_Expiration=1,IF($A657&lt;VLOOKUP(T$5,NFI,5,0),1,0)*Table_NFI[[#This Row],[Winter Items Other]],Table_NFI[Winter Items Other])</f>
        <v>0</v>
      </c>
      <c r="AL657" s="378">
        <f>IF(NFI_Expiration=1,IF($A657&lt;VLOOKUP(M$5,NFI,5,0),1,0)*Table_NFI[[#This Row],[Winter Blanket]],Table_NFI[[#This Row],[Winter Blanket]])</f>
        <v>0</v>
      </c>
      <c r="AM657" s="378">
        <f>IF(Table_NFI[[#This Row],[Winter Clothes Adult]]+Table_NFI[[#This Row],[Winter Clothes Children]]+Table_NFI[[#This Row],[Winter Items Other]]+Table_NFI[[#This Row],[Winter Blanket]]&gt;0,1,0)</f>
        <v>0</v>
      </c>
      <c r="AN657" s="418">
        <f>IF(NFI_Expiration=1,IF($A657&lt;VLOOKUP(V$5,NFI,5,0),1,0)*Table_NFI[[#This Row],[Jerry Can]],Table_NFI[Jerry Can])</f>
        <v>0</v>
      </c>
      <c r="AO657" s="579" t="str">
        <f>IFERROR(VLOOKUP(Table_NFI[[#This Row],[Camp Name]],CL,2,0),"")</f>
        <v>MMR001CMP126</v>
      </c>
      <c r="AP657" s="574">
        <f ca="1">IF(Table_NFI[[#This Row],[Pcode]]="","",IF(OFFSET(CampList[Opening Date],MATCH(Table_NFI[[#This Row],[Pcode]],CampList[CP_Pcode],0)-1,0,1,1)&gt;=NFI_Monitor_Date,1,0))</f>
        <v>0</v>
      </c>
      <c r="AQ657" s="579" t="str">
        <f>IFERROR(VLOOKUP(Table_NFI[[#This Row],[Camp Name]],CL,3,0),"")</f>
        <v>Open</v>
      </c>
      <c r="AR657" s="378" t="str">
        <f ca="1">IF(Table_NFI[[#This Row],[Pcode]]="","",OFFSET(CampList[Priority],MATCH(Table_NFI[[#This Row],[Pcode]],CampList[CP_Pcode],0)-1,0,1,1))</f>
        <v>P2</v>
      </c>
      <c r="AS657" s="377">
        <f>IFERROR(Table_NFI[[#This Row],[Kitchen Set]]/VLOOKUP(Table_NFI[[#This Row],[Camp Name]],CL,4,0),"")</f>
        <v>0</v>
      </c>
      <c r="AT657" s="572" t="s">
        <v>1095</v>
      </c>
      <c r="AU657" s="575"/>
    </row>
    <row r="658" spans="1:47" x14ac:dyDescent="0.25">
      <c r="A658" s="615">
        <f t="shared" si="10"/>
        <v>3.1666666666666665</v>
      </c>
      <c r="B658" s="571">
        <v>42427</v>
      </c>
      <c r="C658" s="572" t="s">
        <v>454</v>
      </c>
      <c r="D658" s="572" t="s">
        <v>462</v>
      </c>
      <c r="E658" s="572" t="s">
        <v>380</v>
      </c>
      <c r="F658" s="572" t="s">
        <v>310</v>
      </c>
      <c r="G658" s="572" t="s">
        <v>1247</v>
      </c>
      <c r="H658" s="617"/>
      <c r="I658" s="617"/>
      <c r="J658" s="617"/>
      <c r="K658" s="617"/>
      <c r="L658" s="617"/>
      <c r="M658" s="617"/>
      <c r="N658" s="617"/>
      <c r="O658" s="617"/>
      <c r="P658" s="618"/>
      <c r="Q658" s="618"/>
      <c r="R658" s="618">
        <v>330</v>
      </c>
      <c r="S658" s="618">
        <v>330</v>
      </c>
      <c r="T658" s="618"/>
      <c r="U658" s="618">
        <v>346</v>
      </c>
      <c r="V658" s="619"/>
      <c r="W658" s="618"/>
      <c r="X658" s="618"/>
      <c r="Y658" s="618">
        <f>IF(NFI_Expiration=1,IF($A658&lt;VLOOKUP(H$5,NFI,5,0),1,0)*Table_NFI[[#This Row],[Hygiene Kit]],Table_NFI[Hygiene Kit])</f>
        <v>0</v>
      </c>
      <c r="Z658" s="618">
        <f>IF(NFI_Expiration=1,IF($A658&lt;VLOOKUP(I$5,NFI,5,0),1,0)*Table_NFI[[#This Row],[NFI Core Kit]],Table_NFI[NFI Core Kit])</f>
        <v>0</v>
      </c>
      <c r="AA658" s="618">
        <f>IF(NFI_Expiration=1,IF($A658&lt;VLOOKUP(J$5,NFI,5,0),1,0)*Table_NFI[[#This Row],[Sanitary Kit]],Table_NFI[Sanitary Kit])</f>
        <v>0</v>
      </c>
      <c r="AB658" s="618">
        <f>IF(NFI_Expiration=1,IF($A658&lt;VLOOKUP(K$5,NFI,5,0),1,0)*Table_NFI[[#This Row],[Mosquito net]],Table_NFI[Mosquito net])</f>
        <v>0</v>
      </c>
      <c r="AC658" s="618">
        <f>IF(NFI_Expiration=1,IF($A658&lt;VLOOKUP(L$5,NFI,5,0),1,0)*Table_NFI[[#This Row],[Tarpaulin]],Table_NFI[[#This Row],[Tarpaulin]])</f>
        <v>0</v>
      </c>
      <c r="AD658" s="618">
        <f>IF(NFI_Expiration=1,IF($A658&lt;VLOOKUP(M$5,NFI,5,0),1,0)*Table_NFI[[#This Row],[Blanket]],Table_NFI[[#This Row],[Blanket]])</f>
        <v>0</v>
      </c>
      <c r="AE658" s="618">
        <f>IF(NFI_Expiration=1,IF($A658&lt;VLOOKUP(N$5,NFI,5,0),1,0)*Table_NFI[[#This Row],[Kitchen Set]],Table_NFI[Kitchen Set])</f>
        <v>0</v>
      </c>
      <c r="AF658" s="618">
        <f>IF(NFI_Expiration=1,IF($A658&lt;VLOOKUP(O$5,NFI,5,0),1,0)*Table_NFI[[#This Row],[Clothes Kit]],Table_NFI[Clothes Kit])</f>
        <v>0</v>
      </c>
      <c r="AG658" s="618">
        <f>IF(NFI_Expiration=1,IF($A658&lt;VLOOKUP(P$5,NFI,5,0),1,0)*Table_NFI[[#This Row],[Plastic Bucket]],Table_NFI[Plastic Bucket])</f>
        <v>0</v>
      </c>
      <c r="AH658" s="618">
        <f>IF(NFI_Expiration=1,IF($A658&lt;VLOOKUP(Q$5,NFI,5,0),1,0)*Table_NFI[[#This Row],[Plastic Mat]],Table_NFI[Plastic Mat])*IF(Table_NFI[[#This Row],[Distribution Date]]&gt;"2014-04-01",1,2.5)</f>
        <v>0</v>
      </c>
      <c r="AI658" s="618">
        <f>IF(NFI_Expiration=1,IF($A658&lt;VLOOKUP(R$5,NFI,5,0),1,0)*Table_NFI[[#This Row],[Winter Clothes Adult]],Table_NFI[Winter Clothes Adult])</f>
        <v>330</v>
      </c>
      <c r="AJ658" s="618">
        <f>IF(NFI_Expiration=1,IF($A658&lt;VLOOKUP(S$5,NFI,5,0),1,0)*Table_NFI[[#This Row],[Winter Clothes Children]],Table_NFI[Winter Clothes Children])</f>
        <v>330</v>
      </c>
      <c r="AK658" s="618">
        <f>IF(NFI_Expiration=1,IF($A658&lt;VLOOKUP(T$5,NFI,5,0),1,0)*Table_NFI[[#This Row],[Winter Items Other]],Table_NFI[Winter Items Other])</f>
        <v>0</v>
      </c>
      <c r="AL658" s="618">
        <f>IF(NFI_Expiration=1,IF($A658&lt;VLOOKUP(M$5,NFI,5,0),1,0)*Table_NFI[[#This Row],[Winter Blanket]],Table_NFI[[#This Row],[Winter Blanket]])</f>
        <v>346</v>
      </c>
      <c r="AM658" s="618">
        <f>IF(Table_NFI[[#This Row],[Winter Clothes Adult]]+Table_NFI[[#This Row],[Winter Clothes Children]]+Table_NFI[[#This Row],[Winter Items Other]]+Table_NFI[[#This Row],[Winter Blanket]]&gt;0,1,0)</f>
        <v>1</v>
      </c>
      <c r="AN658" s="620">
        <f>IF(NFI_Expiration=1,IF($A658&lt;VLOOKUP(V$5,NFI,5,0),1,0)*Table_NFI[[#This Row],[Jerry Can]],Table_NFI[Jerry Can])</f>
        <v>0</v>
      </c>
      <c r="AO658" s="621" t="str">
        <f>IFERROR(VLOOKUP(Table_NFI[[#This Row],[Camp Name]],CL,2,0),"")</f>
        <v>MMR001CMP120</v>
      </c>
      <c r="AP658" s="622">
        <f ca="1">IF(Table_NFI[[#This Row],[Pcode]]="","",IF(OFFSET(CampList[Opening Date],MATCH(Table_NFI[[#This Row],[Pcode]],CampList[CP_Pcode],0)-1,0,1,1)&gt;=NFI_Monitor_Date,1,0))</f>
        <v>0</v>
      </c>
      <c r="AQ658" s="621" t="str">
        <f>IFERROR(VLOOKUP(Table_NFI[[#This Row],[Camp Name]],CL,3,0),"")</f>
        <v>Open</v>
      </c>
      <c r="AR658" s="618" t="str">
        <f ca="1">IF(Table_NFI[[#This Row],[Pcode]]="","",OFFSET(CampList[Priority],MATCH(Table_NFI[[#This Row],[Pcode]],CampList[CP_Pcode],0)-1,0,1,1))</f>
        <v>P1</v>
      </c>
      <c r="AS658" s="623">
        <f>IFERROR(Table_NFI[[#This Row],[Kitchen Set]]/VLOOKUP(Table_NFI[[#This Row],[Camp Name]],CL,4,0),"")</f>
        <v>0</v>
      </c>
      <c r="AT658" s="616"/>
      <c r="AU658" s="627" t="s">
        <v>1400</v>
      </c>
    </row>
    <row r="659" spans="1:47" x14ac:dyDescent="0.25">
      <c r="A659" s="381">
        <f t="shared" si="10"/>
        <v>17.666666666666668</v>
      </c>
      <c r="B659" s="571">
        <v>41992</v>
      </c>
      <c r="C659" s="572" t="s">
        <v>454</v>
      </c>
      <c r="D659" s="572"/>
      <c r="E659" s="572" t="s">
        <v>380</v>
      </c>
      <c r="F659" s="572" t="s">
        <v>310</v>
      </c>
      <c r="G659" s="572" t="s">
        <v>1247</v>
      </c>
      <c r="H659" s="375"/>
      <c r="I659" s="375"/>
      <c r="J659" s="375"/>
      <c r="K659" s="375"/>
      <c r="L659" s="376"/>
      <c r="M659" s="376"/>
      <c r="N659" s="376"/>
      <c r="O659" s="376"/>
      <c r="P659" s="378"/>
      <c r="Q659" s="378"/>
      <c r="R659" s="378">
        <v>384</v>
      </c>
      <c r="S659" s="378">
        <v>573</v>
      </c>
      <c r="T659" s="378"/>
      <c r="U659" s="378">
        <v>382</v>
      </c>
      <c r="V659" s="533"/>
      <c r="W659" s="378"/>
      <c r="X659" s="378"/>
      <c r="Y659" s="378">
        <f>IF(NFI_Expiration=1,IF($A659&lt;VLOOKUP(H$5,NFI,5,0),1,0)*Table_NFI[[#This Row],[Hygiene Kit]],Table_NFI[Hygiene Kit])</f>
        <v>0</v>
      </c>
      <c r="Z659" s="378">
        <f>IF(NFI_Expiration=1,IF($A659&lt;VLOOKUP(I$5,NFI,5,0),1,0)*Table_NFI[[#This Row],[NFI Core Kit]],Table_NFI[NFI Core Kit])</f>
        <v>0</v>
      </c>
      <c r="AA659" s="378">
        <f>IF(NFI_Expiration=1,IF($A659&lt;VLOOKUP(J$5,NFI,5,0),1,0)*Table_NFI[[#This Row],[Sanitary Kit]],Table_NFI[Sanitary Kit])</f>
        <v>0</v>
      </c>
      <c r="AB659" s="378">
        <f>IF(NFI_Expiration=1,IF($A659&lt;VLOOKUP(K$5,NFI,5,0),1,0)*Table_NFI[[#This Row],[Mosquito net]],Table_NFI[Mosquito net])</f>
        <v>0</v>
      </c>
      <c r="AC659" s="378">
        <f>IF(NFI_Expiration=1,IF($A659&lt;VLOOKUP(L$5,NFI,5,0),1,0)*Table_NFI[[#This Row],[Tarpaulin]],Table_NFI[[#This Row],[Tarpaulin]])</f>
        <v>0</v>
      </c>
      <c r="AD659" s="378">
        <f>IF(NFI_Expiration=1,IF($A659&lt;VLOOKUP(M$5,NFI,5,0),1,0)*Table_NFI[[#This Row],[Blanket]],Table_NFI[[#This Row],[Blanket]])</f>
        <v>0</v>
      </c>
      <c r="AE659" s="378">
        <f>IF(NFI_Expiration=1,IF($A659&lt;VLOOKUP(N$5,NFI,5,0),1,0)*Table_NFI[[#This Row],[Kitchen Set]],Table_NFI[Kitchen Set])</f>
        <v>0</v>
      </c>
      <c r="AF659" s="378">
        <f>IF(NFI_Expiration=1,IF($A659&lt;VLOOKUP(O$5,NFI,5,0),1,0)*Table_NFI[[#This Row],[Clothes Kit]],Table_NFI[Clothes Kit])</f>
        <v>0</v>
      </c>
      <c r="AG659" s="378">
        <f>IF(NFI_Expiration=1,IF($A659&lt;VLOOKUP(P$5,NFI,5,0),1,0)*Table_NFI[[#This Row],[Plastic Bucket]],Table_NFI[Plastic Bucket])</f>
        <v>0</v>
      </c>
      <c r="AH659" s="378">
        <f>IF(NFI_Expiration=1,IF($A659&lt;VLOOKUP(Q$5,NFI,5,0),1,0)*Table_NFI[[#This Row],[Plastic Mat]],Table_NFI[Plastic Mat])*IF(Table_NFI[[#This Row],[Distribution Date]]&gt;"2014-04-01",1,2.5)</f>
        <v>0</v>
      </c>
      <c r="AI659" s="378">
        <f>IF(NFI_Expiration=1,IF($A659&lt;VLOOKUP(R$5,NFI,5,0),1,0)*Table_NFI[[#This Row],[Winter Clothes Adult]],Table_NFI[Winter Clothes Adult])</f>
        <v>0</v>
      </c>
      <c r="AJ659" s="378">
        <f>IF(NFI_Expiration=1,IF($A659&lt;VLOOKUP(S$5,NFI,5,0),1,0)*Table_NFI[[#This Row],[Winter Clothes Children]],Table_NFI[Winter Clothes Children])</f>
        <v>0</v>
      </c>
      <c r="AK659" s="378">
        <f>IF(NFI_Expiration=1,IF($A659&lt;VLOOKUP(T$5,NFI,5,0),1,0)*Table_NFI[[#This Row],[Winter Items Other]],Table_NFI[Winter Items Other])</f>
        <v>0</v>
      </c>
      <c r="AL659" s="378">
        <f>IF(NFI_Expiration=1,IF($A659&lt;VLOOKUP(M$5,NFI,5,0),1,0)*Table_NFI[[#This Row],[Winter Blanket]],Table_NFI[[#This Row],[Winter Blanket]])</f>
        <v>0</v>
      </c>
      <c r="AM659" s="378">
        <f>IF(Table_NFI[[#This Row],[Winter Clothes Adult]]+Table_NFI[[#This Row],[Winter Clothes Children]]+Table_NFI[[#This Row],[Winter Items Other]]+Table_NFI[[#This Row],[Winter Blanket]]&gt;0,1,0)</f>
        <v>1</v>
      </c>
      <c r="AN659" s="418">
        <f>IF(NFI_Expiration=1,IF($A659&lt;VLOOKUP(V$5,NFI,5,0),1,0)*Table_NFI[[#This Row],[Jerry Can]],Table_NFI[Jerry Can])</f>
        <v>0</v>
      </c>
      <c r="AO659" s="579" t="str">
        <f>IFERROR(VLOOKUP(Table_NFI[[#This Row],[Camp Name]],CL,2,0),"")</f>
        <v>MMR001CMP120</v>
      </c>
      <c r="AP659" s="574">
        <f ca="1">IF(Table_NFI[[#This Row],[Pcode]]="","",IF(OFFSET(CampList[Opening Date],MATCH(Table_NFI[[#This Row],[Pcode]],CampList[CP_Pcode],0)-1,0,1,1)&gt;=NFI_Monitor_Date,1,0))</f>
        <v>0</v>
      </c>
      <c r="AQ659" s="579" t="str">
        <f>IFERROR(VLOOKUP(Table_NFI[[#This Row],[Camp Name]],CL,3,0),"")</f>
        <v>Open</v>
      </c>
      <c r="AR659" s="378" t="str">
        <f ca="1">IF(Table_NFI[[#This Row],[Pcode]]="","",OFFSET(CampList[Priority],MATCH(Table_NFI[[#This Row],[Pcode]],CampList[CP_Pcode],0)-1,0,1,1))</f>
        <v>P1</v>
      </c>
      <c r="AS659" s="377">
        <f>IFERROR(Table_NFI[[#This Row],[Kitchen Set]]/VLOOKUP(Table_NFI[[#This Row],[Camp Name]],CL,4,0),"")</f>
        <v>0</v>
      </c>
      <c r="AT659" s="572"/>
      <c r="AU659" s="575"/>
    </row>
    <row r="660" spans="1:47" x14ac:dyDescent="0.25">
      <c r="A660" s="381">
        <f t="shared" si="10"/>
        <v>21.3</v>
      </c>
      <c r="B660" s="571">
        <v>41883</v>
      </c>
      <c r="C660" s="577" t="s">
        <v>1039</v>
      </c>
      <c r="D660" s="577"/>
      <c r="E660" s="577" t="s">
        <v>380</v>
      </c>
      <c r="F660" s="577" t="s">
        <v>310</v>
      </c>
      <c r="G660" s="577" t="s">
        <v>1247</v>
      </c>
      <c r="H660" s="376"/>
      <c r="I660" s="376"/>
      <c r="J660" s="376"/>
      <c r="K660" s="376"/>
      <c r="L660" s="376"/>
      <c r="M660" s="376"/>
      <c r="N660" s="376"/>
      <c r="O660" s="376"/>
      <c r="P660" s="378"/>
      <c r="Q660" s="378"/>
      <c r="R660" s="378"/>
      <c r="S660" s="378">
        <v>291</v>
      </c>
      <c r="T660" s="378"/>
      <c r="U660" s="378"/>
      <c r="V660" s="533"/>
      <c r="W660" s="378"/>
      <c r="X660" s="378"/>
      <c r="Y660" s="378">
        <f>IF(NFI_Expiration=1,IF($A660&lt;VLOOKUP(H$5,NFI,5,0),1,0)*Table_NFI[[#This Row],[Hygiene Kit]],Table_NFI[Hygiene Kit])</f>
        <v>0</v>
      </c>
      <c r="Z660" s="378">
        <f>IF(NFI_Expiration=1,IF($A660&lt;VLOOKUP(I$5,NFI,5,0),1,0)*Table_NFI[[#This Row],[NFI Core Kit]],Table_NFI[NFI Core Kit])</f>
        <v>0</v>
      </c>
      <c r="AA660" s="378">
        <f>IF(NFI_Expiration=1,IF($A660&lt;VLOOKUP(J$5,NFI,5,0),1,0)*Table_NFI[[#This Row],[Sanitary Kit]],Table_NFI[Sanitary Kit])</f>
        <v>0</v>
      </c>
      <c r="AB660" s="378">
        <f>IF(NFI_Expiration=1,IF($A660&lt;VLOOKUP(K$5,NFI,5,0),1,0)*Table_NFI[[#This Row],[Mosquito net]],Table_NFI[Mosquito net])</f>
        <v>0</v>
      </c>
      <c r="AC660" s="378">
        <f>IF(NFI_Expiration=1,IF($A660&lt;VLOOKUP(L$5,NFI,5,0),1,0)*Table_NFI[[#This Row],[Tarpaulin]],Table_NFI[[#This Row],[Tarpaulin]])</f>
        <v>0</v>
      </c>
      <c r="AD660" s="378">
        <f>IF(NFI_Expiration=1,IF($A660&lt;VLOOKUP(M$5,NFI,5,0),1,0)*Table_NFI[[#This Row],[Blanket]],Table_NFI[[#This Row],[Blanket]])</f>
        <v>0</v>
      </c>
      <c r="AE660" s="378">
        <f>IF(NFI_Expiration=1,IF($A660&lt;VLOOKUP(N$5,NFI,5,0),1,0)*Table_NFI[[#This Row],[Kitchen Set]],Table_NFI[Kitchen Set])</f>
        <v>0</v>
      </c>
      <c r="AF660" s="378">
        <f>IF(NFI_Expiration=1,IF($A660&lt;VLOOKUP(O$5,NFI,5,0),1,0)*Table_NFI[[#This Row],[Clothes Kit]],Table_NFI[Clothes Kit])</f>
        <v>0</v>
      </c>
      <c r="AG660" s="378">
        <f>IF(NFI_Expiration=1,IF($A660&lt;VLOOKUP(P$5,NFI,5,0),1,0)*Table_NFI[[#This Row],[Plastic Bucket]],Table_NFI[Plastic Bucket])</f>
        <v>0</v>
      </c>
      <c r="AH660" s="378">
        <f>IF(NFI_Expiration=1,IF($A660&lt;VLOOKUP(Q$5,NFI,5,0),1,0)*Table_NFI[[#This Row],[Plastic Mat]],Table_NFI[Plastic Mat])*IF(Table_NFI[[#This Row],[Distribution Date]]&gt;"2014-04-01",1,2.5)</f>
        <v>0</v>
      </c>
      <c r="AI660" s="378">
        <f>IF(NFI_Expiration=1,IF($A660&lt;VLOOKUP(R$5,NFI,5,0),1,0)*Table_NFI[[#This Row],[Winter Clothes Adult]],Table_NFI[Winter Clothes Adult])</f>
        <v>0</v>
      </c>
      <c r="AJ660" s="378">
        <f>IF(NFI_Expiration=1,IF($A660&lt;VLOOKUP(S$5,NFI,5,0),1,0)*Table_NFI[[#This Row],[Winter Clothes Children]],Table_NFI[Winter Clothes Children])</f>
        <v>0</v>
      </c>
      <c r="AK660" s="378">
        <f>IF(NFI_Expiration=1,IF($A660&lt;VLOOKUP(T$5,NFI,5,0),1,0)*Table_NFI[[#This Row],[Winter Items Other]],Table_NFI[Winter Items Other])</f>
        <v>0</v>
      </c>
      <c r="AL660" s="378">
        <f>IF(NFI_Expiration=1,IF($A660&lt;VLOOKUP(M$5,NFI,5,0),1,0)*Table_NFI[[#This Row],[Winter Blanket]],Table_NFI[[#This Row],[Winter Blanket]])</f>
        <v>0</v>
      </c>
      <c r="AM660" s="378">
        <f>IF(Table_NFI[[#This Row],[Winter Clothes Adult]]+Table_NFI[[#This Row],[Winter Clothes Children]]+Table_NFI[[#This Row],[Winter Items Other]]+Table_NFI[[#This Row],[Winter Blanket]]&gt;0,1,0)</f>
        <v>1</v>
      </c>
      <c r="AN660" s="418">
        <f>IF(NFI_Expiration=1,IF($A660&lt;VLOOKUP(V$5,NFI,5,0),1,0)*Table_NFI[[#This Row],[Jerry Can]],Table_NFI[Jerry Can])</f>
        <v>0</v>
      </c>
      <c r="AO660" s="579" t="str">
        <f>IFERROR(VLOOKUP(Table_NFI[[#This Row],[Camp Name]],CL,2,0),"")</f>
        <v>MMR001CMP120</v>
      </c>
      <c r="AP660" s="574">
        <f ca="1">IF(Table_NFI[[#This Row],[Pcode]]="","",IF(OFFSET(CampList[Opening Date],MATCH(Table_NFI[[#This Row],[Pcode]],CampList[CP_Pcode],0)-1,0,1,1)&gt;=NFI_Monitor_Date,1,0))</f>
        <v>0</v>
      </c>
      <c r="AQ660" s="579" t="str">
        <f>IFERROR(VLOOKUP(Table_NFI[[#This Row],[Camp Name]],CL,3,0),"")</f>
        <v>Open</v>
      </c>
      <c r="AR660" s="378" t="str">
        <f ca="1">IF(Table_NFI[[#This Row],[Pcode]]="","",OFFSET(CampList[Priority],MATCH(Table_NFI[[#This Row],[Pcode]],CampList[CP_Pcode],0)-1,0,1,1))</f>
        <v>P1</v>
      </c>
      <c r="AS660" s="377">
        <f>IFERROR(Table_NFI[[#This Row],[Kitchen Set]]/VLOOKUP(Table_NFI[[#This Row],[Camp Name]],CL,4,0),"")</f>
        <v>0</v>
      </c>
      <c r="AT660" s="577"/>
      <c r="AU660" s="580"/>
    </row>
    <row r="661" spans="1:47" x14ac:dyDescent="0.25">
      <c r="A661" s="381">
        <f t="shared" si="10"/>
        <v>28.6</v>
      </c>
      <c r="B661" s="571">
        <v>41664</v>
      </c>
      <c r="C661" s="572" t="s">
        <v>1039</v>
      </c>
      <c r="D661" s="572" t="s">
        <v>462</v>
      </c>
      <c r="E661" s="572" t="s">
        <v>380</v>
      </c>
      <c r="F661" s="572" t="s">
        <v>310</v>
      </c>
      <c r="G661" s="572" t="s">
        <v>1247</v>
      </c>
      <c r="H661" s="375"/>
      <c r="I661" s="375"/>
      <c r="J661" s="375"/>
      <c r="K661" s="375"/>
      <c r="L661" s="376"/>
      <c r="M661" s="376">
        <v>191</v>
      </c>
      <c r="N661" s="376">
        <v>191</v>
      </c>
      <c r="O661" s="376">
        <v>191</v>
      </c>
      <c r="P661" s="378"/>
      <c r="Q661" s="378">
        <v>191</v>
      </c>
      <c r="R661" s="378"/>
      <c r="S661" s="378"/>
      <c r="T661" s="378"/>
      <c r="U661" s="378"/>
      <c r="V661" s="533"/>
      <c r="W661" s="378"/>
      <c r="X661" s="378"/>
      <c r="Y661" s="378">
        <f>IF(NFI_Expiration=1,IF($A661&lt;VLOOKUP(H$5,NFI,5,0),1,0)*Table_NFI[[#This Row],[Hygiene Kit]],Table_NFI[Hygiene Kit])</f>
        <v>0</v>
      </c>
      <c r="Z661" s="378">
        <f>IF(NFI_Expiration=1,IF($A661&lt;VLOOKUP(I$5,NFI,5,0),1,0)*Table_NFI[[#This Row],[NFI Core Kit]],Table_NFI[NFI Core Kit])</f>
        <v>0</v>
      </c>
      <c r="AA661" s="378">
        <f>IF(NFI_Expiration=1,IF($A661&lt;VLOOKUP(J$5,NFI,5,0),1,0)*Table_NFI[[#This Row],[Sanitary Kit]],Table_NFI[Sanitary Kit])</f>
        <v>0</v>
      </c>
      <c r="AB661" s="378">
        <f>IF(NFI_Expiration=1,IF($A661&lt;VLOOKUP(K$5,NFI,5,0),1,0)*Table_NFI[[#This Row],[Mosquito net]],Table_NFI[Mosquito net])</f>
        <v>0</v>
      </c>
      <c r="AC661" s="378">
        <f>IF(NFI_Expiration=1,IF($A661&lt;VLOOKUP(L$5,NFI,5,0),1,0)*Table_NFI[[#This Row],[Tarpaulin]],Table_NFI[[#This Row],[Tarpaulin]])</f>
        <v>0</v>
      </c>
      <c r="AD661" s="378">
        <f>IF(NFI_Expiration=1,IF($A661&lt;VLOOKUP(M$5,NFI,5,0),1,0)*Table_NFI[[#This Row],[Blanket]],Table_NFI[[#This Row],[Blanket]])</f>
        <v>0</v>
      </c>
      <c r="AE661" s="378">
        <f>IF(NFI_Expiration=1,IF($A661&lt;VLOOKUP(N$5,NFI,5,0),1,0)*Table_NFI[[#This Row],[Kitchen Set]],Table_NFI[Kitchen Set])</f>
        <v>0</v>
      </c>
      <c r="AF661" s="378">
        <f>IF(NFI_Expiration=1,IF($A661&lt;VLOOKUP(O$5,NFI,5,0),1,0)*Table_NFI[[#This Row],[Clothes Kit]],Table_NFI[Clothes Kit])</f>
        <v>0</v>
      </c>
      <c r="AG661" s="378">
        <f>IF(NFI_Expiration=1,IF($A661&lt;VLOOKUP(P$5,NFI,5,0),1,0)*Table_NFI[[#This Row],[Plastic Bucket]],Table_NFI[Plastic Bucket])</f>
        <v>0</v>
      </c>
      <c r="AH661" s="378">
        <f>IF(NFI_Expiration=1,IF($A661&lt;VLOOKUP(Q$5,NFI,5,0),1,0)*Table_NFI[[#This Row],[Plastic Mat]],Table_NFI[Plastic Mat])*IF(Table_NFI[[#This Row],[Distribution Date]]&gt;"2014-04-01",1,2.5)</f>
        <v>0</v>
      </c>
      <c r="AI661" s="378">
        <f>IF(NFI_Expiration=1,IF($A661&lt;VLOOKUP(R$5,NFI,5,0),1,0)*Table_NFI[[#This Row],[Winter Clothes Adult]],Table_NFI[Winter Clothes Adult])</f>
        <v>0</v>
      </c>
      <c r="AJ661" s="378">
        <f>IF(NFI_Expiration=1,IF($A661&lt;VLOOKUP(S$5,NFI,5,0),1,0)*Table_NFI[[#This Row],[Winter Clothes Children]],Table_NFI[Winter Clothes Children])</f>
        <v>0</v>
      </c>
      <c r="AK661" s="378">
        <f>IF(NFI_Expiration=1,IF($A661&lt;VLOOKUP(T$5,NFI,5,0),1,0)*Table_NFI[[#This Row],[Winter Items Other]],Table_NFI[Winter Items Other])</f>
        <v>0</v>
      </c>
      <c r="AL661" s="378">
        <f>IF(NFI_Expiration=1,IF($A661&lt;VLOOKUP(M$5,NFI,5,0),1,0)*Table_NFI[[#This Row],[Winter Blanket]],Table_NFI[[#This Row],[Winter Blanket]])</f>
        <v>0</v>
      </c>
      <c r="AM661" s="378">
        <f>IF(Table_NFI[[#This Row],[Winter Clothes Adult]]+Table_NFI[[#This Row],[Winter Clothes Children]]+Table_NFI[[#This Row],[Winter Items Other]]+Table_NFI[[#This Row],[Winter Blanket]]&gt;0,1,0)</f>
        <v>0</v>
      </c>
      <c r="AN661" s="418">
        <f>IF(NFI_Expiration=1,IF($A661&lt;VLOOKUP(V$5,NFI,5,0),1,0)*Table_NFI[[#This Row],[Jerry Can]],Table_NFI[Jerry Can])</f>
        <v>0</v>
      </c>
      <c r="AO661" s="579" t="str">
        <f>IFERROR(VLOOKUP(Table_NFI[[#This Row],[Camp Name]],CL,2,0),"")</f>
        <v>MMR001CMP120</v>
      </c>
      <c r="AP661" s="574">
        <f ca="1">IF(Table_NFI[[#This Row],[Pcode]]="","",IF(OFFSET(CampList[Opening Date],MATCH(Table_NFI[[#This Row],[Pcode]],CampList[CP_Pcode],0)-1,0,1,1)&gt;=NFI_Monitor_Date,1,0))</f>
        <v>0</v>
      </c>
      <c r="AQ661" s="579" t="str">
        <f>IFERROR(VLOOKUP(Table_NFI[[#This Row],[Camp Name]],CL,3,0),"")</f>
        <v>Open</v>
      </c>
      <c r="AR661" s="378" t="str">
        <f ca="1">IF(Table_NFI[[#This Row],[Pcode]]="","",OFFSET(CampList[Priority],MATCH(Table_NFI[[#This Row],[Pcode]],CampList[CP_Pcode],0)-1,0,1,1))</f>
        <v>P1</v>
      </c>
      <c r="AS661" s="377">
        <f>IFERROR(Table_NFI[[#This Row],[Kitchen Set]]/VLOOKUP(Table_NFI[[#This Row],[Camp Name]],CL,4,0),"")</f>
        <v>1.0730337078651686</v>
      </c>
      <c r="AT661" s="572" t="s">
        <v>1095</v>
      </c>
      <c r="AU661" s="575"/>
    </row>
    <row r="662" spans="1:47" x14ac:dyDescent="0.25">
      <c r="A662" s="381">
        <f t="shared" si="10"/>
        <v>30.466666666666665</v>
      </c>
      <c r="B662" s="571">
        <v>41608</v>
      </c>
      <c r="C662" s="572" t="s">
        <v>908</v>
      </c>
      <c r="D662" s="573" t="s">
        <v>462</v>
      </c>
      <c r="E662" s="572" t="s">
        <v>380</v>
      </c>
      <c r="F662" s="374" t="s">
        <v>310</v>
      </c>
      <c r="G662" s="374" t="s">
        <v>1247</v>
      </c>
      <c r="H662" s="375"/>
      <c r="I662" s="375"/>
      <c r="J662" s="375"/>
      <c r="K662" s="375"/>
      <c r="L662" s="376"/>
      <c r="M662" s="376"/>
      <c r="N662" s="376"/>
      <c r="O662" s="376"/>
      <c r="P662" s="378"/>
      <c r="Q662" s="378"/>
      <c r="R662" s="378"/>
      <c r="S662" s="378"/>
      <c r="T662" s="378"/>
      <c r="U662" s="378"/>
      <c r="V662" s="533"/>
      <c r="W662" s="378"/>
      <c r="X662" s="378"/>
      <c r="Y662" s="378">
        <f>IF(NFI_Expiration=1,IF($A662&lt;VLOOKUP(H$5,NFI,5,0),1,0)*Table_NFI[[#This Row],[Hygiene Kit]],Table_NFI[Hygiene Kit])</f>
        <v>0</v>
      </c>
      <c r="Z662" s="378">
        <f>IF(NFI_Expiration=1,IF($A662&lt;VLOOKUP(I$5,NFI,5,0),1,0)*Table_NFI[[#This Row],[NFI Core Kit]],Table_NFI[NFI Core Kit])</f>
        <v>0</v>
      </c>
      <c r="AA662" s="378">
        <f>IF(NFI_Expiration=1,IF($A662&lt;VLOOKUP(J$5,NFI,5,0),1,0)*Table_NFI[[#This Row],[Sanitary Kit]],Table_NFI[Sanitary Kit])</f>
        <v>0</v>
      </c>
      <c r="AB662" s="378">
        <f>IF(NFI_Expiration=1,IF($A662&lt;VLOOKUP(K$5,NFI,5,0),1,0)*Table_NFI[[#This Row],[Mosquito net]],Table_NFI[Mosquito net])</f>
        <v>0</v>
      </c>
      <c r="AC662" s="378">
        <f>IF(NFI_Expiration=1,IF($A662&lt;VLOOKUP(L$5,NFI,5,0),1,0)*Table_NFI[[#This Row],[Tarpaulin]],Table_NFI[[#This Row],[Tarpaulin]])</f>
        <v>0</v>
      </c>
      <c r="AD662" s="378">
        <f>IF(NFI_Expiration=1,IF($A662&lt;VLOOKUP(M$5,NFI,5,0),1,0)*Table_NFI[[#This Row],[Blanket]],Table_NFI[[#This Row],[Blanket]])</f>
        <v>0</v>
      </c>
      <c r="AE662" s="378">
        <f>IF(NFI_Expiration=1,IF($A662&lt;VLOOKUP(N$5,NFI,5,0),1,0)*Table_NFI[[#This Row],[Kitchen Set]],Table_NFI[Kitchen Set])</f>
        <v>0</v>
      </c>
      <c r="AF662" s="378">
        <f>IF(NFI_Expiration=1,IF($A662&lt;VLOOKUP(O$5,NFI,5,0),1,0)*Table_NFI[[#This Row],[Clothes Kit]],Table_NFI[Clothes Kit])</f>
        <v>0</v>
      </c>
      <c r="AG662" s="378">
        <f>IF(NFI_Expiration=1,IF($A662&lt;VLOOKUP(P$5,NFI,5,0),1,0)*Table_NFI[[#This Row],[Plastic Bucket]],Table_NFI[Plastic Bucket])</f>
        <v>0</v>
      </c>
      <c r="AH662" s="378">
        <f>IF(NFI_Expiration=1,IF($A662&lt;VLOOKUP(Q$5,NFI,5,0),1,0)*Table_NFI[[#This Row],[Plastic Mat]],Table_NFI[Plastic Mat])*IF(Table_NFI[[#This Row],[Distribution Date]]&gt;"2014-04-01",1,2.5)</f>
        <v>0</v>
      </c>
      <c r="AI662" s="378">
        <f>IF(NFI_Expiration=1,IF($A662&lt;VLOOKUP(R$5,NFI,5,0),1,0)*Table_NFI[[#This Row],[Winter Clothes Adult]],Table_NFI[Winter Clothes Adult])</f>
        <v>0</v>
      </c>
      <c r="AJ662" s="378">
        <f>IF(NFI_Expiration=1,IF($A662&lt;VLOOKUP(S$5,NFI,5,0),1,0)*Table_NFI[[#This Row],[Winter Clothes Children]],Table_NFI[Winter Clothes Children])</f>
        <v>0</v>
      </c>
      <c r="AK662" s="378">
        <f>IF(NFI_Expiration=1,IF($A662&lt;VLOOKUP(T$5,NFI,5,0),1,0)*Table_NFI[[#This Row],[Winter Items Other]],Table_NFI[Winter Items Other])</f>
        <v>0</v>
      </c>
      <c r="AL662" s="378">
        <f>IF(NFI_Expiration=1,IF($A662&lt;VLOOKUP(M$5,NFI,5,0),1,0)*Table_NFI[[#This Row],[Winter Blanket]],Table_NFI[[#This Row],[Winter Blanket]])</f>
        <v>0</v>
      </c>
      <c r="AM662" s="378">
        <f>IF(Table_NFI[[#This Row],[Winter Clothes Adult]]+Table_NFI[[#This Row],[Winter Clothes Children]]+Table_NFI[[#This Row],[Winter Items Other]]+Table_NFI[[#This Row],[Winter Blanket]]&gt;0,1,0)</f>
        <v>0</v>
      </c>
      <c r="AN662" s="418">
        <f>IF(NFI_Expiration=1,IF($A662&lt;VLOOKUP(V$5,NFI,5,0),1,0)*Table_NFI[[#This Row],[Jerry Can]],Table_NFI[Jerry Can])</f>
        <v>0</v>
      </c>
      <c r="AO662" s="579" t="str">
        <f>IFERROR(VLOOKUP(Table_NFI[[#This Row],[Camp Name]],CL,2,0),"")</f>
        <v>MMR001CMP120</v>
      </c>
      <c r="AP662" s="574">
        <f ca="1">IF(Table_NFI[[#This Row],[Pcode]]="","",IF(OFFSET(CampList[Opening Date],MATCH(Table_NFI[[#This Row],[Pcode]],CampList[CP_Pcode],0)-1,0,1,1)&gt;=NFI_Monitor_Date,1,0))</f>
        <v>0</v>
      </c>
      <c r="AQ662" s="579" t="str">
        <f>IFERROR(VLOOKUP(Table_NFI[[#This Row],[Camp Name]],CL,3,0),"")</f>
        <v>Open</v>
      </c>
      <c r="AR662" s="378" t="str">
        <f ca="1">IF(Table_NFI[[#This Row],[Pcode]]="","",OFFSET(CampList[Priority],MATCH(Table_NFI[[#This Row],[Pcode]],CampList[CP_Pcode],0)-1,0,1,1))</f>
        <v>P1</v>
      </c>
      <c r="AS662" s="377">
        <f>IFERROR(Table_NFI[[#This Row],[Kitchen Set]]/VLOOKUP(Table_NFI[[#This Row],[Camp Name]],CL,4,0),"")</f>
        <v>0</v>
      </c>
      <c r="AT662" s="572" t="s">
        <v>1095</v>
      </c>
      <c r="AU662" s="575"/>
    </row>
    <row r="663" spans="1:47" x14ac:dyDescent="0.25">
      <c r="A663" s="381">
        <f t="shared" si="10"/>
        <v>30.6</v>
      </c>
      <c r="B663" s="571">
        <v>41604</v>
      </c>
      <c r="C663" s="572" t="s">
        <v>908</v>
      </c>
      <c r="D663" s="572" t="s">
        <v>462</v>
      </c>
      <c r="E663" s="572" t="s">
        <v>380</v>
      </c>
      <c r="F663" s="572" t="s">
        <v>310</v>
      </c>
      <c r="G663" s="572" t="s">
        <v>1247</v>
      </c>
      <c r="H663" s="375"/>
      <c r="I663" s="375"/>
      <c r="J663" s="375"/>
      <c r="K663" s="375"/>
      <c r="L663" s="376"/>
      <c r="M663" s="376"/>
      <c r="N663" s="376"/>
      <c r="O663" s="376"/>
      <c r="P663" s="378"/>
      <c r="Q663" s="378"/>
      <c r="R663" s="378">
        <v>98</v>
      </c>
      <c r="S663" s="378">
        <v>196</v>
      </c>
      <c r="T663" s="378">
        <v>588</v>
      </c>
      <c r="U663" s="378">
        <v>294</v>
      </c>
      <c r="V663" s="533"/>
      <c r="W663" s="378"/>
      <c r="X663" s="378"/>
      <c r="Y663" s="378">
        <f>IF(NFI_Expiration=1,IF($A663&lt;VLOOKUP(H$5,NFI,5,0),1,0)*Table_NFI[[#This Row],[Hygiene Kit]],Table_NFI[Hygiene Kit])</f>
        <v>0</v>
      </c>
      <c r="Z663" s="378">
        <f>IF(NFI_Expiration=1,IF($A663&lt;VLOOKUP(I$5,NFI,5,0),1,0)*Table_NFI[[#This Row],[NFI Core Kit]],Table_NFI[NFI Core Kit])</f>
        <v>0</v>
      </c>
      <c r="AA663" s="378">
        <f>IF(NFI_Expiration=1,IF($A663&lt;VLOOKUP(J$5,NFI,5,0),1,0)*Table_NFI[[#This Row],[Sanitary Kit]],Table_NFI[Sanitary Kit])</f>
        <v>0</v>
      </c>
      <c r="AB663" s="378">
        <f>IF(NFI_Expiration=1,IF($A663&lt;VLOOKUP(K$5,NFI,5,0),1,0)*Table_NFI[[#This Row],[Mosquito net]],Table_NFI[Mosquito net])</f>
        <v>0</v>
      </c>
      <c r="AC663" s="378">
        <f>IF(NFI_Expiration=1,IF($A663&lt;VLOOKUP(L$5,NFI,5,0),1,0)*Table_NFI[[#This Row],[Tarpaulin]],Table_NFI[[#This Row],[Tarpaulin]])</f>
        <v>0</v>
      </c>
      <c r="AD663" s="378">
        <f>IF(NFI_Expiration=1,IF($A663&lt;VLOOKUP(M$5,NFI,5,0),1,0)*Table_NFI[[#This Row],[Blanket]],Table_NFI[[#This Row],[Blanket]])</f>
        <v>0</v>
      </c>
      <c r="AE663" s="378">
        <f>IF(NFI_Expiration=1,IF($A663&lt;VLOOKUP(N$5,NFI,5,0),1,0)*Table_NFI[[#This Row],[Kitchen Set]],Table_NFI[Kitchen Set])</f>
        <v>0</v>
      </c>
      <c r="AF663" s="378">
        <f>IF(NFI_Expiration=1,IF($A663&lt;VLOOKUP(O$5,NFI,5,0),1,0)*Table_NFI[[#This Row],[Clothes Kit]],Table_NFI[Clothes Kit])</f>
        <v>0</v>
      </c>
      <c r="AG663" s="378">
        <f>IF(NFI_Expiration=1,IF($A663&lt;VLOOKUP(P$5,NFI,5,0),1,0)*Table_NFI[[#This Row],[Plastic Bucket]],Table_NFI[Plastic Bucket])</f>
        <v>0</v>
      </c>
      <c r="AH663" s="378">
        <f>IF(NFI_Expiration=1,IF($A663&lt;VLOOKUP(Q$5,NFI,5,0),1,0)*Table_NFI[[#This Row],[Plastic Mat]],Table_NFI[Plastic Mat])*IF(Table_NFI[[#This Row],[Distribution Date]]&gt;"2014-04-01",1,2.5)</f>
        <v>0</v>
      </c>
      <c r="AI663" s="378">
        <f>IF(NFI_Expiration=1,IF($A663&lt;VLOOKUP(R$5,NFI,5,0),1,0)*Table_NFI[[#This Row],[Winter Clothes Adult]],Table_NFI[Winter Clothes Adult])</f>
        <v>0</v>
      </c>
      <c r="AJ663" s="378">
        <f>IF(NFI_Expiration=1,IF($A663&lt;VLOOKUP(S$5,NFI,5,0),1,0)*Table_NFI[[#This Row],[Winter Clothes Children]],Table_NFI[Winter Clothes Children])</f>
        <v>0</v>
      </c>
      <c r="AK663" s="378">
        <f>IF(NFI_Expiration=1,IF($A663&lt;VLOOKUP(T$5,NFI,5,0),1,0)*Table_NFI[[#This Row],[Winter Items Other]],Table_NFI[Winter Items Other])</f>
        <v>0</v>
      </c>
      <c r="AL663" s="378">
        <f>IF(NFI_Expiration=1,IF($A663&lt;VLOOKUP(M$5,NFI,5,0),1,0)*Table_NFI[[#This Row],[Winter Blanket]],Table_NFI[[#This Row],[Winter Blanket]])</f>
        <v>0</v>
      </c>
      <c r="AM663" s="378">
        <f>IF(Table_NFI[[#This Row],[Winter Clothes Adult]]+Table_NFI[[#This Row],[Winter Clothes Children]]+Table_NFI[[#This Row],[Winter Items Other]]+Table_NFI[[#This Row],[Winter Blanket]]&gt;0,1,0)</f>
        <v>1</v>
      </c>
      <c r="AN663" s="418">
        <f>IF(NFI_Expiration=1,IF($A663&lt;VLOOKUP(V$5,NFI,5,0),1,0)*Table_NFI[[#This Row],[Jerry Can]],Table_NFI[Jerry Can])</f>
        <v>0</v>
      </c>
      <c r="AO663" s="579" t="str">
        <f>IFERROR(VLOOKUP(Table_NFI[[#This Row],[Camp Name]],CL,2,0),"")</f>
        <v>MMR001CMP120</v>
      </c>
      <c r="AP663" s="574">
        <f ca="1">IF(Table_NFI[[#This Row],[Pcode]]="","",IF(OFFSET(CampList[Opening Date],MATCH(Table_NFI[[#This Row],[Pcode]],CampList[CP_Pcode],0)-1,0,1,1)&gt;=NFI_Monitor_Date,1,0))</f>
        <v>0</v>
      </c>
      <c r="AQ663" s="579" t="str">
        <f>IFERROR(VLOOKUP(Table_NFI[[#This Row],[Camp Name]],CL,3,0),"")</f>
        <v>Open</v>
      </c>
      <c r="AR663" s="378" t="str">
        <f ca="1">IF(Table_NFI[[#This Row],[Pcode]]="","",OFFSET(CampList[Priority],MATCH(Table_NFI[[#This Row],[Pcode]],CampList[CP_Pcode],0)-1,0,1,1))</f>
        <v>P1</v>
      </c>
      <c r="AS663" s="377">
        <f>IFERROR(Table_NFI[[#This Row],[Kitchen Set]]/VLOOKUP(Table_NFI[[#This Row],[Camp Name]],CL,4,0),"")</f>
        <v>0</v>
      </c>
      <c r="AT663" s="572"/>
      <c r="AU663" s="575"/>
    </row>
    <row r="664" spans="1:47" x14ac:dyDescent="0.25">
      <c r="A664" s="381">
        <f t="shared" si="10"/>
        <v>51.9</v>
      </c>
      <c r="B664" s="571">
        <v>40965</v>
      </c>
      <c r="C664" s="572" t="s">
        <v>454</v>
      </c>
      <c r="D664" s="572" t="s">
        <v>454</v>
      </c>
      <c r="E664" s="572" t="s">
        <v>380</v>
      </c>
      <c r="F664" s="572" t="s">
        <v>237</v>
      </c>
      <c r="G664" s="374" t="s">
        <v>919</v>
      </c>
      <c r="H664" s="375"/>
      <c r="I664" s="375"/>
      <c r="J664" s="375"/>
      <c r="K664" s="375">
        <v>25</v>
      </c>
      <c r="L664" s="376">
        <v>18</v>
      </c>
      <c r="M664" s="376">
        <v>25</v>
      </c>
      <c r="N664" s="376">
        <v>18</v>
      </c>
      <c r="O664" s="376">
        <v>18</v>
      </c>
      <c r="P664" s="378">
        <v>18</v>
      </c>
      <c r="Q664" s="378">
        <v>18</v>
      </c>
      <c r="R664" s="378"/>
      <c r="S664" s="378"/>
      <c r="T664" s="378"/>
      <c r="U664" s="378"/>
      <c r="V664" s="533"/>
      <c r="W664" s="378"/>
      <c r="X664" s="378"/>
      <c r="Y664" s="378">
        <f>IF(NFI_Expiration=1,IF($A664&lt;VLOOKUP(H$5,NFI,5,0),1,0)*Table_NFI[[#This Row],[Hygiene Kit]],Table_NFI[Hygiene Kit])</f>
        <v>0</v>
      </c>
      <c r="Z664" s="378">
        <f>IF(NFI_Expiration=1,IF($A664&lt;VLOOKUP(I$5,NFI,5,0),1,0)*Table_NFI[[#This Row],[NFI Core Kit]],Table_NFI[NFI Core Kit])</f>
        <v>0</v>
      </c>
      <c r="AA664" s="378">
        <f>IF(NFI_Expiration=1,IF($A664&lt;VLOOKUP(J$5,NFI,5,0),1,0)*Table_NFI[[#This Row],[Sanitary Kit]],Table_NFI[Sanitary Kit])</f>
        <v>0</v>
      </c>
      <c r="AB664" s="378">
        <f>IF(NFI_Expiration=1,IF($A664&lt;VLOOKUP(K$5,NFI,5,0),1,0)*Table_NFI[[#This Row],[Mosquito net]],Table_NFI[Mosquito net])</f>
        <v>0</v>
      </c>
      <c r="AC664" s="378">
        <f>IF(NFI_Expiration=1,IF($A664&lt;VLOOKUP(L$5,NFI,5,0),1,0)*Table_NFI[[#This Row],[Tarpaulin]],Table_NFI[[#This Row],[Tarpaulin]])</f>
        <v>0</v>
      </c>
      <c r="AD664" s="378">
        <f>IF(NFI_Expiration=1,IF($A664&lt;VLOOKUP(M$5,NFI,5,0),1,0)*Table_NFI[[#This Row],[Blanket]],Table_NFI[[#This Row],[Blanket]])</f>
        <v>0</v>
      </c>
      <c r="AE664" s="378">
        <f>IF(NFI_Expiration=1,IF($A664&lt;VLOOKUP(N$5,NFI,5,0),1,0)*Table_NFI[[#This Row],[Kitchen Set]],Table_NFI[Kitchen Set])</f>
        <v>0</v>
      </c>
      <c r="AF664" s="378">
        <f>IF(NFI_Expiration=1,IF($A664&lt;VLOOKUP(O$5,NFI,5,0),1,0)*Table_NFI[[#This Row],[Clothes Kit]],Table_NFI[Clothes Kit])</f>
        <v>0</v>
      </c>
      <c r="AG664" s="378">
        <f>IF(NFI_Expiration=1,IF($A664&lt;VLOOKUP(P$5,NFI,5,0),1,0)*Table_NFI[[#This Row],[Plastic Bucket]],Table_NFI[Plastic Bucket])</f>
        <v>0</v>
      </c>
      <c r="AH664" s="378">
        <f>IF(NFI_Expiration=1,IF($A664&lt;VLOOKUP(Q$5,NFI,5,0),1,0)*Table_NFI[[#This Row],[Plastic Mat]],Table_NFI[Plastic Mat])*IF(Table_NFI[[#This Row],[Distribution Date]]&gt;"2014-04-01",1,2.5)</f>
        <v>0</v>
      </c>
      <c r="AI664" s="378">
        <f>IF(NFI_Expiration=1,IF($A664&lt;VLOOKUP(R$5,NFI,5,0),1,0)*Table_NFI[[#This Row],[Winter Clothes Adult]],Table_NFI[Winter Clothes Adult])</f>
        <v>0</v>
      </c>
      <c r="AJ664" s="378">
        <f>IF(NFI_Expiration=1,IF($A664&lt;VLOOKUP(S$5,NFI,5,0),1,0)*Table_NFI[[#This Row],[Winter Clothes Children]],Table_NFI[Winter Clothes Children])</f>
        <v>0</v>
      </c>
      <c r="AK664" s="378">
        <f>IF(NFI_Expiration=1,IF($A664&lt;VLOOKUP(T$5,NFI,5,0),1,0)*Table_NFI[[#This Row],[Winter Items Other]],Table_NFI[Winter Items Other])</f>
        <v>0</v>
      </c>
      <c r="AL664" s="378">
        <f>IF(NFI_Expiration=1,IF($A664&lt;VLOOKUP(M$5,NFI,5,0),1,0)*Table_NFI[[#This Row],[Winter Blanket]],Table_NFI[[#This Row],[Winter Blanket]])</f>
        <v>0</v>
      </c>
      <c r="AM664" s="378">
        <f>IF(Table_NFI[[#This Row],[Winter Clothes Adult]]+Table_NFI[[#This Row],[Winter Clothes Children]]+Table_NFI[[#This Row],[Winter Items Other]]+Table_NFI[[#This Row],[Winter Blanket]]&gt;0,1,0)</f>
        <v>0</v>
      </c>
      <c r="AN664" s="418">
        <f>IF(NFI_Expiration=1,IF($A664&lt;VLOOKUP(V$5,NFI,5,0),1,0)*Table_NFI[[#This Row],[Jerry Can]],Table_NFI[Jerry Can])</f>
        <v>0</v>
      </c>
      <c r="AO664" s="579" t="str">
        <f>IFERROR(VLOOKUP(Table_NFI[[#This Row],[Camp Name]],CL,2,0),"")</f>
        <v/>
      </c>
      <c r="AP664" s="574" t="str">
        <f ca="1">IF(Table_NFI[[#This Row],[Pcode]]="","",IF(OFFSET(CampList[Opening Date],MATCH(Table_NFI[[#This Row],[Pcode]],CampList[CP_Pcode],0)-1,0,1,1)&gt;=NFI_Monitor_Date,1,0))</f>
        <v/>
      </c>
      <c r="AQ664" s="579" t="str">
        <f>IFERROR(VLOOKUP(Table_NFI[[#This Row],[Camp Name]],CL,3,0),"")</f>
        <v/>
      </c>
      <c r="AR664" s="378" t="str">
        <f ca="1">IF(Table_NFI[[#This Row],[Pcode]]="","",OFFSET(CampList[Priority],MATCH(Table_NFI[[#This Row],[Pcode]],CampList[CP_Pcode],0)-1,0,1,1))</f>
        <v/>
      </c>
      <c r="AS664" s="377" t="str">
        <f>IFERROR(Table_NFI[[#This Row],[Kitchen Set]]/VLOOKUP(Table_NFI[[#This Row],[Camp Name]],CL,4,0),"")</f>
        <v/>
      </c>
      <c r="AT664" s="572" t="s">
        <v>1095</v>
      </c>
      <c r="AU664" s="575" t="s">
        <v>1165</v>
      </c>
    </row>
    <row r="665" spans="1:47" x14ac:dyDescent="0.25">
      <c r="A665" s="381">
        <f t="shared" si="10"/>
        <v>51.9</v>
      </c>
      <c r="B665" s="571">
        <v>40965</v>
      </c>
      <c r="C665" s="572" t="s">
        <v>454</v>
      </c>
      <c r="D665" s="572" t="s">
        <v>905</v>
      </c>
      <c r="E665" s="572" t="s">
        <v>380</v>
      </c>
      <c r="F665" s="374" t="s">
        <v>237</v>
      </c>
      <c r="G665" s="374" t="s">
        <v>920</v>
      </c>
      <c r="H665" s="375"/>
      <c r="I665" s="375"/>
      <c r="J665" s="375"/>
      <c r="K665" s="375">
        <v>25</v>
      </c>
      <c r="L665" s="376">
        <v>0</v>
      </c>
      <c r="M665" s="376">
        <v>25</v>
      </c>
      <c r="N665" s="376">
        <v>0</v>
      </c>
      <c r="O665" s="376">
        <v>10</v>
      </c>
      <c r="P665" s="378">
        <v>10</v>
      </c>
      <c r="Q665" s="378">
        <v>10</v>
      </c>
      <c r="R665" s="378"/>
      <c r="S665" s="378"/>
      <c r="T665" s="378"/>
      <c r="U665" s="378"/>
      <c r="V665" s="533"/>
      <c r="W665" s="378"/>
      <c r="X665" s="378"/>
      <c r="Y665" s="378">
        <f>IF(NFI_Expiration=1,IF($A665&lt;VLOOKUP(H$5,NFI,5,0),1,0)*Table_NFI[[#This Row],[Hygiene Kit]],Table_NFI[Hygiene Kit])</f>
        <v>0</v>
      </c>
      <c r="Z665" s="378">
        <f>IF(NFI_Expiration=1,IF($A665&lt;VLOOKUP(I$5,NFI,5,0),1,0)*Table_NFI[[#This Row],[NFI Core Kit]],Table_NFI[NFI Core Kit])</f>
        <v>0</v>
      </c>
      <c r="AA665" s="378">
        <f>IF(NFI_Expiration=1,IF($A665&lt;VLOOKUP(J$5,NFI,5,0),1,0)*Table_NFI[[#This Row],[Sanitary Kit]],Table_NFI[Sanitary Kit])</f>
        <v>0</v>
      </c>
      <c r="AB665" s="378">
        <f>IF(NFI_Expiration=1,IF($A665&lt;VLOOKUP(K$5,NFI,5,0),1,0)*Table_NFI[[#This Row],[Mosquito net]],Table_NFI[Mosquito net])</f>
        <v>0</v>
      </c>
      <c r="AC665" s="378">
        <f>IF(NFI_Expiration=1,IF($A665&lt;VLOOKUP(L$5,NFI,5,0),1,0)*Table_NFI[[#This Row],[Tarpaulin]],Table_NFI[[#This Row],[Tarpaulin]])</f>
        <v>0</v>
      </c>
      <c r="AD665" s="378">
        <f>IF(NFI_Expiration=1,IF($A665&lt;VLOOKUP(M$5,NFI,5,0),1,0)*Table_NFI[[#This Row],[Blanket]],Table_NFI[[#This Row],[Blanket]])</f>
        <v>0</v>
      </c>
      <c r="AE665" s="378">
        <f>IF(NFI_Expiration=1,IF($A665&lt;VLOOKUP(N$5,NFI,5,0),1,0)*Table_NFI[[#This Row],[Kitchen Set]],Table_NFI[Kitchen Set])</f>
        <v>0</v>
      </c>
      <c r="AF665" s="378">
        <f>IF(NFI_Expiration=1,IF($A665&lt;VLOOKUP(O$5,NFI,5,0),1,0)*Table_NFI[[#This Row],[Clothes Kit]],Table_NFI[Clothes Kit])</f>
        <v>0</v>
      </c>
      <c r="AG665" s="378">
        <f>IF(NFI_Expiration=1,IF($A665&lt;VLOOKUP(P$5,NFI,5,0),1,0)*Table_NFI[[#This Row],[Plastic Bucket]],Table_NFI[Plastic Bucket])</f>
        <v>0</v>
      </c>
      <c r="AH665" s="378">
        <f>IF(NFI_Expiration=1,IF($A665&lt;VLOOKUP(Q$5,NFI,5,0),1,0)*Table_NFI[[#This Row],[Plastic Mat]],Table_NFI[Plastic Mat])*IF(Table_NFI[[#This Row],[Distribution Date]]&gt;"2014-04-01",1,2.5)</f>
        <v>0</v>
      </c>
      <c r="AI665" s="378">
        <f>IF(NFI_Expiration=1,IF($A665&lt;VLOOKUP(R$5,NFI,5,0),1,0)*Table_NFI[[#This Row],[Winter Clothes Adult]],Table_NFI[Winter Clothes Adult])</f>
        <v>0</v>
      </c>
      <c r="AJ665" s="378">
        <f>IF(NFI_Expiration=1,IF($A665&lt;VLOOKUP(S$5,NFI,5,0),1,0)*Table_NFI[[#This Row],[Winter Clothes Children]],Table_NFI[Winter Clothes Children])</f>
        <v>0</v>
      </c>
      <c r="AK665" s="378">
        <f>IF(NFI_Expiration=1,IF($A665&lt;VLOOKUP(T$5,NFI,5,0),1,0)*Table_NFI[[#This Row],[Winter Items Other]],Table_NFI[Winter Items Other])</f>
        <v>0</v>
      </c>
      <c r="AL665" s="378">
        <f>IF(NFI_Expiration=1,IF($A665&lt;VLOOKUP(M$5,NFI,5,0),1,0)*Table_NFI[[#This Row],[Winter Blanket]],Table_NFI[[#This Row],[Winter Blanket]])</f>
        <v>0</v>
      </c>
      <c r="AM665" s="378">
        <f>IF(Table_NFI[[#This Row],[Winter Clothes Adult]]+Table_NFI[[#This Row],[Winter Clothes Children]]+Table_NFI[[#This Row],[Winter Items Other]]+Table_NFI[[#This Row],[Winter Blanket]]&gt;0,1,0)</f>
        <v>0</v>
      </c>
      <c r="AN665" s="418">
        <f>IF(NFI_Expiration=1,IF($A665&lt;VLOOKUP(V$5,NFI,5,0),1,0)*Table_NFI[[#This Row],[Jerry Can]],Table_NFI[Jerry Can])</f>
        <v>0</v>
      </c>
      <c r="AO665" s="579" t="str">
        <f>IFERROR(VLOOKUP(Table_NFI[[#This Row],[Camp Name]],CL,2,0),"")</f>
        <v/>
      </c>
      <c r="AP665" s="574" t="str">
        <f ca="1">IF(Table_NFI[[#This Row],[Pcode]]="","",IF(OFFSET(CampList[Opening Date],MATCH(Table_NFI[[#This Row],[Pcode]],CampList[CP_Pcode],0)-1,0,1,1)&gt;=NFI_Monitor_Date,1,0))</f>
        <v/>
      </c>
      <c r="AQ665" s="579" t="str">
        <f>IFERROR(VLOOKUP(Table_NFI[[#This Row],[Camp Name]],CL,3,0),"")</f>
        <v/>
      </c>
      <c r="AR665" s="378" t="str">
        <f ca="1">IF(Table_NFI[[#This Row],[Pcode]]="","",OFFSET(CampList[Priority],MATCH(Table_NFI[[#This Row],[Pcode]],CampList[CP_Pcode],0)-1,0,1,1))</f>
        <v/>
      </c>
      <c r="AS665" s="377" t="str">
        <f>IFERROR(Table_NFI[[#This Row],[Kitchen Set]]/VLOOKUP(Table_NFI[[#This Row],[Camp Name]],CL,4,0),"")</f>
        <v/>
      </c>
      <c r="AT665" s="572" t="s">
        <v>1095</v>
      </c>
      <c r="AU665" s="575"/>
    </row>
    <row r="666" spans="1:47" x14ac:dyDescent="0.25">
      <c r="A666" s="381">
        <f t="shared" si="10"/>
        <v>16.833333333333332</v>
      </c>
      <c r="B666" s="571">
        <v>42017</v>
      </c>
      <c r="C666" s="572" t="s">
        <v>1097</v>
      </c>
      <c r="D666" s="572" t="s">
        <v>903</v>
      </c>
      <c r="E666" s="572" t="s">
        <v>380</v>
      </c>
      <c r="F666" s="572" t="s">
        <v>27</v>
      </c>
      <c r="G666" s="572" t="s">
        <v>866</v>
      </c>
      <c r="H666" s="375"/>
      <c r="I666" s="378"/>
      <c r="J666" s="378"/>
      <c r="K666" s="378"/>
      <c r="L666" s="376"/>
      <c r="M666" s="376"/>
      <c r="N666" s="376"/>
      <c r="O666" s="376"/>
      <c r="P666" s="378"/>
      <c r="Q666" s="378"/>
      <c r="R666" s="378">
        <v>187</v>
      </c>
      <c r="S666" s="378">
        <v>137</v>
      </c>
      <c r="T666" s="378"/>
      <c r="U666" s="378">
        <v>118</v>
      </c>
      <c r="V666" s="533"/>
      <c r="W666" s="378"/>
      <c r="X666" s="378"/>
      <c r="Y666" s="378">
        <f>IF(NFI_Expiration=1,IF($A666&lt;VLOOKUP(H$5,NFI,5,0),1,0)*Table_NFI[[#This Row],[Hygiene Kit]],Table_NFI[Hygiene Kit])</f>
        <v>0</v>
      </c>
      <c r="Z666" s="378">
        <f>IF(NFI_Expiration=1,IF($A666&lt;VLOOKUP(I$5,NFI,5,0),1,0)*Table_NFI[[#This Row],[NFI Core Kit]],Table_NFI[NFI Core Kit])</f>
        <v>0</v>
      </c>
      <c r="AA666" s="378">
        <f>IF(NFI_Expiration=1,IF($A666&lt;VLOOKUP(J$5,NFI,5,0),1,0)*Table_NFI[[#This Row],[Sanitary Kit]],Table_NFI[Sanitary Kit])</f>
        <v>0</v>
      </c>
      <c r="AB666" s="378">
        <f>IF(NFI_Expiration=1,IF($A666&lt;VLOOKUP(K$5,NFI,5,0),1,0)*Table_NFI[[#This Row],[Mosquito net]],Table_NFI[Mosquito net])</f>
        <v>0</v>
      </c>
      <c r="AC666" s="378">
        <f>IF(NFI_Expiration=1,IF($A666&lt;VLOOKUP(L$5,NFI,5,0),1,0)*Table_NFI[[#This Row],[Tarpaulin]],Table_NFI[[#This Row],[Tarpaulin]])</f>
        <v>0</v>
      </c>
      <c r="AD666" s="378">
        <f>IF(NFI_Expiration=1,IF($A666&lt;VLOOKUP(M$5,NFI,5,0),1,0)*Table_NFI[[#This Row],[Blanket]],Table_NFI[[#This Row],[Blanket]])</f>
        <v>0</v>
      </c>
      <c r="AE666" s="378">
        <f>IF(NFI_Expiration=1,IF($A666&lt;VLOOKUP(N$5,NFI,5,0),1,0)*Table_NFI[[#This Row],[Kitchen Set]],Table_NFI[Kitchen Set])</f>
        <v>0</v>
      </c>
      <c r="AF666" s="378">
        <f>IF(NFI_Expiration=1,IF($A666&lt;VLOOKUP(O$5,NFI,5,0),1,0)*Table_NFI[[#This Row],[Clothes Kit]],Table_NFI[Clothes Kit])</f>
        <v>0</v>
      </c>
      <c r="AG666" s="378">
        <f>IF(NFI_Expiration=1,IF($A666&lt;VLOOKUP(P$5,NFI,5,0),1,0)*Table_NFI[[#This Row],[Plastic Bucket]],Table_NFI[Plastic Bucket])</f>
        <v>0</v>
      </c>
      <c r="AH666" s="378">
        <f>IF(NFI_Expiration=1,IF($A666&lt;VLOOKUP(Q$5,NFI,5,0),1,0)*Table_NFI[[#This Row],[Plastic Mat]],Table_NFI[Plastic Mat])*IF(Table_NFI[[#This Row],[Distribution Date]]&gt;"2014-04-01",1,2.5)</f>
        <v>0</v>
      </c>
      <c r="AI666" s="378">
        <f>IF(NFI_Expiration=1,IF($A666&lt;VLOOKUP(R$5,NFI,5,0),1,0)*Table_NFI[[#This Row],[Winter Clothes Adult]],Table_NFI[Winter Clothes Adult])</f>
        <v>0</v>
      </c>
      <c r="AJ666" s="378">
        <f>IF(NFI_Expiration=1,IF($A666&lt;VLOOKUP(S$5,NFI,5,0),1,0)*Table_NFI[[#This Row],[Winter Clothes Children]],Table_NFI[Winter Clothes Children])</f>
        <v>0</v>
      </c>
      <c r="AK666" s="378">
        <f>IF(NFI_Expiration=1,IF($A666&lt;VLOOKUP(T$5,NFI,5,0),1,0)*Table_NFI[[#This Row],[Winter Items Other]],Table_NFI[Winter Items Other])</f>
        <v>0</v>
      </c>
      <c r="AL666" s="378">
        <f>IF(NFI_Expiration=1,IF($A666&lt;VLOOKUP(M$5,NFI,5,0),1,0)*Table_NFI[[#This Row],[Winter Blanket]],Table_NFI[[#This Row],[Winter Blanket]])</f>
        <v>0</v>
      </c>
      <c r="AM666" s="378">
        <f>IF(Table_NFI[[#This Row],[Winter Clothes Adult]]+Table_NFI[[#This Row],[Winter Clothes Children]]+Table_NFI[[#This Row],[Winter Items Other]]+Table_NFI[[#This Row],[Winter Blanket]]&gt;0,1,0)</f>
        <v>1</v>
      </c>
      <c r="AN666" s="418">
        <f>IF(NFI_Expiration=1,IF($A666&lt;VLOOKUP(V$5,NFI,5,0),1,0)*Table_NFI[[#This Row],[Jerry Can]],Table_NFI[Jerry Can])</f>
        <v>0</v>
      </c>
      <c r="AO666" s="579" t="str">
        <f>IFERROR(VLOOKUP(Table_NFI[[#This Row],[Camp Name]],CL,2,0),"")</f>
        <v>MMR001CMP210</v>
      </c>
      <c r="AP666" s="574">
        <f ca="1">IF(Table_NFI[[#This Row],[Pcode]]="","",IF(OFFSET(CampList[Opening Date],MATCH(Table_NFI[[#This Row],[Pcode]],CampList[CP_Pcode],0)-1,0,1,1)&gt;=NFI_Monitor_Date,1,0))</f>
        <v>0</v>
      </c>
      <c r="AQ666" s="579" t="str">
        <f>IFERROR(VLOOKUP(Table_NFI[[#This Row],[Camp Name]],CL,3,0),"")</f>
        <v>Open</v>
      </c>
      <c r="AR666" s="378" t="str">
        <f ca="1">IF(Table_NFI[[#This Row],[Pcode]]="","",OFFSET(CampList[Priority],MATCH(Table_NFI[[#This Row],[Pcode]],CampList[CP_Pcode],0)-1,0,1,1))</f>
        <v>P1</v>
      </c>
      <c r="AS666" s="377">
        <f>IFERROR(Table_NFI[[#This Row],[Kitchen Set]]/VLOOKUP(Table_NFI[[#This Row],[Camp Name]],CL,4,0),"")</f>
        <v>0</v>
      </c>
      <c r="AT666" s="572"/>
      <c r="AU666" s="601"/>
    </row>
    <row r="667" spans="1:47" x14ac:dyDescent="0.25">
      <c r="A667" s="381">
        <f t="shared" si="10"/>
        <v>20.3</v>
      </c>
      <c r="B667" s="571">
        <v>41913</v>
      </c>
      <c r="C667" s="572" t="s">
        <v>454</v>
      </c>
      <c r="D667" s="577" t="s">
        <v>508</v>
      </c>
      <c r="E667" s="577" t="s">
        <v>380</v>
      </c>
      <c r="F667" s="577" t="s">
        <v>27</v>
      </c>
      <c r="G667" s="577" t="s">
        <v>866</v>
      </c>
      <c r="H667" s="376"/>
      <c r="I667" s="376"/>
      <c r="J667" s="376"/>
      <c r="K667" s="376">
        <v>130</v>
      </c>
      <c r="L667" s="376"/>
      <c r="M667" s="376"/>
      <c r="N667" s="376"/>
      <c r="O667" s="376"/>
      <c r="P667" s="378"/>
      <c r="Q667" s="378"/>
      <c r="R667" s="378"/>
      <c r="S667" s="378"/>
      <c r="T667" s="378"/>
      <c r="U667" s="378">
        <v>130</v>
      </c>
      <c r="V667" s="533"/>
      <c r="W667" s="378"/>
      <c r="X667" s="378"/>
      <c r="Y667" s="378">
        <f>IF(NFI_Expiration=1,IF($A667&lt;VLOOKUP(H$5,NFI,5,0),1,0)*Table_NFI[[#This Row],[Hygiene Kit]],Table_NFI[Hygiene Kit])</f>
        <v>0</v>
      </c>
      <c r="Z667" s="378">
        <f>IF(NFI_Expiration=1,IF($A667&lt;VLOOKUP(I$5,NFI,5,0),1,0)*Table_NFI[[#This Row],[NFI Core Kit]],Table_NFI[NFI Core Kit])</f>
        <v>0</v>
      </c>
      <c r="AA667" s="378">
        <f>IF(NFI_Expiration=1,IF($A667&lt;VLOOKUP(J$5,NFI,5,0),1,0)*Table_NFI[[#This Row],[Sanitary Kit]],Table_NFI[Sanitary Kit])</f>
        <v>0</v>
      </c>
      <c r="AB667" s="378">
        <f>IF(NFI_Expiration=1,IF($A667&lt;VLOOKUP(K$5,NFI,5,0),1,0)*Table_NFI[[#This Row],[Mosquito net]],Table_NFI[Mosquito net])</f>
        <v>0</v>
      </c>
      <c r="AC667" s="378">
        <f>IF(NFI_Expiration=1,IF($A667&lt;VLOOKUP(L$5,NFI,5,0),1,0)*Table_NFI[[#This Row],[Tarpaulin]],Table_NFI[[#This Row],[Tarpaulin]])</f>
        <v>0</v>
      </c>
      <c r="AD667" s="378">
        <f>IF(NFI_Expiration=1,IF($A667&lt;VLOOKUP(M$5,NFI,5,0),1,0)*Table_NFI[[#This Row],[Blanket]],Table_NFI[[#This Row],[Blanket]])</f>
        <v>0</v>
      </c>
      <c r="AE667" s="378">
        <f>IF(NFI_Expiration=1,IF($A667&lt;VLOOKUP(N$5,NFI,5,0),1,0)*Table_NFI[[#This Row],[Kitchen Set]],Table_NFI[Kitchen Set])</f>
        <v>0</v>
      </c>
      <c r="AF667" s="378">
        <f>IF(NFI_Expiration=1,IF($A667&lt;VLOOKUP(O$5,NFI,5,0),1,0)*Table_NFI[[#This Row],[Clothes Kit]],Table_NFI[Clothes Kit])</f>
        <v>0</v>
      </c>
      <c r="AG667" s="378">
        <f>IF(NFI_Expiration=1,IF($A667&lt;VLOOKUP(P$5,NFI,5,0),1,0)*Table_NFI[[#This Row],[Plastic Bucket]],Table_NFI[Plastic Bucket])</f>
        <v>0</v>
      </c>
      <c r="AH667" s="378">
        <f>IF(NFI_Expiration=1,IF($A667&lt;VLOOKUP(Q$5,NFI,5,0),1,0)*Table_NFI[[#This Row],[Plastic Mat]],Table_NFI[Plastic Mat])*IF(Table_NFI[[#This Row],[Distribution Date]]&gt;"2014-04-01",1,2.5)</f>
        <v>0</v>
      </c>
      <c r="AI667" s="378">
        <f>IF(NFI_Expiration=1,IF($A667&lt;VLOOKUP(R$5,NFI,5,0),1,0)*Table_NFI[[#This Row],[Winter Clothes Adult]],Table_NFI[Winter Clothes Adult])</f>
        <v>0</v>
      </c>
      <c r="AJ667" s="378">
        <f>IF(NFI_Expiration=1,IF($A667&lt;VLOOKUP(S$5,NFI,5,0),1,0)*Table_NFI[[#This Row],[Winter Clothes Children]],Table_NFI[Winter Clothes Children])</f>
        <v>0</v>
      </c>
      <c r="AK667" s="378">
        <f>IF(NFI_Expiration=1,IF($A667&lt;VLOOKUP(T$5,NFI,5,0),1,0)*Table_NFI[[#This Row],[Winter Items Other]],Table_NFI[Winter Items Other])</f>
        <v>0</v>
      </c>
      <c r="AL667" s="378">
        <f>IF(NFI_Expiration=1,IF($A667&lt;VLOOKUP(M$5,NFI,5,0),1,0)*Table_NFI[[#This Row],[Winter Blanket]],Table_NFI[[#This Row],[Winter Blanket]])</f>
        <v>0</v>
      </c>
      <c r="AM667" s="378">
        <f>IF(Table_NFI[[#This Row],[Winter Clothes Adult]]+Table_NFI[[#This Row],[Winter Clothes Children]]+Table_NFI[[#This Row],[Winter Items Other]]+Table_NFI[[#This Row],[Winter Blanket]]&gt;0,1,0)</f>
        <v>1</v>
      </c>
      <c r="AN667" s="418">
        <f>IF(NFI_Expiration=1,IF($A667&lt;VLOOKUP(V$5,NFI,5,0),1,0)*Table_NFI[[#This Row],[Jerry Can]],Table_NFI[Jerry Can])</f>
        <v>0</v>
      </c>
      <c r="AO667" s="579" t="str">
        <f>IFERROR(VLOOKUP(Table_NFI[[#This Row],[Camp Name]],CL,2,0),"")</f>
        <v>MMR001CMP210</v>
      </c>
      <c r="AP667" s="574">
        <f ca="1">IF(Table_NFI[[#This Row],[Pcode]]="","",IF(OFFSET(CampList[Opening Date],MATCH(Table_NFI[[#This Row],[Pcode]],CampList[CP_Pcode],0)-1,0,1,1)&gt;=NFI_Monitor_Date,1,0))</f>
        <v>0</v>
      </c>
      <c r="AQ667" s="579" t="str">
        <f>IFERROR(VLOOKUP(Table_NFI[[#This Row],[Camp Name]],CL,3,0),"")</f>
        <v>Open</v>
      </c>
      <c r="AR667" s="378" t="str">
        <f ca="1">IF(Table_NFI[[#This Row],[Pcode]]="","",OFFSET(CampList[Priority],MATCH(Table_NFI[[#This Row],[Pcode]],CampList[CP_Pcode],0)-1,0,1,1))</f>
        <v>P1</v>
      </c>
      <c r="AS667" s="377">
        <f>IFERROR(Table_NFI[[#This Row],[Kitchen Set]]/VLOOKUP(Table_NFI[[#This Row],[Camp Name]],CL,4,0),"")</f>
        <v>0</v>
      </c>
      <c r="AT667" s="577"/>
      <c r="AU667" s="580"/>
    </row>
    <row r="668" spans="1:47" x14ac:dyDescent="0.25">
      <c r="A668" s="381">
        <f t="shared" si="10"/>
        <v>27.666666666666668</v>
      </c>
      <c r="B668" s="571">
        <v>41692</v>
      </c>
      <c r="C668" s="572" t="s">
        <v>1107</v>
      </c>
      <c r="D668" s="572" t="s">
        <v>903</v>
      </c>
      <c r="E668" s="572" t="s">
        <v>380</v>
      </c>
      <c r="F668" s="572" t="s">
        <v>27</v>
      </c>
      <c r="G668" s="572" t="s">
        <v>866</v>
      </c>
      <c r="H668" s="375"/>
      <c r="I668" s="375"/>
      <c r="J668" s="375"/>
      <c r="K668" s="375"/>
      <c r="L668" s="376"/>
      <c r="M668" s="376"/>
      <c r="N668" s="376"/>
      <c r="O668" s="376"/>
      <c r="P668" s="378"/>
      <c r="Q668" s="378"/>
      <c r="R668" s="378"/>
      <c r="S668" s="378"/>
      <c r="T668" s="378"/>
      <c r="U668" s="378">
        <v>126</v>
      </c>
      <c r="V668" s="533"/>
      <c r="W668" s="378"/>
      <c r="X668" s="378"/>
      <c r="Y668" s="378">
        <f>IF(NFI_Expiration=1,IF($A668&lt;VLOOKUP(H$5,NFI,5,0),1,0)*Table_NFI[[#This Row],[Hygiene Kit]],Table_NFI[Hygiene Kit])</f>
        <v>0</v>
      </c>
      <c r="Z668" s="378">
        <f>IF(NFI_Expiration=1,IF($A668&lt;VLOOKUP(I$5,NFI,5,0),1,0)*Table_NFI[[#This Row],[NFI Core Kit]],Table_NFI[NFI Core Kit])</f>
        <v>0</v>
      </c>
      <c r="AA668" s="378">
        <f>IF(NFI_Expiration=1,IF($A668&lt;VLOOKUP(J$5,NFI,5,0),1,0)*Table_NFI[[#This Row],[Sanitary Kit]],Table_NFI[Sanitary Kit])</f>
        <v>0</v>
      </c>
      <c r="AB668" s="378">
        <f>IF(NFI_Expiration=1,IF($A668&lt;VLOOKUP(K$5,NFI,5,0),1,0)*Table_NFI[[#This Row],[Mosquito net]],Table_NFI[Mosquito net])</f>
        <v>0</v>
      </c>
      <c r="AC668" s="378">
        <f>IF(NFI_Expiration=1,IF($A668&lt;VLOOKUP(L$5,NFI,5,0),1,0)*Table_NFI[[#This Row],[Tarpaulin]],Table_NFI[[#This Row],[Tarpaulin]])</f>
        <v>0</v>
      </c>
      <c r="AD668" s="378">
        <f>IF(NFI_Expiration=1,IF($A668&lt;VLOOKUP(M$5,NFI,5,0),1,0)*Table_NFI[[#This Row],[Blanket]],Table_NFI[[#This Row],[Blanket]])</f>
        <v>0</v>
      </c>
      <c r="AE668" s="378">
        <f>IF(NFI_Expiration=1,IF($A668&lt;VLOOKUP(N$5,NFI,5,0),1,0)*Table_NFI[[#This Row],[Kitchen Set]],Table_NFI[Kitchen Set])</f>
        <v>0</v>
      </c>
      <c r="AF668" s="378">
        <f>IF(NFI_Expiration=1,IF($A668&lt;VLOOKUP(O$5,NFI,5,0),1,0)*Table_NFI[[#This Row],[Clothes Kit]],Table_NFI[Clothes Kit])</f>
        <v>0</v>
      </c>
      <c r="AG668" s="378">
        <f>IF(NFI_Expiration=1,IF($A668&lt;VLOOKUP(P$5,NFI,5,0),1,0)*Table_NFI[[#This Row],[Plastic Bucket]],Table_NFI[Plastic Bucket])</f>
        <v>0</v>
      </c>
      <c r="AH668" s="378">
        <f>IF(NFI_Expiration=1,IF($A668&lt;VLOOKUP(Q$5,NFI,5,0),1,0)*Table_NFI[[#This Row],[Plastic Mat]],Table_NFI[Plastic Mat])*IF(Table_NFI[[#This Row],[Distribution Date]]&gt;"2014-04-01",1,2.5)</f>
        <v>0</v>
      </c>
      <c r="AI668" s="378">
        <f>IF(NFI_Expiration=1,IF($A668&lt;VLOOKUP(R$5,NFI,5,0),1,0)*Table_NFI[[#This Row],[Winter Clothes Adult]],Table_NFI[Winter Clothes Adult])</f>
        <v>0</v>
      </c>
      <c r="AJ668" s="378">
        <f>IF(NFI_Expiration=1,IF($A668&lt;VLOOKUP(S$5,NFI,5,0),1,0)*Table_NFI[[#This Row],[Winter Clothes Children]],Table_NFI[Winter Clothes Children])</f>
        <v>0</v>
      </c>
      <c r="AK668" s="378">
        <f>IF(NFI_Expiration=1,IF($A668&lt;VLOOKUP(T$5,NFI,5,0),1,0)*Table_NFI[[#This Row],[Winter Items Other]],Table_NFI[Winter Items Other])</f>
        <v>0</v>
      </c>
      <c r="AL668" s="378">
        <f>IF(NFI_Expiration=1,IF($A668&lt;VLOOKUP(M$5,NFI,5,0),1,0)*Table_NFI[[#This Row],[Winter Blanket]],Table_NFI[[#This Row],[Winter Blanket]])</f>
        <v>0</v>
      </c>
      <c r="AM668" s="378">
        <f>IF(Table_NFI[[#This Row],[Winter Clothes Adult]]+Table_NFI[[#This Row],[Winter Clothes Children]]+Table_NFI[[#This Row],[Winter Items Other]]+Table_NFI[[#This Row],[Winter Blanket]]&gt;0,1,0)</f>
        <v>1</v>
      </c>
      <c r="AN668" s="418">
        <f>IF(NFI_Expiration=1,IF($A668&lt;VLOOKUP(V$5,NFI,5,0),1,0)*Table_NFI[[#This Row],[Jerry Can]],Table_NFI[Jerry Can])</f>
        <v>0</v>
      </c>
      <c r="AO668" s="579" t="str">
        <f>IFERROR(VLOOKUP(Table_NFI[[#This Row],[Camp Name]],CL,2,0),"")</f>
        <v>MMR001CMP210</v>
      </c>
      <c r="AP668" s="574">
        <f ca="1">IF(Table_NFI[[#This Row],[Pcode]]="","",IF(OFFSET(CampList[Opening Date],MATCH(Table_NFI[[#This Row],[Pcode]],CampList[CP_Pcode],0)-1,0,1,1)&gt;=NFI_Monitor_Date,1,0))</f>
        <v>0</v>
      </c>
      <c r="AQ668" s="579" t="str">
        <f>IFERROR(VLOOKUP(Table_NFI[[#This Row],[Camp Name]],CL,3,0),"")</f>
        <v>Open</v>
      </c>
      <c r="AR668" s="378" t="str">
        <f ca="1">IF(Table_NFI[[#This Row],[Pcode]]="","",OFFSET(CampList[Priority],MATCH(Table_NFI[[#This Row],[Pcode]],CampList[CP_Pcode],0)-1,0,1,1))</f>
        <v>P1</v>
      </c>
      <c r="AS668" s="377">
        <f>IFERROR(Table_NFI[[#This Row],[Kitchen Set]]/VLOOKUP(Table_NFI[[#This Row],[Camp Name]],CL,4,0),"")</f>
        <v>0</v>
      </c>
      <c r="AT668" s="572"/>
      <c r="AU668" s="575"/>
    </row>
    <row r="669" spans="1:47" x14ac:dyDescent="0.25">
      <c r="A669" s="381">
        <f t="shared" si="10"/>
        <v>29.4</v>
      </c>
      <c r="B669" s="571">
        <v>41640</v>
      </c>
      <c r="C669" s="572" t="s">
        <v>1040</v>
      </c>
      <c r="D669" s="572" t="s">
        <v>903</v>
      </c>
      <c r="E669" s="572" t="s">
        <v>380</v>
      </c>
      <c r="F669" s="572" t="s">
        <v>27</v>
      </c>
      <c r="G669" s="572" t="s">
        <v>866</v>
      </c>
      <c r="H669" s="375"/>
      <c r="I669" s="375"/>
      <c r="J669" s="375"/>
      <c r="K669" s="375"/>
      <c r="L669" s="376"/>
      <c r="M669" s="376"/>
      <c r="N669" s="376">
        <v>92</v>
      </c>
      <c r="O669" s="376"/>
      <c r="P669" s="378"/>
      <c r="Q669" s="378"/>
      <c r="R669" s="378"/>
      <c r="S669" s="378"/>
      <c r="T669" s="378"/>
      <c r="U669" s="378"/>
      <c r="V669" s="533"/>
      <c r="W669" s="378"/>
      <c r="X669" s="378"/>
      <c r="Y669" s="378">
        <f>IF(NFI_Expiration=1,IF($A669&lt;VLOOKUP(H$5,NFI,5,0),1,0)*Table_NFI[[#This Row],[Hygiene Kit]],Table_NFI[Hygiene Kit])</f>
        <v>0</v>
      </c>
      <c r="Z669" s="378">
        <f>IF(NFI_Expiration=1,IF($A669&lt;VLOOKUP(I$5,NFI,5,0),1,0)*Table_NFI[[#This Row],[NFI Core Kit]],Table_NFI[NFI Core Kit])</f>
        <v>0</v>
      </c>
      <c r="AA669" s="378">
        <f>IF(NFI_Expiration=1,IF($A669&lt;VLOOKUP(J$5,NFI,5,0),1,0)*Table_NFI[[#This Row],[Sanitary Kit]],Table_NFI[Sanitary Kit])</f>
        <v>0</v>
      </c>
      <c r="AB669" s="378">
        <f>IF(NFI_Expiration=1,IF($A669&lt;VLOOKUP(K$5,NFI,5,0),1,0)*Table_NFI[[#This Row],[Mosquito net]],Table_NFI[Mosquito net])</f>
        <v>0</v>
      </c>
      <c r="AC669" s="378">
        <f>IF(NFI_Expiration=1,IF($A669&lt;VLOOKUP(L$5,NFI,5,0),1,0)*Table_NFI[[#This Row],[Tarpaulin]],Table_NFI[[#This Row],[Tarpaulin]])</f>
        <v>0</v>
      </c>
      <c r="AD669" s="378">
        <f>IF(NFI_Expiration=1,IF($A669&lt;VLOOKUP(M$5,NFI,5,0),1,0)*Table_NFI[[#This Row],[Blanket]],Table_NFI[[#This Row],[Blanket]])</f>
        <v>0</v>
      </c>
      <c r="AE669" s="378">
        <f>IF(NFI_Expiration=1,IF($A669&lt;VLOOKUP(N$5,NFI,5,0),1,0)*Table_NFI[[#This Row],[Kitchen Set]],Table_NFI[Kitchen Set])</f>
        <v>0</v>
      </c>
      <c r="AF669" s="378">
        <f>IF(NFI_Expiration=1,IF($A669&lt;VLOOKUP(O$5,NFI,5,0),1,0)*Table_NFI[[#This Row],[Clothes Kit]],Table_NFI[Clothes Kit])</f>
        <v>0</v>
      </c>
      <c r="AG669" s="378">
        <f>IF(NFI_Expiration=1,IF($A669&lt;VLOOKUP(P$5,NFI,5,0),1,0)*Table_NFI[[#This Row],[Plastic Bucket]],Table_NFI[Plastic Bucket])</f>
        <v>0</v>
      </c>
      <c r="AH669" s="378">
        <f>IF(NFI_Expiration=1,IF($A669&lt;VLOOKUP(Q$5,NFI,5,0),1,0)*Table_NFI[[#This Row],[Plastic Mat]],Table_NFI[Plastic Mat])*IF(Table_NFI[[#This Row],[Distribution Date]]&gt;"2014-04-01",1,2.5)</f>
        <v>0</v>
      </c>
      <c r="AI669" s="378">
        <f>IF(NFI_Expiration=1,IF($A669&lt;VLOOKUP(R$5,NFI,5,0),1,0)*Table_NFI[[#This Row],[Winter Clothes Adult]],Table_NFI[Winter Clothes Adult])</f>
        <v>0</v>
      </c>
      <c r="AJ669" s="378">
        <f>IF(NFI_Expiration=1,IF($A669&lt;VLOOKUP(S$5,NFI,5,0),1,0)*Table_NFI[[#This Row],[Winter Clothes Children]],Table_NFI[Winter Clothes Children])</f>
        <v>0</v>
      </c>
      <c r="AK669" s="378">
        <f>IF(NFI_Expiration=1,IF($A669&lt;VLOOKUP(T$5,NFI,5,0),1,0)*Table_NFI[[#This Row],[Winter Items Other]],Table_NFI[Winter Items Other])</f>
        <v>0</v>
      </c>
      <c r="AL669" s="378">
        <f>IF(NFI_Expiration=1,IF($A669&lt;VLOOKUP(M$5,NFI,5,0),1,0)*Table_NFI[[#This Row],[Winter Blanket]],Table_NFI[[#This Row],[Winter Blanket]])</f>
        <v>0</v>
      </c>
      <c r="AM669" s="378">
        <f>IF(Table_NFI[[#This Row],[Winter Clothes Adult]]+Table_NFI[[#This Row],[Winter Clothes Children]]+Table_NFI[[#This Row],[Winter Items Other]]+Table_NFI[[#This Row],[Winter Blanket]]&gt;0,1,0)</f>
        <v>0</v>
      </c>
      <c r="AN669" s="418">
        <f>IF(NFI_Expiration=1,IF($A669&lt;VLOOKUP(V$5,NFI,5,0),1,0)*Table_NFI[[#This Row],[Jerry Can]],Table_NFI[Jerry Can])</f>
        <v>0</v>
      </c>
      <c r="AO669" s="579" t="str">
        <f>IFERROR(VLOOKUP(Table_NFI[[#This Row],[Camp Name]],CL,2,0),"")</f>
        <v>MMR001CMP210</v>
      </c>
      <c r="AP669" s="574">
        <f ca="1">IF(Table_NFI[[#This Row],[Pcode]]="","",IF(OFFSET(CampList[Opening Date],MATCH(Table_NFI[[#This Row],[Pcode]],CampList[CP_Pcode],0)-1,0,1,1)&gt;=NFI_Monitor_Date,1,0))</f>
        <v>0</v>
      </c>
      <c r="AQ669" s="579" t="str">
        <f>IFERROR(VLOOKUP(Table_NFI[[#This Row],[Camp Name]],CL,3,0),"")</f>
        <v>Open</v>
      </c>
      <c r="AR669" s="378" t="str">
        <f ca="1">IF(Table_NFI[[#This Row],[Pcode]]="","",OFFSET(CampList[Priority],MATCH(Table_NFI[[#This Row],[Pcode]],CampList[CP_Pcode],0)-1,0,1,1))</f>
        <v>P1</v>
      </c>
      <c r="AS669" s="377">
        <f>IFERROR(Table_NFI[[#This Row],[Kitchen Set]]/VLOOKUP(Table_NFI[[#This Row],[Camp Name]],CL,4,0),"")</f>
        <v>1.5333333333333334</v>
      </c>
      <c r="AT669" s="572" t="s">
        <v>1095</v>
      </c>
      <c r="AU669" s="575"/>
    </row>
    <row r="670" spans="1:47" s="576" customFormat="1" x14ac:dyDescent="0.25">
      <c r="A670" s="381">
        <f t="shared" si="10"/>
        <v>26.166666666666668</v>
      </c>
      <c r="B670" s="571">
        <v>41737</v>
      </c>
      <c r="C670" s="572" t="s">
        <v>1107</v>
      </c>
      <c r="D670" s="572" t="s">
        <v>903</v>
      </c>
      <c r="E670" s="572" t="s">
        <v>380</v>
      </c>
      <c r="F670" s="572" t="s">
        <v>5</v>
      </c>
      <c r="G670" s="572" t="s">
        <v>366</v>
      </c>
      <c r="H670" s="375"/>
      <c r="I670" s="375"/>
      <c r="J670" s="375"/>
      <c r="K670" s="375"/>
      <c r="L670" s="376"/>
      <c r="M670" s="376"/>
      <c r="N670" s="376"/>
      <c r="O670" s="376"/>
      <c r="P670" s="378"/>
      <c r="Q670" s="378"/>
      <c r="R670" s="378"/>
      <c r="S670" s="378"/>
      <c r="T670" s="378"/>
      <c r="U670" s="378">
        <v>372</v>
      </c>
      <c r="V670" s="533"/>
      <c r="W670" s="378"/>
      <c r="X670" s="378"/>
      <c r="Y670" s="378">
        <f>IF(NFI_Expiration=1,IF($A670&lt;VLOOKUP(H$5,NFI,5,0),1,0)*Table_NFI[[#This Row],[Hygiene Kit]],Table_NFI[Hygiene Kit])</f>
        <v>0</v>
      </c>
      <c r="Z670" s="378">
        <f>IF(NFI_Expiration=1,IF($A670&lt;VLOOKUP(I$5,NFI,5,0),1,0)*Table_NFI[[#This Row],[NFI Core Kit]],Table_NFI[NFI Core Kit])</f>
        <v>0</v>
      </c>
      <c r="AA670" s="378">
        <f>IF(NFI_Expiration=1,IF($A670&lt;VLOOKUP(J$5,NFI,5,0),1,0)*Table_NFI[[#This Row],[Sanitary Kit]],Table_NFI[Sanitary Kit])</f>
        <v>0</v>
      </c>
      <c r="AB670" s="378">
        <f>IF(NFI_Expiration=1,IF($A670&lt;VLOOKUP(K$5,NFI,5,0),1,0)*Table_NFI[[#This Row],[Mosquito net]],Table_NFI[Mosquito net])</f>
        <v>0</v>
      </c>
      <c r="AC670" s="378">
        <f>IF(NFI_Expiration=1,IF($A670&lt;VLOOKUP(L$5,NFI,5,0),1,0)*Table_NFI[[#This Row],[Tarpaulin]],Table_NFI[[#This Row],[Tarpaulin]])</f>
        <v>0</v>
      </c>
      <c r="AD670" s="378">
        <f>IF(NFI_Expiration=1,IF($A670&lt;VLOOKUP(M$5,NFI,5,0),1,0)*Table_NFI[[#This Row],[Blanket]],Table_NFI[[#This Row],[Blanket]])</f>
        <v>0</v>
      </c>
      <c r="AE670" s="378">
        <f>IF(NFI_Expiration=1,IF($A670&lt;VLOOKUP(N$5,NFI,5,0),1,0)*Table_NFI[[#This Row],[Kitchen Set]],Table_NFI[Kitchen Set])</f>
        <v>0</v>
      </c>
      <c r="AF670" s="378">
        <f>IF(NFI_Expiration=1,IF($A670&lt;VLOOKUP(O$5,NFI,5,0),1,0)*Table_NFI[[#This Row],[Clothes Kit]],Table_NFI[Clothes Kit])</f>
        <v>0</v>
      </c>
      <c r="AG670" s="378">
        <f>IF(NFI_Expiration=1,IF($A670&lt;VLOOKUP(P$5,NFI,5,0),1,0)*Table_NFI[[#This Row],[Plastic Bucket]],Table_NFI[Plastic Bucket])</f>
        <v>0</v>
      </c>
      <c r="AH670" s="378">
        <f>IF(NFI_Expiration=1,IF($A670&lt;VLOOKUP(Q$5,NFI,5,0),1,0)*Table_NFI[[#This Row],[Plastic Mat]],Table_NFI[Plastic Mat])*IF(Table_NFI[[#This Row],[Distribution Date]]&gt;"2014-04-01",1,2.5)</f>
        <v>0</v>
      </c>
      <c r="AI670" s="378">
        <f>IF(NFI_Expiration=1,IF($A670&lt;VLOOKUP(R$5,NFI,5,0),1,0)*Table_NFI[[#This Row],[Winter Clothes Adult]],Table_NFI[Winter Clothes Adult])</f>
        <v>0</v>
      </c>
      <c r="AJ670" s="378">
        <f>IF(NFI_Expiration=1,IF($A670&lt;VLOOKUP(S$5,NFI,5,0),1,0)*Table_NFI[[#This Row],[Winter Clothes Children]],Table_NFI[Winter Clothes Children])</f>
        <v>0</v>
      </c>
      <c r="AK670" s="378">
        <f>IF(NFI_Expiration=1,IF($A670&lt;VLOOKUP(T$5,NFI,5,0),1,0)*Table_NFI[[#This Row],[Winter Items Other]],Table_NFI[Winter Items Other])</f>
        <v>0</v>
      </c>
      <c r="AL670" s="378">
        <f>IF(NFI_Expiration=1,IF($A670&lt;VLOOKUP(M$5,NFI,5,0),1,0)*Table_NFI[[#This Row],[Winter Blanket]],Table_NFI[[#This Row],[Winter Blanket]])</f>
        <v>0</v>
      </c>
      <c r="AM670" s="378">
        <f>IF(Table_NFI[[#This Row],[Winter Clothes Adult]]+Table_NFI[[#This Row],[Winter Clothes Children]]+Table_NFI[[#This Row],[Winter Items Other]]+Table_NFI[[#This Row],[Winter Blanket]]&gt;0,1,0)</f>
        <v>1</v>
      </c>
      <c r="AN670" s="418">
        <f>IF(NFI_Expiration=1,IF($A670&lt;VLOOKUP(V$5,NFI,5,0),1,0)*Table_NFI[[#This Row],[Jerry Can]],Table_NFI[Jerry Can])</f>
        <v>0</v>
      </c>
      <c r="AO670" s="579" t="str">
        <f>IFERROR(VLOOKUP(Table_NFI[[#This Row],[Camp Name]],CL,2,0),"")</f>
        <v>MMR001CMP193</v>
      </c>
      <c r="AP670" s="574">
        <f ca="1">IF(Table_NFI[[#This Row],[Pcode]]="","",IF(OFFSET(CampList[Opening Date],MATCH(Table_NFI[[#This Row],[Pcode]],CampList[CP_Pcode],0)-1,0,1,1)&gt;=NFI_Monitor_Date,1,0))</f>
        <v>0</v>
      </c>
      <c r="AQ670" s="579" t="str">
        <f>IFERROR(VLOOKUP(Table_NFI[[#This Row],[Camp Name]],CL,3,0),"")</f>
        <v>Open</v>
      </c>
      <c r="AR670" s="378" t="str">
        <f ca="1">IF(Table_NFI[[#This Row],[Pcode]]="","",OFFSET(CampList[Priority],MATCH(Table_NFI[[#This Row],[Pcode]],CampList[CP_Pcode],0)-1,0,1,1))</f>
        <v>P4</v>
      </c>
      <c r="AS670" s="377">
        <f>IFERROR(Table_NFI[[#This Row],[Kitchen Set]]/VLOOKUP(Table_NFI[[#This Row],[Camp Name]],CL,4,0),"")</f>
        <v>0</v>
      </c>
      <c r="AT670" s="572"/>
      <c r="AU670" s="575"/>
    </row>
    <row r="671" spans="1:47" s="576" customFormat="1" x14ac:dyDescent="0.25">
      <c r="A671" s="381">
        <f t="shared" si="10"/>
        <v>29.066666666666666</v>
      </c>
      <c r="B671" s="571">
        <v>41650</v>
      </c>
      <c r="C671" s="577" t="s">
        <v>454</v>
      </c>
      <c r="D671" s="577"/>
      <c r="E671" s="577" t="s">
        <v>380</v>
      </c>
      <c r="F671" s="577" t="s">
        <v>5</v>
      </c>
      <c r="G671" s="577" t="s">
        <v>366</v>
      </c>
      <c r="H671" s="376"/>
      <c r="I671" s="376"/>
      <c r="J671" s="376"/>
      <c r="K671" s="376"/>
      <c r="L671" s="376">
        <v>10</v>
      </c>
      <c r="M671" s="376"/>
      <c r="N671" s="376"/>
      <c r="O671" s="376"/>
      <c r="P671" s="378"/>
      <c r="Q671" s="378"/>
      <c r="R671" s="378"/>
      <c r="S671" s="378"/>
      <c r="T671" s="378"/>
      <c r="U671" s="378"/>
      <c r="V671" s="533"/>
      <c r="W671" s="378"/>
      <c r="X671" s="378"/>
      <c r="Y671" s="378">
        <f>IF(NFI_Expiration=1,IF($A671&lt;VLOOKUP(H$5,NFI,5,0),1,0)*Table_NFI[[#This Row],[Hygiene Kit]],Table_NFI[Hygiene Kit])</f>
        <v>0</v>
      </c>
      <c r="Z671" s="378">
        <f>IF(NFI_Expiration=1,IF($A671&lt;VLOOKUP(I$5,NFI,5,0),1,0)*Table_NFI[[#This Row],[NFI Core Kit]],Table_NFI[NFI Core Kit])</f>
        <v>0</v>
      </c>
      <c r="AA671" s="378">
        <f>IF(NFI_Expiration=1,IF($A671&lt;VLOOKUP(J$5,NFI,5,0),1,0)*Table_NFI[[#This Row],[Sanitary Kit]],Table_NFI[Sanitary Kit])</f>
        <v>0</v>
      </c>
      <c r="AB671" s="378">
        <f>IF(NFI_Expiration=1,IF($A671&lt;VLOOKUP(K$5,NFI,5,0),1,0)*Table_NFI[[#This Row],[Mosquito net]],Table_NFI[Mosquito net])</f>
        <v>0</v>
      </c>
      <c r="AC671" s="378">
        <f>IF(NFI_Expiration=1,IF($A671&lt;VLOOKUP(L$5,NFI,5,0),1,0)*Table_NFI[[#This Row],[Tarpaulin]],Table_NFI[[#This Row],[Tarpaulin]])</f>
        <v>0</v>
      </c>
      <c r="AD671" s="378">
        <f>IF(NFI_Expiration=1,IF($A671&lt;VLOOKUP(M$5,NFI,5,0),1,0)*Table_NFI[[#This Row],[Blanket]],Table_NFI[[#This Row],[Blanket]])</f>
        <v>0</v>
      </c>
      <c r="AE671" s="378">
        <f>IF(NFI_Expiration=1,IF($A671&lt;VLOOKUP(N$5,NFI,5,0),1,0)*Table_NFI[[#This Row],[Kitchen Set]],Table_NFI[Kitchen Set])</f>
        <v>0</v>
      </c>
      <c r="AF671" s="378">
        <f>IF(NFI_Expiration=1,IF($A671&lt;VLOOKUP(O$5,NFI,5,0),1,0)*Table_NFI[[#This Row],[Clothes Kit]],Table_NFI[Clothes Kit])</f>
        <v>0</v>
      </c>
      <c r="AG671" s="378">
        <f>IF(NFI_Expiration=1,IF($A671&lt;VLOOKUP(P$5,NFI,5,0),1,0)*Table_NFI[[#This Row],[Plastic Bucket]],Table_NFI[Plastic Bucket])</f>
        <v>0</v>
      </c>
      <c r="AH671" s="378">
        <f>IF(NFI_Expiration=1,IF($A671&lt;VLOOKUP(Q$5,NFI,5,0),1,0)*Table_NFI[[#This Row],[Plastic Mat]],Table_NFI[Plastic Mat])*IF(Table_NFI[[#This Row],[Distribution Date]]&gt;"2014-04-01",1,2.5)</f>
        <v>0</v>
      </c>
      <c r="AI671" s="378">
        <f>IF(NFI_Expiration=1,IF($A671&lt;VLOOKUP(R$5,NFI,5,0),1,0)*Table_NFI[[#This Row],[Winter Clothes Adult]],Table_NFI[Winter Clothes Adult])</f>
        <v>0</v>
      </c>
      <c r="AJ671" s="378">
        <f>IF(NFI_Expiration=1,IF($A671&lt;VLOOKUP(S$5,NFI,5,0),1,0)*Table_NFI[[#This Row],[Winter Clothes Children]],Table_NFI[Winter Clothes Children])</f>
        <v>0</v>
      </c>
      <c r="AK671" s="378">
        <f>IF(NFI_Expiration=1,IF($A671&lt;VLOOKUP(T$5,NFI,5,0),1,0)*Table_NFI[[#This Row],[Winter Items Other]],Table_NFI[Winter Items Other])</f>
        <v>0</v>
      </c>
      <c r="AL671" s="378">
        <f>IF(NFI_Expiration=1,IF($A671&lt;VLOOKUP(M$5,NFI,5,0),1,0)*Table_NFI[[#This Row],[Winter Blanket]],Table_NFI[[#This Row],[Winter Blanket]])</f>
        <v>0</v>
      </c>
      <c r="AM671" s="378">
        <f>IF(Table_NFI[[#This Row],[Winter Clothes Adult]]+Table_NFI[[#This Row],[Winter Clothes Children]]+Table_NFI[[#This Row],[Winter Items Other]]+Table_NFI[[#This Row],[Winter Blanket]]&gt;0,1,0)</f>
        <v>0</v>
      </c>
      <c r="AN671" s="418">
        <f>IF(NFI_Expiration=1,IF($A671&lt;VLOOKUP(V$5,NFI,5,0),1,0)*Table_NFI[[#This Row],[Jerry Can]],Table_NFI[Jerry Can])</f>
        <v>0</v>
      </c>
      <c r="AO671" s="579" t="str">
        <f>IFERROR(VLOOKUP(Table_NFI[[#This Row],[Camp Name]],CL,2,0),"")</f>
        <v>MMR001CMP193</v>
      </c>
      <c r="AP671" s="574">
        <f ca="1">IF(Table_NFI[[#This Row],[Pcode]]="","",IF(OFFSET(CampList[Opening Date],MATCH(Table_NFI[[#This Row],[Pcode]],CampList[CP_Pcode],0)-1,0,1,1)&gt;=NFI_Monitor_Date,1,0))</f>
        <v>0</v>
      </c>
      <c r="AQ671" s="579" t="str">
        <f>IFERROR(VLOOKUP(Table_NFI[[#This Row],[Camp Name]],CL,3,0),"")</f>
        <v>Open</v>
      </c>
      <c r="AR671" s="378" t="str">
        <f ca="1">IF(Table_NFI[[#This Row],[Pcode]]="","",OFFSET(CampList[Priority],MATCH(Table_NFI[[#This Row],[Pcode]],CampList[CP_Pcode],0)-1,0,1,1))</f>
        <v>P4</v>
      </c>
      <c r="AS671" s="377">
        <f>IFERROR(Table_NFI[[#This Row],[Kitchen Set]]/VLOOKUP(Table_NFI[[#This Row],[Camp Name]],CL,4,0),"")</f>
        <v>0</v>
      </c>
      <c r="AT671" s="577"/>
      <c r="AU671" s="580"/>
    </row>
    <row r="672" spans="1:47" s="576" customFormat="1" x14ac:dyDescent="0.25">
      <c r="A672" s="381">
        <f t="shared" si="10"/>
        <v>30.466666666666665</v>
      </c>
      <c r="B672" s="571">
        <v>41608</v>
      </c>
      <c r="C672" s="572" t="s">
        <v>1100</v>
      </c>
      <c r="D672" s="573" t="s">
        <v>947</v>
      </c>
      <c r="E672" s="572" t="s">
        <v>380</v>
      </c>
      <c r="F672" s="374" t="s">
        <v>5</v>
      </c>
      <c r="G672" s="374" t="s">
        <v>366</v>
      </c>
      <c r="H672" s="375"/>
      <c r="I672" s="375"/>
      <c r="J672" s="375"/>
      <c r="K672" s="375"/>
      <c r="L672" s="376"/>
      <c r="M672" s="376">
        <v>320</v>
      </c>
      <c r="N672" s="376"/>
      <c r="O672" s="376"/>
      <c r="P672" s="378"/>
      <c r="Q672" s="378"/>
      <c r="R672" s="378">
        <v>234</v>
      </c>
      <c r="S672" s="378">
        <v>336</v>
      </c>
      <c r="T672" s="378">
        <v>0</v>
      </c>
      <c r="U672" s="378"/>
      <c r="V672" s="533"/>
      <c r="W672" s="378"/>
      <c r="X672" s="378"/>
      <c r="Y672" s="378">
        <f>IF(NFI_Expiration=1,IF($A672&lt;VLOOKUP(H$5,NFI,5,0),1,0)*Table_NFI[[#This Row],[Hygiene Kit]],Table_NFI[Hygiene Kit])</f>
        <v>0</v>
      </c>
      <c r="Z672" s="378">
        <f>IF(NFI_Expiration=1,IF($A672&lt;VLOOKUP(I$5,NFI,5,0),1,0)*Table_NFI[[#This Row],[NFI Core Kit]],Table_NFI[NFI Core Kit])</f>
        <v>0</v>
      </c>
      <c r="AA672" s="378">
        <f>IF(NFI_Expiration=1,IF($A672&lt;VLOOKUP(J$5,NFI,5,0),1,0)*Table_NFI[[#This Row],[Sanitary Kit]],Table_NFI[Sanitary Kit])</f>
        <v>0</v>
      </c>
      <c r="AB672" s="378">
        <f>IF(NFI_Expiration=1,IF($A672&lt;VLOOKUP(K$5,NFI,5,0),1,0)*Table_NFI[[#This Row],[Mosquito net]],Table_NFI[Mosquito net])</f>
        <v>0</v>
      </c>
      <c r="AC672" s="378">
        <f>IF(NFI_Expiration=1,IF($A672&lt;VLOOKUP(L$5,NFI,5,0),1,0)*Table_NFI[[#This Row],[Tarpaulin]],Table_NFI[[#This Row],[Tarpaulin]])</f>
        <v>0</v>
      </c>
      <c r="AD672" s="378">
        <f>IF(NFI_Expiration=1,IF($A672&lt;VLOOKUP(M$5,NFI,5,0),1,0)*Table_NFI[[#This Row],[Blanket]],Table_NFI[[#This Row],[Blanket]])</f>
        <v>0</v>
      </c>
      <c r="AE672" s="378">
        <f>IF(NFI_Expiration=1,IF($A672&lt;VLOOKUP(N$5,NFI,5,0),1,0)*Table_NFI[[#This Row],[Kitchen Set]],Table_NFI[Kitchen Set])</f>
        <v>0</v>
      </c>
      <c r="AF672" s="378">
        <f>IF(NFI_Expiration=1,IF($A672&lt;VLOOKUP(O$5,NFI,5,0),1,0)*Table_NFI[[#This Row],[Clothes Kit]],Table_NFI[Clothes Kit])</f>
        <v>0</v>
      </c>
      <c r="AG672" s="378">
        <f>IF(NFI_Expiration=1,IF($A672&lt;VLOOKUP(P$5,NFI,5,0),1,0)*Table_NFI[[#This Row],[Plastic Bucket]],Table_NFI[Plastic Bucket])</f>
        <v>0</v>
      </c>
      <c r="AH672" s="378">
        <f>IF(NFI_Expiration=1,IF($A672&lt;VLOOKUP(Q$5,NFI,5,0),1,0)*Table_NFI[[#This Row],[Plastic Mat]],Table_NFI[Plastic Mat])*IF(Table_NFI[[#This Row],[Distribution Date]]&gt;"2014-04-01",1,2.5)</f>
        <v>0</v>
      </c>
      <c r="AI672" s="378">
        <f>IF(NFI_Expiration=1,IF($A672&lt;VLOOKUP(R$5,NFI,5,0),1,0)*Table_NFI[[#This Row],[Winter Clothes Adult]],Table_NFI[Winter Clothes Adult])</f>
        <v>0</v>
      </c>
      <c r="AJ672" s="378">
        <f>IF(NFI_Expiration=1,IF($A672&lt;VLOOKUP(S$5,NFI,5,0),1,0)*Table_NFI[[#This Row],[Winter Clothes Children]],Table_NFI[Winter Clothes Children])</f>
        <v>0</v>
      </c>
      <c r="AK672" s="378">
        <f>IF(NFI_Expiration=1,IF($A672&lt;VLOOKUP(T$5,NFI,5,0),1,0)*Table_NFI[[#This Row],[Winter Items Other]],Table_NFI[Winter Items Other])</f>
        <v>0</v>
      </c>
      <c r="AL672" s="378">
        <f>IF(NFI_Expiration=1,IF($A672&lt;VLOOKUP(M$5,NFI,5,0),1,0)*Table_NFI[[#This Row],[Winter Blanket]],Table_NFI[[#This Row],[Winter Blanket]])</f>
        <v>0</v>
      </c>
      <c r="AM672" s="378">
        <f>IF(Table_NFI[[#This Row],[Winter Clothes Adult]]+Table_NFI[[#This Row],[Winter Clothes Children]]+Table_NFI[[#This Row],[Winter Items Other]]+Table_NFI[[#This Row],[Winter Blanket]]&gt;0,1,0)</f>
        <v>1</v>
      </c>
      <c r="AN672" s="418">
        <f>IF(NFI_Expiration=1,IF($A672&lt;VLOOKUP(V$5,NFI,5,0),1,0)*Table_NFI[[#This Row],[Jerry Can]],Table_NFI[Jerry Can])</f>
        <v>0</v>
      </c>
      <c r="AO672" s="579" t="str">
        <f>IFERROR(VLOOKUP(Table_NFI[[#This Row],[Camp Name]],CL,2,0),"")</f>
        <v>MMR001CMP193</v>
      </c>
      <c r="AP672" s="574">
        <f ca="1">IF(Table_NFI[[#This Row],[Pcode]]="","",IF(OFFSET(CampList[Opening Date],MATCH(Table_NFI[[#This Row],[Pcode]],CampList[CP_Pcode],0)-1,0,1,1)&gt;=NFI_Monitor_Date,1,0))</f>
        <v>0</v>
      </c>
      <c r="AQ672" s="579" t="str">
        <f>IFERROR(VLOOKUP(Table_NFI[[#This Row],[Camp Name]],CL,3,0),"")</f>
        <v>Open</v>
      </c>
      <c r="AR672" s="378" t="str">
        <f ca="1">IF(Table_NFI[[#This Row],[Pcode]]="","",OFFSET(CampList[Priority],MATCH(Table_NFI[[#This Row],[Pcode]],CampList[CP_Pcode],0)-1,0,1,1))</f>
        <v>P4</v>
      </c>
      <c r="AS672" s="377">
        <f>IFERROR(Table_NFI[[#This Row],[Kitchen Set]]/VLOOKUP(Table_NFI[[#This Row],[Camp Name]],CL,4,0),"")</f>
        <v>0</v>
      </c>
      <c r="AT672" s="572" t="s">
        <v>1095</v>
      </c>
      <c r="AU672" s="575"/>
    </row>
    <row r="673" spans="1:47" s="576" customFormat="1" x14ac:dyDescent="0.25">
      <c r="A673" s="381">
        <f t="shared" si="10"/>
        <v>30.466666666666665</v>
      </c>
      <c r="B673" s="571">
        <v>41608</v>
      </c>
      <c r="C673" s="572" t="s">
        <v>908</v>
      </c>
      <c r="D673" s="572"/>
      <c r="E673" s="572" t="s">
        <v>380</v>
      </c>
      <c r="F673" s="374" t="s">
        <v>5</v>
      </c>
      <c r="G673" s="374" t="s">
        <v>366</v>
      </c>
      <c r="H673" s="375"/>
      <c r="I673" s="375"/>
      <c r="J673" s="375"/>
      <c r="K673" s="375"/>
      <c r="L673" s="376"/>
      <c r="M673" s="376"/>
      <c r="N673" s="376"/>
      <c r="O673" s="376"/>
      <c r="P673" s="378"/>
      <c r="Q673" s="378"/>
      <c r="R673" s="378"/>
      <c r="S673" s="378"/>
      <c r="T673" s="378"/>
      <c r="U673" s="378"/>
      <c r="V673" s="533"/>
      <c r="W673" s="378"/>
      <c r="X673" s="378"/>
      <c r="Y673" s="378">
        <f>IF(NFI_Expiration=1,IF($A673&lt;VLOOKUP(H$5,NFI,5,0),1,0)*Table_NFI[[#This Row],[Hygiene Kit]],Table_NFI[Hygiene Kit])</f>
        <v>0</v>
      </c>
      <c r="Z673" s="378">
        <f>IF(NFI_Expiration=1,IF($A673&lt;VLOOKUP(I$5,NFI,5,0),1,0)*Table_NFI[[#This Row],[NFI Core Kit]],Table_NFI[NFI Core Kit])</f>
        <v>0</v>
      </c>
      <c r="AA673" s="378">
        <f>IF(NFI_Expiration=1,IF($A673&lt;VLOOKUP(J$5,NFI,5,0),1,0)*Table_NFI[[#This Row],[Sanitary Kit]],Table_NFI[Sanitary Kit])</f>
        <v>0</v>
      </c>
      <c r="AB673" s="378">
        <f>IF(NFI_Expiration=1,IF($A673&lt;VLOOKUP(K$5,NFI,5,0),1,0)*Table_NFI[[#This Row],[Mosquito net]],Table_NFI[Mosquito net])</f>
        <v>0</v>
      </c>
      <c r="AC673" s="378">
        <f>IF(NFI_Expiration=1,IF($A673&lt;VLOOKUP(L$5,NFI,5,0),1,0)*Table_NFI[[#This Row],[Tarpaulin]],Table_NFI[[#This Row],[Tarpaulin]])</f>
        <v>0</v>
      </c>
      <c r="AD673" s="378">
        <f>IF(NFI_Expiration=1,IF($A673&lt;VLOOKUP(M$5,NFI,5,0),1,0)*Table_NFI[[#This Row],[Blanket]],Table_NFI[[#This Row],[Blanket]])</f>
        <v>0</v>
      </c>
      <c r="AE673" s="378">
        <f>IF(NFI_Expiration=1,IF($A673&lt;VLOOKUP(N$5,NFI,5,0),1,0)*Table_NFI[[#This Row],[Kitchen Set]],Table_NFI[Kitchen Set])</f>
        <v>0</v>
      </c>
      <c r="AF673" s="378">
        <f>IF(NFI_Expiration=1,IF($A673&lt;VLOOKUP(O$5,NFI,5,0),1,0)*Table_NFI[[#This Row],[Clothes Kit]],Table_NFI[Clothes Kit])</f>
        <v>0</v>
      </c>
      <c r="AG673" s="378">
        <f>IF(NFI_Expiration=1,IF($A673&lt;VLOOKUP(P$5,NFI,5,0),1,0)*Table_NFI[[#This Row],[Plastic Bucket]],Table_NFI[Plastic Bucket])</f>
        <v>0</v>
      </c>
      <c r="AH673" s="378">
        <f>IF(NFI_Expiration=1,IF($A673&lt;VLOOKUP(Q$5,NFI,5,0),1,0)*Table_NFI[[#This Row],[Plastic Mat]],Table_NFI[Plastic Mat])*IF(Table_NFI[[#This Row],[Distribution Date]]&gt;"2014-04-01",1,2.5)</f>
        <v>0</v>
      </c>
      <c r="AI673" s="378">
        <f>IF(NFI_Expiration=1,IF($A673&lt;VLOOKUP(R$5,NFI,5,0),1,0)*Table_NFI[[#This Row],[Winter Clothes Adult]],Table_NFI[Winter Clothes Adult])</f>
        <v>0</v>
      </c>
      <c r="AJ673" s="378">
        <f>IF(NFI_Expiration=1,IF($A673&lt;VLOOKUP(S$5,NFI,5,0),1,0)*Table_NFI[[#This Row],[Winter Clothes Children]],Table_NFI[Winter Clothes Children])</f>
        <v>0</v>
      </c>
      <c r="AK673" s="378">
        <f>IF(NFI_Expiration=1,IF($A673&lt;VLOOKUP(T$5,NFI,5,0),1,0)*Table_NFI[[#This Row],[Winter Items Other]],Table_NFI[Winter Items Other])</f>
        <v>0</v>
      </c>
      <c r="AL673" s="378">
        <f>IF(NFI_Expiration=1,IF($A673&lt;VLOOKUP(M$5,NFI,5,0),1,0)*Table_NFI[[#This Row],[Winter Blanket]],Table_NFI[[#This Row],[Winter Blanket]])</f>
        <v>0</v>
      </c>
      <c r="AM673" s="378">
        <f>IF(Table_NFI[[#This Row],[Winter Clothes Adult]]+Table_NFI[[#This Row],[Winter Clothes Children]]+Table_NFI[[#This Row],[Winter Items Other]]+Table_NFI[[#This Row],[Winter Blanket]]&gt;0,1,0)</f>
        <v>0</v>
      </c>
      <c r="AN673" s="418">
        <f>IF(NFI_Expiration=1,IF($A673&lt;VLOOKUP(V$5,NFI,5,0),1,0)*Table_NFI[[#This Row],[Jerry Can]],Table_NFI[Jerry Can])</f>
        <v>0</v>
      </c>
      <c r="AO673" s="579" t="str">
        <f>IFERROR(VLOOKUP(Table_NFI[[#This Row],[Camp Name]],CL,2,0),"")</f>
        <v>MMR001CMP193</v>
      </c>
      <c r="AP673" s="574">
        <f ca="1">IF(Table_NFI[[#This Row],[Pcode]]="","",IF(OFFSET(CampList[Opening Date],MATCH(Table_NFI[[#This Row],[Pcode]],CampList[CP_Pcode],0)-1,0,1,1)&gt;=NFI_Monitor_Date,1,0))</f>
        <v>0</v>
      </c>
      <c r="AQ673" s="579" t="str">
        <f>IFERROR(VLOOKUP(Table_NFI[[#This Row],[Camp Name]],CL,3,0),"")</f>
        <v>Open</v>
      </c>
      <c r="AR673" s="378" t="str">
        <f ca="1">IF(Table_NFI[[#This Row],[Pcode]]="","",OFFSET(CampList[Priority],MATCH(Table_NFI[[#This Row],[Pcode]],CampList[CP_Pcode],0)-1,0,1,1))</f>
        <v>P4</v>
      </c>
      <c r="AS673" s="377">
        <f>IFERROR(Table_NFI[[#This Row],[Kitchen Set]]/VLOOKUP(Table_NFI[[#This Row],[Camp Name]],CL,4,0),"")</f>
        <v>0</v>
      </c>
      <c r="AT673" s="572" t="s">
        <v>1095</v>
      </c>
      <c r="AU673" s="575"/>
    </row>
    <row r="674" spans="1:47" s="576" customFormat="1" x14ac:dyDescent="0.25">
      <c r="A674" s="381">
        <f t="shared" si="10"/>
        <v>30.766666666666666</v>
      </c>
      <c r="B674" s="571">
        <v>41599</v>
      </c>
      <c r="C674" s="573" t="s">
        <v>454</v>
      </c>
      <c r="D674" s="573" t="s">
        <v>454</v>
      </c>
      <c r="E674" s="572" t="s">
        <v>380</v>
      </c>
      <c r="F674" s="374" t="s">
        <v>5</v>
      </c>
      <c r="G674" s="374" t="s">
        <v>366</v>
      </c>
      <c r="H674" s="375"/>
      <c r="I674" s="375"/>
      <c r="J674" s="375"/>
      <c r="K674" s="375">
        <v>15</v>
      </c>
      <c r="L674" s="376">
        <v>9</v>
      </c>
      <c r="M674" s="376">
        <v>15</v>
      </c>
      <c r="N674" s="376">
        <v>9</v>
      </c>
      <c r="O674" s="376">
        <v>9</v>
      </c>
      <c r="P674" s="378"/>
      <c r="Q674" s="378"/>
      <c r="R674" s="378"/>
      <c r="S674" s="378"/>
      <c r="T674" s="378"/>
      <c r="U674" s="378"/>
      <c r="V674" s="533"/>
      <c r="W674" s="378"/>
      <c r="X674" s="378"/>
      <c r="Y674" s="378">
        <f>IF(NFI_Expiration=1,IF($A674&lt;VLOOKUP(H$5,NFI,5,0),1,0)*Table_NFI[[#This Row],[Hygiene Kit]],Table_NFI[Hygiene Kit])</f>
        <v>0</v>
      </c>
      <c r="Z674" s="378">
        <f>IF(NFI_Expiration=1,IF($A674&lt;VLOOKUP(I$5,NFI,5,0),1,0)*Table_NFI[[#This Row],[NFI Core Kit]],Table_NFI[NFI Core Kit])</f>
        <v>0</v>
      </c>
      <c r="AA674" s="378">
        <f>IF(NFI_Expiration=1,IF($A674&lt;VLOOKUP(J$5,NFI,5,0),1,0)*Table_NFI[[#This Row],[Sanitary Kit]],Table_NFI[Sanitary Kit])</f>
        <v>0</v>
      </c>
      <c r="AB674" s="378">
        <f>IF(NFI_Expiration=1,IF($A674&lt;VLOOKUP(K$5,NFI,5,0),1,0)*Table_NFI[[#This Row],[Mosquito net]],Table_NFI[Mosquito net])</f>
        <v>0</v>
      </c>
      <c r="AC674" s="378">
        <f>IF(NFI_Expiration=1,IF($A674&lt;VLOOKUP(L$5,NFI,5,0),1,0)*Table_NFI[[#This Row],[Tarpaulin]],Table_NFI[[#This Row],[Tarpaulin]])</f>
        <v>0</v>
      </c>
      <c r="AD674" s="378">
        <f>IF(NFI_Expiration=1,IF($A674&lt;VLOOKUP(M$5,NFI,5,0),1,0)*Table_NFI[[#This Row],[Blanket]],Table_NFI[[#This Row],[Blanket]])</f>
        <v>0</v>
      </c>
      <c r="AE674" s="378">
        <f>IF(NFI_Expiration=1,IF($A674&lt;VLOOKUP(N$5,NFI,5,0),1,0)*Table_NFI[[#This Row],[Kitchen Set]],Table_NFI[Kitchen Set])</f>
        <v>0</v>
      </c>
      <c r="AF674" s="378">
        <f>IF(NFI_Expiration=1,IF($A674&lt;VLOOKUP(O$5,NFI,5,0),1,0)*Table_NFI[[#This Row],[Clothes Kit]],Table_NFI[Clothes Kit])</f>
        <v>0</v>
      </c>
      <c r="AG674" s="378">
        <f>IF(NFI_Expiration=1,IF($A674&lt;VLOOKUP(P$5,NFI,5,0),1,0)*Table_NFI[[#This Row],[Plastic Bucket]],Table_NFI[Plastic Bucket])</f>
        <v>0</v>
      </c>
      <c r="AH674" s="378">
        <f>IF(NFI_Expiration=1,IF($A674&lt;VLOOKUP(Q$5,NFI,5,0),1,0)*Table_NFI[[#This Row],[Plastic Mat]],Table_NFI[Plastic Mat])*IF(Table_NFI[[#This Row],[Distribution Date]]&gt;"2014-04-01",1,2.5)</f>
        <v>0</v>
      </c>
      <c r="AI674" s="378">
        <f>IF(NFI_Expiration=1,IF($A674&lt;VLOOKUP(R$5,NFI,5,0),1,0)*Table_NFI[[#This Row],[Winter Clothes Adult]],Table_NFI[Winter Clothes Adult])</f>
        <v>0</v>
      </c>
      <c r="AJ674" s="378">
        <f>IF(NFI_Expiration=1,IF($A674&lt;VLOOKUP(S$5,NFI,5,0),1,0)*Table_NFI[[#This Row],[Winter Clothes Children]],Table_NFI[Winter Clothes Children])</f>
        <v>0</v>
      </c>
      <c r="AK674" s="378">
        <f>IF(NFI_Expiration=1,IF($A674&lt;VLOOKUP(T$5,NFI,5,0),1,0)*Table_NFI[[#This Row],[Winter Items Other]],Table_NFI[Winter Items Other])</f>
        <v>0</v>
      </c>
      <c r="AL674" s="378">
        <f>IF(NFI_Expiration=1,IF($A674&lt;VLOOKUP(M$5,NFI,5,0),1,0)*Table_NFI[[#This Row],[Winter Blanket]],Table_NFI[[#This Row],[Winter Blanket]])</f>
        <v>0</v>
      </c>
      <c r="AM674" s="378">
        <f>IF(Table_NFI[[#This Row],[Winter Clothes Adult]]+Table_NFI[[#This Row],[Winter Clothes Children]]+Table_NFI[[#This Row],[Winter Items Other]]+Table_NFI[[#This Row],[Winter Blanket]]&gt;0,1,0)</f>
        <v>0</v>
      </c>
      <c r="AN674" s="418">
        <f>IF(NFI_Expiration=1,IF($A674&lt;VLOOKUP(V$5,NFI,5,0),1,0)*Table_NFI[[#This Row],[Jerry Can]],Table_NFI[Jerry Can])</f>
        <v>0</v>
      </c>
      <c r="AO674" s="579" t="str">
        <f>IFERROR(VLOOKUP(Table_NFI[[#This Row],[Camp Name]],CL,2,0),"")</f>
        <v>MMR001CMP193</v>
      </c>
      <c r="AP674" s="574">
        <f ca="1">IF(Table_NFI[[#This Row],[Pcode]]="","",IF(OFFSET(CampList[Opening Date],MATCH(Table_NFI[[#This Row],[Pcode]],CampList[CP_Pcode],0)-1,0,1,1)&gt;=NFI_Monitor_Date,1,0))</f>
        <v>0</v>
      </c>
      <c r="AQ674" s="579" t="str">
        <f>IFERROR(VLOOKUP(Table_NFI[[#This Row],[Camp Name]],CL,3,0),"")</f>
        <v>Open</v>
      </c>
      <c r="AR674" s="378" t="str">
        <f ca="1">IF(Table_NFI[[#This Row],[Pcode]]="","",OFFSET(CampList[Priority],MATCH(Table_NFI[[#This Row],[Pcode]],CampList[CP_Pcode],0)-1,0,1,1))</f>
        <v>P4</v>
      </c>
      <c r="AS674" s="377">
        <f>IFERROR(Table_NFI[[#This Row],[Kitchen Set]]/VLOOKUP(Table_NFI[[#This Row],[Camp Name]],CL,4,0),"")</f>
        <v>0.06</v>
      </c>
      <c r="AT674" s="572" t="s">
        <v>1095</v>
      </c>
      <c r="AU674" s="575"/>
    </row>
    <row r="675" spans="1:47" s="576" customFormat="1" x14ac:dyDescent="0.25">
      <c r="A675" s="381">
        <f t="shared" si="10"/>
        <v>30.933333333333334</v>
      </c>
      <c r="B675" s="571">
        <v>41594</v>
      </c>
      <c r="C675" s="572" t="s">
        <v>454</v>
      </c>
      <c r="D675" s="572" t="s">
        <v>575</v>
      </c>
      <c r="E675" s="572" t="s">
        <v>380</v>
      </c>
      <c r="F675" s="374" t="s">
        <v>5</v>
      </c>
      <c r="G675" s="374" t="s">
        <v>366</v>
      </c>
      <c r="H675" s="375"/>
      <c r="I675" s="375"/>
      <c r="J675" s="375"/>
      <c r="K675" s="375"/>
      <c r="L675" s="376">
        <v>11</v>
      </c>
      <c r="M675" s="376"/>
      <c r="N675" s="376"/>
      <c r="O675" s="376"/>
      <c r="P675" s="378"/>
      <c r="Q675" s="378"/>
      <c r="R675" s="378"/>
      <c r="S675" s="378"/>
      <c r="T675" s="378"/>
      <c r="U675" s="378"/>
      <c r="V675" s="533"/>
      <c r="W675" s="378"/>
      <c r="X675" s="378"/>
      <c r="Y675" s="378">
        <f>IF(NFI_Expiration=1,IF($A675&lt;VLOOKUP(H$5,NFI,5,0),1,0)*Table_NFI[[#This Row],[Hygiene Kit]],Table_NFI[Hygiene Kit])</f>
        <v>0</v>
      </c>
      <c r="Z675" s="378">
        <f>IF(NFI_Expiration=1,IF($A675&lt;VLOOKUP(I$5,NFI,5,0),1,0)*Table_NFI[[#This Row],[NFI Core Kit]],Table_NFI[NFI Core Kit])</f>
        <v>0</v>
      </c>
      <c r="AA675" s="378">
        <f>IF(NFI_Expiration=1,IF($A675&lt;VLOOKUP(J$5,NFI,5,0),1,0)*Table_NFI[[#This Row],[Sanitary Kit]],Table_NFI[Sanitary Kit])</f>
        <v>0</v>
      </c>
      <c r="AB675" s="378">
        <f>IF(NFI_Expiration=1,IF($A675&lt;VLOOKUP(K$5,NFI,5,0),1,0)*Table_NFI[[#This Row],[Mosquito net]],Table_NFI[Mosquito net])</f>
        <v>0</v>
      </c>
      <c r="AC675" s="378">
        <f>IF(NFI_Expiration=1,IF($A675&lt;VLOOKUP(L$5,NFI,5,0),1,0)*Table_NFI[[#This Row],[Tarpaulin]],Table_NFI[[#This Row],[Tarpaulin]])</f>
        <v>0</v>
      </c>
      <c r="AD675" s="378">
        <f>IF(NFI_Expiration=1,IF($A675&lt;VLOOKUP(M$5,NFI,5,0),1,0)*Table_NFI[[#This Row],[Blanket]],Table_NFI[[#This Row],[Blanket]])</f>
        <v>0</v>
      </c>
      <c r="AE675" s="378">
        <f>IF(NFI_Expiration=1,IF($A675&lt;VLOOKUP(N$5,NFI,5,0),1,0)*Table_NFI[[#This Row],[Kitchen Set]],Table_NFI[Kitchen Set])</f>
        <v>0</v>
      </c>
      <c r="AF675" s="378">
        <f>IF(NFI_Expiration=1,IF($A675&lt;VLOOKUP(O$5,NFI,5,0),1,0)*Table_NFI[[#This Row],[Clothes Kit]],Table_NFI[Clothes Kit])</f>
        <v>0</v>
      </c>
      <c r="AG675" s="378">
        <f>IF(NFI_Expiration=1,IF($A675&lt;VLOOKUP(P$5,NFI,5,0),1,0)*Table_NFI[[#This Row],[Plastic Bucket]],Table_NFI[Plastic Bucket])</f>
        <v>0</v>
      </c>
      <c r="AH675" s="378">
        <f>IF(NFI_Expiration=1,IF($A675&lt;VLOOKUP(Q$5,NFI,5,0),1,0)*Table_NFI[[#This Row],[Plastic Mat]],Table_NFI[Plastic Mat])*IF(Table_NFI[[#This Row],[Distribution Date]]&gt;"2014-04-01",1,2.5)</f>
        <v>0</v>
      </c>
      <c r="AI675" s="378">
        <f>IF(NFI_Expiration=1,IF($A675&lt;VLOOKUP(R$5,NFI,5,0),1,0)*Table_NFI[[#This Row],[Winter Clothes Adult]],Table_NFI[Winter Clothes Adult])</f>
        <v>0</v>
      </c>
      <c r="AJ675" s="378">
        <f>IF(NFI_Expiration=1,IF($A675&lt;VLOOKUP(S$5,NFI,5,0),1,0)*Table_NFI[[#This Row],[Winter Clothes Children]],Table_NFI[Winter Clothes Children])</f>
        <v>0</v>
      </c>
      <c r="AK675" s="378">
        <f>IF(NFI_Expiration=1,IF($A675&lt;VLOOKUP(T$5,NFI,5,0),1,0)*Table_NFI[[#This Row],[Winter Items Other]],Table_NFI[Winter Items Other])</f>
        <v>0</v>
      </c>
      <c r="AL675" s="378">
        <f>IF(NFI_Expiration=1,IF($A675&lt;VLOOKUP(M$5,NFI,5,0),1,0)*Table_NFI[[#This Row],[Winter Blanket]],Table_NFI[[#This Row],[Winter Blanket]])</f>
        <v>0</v>
      </c>
      <c r="AM675" s="378">
        <f>IF(Table_NFI[[#This Row],[Winter Clothes Adult]]+Table_NFI[[#This Row],[Winter Clothes Children]]+Table_NFI[[#This Row],[Winter Items Other]]+Table_NFI[[#This Row],[Winter Blanket]]&gt;0,1,0)</f>
        <v>0</v>
      </c>
      <c r="AN675" s="418">
        <f>IF(NFI_Expiration=1,IF($A675&lt;VLOOKUP(V$5,NFI,5,0),1,0)*Table_NFI[[#This Row],[Jerry Can]],Table_NFI[Jerry Can])</f>
        <v>0</v>
      </c>
      <c r="AO675" s="579" t="str">
        <f>IFERROR(VLOOKUP(Table_NFI[[#This Row],[Camp Name]],CL,2,0),"")</f>
        <v>MMR001CMP193</v>
      </c>
      <c r="AP675" s="574">
        <f ca="1">IF(Table_NFI[[#This Row],[Pcode]]="","",IF(OFFSET(CampList[Opening Date],MATCH(Table_NFI[[#This Row],[Pcode]],CampList[CP_Pcode],0)-1,0,1,1)&gt;=NFI_Monitor_Date,1,0))</f>
        <v>0</v>
      </c>
      <c r="AQ675" s="579" t="str">
        <f>IFERROR(VLOOKUP(Table_NFI[[#This Row],[Camp Name]],CL,3,0),"")</f>
        <v>Open</v>
      </c>
      <c r="AR675" s="378" t="str">
        <f ca="1">IF(Table_NFI[[#This Row],[Pcode]]="","",OFFSET(CampList[Priority],MATCH(Table_NFI[[#This Row],[Pcode]],CampList[CP_Pcode],0)-1,0,1,1))</f>
        <v>P4</v>
      </c>
      <c r="AS675" s="377">
        <f>IFERROR(Table_NFI[[#This Row],[Kitchen Set]]/VLOOKUP(Table_NFI[[#This Row],[Camp Name]],CL,4,0),"")</f>
        <v>0</v>
      </c>
      <c r="AT675" s="572" t="s">
        <v>1095</v>
      </c>
      <c r="AU675" s="575"/>
    </row>
    <row r="676" spans="1:47" s="576" customFormat="1" x14ac:dyDescent="0.25">
      <c r="A676" s="381">
        <f t="shared" si="10"/>
        <v>31.233333333333334</v>
      </c>
      <c r="B676" s="571">
        <v>41585</v>
      </c>
      <c r="C676" s="572" t="s">
        <v>908</v>
      </c>
      <c r="D676" s="572" t="s">
        <v>908</v>
      </c>
      <c r="E676" s="572" t="s">
        <v>380</v>
      </c>
      <c r="F676" s="572" t="s">
        <v>5</v>
      </c>
      <c r="G676" s="572" t="s">
        <v>366</v>
      </c>
      <c r="H676" s="375"/>
      <c r="I676" s="375"/>
      <c r="J676" s="375"/>
      <c r="K676" s="375"/>
      <c r="L676" s="376"/>
      <c r="M676" s="376"/>
      <c r="N676" s="376"/>
      <c r="O676" s="376"/>
      <c r="P676" s="378"/>
      <c r="Q676" s="378"/>
      <c r="R676" s="378">
        <v>23</v>
      </c>
      <c r="S676" s="378">
        <v>41</v>
      </c>
      <c r="T676" s="378">
        <v>128</v>
      </c>
      <c r="U676" s="378">
        <v>64</v>
      </c>
      <c r="V676" s="533"/>
      <c r="W676" s="378"/>
      <c r="X676" s="378"/>
      <c r="Y676" s="378">
        <f>IF(NFI_Expiration=1,IF($A676&lt;VLOOKUP(H$5,NFI,5,0),1,0)*Table_NFI[[#This Row],[Hygiene Kit]],Table_NFI[Hygiene Kit])</f>
        <v>0</v>
      </c>
      <c r="Z676" s="378">
        <f>IF(NFI_Expiration=1,IF($A676&lt;VLOOKUP(I$5,NFI,5,0),1,0)*Table_NFI[[#This Row],[NFI Core Kit]],Table_NFI[NFI Core Kit])</f>
        <v>0</v>
      </c>
      <c r="AA676" s="378">
        <f>IF(NFI_Expiration=1,IF($A676&lt;VLOOKUP(J$5,NFI,5,0),1,0)*Table_NFI[[#This Row],[Sanitary Kit]],Table_NFI[Sanitary Kit])</f>
        <v>0</v>
      </c>
      <c r="AB676" s="378">
        <f>IF(NFI_Expiration=1,IF($A676&lt;VLOOKUP(K$5,NFI,5,0),1,0)*Table_NFI[[#This Row],[Mosquito net]],Table_NFI[Mosquito net])</f>
        <v>0</v>
      </c>
      <c r="AC676" s="378">
        <f>IF(NFI_Expiration=1,IF($A676&lt;VLOOKUP(L$5,NFI,5,0),1,0)*Table_NFI[[#This Row],[Tarpaulin]],Table_NFI[[#This Row],[Tarpaulin]])</f>
        <v>0</v>
      </c>
      <c r="AD676" s="378">
        <f>IF(NFI_Expiration=1,IF($A676&lt;VLOOKUP(M$5,NFI,5,0),1,0)*Table_NFI[[#This Row],[Blanket]],Table_NFI[[#This Row],[Blanket]])</f>
        <v>0</v>
      </c>
      <c r="AE676" s="378">
        <f>IF(NFI_Expiration=1,IF($A676&lt;VLOOKUP(N$5,NFI,5,0),1,0)*Table_NFI[[#This Row],[Kitchen Set]],Table_NFI[Kitchen Set])</f>
        <v>0</v>
      </c>
      <c r="AF676" s="378">
        <f>IF(NFI_Expiration=1,IF($A676&lt;VLOOKUP(O$5,NFI,5,0),1,0)*Table_NFI[[#This Row],[Clothes Kit]],Table_NFI[Clothes Kit])</f>
        <v>0</v>
      </c>
      <c r="AG676" s="378">
        <f>IF(NFI_Expiration=1,IF($A676&lt;VLOOKUP(P$5,NFI,5,0),1,0)*Table_NFI[[#This Row],[Plastic Bucket]],Table_NFI[Plastic Bucket])</f>
        <v>0</v>
      </c>
      <c r="AH676" s="378">
        <f>IF(NFI_Expiration=1,IF($A676&lt;VLOOKUP(Q$5,NFI,5,0),1,0)*Table_NFI[[#This Row],[Plastic Mat]],Table_NFI[Plastic Mat])*IF(Table_NFI[[#This Row],[Distribution Date]]&gt;"2014-04-01",1,2.5)</f>
        <v>0</v>
      </c>
      <c r="AI676" s="378">
        <f>IF(NFI_Expiration=1,IF($A676&lt;VLOOKUP(R$5,NFI,5,0),1,0)*Table_NFI[[#This Row],[Winter Clothes Adult]],Table_NFI[Winter Clothes Adult])</f>
        <v>0</v>
      </c>
      <c r="AJ676" s="378">
        <f>IF(NFI_Expiration=1,IF($A676&lt;VLOOKUP(S$5,NFI,5,0),1,0)*Table_NFI[[#This Row],[Winter Clothes Children]],Table_NFI[Winter Clothes Children])</f>
        <v>0</v>
      </c>
      <c r="AK676" s="378">
        <f>IF(NFI_Expiration=1,IF($A676&lt;VLOOKUP(T$5,NFI,5,0),1,0)*Table_NFI[[#This Row],[Winter Items Other]],Table_NFI[Winter Items Other])</f>
        <v>0</v>
      </c>
      <c r="AL676" s="378">
        <f>IF(NFI_Expiration=1,IF($A676&lt;VLOOKUP(M$5,NFI,5,0),1,0)*Table_NFI[[#This Row],[Winter Blanket]],Table_NFI[[#This Row],[Winter Blanket]])</f>
        <v>0</v>
      </c>
      <c r="AM676" s="378">
        <f>IF(Table_NFI[[#This Row],[Winter Clothes Adult]]+Table_NFI[[#This Row],[Winter Clothes Children]]+Table_NFI[[#This Row],[Winter Items Other]]+Table_NFI[[#This Row],[Winter Blanket]]&gt;0,1,0)</f>
        <v>1</v>
      </c>
      <c r="AN676" s="418">
        <f>IF(NFI_Expiration=1,IF($A676&lt;VLOOKUP(V$5,NFI,5,0),1,0)*Table_NFI[[#This Row],[Jerry Can]],Table_NFI[Jerry Can])</f>
        <v>0</v>
      </c>
      <c r="AO676" s="579" t="str">
        <f>IFERROR(VLOOKUP(Table_NFI[[#This Row],[Camp Name]],CL,2,0),"")</f>
        <v>MMR001CMP193</v>
      </c>
      <c r="AP676" s="574">
        <f ca="1">IF(Table_NFI[[#This Row],[Pcode]]="","",IF(OFFSET(CampList[Opening Date],MATCH(Table_NFI[[#This Row],[Pcode]],CampList[CP_Pcode],0)-1,0,1,1)&gt;=NFI_Monitor_Date,1,0))</f>
        <v>0</v>
      </c>
      <c r="AQ676" s="579" t="str">
        <f>IFERROR(VLOOKUP(Table_NFI[[#This Row],[Camp Name]],CL,3,0),"")</f>
        <v>Open</v>
      </c>
      <c r="AR676" s="378" t="str">
        <f ca="1">IF(Table_NFI[[#This Row],[Pcode]]="","",OFFSET(CampList[Priority],MATCH(Table_NFI[[#This Row],[Pcode]],CampList[CP_Pcode],0)-1,0,1,1))</f>
        <v>P4</v>
      </c>
      <c r="AS676" s="377">
        <f>IFERROR(Table_NFI[[#This Row],[Kitchen Set]]/VLOOKUP(Table_NFI[[#This Row],[Camp Name]],CL,4,0),"")</f>
        <v>0</v>
      </c>
      <c r="AT676" s="572"/>
      <c r="AU676" s="575"/>
    </row>
    <row r="677" spans="1:47" s="576" customFormat="1" x14ac:dyDescent="0.25">
      <c r="A677" s="381">
        <f t="shared" si="10"/>
        <v>31.233333333333334</v>
      </c>
      <c r="B677" s="571">
        <v>41585</v>
      </c>
      <c r="C677" s="572" t="s">
        <v>454</v>
      </c>
      <c r="D677" s="572" t="s">
        <v>454</v>
      </c>
      <c r="E677" s="572" t="s">
        <v>380</v>
      </c>
      <c r="F677" s="374" t="s">
        <v>5</v>
      </c>
      <c r="G677" s="374" t="s">
        <v>366</v>
      </c>
      <c r="H677" s="375"/>
      <c r="I677" s="375"/>
      <c r="J677" s="375">
        <v>58</v>
      </c>
      <c r="K677" s="375">
        <v>46</v>
      </c>
      <c r="L677" s="376">
        <v>29</v>
      </c>
      <c r="M677" s="376">
        <v>46</v>
      </c>
      <c r="N677" s="376">
        <v>29</v>
      </c>
      <c r="O677" s="376">
        <v>29</v>
      </c>
      <c r="P677" s="378"/>
      <c r="Q677" s="378"/>
      <c r="R677" s="378"/>
      <c r="S677" s="378"/>
      <c r="T677" s="378"/>
      <c r="U677" s="378"/>
      <c r="V677" s="533"/>
      <c r="W677" s="378"/>
      <c r="X677" s="378"/>
      <c r="Y677" s="378">
        <f>IF(NFI_Expiration=1,IF($A677&lt;VLOOKUP(H$5,NFI,5,0),1,0)*Table_NFI[[#This Row],[Hygiene Kit]],Table_NFI[Hygiene Kit])</f>
        <v>0</v>
      </c>
      <c r="Z677" s="378">
        <f>IF(NFI_Expiration=1,IF($A677&lt;VLOOKUP(I$5,NFI,5,0),1,0)*Table_NFI[[#This Row],[NFI Core Kit]],Table_NFI[NFI Core Kit])</f>
        <v>0</v>
      </c>
      <c r="AA677" s="378">
        <f>IF(NFI_Expiration=1,IF($A677&lt;VLOOKUP(J$5,NFI,5,0),1,0)*Table_NFI[[#This Row],[Sanitary Kit]],Table_NFI[Sanitary Kit])</f>
        <v>0</v>
      </c>
      <c r="AB677" s="378">
        <f>IF(NFI_Expiration=1,IF($A677&lt;VLOOKUP(K$5,NFI,5,0),1,0)*Table_NFI[[#This Row],[Mosquito net]],Table_NFI[Mosquito net])</f>
        <v>0</v>
      </c>
      <c r="AC677" s="378">
        <f>IF(NFI_Expiration=1,IF($A677&lt;VLOOKUP(L$5,NFI,5,0),1,0)*Table_NFI[[#This Row],[Tarpaulin]],Table_NFI[[#This Row],[Tarpaulin]])</f>
        <v>0</v>
      </c>
      <c r="AD677" s="378">
        <f>IF(NFI_Expiration=1,IF($A677&lt;VLOOKUP(M$5,NFI,5,0),1,0)*Table_NFI[[#This Row],[Blanket]],Table_NFI[[#This Row],[Blanket]])</f>
        <v>0</v>
      </c>
      <c r="AE677" s="378">
        <f>IF(NFI_Expiration=1,IF($A677&lt;VLOOKUP(N$5,NFI,5,0),1,0)*Table_NFI[[#This Row],[Kitchen Set]],Table_NFI[Kitchen Set])</f>
        <v>0</v>
      </c>
      <c r="AF677" s="378">
        <f>IF(NFI_Expiration=1,IF($A677&lt;VLOOKUP(O$5,NFI,5,0),1,0)*Table_NFI[[#This Row],[Clothes Kit]],Table_NFI[Clothes Kit])</f>
        <v>0</v>
      </c>
      <c r="AG677" s="378">
        <f>IF(NFI_Expiration=1,IF($A677&lt;VLOOKUP(P$5,NFI,5,0),1,0)*Table_NFI[[#This Row],[Plastic Bucket]],Table_NFI[Plastic Bucket])</f>
        <v>0</v>
      </c>
      <c r="AH677" s="378">
        <f>IF(NFI_Expiration=1,IF($A677&lt;VLOOKUP(Q$5,NFI,5,0),1,0)*Table_NFI[[#This Row],[Plastic Mat]],Table_NFI[Plastic Mat])*IF(Table_NFI[[#This Row],[Distribution Date]]&gt;"2014-04-01",1,2.5)</f>
        <v>0</v>
      </c>
      <c r="AI677" s="378">
        <f>IF(NFI_Expiration=1,IF($A677&lt;VLOOKUP(R$5,NFI,5,0),1,0)*Table_NFI[[#This Row],[Winter Clothes Adult]],Table_NFI[Winter Clothes Adult])</f>
        <v>0</v>
      </c>
      <c r="AJ677" s="378">
        <f>IF(NFI_Expiration=1,IF($A677&lt;VLOOKUP(S$5,NFI,5,0),1,0)*Table_NFI[[#This Row],[Winter Clothes Children]],Table_NFI[Winter Clothes Children])</f>
        <v>0</v>
      </c>
      <c r="AK677" s="378">
        <f>IF(NFI_Expiration=1,IF($A677&lt;VLOOKUP(T$5,NFI,5,0),1,0)*Table_NFI[[#This Row],[Winter Items Other]],Table_NFI[Winter Items Other])</f>
        <v>0</v>
      </c>
      <c r="AL677" s="378">
        <f>IF(NFI_Expiration=1,IF($A677&lt;VLOOKUP(M$5,NFI,5,0),1,0)*Table_NFI[[#This Row],[Winter Blanket]],Table_NFI[[#This Row],[Winter Blanket]])</f>
        <v>0</v>
      </c>
      <c r="AM677" s="378">
        <f>IF(Table_NFI[[#This Row],[Winter Clothes Adult]]+Table_NFI[[#This Row],[Winter Clothes Children]]+Table_NFI[[#This Row],[Winter Items Other]]+Table_NFI[[#This Row],[Winter Blanket]]&gt;0,1,0)</f>
        <v>0</v>
      </c>
      <c r="AN677" s="418">
        <f>IF(NFI_Expiration=1,IF($A677&lt;VLOOKUP(V$5,NFI,5,0),1,0)*Table_NFI[[#This Row],[Jerry Can]],Table_NFI[Jerry Can])</f>
        <v>0</v>
      </c>
      <c r="AO677" s="579" t="str">
        <f>IFERROR(VLOOKUP(Table_NFI[[#This Row],[Camp Name]],CL,2,0),"")</f>
        <v>MMR001CMP193</v>
      </c>
      <c r="AP677" s="574">
        <f ca="1">IF(Table_NFI[[#This Row],[Pcode]]="","",IF(OFFSET(CampList[Opening Date],MATCH(Table_NFI[[#This Row],[Pcode]],CampList[CP_Pcode],0)-1,0,1,1)&gt;=NFI_Monitor_Date,1,0))</f>
        <v>0</v>
      </c>
      <c r="AQ677" s="579" t="str">
        <f>IFERROR(VLOOKUP(Table_NFI[[#This Row],[Camp Name]],CL,3,0),"")</f>
        <v>Open</v>
      </c>
      <c r="AR677" s="378" t="str">
        <f ca="1">IF(Table_NFI[[#This Row],[Pcode]]="","",OFFSET(CampList[Priority],MATCH(Table_NFI[[#This Row],[Pcode]],CampList[CP_Pcode],0)-1,0,1,1))</f>
        <v>P4</v>
      </c>
      <c r="AS677" s="377">
        <f>IFERROR(Table_NFI[[#This Row],[Kitchen Set]]/VLOOKUP(Table_NFI[[#This Row],[Camp Name]],CL,4,0),"")</f>
        <v>0.19333333333333333</v>
      </c>
      <c r="AT677" s="572" t="s">
        <v>1095</v>
      </c>
      <c r="AU677" s="575"/>
    </row>
    <row r="678" spans="1:47" s="576" customFormat="1" x14ac:dyDescent="0.25">
      <c r="A678" s="381">
        <f t="shared" si="10"/>
        <v>31.366666666666667</v>
      </c>
      <c r="B678" s="571">
        <v>41581</v>
      </c>
      <c r="C678" s="572" t="s">
        <v>903</v>
      </c>
      <c r="D678" s="573" t="s">
        <v>903</v>
      </c>
      <c r="E678" s="572" t="s">
        <v>380</v>
      </c>
      <c r="F678" s="374" t="s">
        <v>5</v>
      </c>
      <c r="G678" s="374" t="s">
        <v>366</v>
      </c>
      <c r="H678" s="375"/>
      <c r="I678" s="375"/>
      <c r="J678" s="375">
        <v>49</v>
      </c>
      <c r="K678" s="375"/>
      <c r="L678" s="376"/>
      <c r="M678" s="376"/>
      <c r="N678" s="376">
        <v>49</v>
      </c>
      <c r="O678" s="376"/>
      <c r="P678" s="378"/>
      <c r="Q678" s="378"/>
      <c r="R678" s="378"/>
      <c r="S678" s="378"/>
      <c r="T678" s="378"/>
      <c r="U678" s="378"/>
      <c r="V678" s="533"/>
      <c r="W678" s="378"/>
      <c r="X678" s="378"/>
      <c r="Y678" s="378">
        <f>IF(NFI_Expiration=1,IF($A678&lt;VLOOKUP(H$5,NFI,5,0),1,0)*Table_NFI[[#This Row],[Hygiene Kit]],Table_NFI[Hygiene Kit])</f>
        <v>0</v>
      </c>
      <c r="Z678" s="378">
        <f>IF(NFI_Expiration=1,IF($A678&lt;VLOOKUP(I$5,NFI,5,0),1,0)*Table_NFI[[#This Row],[NFI Core Kit]],Table_NFI[NFI Core Kit])</f>
        <v>0</v>
      </c>
      <c r="AA678" s="378">
        <f>IF(NFI_Expiration=1,IF($A678&lt;VLOOKUP(J$5,NFI,5,0),1,0)*Table_NFI[[#This Row],[Sanitary Kit]],Table_NFI[Sanitary Kit])</f>
        <v>0</v>
      </c>
      <c r="AB678" s="378">
        <f>IF(NFI_Expiration=1,IF($A678&lt;VLOOKUP(K$5,NFI,5,0),1,0)*Table_NFI[[#This Row],[Mosquito net]],Table_NFI[Mosquito net])</f>
        <v>0</v>
      </c>
      <c r="AC678" s="378">
        <f>IF(NFI_Expiration=1,IF($A678&lt;VLOOKUP(L$5,NFI,5,0),1,0)*Table_NFI[[#This Row],[Tarpaulin]],Table_NFI[[#This Row],[Tarpaulin]])</f>
        <v>0</v>
      </c>
      <c r="AD678" s="378">
        <f>IF(NFI_Expiration=1,IF($A678&lt;VLOOKUP(M$5,NFI,5,0),1,0)*Table_NFI[[#This Row],[Blanket]],Table_NFI[[#This Row],[Blanket]])</f>
        <v>0</v>
      </c>
      <c r="AE678" s="378">
        <f>IF(NFI_Expiration=1,IF($A678&lt;VLOOKUP(N$5,NFI,5,0),1,0)*Table_NFI[[#This Row],[Kitchen Set]],Table_NFI[Kitchen Set])</f>
        <v>0</v>
      </c>
      <c r="AF678" s="378">
        <f>IF(NFI_Expiration=1,IF($A678&lt;VLOOKUP(O$5,NFI,5,0),1,0)*Table_NFI[[#This Row],[Clothes Kit]],Table_NFI[Clothes Kit])</f>
        <v>0</v>
      </c>
      <c r="AG678" s="378">
        <f>IF(NFI_Expiration=1,IF($A678&lt;VLOOKUP(P$5,NFI,5,0),1,0)*Table_NFI[[#This Row],[Plastic Bucket]],Table_NFI[Plastic Bucket])</f>
        <v>0</v>
      </c>
      <c r="AH678" s="378">
        <f>IF(NFI_Expiration=1,IF($A678&lt;VLOOKUP(Q$5,NFI,5,0),1,0)*Table_NFI[[#This Row],[Plastic Mat]],Table_NFI[Plastic Mat])*IF(Table_NFI[[#This Row],[Distribution Date]]&gt;"2014-04-01",1,2.5)</f>
        <v>0</v>
      </c>
      <c r="AI678" s="378">
        <f>IF(NFI_Expiration=1,IF($A678&lt;VLOOKUP(R$5,NFI,5,0),1,0)*Table_NFI[[#This Row],[Winter Clothes Adult]],Table_NFI[Winter Clothes Adult])</f>
        <v>0</v>
      </c>
      <c r="AJ678" s="378">
        <f>IF(NFI_Expiration=1,IF($A678&lt;VLOOKUP(S$5,NFI,5,0),1,0)*Table_NFI[[#This Row],[Winter Clothes Children]],Table_NFI[Winter Clothes Children])</f>
        <v>0</v>
      </c>
      <c r="AK678" s="378">
        <f>IF(NFI_Expiration=1,IF($A678&lt;VLOOKUP(T$5,NFI,5,0),1,0)*Table_NFI[[#This Row],[Winter Items Other]],Table_NFI[Winter Items Other])</f>
        <v>0</v>
      </c>
      <c r="AL678" s="378">
        <f>IF(NFI_Expiration=1,IF($A678&lt;VLOOKUP(M$5,NFI,5,0),1,0)*Table_NFI[[#This Row],[Winter Blanket]],Table_NFI[[#This Row],[Winter Blanket]])</f>
        <v>0</v>
      </c>
      <c r="AM678" s="378">
        <f>IF(Table_NFI[[#This Row],[Winter Clothes Adult]]+Table_NFI[[#This Row],[Winter Clothes Children]]+Table_NFI[[#This Row],[Winter Items Other]]+Table_NFI[[#This Row],[Winter Blanket]]&gt;0,1,0)</f>
        <v>0</v>
      </c>
      <c r="AN678" s="418">
        <f>IF(NFI_Expiration=1,IF($A678&lt;VLOOKUP(V$5,NFI,5,0),1,0)*Table_NFI[[#This Row],[Jerry Can]],Table_NFI[Jerry Can])</f>
        <v>0</v>
      </c>
      <c r="AO678" s="579" t="str">
        <f>IFERROR(VLOOKUP(Table_NFI[[#This Row],[Camp Name]],CL,2,0),"")</f>
        <v>MMR001CMP193</v>
      </c>
      <c r="AP678" s="574">
        <f ca="1">IF(Table_NFI[[#This Row],[Pcode]]="","",IF(OFFSET(CampList[Opening Date],MATCH(Table_NFI[[#This Row],[Pcode]],CampList[CP_Pcode],0)-1,0,1,1)&gt;=NFI_Monitor_Date,1,0))</f>
        <v>0</v>
      </c>
      <c r="AQ678" s="579" t="str">
        <f>IFERROR(VLOOKUP(Table_NFI[[#This Row],[Camp Name]],CL,3,0),"")</f>
        <v>Open</v>
      </c>
      <c r="AR678" s="378" t="str">
        <f ca="1">IF(Table_NFI[[#This Row],[Pcode]]="","",OFFSET(CampList[Priority],MATCH(Table_NFI[[#This Row],[Pcode]],CampList[CP_Pcode],0)-1,0,1,1))</f>
        <v>P4</v>
      </c>
      <c r="AS678" s="377">
        <f>IFERROR(Table_NFI[[#This Row],[Kitchen Set]]/VLOOKUP(Table_NFI[[#This Row],[Camp Name]],CL,4,0),"")</f>
        <v>0.32666666666666666</v>
      </c>
      <c r="AT678" s="572" t="s">
        <v>1095</v>
      </c>
      <c r="AU678" s="575"/>
    </row>
    <row r="679" spans="1:47" s="576" customFormat="1" x14ac:dyDescent="0.25">
      <c r="A679" s="381">
        <f t="shared" si="10"/>
        <v>31.5</v>
      </c>
      <c r="B679" s="571">
        <v>41577</v>
      </c>
      <c r="C679" s="572" t="s">
        <v>454</v>
      </c>
      <c r="D679" s="572" t="s">
        <v>454</v>
      </c>
      <c r="E679" s="572" t="s">
        <v>380</v>
      </c>
      <c r="F679" s="374" t="s">
        <v>5</v>
      </c>
      <c r="G679" s="374" t="s">
        <v>366</v>
      </c>
      <c r="H679" s="375"/>
      <c r="I679" s="375"/>
      <c r="J679" s="375">
        <v>81</v>
      </c>
      <c r="K679" s="375">
        <v>94</v>
      </c>
      <c r="L679" s="376">
        <v>50</v>
      </c>
      <c r="M679" s="376">
        <v>94</v>
      </c>
      <c r="N679" s="376">
        <v>50</v>
      </c>
      <c r="O679" s="376">
        <v>50</v>
      </c>
      <c r="P679" s="378">
        <v>50</v>
      </c>
      <c r="Q679" s="378">
        <v>50</v>
      </c>
      <c r="R679" s="378"/>
      <c r="S679" s="378"/>
      <c r="T679" s="378"/>
      <c r="U679" s="378"/>
      <c r="V679" s="533"/>
      <c r="W679" s="378"/>
      <c r="X679" s="378"/>
      <c r="Y679" s="378">
        <f>IF(NFI_Expiration=1,IF($A679&lt;VLOOKUP(H$5,NFI,5,0),1,0)*Table_NFI[[#This Row],[Hygiene Kit]],Table_NFI[Hygiene Kit])</f>
        <v>0</v>
      </c>
      <c r="Z679" s="378">
        <f>IF(NFI_Expiration=1,IF($A679&lt;VLOOKUP(I$5,NFI,5,0),1,0)*Table_NFI[[#This Row],[NFI Core Kit]],Table_NFI[NFI Core Kit])</f>
        <v>0</v>
      </c>
      <c r="AA679" s="378">
        <f>IF(NFI_Expiration=1,IF($A679&lt;VLOOKUP(J$5,NFI,5,0),1,0)*Table_NFI[[#This Row],[Sanitary Kit]],Table_NFI[Sanitary Kit])</f>
        <v>0</v>
      </c>
      <c r="AB679" s="378">
        <f>IF(NFI_Expiration=1,IF($A679&lt;VLOOKUP(K$5,NFI,5,0),1,0)*Table_NFI[[#This Row],[Mosquito net]],Table_NFI[Mosquito net])</f>
        <v>0</v>
      </c>
      <c r="AC679" s="378">
        <f>IF(NFI_Expiration=1,IF($A679&lt;VLOOKUP(L$5,NFI,5,0),1,0)*Table_NFI[[#This Row],[Tarpaulin]],Table_NFI[[#This Row],[Tarpaulin]])</f>
        <v>0</v>
      </c>
      <c r="AD679" s="378">
        <f>IF(NFI_Expiration=1,IF($A679&lt;VLOOKUP(M$5,NFI,5,0),1,0)*Table_NFI[[#This Row],[Blanket]],Table_NFI[[#This Row],[Blanket]])</f>
        <v>0</v>
      </c>
      <c r="AE679" s="378">
        <f>IF(NFI_Expiration=1,IF($A679&lt;VLOOKUP(N$5,NFI,5,0),1,0)*Table_NFI[[#This Row],[Kitchen Set]],Table_NFI[Kitchen Set])</f>
        <v>0</v>
      </c>
      <c r="AF679" s="378">
        <f>IF(NFI_Expiration=1,IF($A679&lt;VLOOKUP(O$5,NFI,5,0),1,0)*Table_NFI[[#This Row],[Clothes Kit]],Table_NFI[Clothes Kit])</f>
        <v>0</v>
      </c>
      <c r="AG679" s="378">
        <f>IF(NFI_Expiration=1,IF($A679&lt;VLOOKUP(P$5,NFI,5,0),1,0)*Table_NFI[[#This Row],[Plastic Bucket]],Table_NFI[Plastic Bucket])</f>
        <v>0</v>
      </c>
      <c r="AH679" s="378">
        <f>IF(NFI_Expiration=1,IF($A679&lt;VLOOKUP(Q$5,NFI,5,0),1,0)*Table_NFI[[#This Row],[Plastic Mat]],Table_NFI[Plastic Mat])*IF(Table_NFI[[#This Row],[Distribution Date]]&gt;"2014-04-01",1,2.5)</f>
        <v>0</v>
      </c>
      <c r="AI679" s="378">
        <f>IF(NFI_Expiration=1,IF($A679&lt;VLOOKUP(R$5,NFI,5,0),1,0)*Table_NFI[[#This Row],[Winter Clothes Adult]],Table_NFI[Winter Clothes Adult])</f>
        <v>0</v>
      </c>
      <c r="AJ679" s="378">
        <f>IF(NFI_Expiration=1,IF($A679&lt;VLOOKUP(S$5,NFI,5,0),1,0)*Table_NFI[[#This Row],[Winter Clothes Children]],Table_NFI[Winter Clothes Children])</f>
        <v>0</v>
      </c>
      <c r="AK679" s="378">
        <f>IF(NFI_Expiration=1,IF($A679&lt;VLOOKUP(T$5,NFI,5,0),1,0)*Table_NFI[[#This Row],[Winter Items Other]],Table_NFI[Winter Items Other])</f>
        <v>0</v>
      </c>
      <c r="AL679" s="378">
        <f>IF(NFI_Expiration=1,IF($A679&lt;VLOOKUP(M$5,NFI,5,0),1,0)*Table_NFI[[#This Row],[Winter Blanket]],Table_NFI[[#This Row],[Winter Blanket]])</f>
        <v>0</v>
      </c>
      <c r="AM679" s="378">
        <f>IF(Table_NFI[[#This Row],[Winter Clothes Adult]]+Table_NFI[[#This Row],[Winter Clothes Children]]+Table_NFI[[#This Row],[Winter Items Other]]+Table_NFI[[#This Row],[Winter Blanket]]&gt;0,1,0)</f>
        <v>0</v>
      </c>
      <c r="AN679" s="418">
        <f>IF(NFI_Expiration=1,IF($A679&lt;VLOOKUP(V$5,NFI,5,0),1,0)*Table_NFI[[#This Row],[Jerry Can]],Table_NFI[Jerry Can])</f>
        <v>0</v>
      </c>
      <c r="AO679" s="579" t="str">
        <f>IFERROR(VLOOKUP(Table_NFI[[#This Row],[Camp Name]],CL,2,0),"")</f>
        <v>MMR001CMP193</v>
      </c>
      <c r="AP679" s="574">
        <f ca="1">IF(Table_NFI[[#This Row],[Pcode]]="","",IF(OFFSET(CampList[Opening Date],MATCH(Table_NFI[[#This Row],[Pcode]],CampList[CP_Pcode],0)-1,0,1,1)&gt;=NFI_Monitor_Date,1,0))</f>
        <v>0</v>
      </c>
      <c r="AQ679" s="579" t="str">
        <f>IFERROR(VLOOKUP(Table_NFI[[#This Row],[Camp Name]],CL,3,0),"")</f>
        <v>Open</v>
      </c>
      <c r="AR679" s="378" t="str">
        <f ca="1">IF(Table_NFI[[#This Row],[Pcode]]="","",OFFSET(CampList[Priority],MATCH(Table_NFI[[#This Row],[Pcode]],CampList[CP_Pcode],0)-1,0,1,1))</f>
        <v>P4</v>
      </c>
      <c r="AS679" s="377">
        <f>IFERROR(Table_NFI[[#This Row],[Kitchen Set]]/VLOOKUP(Table_NFI[[#This Row],[Camp Name]],CL,4,0),"")</f>
        <v>0.33333333333333331</v>
      </c>
      <c r="AT679" s="572" t="s">
        <v>1095</v>
      </c>
      <c r="AU679" s="575"/>
    </row>
    <row r="680" spans="1:47" s="576" customFormat="1" x14ac:dyDescent="0.25">
      <c r="A680" s="381">
        <f t="shared" si="10"/>
        <v>18.133333333333333</v>
      </c>
      <c r="B680" s="571">
        <v>41978</v>
      </c>
      <c r="C680" s="572" t="s">
        <v>454</v>
      </c>
      <c r="D680" s="572" t="s">
        <v>508</v>
      </c>
      <c r="E680" s="572" t="s">
        <v>380</v>
      </c>
      <c r="F680" s="572" t="s">
        <v>310</v>
      </c>
      <c r="G680" s="572" t="s">
        <v>355</v>
      </c>
      <c r="H680" s="375"/>
      <c r="I680" s="375"/>
      <c r="J680" s="375"/>
      <c r="K680" s="375">
        <v>124</v>
      </c>
      <c r="L680" s="376"/>
      <c r="M680" s="376"/>
      <c r="N680" s="376"/>
      <c r="O680" s="376"/>
      <c r="P680" s="378"/>
      <c r="Q680" s="378"/>
      <c r="R680" s="378">
        <v>262</v>
      </c>
      <c r="S680" s="378">
        <v>400</v>
      </c>
      <c r="T680" s="378"/>
      <c r="U680" s="378">
        <v>257</v>
      </c>
      <c r="V680" s="533"/>
      <c r="W680" s="378"/>
      <c r="X680" s="378"/>
      <c r="Y680" s="378">
        <f>IF(NFI_Expiration=1,IF($A680&lt;VLOOKUP(H$5,NFI,5,0),1,0)*Table_NFI[[#This Row],[Hygiene Kit]],Table_NFI[Hygiene Kit])</f>
        <v>0</v>
      </c>
      <c r="Z680" s="378">
        <f>IF(NFI_Expiration=1,IF($A680&lt;VLOOKUP(I$5,NFI,5,0),1,0)*Table_NFI[[#This Row],[NFI Core Kit]],Table_NFI[NFI Core Kit])</f>
        <v>0</v>
      </c>
      <c r="AA680" s="378">
        <f>IF(NFI_Expiration=1,IF($A680&lt;VLOOKUP(J$5,NFI,5,0),1,0)*Table_NFI[[#This Row],[Sanitary Kit]],Table_NFI[Sanitary Kit])</f>
        <v>0</v>
      </c>
      <c r="AB680" s="378">
        <f>IF(NFI_Expiration=1,IF($A680&lt;VLOOKUP(K$5,NFI,5,0),1,0)*Table_NFI[[#This Row],[Mosquito net]],Table_NFI[Mosquito net])</f>
        <v>0</v>
      </c>
      <c r="AC680" s="378">
        <f>IF(NFI_Expiration=1,IF($A680&lt;VLOOKUP(L$5,NFI,5,0),1,0)*Table_NFI[[#This Row],[Tarpaulin]],Table_NFI[[#This Row],[Tarpaulin]])</f>
        <v>0</v>
      </c>
      <c r="AD680" s="378">
        <f>IF(NFI_Expiration=1,IF($A680&lt;VLOOKUP(M$5,NFI,5,0),1,0)*Table_NFI[[#This Row],[Blanket]],Table_NFI[[#This Row],[Blanket]])</f>
        <v>0</v>
      </c>
      <c r="AE680" s="378">
        <f>IF(NFI_Expiration=1,IF($A680&lt;VLOOKUP(N$5,NFI,5,0),1,0)*Table_NFI[[#This Row],[Kitchen Set]],Table_NFI[Kitchen Set])</f>
        <v>0</v>
      </c>
      <c r="AF680" s="378">
        <f>IF(NFI_Expiration=1,IF($A680&lt;VLOOKUP(O$5,NFI,5,0),1,0)*Table_NFI[[#This Row],[Clothes Kit]],Table_NFI[Clothes Kit])</f>
        <v>0</v>
      </c>
      <c r="AG680" s="378">
        <f>IF(NFI_Expiration=1,IF($A680&lt;VLOOKUP(P$5,NFI,5,0),1,0)*Table_NFI[[#This Row],[Plastic Bucket]],Table_NFI[Plastic Bucket])</f>
        <v>0</v>
      </c>
      <c r="AH680" s="378">
        <f>IF(NFI_Expiration=1,IF($A680&lt;VLOOKUP(Q$5,NFI,5,0),1,0)*Table_NFI[[#This Row],[Plastic Mat]],Table_NFI[Plastic Mat])*IF(Table_NFI[[#This Row],[Distribution Date]]&gt;"2014-04-01",1,2.5)</f>
        <v>0</v>
      </c>
      <c r="AI680" s="378">
        <f>IF(NFI_Expiration=1,IF($A680&lt;VLOOKUP(R$5,NFI,5,0),1,0)*Table_NFI[[#This Row],[Winter Clothes Adult]],Table_NFI[Winter Clothes Adult])</f>
        <v>0</v>
      </c>
      <c r="AJ680" s="378">
        <f>IF(NFI_Expiration=1,IF($A680&lt;VLOOKUP(S$5,NFI,5,0),1,0)*Table_NFI[[#This Row],[Winter Clothes Children]],Table_NFI[Winter Clothes Children])</f>
        <v>0</v>
      </c>
      <c r="AK680" s="378">
        <f>IF(NFI_Expiration=1,IF($A680&lt;VLOOKUP(T$5,NFI,5,0),1,0)*Table_NFI[[#This Row],[Winter Items Other]],Table_NFI[Winter Items Other])</f>
        <v>0</v>
      </c>
      <c r="AL680" s="378">
        <f>IF(NFI_Expiration=1,IF($A680&lt;VLOOKUP(M$5,NFI,5,0),1,0)*Table_NFI[[#This Row],[Winter Blanket]],Table_NFI[[#This Row],[Winter Blanket]])</f>
        <v>0</v>
      </c>
      <c r="AM680" s="378">
        <f>IF(Table_NFI[[#This Row],[Winter Clothes Adult]]+Table_NFI[[#This Row],[Winter Clothes Children]]+Table_NFI[[#This Row],[Winter Items Other]]+Table_NFI[[#This Row],[Winter Blanket]]&gt;0,1,0)</f>
        <v>1</v>
      </c>
      <c r="AN680" s="418">
        <f>IF(NFI_Expiration=1,IF($A680&lt;VLOOKUP(V$5,NFI,5,0),1,0)*Table_NFI[[#This Row],[Jerry Can]],Table_NFI[Jerry Can])</f>
        <v>0</v>
      </c>
      <c r="AO680" s="579" t="str">
        <f>IFERROR(VLOOKUP(Table_NFI[[#This Row],[Camp Name]],CL,2,0),"")</f>
        <v>MMR001CMP160</v>
      </c>
      <c r="AP680" s="574">
        <f ca="1">IF(Table_NFI[[#This Row],[Pcode]]="","",IF(OFFSET(CampList[Opening Date],MATCH(Table_NFI[[#This Row],[Pcode]],CampList[CP_Pcode],0)-1,0,1,1)&gt;=NFI_Monitor_Date,1,0))</f>
        <v>0</v>
      </c>
      <c r="AQ680" s="579" t="str">
        <f>IFERROR(VLOOKUP(Table_NFI[[#This Row],[Camp Name]],CL,3,0),"")</f>
        <v>Open</v>
      </c>
      <c r="AR680" s="378" t="str">
        <f ca="1">IF(Table_NFI[[#This Row],[Pcode]]="","",OFFSET(CampList[Priority],MATCH(Table_NFI[[#This Row],[Pcode]],CampList[CP_Pcode],0)-1,0,1,1))</f>
        <v>P1</v>
      </c>
      <c r="AS680" s="377">
        <f>IFERROR(Table_NFI[[#This Row],[Kitchen Set]]/VLOOKUP(Table_NFI[[#This Row],[Camp Name]],CL,4,0),"")</f>
        <v>0</v>
      </c>
      <c r="AT680" s="572"/>
      <c r="AU680" s="575"/>
    </row>
    <row r="681" spans="1:47" x14ac:dyDescent="0.25">
      <c r="A681" s="381">
        <f t="shared" si="10"/>
        <v>28.766666666666666</v>
      </c>
      <c r="B681" s="571">
        <v>41659</v>
      </c>
      <c r="C681" s="572" t="s">
        <v>455</v>
      </c>
      <c r="D681" s="572" t="s">
        <v>508</v>
      </c>
      <c r="E681" s="572" t="s">
        <v>380</v>
      </c>
      <c r="F681" s="572" t="s">
        <v>310</v>
      </c>
      <c r="G681" s="572" t="s">
        <v>355</v>
      </c>
      <c r="H681" s="375"/>
      <c r="I681" s="375"/>
      <c r="J681" s="375"/>
      <c r="K681" s="375"/>
      <c r="L681" s="376"/>
      <c r="M681" s="376"/>
      <c r="N681" s="376"/>
      <c r="O681" s="376">
        <v>127</v>
      </c>
      <c r="P681" s="378"/>
      <c r="Q681" s="378"/>
      <c r="R681" s="378"/>
      <c r="S681" s="378"/>
      <c r="T681" s="378"/>
      <c r="U681" s="378"/>
      <c r="V681" s="533"/>
      <c r="W681" s="378"/>
      <c r="X681" s="378"/>
      <c r="Y681" s="378">
        <f>IF(NFI_Expiration=1,IF($A681&lt;VLOOKUP(H$5,NFI,5,0),1,0)*Table_NFI[[#This Row],[Hygiene Kit]],Table_NFI[Hygiene Kit])</f>
        <v>0</v>
      </c>
      <c r="Z681" s="378">
        <f>IF(NFI_Expiration=1,IF($A681&lt;VLOOKUP(I$5,NFI,5,0),1,0)*Table_NFI[[#This Row],[NFI Core Kit]],Table_NFI[NFI Core Kit])</f>
        <v>0</v>
      </c>
      <c r="AA681" s="378">
        <f>IF(NFI_Expiration=1,IF($A681&lt;VLOOKUP(J$5,NFI,5,0),1,0)*Table_NFI[[#This Row],[Sanitary Kit]],Table_NFI[Sanitary Kit])</f>
        <v>0</v>
      </c>
      <c r="AB681" s="378">
        <f>IF(NFI_Expiration=1,IF($A681&lt;VLOOKUP(K$5,NFI,5,0),1,0)*Table_NFI[[#This Row],[Mosquito net]],Table_NFI[Mosquito net])</f>
        <v>0</v>
      </c>
      <c r="AC681" s="378">
        <f>IF(NFI_Expiration=1,IF($A681&lt;VLOOKUP(L$5,NFI,5,0),1,0)*Table_NFI[[#This Row],[Tarpaulin]],Table_NFI[[#This Row],[Tarpaulin]])</f>
        <v>0</v>
      </c>
      <c r="AD681" s="378">
        <f>IF(NFI_Expiration=1,IF($A681&lt;VLOOKUP(M$5,NFI,5,0),1,0)*Table_NFI[[#This Row],[Blanket]],Table_NFI[[#This Row],[Blanket]])</f>
        <v>0</v>
      </c>
      <c r="AE681" s="378">
        <f>IF(NFI_Expiration=1,IF($A681&lt;VLOOKUP(N$5,NFI,5,0),1,0)*Table_NFI[[#This Row],[Kitchen Set]],Table_NFI[Kitchen Set])</f>
        <v>0</v>
      </c>
      <c r="AF681" s="378">
        <f>IF(NFI_Expiration=1,IF($A681&lt;VLOOKUP(O$5,NFI,5,0),1,0)*Table_NFI[[#This Row],[Clothes Kit]],Table_NFI[Clothes Kit])</f>
        <v>0</v>
      </c>
      <c r="AG681" s="378">
        <f>IF(NFI_Expiration=1,IF($A681&lt;VLOOKUP(P$5,NFI,5,0),1,0)*Table_NFI[[#This Row],[Plastic Bucket]],Table_NFI[Plastic Bucket])</f>
        <v>0</v>
      </c>
      <c r="AH681" s="378">
        <f>IF(NFI_Expiration=1,IF($A681&lt;VLOOKUP(Q$5,NFI,5,0),1,0)*Table_NFI[[#This Row],[Plastic Mat]],Table_NFI[Plastic Mat])*IF(Table_NFI[[#This Row],[Distribution Date]]&gt;"2014-04-01",1,2.5)</f>
        <v>0</v>
      </c>
      <c r="AI681" s="378">
        <f>IF(NFI_Expiration=1,IF($A681&lt;VLOOKUP(R$5,NFI,5,0),1,0)*Table_NFI[[#This Row],[Winter Clothes Adult]],Table_NFI[Winter Clothes Adult])</f>
        <v>0</v>
      </c>
      <c r="AJ681" s="378">
        <f>IF(NFI_Expiration=1,IF($A681&lt;VLOOKUP(S$5,NFI,5,0),1,0)*Table_NFI[[#This Row],[Winter Clothes Children]],Table_NFI[Winter Clothes Children])</f>
        <v>0</v>
      </c>
      <c r="AK681" s="378">
        <f>IF(NFI_Expiration=1,IF($A681&lt;VLOOKUP(T$5,NFI,5,0),1,0)*Table_NFI[[#This Row],[Winter Items Other]],Table_NFI[Winter Items Other])</f>
        <v>0</v>
      </c>
      <c r="AL681" s="378">
        <f>IF(NFI_Expiration=1,IF($A681&lt;VLOOKUP(M$5,NFI,5,0),1,0)*Table_NFI[[#This Row],[Winter Blanket]],Table_NFI[[#This Row],[Winter Blanket]])</f>
        <v>0</v>
      </c>
      <c r="AM681" s="378">
        <f>IF(Table_NFI[[#This Row],[Winter Clothes Adult]]+Table_NFI[[#This Row],[Winter Clothes Children]]+Table_NFI[[#This Row],[Winter Items Other]]+Table_NFI[[#This Row],[Winter Blanket]]&gt;0,1,0)</f>
        <v>0</v>
      </c>
      <c r="AN681" s="418">
        <f>IF(NFI_Expiration=1,IF($A681&lt;VLOOKUP(V$5,NFI,5,0),1,0)*Table_NFI[[#This Row],[Jerry Can]],Table_NFI[Jerry Can])</f>
        <v>0</v>
      </c>
      <c r="AO681" s="579" t="str">
        <f>IFERROR(VLOOKUP(Table_NFI[[#This Row],[Camp Name]],CL,2,0),"")</f>
        <v>MMR001CMP160</v>
      </c>
      <c r="AP681" s="574">
        <f ca="1">IF(Table_NFI[[#This Row],[Pcode]]="","",IF(OFFSET(CampList[Opening Date],MATCH(Table_NFI[[#This Row],[Pcode]],CampList[CP_Pcode],0)-1,0,1,1)&gt;=NFI_Monitor_Date,1,0))</f>
        <v>0</v>
      </c>
      <c r="AQ681" s="579" t="str">
        <f>IFERROR(VLOOKUP(Table_NFI[[#This Row],[Camp Name]],CL,3,0),"")</f>
        <v>Open</v>
      </c>
      <c r="AR681" s="378" t="str">
        <f ca="1">IF(Table_NFI[[#This Row],[Pcode]]="","",OFFSET(CampList[Priority],MATCH(Table_NFI[[#This Row],[Pcode]],CampList[CP_Pcode],0)-1,0,1,1))</f>
        <v>P1</v>
      </c>
      <c r="AS681" s="377">
        <f>IFERROR(Table_NFI[[#This Row],[Kitchen Set]]/VLOOKUP(Table_NFI[[#This Row],[Camp Name]],CL,4,0),"")</f>
        <v>0</v>
      </c>
      <c r="AT681" s="572" t="s">
        <v>1095</v>
      </c>
      <c r="AU681" s="575"/>
    </row>
    <row r="682" spans="1:47" x14ac:dyDescent="0.25">
      <c r="A682" s="381">
        <f t="shared" si="10"/>
        <v>28.766666666666666</v>
      </c>
      <c r="B682" s="571">
        <v>41659</v>
      </c>
      <c r="C682" s="572" t="s">
        <v>455</v>
      </c>
      <c r="D682" s="572" t="s">
        <v>508</v>
      </c>
      <c r="E682" s="572" t="s">
        <v>380</v>
      </c>
      <c r="F682" s="572" t="s">
        <v>310</v>
      </c>
      <c r="G682" s="572" t="s">
        <v>355</v>
      </c>
      <c r="H682" s="375"/>
      <c r="I682" s="375"/>
      <c r="J682" s="375"/>
      <c r="K682" s="375"/>
      <c r="L682" s="376"/>
      <c r="M682" s="376"/>
      <c r="N682" s="376"/>
      <c r="O682" s="376"/>
      <c r="P682" s="378"/>
      <c r="Q682" s="378"/>
      <c r="R682" s="378">
        <v>443</v>
      </c>
      <c r="S682" s="378">
        <v>218</v>
      </c>
      <c r="T682" s="378"/>
      <c r="U682" s="378"/>
      <c r="V682" s="533"/>
      <c r="W682" s="378"/>
      <c r="X682" s="378"/>
      <c r="Y682" s="378">
        <f>IF(NFI_Expiration=1,IF($A682&lt;VLOOKUP(H$5,NFI,5,0),1,0)*Table_NFI[[#This Row],[Hygiene Kit]],Table_NFI[Hygiene Kit])</f>
        <v>0</v>
      </c>
      <c r="Z682" s="378">
        <f>IF(NFI_Expiration=1,IF($A682&lt;VLOOKUP(I$5,NFI,5,0),1,0)*Table_NFI[[#This Row],[NFI Core Kit]],Table_NFI[NFI Core Kit])</f>
        <v>0</v>
      </c>
      <c r="AA682" s="378">
        <f>IF(NFI_Expiration=1,IF($A682&lt;VLOOKUP(J$5,NFI,5,0),1,0)*Table_NFI[[#This Row],[Sanitary Kit]],Table_NFI[Sanitary Kit])</f>
        <v>0</v>
      </c>
      <c r="AB682" s="378">
        <f>IF(NFI_Expiration=1,IF($A682&lt;VLOOKUP(K$5,NFI,5,0),1,0)*Table_NFI[[#This Row],[Mosquito net]],Table_NFI[Mosquito net])</f>
        <v>0</v>
      </c>
      <c r="AC682" s="378">
        <f>IF(NFI_Expiration=1,IF($A682&lt;VLOOKUP(L$5,NFI,5,0),1,0)*Table_NFI[[#This Row],[Tarpaulin]],Table_NFI[[#This Row],[Tarpaulin]])</f>
        <v>0</v>
      </c>
      <c r="AD682" s="378">
        <f>IF(NFI_Expiration=1,IF($A682&lt;VLOOKUP(M$5,NFI,5,0),1,0)*Table_NFI[[#This Row],[Blanket]],Table_NFI[[#This Row],[Blanket]])</f>
        <v>0</v>
      </c>
      <c r="AE682" s="378">
        <f>IF(NFI_Expiration=1,IF($A682&lt;VLOOKUP(N$5,NFI,5,0),1,0)*Table_NFI[[#This Row],[Kitchen Set]],Table_NFI[Kitchen Set])</f>
        <v>0</v>
      </c>
      <c r="AF682" s="378">
        <f>IF(NFI_Expiration=1,IF($A682&lt;VLOOKUP(O$5,NFI,5,0),1,0)*Table_NFI[[#This Row],[Clothes Kit]],Table_NFI[Clothes Kit])</f>
        <v>0</v>
      </c>
      <c r="AG682" s="378">
        <f>IF(NFI_Expiration=1,IF($A682&lt;VLOOKUP(P$5,NFI,5,0),1,0)*Table_NFI[[#This Row],[Plastic Bucket]],Table_NFI[Plastic Bucket])</f>
        <v>0</v>
      </c>
      <c r="AH682" s="378">
        <f>IF(NFI_Expiration=1,IF($A682&lt;VLOOKUP(Q$5,NFI,5,0),1,0)*Table_NFI[[#This Row],[Plastic Mat]],Table_NFI[Plastic Mat])*IF(Table_NFI[[#This Row],[Distribution Date]]&gt;"2014-04-01",1,2.5)</f>
        <v>0</v>
      </c>
      <c r="AI682" s="378">
        <f>IF(NFI_Expiration=1,IF($A682&lt;VLOOKUP(R$5,NFI,5,0),1,0)*Table_NFI[[#This Row],[Winter Clothes Adult]],Table_NFI[Winter Clothes Adult])</f>
        <v>0</v>
      </c>
      <c r="AJ682" s="378">
        <f>IF(NFI_Expiration=1,IF($A682&lt;VLOOKUP(S$5,NFI,5,0),1,0)*Table_NFI[[#This Row],[Winter Clothes Children]],Table_NFI[Winter Clothes Children])</f>
        <v>0</v>
      </c>
      <c r="AK682" s="378">
        <f>IF(NFI_Expiration=1,IF($A682&lt;VLOOKUP(T$5,NFI,5,0),1,0)*Table_NFI[[#This Row],[Winter Items Other]],Table_NFI[Winter Items Other])</f>
        <v>0</v>
      </c>
      <c r="AL682" s="378">
        <f>IF(NFI_Expiration=1,IF($A682&lt;VLOOKUP(M$5,NFI,5,0),1,0)*Table_NFI[[#This Row],[Winter Blanket]],Table_NFI[[#This Row],[Winter Blanket]])</f>
        <v>0</v>
      </c>
      <c r="AM682" s="378">
        <f>IF(Table_NFI[[#This Row],[Winter Clothes Adult]]+Table_NFI[[#This Row],[Winter Clothes Children]]+Table_NFI[[#This Row],[Winter Items Other]]+Table_NFI[[#This Row],[Winter Blanket]]&gt;0,1,0)</f>
        <v>1</v>
      </c>
      <c r="AN682" s="418">
        <f>IF(NFI_Expiration=1,IF($A682&lt;VLOOKUP(V$5,NFI,5,0),1,0)*Table_NFI[[#This Row],[Jerry Can]],Table_NFI[Jerry Can])</f>
        <v>0</v>
      </c>
      <c r="AO682" s="579" t="str">
        <f>IFERROR(VLOOKUP(Table_NFI[[#This Row],[Camp Name]],CL,2,0),"")</f>
        <v>MMR001CMP160</v>
      </c>
      <c r="AP682" s="574">
        <f ca="1">IF(Table_NFI[[#This Row],[Pcode]]="","",IF(OFFSET(CampList[Opening Date],MATCH(Table_NFI[[#This Row],[Pcode]],CampList[CP_Pcode],0)-1,0,1,1)&gt;=NFI_Monitor_Date,1,0))</f>
        <v>0</v>
      </c>
      <c r="AQ682" s="579" t="str">
        <f>IFERROR(VLOOKUP(Table_NFI[[#This Row],[Camp Name]],CL,3,0),"")</f>
        <v>Open</v>
      </c>
      <c r="AR682" s="378" t="str">
        <f ca="1">IF(Table_NFI[[#This Row],[Pcode]]="","",OFFSET(CampList[Priority],MATCH(Table_NFI[[#This Row],[Pcode]],CampList[CP_Pcode],0)-1,0,1,1))</f>
        <v>P1</v>
      </c>
      <c r="AS682" s="377">
        <f>IFERROR(Table_NFI[[#This Row],[Kitchen Set]]/VLOOKUP(Table_NFI[[#This Row],[Camp Name]],CL,4,0),"")</f>
        <v>0</v>
      </c>
      <c r="AT682" s="572" t="s">
        <v>1095</v>
      </c>
      <c r="AU682" s="575"/>
    </row>
    <row r="683" spans="1:47" x14ac:dyDescent="0.25">
      <c r="A683" s="381">
        <f t="shared" si="10"/>
        <v>30.4</v>
      </c>
      <c r="B683" s="571">
        <v>41610</v>
      </c>
      <c r="C683" s="572" t="s">
        <v>908</v>
      </c>
      <c r="D683" s="572" t="s">
        <v>462</v>
      </c>
      <c r="E683" s="572" t="s">
        <v>380</v>
      </c>
      <c r="F683" s="572" t="s">
        <v>310</v>
      </c>
      <c r="G683" s="572" t="s">
        <v>355</v>
      </c>
      <c r="H683" s="375"/>
      <c r="I683" s="375"/>
      <c r="J683" s="375"/>
      <c r="K683" s="375"/>
      <c r="L683" s="376"/>
      <c r="M683" s="376"/>
      <c r="N683" s="376"/>
      <c r="O683" s="376"/>
      <c r="P683" s="378"/>
      <c r="Q683" s="378"/>
      <c r="R683" s="378">
        <v>124</v>
      </c>
      <c r="S683" s="378">
        <v>248</v>
      </c>
      <c r="T683" s="378">
        <v>744</v>
      </c>
      <c r="U683" s="378">
        <v>372</v>
      </c>
      <c r="V683" s="533"/>
      <c r="W683" s="378"/>
      <c r="X683" s="378"/>
      <c r="Y683" s="378">
        <f>IF(NFI_Expiration=1,IF($A683&lt;VLOOKUP(H$5,NFI,5,0),1,0)*Table_NFI[[#This Row],[Hygiene Kit]],Table_NFI[Hygiene Kit])</f>
        <v>0</v>
      </c>
      <c r="Z683" s="378">
        <f>IF(NFI_Expiration=1,IF($A683&lt;VLOOKUP(I$5,NFI,5,0),1,0)*Table_NFI[[#This Row],[NFI Core Kit]],Table_NFI[NFI Core Kit])</f>
        <v>0</v>
      </c>
      <c r="AA683" s="378">
        <f>IF(NFI_Expiration=1,IF($A683&lt;VLOOKUP(J$5,NFI,5,0),1,0)*Table_NFI[[#This Row],[Sanitary Kit]],Table_NFI[Sanitary Kit])</f>
        <v>0</v>
      </c>
      <c r="AB683" s="378">
        <f>IF(NFI_Expiration=1,IF($A683&lt;VLOOKUP(K$5,NFI,5,0),1,0)*Table_NFI[[#This Row],[Mosquito net]],Table_NFI[Mosquito net])</f>
        <v>0</v>
      </c>
      <c r="AC683" s="378">
        <f>IF(NFI_Expiration=1,IF($A683&lt;VLOOKUP(L$5,NFI,5,0),1,0)*Table_NFI[[#This Row],[Tarpaulin]],Table_NFI[[#This Row],[Tarpaulin]])</f>
        <v>0</v>
      </c>
      <c r="AD683" s="378">
        <f>IF(NFI_Expiration=1,IF($A683&lt;VLOOKUP(M$5,NFI,5,0),1,0)*Table_NFI[[#This Row],[Blanket]],Table_NFI[[#This Row],[Blanket]])</f>
        <v>0</v>
      </c>
      <c r="AE683" s="378">
        <f>IF(NFI_Expiration=1,IF($A683&lt;VLOOKUP(N$5,NFI,5,0),1,0)*Table_NFI[[#This Row],[Kitchen Set]],Table_NFI[Kitchen Set])</f>
        <v>0</v>
      </c>
      <c r="AF683" s="378">
        <f>IF(NFI_Expiration=1,IF($A683&lt;VLOOKUP(O$5,NFI,5,0),1,0)*Table_NFI[[#This Row],[Clothes Kit]],Table_NFI[Clothes Kit])</f>
        <v>0</v>
      </c>
      <c r="AG683" s="378">
        <f>IF(NFI_Expiration=1,IF($A683&lt;VLOOKUP(P$5,NFI,5,0),1,0)*Table_NFI[[#This Row],[Plastic Bucket]],Table_NFI[Plastic Bucket])</f>
        <v>0</v>
      </c>
      <c r="AH683" s="378">
        <f>IF(NFI_Expiration=1,IF($A683&lt;VLOOKUP(Q$5,NFI,5,0),1,0)*Table_NFI[[#This Row],[Plastic Mat]],Table_NFI[Plastic Mat])*IF(Table_NFI[[#This Row],[Distribution Date]]&gt;"2014-04-01",1,2.5)</f>
        <v>0</v>
      </c>
      <c r="AI683" s="378">
        <f>IF(NFI_Expiration=1,IF($A683&lt;VLOOKUP(R$5,NFI,5,0),1,0)*Table_NFI[[#This Row],[Winter Clothes Adult]],Table_NFI[Winter Clothes Adult])</f>
        <v>0</v>
      </c>
      <c r="AJ683" s="378">
        <f>IF(NFI_Expiration=1,IF($A683&lt;VLOOKUP(S$5,NFI,5,0),1,0)*Table_NFI[[#This Row],[Winter Clothes Children]],Table_NFI[Winter Clothes Children])</f>
        <v>0</v>
      </c>
      <c r="AK683" s="378">
        <f>IF(NFI_Expiration=1,IF($A683&lt;VLOOKUP(T$5,NFI,5,0),1,0)*Table_NFI[[#This Row],[Winter Items Other]],Table_NFI[Winter Items Other])</f>
        <v>0</v>
      </c>
      <c r="AL683" s="378">
        <f>IF(NFI_Expiration=1,IF($A683&lt;VLOOKUP(M$5,NFI,5,0),1,0)*Table_NFI[[#This Row],[Winter Blanket]],Table_NFI[[#This Row],[Winter Blanket]])</f>
        <v>0</v>
      </c>
      <c r="AM683" s="378">
        <f>IF(Table_NFI[[#This Row],[Winter Clothes Adult]]+Table_NFI[[#This Row],[Winter Clothes Children]]+Table_NFI[[#This Row],[Winter Items Other]]+Table_NFI[[#This Row],[Winter Blanket]]&gt;0,1,0)</f>
        <v>1</v>
      </c>
      <c r="AN683" s="418">
        <f>IF(NFI_Expiration=1,IF($A683&lt;VLOOKUP(V$5,NFI,5,0),1,0)*Table_NFI[[#This Row],[Jerry Can]],Table_NFI[Jerry Can])</f>
        <v>0</v>
      </c>
      <c r="AO683" s="579" t="str">
        <f>IFERROR(VLOOKUP(Table_NFI[[#This Row],[Camp Name]],CL,2,0),"")</f>
        <v>MMR001CMP160</v>
      </c>
      <c r="AP683" s="574">
        <f ca="1">IF(Table_NFI[[#This Row],[Pcode]]="","",IF(OFFSET(CampList[Opening Date],MATCH(Table_NFI[[#This Row],[Pcode]],CampList[CP_Pcode],0)-1,0,1,1)&gt;=NFI_Monitor_Date,1,0))</f>
        <v>0</v>
      </c>
      <c r="AQ683" s="579" t="str">
        <f>IFERROR(VLOOKUP(Table_NFI[[#This Row],[Camp Name]],CL,3,0),"")</f>
        <v>Open</v>
      </c>
      <c r="AR683" s="378" t="str">
        <f ca="1">IF(Table_NFI[[#This Row],[Pcode]]="","",OFFSET(CampList[Priority],MATCH(Table_NFI[[#This Row],[Pcode]],CampList[CP_Pcode],0)-1,0,1,1))</f>
        <v>P1</v>
      </c>
      <c r="AS683" s="377">
        <f>IFERROR(Table_NFI[[#This Row],[Kitchen Set]]/VLOOKUP(Table_NFI[[#This Row],[Camp Name]],CL,4,0),"")</f>
        <v>0</v>
      </c>
      <c r="AT683" s="572"/>
      <c r="AU683" s="575"/>
    </row>
    <row r="684" spans="1:47" x14ac:dyDescent="0.25">
      <c r="A684" s="381">
        <f t="shared" si="10"/>
        <v>30.466666666666665</v>
      </c>
      <c r="B684" s="571">
        <v>41608</v>
      </c>
      <c r="C684" s="572" t="s">
        <v>908</v>
      </c>
      <c r="D684" s="573" t="s">
        <v>462</v>
      </c>
      <c r="E684" s="572" t="s">
        <v>380</v>
      </c>
      <c r="F684" s="374" t="s">
        <v>310</v>
      </c>
      <c r="G684" s="374" t="s">
        <v>355</v>
      </c>
      <c r="H684" s="375"/>
      <c r="I684" s="375"/>
      <c r="J684" s="375"/>
      <c r="K684" s="375"/>
      <c r="L684" s="376"/>
      <c r="M684" s="376"/>
      <c r="N684" s="376"/>
      <c r="O684" s="376"/>
      <c r="P684" s="378"/>
      <c r="Q684" s="378"/>
      <c r="R684" s="378"/>
      <c r="S684" s="378"/>
      <c r="T684" s="378"/>
      <c r="U684" s="378"/>
      <c r="V684" s="533"/>
      <c r="W684" s="378"/>
      <c r="X684" s="378"/>
      <c r="Y684" s="378">
        <f>IF(NFI_Expiration=1,IF($A684&lt;VLOOKUP(H$5,NFI,5,0),1,0)*Table_NFI[[#This Row],[Hygiene Kit]],Table_NFI[Hygiene Kit])</f>
        <v>0</v>
      </c>
      <c r="Z684" s="378">
        <f>IF(NFI_Expiration=1,IF($A684&lt;VLOOKUP(I$5,NFI,5,0),1,0)*Table_NFI[[#This Row],[NFI Core Kit]],Table_NFI[NFI Core Kit])</f>
        <v>0</v>
      </c>
      <c r="AA684" s="378">
        <f>IF(NFI_Expiration=1,IF($A684&lt;VLOOKUP(J$5,NFI,5,0),1,0)*Table_NFI[[#This Row],[Sanitary Kit]],Table_NFI[Sanitary Kit])</f>
        <v>0</v>
      </c>
      <c r="AB684" s="378">
        <f>IF(NFI_Expiration=1,IF($A684&lt;VLOOKUP(K$5,NFI,5,0),1,0)*Table_NFI[[#This Row],[Mosquito net]],Table_NFI[Mosquito net])</f>
        <v>0</v>
      </c>
      <c r="AC684" s="378">
        <f>IF(NFI_Expiration=1,IF($A684&lt;VLOOKUP(L$5,NFI,5,0),1,0)*Table_NFI[[#This Row],[Tarpaulin]],Table_NFI[[#This Row],[Tarpaulin]])</f>
        <v>0</v>
      </c>
      <c r="AD684" s="378">
        <f>IF(NFI_Expiration=1,IF($A684&lt;VLOOKUP(M$5,NFI,5,0),1,0)*Table_NFI[[#This Row],[Blanket]],Table_NFI[[#This Row],[Blanket]])</f>
        <v>0</v>
      </c>
      <c r="AE684" s="378">
        <f>IF(NFI_Expiration=1,IF($A684&lt;VLOOKUP(N$5,NFI,5,0),1,0)*Table_NFI[[#This Row],[Kitchen Set]],Table_NFI[Kitchen Set])</f>
        <v>0</v>
      </c>
      <c r="AF684" s="378">
        <f>IF(NFI_Expiration=1,IF($A684&lt;VLOOKUP(O$5,NFI,5,0),1,0)*Table_NFI[[#This Row],[Clothes Kit]],Table_NFI[Clothes Kit])</f>
        <v>0</v>
      </c>
      <c r="AG684" s="378">
        <f>IF(NFI_Expiration=1,IF($A684&lt;VLOOKUP(P$5,NFI,5,0),1,0)*Table_NFI[[#This Row],[Plastic Bucket]],Table_NFI[Plastic Bucket])</f>
        <v>0</v>
      </c>
      <c r="AH684" s="378">
        <f>IF(NFI_Expiration=1,IF($A684&lt;VLOOKUP(Q$5,NFI,5,0),1,0)*Table_NFI[[#This Row],[Plastic Mat]],Table_NFI[Plastic Mat])*IF(Table_NFI[[#This Row],[Distribution Date]]&gt;"2014-04-01",1,2.5)</f>
        <v>0</v>
      </c>
      <c r="AI684" s="378">
        <f>IF(NFI_Expiration=1,IF($A684&lt;VLOOKUP(R$5,NFI,5,0),1,0)*Table_NFI[[#This Row],[Winter Clothes Adult]],Table_NFI[Winter Clothes Adult])</f>
        <v>0</v>
      </c>
      <c r="AJ684" s="378">
        <f>IF(NFI_Expiration=1,IF($A684&lt;VLOOKUP(S$5,NFI,5,0),1,0)*Table_NFI[[#This Row],[Winter Clothes Children]],Table_NFI[Winter Clothes Children])</f>
        <v>0</v>
      </c>
      <c r="AK684" s="378">
        <f>IF(NFI_Expiration=1,IF($A684&lt;VLOOKUP(T$5,NFI,5,0),1,0)*Table_NFI[[#This Row],[Winter Items Other]],Table_NFI[Winter Items Other])</f>
        <v>0</v>
      </c>
      <c r="AL684" s="378">
        <f>IF(NFI_Expiration=1,IF($A684&lt;VLOOKUP(M$5,NFI,5,0),1,0)*Table_NFI[[#This Row],[Winter Blanket]],Table_NFI[[#This Row],[Winter Blanket]])</f>
        <v>0</v>
      </c>
      <c r="AM684" s="378">
        <f>IF(Table_NFI[[#This Row],[Winter Clothes Adult]]+Table_NFI[[#This Row],[Winter Clothes Children]]+Table_NFI[[#This Row],[Winter Items Other]]+Table_NFI[[#This Row],[Winter Blanket]]&gt;0,1,0)</f>
        <v>0</v>
      </c>
      <c r="AN684" s="418">
        <f>IF(NFI_Expiration=1,IF($A684&lt;VLOOKUP(V$5,NFI,5,0),1,0)*Table_NFI[[#This Row],[Jerry Can]],Table_NFI[Jerry Can])</f>
        <v>0</v>
      </c>
      <c r="AO684" s="579" t="str">
        <f>IFERROR(VLOOKUP(Table_NFI[[#This Row],[Camp Name]],CL,2,0),"")</f>
        <v>MMR001CMP160</v>
      </c>
      <c r="AP684" s="574">
        <f ca="1">IF(Table_NFI[[#This Row],[Pcode]]="","",IF(OFFSET(CampList[Opening Date],MATCH(Table_NFI[[#This Row],[Pcode]],CampList[CP_Pcode],0)-1,0,1,1)&gt;=NFI_Monitor_Date,1,0))</f>
        <v>0</v>
      </c>
      <c r="AQ684" s="579" t="str">
        <f>IFERROR(VLOOKUP(Table_NFI[[#This Row],[Camp Name]],CL,3,0),"")</f>
        <v>Open</v>
      </c>
      <c r="AR684" s="378" t="str">
        <f ca="1">IF(Table_NFI[[#This Row],[Pcode]]="","",OFFSET(CampList[Priority],MATCH(Table_NFI[[#This Row],[Pcode]],CampList[CP_Pcode],0)-1,0,1,1))</f>
        <v>P1</v>
      </c>
      <c r="AS684" s="377">
        <f>IFERROR(Table_NFI[[#This Row],[Kitchen Set]]/VLOOKUP(Table_NFI[[#This Row],[Camp Name]],CL,4,0),"")</f>
        <v>0</v>
      </c>
      <c r="AT684" s="572" t="s">
        <v>1095</v>
      </c>
      <c r="AU684" s="575"/>
    </row>
    <row r="685" spans="1:47" x14ac:dyDescent="0.25">
      <c r="A685" s="381">
        <f t="shared" si="10"/>
        <v>37.233333333333334</v>
      </c>
      <c r="B685" s="571">
        <v>41405</v>
      </c>
      <c r="C685" s="572" t="s">
        <v>904</v>
      </c>
      <c r="D685" s="573" t="s">
        <v>508</v>
      </c>
      <c r="E685" s="572" t="s">
        <v>380</v>
      </c>
      <c r="F685" s="374" t="s">
        <v>310</v>
      </c>
      <c r="G685" s="374" t="s">
        <v>355</v>
      </c>
      <c r="H685" s="375">
        <v>490</v>
      </c>
      <c r="I685" s="375"/>
      <c r="J685" s="375"/>
      <c r="K685" s="375"/>
      <c r="L685" s="376"/>
      <c r="M685" s="376"/>
      <c r="N685" s="376"/>
      <c r="O685" s="376"/>
      <c r="P685" s="378"/>
      <c r="Q685" s="378"/>
      <c r="R685" s="378"/>
      <c r="S685" s="378"/>
      <c r="T685" s="378"/>
      <c r="U685" s="378"/>
      <c r="V685" s="533"/>
      <c r="W685" s="378"/>
      <c r="X685" s="378"/>
      <c r="Y685" s="378">
        <f>IF(NFI_Expiration=1,IF($A685&lt;VLOOKUP(H$5,NFI,5,0),1,0)*Table_NFI[[#This Row],[Hygiene Kit]],Table_NFI[Hygiene Kit])</f>
        <v>0</v>
      </c>
      <c r="Z685" s="378">
        <f>IF(NFI_Expiration=1,IF($A685&lt;VLOOKUP(I$5,NFI,5,0),1,0)*Table_NFI[[#This Row],[NFI Core Kit]],Table_NFI[NFI Core Kit])</f>
        <v>0</v>
      </c>
      <c r="AA685" s="378">
        <f>IF(NFI_Expiration=1,IF($A685&lt;VLOOKUP(J$5,NFI,5,0),1,0)*Table_NFI[[#This Row],[Sanitary Kit]],Table_NFI[Sanitary Kit])</f>
        <v>0</v>
      </c>
      <c r="AB685" s="378">
        <f>IF(NFI_Expiration=1,IF($A685&lt;VLOOKUP(K$5,NFI,5,0),1,0)*Table_NFI[[#This Row],[Mosquito net]],Table_NFI[Mosquito net])</f>
        <v>0</v>
      </c>
      <c r="AC685" s="378">
        <f>IF(NFI_Expiration=1,IF($A685&lt;VLOOKUP(L$5,NFI,5,0),1,0)*Table_NFI[[#This Row],[Tarpaulin]],Table_NFI[[#This Row],[Tarpaulin]])</f>
        <v>0</v>
      </c>
      <c r="AD685" s="378">
        <f>IF(NFI_Expiration=1,IF($A685&lt;VLOOKUP(M$5,NFI,5,0),1,0)*Table_NFI[[#This Row],[Blanket]],Table_NFI[[#This Row],[Blanket]])</f>
        <v>0</v>
      </c>
      <c r="AE685" s="378">
        <f>IF(NFI_Expiration=1,IF($A685&lt;VLOOKUP(N$5,NFI,5,0),1,0)*Table_NFI[[#This Row],[Kitchen Set]],Table_NFI[Kitchen Set])</f>
        <v>0</v>
      </c>
      <c r="AF685" s="378">
        <f>IF(NFI_Expiration=1,IF($A685&lt;VLOOKUP(O$5,NFI,5,0),1,0)*Table_NFI[[#This Row],[Clothes Kit]],Table_NFI[Clothes Kit])</f>
        <v>0</v>
      </c>
      <c r="AG685" s="378">
        <f>IF(NFI_Expiration=1,IF($A685&lt;VLOOKUP(P$5,NFI,5,0),1,0)*Table_NFI[[#This Row],[Plastic Bucket]],Table_NFI[Plastic Bucket])</f>
        <v>0</v>
      </c>
      <c r="AH685" s="378">
        <f>IF(NFI_Expiration=1,IF($A685&lt;VLOOKUP(Q$5,NFI,5,0),1,0)*Table_NFI[[#This Row],[Plastic Mat]],Table_NFI[Plastic Mat])*IF(Table_NFI[[#This Row],[Distribution Date]]&gt;"2014-04-01",1,2.5)</f>
        <v>0</v>
      </c>
      <c r="AI685" s="378">
        <f>IF(NFI_Expiration=1,IF($A685&lt;VLOOKUP(R$5,NFI,5,0),1,0)*Table_NFI[[#This Row],[Winter Clothes Adult]],Table_NFI[Winter Clothes Adult])</f>
        <v>0</v>
      </c>
      <c r="AJ685" s="378">
        <f>IF(NFI_Expiration=1,IF($A685&lt;VLOOKUP(S$5,NFI,5,0),1,0)*Table_NFI[[#This Row],[Winter Clothes Children]],Table_NFI[Winter Clothes Children])</f>
        <v>0</v>
      </c>
      <c r="AK685" s="378">
        <f>IF(NFI_Expiration=1,IF($A685&lt;VLOOKUP(T$5,NFI,5,0),1,0)*Table_NFI[[#This Row],[Winter Items Other]],Table_NFI[Winter Items Other])</f>
        <v>0</v>
      </c>
      <c r="AL685" s="378">
        <f>IF(NFI_Expiration=1,IF($A685&lt;VLOOKUP(M$5,NFI,5,0),1,0)*Table_NFI[[#This Row],[Winter Blanket]],Table_NFI[[#This Row],[Winter Blanket]])</f>
        <v>0</v>
      </c>
      <c r="AM685" s="378">
        <f>IF(Table_NFI[[#This Row],[Winter Clothes Adult]]+Table_NFI[[#This Row],[Winter Clothes Children]]+Table_NFI[[#This Row],[Winter Items Other]]+Table_NFI[[#This Row],[Winter Blanket]]&gt;0,1,0)</f>
        <v>0</v>
      </c>
      <c r="AN685" s="418">
        <f>IF(NFI_Expiration=1,IF($A685&lt;VLOOKUP(V$5,NFI,5,0),1,0)*Table_NFI[[#This Row],[Jerry Can]],Table_NFI[Jerry Can])</f>
        <v>0</v>
      </c>
      <c r="AO685" s="579" t="str">
        <f>IFERROR(VLOOKUP(Table_NFI[[#This Row],[Camp Name]],CL,2,0),"")</f>
        <v>MMR001CMP160</v>
      </c>
      <c r="AP685" s="574">
        <f ca="1">IF(Table_NFI[[#This Row],[Pcode]]="","",IF(OFFSET(CampList[Opening Date],MATCH(Table_NFI[[#This Row],[Pcode]],CampList[CP_Pcode],0)-1,0,1,1)&gt;=NFI_Monitor_Date,1,0))</f>
        <v>0</v>
      </c>
      <c r="AQ685" s="579" t="str">
        <f>IFERROR(VLOOKUP(Table_NFI[[#This Row],[Camp Name]],CL,3,0),"")</f>
        <v>Open</v>
      </c>
      <c r="AR685" s="378" t="str">
        <f ca="1">IF(Table_NFI[[#This Row],[Pcode]]="","",OFFSET(CampList[Priority],MATCH(Table_NFI[[#This Row],[Pcode]],CampList[CP_Pcode],0)-1,0,1,1))</f>
        <v>P1</v>
      </c>
      <c r="AS685" s="377">
        <f>IFERROR(Table_NFI[[#This Row],[Kitchen Set]]/VLOOKUP(Table_NFI[[#This Row],[Camp Name]],CL,4,0),"")</f>
        <v>0</v>
      </c>
      <c r="AT685" s="572" t="s">
        <v>1095</v>
      </c>
      <c r="AU685" s="575"/>
    </row>
    <row r="686" spans="1:47" x14ac:dyDescent="0.25">
      <c r="A686" s="381">
        <f t="shared" si="10"/>
        <v>50.366666666666667</v>
      </c>
      <c r="B686" s="571">
        <v>41011</v>
      </c>
      <c r="C686" s="572" t="s">
        <v>454</v>
      </c>
      <c r="D686" s="573" t="s">
        <v>454</v>
      </c>
      <c r="E686" s="572" t="s">
        <v>380</v>
      </c>
      <c r="F686" s="374" t="s">
        <v>310</v>
      </c>
      <c r="G686" s="374" t="s">
        <v>355</v>
      </c>
      <c r="H686" s="375"/>
      <c r="I686" s="375"/>
      <c r="J686" s="375"/>
      <c r="K686" s="375">
        <v>123</v>
      </c>
      <c r="L686" s="376">
        <v>95</v>
      </c>
      <c r="M686" s="376">
        <v>123</v>
      </c>
      <c r="N686" s="376">
        <v>95</v>
      </c>
      <c r="O686" s="376">
        <v>95</v>
      </c>
      <c r="P686" s="378">
        <v>95</v>
      </c>
      <c r="Q686" s="378">
        <v>95</v>
      </c>
      <c r="R686" s="378"/>
      <c r="S686" s="378"/>
      <c r="T686" s="378"/>
      <c r="U686" s="378"/>
      <c r="V686" s="533"/>
      <c r="W686" s="378"/>
      <c r="X686" s="378"/>
      <c r="Y686" s="378">
        <f>IF(NFI_Expiration=1,IF($A686&lt;VLOOKUP(H$5,NFI,5,0),1,0)*Table_NFI[[#This Row],[Hygiene Kit]],Table_NFI[Hygiene Kit])</f>
        <v>0</v>
      </c>
      <c r="Z686" s="378">
        <f>IF(NFI_Expiration=1,IF($A686&lt;VLOOKUP(I$5,NFI,5,0),1,0)*Table_NFI[[#This Row],[NFI Core Kit]],Table_NFI[NFI Core Kit])</f>
        <v>0</v>
      </c>
      <c r="AA686" s="378">
        <f>IF(NFI_Expiration=1,IF($A686&lt;VLOOKUP(J$5,NFI,5,0),1,0)*Table_NFI[[#This Row],[Sanitary Kit]],Table_NFI[Sanitary Kit])</f>
        <v>0</v>
      </c>
      <c r="AB686" s="378">
        <f>IF(NFI_Expiration=1,IF($A686&lt;VLOOKUP(K$5,NFI,5,0),1,0)*Table_NFI[[#This Row],[Mosquito net]],Table_NFI[Mosquito net])</f>
        <v>0</v>
      </c>
      <c r="AC686" s="378">
        <f>IF(NFI_Expiration=1,IF($A686&lt;VLOOKUP(L$5,NFI,5,0),1,0)*Table_NFI[[#This Row],[Tarpaulin]],Table_NFI[[#This Row],[Tarpaulin]])</f>
        <v>0</v>
      </c>
      <c r="AD686" s="378">
        <f>IF(NFI_Expiration=1,IF($A686&lt;VLOOKUP(M$5,NFI,5,0),1,0)*Table_NFI[[#This Row],[Blanket]],Table_NFI[[#This Row],[Blanket]])</f>
        <v>0</v>
      </c>
      <c r="AE686" s="378">
        <f>IF(NFI_Expiration=1,IF($A686&lt;VLOOKUP(N$5,NFI,5,0),1,0)*Table_NFI[[#This Row],[Kitchen Set]],Table_NFI[Kitchen Set])</f>
        <v>0</v>
      </c>
      <c r="AF686" s="378">
        <f>IF(NFI_Expiration=1,IF($A686&lt;VLOOKUP(O$5,NFI,5,0),1,0)*Table_NFI[[#This Row],[Clothes Kit]],Table_NFI[Clothes Kit])</f>
        <v>0</v>
      </c>
      <c r="AG686" s="378">
        <f>IF(NFI_Expiration=1,IF($A686&lt;VLOOKUP(P$5,NFI,5,0),1,0)*Table_NFI[[#This Row],[Plastic Bucket]],Table_NFI[Plastic Bucket])</f>
        <v>0</v>
      </c>
      <c r="AH686" s="378">
        <f>IF(NFI_Expiration=1,IF($A686&lt;VLOOKUP(Q$5,NFI,5,0),1,0)*Table_NFI[[#This Row],[Plastic Mat]],Table_NFI[Plastic Mat])*IF(Table_NFI[[#This Row],[Distribution Date]]&gt;"2014-04-01",1,2.5)</f>
        <v>0</v>
      </c>
      <c r="AI686" s="378">
        <f>IF(NFI_Expiration=1,IF($A686&lt;VLOOKUP(R$5,NFI,5,0),1,0)*Table_NFI[[#This Row],[Winter Clothes Adult]],Table_NFI[Winter Clothes Adult])</f>
        <v>0</v>
      </c>
      <c r="AJ686" s="378">
        <f>IF(NFI_Expiration=1,IF($A686&lt;VLOOKUP(S$5,NFI,5,0),1,0)*Table_NFI[[#This Row],[Winter Clothes Children]],Table_NFI[Winter Clothes Children])</f>
        <v>0</v>
      </c>
      <c r="AK686" s="378">
        <f>IF(NFI_Expiration=1,IF($A686&lt;VLOOKUP(T$5,NFI,5,0),1,0)*Table_NFI[[#This Row],[Winter Items Other]],Table_NFI[Winter Items Other])</f>
        <v>0</v>
      </c>
      <c r="AL686" s="378">
        <f>IF(NFI_Expiration=1,IF($A686&lt;VLOOKUP(M$5,NFI,5,0),1,0)*Table_NFI[[#This Row],[Winter Blanket]],Table_NFI[[#This Row],[Winter Blanket]])</f>
        <v>0</v>
      </c>
      <c r="AM686" s="378">
        <f>IF(Table_NFI[[#This Row],[Winter Clothes Adult]]+Table_NFI[[#This Row],[Winter Clothes Children]]+Table_NFI[[#This Row],[Winter Items Other]]+Table_NFI[[#This Row],[Winter Blanket]]&gt;0,1,0)</f>
        <v>0</v>
      </c>
      <c r="AN686" s="418">
        <f>IF(NFI_Expiration=1,IF($A686&lt;VLOOKUP(V$5,NFI,5,0),1,0)*Table_NFI[[#This Row],[Jerry Can]],Table_NFI[Jerry Can])</f>
        <v>0</v>
      </c>
      <c r="AO686" s="579" t="str">
        <f>IFERROR(VLOOKUP(Table_NFI[[#This Row],[Camp Name]],CL,2,0),"")</f>
        <v>MMR001CMP160</v>
      </c>
      <c r="AP686" s="574">
        <f ca="1">IF(Table_NFI[[#This Row],[Pcode]]="","",IF(OFFSET(CampList[Opening Date],MATCH(Table_NFI[[#This Row],[Pcode]],CampList[CP_Pcode],0)-1,0,1,1)&gt;=NFI_Monitor_Date,1,0))</f>
        <v>0</v>
      </c>
      <c r="AQ686" s="579" t="str">
        <f>IFERROR(VLOOKUP(Table_NFI[[#This Row],[Camp Name]],CL,3,0),"")</f>
        <v>Open</v>
      </c>
      <c r="AR686" s="378" t="str">
        <f ca="1">IF(Table_NFI[[#This Row],[Pcode]]="","",OFFSET(CampList[Priority],MATCH(Table_NFI[[#This Row],[Pcode]],CampList[CP_Pcode],0)-1,0,1,1))</f>
        <v>P1</v>
      </c>
      <c r="AS686" s="377">
        <f>IFERROR(Table_NFI[[#This Row],[Kitchen Set]]/VLOOKUP(Table_NFI[[#This Row],[Camp Name]],CL,4,0),"")</f>
        <v>0.96938775510204078</v>
      </c>
      <c r="AT686" s="572" t="s">
        <v>1095</v>
      </c>
      <c r="AU686" s="575"/>
    </row>
    <row r="687" spans="1:47" x14ac:dyDescent="0.25">
      <c r="A687" s="381">
        <f t="shared" si="10"/>
        <v>50.9</v>
      </c>
      <c r="B687" s="571">
        <v>40995</v>
      </c>
      <c r="C687" s="572" t="s">
        <v>454</v>
      </c>
      <c r="D687" s="572" t="s">
        <v>454</v>
      </c>
      <c r="E687" s="572" t="s">
        <v>380</v>
      </c>
      <c r="F687" s="374" t="s">
        <v>310</v>
      </c>
      <c r="G687" s="374" t="s">
        <v>355</v>
      </c>
      <c r="H687" s="375"/>
      <c r="I687" s="375"/>
      <c r="J687" s="375"/>
      <c r="K687" s="375">
        <v>0</v>
      </c>
      <c r="L687" s="376">
        <v>40</v>
      </c>
      <c r="M687" s="376">
        <v>0</v>
      </c>
      <c r="N687" s="376">
        <v>0</v>
      </c>
      <c r="O687" s="376">
        <v>0</v>
      </c>
      <c r="P687" s="378"/>
      <c r="Q687" s="378"/>
      <c r="R687" s="378"/>
      <c r="S687" s="378"/>
      <c r="T687" s="378"/>
      <c r="U687" s="378"/>
      <c r="V687" s="533"/>
      <c r="W687" s="378"/>
      <c r="X687" s="378"/>
      <c r="Y687" s="378">
        <f>IF(NFI_Expiration=1,IF($A687&lt;VLOOKUP(H$5,NFI,5,0),1,0)*Table_NFI[[#This Row],[Hygiene Kit]],Table_NFI[Hygiene Kit])</f>
        <v>0</v>
      </c>
      <c r="Z687" s="378">
        <f>IF(NFI_Expiration=1,IF($A687&lt;VLOOKUP(I$5,NFI,5,0),1,0)*Table_NFI[[#This Row],[NFI Core Kit]],Table_NFI[NFI Core Kit])</f>
        <v>0</v>
      </c>
      <c r="AA687" s="378">
        <f>IF(NFI_Expiration=1,IF($A687&lt;VLOOKUP(J$5,NFI,5,0),1,0)*Table_NFI[[#This Row],[Sanitary Kit]],Table_NFI[Sanitary Kit])</f>
        <v>0</v>
      </c>
      <c r="AB687" s="378">
        <f>IF(NFI_Expiration=1,IF($A687&lt;VLOOKUP(K$5,NFI,5,0),1,0)*Table_NFI[[#This Row],[Mosquito net]],Table_NFI[Mosquito net])</f>
        <v>0</v>
      </c>
      <c r="AC687" s="378">
        <f>IF(NFI_Expiration=1,IF($A687&lt;VLOOKUP(L$5,NFI,5,0),1,0)*Table_NFI[[#This Row],[Tarpaulin]],Table_NFI[[#This Row],[Tarpaulin]])</f>
        <v>0</v>
      </c>
      <c r="AD687" s="378">
        <f>IF(NFI_Expiration=1,IF($A687&lt;VLOOKUP(M$5,NFI,5,0),1,0)*Table_NFI[[#This Row],[Blanket]],Table_NFI[[#This Row],[Blanket]])</f>
        <v>0</v>
      </c>
      <c r="AE687" s="378">
        <f>IF(NFI_Expiration=1,IF($A687&lt;VLOOKUP(N$5,NFI,5,0),1,0)*Table_NFI[[#This Row],[Kitchen Set]],Table_NFI[Kitchen Set])</f>
        <v>0</v>
      </c>
      <c r="AF687" s="378">
        <f>IF(NFI_Expiration=1,IF($A687&lt;VLOOKUP(O$5,NFI,5,0),1,0)*Table_NFI[[#This Row],[Clothes Kit]],Table_NFI[Clothes Kit])</f>
        <v>0</v>
      </c>
      <c r="AG687" s="378">
        <f>IF(NFI_Expiration=1,IF($A687&lt;VLOOKUP(P$5,NFI,5,0),1,0)*Table_NFI[[#This Row],[Plastic Bucket]],Table_NFI[Plastic Bucket])</f>
        <v>0</v>
      </c>
      <c r="AH687" s="378">
        <f>IF(NFI_Expiration=1,IF($A687&lt;VLOOKUP(Q$5,NFI,5,0),1,0)*Table_NFI[[#This Row],[Plastic Mat]],Table_NFI[Plastic Mat])*IF(Table_NFI[[#This Row],[Distribution Date]]&gt;"2014-04-01",1,2.5)</f>
        <v>0</v>
      </c>
      <c r="AI687" s="378">
        <f>IF(NFI_Expiration=1,IF($A687&lt;VLOOKUP(R$5,NFI,5,0),1,0)*Table_NFI[[#This Row],[Winter Clothes Adult]],Table_NFI[Winter Clothes Adult])</f>
        <v>0</v>
      </c>
      <c r="AJ687" s="378">
        <f>IF(NFI_Expiration=1,IF($A687&lt;VLOOKUP(S$5,NFI,5,0),1,0)*Table_NFI[[#This Row],[Winter Clothes Children]],Table_NFI[Winter Clothes Children])</f>
        <v>0</v>
      </c>
      <c r="AK687" s="378">
        <f>IF(NFI_Expiration=1,IF($A687&lt;VLOOKUP(T$5,NFI,5,0),1,0)*Table_NFI[[#This Row],[Winter Items Other]],Table_NFI[Winter Items Other])</f>
        <v>0</v>
      </c>
      <c r="AL687" s="378">
        <f>IF(NFI_Expiration=1,IF($A687&lt;VLOOKUP(M$5,NFI,5,0),1,0)*Table_NFI[[#This Row],[Winter Blanket]],Table_NFI[[#This Row],[Winter Blanket]])</f>
        <v>0</v>
      </c>
      <c r="AM687" s="378">
        <f>IF(Table_NFI[[#This Row],[Winter Clothes Adult]]+Table_NFI[[#This Row],[Winter Clothes Children]]+Table_NFI[[#This Row],[Winter Items Other]]+Table_NFI[[#This Row],[Winter Blanket]]&gt;0,1,0)</f>
        <v>0</v>
      </c>
      <c r="AN687" s="418">
        <f>IF(NFI_Expiration=1,IF($A687&lt;VLOOKUP(V$5,NFI,5,0),1,0)*Table_NFI[[#This Row],[Jerry Can]],Table_NFI[Jerry Can])</f>
        <v>0</v>
      </c>
      <c r="AO687" s="579" t="str">
        <f>IFERROR(VLOOKUP(Table_NFI[[#This Row],[Camp Name]],CL,2,0),"")</f>
        <v>MMR001CMP160</v>
      </c>
      <c r="AP687" s="574">
        <f ca="1">IF(Table_NFI[[#This Row],[Pcode]]="","",IF(OFFSET(CampList[Opening Date],MATCH(Table_NFI[[#This Row],[Pcode]],CampList[CP_Pcode],0)-1,0,1,1)&gt;=NFI_Monitor_Date,1,0))</f>
        <v>0</v>
      </c>
      <c r="AQ687" s="579" t="str">
        <f>IFERROR(VLOOKUP(Table_NFI[[#This Row],[Camp Name]],CL,3,0),"")</f>
        <v>Open</v>
      </c>
      <c r="AR687" s="378" t="str">
        <f ca="1">IF(Table_NFI[[#This Row],[Pcode]]="","",OFFSET(CampList[Priority],MATCH(Table_NFI[[#This Row],[Pcode]],CampList[CP_Pcode],0)-1,0,1,1))</f>
        <v>P1</v>
      </c>
      <c r="AS687" s="377">
        <f>IFERROR(Table_NFI[[#This Row],[Kitchen Set]]/VLOOKUP(Table_NFI[[#This Row],[Camp Name]],CL,4,0),"")</f>
        <v>0</v>
      </c>
      <c r="AT687" s="572" t="s">
        <v>1095</v>
      </c>
      <c r="AU687" s="575"/>
    </row>
    <row r="688" spans="1:47" x14ac:dyDescent="0.25">
      <c r="A688" s="381">
        <f t="shared" si="10"/>
        <v>15.8</v>
      </c>
      <c r="B688" s="571">
        <v>42048</v>
      </c>
      <c r="C688" s="577" t="s">
        <v>454</v>
      </c>
      <c r="D688" s="577" t="s">
        <v>1266</v>
      </c>
      <c r="E688" s="577" t="s">
        <v>555</v>
      </c>
      <c r="F688" s="577" t="s">
        <v>146</v>
      </c>
      <c r="G688" s="577" t="s">
        <v>1367</v>
      </c>
      <c r="H688" s="376"/>
      <c r="I688" s="376">
        <v>68</v>
      </c>
      <c r="J688" s="376">
        <v>54</v>
      </c>
      <c r="K688" s="376">
        <v>134</v>
      </c>
      <c r="L688" s="376">
        <v>68</v>
      </c>
      <c r="M688" s="376">
        <v>134</v>
      </c>
      <c r="N688" s="376">
        <v>68</v>
      </c>
      <c r="O688" s="376"/>
      <c r="P688" s="378">
        <v>68</v>
      </c>
      <c r="Q688" s="378">
        <v>134</v>
      </c>
      <c r="R688" s="378"/>
      <c r="S688" s="378"/>
      <c r="T688" s="378"/>
      <c r="U688" s="378"/>
      <c r="V688" s="533">
        <v>68</v>
      </c>
      <c r="W688" s="378"/>
      <c r="X688" s="378"/>
      <c r="Y688" s="378">
        <f>IF(NFI_Expiration=1,IF($A688&lt;VLOOKUP(H$5,NFI,5,0),1,0)*Table_NFI[[#This Row],[Hygiene Kit]],Table_NFI[Hygiene Kit])</f>
        <v>0</v>
      </c>
      <c r="Z688" s="378">
        <f>IF(NFI_Expiration=1,IF($A688&lt;VLOOKUP(I$5,NFI,5,0),1,0)*Table_NFI[[#This Row],[NFI Core Kit]],Table_NFI[NFI Core Kit])</f>
        <v>0</v>
      </c>
      <c r="AA688" s="378">
        <f>IF(NFI_Expiration=1,IF($A688&lt;VLOOKUP(J$5,NFI,5,0),1,0)*Table_NFI[[#This Row],[Sanitary Kit]],Table_NFI[Sanitary Kit])</f>
        <v>0</v>
      </c>
      <c r="AB688" s="378">
        <f>IF(NFI_Expiration=1,IF($A688&lt;VLOOKUP(K$5,NFI,5,0),1,0)*Table_NFI[[#This Row],[Mosquito net]],Table_NFI[Mosquito net])</f>
        <v>0</v>
      </c>
      <c r="AC688" s="378">
        <f>IF(NFI_Expiration=1,IF($A688&lt;VLOOKUP(L$5,NFI,5,0),1,0)*Table_NFI[[#This Row],[Tarpaulin]],Table_NFI[[#This Row],[Tarpaulin]])</f>
        <v>0</v>
      </c>
      <c r="AD688" s="378">
        <f>IF(NFI_Expiration=1,IF($A688&lt;VLOOKUP(M$5,NFI,5,0),1,0)*Table_NFI[[#This Row],[Blanket]],Table_NFI[[#This Row],[Blanket]])</f>
        <v>0</v>
      </c>
      <c r="AE688" s="378">
        <f>IF(NFI_Expiration=1,IF($A688&lt;VLOOKUP(N$5,NFI,5,0),1,0)*Table_NFI[[#This Row],[Kitchen Set]],Table_NFI[Kitchen Set])</f>
        <v>0</v>
      </c>
      <c r="AF688" s="378">
        <f>IF(NFI_Expiration=1,IF($A688&lt;VLOOKUP(O$5,NFI,5,0),1,0)*Table_NFI[[#This Row],[Clothes Kit]],Table_NFI[Clothes Kit])</f>
        <v>0</v>
      </c>
      <c r="AG688" s="378">
        <f>IF(NFI_Expiration=1,IF($A688&lt;VLOOKUP(P$5,NFI,5,0),1,0)*Table_NFI[[#This Row],[Plastic Bucket]],Table_NFI[Plastic Bucket])</f>
        <v>0</v>
      </c>
      <c r="AH688" s="378">
        <f>IF(NFI_Expiration=1,IF($A688&lt;VLOOKUP(Q$5,NFI,5,0),1,0)*Table_NFI[[#This Row],[Plastic Mat]],Table_NFI[Plastic Mat])*IF(Table_NFI[[#This Row],[Distribution Date]]&gt;"2014-04-01",1,2.5)</f>
        <v>0</v>
      </c>
      <c r="AI688" s="378">
        <f>IF(NFI_Expiration=1,IF($A688&lt;VLOOKUP(R$5,NFI,5,0),1,0)*Table_NFI[[#This Row],[Winter Clothes Adult]],Table_NFI[Winter Clothes Adult])</f>
        <v>0</v>
      </c>
      <c r="AJ688" s="378">
        <f>IF(NFI_Expiration=1,IF($A688&lt;VLOOKUP(S$5,NFI,5,0),1,0)*Table_NFI[[#This Row],[Winter Clothes Children]],Table_NFI[Winter Clothes Children])</f>
        <v>0</v>
      </c>
      <c r="AK688" s="378">
        <f>IF(NFI_Expiration=1,IF($A688&lt;VLOOKUP(T$5,NFI,5,0),1,0)*Table_NFI[[#This Row],[Winter Items Other]],Table_NFI[Winter Items Other])</f>
        <v>0</v>
      </c>
      <c r="AL688" s="378">
        <f>IF(NFI_Expiration=1,IF($A688&lt;VLOOKUP(M$5,NFI,5,0),1,0)*Table_NFI[[#This Row],[Winter Blanket]],Table_NFI[[#This Row],[Winter Blanket]])</f>
        <v>0</v>
      </c>
      <c r="AM688" s="378">
        <f>IF(Table_NFI[[#This Row],[Winter Clothes Adult]]+Table_NFI[[#This Row],[Winter Clothes Children]]+Table_NFI[[#This Row],[Winter Items Other]]+Table_NFI[[#This Row],[Winter Blanket]]&gt;0,1,0)</f>
        <v>0</v>
      </c>
      <c r="AN688" s="418">
        <f>IF(NFI_Expiration=1,IF($A688&lt;VLOOKUP(V$5,NFI,5,0),1,0)*Table_NFI[[#This Row],[Jerry Can]],Table_NFI[Jerry Can])</f>
        <v>0</v>
      </c>
      <c r="AO688" s="579" t="str">
        <f>IFERROR(VLOOKUP(Table_NFI[[#This Row],[Camp Name]],CL,2,0),"")</f>
        <v/>
      </c>
      <c r="AP688" s="574" t="str">
        <f ca="1">IF(Table_NFI[[#This Row],[Pcode]]="","",IF(OFFSET(CampList[Opening Date],MATCH(Table_NFI[[#This Row],[Pcode]],CampList[CP_Pcode],0)-1,0,1,1)&gt;=NFI_Monitor_Date,1,0))</f>
        <v/>
      </c>
      <c r="AQ688" s="579" t="str">
        <f>IFERROR(VLOOKUP(Table_NFI[[#This Row],[Camp Name]],CL,3,0),"")</f>
        <v/>
      </c>
      <c r="AR688" s="378" t="str">
        <f ca="1">IF(Table_NFI[[#This Row],[Pcode]]="","",OFFSET(CampList[Priority],MATCH(Table_NFI[[#This Row],[Pcode]],CampList[CP_Pcode],0)-1,0,1,1))</f>
        <v/>
      </c>
      <c r="AS688" s="377" t="str">
        <f>IFERROR(Table_NFI[[#This Row],[Kitchen Set]]/VLOOKUP(Table_NFI[[#This Row],[Camp Name]],CL,4,0),"")</f>
        <v/>
      </c>
      <c r="AT688" s="572" t="s">
        <v>1095</v>
      </c>
      <c r="AU688" s="580"/>
    </row>
    <row r="689" spans="1:47" x14ac:dyDescent="0.25">
      <c r="A689" s="381">
        <f t="shared" si="10"/>
        <v>20.3</v>
      </c>
      <c r="B689" s="571">
        <v>41913</v>
      </c>
      <c r="C689" s="572" t="s">
        <v>454</v>
      </c>
      <c r="D689" s="577" t="s">
        <v>507</v>
      </c>
      <c r="E689" s="577" t="s">
        <v>380</v>
      </c>
      <c r="F689" s="577" t="s">
        <v>310</v>
      </c>
      <c r="G689" s="577" t="s">
        <v>318</v>
      </c>
      <c r="H689" s="376"/>
      <c r="I689" s="376"/>
      <c r="J689" s="376"/>
      <c r="K689" s="376">
        <v>240</v>
      </c>
      <c r="L689" s="376"/>
      <c r="M689" s="376"/>
      <c r="N689" s="376"/>
      <c r="O689" s="376"/>
      <c r="P689" s="378"/>
      <c r="Q689" s="378"/>
      <c r="R689" s="378"/>
      <c r="S689" s="378"/>
      <c r="T689" s="378"/>
      <c r="U689" s="378"/>
      <c r="V689" s="533"/>
      <c r="W689" s="378"/>
      <c r="X689" s="378"/>
      <c r="Y689" s="378">
        <f>IF(NFI_Expiration=1,IF($A689&lt;VLOOKUP(H$5,NFI,5,0),1,0)*Table_NFI[[#This Row],[Hygiene Kit]],Table_NFI[Hygiene Kit])</f>
        <v>0</v>
      </c>
      <c r="Z689" s="378">
        <f>IF(NFI_Expiration=1,IF($A689&lt;VLOOKUP(I$5,NFI,5,0),1,0)*Table_NFI[[#This Row],[NFI Core Kit]],Table_NFI[NFI Core Kit])</f>
        <v>0</v>
      </c>
      <c r="AA689" s="378">
        <f>IF(NFI_Expiration=1,IF($A689&lt;VLOOKUP(J$5,NFI,5,0),1,0)*Table_NFI[[#This Row],[Sanitary Kit]],Table_NFI[Sanitary Kit])</f>
        <v>0</v>
      </c>
      <c r="AB689" s="378">
        <f>IF(NFI_Expiration=1,IF($A689&lt;VLOOKUP(K$5,NFI,5,0),1,0)*Table_NFI[[#This Row],[Mosquito net]],Table_NFI[Mosquito net])</f>
        <v>0</v>
      </c>
      <c r="AC689" s="378">
        <f>IF(NFI_Expiration=1,IF($A689&lt;VLOOKUP(L$5,NFI,5,0),1,0)*Table_NFI[[#This Row],[Tarpaulin]],Table_NFI[[#This Row],[Tarpaulin]])</f>
        <v>0</v>
      </c>
      <c r="AD689" s="378">
        <f>IF(NFI_Expiration=1,IF($A689&lt;VLOOKUP(M$5,NFI,5,0),1,0)*Table_NFI[[#This Row],[Blanket]],Table_NFI[[#This Row],[Blanket]])</f>
        <v>0</v>
      </c>
      <c r="AE689" s="378">
        <f>IF(NFI_Expiration=1,IF($A689&lt;VLOOKUP(N$5,NFI,5,0),1,0)*Table_NFI[[#This Row],[Kitchen Set]],Table_NFI[Kitchen Set])</f>
        <v>0</v>
      </c>
      <c r="AF689" s="378">
        <f>IF(NFI_Expiration=1,IF($A689&lt;VLOOKUP(O$5,NFI,5,0),1,0)*Table_NFI[[#This Row],[Clothes Kit]],Table_NFI[Clothes Kit])</f>
        <v>0</v>
      </c>
      <c r="AG689" s="378">
        <f>IF(NFI_Expiration=1,IF($A689&lt;VLOOKUP(P$5,NFI,5,0),1,0)*Table_NFI[[#This Row],[Plastic Bucket]],Table_NFI[Plastic Bucket])</f>
        <v>0</v>
      </c>
      <c r="AH689" s="378">
        <f>IF(NFI_Expiration=1,IF($A689&lt;VLOOKUP(Q$5,NFI,5,0),1,0)*Table_NFI[[#This Row],[Plastic Mat]],Table_NFI[Plastic Mat])*IF(Table_NFI[[#This Row],[Distribution Date]]&gt;"2014-04-01",1,2.5)</f>
        <v>0</v>
      </c>
      <c r="AI689" s="378">
        <f>IF(NFI_Expiration=1,IF($A689&lt;VLOOKUP(R$5,NFI,5,0),1,0)*Table_NFI[[#This Row],[Winter Clothes Adult]],Table_NFI[Winter Clothes Adult])</f>
        <v>0</v>
      </c>
      <c r="AJ689" s="378">
        <f>IF(NFI_Expiration=1,IF($A689&lt;VLOOKUP(S$5,NFI,5,0),1,0)*Table_NFI[[#This Row],[Winter Clothes Children]],Table_NFI[Winter Clothes Children])</f>
        <v>0</v>
      </c>
      <c r="AK689" s="378">
        <f>IF(NFI_Expiration=1,IF($A689&lt;VLOOKUP(T$5,NFI,5,0),1,0)*Table_NFI[[#This Row],[Winter Items Other]],Table_NFI[Winter Items Other])</f>
        <v>0</v>
      </c>
      <c r="AL689" s="378">
        <f>IF(NFI_Expiration=1,IF($A689&lt;VLOOKUP(M$5,NFI,5,0),1,0)*Table_NFI[[#This Row],[Winter Blanket]],Table_NFI[[#This Row],[Winter Blanket]])</f>
        <v>0</v>
      </c>
      <c r="AM689" s="378">
        <f>IF(Table_NFI[[#This Row],[Winter Clothes Adult]]+Table_NFI[[#This Row],[Winter Clothes Children]]+Table_NFI[[#This Row],[Winter Items Other]]+Table_NFI[[#This Row],[Winter Blanket]]&gt;0,1,0)</f>
        <v>0</v>
      </c>
      <c r="AN689" s="418">
        <f>IF(NFI_Expiration=1,IF($A689&lt;VLOOKUP(V$5,NFI,5,0),1,0)*Table_NFI[[#This Row],[Jerry Can]],Table_NFI[Jerry Can])</f>
        <v>0</v>
      </c>
      <c r="AO689" s="579" t="str">
        <f>IFERROR(VLOOKUP(Table_NFI[[#This Row],[Camp Name]],CL,2,0),"")</f>
        <v>MMR001CMP032</v>
      </c>
      <c r="AP689" s="574">
        <f ca="1">IF(Table_NFI[[#This Row],[Pcode]]="","",IF(OFFSET(CampList[Opening Date],MATCH(Table_NFI[[#This Row],[Pcode]],CampList[CP_Pcode],0)-1,0,1,1)&gt;=NFI_Monitor_Date,1,0))</f>
        <v>0</v>
      </c>
      <c r="AQ689" s="579" t="str">
        <f>IFERROR(VLOOKUP(Table_NFI[[#This Row],[Camp Name]],CL,3,0),"")</f>
        <v>Open</v>
      </c>
      <c r="AR689" s="378" t="str">
        <f ca="1">IF(Table_NFI[[#This Row],[Pcode]]="","",OFFSET(CampList[Priority],MATCH(Table_NFI[[#This Row],[Pcode]],CampList[CP_Pcode],0)-1,0,1,1))</f>
        <v>P4</v>
      </c>
      <c r="AS689" s="377">
        <f>IFERROR(Table_NFI[[#This Row],[Kitchen Set]]/VLOOKUP(Table_NFI[[#This Row],[Camp Name]],CL,4,0),"")</f>
        <v>0</v>
      </c>
      <c r="AT689" s="577"/>
      <c r="AU689" s="580"/>
    </row>
    <row r="690" spans="1:47" x14ac:dyDescent="0.25">
      <c r="A690" s="381">
        <f t="shared" si="10"/>
        <v>22.133333333333333</v>
      </c>
      <c r="B690" s="571">
        <v>41858</v>
      </c>
      <c r="C690" s="572" t="s">
        <v>454</v>
      </c>
      <c r="D690" s="572" t="s">
        <v>507</v>
      </c>
      <c r="E690" s="572" t="s">
        <v>380</v>
      </c>
      <c r="F690" s="572" t="s">
        <v>310</v>
      </c>
      <c r="G690" s="572" t="s">
        <v>318</v>
      </c>
      <c r="H690" s="375"/>
      <c r="I690" s="375"/>
      <c r="J690" s="375">
        <v>24</v>
      </c>
      <c r="K690" s="375">
        <v>12</v>
      </c>
      <c r="L690" s="376">
        <v>24</v>
      </c>
      <c r="M690" s="376">
        <v>12</v>
      </c>
      <c r="N690" s="376"/>
      <c r="O690" s="376">
        <v>12</v>
      </c>
      <c r="P690" s="378">
        <v>60</v>
      </c>
      <c r="Q690" s="378"/>
      <c r="R690" s="378"/>
      <c r="S690" s="378"/>
      <c r="T690" s="378"/>
      <c r="U690" s="378"/>
      <c r="V690" s="533"/>
      <c r="W690" s="378"/>
      <c r="X690" s="378"/>
      <c r="Y690" s="378">
        <f>IF(NFI_Expiration=1,IF($A690&lt;VLOOKUP(H$5,NFI,5,0),1,0)*Table_NFI[[#This Row],[Hygiene Kit]],Table_NFI[Hygiene Kit])</f>
        <v>0</v>
      </c>
      <c r="Z690" s="378">
        <f>IF(NFI_Expiration=1,IF($A690&lt;VLOOKUP(I$5,NFI,5,0),1,0)*Table_NFI[[#This Row],[NFI Core Kit]],Table_NFI[NFI Core Kit])</f>
        <v>0</v>
      </c>
      <c r="AA690" s="378">
        <f>IF(NFI_Expiration=1,IF($A690&lt;VLOOKUP(J$5,NFI,5,0),1,0)*Table_NFI[[#This Row],[Sanitary Kit]],Table_NFI[Sanitary Kit])</f>
        <v>0</v>
      </c>
      <c r="AB690" s="378">
        <f>IF(NFI_Expiration=1,IF($A690&lt;VLOOKUP(K$5,NFI,5,0),1,0)*Table_NFI[[#This Row],[Mosquito net]],Table_NFI[Mosquito net])</f>
        <v>0</v>
      </c>
      <c r="AC690" s="378">
        <f>IF(NFI_Expiration=1,IF($A690&lt;VLOOKUP(L$5,NFI,5,0),1,0)*Table_NFI[[#This Row],[Tarpaulin]],Table_NFI[[#This Row],[Tarpaulin]])</f>
        <v>0</v>
      </c>
      <c r="AD690" s="378">
        <f>IF(NFI_Expiration=1,IF($A690&lt;VLOOKUP(M$5,NFI,5,0),1,0)*Table_NFI[[#This Row],[Blanket]],Table_NFI[[#This Row],[Blanket]])</f>
        <v>0</v>
      </c>
      <c r="AE690" s="378">
        <f>IF(NFI_Expiration=1,IF($A690&lt;VLOOKUP(N$5,NFI,5,0),1,0)*Table_NFI[[#This Row],[Kitchen Set]],Table_NFI[Kitchen Set])</f>
        <v>0</v>
      </c>
      <c r="AF690" s="378">
        <f>IF(NFI_Expiration=1,IF($A690&lt;VLOOKUP(O$5,NFI,5,0),1,0)*Table_NFI[[#This Row],[Clothes Kit]],Table_NFI[Clothes Kit])</f>
        <v>0</v>
      </c>
      <c r="AG690" s="378">
        <f>IF(NFI_Expiration=1,IF($A690&lt;VLOOKUP(P$5,NFI,5,0),1,0)*Table_NFI[[#This Row],[Plastic Bucket]],Table_NFI[Plastic Bucket])</f>
        <v>0</v>
      </c>
      <c r="AH690" s="378">
        <f>IF(NFI_Expiration=1,IF($A690&lt;VLOOKUP(Q$5,NFI,5,0),1,0)*Table_NFI[[#This Row],[Plastic Mat]],Table_NFI[Plastic Mat])*IF(Table_NFI[[#This Row],[Distribution Date]]&gt;"2014-04-01",1,2.5)</f>
        <v>0</v>
      </c>
      <c r="AI690" s="378">
        <f>IF(NFI_Expiration=1,IF($A690&lt;VLOOKUP(R$5,NFI,5,0),1,0)*Table_NFI[[#This Row],[Winter Clothes Adult]],Table_NFI[Winter Clothes Adult])</f>
        <v>0</v>
      </c>
      <c r="AJ690" s="378">
        <f>IF(NFI_Expiration=1,IF($A690&lt;VLOOKUP(S$5,NFI,5,0),1,0)*Table_NFI[[#This Row],[Winter Clothes Children]],Table_NFI[Winter Clothes Children])</f>
        <v>0</v>
      </c>
      <c r="AK690" s="378">
        <f>IF(NFI_Expiration=1,IF($A690&lt;VLOOKUP(T$5,NFI,5,0),1,0)*Table_NFI[[#This Row],[Winter Items Other]],Table_NFI[Winter Items Other])</f>
        <v>0</v>
      </c>
      <c r="AL690" s="378">
        <f>IF(NFI_Expiration=1,IF($A690&lt;VLOOKUP(M$5,NFI,5,0),1,0)*Table_NFI[[#This Row],[Winter Blanket]],Table_NFI[[#This Row],[Winter Blanket]])</f>
        <v>0</v>
      </c>
      <c r="AM690" s="378">
        <f>IF(Table_NFI[[#This Row],[Winter Clothes Adult]]+Table_NFI[[#This Row],[Winter Clothes Children]]+Table_NFI[[#This Row],[Winter Items Other]]+Table_NFI[[#This Row],[Winter Blanket]]&gt;0,1,0)</f>
        <v>0</v>
      </c>
      <c r="AN690" s="418">
        <f>IF(NFI_Expiration=1,IF($A690&lt;VLOOKUP(V$5,NFI,5,0),1,0)*Table_NFI[[#This Row],[Jerry Can]],Table_NFI[Jerry Can])</f>
        <v>0</v>
      </c>
      <c r="AO690" s="579" t="str">
        <f>IFERROR(VLOOKUP(Table_NFI[[#This Row],[Camp Name]],CL,2,0),"")</f>
        <v>MMR001CMP032</v>
      </c>
      <c r="AP690" s="574">
        <f ca="1">IF(Table_NFI[[#This Row],[Pcode]]="","",IF(OFFSET(CampList[Opening Date],MATCH(Table_NFI[[#This Row],[Pcode]],CampList[CP_Pcode],0)-1,0,1,1)&gt;=NFI_Monitor_Date,1,0))</f>
        <v>0</v>
      </c>
      <c r="AQ690" s="579" t="str">
        <f>IFERROR(VLOOKUP(Table_NFI[[#This Row],[Camp Name]],CL,3,0),"")</f>
        <v>Open</v>
      </c>
      <c r="AR690" s="378" t="str">
        <f ca="1">IF(Table_NFI[[#This Row],[Pcode]]="","",OFFSET(CampList[Priority],MATCH(Table_NFI[[#This Row],[Pcode]],CampList[CP_Pcode],0)-1,0,1,1))</f>
        <v>P4</v>
      </c>
      <c r="AS690" s="377">
        <f>IFERROR(Table_NFI[[#This Row],[Kitchen Set]]/VLOOKUP(Table_NFI[[#This Row],[Camp Name]],CL,4,0),"")</f>
        <v>0</v>
      </c>
      <c r="AT690" s="572"/>
      <c r="AU690" s="575"/>
    </row>
    <row r="691" spans="1:47" x14ac:dyDescent="0.25">
      <c r="A691" s="381">
        <f t="shared" si="10"/>
        <v>24.7</v>
      </c>
      <c r="B691" s="571">
        <v>41781</v>
      </c>
      <c r="C691" s="572" t="s">
        <v>1107</v>
      </c>
      <c r="D691" s="572" t="s">
        <v>903</v>
      </c>
      <c r="E691" s="572" t="s">
        <v>380</v>
      </c>
      <c r="F691" s="572" t="s">
        <v>310</v>
      </c>
      <c r="G691" s="572" t="s">
        <v>318</v>
      </c>
      <c r="H691" s="375"/>
      <c r="I691" s="375"/>
      <c r="J691" s="375"/>
      <c r="K691" s="375"/>
      <c r="L691" s="376"/>
      <c r="M691" s="376"/>
      <c r="N691" s="376"/>
      <c r="O691" s="376"/>
      <c r="P691" s="378"/>
      <c r="Q691" s="378"/>
      <c r="R691" s="378"/>
      <c r="S691" s="378"/>
      <c r="T691" s="378"/>
      <c r="U691" s="378">
        <v>88</v>
      </c>
      <c r="V691" s="533"/>
      <c r="W691" s="378"/>
      <c r="X691" s="378"/>
      <c r="Y691" s="378">
        <f>IF(NFI_Expiration=1,IF($A691&lt;VLOOKUP(H$5,NFI,5,0),1,0)*Table_NFI[[#This Row],[Hygiene Kit]],Table_NFI[Hygiene Kit])</f>
        <v>0</v>
      </c>
      <c r="Z691" s="378">
        <f>IF(NFI_Expiration=1,IF($A691&lt;VLOOKUP(I$5,NFI,5,0),1,0)*Table_NFI[[#This Row],[NFI Core Kit]],Table_NFI[NFI Core Kit])</f>
        <v>0</v>
      </c>
      <c r="AA691" s="378">
        <f>IF(NFI_Expiration=1,IF($A691&lt;VLOOKUP(J$5,NFI,5,0),1,0)*Table_NFI[[#This Row],[Sanitary Kit]],Table_NFI[Sanitary Kit])</f>
        <v>0</v>
      </c>
      <c r="AB691" s="378">
        <f>IF(NFI_Expiration=1,IF($A691&lt;VLOOKUP(K$5,NFI,5,0),1,0)*Table_NFI[[#This Row],[Mosquito net]],Table_NFI[Mosquito net])</f>
        <v>0</v>
      </c>
      <c r="AC691" s="378">
        <f>IF(NFI_Expiration=1,IF($A691&lt;VLOOKUP(L$5,NFI,5,0),1,0)*Table_NFI[[#This Row],[Tarpaulin]],Table_NFI[[#This Row],[Tarpaulin]])</f>
        <v>0</v>
      </c>
      <c r="AD691" s="378">
        <f>IF(NFI_Expiration=1,IF($A691&lt;VLOOKUP(M$5,NFI,5,0),1,0)*Table_NFI[[#This Row],[Blanket]],Table_NFI[[#This Row],[Blanket]])</f>
        <v>0</v>
      </c>
      <c r="AE691" s="378">
        <f>IF(NFI_Expiration=1,IF($A691&lt;VLOOKUP(N$5,NFI,5,0),1,0)*Table_NFI[[#This Row],[Kitchen Set]],Table_NFI[Kitchen Set])</f>
        <v>0</v>
      </c>
      <c r="AF691" s="378">
        <f>IF(NFI_Expiration=1,IF($A691&lt;VLOOKUP(O$5,NFI,5,0),1,0)*Table_NFI[[#This Row],[Clothes Kit]],Table_NFI[Clothes Kit])</f>
        <v>0</v>
      </c>
      <c r="AG691" s="378">
        <f>IF(NFI_Expiration=1,IF($A691&lt;VLOOKUP(P$5,NFI,5,0),1,0)*Table_NFI[[#This Row],[Plastic Bucket]],Table_NFI[Plastic Bucket])</f>
        <v>0</v>
      </c>
      <c r="AH691" s="378">
        <f>IF(NFI_Expiration=1,IF($A691&lt;VLOOKUP(Q$5,NFI,5,0),1,0)*Table_NFI[[#This Row],[Plastic Mat]],Table_NFI[Plastic Mat])*IF(Table_NFI[[#This Row],[Distribution Date]]&gt;"2014-04-01",1,2.5)</f>
        <v>0</v>
      </c>
      <c r="AI691" s="378">
        <f>IF(NFI_Expiration=1,IF($A691&lt;VLOOKUP(R$5,NFI,5,0),1,0)*Table_NFI[[#This Row],[Winter Clothes Adult]],Table_NFI[Winter Clothes Adult])</f>
        <v>0</v>
      </c>
      <c r="AJ691" s="378">
        <f>IF(NFI_Expiration=1,IF($A691&lt;VLOOKUP(S$5,NFI,5,0),1,0)*Table_NFI[[#This Row],[Winter Clothes Children]],Table_NFI[Winter Clothes Children])</f>
        <v>0</v>
      </c>
      <c r="AK691" s="378">
        <f>IF(NFI_Expiration=1,IF($A691&lt;VLOOKUP(T$5,NFI,5,0),1,0)*Table_NFI[[#This Row],[Winter Items Other]],Table_NFI[Winter Items Other])</f>
        <v>0</v>
      </c>
      <c r="AL691" s="378">
        <f>IF(NFI_Expiration=1,IF($A691&lt;VLOOKUP(M$5,NFI,5,0),1,0)*Table_NFI[[#This Row],[Winter Blanket]],Table_NFI[[#This Row],[Winter Blanket]])</f>
        <v>0</v>
      </c>
      <c r="AM691" s="378">
        <f>IF(Table_NFI[[#This Row],[Winter Clothes Adult]]+Table_NFI[[#This Row],[Winter Clothes Children]]+Table_NFI[[#This Row],[Winter Items Other]]+Table_NFI[[#This Row],[Winter Blanket]]&gt;0,1,0)</f>
        <v>1</v>
      </c>
      <c r="AN691" s="418">
        <f>IF(NFI_Expiration=1,IF($A691&lt;VLOOKUP(V$5,NFI,5,0),1,0)*Table_NFI[[#This Row],[Jerry Can]],Table_NFI[Jerry Can])</f>
        <v>0</v>
      </c>
      <c r="AO691" s="579" t="str">
        <f>IFERROR(VLOOKUP(Table_NFI[[#This Row],[Camp Name]],CL,2,0),"")</f>
        <v>MMR001CMP032</v>
      </c>
      <c r="AP691" s="574">
        <f ca="1">IF(Table_NFI[[#This Row],[Pcode]]="","",IF(OFFSET(CampList[Opening Date],MATCH(Table_NFI[[#This Row],[Pcode]],CampList[CP_Pcode],0)-1,0,1,1)&gt;=NFI_Monitor_Date,1,0))</f>
        <v>0</v>
      </c>
      <c r="AQ691" s="579" t="str">
        <f>IFERROR(VLOOKUP(Table_NFI[[#This Row],[Camp Name]],CL,3,0),"")</f>
        <v>Open</v>
      </c>
      <c r="AR691" s="378" t="str">
        <f ca="1">IF(Table_NFI[[#This Row],[Pcode]]="","",OFFSET(CampList[Priority],MATCH(Table_NFI[[#This Row],[Pcode]],CampList[CP_Pcode],0)-1,0,1,1))</f>
        <v>P4</v>
      </c>
      <c r="AS691" s="377">
        <f>IFERROR(Table_NFI[[#This Row],[Kitchen Set]]/VLOOKUP(Table_NFI[[#This Row],[Camp Name]],CL,4,0),"")</f>
        <v>0</v>
      </c>
      <c r="AT691" s="572"/>
      <c r="AU691" s="575"/>
    </row>
    <row r="692" spans="1:47" x14ac:dyDescent="0.25">
      <c r="A692" s="381">
        <f t="shared" si="10"/>
        <v>29.7</v>
      </c>
      <c r="B692" s="571">
        <v>41631</v>
      </c>
      <c r="C692" s="572" t="s">
        <v>908</v>
      </c>
      <c r="D692" s="572" t="s">
        <v>462</v>
      </c>
      <c r="E692" s="572" t="s">
        <v>380</v>
      </c>
      <c r="F692" s="572" t="s">
        <v>310</v>
      </c>
      <c r="G692" s="572" t="s">
        <v>318</v>
      </c>
      <c r="H692" s="375"/>
      <c r="I692" s="375"/>
      <c r="J692" s="375"/>
      <c r="K692" s="375"/>
      <c r="L692" s="376"/>
      <c r="M692" s="376"/>
      <c r="N692" s="376"/>
      <c r="O692" s="376"/>
      <c r="P692" s="378"/>
      <c r="Q692" s="378"/>
      <c r="R692" s="378">
        <v>59</v>
      </c>
      <c r="S692" s="378">
        <v>196</v>
      </c>
      <c r="T692" s="378">
        <v>510</v>
      </c>
      <c r="U692" s="378">
        <v>255</v>
      </c>
      <c r="V692" s="533"/>
      <c r="W692" s="378"/>
      <c r="X692" s="378"/>
      <c r="Y692" s="378">
        <f>IF(NFI_Expiration=1,IF($A692&lt;VLOOKUP(H$5,NFI,5,0),1,0)*Table_NFI[[#This Row],[Hygiene Kit]],Table_NFI[Hygiene Kit])</f>
        <v>0</v>
      </c>
      <c r="Z692" s="378">
        <f>IF(NFI_Expiration=1,IF($A692&lt;VLOOKUP(I$5,NFI,5,0),1,0)*Table_NFI[[#This Row],[NFI Core Kit]],Table_NFI[NFI Core Kit])</f>
        <v>0</v>
      </c>
      <c r="AA692" s="378">
        <f>IF(NFI_Expiration=1,IF($A692&lt;VLOOKUP(J$5,NFI,5,0),1,0)*Table_NFI[[#This Row],[Sanitary Kit]],Table_NFI[Sanitary Kit])</f>
        <v>0</v>
      </c>
      <c r="AB692" s="378">
        <f>IF(NFI_Expiration=1,IF($A692&lt;VLOOKUP(K$5,NFI,5,0),1,0)*Table_NFI[[#This Row],[Mosquito net]],Table_NFI[Mosquito net])</f>
        <v>0</v>
      </c>
      <c r="AC692" s="378">
        <f>IF(NFI_Expiration=1,IF($A692&lt;VLOOKUP(L$5,NFI,5,0),1,0)*Table_NFI[[#This Row],[Tarpaulin]],Table_NFI[[#This Row],[Tarpaulin]])</f>
        <v>0</v>
      </c>
      <c r="AD692" s="378">
        <f>IF(NFI_Expiration=1,IF($A692&lt;VLOOKUP(M$5,NFI,5,0),1,0)*Table_NFI[[#This Row],[Blanket]],Table_NFI[[#This Row],[Blanket]])</f>
        <v>0</v>
      </c>
      <c r="AE692" s="378">
        <f>IF(NFI_Expiration=1,IF($A692&lt;VLOOKUP(N$5,NFI,5,0),1,0)*Table_NFI[[#This Row],[Kitchen Set]],Table_NFI[Kitchen Set])</f>
        <v>0</v>
      </c>
      <c r="AF692" s="378">
        <f>IF(NFI_Expiration=1,IF($A692&lt;VLOOKUP(O$5,NFI,5,0),1,0)*Table_NFI[[#This Row],[Clothes Kit]],Table_NFI[Clothes Kit])</f>
        <v>0</v>
      </c>
      <c r="AG692" s="378">
        <f>IF(NFI_Expiration=1,IF($A692&lt;VLOOKUP(P$5,NFI,5,0),1,0)*Table_NFI[[#This Row],[Plastic Bucket]],Table_NFI[Plastic Bucket])</f>
        <v>0</v>
      </c>
      <c r="AH692" s="378">
        <f>IF(NFI_Expiration=1,IF($A692&lt;VLOOKUP(Q$5,NFI,5,0),1,0)*Table_NFI[[#This Row],[Plastic Mat]],Table_NFI[Plastic Mat])*IF(Table_NFI[[#This Row],[Distribution Date]]&gt;"2014-04-01",1,2.5)</f>
        <v>0</v>
      </c>
      <c r="AI692" s="378">
        <f>IF(NFI_Expiration=1,IF($A692&lt;VLOOKUP(R$5,NFI,5,0),1,0)*Table_NFI[[#This Row],[Winter Clothes Adult]],Table_NFI[Winter Clothes Adult])</f>
        <v>0</v>
      </c>
      <c r="AJ692" s="378">
        <f>IF(NFI_Expiration=1,IF($A692&lt;VLOOKUP(S$5,NFI,5,0),1,0)*Table_NFI[[#This Row],[Winter Clothes Children]],Table_NFI[Winter Clothes Children])</f>
        <v>0</v>
      </c>
      <c r="AK692" s="378">
        <f>IF(NFI_Expiration=1,IF($A692&lt;VLOOKUP(T$5,NFI,5,0),1,0)*Table_NFI[[#This Row],[Winter Items Other]],Table_NFI[Winter Items Other])</f>
        <v>0</v>
      </c>
      <c r="AL692" s="378">
        <f>IF(NFI_Expiration=1,IF($A692&lt;VLOOKUP(M$5,NFI,5,0),1,0)*Table_NFI[[#This Row],[Winter Blanket]],Table_NFI[[#This Row],[Winter Blanket]])</f>
        <v>0</v>
      </c>
      <c r="AM692" s="378">
        <f>IF(Table_NFI[[#This Row],[Winter Clothes Adult]]+Table_NFI[[#This Row],[Winter Clothes Children]]+Table_NFI[[#This Row],[Winter Items Other]]+Table_NFI[[#This Row],[Winter Blanket]]&gt;0,1,0)</f>
        <v>1</v>
      </c>
      <c r="AN692" s="418">
        <f>IF(NFI_Expiration=1,IF($A692&lt;VLOOKUP(V$5,NFI,5,0),1,0)*Table_NFI[[#This Row],[Jerry Can]],Table_NFI[Jerry Can])</f>
        <v>0</v>
      </c>
      <c r="AO692" s="579" t="str">
        <f>IFERROR(VLOOKUP(Table_NFI[[#This Row],[Camp Name]],CL,2,0),"")</f>
        <v>MMR001CMP032</v>
      </c>
      <c r="AP692" s="574">
        <f ca="1">IF(Table_NFI[[#This Row],[Pcode]]="","",IF(OFFSET(CampList[Opening Date],MATCH(Table_NFI[[#This Row],[Pcode]],CampList[CP_Pcode],0)-1,0,1,1)&gt;=NFI_Monitor_Date,1,0))</f>
        <v>0</v>
      </c>
      <c r="AQ692" s="579" t="str">
        <f>IFERROR(VLOOKUP(Table_NFI[[#This Row],[Camp Name]],CL,3,0),"")</f>
        <v>Open</v>
      </c>
      <c r="AR692" s="378" t="str">
        <f ca="1">IF(Table_NFI[[#This Row],[Pcode]]="","",OFFSET(CampList[Priority],MATCH(Table_NFI[[#This Row],[Pcode]],CampList[CP_Pcode],0)-1,0,1,1))</f>
        <v>P4</v>
      </c>
      <c r="AS692" s="377">
        <f>IFERROR(Table_NFI[[#This Row],[Kitchen Set]]/VLOOKUP(Table_NFI[[#This Row],[Camp Name]],CL,4,0),"")</f>
        <v>0</v>
      </c>
      <c r="AT692" s="572"/>
      <c r="AU692" s="575"/>
    </row>
    <row r="693" spans="1:47" x14ac:dyDescent="0.25">
      <c r="A693" s="381">
        <f t="shared" si="10"/>
        <v>36.866666666666667</v>
      </c>
      <c r="B693" s="571">
        <v>41416</v>
      </c>
      <c r="C693" s="572" t="s">
        <v>454</v>
      </c>
      <c r="D693" s="572" t="s">
        <v>454</v>
      </c>
      <c r="E693" s="572" t="s">
        <v>380</v>
      </c>
      <c r="F693" s="374" t="s">
        <v>310</v>
      </c>
      <c r="G693" s="374" t="s">
        <v>318</v>
      </c>
      <c r="H693" s="375"/>
      <c r="I693" s="375"/>
      <c r="J693" s="375">
        <v>18</v>
      </c>
      <c r="K693" s="375">
        <v>20</v>
      </c>
      <c r="L693" s="376">
        <v>14</v>
      </c>
      <c r="M693" s="376">
        <v>20</v>
      </c>
      <c r="N693" s="376">
        <v>10</v>
      </c>
      <c r="O693" s="376">
        <v>10</v>
      </c>
      <c r="P693" s="378">
        <v>10</v>
      </c>
      <c r="Q693" s="378">
        <v>10</v>
      </c>
      <c r="R693" s="378"/>
      <c r="S693" s="378"/>
      <c r="T693" s="378"/>
      <c r="U693" s="378"/>
      <c r="V693" s="533"/>
      <c r="W693" s="378"/>
      <c r="X693" s="378"/>
      <c r="Y693" s="378">
        <f>IF(NFI_Expiration=1,IF($A693&lt;VLOOKUP(H$5,NFI,5,0),1,0)*Table_NFI[[#This Row],[Hygiene Kit]],Table_NFI[Hygiene Kit])</f>
        <v>0</v>
      </c>
      <c r="Z693" s="378">
        <f>IF(NFI_Expiration=1,IF($A693&lt;VLOOKUP(I$5,NFI,5,0),1,0)*Table_NFI[[#This Row],[NFI Core Kit]],Table_NFI[NFI Core Kit])</f>
        <v>0</v>
      </c>
      <c r="AA693" s="378">
        <f>IF(NFI_Expiration=1,IF($A693&lt;VLOOKUP(J$5,NFI,5,0),1,0)*Table_NFI[[#This Row],[Sanitary Kit]],Table_NFI[Sanitary Kit])</f>
        <v>0</v>
      </c>
      <c r="AB693" s="378">
        <f>IF(NFI_Expiration=1,IF($A693&lt;VLOOKUP(K$5,NFI,5,0),1,0)*Table_NFI[[#This Row],[Mosquito net]],Table_NFI[Mosquito net])</f>
        <v>0</v>
      </c>
      <c r="AC693" s="378">
        <f>IF(NFI_Expiration=1,IF($A693&lt;VLOOKUP(L$5,NFI,5,0),1,0)*Table_NFI[[#This Row],[Tarpaulin]],Table_NFI[[#This Row],[Tarpaulin]])</f>
        <v>0</v>
      </c>
      <c r="AD693" s="378">
        <f>IF(NFI_Expiration=1,IF($A693&lt;VLOOKUP(M$5,NFI,5,0),1,0)*Table_NFI[[#This Row],[Blanket]],Table_NFI[[#This Row],[Blanket]])</f>
        <v>0</v>
      </c>
      <c r="AE693" s="378">
        <f>IF(NFI_Expiration=1,IF($A693&lt;VLOOKUP(N$5,NFI,5,0),1,0)*Table_NFI[[#This Row],[Kitchen Set]],Table_NFI[Kitchen Set])</f>
        <v>0</v>
      </c>
      <c r="AF693" s="378">
        <f>IF(NFI_Expiration=1,IF($A693&lt;VLOOKUP(O$5,NFI,5,0),1,0)*Table_NFI[[#This Row],[Clothes Kit]],Table_NFI[Clothes Kit])</f>
        <v>0</v>
      </c>
      <c r="AG693" s="378">
        <f>IF(NFI_Expiration=1,IF($A693&lt;VLOOKUP(P$5,NFI,5,0),1,0)*Table_NFI[[#This Row],[Plastic Bucket]],Table_NFI[Plastic Bucket])</f>
        <v>0</v>
      </c>
      <c r="AH693" s="378">
        <f>IF(NFI_Expiration=1,IF($A693&lt;VLOOKUP(Q$5,NFI,5,0),1,0)*Table_NFI[[#This Row],[Plastic Mat]],Table_NFI[Plastic Mat])*IF(Table_NFI[[#This Row],[Distribution Date]]&gt;"2014-04-01",1,2.5)</f>
        <v>0</v>
      </c>
      <c r="AI693" s="378">
        <f>IF(NFI_Expiration=1,IF($A693&lt;VLOOKUP(R$5,NFI,5,0),1,0)*Table_NFI[[#This Row],[Winter Clothes Adult]],Table_NFI[Winter Clothes Adult])</f>
        <v>0</v>
      </c>
      <c r="AJ693" s="378">
        <f>IF(NFI_Expiration=1,IF($A693&lt;VLOOKUP(S$5,NFI,5,0),1,0)*Table_NFI[[#This Row],[Winter Clothes Children]],Table_NFI[Winter Clothes Children])</f>
        <v>0</v>
      </c>
      <c r="AK693" s="378">
        <f>IF(NFI_Expiration=1,IF($A693&lt;VLOOKUP(T$5,NFI,5,0),1,0)*Table_NFI[[#This Row],[Winter Items Other]],Table_NFI[Winter Items Other])</f>
        <v>0</v>
      </c>
      <c r="AL693" s="378">
        <f>IF(NFI_Expiration=1,IF($A693&lt;VLOOKUP(M$5,NFI,5,0),1,0)*Table_NFI[[#This Row],[Winter Blanket]],Table_NFI[[#This Row],[Winter Blanket]])</f>
        <v>0</v>
      </c>
      <c r="AM693" s="378">
        <f>IF(Table_NFI[[#This Row],[Winter Clothes Adult]]+Table_NFI[[#This Row],[Winter Clothes Children]]+Table_NFI[[#This Row],[Winter Items Other]]+Table_NFI[[#This Row],[Winter Blanket]]&gt;0,1,0)</f>
        <v>0</v>
      </c>
      <c r="AN693" s="418">
        <f>IF(NFI_Expiration=1,IF($A693&lt;VLOOKUP(V$5,NFI,5,0),1,0)*Table_NFI[[#This Row],[Jerry Can]],Table_NFI[Jerry Can])</f>
        <v>0</v>
      </c>
      <c r="AO693" s="579" t="str">
        <f>IFERROR(VLOOKUP(Table_NFI[[#This Row],[Camp Name]],CL,2,0),"")</f>
        <v>MMR001CMP032</v>
      </c>
      <c r="AP693" s="574">
        <f ca="1">IF(Table_NFI[[#This Row],[Pcode]]="","",IF(OFFSET(CampList[Opening Date],MATCH(Table_NFI[[#This Row],[Pcode]],CampList[CP_Pcode],0)-1,0,1,1)&gt;=NFI_Monitor_Date,1,0))</f>
        <v>0</v>
      </c>
      <c r="AQ693" s="579" t="str">
        <f>IFERROR(VLOOKUP(Table_NFI[[#This Row],[Camp Name]],CL,3,0),"")</f>
        <v>Open</v>
      </c>
      <c r="AR693" s="378" t="str">
        <f ca="1">IF(Table_NFI[[#This Row],[Pcode]]="","",OFFSET(CampList[Priority],MATCH(Table_NFI[[#This Row],[Pcode]],CampList[CP_Pcode],0)-1,0,1,1))</f>
        <v>P4</v>
      </c>
      <c r="AS693" s="377">
        <f>IFERROR(Table_NFI[[#This Row],[Kitchen Set]]/VLOOKUP(Table_NFI[[#This Row],[Camp Name]],CL,4,0),"")</f>
        <v>0.10989010989010989</v>
      </c>
      <c r="AT693" s="572" t="s">
        <v>1095</v>
      </c>
      <c r="AU693" s="575"/>
    </row>
    <row r="694" spans="1:47" x14ac:dyDescent="0.25">
      <c r="A694" s="381">
        <f t="shared" si="10"/>
        <v>39.43333333333333</v>
      </c>
      <c r="B694" s="571">
        <v>41339</v>
      </c>
      <c r="C694" s="572" t="s">
        <v>454</v>
      </c>
      <c r="D694" s="573" t="s">
        <v>454</v>
      </c>
      <c r="E694" s="572" t="s">
        <v>380</v>
      </c>
      <c r="F694" s="374" t="s">
        <v>310</v>
      </c>
      <c r="G694" s="374" t="s">
        <v>318</v>
      </c>
      <c r="H694" s="375"/>
      <c r="I694" s="375"/>
      <c r="J694" s="375">
        <v>6</v>
      </c>
      <c r="K694" s="375">
        <v>11</v>
      </c>
      <c r="L694" s="376">
        <v>5</v>
      </c>
      <c r="M694" s="376">
        <v>11</v>
      </c>
      <c r="N694" s="376">
        <v>5</v>
      </c>
      <c r="O694" s="376">
        <v>5</v>
      </c>
      <c r="P694" s="378">
        <v>5</v>
      </c>
      <c r="Q694" s="378">
        <v>5</v>
      </c>
      <c r="R694" s="378"/>
      <c r="S694" s="378"/>
      <c r="T694" s="378"/>
      <c r="U694" s="378"/>
      <c r="V694" s="533"/>
      <c r="W694" s="378"/>
      <c r="X694" s="378"/>
      <c r="Y694" s="378">
        <f>IF(NFI_Expiration=1,IF($A694&lt;VLOOKUP(H$5,NFI,5,0),1,0)*Table_NFI[[#This Row],[Hygiene Kit]],Table_NFI[Hygiene Kit])</f>
        <v>0</v>
      </c>
      <c r="Z694" s="378">
        <f>IF(NFI_Expiration=1,IF($A694&lt;VLOOKUP(I$5,NFI,5,0),1,0)*Table_NFI[[#This Row],[NFI Core Kit]],Table_NFI[NFI Core Kit])</f>
        <v>0</v>
      </c>
      <c r="AA694" s="378">
        <f>IF(NFI_Expiration=1,IF($A694&lt;VLOOKUP(J$5,NFI,5,0),1,0)*Table_NFI[[#This Row],[Sanitary Kit]],Table_NFI[Sanitary Kit])</f>
        <v>0</v>
      </c>
      <c r="AB694" s="378">
        <f>IF(NFI_Expiration=1,IF($A694&lt;VLOOKUP(K$5,NFI,5,0),1,0)*Table_NFI[[#This Row],[Mosquito net]],Table_NFI[Mosquito net])</f>
        <v>0</v>
      </c>
      <c r="AC694" s="378">
        <f>IF(NFI_Expiration=1,IF($A694&lt;VLOOKUP(L$5,NFI,5,0),1,0)*Table_NFI[[#This Row],[Tarpaulin]],Table_NFI[[#This Row],[Tarpaulin]])</f>
        <v>0</v>
      </c>
      <c r="AD694" s="378">
        <f>IF(NFI_Expiration=1,IF($A694&lt;VLOOKUP(M$5,NFI,5,0),1,0)*Table_NFI[[#This Row],[Blanket]],Table_NFI[[#This Row],[Blanket]])</f>
        <v>0</v>
      </c>
      <c r="AE694" s="378">
        <f>IF(NFI_Expiration=1,IF($A694&lt;VLOOKUP(N$5,NFI,5,0),1,0)*Table_NFI[[#This Row],[Kitchen Set]],Table_NFI[Kitchen Set])</f>
        <v>0</v>
      </c>
      <c r="AF694" s="378">
        <f>IF(NFI_Expiration=1,IF($A694&lt;VLOOKUP(O$5,NFI,5,0),1,0)*Table_NFI[[#This Row],[Clothes Kit]],Table_NFI[Clothes Kit])</f>
        <v>0</v>
      </c>
      <c r="AG694" s="378">
        <f>IF(NFI_Expiration=1,IF($A694&lt;VLOOKUP(P$5,NFI,5,0),1,0)*Table_NFI[[#This Row],[Plastic Bucket]],Table_NFI[Plastic Bucket])</f>
        <v>0</v>
      </c>
      <c r="AH694" s="378">
        <f>IF(NFI_Expiration=1,IF($A694&lt;VLOOKUP(Q$5,NFI,5,0),1,0)*Table_NFI[[#This Row],[Plastic Mat]],Table_NFI[Plastic Mat])*IF(Table_NFI[[#This Row],[Distribution Date]]&gt;"2014-04-01",1,2.5)</f>
        <v>0</v>
      </c>
      <c r="AI694" s="378">
        <f>IF(NFI_Expiration=1,IF($A694&lt;VLOOKUP(R$5,NFI,5,0),1,0)*Table_NFI[[#This Row],[Winter Clothes Adult]],Table_NFI[Winter Clothes Adult])</f>
        <v>0</v>
      </c>
      <c r="AJ694" s="378">
        <f>IF(NFI_Expiration=1,IF($A694&lt;VLOOKUP(S$5,NFI,5,0),1,0)*Table_NFI[[#This Row],[Winter Clothes Children]],Table_NFI[Winter Clothes Children])</f>
        <v>0</v>
      </c>
      <c r="AK694" s="378">
        <f>IF(NFI_Expiration=1,IF($A694&lt;VLOOKUP(T$5,NFI,5,0),1,0)*Table_NFI[[#This Row],[Winter Items Other]],Table_NFI[Winter Items Other])</f>
        <v>0</v>
      </c>
      <c r="AL694" s="378">
        <f>IF(NFI_Expiration=1,IF($A694&lt;VLOOKUP(M$5,NFI,5,0),1,0)*Table_NFI[[#This Row],[Winter Blanket]],Table_NFI[[#This Row],[Winter Blanket]])</f>
        <v>0</v>
      </c>
      <c r="AM694" s="378">
        <f>IF(Table_NFI[[#This Row],[Winter Clothes Adult]]+Table_NFI[[#This Row],[Winter Clothes Children]]+Table_NFI[[#This Row],[Winter Items Other]]+Table_NFI[[#This Row],[Winter Blanket]]&gt;0,1,0)</f>
        <v>0</v>
      </c>
      <c r="AN694" s="418">
        <f>IF(NFI_Expiration=1,IF($A694&lt;VLOOKUP(V$5,NFI,5,0),1,0)*Table_NFI[[#This Row],[Jerry Can]],Table_NFI[Jerry Can])</f>
        <v>0</v>
      </c>
      <c r="AO694" s="579" t="str">
        <f>IFERROR(VLOOKUP(Table_NFI[[#This Row],[Camp Name]],CL,2,0),"")</f>
        <v>MMR001CMP032</v>
      </c>
      <c r="AP694" s="574">
        <f ca="1">IF(Table_NFI[[#This Row],[Pcode]]="","",IF(OFFSET(CampList[Opening Date],MATCH(Table_NFI[[#This Row],[Pcode]],CampList[CP_Pcode],0)-1,0,1,1)&gt;=NFI_Monitor_Date,1,0))</f>
        <v>0</v>
      </c>
      <c r="AQ694" s="579" t="str">
        <f>IFERROR(VLOOKUP(Table_NFI[[#This Row],[Camp Name]],CL,3,0),"")</f>
        <v>Open</v>
      </c>
      <c r="AR694" s="378" t="str">
        <f ca="1">IF(Table_NFI[[#This Row],[Pcode]]="","",OFFSET(CampList[Priority],MATCH(Table_NFI[[#This Row],[Pcode]],CampList[CP_Pcode],0)-1,0,1,1))</f>
        <v>P4</v>
      </c>
      <c r="AS694" s="377">
        <f>IFERROR(Table_NFI[[#This Row],[Kitchen Set]]/VLOOKUP(Table_NFI[[#This Row],[Camp Name]],CL,4,0),"")</f>
        <v>5.4945054945054944E-2</v>
      </c>
      <c r="AT694" s="572" t="s">
        <v>1095</v>
      </c>
      <c r="AU694" s="575"/>
    </row>
    <row r="695" spans="1:47" x14ac:dyDescent="0.25">
      <c r="A695" s="381">
        <f t="shared" si="10"/>
        <v>40.366666666666667</v>
      </c>
      <c r="B695" s="571">
        <v>41311</v>
      </c>
      <c r="C695" s="572" t="s">
        <v>454</v>
      </c>
      <c r="D695" s="573" t="s">
        <v>454</v>
      </c>
      <c r="E695" s="572" t="s">
        <v>380</v>
      </c>
      <c r="F695" s="374" t="s">
        <v>310</v>
      </c>
      <c r="G695" s="374" t="s">
        <v>318</v>
      </c>
      <c r="H695" s="375"/>
      <c r="I695" s="375"/>
      <c r="J695" s="375">
        <v>17</v>
      </c>
      <c r="K695" s="375">
        <v>20</v>
      </c>
      <c r="L695" s="376">
        <v>15</v>
      </c>
      <c r="M695" s="376">
        <v>20</v>
      </c>
      <c r="N695" s="376">
        <v>14</v>
      </c>
      <c r="O695" s="376">
        <v>11</v>
      </c>
      <c r="P695" s="378">
        <v>11</v>
      </c>
      <c r="Q695" s="378">
        <v>11</v>
      </c>
      <c r="R695" s="378"/>
      <c r="S695" s="378"/>
      <c r="T695" s="378"/>
      <c r="U695" s="378"/>
      <c r="V695" s="533"/>
      <c r="W695" s="378"/>
      <c r="X695" s="378"/>
      <c r="Y695" s="378">
        <f>IF(NFI_Expiration=1,IF($A695&lt;VLOOKUP(H$5,NFI,5,0),1,0)*Table_NFI[[#This Row],[Hygiene Kit]],Table_NFI[Hygiene Kit])</f>
        <v>0</v>
      </c>
      <c r="Z695" s="378">
        <f>IF(NFI_Expiration=1,IF($A695&lt;VLOOKUP(I$5,NFI,5,0),1,0)*Table_NFI[[#This Row],[NFI Core Kit]],Table_NFI[NFI Core Kit])</f>
        <v>0</v>
      </c>
      <c r="AA695" s="378">
        <f>IF(NFI_Expiration=1,IF($A695&lt;VLOOKUP(J$5,NFI,5,0),1,0)*Table_NFI[[#This Row],[Sanitary Kit]],Table_NFI[Sanitary Kit])</f>
        <v>0</v>
      </c>
      <c r="AB695" s="378">
        <f>IF(NFI_Expiration=1,IF($A695&lt;VLOOKUP(K$5,NFI,5,0),1,0)*Table_NFI[[#This Row],[Mosquito net]],Table_NFI[Mosquito net])</f>
        <v>0</v>
      </c>
      <c r="AC695" s="378">
        <f>IF(NFI_Expiration=1,IF($A695&lt;VLOOKUP(L$5,NFI,5,0),1,0)*Table_NFI[[#This Row],[Tarpaulin]],Table_NFI[[#This Row],[Tarpaulin]])</f>
        <v>0</v>
      </c>
      <c r="AD695" s="378">
        <f>IF(NFI_Expiration=1,IF($A695&lt;VLOOKUP(M$5,NFI,5,0),1,0)*Table_NFI[[#This Row],[Blanket]],Table_NFI[[#This Row],[Blanket]])</f>
        <v>0</v>
      </c>
      <c r="AE695" s="378">
        <f>IF(NFI_Expiration=1,IF($A695&lt;VLOOKUP(N$5,NFI,5,0),1,0)*Table_NFI[[#This Row],[Kitchen Set]],Table_NFI[Kitchen Set])</f>
        <v>0</v>
      </c>
      <c r="AF695" s="378">
        <f>IF(NFI_Expiration=1,IF($A695&lt;VLOOKUP(O$5,NFI,5,0),1,0)*Table_NFI[[#This Row],[Clothes Kit]],Table_NFI[Clothes Kit])</f>
        <v>0</v>
      </c>
      <c r="AG695" s="378">
        <f>IF(NFI_Expiration=1,IF($A695&lt;VLOOKUP(P$5,NFI,5,0),1,0)*Table_NFI[[#This Row],[Plastic Bucket]],Table_NFI[Plastic Bucket])</f>
        <v>0</v>
      </c>
      <c r="AH695" s="378">
        <f>IF(NFI_Expiration=1,IF($A695&lt;VLOOKUP(Q$5,NFI,5,0),1,0)*Table_NFI[[#This Row],[Plastic Mat]],Table_NFI[Plastic Mat])*IF(Table_NFI[[#This Row],[Distribution Date]]&gt;"2014-04-01",1,2.5)</f>
        <v>0</v>
      </c>
      <c r="AI695" s="378">
        <f>IF(NFI_Expiration=1,IF($A695&lt;VLOOKUP(R$5,NFI,5,0),1,0)*Table_NFI[[#This Row],[Winter Clothes Adult]],Table_NFI[Winter Clothes Adult])</f>
        <v>0</v>
      </c>
      <c r="AJ695" s="378">
        <f>IF(NFI_Expiration=1,IF($A695&lt;VLOOKUP(S$5,NFI,5,0),1,0)*Table_NFI[[#This Row],[Winter Clothes Children]],Table_NFI[Winter Clothes Children])</f>
        <v>0</v>
      </c>
      <c r="AK695" s="378">
        <f>IF(NFI_Expiration=1,IF($A695&lt;VLOOKUP(T$5,NFI,5,0),1,0)*Table_NFI[[#This Row],[Winter Items Other]],Table_NFI[Winter Items Other])</f>
        <v>0</v>
      </c>
      <c r="AL695" s="378">
        <f>IF(NFI_Expiration=1,IF($A695&lt;VLOOKUP(M$5,NFI,5,0),1,0)*Table_NFI[[#This Row],[Winter Blanket]],Table_NFI[[#This Row],[Winter Blanket]])</f>
        <v>0</v>
      </c>
      <c r="AM695" s="378">
        <f>IF(Table_NFI[[#This Row],[Winter Clothes Adult]]+Table_NFI[[#This Row],[Winter Clothes Children]]+Table_NFI[[#This Row],[Winter Items Other]]+Table_NFI[[#This Row],[Winter Blanket]]&gt;0,1,0)</f>
        <v>0</v>
      </c>
      <c r="AN695" s="418">
        <f>IF(NFI_Expiration=1,IF($A695&lt;VLOOKUP(V$5,NFI,5,0),1,0)*Table_NFI[[#This Row],[Jerry Can]],Table_NFI[Jerry Can])</f>
        <v>0</v>
      </c>
      <c r="AO695" s="579" t="str">
        <f>IFERROR(VLOOKUP(Table_NFI[[#This Row],[Camp Name]],CL,2,0),"")</f>
        <v>MMR001CMP032</v>
      </c>
      <c r="AP695" s="574">
        <f ca="1">IF(Table_NFI[[#This Row],[Pcode]]="","",IF(OFFSET(CampList[Opening Date],MATCH(Table_NFI[[#This Row],[Pcode]],CampList[CP_Pcode],0)-1,0,1,1)&gt;=NFI_Monitor_Date,1,0))</f>
        <v>0</v>
      </c>
      <c r="AQ695" s="579" t="str">
        <f>IFERROR(VLOOKUP(Table_NFI[[#This Row],[Camp Name]],CL,3,0),"")</f>
        <v>Open</v>
      </c>
      <c r="AR695" s="378" t="str">
        <f ca="1">IF(Table_NFI[[#This Row],[Pcode]]="","",OFFSET(CampList[Priority],MATCH(Table_NFI[[#This Row],[Pcode]],CampList[CP_Pcode],0)-1,0,1,1))</f>
        <v>P4</v>
      </c>
      <c r="AS695" s="377">
        <f>IFERROR(Table_NFI[[#This Row],[Kitchen Set]]/VLOOKUP(Table_NFI[[#This Row],[Camp Name]],CL,4,0),"")</f>
        <v>0.15384615384615385</v>
      </c>
      <c r="AT695" s="572" t="s">
        <v>1095</v>
      </c>
      <c r="AU695" s="575"/>
    </row>
    <row r="696" spans="1:47" x14ac:dyDescent="0.25">
      <c r="A696" s="381">
        <f t="shared" si="10"/>
        <v>40.56666666666667</v>
      </c>
      <c r="B696" s="571">
        <v>41305</v>
      </c>
      <c r="C696" s="572" t="s">
        <v>571</v>
      </c>
      <c r="D696" s="573" t="s">
        <v>571</v>
      </c>
      <c r="E696" s="572" t="s">
        <v>380</v>
      </c>
      <c r="F696" s="374" t="s">
        <v>310</v>
      </c>
      <c r="G696" s="374" t="s">
        <v>318</v>
      </c>
      <c r="H696" s="375"/>
      <c r="I696" s="375"/>
      <c r="J696" s="375"/>
      <c r="K696" s="375"/>
      <c r="L696" s="376"/>
      <c r="M696" s="376">
        <v>184</v>
      </c>
      <c r="N696" s="376"/>
      <c r="O696" s="376"/>
      <c r="P696" s="378">
        <v>0</v>
      </c>
      <c r="Q696" s="378">
        <v>0</v>
      </c>
      <c r="R696" s="378"/>
      <c r="S696" s="378"/>
      <c r="T696" s="378"/>
      <c r="U696" s="378"/>
      <c r="V696" s="533"/>
      <c r="W696" s="378"/>
      <c r="X696" s="378"/>
      <c r="Y696" s="378">
        <f>IF(NFI_Expiration=1,IF($A696&lt;VLOOKUP(H$5,NFI,5,0),1,0)*Table_NFI[[#This Row],[Hygiene Kit]],Table_NFI[Hygiene Kit])</f>
        <v>0</v>
      </c>
      <c r="Z696" s="378">
        <f>IF(NFI_Expiration=1,IF($A696&lt;VLOOKUP(I$5,NFI,5,0),1,0)*Table_NFI[[#This Row],[NFI Core Kit]],Table_NFI[NFI Core Kit])</f>
        <v>0</v>
      </c>
      <c r="AA696" s="378">
        <f>IF(NFI_Expiration=1,IF($A696&lt;VLOOKUP(J$5,NFI,5,0),1,0)*Table_NFI[[#This Row],[Sanitary Kit]],Table_NFI[Sanitary Kit])</f>
        <v>0</v>
      </c>
      <c r="AB696" s="378">
        <f>IF(NFI_Expiration=1,IF($A696&lt;VLOOKUP(K$5,NFI,5,0),1,0)*Table_NFI[[#This Row],[Mosquito net]],Table_NFI[Mosquito net])</f>
        <v>0</v>
      </c>
      <c r="AC696" s="378">
        <f>IF(NFI_Expiration=1,IF($A696&lt;VLOOKUP(L$5,NFI,5,0),1,0)*Table_NFI[[#This Row],[Tarpaulin]],Table_NFI[[#This Row],[Tarpaulin]])</f>
        <v>0</v>
      </c>
      <c r="AD696" s="378">
        <f>IF(NFI_Expiration=1,IF($A696&lt;VLOOKUP(M$5,NFI,5,0),1,0)*Table_NFI[[#This Row],[Blanket]],Table_NFI[[#This Row],[Blanket]])</f>
        <v>0</v>
      </c>
      <c r="AE696" s="378">
        <f>IF(NFI_Expiration=1,IF($A696&lt;VLOOKUP(N$5,NFI,5,0),1,0)*Table_NFI[[#This Row],[Kitchen Set]],Table_NFI[Kitchen Set])</f>
        <v>0</v>
      </c>
      <c r="AF696" s="378">
        <f>IF(NFI_Expiration=1,IF($A696&lt;VLOOKUP(O$5,NFI,5,0),1,0)*Table_NFI[[#This Row],[Clothes Kit]],Table_NFI[Clothes Kit])</f>
        <v>0</v>
      </c>
      <c r="AG696" s="378">
        <f>IF(NFI_Expiration=1,IF($A696&lt;VLOOKUP(P$5,NFI,5,0),1,0)*Table_NFI[[#This Row],[Plastic Bucket]],Table_NFI[Plastic Bucket])</f>
        <v>0</v>
      </c>
      <c r="AH696" s="378">
        <f>IF(NFI_Expiration=1,IF($A696&lt;VLOOKUP(Q$5,NFI,5,0),1,0)*Table_NFI[[#This Row],[Plastic Mat]],Table_NFI[Plastic Mat])*IF(Table_NFI[[#This Row],[Distribution Date]]&gt;"2014-04-01",1,2.5)</f>
        <v>0</v>
      </c>
      <c r="AI696" s="378">
        <f>IF(NFI_Expiration=1,IF($A696&lt;VLOOKUP(R$5,NFI,5,0),1,0)*Table_NFI[[#This Row],[Winter Clothes Adult]],Table_NFI[Winter Clothes Adult])</f>
        <v>0</v>
      </c>
      <c r="AJ696" s="378">
        <f>IF(NFI_Expiration=1,IF($A696&lt;VLOOKUP(S$5,NFI,5,0),1,0)*Table_NFI[[#This Row],[Winter Clothes Children]],Table_NFI[Winter Clothes Children])</f>
        <v>0</v>
      </c>
      <c r="AK696" s="378">
        <f>IF(NFI_Expiration=1,IF($A696&lt;VLOOKUP(T$5,NFI,5,0),1,0)*Table_NFI[[#This Row],[Winter Items Other]],Table_NFI[Winter Items Other])</f>
        <v>0</v>
      </c>
      <c r="AL696" s="378">
        <f>IF(NFI_Expiration=1,IF($A696&lt;VLOOKUP(M$5,NFI,5,0),1,0)*Table_NFI[[#This Row],[Winter Blanket]],Table_NFI[[#This Row],[Winter Blanket]])</f>
        <v>0</v>
      </c>
      <c r="AM696" s="378">
        <f>IF(Table_NFI[[#This Row],[Winter Clothes Adult]]+Table_NFI[[#This Row],[Winter Clothes Children]]+Table_NFI[[#This Row],[Winter Items Other]]+Table_NFI[[#This Row],[Winter Blanket]]&gt;0,1,0)</f>
        <v>0</v>
      </c>
      <c r="AN696" s="418">
        <f>IF(NFI_Expiration=1,IF($A696&lt;VLOOKUP(V$5,NFI,5,0),1,0)*Table_NFI[[#This Row],[Jerry Can]],Table_NFI[Jerry Can])</f>
        <v>0</v>
      </c>
      <c r="AO696" s="579" t="str">
        <f>IFERROR(VLOOKUP(Table_NFI[[#This Row],[Camp Name]],CL,2,0),"")</f>
        <v>MMR001CMP032</v>
      </c>
      <c r="AP696" s="574">
        <f ca="1">IF(Table_NFI[[#This Row],[Pcode]]="","",IF(OFFSET(CampList[Opening Date],MATCH(Table_NFI[[#This Row],[Pcode]],CampList[CP_Pcode],0)-1,0,1,1)&gt;=NFI_Monitor_Date,1,0))</f>
        <v>0</v>
      </c>
      <c r="AQ696" s="579" t="str">
        <f>IFERROR(VLOOKUP(Table_NFI[[#This Row],[Camp Name]],CL,3,0),"")</f>
        <v>Open</v>
      </c>
      <c r="AR696" s="378" t="str">
        <f ca="1">IF(Table_NFI[[#This Row],[Pcode]]="","",OFFSET(CampList[Priority],MATCH(Table_NFI[[#This Row],[Pcode]],CampList[CP_Pcode],0)-1,0,1,1))</f>
        <v>P4</v>
      </c>
      <c r="AS696" s="377">
        <f>IFERROR(Table_NFI[[#This Row],[Kitchen Set]]/VLOOKUP(Table_NFI[[#This Row],[Camp Name]],CL,4,0),"")</f>
        <v>0</v>
      </c>
      <c r="AT696" s="572" t="s">
        <v>1095</v>
      </c>
      <c r="AU696" s="575"/>
    </row>
    <row r="697" spans="1:47" x14ac:dyDescent="0.25">
      <c r="A697" s="381">
        <f t="shared" si="10"/>
        <v>41.6</v>
      </c>
      <c r="B697" s="571">
        <v>41274</v>
      </c>
      <c r="C697" s="572" t="s">
        <v>455</v>
      </c>
      <c r="D697" s="573" t="s">
        <v>455</v>
      </c>
      <c r="E697" s="572" t="s">
        <v>380</v>
      </c>
      <c r="F697" s="374" t="s">
        <v>310</v>
      </c>
      <c r="G697" s="374" t="s">
        <v>318</v>
      </c>
      <c r="H697" s="375">
        <v>92</v>
      </c>
      <c r="I697" s="375"/>
      <c r="J697" s="375"/>
      <c r="K697" s="375"/>
      <c r="L697" s="376"/>
      <c r="M697" s="376"/>
      <c r="N697" s="376"/>
      <c r="O697" s="376"/>
      <c r="P697" s="378">
        <v>0</v>
      </c>
      <c r="Q697" s="378">
        <v>0</v>
      </c>
      <c r="R697" s="378"/>
      <c r="S697" s="378"/>
      <c r="T697" s="378"/>
      <c r="U697" s="378"/>
      <c r="V697" s="533"/>
      <c r="W697" s="378"/>
      <c r="X697" s="378"/>
      <c r="Y697" s="378">
        <f>IF(NFI_Expiration=1,IF($A697&lt;VLOOKUP(H$5,NFI,5,0),1,0)*Table_NFI[[#This Row],[Hygiene Kit]],Table_NFI[Hygiene Kit])</f>
        <v>0</v>
      </c>
      <c r="Z697" s="378">
        <f>IF(NFI_Expiration=1,IF($A697&lt;VLOOKUP(I$5,NFI,5,0),1,0)*Table_NFI[[#This Row],[NFI Core Kit]],Table_NFI[NFI Core Kit])</f>
        <v>0</v>
      </c>
      <c r="AA697" s="378">
        <f>IF(NFI_Expiration=1,IF($A697&lt;VLOOKUP(J$5,NFI,5,0),1,0)*Table_NFI[[#This Row],[Sanitary Kit]],Table_NFI[Sanitary Kit])</f>
        <v>0</v>
      </c>
      <c r="AB697" s="378">
        <f>IF(NFI_Expiration=1,IF($A697&lt;VLOOKUP(K$5,NFI,5,0),1,0)*Table_NFI[[#This Row],[Mosquito net]],Table_NFI[Mosquito net])</f>
        <v>0</v>
      </c>
      <c r="AC697" s="378">
        <f>IF(NFI_Expiration=1,IF($A697&lt;VLOOKUP(L$5,NFI,5,0),1,0)*Table_NFI[[#This Row],[Tarpaulin]],Table_NFI[[#This Row],[Tarpaulin]])</f>
        <v>0</v>
      </c>
      <c r="AD697" s="378">
        <f>IF(NFI_Expiration=1,IF($A697&lt;VLOOKUP(M$5,NFI,5,0),1,0)*Table_NFI[[#This Row],[Blanket]],Table_NFI[[#This Row],[Blanket]])</f>
        <v>0</v>
      </c>
      <c r="AE697" s="378">
        <f>IF(NFI_Expiration=1,IF($A697&lt;VLOOKUP(N$5,NFI,5,0),1,0)*Table_NFI[[#This Row],[Kitchen Set]],Table_NFI[Kitchen Set])</f>
        <v>0</v>
      </c>
      <c r="AF697" s="378">
        <f>IF(NFI_Expiration=1,IF($A697&lt;VLOOKUP(O$5,NFI,5,0),1,0)*Table_NFI[[#This Row],[Clothes Kit]],Table_NFI[Clothes Kit])</f>
        <v>0</v>
      </c>
      <c r="AG697" s="378">
        <f>IF(NFI_Expiration=1,IF($A697&lt;VLOOKUP(P$5,NFI,5,0),1,0)*Table_NFI[[#This Row],[Plastic Bucket]],Table_NFI[Plastic Bucket])</f>
        <v>0</v>
      </c>
      <c r="AH697" s="378">
        <f>IF(NFI_Expiration=1,IF($A697&lt;VLOOKUP(Q$5,NFI,5,0),1,0)*Table_NFI[[#This Row],[Plastic Mat]],Table_NFI[Plastic Mat])*IF(Table_NFI[[#This Row],[Distribution Date]]&gt;"2014-04-01",1,2.5)</f>
        <v>0</v>
      </c>
      <c r="AI697" s="378">
        <f>IF(NFI_Expiration=1,IF($A697&lt;VLOOKUP(R$5,NFI,5,0),1,0)*Table_NFI[[#This Row],[Winter Clothes Adult]],Table_NFI[Winter Clothes Adult])</f>
        <v>0</v>
      </c>
      <c r="AJ697" s="378">
        <f>IF(NFI_Expiration=1,IF($A697&lt;VLOOKUP(S$5,NFI,5,0),1,0)*Table_NFI[[#This Row],[Winter Clothes Children]],Table_NFI[Winter Clothes Children])</f>
        <v>0</v>
      </c>
      <c r="AK697" s="378">
        <f>IF(NFI_Expiration=1,IF($A697&lt;VLOOKUP(T$5,NFI,5,0),1,0)*Table_NFI[[#This Row],[Winter Items Other]],Table_NFI[Winter Items Other])</f>
        <v>0</v>
      </c>
      <c r="AL697" s="378">
        <f>IF(NFI_Expiration=1,IF($A697&lt;VLOOKUP(M$5,NFI,5,0),1,0)*Table_NFI[[#This Row],[Winter Blanket]],Table_NFI[[#This Row],[Winter Blanket]])</f>
        <v>0</v>
      </c>
      <c r="AM697" s="378">
        <f>IF(Table_NFI[[#This Row],[Winter Clothes Adult]]+Table_NFI[[#This Row],[Winter Clothes Children]]+Table_NFI[[#This Row],[Winter Items Other]]+Table_NFI[[#This Row],[Winter Blanket]]&gt;0,1,0)</f>
        <v>0</v>
      </c>
      <c r="AN697" s="418">
        <f>IF(NFI_Expiration=1,IF($A697&lt;VLOOKUP(V$5,NFI,5,0),1,0)*Table_NFI[[#This Row],[Jerry Can]],Table_NFI[Jerry Can])</f>
        <v>0</v>
      </c>
      <c r="AO697" s="579" t="str">
        <f>IFERROR(VLOOKUP(Table_NFI[[#This Row],[Camp Name]],CL,2,0),"")</f>
        <v>MMR001CMP032</v>
      </c>
      <c r="AP697" s="574">
        <f ca="1">IF(Table_NFI[[#This Row],[Pcode]]="","",IF(OFFSET(CampList[Opening Date],MATCH(Table_NFI[[#This Row],[Pcode]],CampList[CP_Pcode],0)-1,0,1,1)&gt;=NFI_Monitor_Date,1,0))</f>
        <v>0</v>
      </c>
      <c r="AQ697" s="579" t="str">
        <f>IFERROR(VLOOKUP(Table_NFI[[#This Row],[Camp Name]],CL,3,0),"")</f>
        <v>Open</v>
      </c>
      <c r="AR697" s="378" t="str">
        <f ca="1">IF(Table_NFI[[#This Row],[Pcode]]="","",OFFSET(CampList[Priority],MATCH(Table_NFI[[#This Row],[Pcode]],CampList[CP_Pcode],0)-1,0,1,1))</f>
        <v>P4</v>
      </c>
      <c r="AS697" s="377">
        <f>IFERROR(Table_NFI[[#This Row],[Kitchen Set]]/VLOOKUP(Table_NFI[[#This Row],[Camp Name]],CL,4,0),"")</f>
        <v>0</v>
      </c>
      <c r="AT697" s="572" t="s">
        <v>1095</v>
      </c>
      <c r="AU697" s="575"/>
    </row>
    <row r="698" spans="1:47" x14ac:dyDescent="0.25">
      <c r="A698" s="381">
        <f t="shared" si="10"/>
        <v>43.233333333333334</v>
      </c>
      <c r="B698" s="571">
        <v>41225</v>
      </c>
      <c r="C698" s="572" t="s">
        <v>454</v>
      </c>
      <c r="D698" s="573" t="s">
        <v>454</v>
      </c>
      <c r="E698" s="572" t="s">
        <v>380</v>
      </c>
      <c r="F698" s="374" t="s">
        <v>310</v>
      </c>
      <c r="G698" s="374" t="s">
        <v>318</v>
      </c>
      <c r="H698" s="375"/>
      <c r="I698" s="375"/>
      <c r="J698" s="375"/>
      <c r="K698" s="375">
        <v>12</v>
      </c>
      <c r="L698" s="376">
        <v>12</v>
      </c>
      <c r="M698" s="376">
        <v>12</v>
      </c>
      <c r="N698" s="376">
        <v>5</v>
      </c>
      <c r="O698" s="376">
        <v>5</v>
      </c>
      <c r="P698" s="378">
        <v>5</v>
      </c>
      <c r="Q698" s="378">
        <v>5</v>
      </c>
      <c r="R698" s="378"/>
      <c r="S698" s="378"/>
      <c r="T698" s="378"/>
      <c r="U698" s="378"/>
      <c r="V698" s="533"/>
      <c r="W698" s="378"/>
      <c r="X698" s="378"/>
      <c r="Y698" s="378">
        <f>IF(NFI_Expiration=1,IF($A698&lt;VLOOKUP(H$5,NFI,5,0),1,0)*Table_NFI[[#This Row],[Hygiene Kit]],Table_NFI[Hygiene Kit])</f>
        <v>0</v>
      </c>
      <c r="Z698" s="378">
        <f>IF(NFI_Expiration=1,IF($A698&lt;VLOOKUP(I$5,NFI,5,0),1,0)*Table_NFI[[#This Row],[NFI Core Kit]],Table_NFI[NFI Core Kit])</f>
        <v>0</v>
      </c>
      <c r="AA698" s="378">
        <f>IF(NFI_Expiration=1,IF($A698&lt;VLOOKUP(J$5,NFI,5,0),1,0)*Table_NFI[[#This Row],[Sanitary Kit]],Table_NFI[Sanitary Kit])</f>
        <v>0</v>
      </c>
      <c r="AB698" s="378">
        <f>IF(NFI_Expiration=1,IF($A698&lt;VLOOKUP(K$5,NFI,5,0),1,0)*Table_NFI[[#This Row],[Mosquito net]],Table_NFI[Mosquito net])</f>
        <v>0</v>
      </c>
      <c r="AC698" s="378">
        <f>IF(NFI_Expiration=1,IF($A698&lt;VLOOKUP(L$5,NFI,5,0),1,0)*Table_NFI[[#This Row],[Tarpaulin]],Table_NFI[[#This Row],[Tarpaulin]])</f>
        <v>0</v>
      </c>
      <c r="AD698" s="378">
        <f>IF(NFI_Expiration=1,IF($A698&lt;VLOOKUP(M$5,NFI,5,0),1,0)*Table_NFI[[#This Row],[Blanket]],Table_NFI[[#This Row],[Blanket]])</f>
        <v>0</v>
      </c>
      <c r="AE698" s="378">
        <f>IF(NFI_Expiration=1,IF($A698&lt;VLOOKUP(N$5,NFI,5,0),1,0)*Table_NFI[[#This Row],[Kitchen Set]],Table_NFI[Kitchen Set])</f>
        <v>0</v>
      </c>
      <c r="AF698" s="378">
        <f>IF(NFI_Expiration=1,IF($A698&lt;VLOOKUP(O$5,NFI,5,0),1,0)*Table_NFI[[#This Row],[Clothes Kit]],Table_NFI[Clothes Kit])</f>
        <v>0</v>
      </c>
      <c r="AG698" s="378">
        <f>IF(NFI_Expiration=1,IF($A698&lt;VLOOKUP(P$5,NFI,5,0),1,0)*Table_NFI[[#This Row],[Plastic Bucket]],Table_NFI[Plastic Bucket])</f>
        <v>0</v>
      </c>
      <c r="AH698" s="378">
        <f>IF(NFI_Expiration=1,IF($A698&lt;VLOOKUP(Q$5,NFI,5,0),1,0)*Table_NFI[[#This Row],[Plastic Mat]],Table_NFI[Plastic Mat])*IF(Table_NFI[[#This Row],[Distribution Date]]&gt;"2014-04-01",1,2.5)</f>
        <v>0</v>
      </c>
      <c r="AI698" s="378">
        <f>IF(NFI_Expiration=1,IF($A698&lt;VLOOKUP(R$5,NFI,5,0),1,0)*Table_NFI[[#This Row],[Winter Clothes Adult]],Table_NFI[Winter Clothes Adult])</f>
        <v>0</v>
      </c>
      <c r="AJ698" s="378">
        <f>IF(NFI_Expiration=1,IF($A698&lt;VLOOKUP(S$5,NFI,5,0),1,0)*Table_NFI[[#This Row],[Winter Clothes Children]],Table_NFI[Winter Clothes Children])</f>
        <v>0</v>
      </c>
      <c r="AK698" s="378">
        <f>IF(NFI_Expiration=1,IF($A698&lt;VLOOKUP(T$5,NFI,5,0),1,0)*Table_NFI[[#This Row],[Winter Items Other]],Table_NFI[Winter Items Other])</f>
        <v>0</v>
      </c>
      <c r="AL698" s="378">
        <f>IF(NFI_Expiration=1,IF($A698&lt;VLOOKUP(M$5,NFI,5,0),1,0)*Table_NFI[[#This Row],[Winter Blanket]],Table_NFI[[#This Row],[Winter Blanket]])</f>
        <v>0</v>
      </c>
      <c r="AM698" s="378">
        <f>IF(Table_NFI[[#This Row],[Winter Clothes Adult]]+Table_NFI[[#This Row],[Winter Clothes Children]]+Table_NFI[[#This Row],[Winter Items Other]]+Table_NFI[[#This Row],[Winter Blanket]]&gt;0,1,0)</f>
        <v>0</v>
      </c>
      <c r="AN698" s="418">
        <f>IF(NFI_Expiration=1,IF($A698&lt;VLOOKUP(V$5,NFI,5,0),1,0)*Table_NFI[[#This Row],[Jerry Can]],Table_NFI[Jerry Can])</f>
        <v>0</v>
      </c>
      <c r="AO698" s="579" t="str">
        <f>IFERROR(VLOOKUP(Table_NFI[[#This Row],[Camp Name]],CL,2,0),"")</f>
        <v>MMR001CMP032</v>
      </c>
      <c r="AP698" s="574">
        <f ca="1">IF(Table_NFI[[#This Row],[Pcode]]="","",IF(OFFSET(CampList[Opening Date],MATCH(Table_NFI[[#This Row],[Pcode]],CampList[CP_Pcode],0)-1,0,1,1)&gt;=NFI_Monitor_Date,1,0))</f>
        <v>0</v>
      </c>
      <c r="AQ698" s="579" t="str">
        <f>IFERROR(VLOOKUP(Table_NFI[[#This Row],[Camp Name]],CL,3,0),"")</f>
        <v>Open</v>
      </c>
      <c r="AR698" s="378" t="str">
        <f ca="1">IF(Table_NFI[[#This Row],[Pcode]]="","",OFFSET(CampList[Priority],MATCH(Table_NFI[[#This Row],[Pcode]],CampList[CP_Pcode],0)-1,0,1,1))</f>
        <v>P4</v>
      </c>
      <c r="AS698" s="377">
        <f>IFERROR(Table_NFI[[#This Row],[Kitchen Set]]/VLOOKUP(Table_NFI[[#This Row],[Camp Name]],CL,4,0),"")</f>
        <v>5.4945054945054944E-2</v>
      </c>
      <c r="AT698" s="572" t="s">
        <v>1095</v>
      </c>
      <c r="AU698" s="575"/>
    </row>
    <row r="699" spans="1:47" x14ac:dyDescent="0.25">
      <c r="A699" s="381">
        <f t="shared" si="10"/>
        <v>47.3</v>
      </c>
      <c r="B699" s="571">
        <v>41103</v>
      </c>
      <c r="C699" s="572" t="s">
        <v>454</v>
      </c>
      <c r="D699" s="573" t="s">
        <v>454</v>
      </c>
      <c r="E699" s="572" t="s">
        <v>380</v>
      </c>
      <c r="F699" s="374" t="s">
        <v>310</v>
      </c>
      <c r="G699" s="374" t="s">
        <v>318</v>
      </c>
      <c r="H699" s="375"/>
      <c r="I699" s="375"/>
      <c r="J699" s="375"/>
      <c r="K699" s="375">
        <v>13</v>
      </c>
      <c r="L699" s="376">
        <v>13</v>
      </c>
      <c r="M699" s="376">
        <v>13</v>
      </c>
      <c r="N699" s="376">
        <v>13</v>
      </c>
      <c r="O699" s="376">
        <v>13</v>
      </c>
      <c r="P699" s="378">
        <v>13</v>
      </c>
      <c r="Q699" s="378">
        <v>13</v>
      </c>
      <c r="R699" s="378"/>
      <c r="S699" s="378"/>
      <c r="T699" s="378"/>
      <c r="U699" s="378"/>
      <c r="V699" s="533"/>
      <c r="W699" s="378"/>
      <c r="X699" s="378"/>
      <c r="Y699" s="378">
        <f>IF(NFI_Expiration=1,IF($A699&lt;VLOOKUP(H$5,NFI,5,0),1,0)*Table_NFI[[#This Row],[Hygiene Kit]],Table_NFI[Hygiene Kit])</f>
        <v>0</v>
      </c>
      <c r="Z699" s="378">
        <f>IF(NFI_Expiration=1,IF($A699&lt;VLOOKUP(I$5,NFI,5,0),1,0)*Table_NFI[[#This Row],[NFI Core Kit]],Table_NFI[NFI Core Kit])</f>
        <v>0</v>
      </c>
      <c r="AA699" s="378">
        <f>IF(NFI_Expiration=1,IF($A699&lt;VLOOKUP(J$5,NFI,5,0),1,0)*Table_NFI[[#This Row],[Sanitary Kit]],Table_NFI[Sanitary Kit])</f>
        <v>0</v>
      </c>
      <c r="AB699" s="378">
        <f>IF(NFI_Expiration=1,IF($A699&lt;VLOOKUP(K$5,NFI,5,0),1,0)*Table_NFI[[#This Row],[Mosquito net]],Table_NFI[Mosquito net])</f>
        <v>0</v>
      </c>
      <c r="AC699" s="378">
        <f>IF(NFI_Expiration=1,IF($A699&lt;VLOOKUP(L$5,NFI,5,0),1,0)*Table_NFI[[#This Row],[Tarpaulin]],Table_NFI[[#This Row],[Tarpaulin]])</f>
        <v>0</v>
      </c>
      <c r="AD699" s="378">
        <f>IF(NFI_Expiration=1,IF($A699&lt;VLOOKUP(M$5,NFI,5,0),1,0)*Table_NFI[[#This Row],[Blanket]],Table_NFI[[#This Row],[Blanket]])</f>
        <v>0</v>
      </c>
      <c r="AE699" s="378">
        <f>IF(NFI_Expiration=1,IF($A699&lt;VLOOKUP(N$5,NFI,5,0),1,0)*Table_NFI[[#This Row],[Kitchen Set]],Table_NFI[Kitchen Set])</f>
        <v>0</v>
      </c>
      <c r="AF699" s="378">
        <f>IF(NFI_Expiration=1,IF($A699&lt;VLOOKUP(O$5,NFI,5,0),1,0)*Table_NFI[[#This Row],[Clothes Kit]],Table_NFI[Clothes Kit])</f>
        <v>0</v>
      </c>
      <c r="AG699" s="378">
        <f>IF(NFI_Expiration=1,IF($A699&lt;VLOOKUP(P$5,NFI,5,0),1,0)*Table_NFI[[#This Row],[Plastic Bucket]],Table_NFI[Plastic Bucket])</f>
        <v>0</v>
      </c>
      <c r="AH699" s="378">
        <f>IF(NFI_Expiration=1,IF($A699&lt;VLOOKUP(Q$5,NFI,5,0),1,0)*Table_NFI[[#This Row],[Plastic Mat]],Table_NFI[Plastic Mat])*IF(Table_NFI[[#This Row],[Distribution Date]]&gt;"2014-04-01",1,2.5)</f>
        <v>0</v>
      </c>
      <c r="AI699" s="378">
        <f>IF(NFI_Expiration=1,IF($A699&lt;VLOOKUP(R$5,NFI,5,0),1,0)*Table_NFI[[#This Row],[Winter Clothes Adult]],Table_NFI[Winter Clothes Adult])</f>
        <v>0</v>
      </c>
      <c r="AJ699" s="378">
        <f>IF(NFI_Expiration=1,IF($A699&lt;VLOOKUP(S$5,NFI,5,0),1,0)*Table_NFI[[#This Row],[Winter Clothes Children]],Table_NFI[Winter Clothes Children])</f>
        <v>0</v>
      </c>
      <c r="AK699" s="378">
        <f>IF(NFI_Expiration=1,IF($A699&lt;VLOOKUP(T$5,NFI,5,0),1,0)*Table_NFI[[#This Row],[Winter Items Other]],Table_NFI[Winter Items Other])</f>
        <v>0</v>
      </c>
      <c r="AL699" s="378">
        <f>IF(NFI_Expiration=1,IF($A699&lt;VLOOKUP(M$5,NFI,5,0),1,0)*Table_NFI[[#This Row],[Winter Blanket]],Table_NFI[[#This Row],[Winter Blanket]])</f>
        <v>0</v>
      </c>
      <c r="AM699" s="378">
        <f>IF(Table_NFI[[#This Row],[Winter Clothes Adult]]+Table_NFI[[#This Row],[Winter Clothes Children]]+Table_NFI[[#This Row],[Winter Items Other]]+Table_NFI[[#This Row],[Winter Blanket]]&gt;0,1,0)</f>
        <v>0</v>
      </c>
      <c r="AN699" s="418">
        <f>IF(NFI_Expiration=1,IF($A699&lt;VLOOKUP(V$5,NFI,5,0),1,0)*Table_NFI[[#This Row],[Jerry Can]],Table_NFI[Jerry Can])</f>
        <v>0</v>
      </c>
      <c r="AO699" s="579" t="str">
        <f>IFERROR(VLOOKUP(Table_NFI[[#This Row],[Camp Name]],CL,2,0),"")</f>
        <v>MMR001CMP032</v>
      </c>
      <c r="AP699" s="574">
        <f ca="1">IF(Table_NFI[[#This Row],[Pcode]]="","",IF(OFFSET(CampList[Opening Date],MATCH(Table_NFI[[#This Row],[Pcode]],CampList[CP_Pcode],0)-1,0,1,1)&gt;=NFI_Monitor_Date,1,0))</f>
        <v>0</v>
      </c>
      <c r="AQ699" s="579" t="str">
        <f>IFERROR(VLOOKUP(Table_NFI[[#This Row],[Camp Name]],CL,3,0),"")</f>
        <v>Open</v>
      </c>
      <c r="AR699" s="378" t="str">
        <f ca="1">IF(Table_NFI[[#This Row],[Pcode]]="","",OFFSET(CampList[Priority],MATCH(Table_NFI[[#This Row],[Pcode]],CampList[CP_Pcode],0)-1,0,1,1))</f>
        <v>P4</v>
      </c>
      <c r="AS699" s="377">
        <f>IFERROR(Table_NFI[[#This Row],[Kitchen Set]]/VLOOKUP(Table_NFI[[#This Row],[Camp Name]],CL,4,0),"")</f>
        <v>0.14285714285714285</v>
      </c>
      <c r="AT699" s="572" t="s">
        <v>1095</v>
      </c>
      <c r="AU699" s="575"/>
    </row>
    <row r="700" spans="1:47" x14ac:dyDescent="0.25">
      <c r="A700" s="381">
        <f t="shared" si="10"/>
        <v>47.43333333333333</v>
      </c>
      <c r="B700" s="571">
        <v>41099</v>
      </c>
      <c r="C700" s="572" t="s">
        <v>454</v>
      </c>
      <c r="D700" s="572" t="s">
        <v>454</v>
      </c>
      <c r="E700" s="572" t="s">
        <v>380</v>
      </c>
      <c r="F700" s="572" t="s">
        <v>310</v>
      </c>
      <c r="G700" s="374" t="s">
        <v>318</v>
      </c>
      <c r="H700" s="375"/>
      <c r="I700" s="375"/>
      <c r="J700" s="375"/>
      <c r="K700" s="375">
        <v>77</v>
      </c>
      <c r="L700" s="376">
        <v>34</v>
      </c>
      <c r="M700" s="376">
        <v>77</v>
      </c>
      <c r="N700" s="376">
        <v>35</v>
      </c>
      <c r="O700" s="376">
        <v>52</v>
      </c>
      <c r="P700" s="378">
        <v>52</v>
      </c>
      <c r="Q700" s="378">
        <v>52</v>
      </c>
      <c r="R700" s="378"/>
      <c r="S700" s="378"/>
      <c r="T700" s="378"/>
      <c r="U700" s="378"/>
      <c r="V700" s="533"/>
      <c r="W700" s="378"/>
      <c r="X700" s="378"/>
      <c r="Y700" s="378">
        <f>IF(NFI_Expiration=1,IF($A700&lt;VLOOKUP(H$5,NFI,5,0),1,0)*Table_NFI[[#This Row],[Hygiene Kit]],Table_NFI[Hygiene Kit])</f>
        <v>0</v>
      </c>
      <c r="Z700" s="378">
        <f>IF(NFI_Expiration=1,IF($A700&lt;VLOOKUP(I$5,NFI,5,0),1,0)*Table_NFI[[#This Row],[NFI Core Kit]],Table_NFI[NFI Core Kit])</f>
        <v>0</v>
      </c>
      <c r="AA700" s="378">
        <f>IF(NFI_Expiration=1,IF($A700&lt;VLOOKUP(J$5,NFI,5,0),1,0)*Table_NFI[[#This Row],[Sanitary Kit]],Table_NFI[Sanitary Kit])</f>
        <v>0</v>
      </c>
      <c r="AB700" s="378">
        <f>IF(NFI_Expiration=1,IF($A700&lt;VLOOKUP(K$5,NFI,5,0),1,0)*Table_NFI[[#This Row],[Mosquito net]],Table_NFI[Mosquito net])</f>
        <v>0</v>
      </c>
      <c r="AC700" s="378">
        <f>IF(NFI_Expiration=1,IF($A700&lt;VLOOKUP(L$5,NFI,5,0),1,0)*Table_NFI[[#This Row],[Tarpaulin]],Table_NFI[[#This Row],[Tarpaulin]])</f>
        <v>0</v>
      </c>
      <c r="AD700" s="378">
        <f>IF(NFI_Expiration=1,IF($A700&lt;VLOOKUP(M$5,NFI,5,0),1,0)*Table_NFI[[#This Row],[Blanket]],Table_NFI[[#This Row],[Blanket]])</f>
        <v>0</v>
      </c>
      <c r="AE700" s="378">
        <f>IF(NFI_Expiration=1,IF($A700&lt;VLOOKUP(N$5,NFI,5,0),1,0)*Table_NFI[[#This Row],[Kitchen Set]],Table_NFI[Kitchen Set])</f>
        <v>0</v>
      </c>
      <c r="AF700" s="378">
        <f>IF(NFI_Expiration=1,IF($A700&lt;VLOOKUP(O$5,NFI,5,0),1,0)*Table_NFI[[#This Row],[Clothes Kit]],Table_NFI[Clothes Kit])</f>
        <v>0</v>
      </c>
      <c r="AG700" s="378">
        <f>IF(NFI_Expiration=1,IF($A700&lt;VLOOKUP(P$5,NFI,5,0),1,0)*Table_NFI[[#This Row],[Plastic Bucket]],Table_NFI[Plastic Bucket])</f>
        <v>0</v>
      </c>
      <c r="AH700" s="378">
        <f>IF(NFI_Expiration=1,IF($A700&lt;VLOOKUP(Q$5,NFI,5,0),1,0)*Table_NFI[[#This Row],[Plastic Mat]],Table_NFI[Plastic Mat])*IF(Table_NFI[[#This Row],[Distribution Date]]&gt;"2014-04-01",1,2.5)</f>
        <v>0</v>
      </c>
      <c r="AI700" s="378">
        <f>IF(NFI_Expiration=1,IF($A700&lt;VLOOKUP(R$5,NFI,5,0),1,0)*Table_NFI[[#This Row],[Winter Clothes Adult]],Table_NFI[Winter Clothes Adult])</f>
        <v>0</v>
      </c>
      <c r="AJ700" s="378">
        <f>IF(NFI_Expiration=1,IF($A700&lt;VLOOKUP(S$5,NFI,5,0),1,0)*Table_NFI[[#This Row],[Winter Clothes Children]],Table_NFI[Winter Clothes Children])</f>
        <v>0</v>
      </c>
      <c r="AK700" s="378">
        <f>IF(NFI_Expiration=1,IF($A700&lt;VLOOKUP(T$5,NFI,5,0),1,0)*Table_NFI[[#This Row],[Winter Items Other]],Table_NFI[Winter Items Other])</f>
        <v>0</v>
      </c>
      <c r="AL700" s="378">
        <f>IF(NFI_Expiration=1,IF($A700&lt;VLOOKUP(M$5,NFI,5,0),1,0)*Table_NFI[[#This Row],[Winter Blanket]],Table_NFI[[#This Row],[Winter Blanket]])</f>
        <v>0</v>
      </c>
      <c r="AM700" s="378">
        <f>IF(Table_NFI[[#This Row],[Winter Clothes Adult]]+Table_NFI[[#This Row],[Winter Clothes Children]]+Table_NFI[[#This Row],[Winter Items Other]]+Table_NFI[[#This Row],[Winter Blanket]]&gt;0,1,0)</f>
        <v>0</v>
      </c>
      <c r="AN700" s="418">
        <f>IF(NFI_Expiration=1,IF($A700&lt;VLOOKUP(V$5,NFI,5,0),1,0)*Table_NFI[[#This Row],[Jerry Can]],Table_NFI[Jerry Can])</f>
        <v>0</v>
      </c>
      <c r="AO700" s="579" t="str">
        <f>IFERROR(VLOOKUP(Table_NFI[[#This Row],[Camp Name]],CL,2,0),"")</f>
        <v>MMR001CMP032</v>
      </c>
      <c r="AP700" s="574">
        <f ca="1">IF(Table_NFI[[#This Row],[Pcode]]="","",IF(OFFSET(CampList[Opening Date],MATCH(Table_NFI[[#This Row],[Pcode]],CampList[CP_Pcode],0)-1,0,1,1)&gt;=NFI_Monitor_Date,1,0))</f>
        <v>0</v>
      </c>
      <c r="AQ700" s="579" t="str">
        <f>IFERROR(VLOOKUP(Table_NFI[[#This Row],[Camp Name]],CL,3,0),"")</f>
        <v>Open</v>
      </c>
      <c r="AR700" s="378" t="str">
        <f ca="1">IF(Table_NFI[[#This Row],[Pcode]]="","",OFFSET(CampList[Priority],MATCH(Table_NFI[[#This Row],[Pcode]],CampList[CP_Pcode],0)-1,0,1,1))</f>
        <v>P4</v>
      </c>
      <c r="AS700" s="377">
        <f>IFERROR(Table_NFI[[#This Row],[Kitchen Set]]/VLOOKUP(Table_NFI[[#This Row],[Camp Name]],CL,4,0),"")</f>
        <v>0.38461538461538464</v>
      </c>
      <c r="AT700" s="572" t="s">
        <v>1095</v>
      </c>
      <c r="AU700" s="575"/>
    </row>
    <row r="701" spans="1:47" x14ac:dyDescent="0.25">
      <c r="A701" s="381">
        <f t="shared" si="10"/>
        <v>51.56666666666667</v>
      </c>
      <c r="B701" s="571">
        <v>40975</v>
      </c>
      <c r="C701" s="572" t="s">
        <v>454</v>
      </c>
      <c r="D701" s="573" t="s">
        <v>454</v>
      </c>
      <c r="E701" s="572" t="s">
        <v>380</v>
      </c>
      <c r="F701" s="374" t="s">
        <v>310</v>
      </c>
      <c r="G701" s="374" t="s">
        <v>318</v>
      </c>
      <c r="H701" s="375"/>
      <c r="I701" s="375"/>
      <c r="J701" s="375"/>
      <c r="K701" s="375">
        <v>12</v>
      </c>
      <c r="L701" s="376">
        <v>8</v>
      </c>
      <c r="M701" s="376">
        <v>12</v>
      </c>
      <c r="N701" s="376">
        <v>8</v>
      </c>
      <c r="O701" s="376">
        <v>8</v>
      </c>
      <c r="P701" s="378">
        <v>8</v>
      </c>
      <c r="Q701" s="378">
        <v>8</v>
      </c>
      <c r="R701" s="378"/>
      <c r="S701" s="378"/>
      <c r="T701" s="378"/>
      <c r="U701" s="378"/>
      <c r="V701" s="533"/>
      <c r="W701" s="378"/>
      <c r="X701" s="378"/>
      <c r="Y701" s="378">
        <f>IF(NFI_Expiration=1,IF($A701&lt;VLOOKUP(H$5,NFI,5,0),1,0)*Table_NFI[[#This Row],[Hygiene Kit]],Table_NFI[Hygiene Kit])</f>
        <v>0</v>
      </c>
      <c r="Z701" s="378">
        <f>IF(NFI_Expiration=1,IF($A701&lt;VLOOKUP(I$5,NFI,5,0),1,0)*Table_NFI[[#This Row],[NFI Core Kit]],Table_NFI[NFI Core Kit])</f>
        <v>0</v>
      </c>
      <c r="AA701" s="378">
        <f>IF(NFI_Expiration=1,IF($A701&lt;VLOOKUP(J$5,NFI,5,0),1,0)*Table_NFI[[#This Row],[Sanitary Kit]],Table_NFI[Sanitary Kit])</f>
        <v>0</v>
      </c>
      <c r="AB701" s="378">
        <f>IF(NFI_Expiration=1,IF($A701&lt;VLOOKUP(K$5,NFI,5,0),1,0)*Table_NFI[[#This Row],[Mosquito net]],Table_NFI[Mosquito net])</f>
        <v>0</v>
      </c>
      <c r="AC701" s="378">
        <f>IF(NFI_Expiration=1,IF($A701&lt;VLOOKUP(L$5,NFI,5,0),1,0)*Table_NFI[[#This Row],[Tarpaulin]],Table_NFI[[#This Row],[Tarpaulin]])</f>
        <v>0</v>
      </c>
      <c r="AD701" s="378">
        <f>IF(NFI_Expiration=1,IF($A701&lt;VLOOKUP(M$5,NFI,5,0),1,0)*Table_NFI[[#This Row],[Blanket]],Table_NFI[[#This Row],[Blanket]])</f>
        <v>0</v>
      </c>
      <c r="AE701" s="378">
        <f>IF(NFI_Expiration=1,IF($A701&lt;VLOOKUP(N$5,NFI,5,0),1,0)*Table_NFI[[#This Row],[Kitchen Set]],Table_NFI[Kitchen Set])</f>
        <v>0</v>
      </c>
      <c r="AF701" s="378">
        <f>IF(NFI_Expiration=1,IF($A701&lt;VLOOKUP(O$5,NFI,5,0),1,0)*Table_NFI[[#This Row],[Clothes Kit]],Table_NFI[Clothes Kit])</f>
        <v>0</v>
      </c>
      <c r="AG701" s="378">
        <f>IF(NFI_Expiration=1,IF($A701&lt;VLOOKUP(P$5,NFI,5,0),1,0)*Table_NFI[[#This Row],[Plastic Bucket]],Table_NFI[Plastic Bucket])</f>
        <v>0</v>
      </c>
      <c r="AH701" s="378">
        <f>IF(NFI_Expiration=1,IF($A701&lt;VLOOKUP(Q$5,NFI,5,0),1,0)*Table_NFI[[#This Row],[Plastic Mat]],Table_NFI[Plastic Mat])*IF(Table_NFI[[#This Row],[Distribution Date]]&gt;"2014-04-01",1,2.5)</f>
        <v>0</v>
      </c>
      <c r="AI701" s="378">
        <f>IF(NFI_Expiration=1,IF($A701&lt;VLOOKUP(R$5,NFI,5,0),1,0)*Table_NFI[[#This Row],[Winter Clothes Adult]],Table_NFI[Winter Clothes Adult])</f>
        <v>0</v>
      </c>
      <c r="AJ701" s="378">
        <f>IF(NFI_Expiration=1,IF($A701&lt;VLOOKUP(S$5,NFI,5,0),1,0)*Table_NFI[[#This Row],[Winter Clothes Children]],Table_NFI[Winter Clothes Children])</f>
        <v>0</v>
      </c>
      <c r="AK701" s="378">
        <f>IF(NFI_Expiration=1,IF($A701&lt;VLOOKUP(T$5,NFI,5,0),1,0)*Table_NFI[[#This Row],[Winter Items Other]],Table_NFI[Winter Items Other])</f>
        <v>0</v>
      </c>
      <c r="AL701" s="378">
        <f>IF(NFI_Expiration=1,IF($A701&lt;VLOOKUP(M$5,NFI,5,0),1,0)*Table_NFI[[#This Row],[Winter Blanket]],Table_NFI[[#This Row],[Winter Blanket]])</f>
        <v>0</v>
      </c>
      <c r="AM701" s="378">
        <f>IF(Table_NFI[[#This Row],[Winter Clothes Adult]]+Table_NFI[[#This Row],[Winter Clothes Children]]+Table_NFI[[#This Row],[Winter Items Other]]+Table_NFI[[#This Row],[Winter Blanket]]&gt;0,1,0)</f>
        <v>0</v>
      </c>
      <c r="AN701" s="418">
        <f>IF(NFI_Expiration=1,IF($A701&lt;VLOOKUP(V$5,NFI,5,0),1,0)*Table_NFI[[#This Row],[Jerry Can]],Table_NFI[Jerry Can])</f>
        <v>0</v>
      </c>
      <c r="AO701" s="579" t="str">
        <f>IFERROR(VLOOKUP(Table_NFI[[#This Row],[Camp Name]],CL,2,0),"")</f>
        <v>MMR001CMP032</v>
      </c>
      <c r="AP701" s="574">
        <f ca="1">IF(Table_NFI[[#This Row],[Pcode]]="","",IF(OFFSET(CampList[Opening Date],MATCH(Table_NFI[[#This Row],[Pcode]],CampList[CP_Pcode],0)-1,0,1,1)&gt;=NFI_Monitor_Date,1,0))</f>
        <v>0</v>
      </c>
      <c r="AQ701" s="579" t="str">
        <f>IFERROR(VLOOKUP(Table_NFI[[#This Row],[Camp Name]],CL,3,0),"")</f>
        <v>Open</v>
      </c>
      <c r="AR701" s="378" t="str">
        <f ca="1">IF(Table_NFI[[#This Row],[Pcode]]="","",OFFSET(CampList[Priority],MATCH(Table_NFI[[#This Row],[Pcode]],CampList[CP_Pcode],0)-1,0,1,1))</f>
        <v>P4</v>
      </c>
      <c r="AS701" s="377">
        <f>IFERROR(Table_NFI[[#This Row],[Kitchen Set]]/VLOOKUP(Table_NFI[[#This Row],[Camp Name]],CL,4,0),"")</f>
        <v>8.7912087912087919E-2</v>
      </c>
      <c r="AT701" s="572" t="s">
        <v>1095</v>
      </c>
      <c r="AU701" s="575"/>
    </row>
    <row r="702" spans="1:47" x14ac:dyDescent="0.25">
      <c r="A702" s="381">
        <f t="shared" si="10"/>
        <v>54.1</v>
      </c>
      <c r="B702" s="571">
        <v>40899</v>
      </c>
      <c r="C702" s="572" t="s">
        <v>454</v>
      </c>
      <c r="D702" s="572" t="s">
        <v>454</v>
      </c>
      <c r="E702" s="572" t="s">
        <v>380</v>
      </c>
      <c r="F702" s="374" t="s">
        <v>310</v>
      </c>
      <c r="G702" s="374" t="s">
        <v>318</v>
      </c>
      <c r="H702" s="375"/>
      <c r="I702" s="375"/>
      <c r="J702" s="375"/>
      <c r="K702" s="375">
        <v>0</v>
      </c>
      <c r="L702" s="376">
        <v>0</v>
      </c>
      <c r="M702" s="376">
        <v>0</v>
      </c>
      <c r="N702" s="376">
        <v>0</v>
      </c>
      <c r="O702" s="376">
        <v>4</v>
      </c>
      <c r="P702" s="378">
        <v>4</v>
      </c>
      <c r="Q702" s="378">
        <v>4</v>
      </c>
      <c r="R702" s="378"/>
      <c r="S702" s="378"/>
      <c r="T702" s="378"/>
      <c r="U702" s="378"/>
      <c r="V702" s="533"/>
      <c r="W702" s="378"/>
      <c r="X702" s="378"/>
      <c r="Y702" s="378">
        <f>IF(NFI_Expiration=1,IF($A702&lt;VLOOKUP(H$5,NFI,5,0),1,0)*Table_NFI[[#This Row],[Hygiene Kit]],Table_NFI[Hygiene Kit])</f>
        <v>0</v>
      </c>
      <c r="Z702" s="378">
        <f>IF(NFI_Expiration=1,IF($A702&lt;VLOOKUP(I$5,NFI,5,0),1,0)*Table_NFI[[#This Row],[NFI Core Kit]],Table_NFI[NFI Core Kit])</f>
        <v>0</v>
      </c>
      <c r="AA702" s="378">
        <f>IF(NFI_Expiration=1,IF($A702&lt;VLOOKUP(J$5,NFI,5,0),1,0)*Table_NFI[[#This Row],[Sanitary Kit]],Table_NFI[Sanitary Kit])</f>
        <v>0</v>
      </c>
      <c r="AB702" s="378">
        <f>IF(NFI_Expiration=1,IF($A702&lt;VLOOKUP(K$5,NFI,5,0),1,0)*Table_NFI[[#This Row],[Mosquito net]],Table_NFI[Mosquito net])</f>
        <v>0</v>
      </c>
      <c r="AC702" s="378">
        <f>IF(NFI_Expiration=1,IF($A702&lt;VLOOKUP(L$5,NFI,5,0),1,0)*Table_NFI[[#This Row],[Tarpaulin]],Table_NFI[[#This Row],[Tarpaulin]])</f>
        <v>0</v>
      </c>
      <c r="AD702" s="378">
        <f>IF(NFI_Expiration=1,IF($A702&lt;VLOOKUP(M$5,NFI,5,0),1,0)*Table_NFI[[#This Row],[Blanket]],Table_NFI[[#This Row],[Blanket]])</f>
        <v>0</v>
      </c>
      <c r="AE702" s="378">
        <f>IF(NFI_Expiration=1,IF($A702&lt;VLOOKUP(N$5,NFI,5,0),1,0)*Table_NFI[[#This Row],[Kitchen Set]],Table_NFI[Kitchen Set])</f>
        <v>0</v>
      </c>
      <c r="AF702" s="378">
        <f>IF(NFI_Expiration=1,IF($A702&lt;VLOOKUP(O$5,NFI,5,0),1,0)*Table_NFI[[#This Row],[Clothes Kit]],Table_NFI[Clothes Kit])</f>
        <v>0</v>
      </c>
      <c r="AG702" s="378">
        <f>IF(NFI_Expiration=1,IF($A702&lt;VLOOKUP(P$5,NFI,5,0),1,0)*Table_NFI[[#This Row],[Plastic Bucket]],Table_NFI[Plastic Bucket])</f>
        <v>0</v>
      </c>
      <c r="AH702" s="378">
        <f>IF(NFI_Expiration=1,IF($A702&lt;VLOOKUP(Q$5,NFI,5,0),1,0)*Table_NFI[[#This Row],[Plastic Mat]],Table_NFI[Plastic Mat])*IF(Table_NFI[[#This Row],[Distribution Date]]&gt;"2014-04-01",1,2.5)</f>
        <v>0</v>
      </c>
      <c r="AI702" s="378">
        <f>IF(NFI_Expiration=1,IF($A702&lt;VLOOKUP(R$5,NFI,5,0),1,0)*Table_NFI[[#This Row],[Winter Clothes Adult]],Table_NFI[Winter Clothes Adult])</f>
        <v>0</v>
      </c>
      <c r="AJ702" s="378">
        <f>IF(NFI_Expiration=1,IF($A702&lt;VLOOKUP(S$5,NFI,5,0),1,0)*Table_NFI[[#This Row],[Winter Clothes Children]],Table_NFI[Winter Clothes Children])</f>
        <v>0</v>
      </c>
      <c r="AK702" s="378">
        <f>IF(NFI_Expiration=1,IF($A702&lt;VLOOKUP(T$5,NFI,5,0),1,0)*Table_NFI[[#This Row],[Winter Items Other]],Table_NFI[Winter Items Other])</f>
        <v>0</v>
      </c>
      <c r="AL702" s="378">
        <f>IF(NFI_Expiration=1,IF($A702&lt;VLOOKUP(M$5,NFI,5,0),1,0)*Table_NFI[[#This Row],[Winter Blanket]],Table_NFI[[#This Row],[Winter Blanket]])</f>
        <v>0</v>
      </c>
      <c r="AM702" s="378">
        <f>IF(Table_NFI[[#This Row],[Winter Clothes Adult]]+Table_NFI[[#This Row],[Winter Clothes Children]]+Table_NFI[[#This Row],[Winter Items Other]]+Table_NFI[[#This Row],[Winter Blanket]]&gt;0,1,0)</f>
        <v>0</v>
      </c>
      <c r="AN702" s="418">
        <f>IF(NFI_Expiration=1,IF($A702&lt;VLOOKUP(V$5,NFI,5,0),1,0)*Table_NFI[[#This Row],[Jerry Can]],Table_NFI[Jerry Can])</f>
        <v>0</v>
      </c>
      <c r="AO702" s="579" t="str">
        <f>IFERROR(VLOOKUP(Table_NFI[[#This Row],[Camp Name]],CL,2,0),"")</f>
        <v>MMR001CMP032</v>
      </c>
      <c r="AP702" s="574">
        <f ca="1">IF(Table_NFI[[#This Row],[Pcode]]="","",IF(OFFSET(CampList[Opening Date],MATCH(Table_NFI[[#This Row],[Pcode]],CampList[CP_Pcode],0)-1,0,1,1)&gt;=NFI_Monitor_Date,1,0))</f>
        <v>0</v>
      </c>
      <c r="AQ702" s="579" t="str">
        <f>IFERROR(VLOOKUP(Table_NFI[[#This Row],[Camp Name]],CL,3,0),"")</f>
        <v>Open</v>
      </c>
      <c r="AR702" s="378" t="str">
        <f ca="1">IF(Table_NFI[[#This Row],[Pcode]]="","",OFFSET(CampList[Priority],MATCH(Table_NFI[[#This Row],[Pcode]],CampList[CP_Pcode],0)-1,0,1,1))</f>
        <v>P4</v>
      </c>
      <c r="AS702" s="377">
        <f>IFERROR(Table_NFI[[#This Row],[Kitchen Set]]/VLOOKUP(Table_NFI[[#This Row],[Camp Name]],CL,4,0),"")</f>
        <v>0</v>
      </c>
      <c r="AT702" s="572" t="s">
        <v>1095</v>
      </c>
      <c r="AU702" s="575"/>
    </row>
    <row r="703" spans="1:47" x14ac:dyDescent="0.25">
      <c r="A703" s="381">
        <f t="shared" si="10"/>
        <v>24.7</v>
      </c>
      <c r="B703" s="571">
        <v>41781</v>
      </c>
      <c r="C703" s="572" t="s">
        <v>1107</v>
      </c>
      <c r="D703" s="572" t="s">
        <v>903</v>
      </c>
      <c r="E703" s="572" t="s">
        <v>380</v>
      </c>
      <c r="F703" s="374" t="s">
        <v>310</v>
      </c>
      <c r="G703" s="572" t="s">
        <v>342</v>
      </c>
      <c r="H703" s="375"/>
      <c r="I703" s="375"/>
      <c r="J703" s="375"/>
      <c r="K703" s="375"/>
      <c r="L703" s="376"/>
      <c r="M703" s="376"/>
      <c r="N703" s="376"/>
      <c r="O703" s="376"/>
      <c r="P703" s="378"/>
      <c r="Q703" s="378"/>
      <c r="R703" s="378"/>
      <c r="S703" s="378"/>
      <c r="T703" s="378"/>
      <c r="U703" s="378">
        <v>140</v>
      </c>
      <c r="V703" s="533"/>
      <c r="W703" s="378"/>
      <c r="X703" s="378"/>
      <c r="Y703" s="378">
        <f>IF(NFI_Expiration=1,IF($A703&lt;VLOOKUP(H$5,NFI,5,0),1,0)*Table_NFI[[#This Row],[Hygiene Kit]],Table_NFI[Hygiene Kit])</f>
        <v>0</v>
      </c>
      <c r="Z703" s="378">
        <f>IF(NFI_Expiration=1,IF($A703&lt;VLOOKUP(I$5,NFI,5,0),1,0)*Table_NFI[[#This Row],[NFI Core Kit]],Table_NFI[NFI Core Kit])</f>
        <v>0</v>
      </c>
      <c r="AA703" s="378">
        <f>IF(NFI_Expiration=1,IF($A703&lt;VLOOKUP(J$5,NFI,5,0),1,0)*Table_NFI[[#This Row],[Sanitary Kit]],Table_NFI[Sanitary Kit])</f>
        <v>0</v>
      </c>
      <c r="AB703" s="378">
        <f>IF(NFI_Expiration=1,IF($A703&lt;VLOOKUP(K$5,NFI,5,0),1,0)*Table_NFI[[#This Row],[Mosquito net]],Table_NFI[Mosquito net])</f>
        <v>0</v>
      </c>
      <c r="AC703" s="378">
        <f>IF(NFI_Expiration=1,IF($A703&lt;VLOOKUP(L$5,NFI,5,0),1,0)*Table_NFI[[#This Row],[Tarpaulin]],Table_NFI[[#This Row],[Tarpaulin]])</f>
        <v>0</v>
      </c>
      <c r="AD703" s="378">
        <f>IF(NFI_Expiration=1,IF($A703&lt;VLOOKUP(M$5,NFI,5,0),1,0)*Table_NFI[[#This Row],[Blanket]],Table_NFI[[#This Row],[Blanket]])</f>
        <v>0</v>
      </c>
      <c r="AE703" s="378">
        <f>IF(NFI_Expiration=1,IF($A703&lt;VLOOKUP(N$5,NFI,5,0),1,0)*Table_NFI[[#This Row],[Kitchen Set]],Table_NFI[Kitchen Set])</f>
        <v>0</v>
      </c>
      <c r="AF703" s="378">
        <f>IF(NFI_Expiration=1,IF($A703&lt;VLOOKUP(O$5,NFI,5,0),1,0)*Table_NFI[[#This Row],[Clothes Kit]],Table_NFI[Clothes Kit])</f>
        <v>0</v>
      </c>
      <c r="AG703" s="378">
        <f>IF(NFI_Expiration=1,IF($A703&lt;VLOOKUP(P$5,NFI,5,0),1,0)*Table_NFI[[#This Row],[Plastic Bucket]],Table_NFI[Plastic Bucket])</f>
        <v>0</v>
      </c>
      <c r="AH703" s="378">
        <f>IF(NFI_Expiration=1,IF($A703&lt;VLOOKUP(Q$5,NFI,5,0),1,0)*Table_NFI[[#This Row],[Plastic Mat]],Table_NFI[Plastic Mat])*IF(Table_NFI[[#This Row],[Distribution Date]]&gt;"2014-04-01",1,2.5)</f>
        <v>0</v>
      </c>
      <c r="AI703" s="378">
        <f>IF(NFI_Expiration=1,IF($A703&lt;VLOOKUP(R$5,NFI,5,0),1,0)*Table_NFI[[#This Row],[Winter Clothes Adult]],Table_NFI[Winter Clothes Adult])</f>
        <v>0</v>
      </c>
      <c r="AJ703" s="378">
        <f>IF(NFI_Expiration=1,IF($A703&lt;VLOOKUP(S$5,NFI,5,0),1,0)*Table_NFI[[#This Row],[Winter Clothes Children]],Table_NFI[Winter Clothes Children])</f>
        <v>0</v>
      </c>
      <c r="AK703" s="378">
        <f>IF(NFI_Expiration=1,IF($A703&lt;VLOOKUP(T$5,NFI,5,0),1,0)*Table_NFI[[#This Row],[Winter Items Other]],Table_NFI[Winter Items Other])</f>
        <v>0</v>
      </c>
      <c r="AL703" s="378">
        <f>IF(NFI_Expiration=1,IF($A703&lt;VLOOKUP(M$5,NFI,5,0),1,0)*Table_NFI[[#This Row],[Winter Blanket]],Table_NFI[[#This Row],[Winter Blanket]])</f>
        <v>0</v>
      </c>
      <c r="AM703" s="378">
        <f>IF(Table_NFI[[#This Row],[Winter Clothes Adult]]+Table_NFI[[#This Row],[Winter Clothes Children]]+Table_NFI[[#This Row],[Winter Items Other]]+Table_NFI[[#This Row],[Winter Blanket]]&gt;0,1,0)</f>
        <v>1</v>
      </c>
      <c r="AN703" s="418">
        <f>IF(NFI_Expiration=1,IF($A703&lt;VLOOKUP(V$5,NFI,5,0),1,0)*Table_NFI[[#This Row],[Jerry Can]],Table_NFI[Jerry Can])</f>
        <v>0</v>
      </c>
      <c r="AO703" s="579" t="str">
        <f>IFERROR(VLOOKUP(Table_NFI[[#This Row],[Camp Name]],CL,2,0),"")</f>
        <v>MMR001CMP025</v>
      </c>
      <c r="AP703" s="574">
        <f ca="1">IF(Table_NFI[[#This Row],[Pcode]]="","",IF(OFFSET(CampList[Opening Date],MATCH(Table_NFI[[#This Row],[Pcode]],CampList[CP_Pcode],0)-1,0,1,1)&gt;=NFI_Monitor_Date,1,0))</f>
        <v>0</v>
      </c>
      <c r="AQ703" s="579" t="str">
        <f>IFERROR(VLOOKUP(Table_NFI[[#This Row],[Camp Name]],CL,3,0),"")</f>
        <v>Open</v>
      </c>
      <c r="AR703" s="378" t="str">
        <f ca="1">IF(Table_NFI[[#This Row],[Pcode]]="","",OFFSET(CampList[Priority],MATCH(Table_NFI[[#This Row],[Pcode]],CampList[CP_Pcode],0)-1,0,1,1))</f>
        <v>P4</v>
      </c>
      <c r="AS703" s="377">
        <f>IFERROR(Table_NFI[[#This Row],[Kitchen Set]]/VLOOKUP(Table_NFI[[#This Row],[Camp Name]],CL,4,0),"")</f>
        <v>0</v>
      </c>
      <c r="AT703" s="572"/>
      <c r="AU703" s="575"/>
    </row>
    <row r="704" spans="1:47" x14ac:dyDescent="0.25">
      <c r="A704" s="381">
        <f t="shared" si="10"/>
        <v>29.9</v>
      </c>
      <c r="B704" s="571">
        <v>41625</v>
      </c>
      <c r="C704" s="572" t="s">
        <v>908</v>
      </c>
      <c r="D704" s="572" t="s">
        <v>462</v>
      </c>
      <c r="E704" s="572" t="s">
        <v>380</v>
      </c>
      <c r="F704" s="374" t="s">
        <v>310</v>
      </c>
      <c r="G704" s="572" t="s">
        <v>342</v>
      </c>
      <c r="H704" s="375"/>
      <c r="I704" s="375"/>
      <c r="J704" s="375"/>
      <c r="K704" s="375"/>
      <c r="L704" s="376"/>
      <c r="M704" s="376"/>
      <c r="N704" s="376"/>
      <c r="O704" s="376"/>
      <c r="P704" s="378"/>
      <c r="Q704" s="378"/>
      <c r="R704" s="378">
        <v>73</v>
      </c>
      <c r="S704" s="378">
        <v>146</v>
      </c>
      <c r="T704" s="378">
        <v>438</v>
      </c>
      <c r="U704" s="378">
        <v>219</v>
      </c>
      <c r="V704" s="533"/>
      <c r="W704" s="378"/>
      <c r="X704" s="378"/>
      <c r="Y704" s="378">
        <f>IF(NFI_Expiration=1,IF($A704&lt;VLOOKUP(H$5,NFI,5,0),1,0)*Table_NFI[[#This Row],[Hygiene Kit]],Table_NFI[Hygiene Kit])</f>
        <v>0</v>
      </c>
      <c r="Z704" s="378">
        <f>IF(NFI_Expiration=1,IF($A704&lt;VLOOKUP(I$5,NFI,5,0),1,0)*Table_NFI[[#This Row],[NFI Core Kit]],Table_NFI[NFI Core Kit])</f>
        <v>0</v>
      </c>
      <c r="AA704" s="378">
        <f>IF(NFI_Expiration=1,IF($A704&lt;VLOOKUP(J$5,NFI,5,0),1,0)*Table_NFI[[#This Row],[Sanitary Kit]],Table_NFI[Sanitary Kit])</f>
        <v>0</v>
      </c>
      <c r="AB704" s="378">
        <f>IF(NFI_Expiration=1,IF($A704&lt;VLOOKUP(K$5,NFI,5,0),1,0)*Table_NFI[[#This Row],[Mosquito net]],Table_NFI[Mosquito net])</f>
        <v>0</v>
      </c>
      <c r="AC704" s="378">
        <f>IF(NFI_Expiration=1,IF($A704&lt;VLOOKUP(L$5,NFI,5,0),1,0)*Table_NFI[[#This Row],[Tarpaulin]],Table_NFI[[#This Row],[Tarpaulin]])</f>
        <v>0</v>
      </c>
      <c r="AD704" s="378">
        <f>IF(NFI_Expiration=1,IF($A704&lt;VLOOKUP(M$5,NFI,5,0),1,0)*Table_NFI[[#This Row],[Blanket]],Table_NFI[[#This Row],[Blanket]])</f>
        <v>0</v>
      </c>
      <c r="AE704" s="378">
        <f>IF(NFI_Expiration=1,IF($A704&lt;VLOOKUP(N$5,NFI,5,0),1,0)*Table_NFI[[#This Row],[Kitchen Set]],Table_NFI[Kitchen Set])</f>
        <v>0</v>
      </c>
      <c r="AF704" s="378">
        <f>IF(NFI_Expiration=1,IF($A704&lt;VLOOKUP(O$5,NFI,5,0),1,0)*Table_NFI[[#This Row],[Clothes Kit]],Table_NFI[Clothes Kit])</f>
        <v>0</v>
      </c>
      <c r="AG704" s="378">
        <f>IF(NFI_Expiration=1,IF($A704&lt;VLOOKUP(P$5,NFI,5,0),1,0)*Table_NFI[[#This Row],[Plastic Bucket]],Table_NFI[Plastic Bucket])</f>
        <v>0</v>
      </c>
      <c r="AH704" s="378">
        <f>IF(NFI_Expiration=1,IF($A704&lt;VLOOKUP(Q$5,NFI,5,0),1,0)*Table_NFI[[#This Row],[Plastic Mat]],Table_NFI[Plastic Mat])*IF(Table_NFI[[#This Row],[Distribution Date]]&gt;"2014-04-01",1,2.5)</f>
        <v>0</v>
      </c>
      <c r="AI704" s="378">
        <f>IF(NFI_Expiration=1,IF($A704&lt;VLOOKUP(R$5,NFI,5,0),1,0)*Table_NFI[[#This Row],[Winter Clothes Adult]],Table_NFI[Winter Clothes Adult])</f>
        <v>0</v>
      </c>
      <c r="AJ704" s="378">
        <f>IF(NFI_Expiration=1,IF($A704&lt;VLOOKUP(S$5,NFI,5,0),1,0)*Table_NFI[[#This Row],[Winter Clothes Children]],Table_NFI[Winter Clothes Children])</f>
        <v>0</v>
      </c>
      <c r="AK704" s="378">
        <f>IF(NFI_Expiration=1,IF($A704&lt;VLOOKUP(T$5,NFI,5,0),1,0)*Table_NFI[[#This Row],[Winter Items Other]],Table_NFI[Winter Items Other])</f>
        <v>0</v>
      </c>
      <c r="AL704" s="378">
        <f>IF(NFI_Expiration=1,IF($A704&lt;VLOOKUP(M$5,NFI,5,0),1,0)*Table_NFI[[#This Row],[Winter Blanket]],Table_NFI[[#This Row],[Winter Blanket]])</f>
        <v>0</v>
      </c>
      <c r="AM704" s="378">
        <f>IF(Table_NFI[[#This Row],[Winter Clothes Adult]]+Table_NFI[[#This Row],[Winter Clothes Children]]+Table_NFI[[#This Row],[Winter Items Other]]+Table_NFI[[#This Row],[Winter Blanket]]&gt;0,1,0)</f>
        <v>1</v>
      </c>
      <c r="AN704" s="418">
        <f>IF(NFI_Expiration=1,IF($A704&lt;VLOOKUP(V$5,NFI,5,0),1,0)*Table_NFI[[#This Row],[Jerry Can]],Table_NFI[Jerry Can])</f>
        <v>0</v>
      </c>
      <c r="AO704" s="579" t="str">
        <f>IFERROR(VLOOKUP(Table_NFI[[#This Row],[Camp Name]],CL,2,0),"")</f>
        <v>MMR001CMP025</v>
      </c>
      <c r="AP704" s="574">
        <f ca="1">IF(Table_NFI[[#This Row],[Pcode]]="","",IF(OFFSET(CampList[Opening Date],MATCH(Table_NFI[[#This Row],[Pcode]],CampList[CP_Pcode],0)-1,0,1,1)&gt;=NFI_Monitor_Date,1,0))</f>
        <v>0</v>
      </c>
      <c r="AQ704" s="579" t="str">
        <f>IFERROR(VLOOKUP(Table_NFI[[#This Row],[Camp Name]],CL,3,0),"")</f>
        <v>Open</v>
      </c>
      <c r="AR704" s="378" t="str">
        <f ca="1">IF(Table_NFI[[#This Row],[Pcode]]="","",OFFSET(CampList[Priority],MATCH(Table_NFI[[#This Row],[Pcode]],CampList[CP_Pcode],0)-1,0,1,1))</f>
        <v>P4</v>
      </c>
      <c r="AS704" s="377">
        <f>IFERROR(Table_NFI[[#This Row],[Kitchen Set]]/VLOOKUP(Table_NFI[[#This Row],[Camp Name]],CL,4,0),"")</f>
        <v>0</v>
      </c>
      <c r="AT704" s="572"/>
      <c r="AU704" s="575"/>
    </row>
    <row r="705" spans="1:47" x14ac:dyDescent="0.25">
      <c r="A705" s="381">
        <f t="shared" si="10"/>
        <v>30.466666666666665</v>
      </c>
      <c r="B705" s="571">
        <v>41608</v>
      </c>
      <c r="C705" s="572" t="s">
        <v>908</v>
      </c>
      <c r="D705" s="573" t="s">
        <v>462</v>
      </c>
      <c r="E705" s="572" t="s">
        <v>380</v>
      </c>
      <c r="F705" s="374" t="s">
        <v>310</v>
      </c>
      <c r="G705" s="374" t="s">
        <v>342</v>
      </c>
      <c r="H705" s="375"/>
      <c r="I705" s="375"/>
      <c r="J705" s="375"/>
      <c r="K705" s="375"/>
      <c r="L705" s="376"/>
      <c r="M705" s="376"/>
      <c r="N705" s="376"/>
      <c r="O705" s="376"/>
      <c r="P705" s="378"/>
      <c r="Q705" s="378"/>
      <c r="R705" s="378"/>
      <c r="S705" s="378"/>
      <c r="T705" s="378"/>
      <c r="U705" s="378"/>
      <c r="V705" s="533"/>
      <c r="W705" s="378"/>
      <c r="X705" s="378"/>
      <c r="Y705" s="378">
        <f>IF(NFI_Expiration=1,IF($A705&lt;VLOOKUP(H$5,NFI,5,0),1,0)*Table_NFI[[#This Row],[Hygiene Kit]],Table_NFI[Hygiene Kit])</f>
        <v>0</v>
      </c>
      <c r="Z705" s="378">
        <f>IF(NFI_Expiration=1,IF($A705&lt;VLOOKUP(I$5,NFI,5,0),1,0)*Table_NFI[[#This Row],[NFI Core Kit]],Table_NFI[NFI Core Kit])</f>
        <v>0</v>
      </c>
      <c r="AA705" s="378">
        <f>IF(NFI_Expiration=1,IF($A705&lt;VLOOKUP(J$5,NFI,5,0),1,0)*Table_NFI[[#This Row],[Sanitary Kit]],Table_NFI[Sanitary Kit])</f>
        <v>0</v>
      </c>
      <c r="AB705" s="378">
        <f>IF(NFI_Expiration=1,IF($A705&lt;VLOOKUP(K$5,NFI,5,0),1,0)*Table_NFI[[#This Row],[Mosquito net]],Table_NFI[Mosquito net])</f>
        <v>0</v>
      </c>
      <c r="AC705" s="378">
        <f>IF(NFI_Expiration=1,IF($A705&lt;VLOOKUP(L$5,NFI,5,0),1,0)*Table_NFI[[#This Row],[Tarpaulin]],Table_NFI[[#This Row],[Tarpaulin]])</f>
        <v>0</v>
      </c>
      <c r="AD705" s="378">
        <f>IF(NFI_Expiration=1,IF($A705&lt;VLOOKUP(M$5,NFI,5,0),1,0)*Table_NFI[[#This Row],[Blanket]],Table_NFI[[#This Row],[Blanket]])</f>
        <v>0</v>
      </c>
      <c r="AE705" s="378">
        <f>IF(NFI_Expiration=1,IF($A705&lt;VLOOKUP(N$5,NFI,5,0),1,0)*Table_NFI[[#This Row],[Kitchen Set]],Table_NFI[Kitchen Set])</f>
        <v>0</v>
      </c>
      <c r="AF705" s="378">
        <f>IF(NFI_Expiration=1,IF($A705&lt;VLOOKUP(O$5,NFI,5,0),1,0)*Table_NFI[[#This Row],[Clothes Kit]],Table_NFI[Clothes Kit])</f>
        <v>0</v>
      </c>
      <c r="AG705" s="378">
        <f>IF(NFI_Expiration=1,IF($A705&lt;VLOOKUP(P$5,NFI,5,0),1,0)*Table_NFI[[#This Row],[Plastic Bucket]],Table_NFI[Plastic Bucket])</f>
        <v>0</v>
      </c>
      <c r="AH705" s="378">
        <f>IF(NFI_Expiration=1,IF($A705&lt;VLOOKUP(Q$5,NFI,5,0),1,0)*Table_NFI[[#This Row],[Plastic Mat]],Table_NFI[Plastic Mat])*IF(Table_NFI[[#This Row],[Distribution Date]]&gt;"2014-04-01",1,2.5)</f>
        <v>0</v>
      </c>
      <c r="AI705" s="378">
        <f>IF(NFI_Expiration=1,IF($A705&lt;VLOOKUP(R$5,NFI,5,0),1,0)*Table_NFI[[#This Row],[Winter Clothes Adult]],Table_NFI[Winter Clothes Adult])</f>
        <v>0</v>
      </c>
      <c r="AJ705" s="378">
        <f>IF(NFI_Expiration=1,IF($A705&lt;VLOOKUP(S$5,NFI,5,0),1,0)*Table_NFI[[#This Row],[Winter Clothes Children]],Table_NFI[Winter Clothes Children])</f>
        <v>0</v>
      </c>
      <c r="AK705" s="378">
        <f>IF(NFI_Expiration=1,IF($A705&lt;VLOOKUP(T$5,NFI,5,0),1,0)*Table_NFI[[#This Row],[Winter Items Other]],Table_NFI[Winter Items Other])</f>
        <v>0</v>
      </c>
      <c r="AL705" s="378">
        <f>IF(NFI_Expiration=1,IF($A705&lt;VLOOKUP(M$5,NFI,5,0),1,0)*Table_NFI[[#This Row],[Winter Blanket]],Table_NFI[[#This Row],[Winter Blanket]])</f>
        <v>0</v>
      </c>
      <c r="AM705" s="378">
        <f>IF(Table_NFI[[#This Row],[Winter Clothes Adult]]+Table_NFI[[#This Row],[Winter Clothes Children]]+Table_NFI[[#This Row],[Winter Items Other]]+Table_NFI[[#This Row],[Winter Blanket]]&gt;0,1,0)</f>
        <v>0</v>
      </c>
      <c r="AN705" s="418">
        <f>IF(NFI_Expiration=1,IF($A705&lt;VLOOKUP(V$5,NFI,5,0),1,0)*Table_NFI[[#This Row],[Jerry Can]],Table_NFI[Jerry Can])</f>
        <v>0</v>
      </c>
      <c r="AO705" s="579" t="str">
        <f>IFERROR(VLOOKUP(Table_NFI[[#This Row],[Camp Name]],CL,2,0),"")</f>
        <v>MMR001CMP025</v>
      </c>
      <c r="AP705" s="574">
        <f ca="1">IF(Table_NFI[[#This Row],[Pcode]]="","",IF(OFFSET(CampList[Opening Date],MATCH(Table_NFI[[#This Row],[Pcode]],CampList[CP_Pcode],0)-1,0,1,1)&gt;=NFI_Monitor_Date,1,0))</f>
        <v>0</v>
      </c>
      <c r="AQ705" s="579" t="str">
        <f>IFERROR(VLOOKUP(Table_NFI[[#This Row],[Camp Name]],CL,3,0),"")</f>
        <v>Open</v>
      </c>
      <c r="AR705" s="378" t="str">
        <f ca="1">IF(Table_NFI[[#This Row],[Pcode]]="","",OFFSET(CampList[Priority],MATCH(Table_NFI[[#This Row],[Pcode]],CampList[CP_Pcode],0)-1,0,1,1))</f>
        <v>P4</v>
      </c>
      <c r="AS705" s="377">
        <f>IFERROR(Table_NFI[[#This Row],[Kitchen Set]]/VLOOKUP(Table_NFI[[#This Row],[Camp Name]],CL,4,0),"")</f>
        <v>0</v>
      </c>
      <c r="AT705" s="572" t="s">
        <v>1095</v>
      </c>
      <c r="AU705" s="575"/>
    </row>
    <row r="706" spans="1:47" x14ac:dyDescent="0.25">
      <c r="A706" s="381">
        <f t="shared" si="10"/>
        <v>34.766666666666666</v>
      </c>
      <c r="B706" s="571">
        <v>41479</v>
      </c>
      <c r="C706" s="572" t="s">
        <v>454</v>
      </c>
      <c r="D706" s="572" t="s">
        <v>462</v>
      </c>
      <c r="E706" s="572" t="s">
        <v>380</v>
      </c>
      <c r="F706" s="374" t="s">
        <v>310</v>
      </c>
      <c r="G706" s="374" t="s">
        <v>342</v>
      </c>
      <c r="H706" s="375"/>
      <c r="I706" s="375"/>
      <c r="J706" s="375">
        <v>31</v>
      </c>
      <c r="K706" s="375">
        <v>44</v>
      </c>
      <c r="L706" s="378">
        <v>18</v>
      </c>
      <c r="M706" s="378">
        <v>44</v>
      </c>
      <c r="N706" s="378">
        <v>18</v>
      </c>
      <c r="O706" s="378">
        <v>18</v>
      </c>
      <c r="P706" s="378">
        <v>18</v>
      </c>
      <c r="Q706" s="378">
        <v>18</v>
      </c>
      <c r="R706" s="378"/>
      <c r="S706" s="378"/>
      <c r="T706" s="378"/>
      <c r="U706" s="378"/>
      <c r="V706" s="533"/>
      <c r="W706" s="378"/>
      <c r="X706" s="378"/>
      <c r="Y706" s="378">
        <f>IF(NFI_Expiration=1,IF($A706&lt;VLOOKUP(H$5,NFI,5,0),1,0)*Table_NFI[[#This Row],[Hygiene Kit]],Table_NFI[Hygiene Kit])</f>
        <v>0</v>
      </c>
      <c r="Z706" s="378">
        <f>IF(NFI_Expiration=1,IF($A706&lt;VLOOKUP(I$5,NFI,5,0),1,0)*Table_NFI[[#This Row],[NFI Core Kit]],Table_NFI[NFI Core Kit])</f>
        <v>0</v>
      </c>
      <c r="AA706" s="378">
        <f>IF(NFI_Expiration=1,IF($A706&lt;VLOOKUP(J$5,NFI,5,0),1,0)*Table_NFI[[#This Row],[Sanitary Kit]],Table_NFI[Sanitary Kit])</f>
        <v>0</v>
      </c>
      <c r="AB706" s="378">
        <f>IF(NFI_Expiration=1,IF($A706&lt;VLOOKUP(K$5,NFI,5,0),1,0)*Table_NFI[[#This Row],[Mosquito net]],Table_NFI[Mosquito net])</f>
        <v>0</v>
      </c>
      <c r="AC706" s="378">
        <f>IF(NFI_Expiration=1,IF($A706&lt;VLOOKUP(L$5,NFI,5,0),1,0)*Table_NFI[[#This Row],[Tarpaulin]],Table_NFI[[#This Row],[Tarpaulin]])</f>
        <v>0</v>
      </c>
      <c r="AD706" s="378">
        <f>IF(NFI_Expiration=1,IF($A706&lt;VLOOKUP(M$5,NFI,5,0),1,0)*Table_NFI[[#This Row],[Blanket]],Table_NFI[[#This Row],[Blanket]])</f>
        <v>0</v>
      </c>
      <c r="AE706" s="378">
        <f>IF(NFI_Expiration=1,IF($A706&lt;VLOOKUP(N$5,NFI,5,0),1,0)*Table_NFI[[#This Row],[Kitchen Set]],Table_NFI[Kitchen Set])</f>
        <v>0</v>
      </c>
      <c r="AF706" s="378">
        <f>IF(NFI_Expiration=1,IF($A706&lt;VLOOKUP(O$5,NFI,5,0),1,0)*Table_NFI[[#This Row],[Clothes Kit]],Table_NFI[Clothes Kit])</f>
        <v>0</v>
      </c>
      <c r="AG706" s="378">
        <f>IF(NFI_Expiration=1,IF($A706&lt;VLOOKUP(P$5,NFI,5,0),1,0)*Table_NFI[[#This Row],[Plastic Bucket]],Table_NFI[Plastic Bucket])</f>
        <v>0</v>
      </c>
      <c r="AH706" s="378">
        <f>IF(NFI_Expiration=1,IF($A706&lt;VLOOKUP(Q$5,NFI,5,0),1,0)*Table_NFI[[#This Row],[Plastic Mat]],Table_NFI[Plastic Mat])*IF(Table_NFI[[#This Row],[Distribution Date]]&gt;"2014-04-01",1,2.5)</f>
        <v>0</v>
      </c>
      <c r="AI706" s="378">
        <f>IF(NFI_Expiration=1,IF($A706&lt;VLOOKUP(R$5,NFI,5,0),1,0)*Table_NFI[[#This Row],[Winter Clothes Adult]],Table_NFI[Winter Clothes Adult])</f>
        <v>0</v>
      </c>
      <c r="AJ706" s="378">
        <f>IF(NFI_Expiration=1,IF($A706&lt;VLOOKUP(S$5,NFI,5,0),1,0)*Table_NFI[[#This Row],[Winter Clothes Children]],Table_NFI[Winter Clothes Children])</f>
        <v>0</v>
      </c>
      <c r="AK706" s="378">
        <f>IF(NFI_Expiration=1,IF($A706&lt;VLOOKUP(T$5,NFI,5,0),1,0)*Table_NFI[[#This Row],[Winter Items Other]],Table_NFI[Winter Items Other])</f>
        <v>0</v>
      </c>
      <c r="AL706" s="378">
        <f>IF(NFI_Expiration=1,IF($A706&lt;VLOOKUP(M$5,NFI,5,0),1,0)*Table_NFI[[#This Row],[Winter Blanket]],Table_NFI[[#This Row],[Winter Blanket]])</f>
        <v>0</v>
      </c>
      <c r="AM706" s="378">
        <f>IF(Table_NFI[[#This Row],[Winter Clothes Adult]]+Table_NFI[[#This Row],[Winter Clothes Children]]+Table_NFI[[#This Row],[Winter Items Other]]+Table_NFI[[#This Row],[Winter Blanket]]&gt;0,1,0)</f>
        <v>0</v>
      </c>
      <c r="AN706" s="418">
        <f>IF(NFI_Expiration=1,IF($A706&lt;VLOOKUP(V$5,NFI,5,0),1,0)*Table_NFI[[#This Row],[Jerry Can]],Table_NFI[Jerry Can])</f>
        <v>0</v>
      </c>
      <c r="AO706" s="579" t="str">
        <f>IFERROR(VLOOKUP(Table_NFI[[#This Row],[Camp Name]],CL,2,0),"")</f>
        <v>MMR001CMP025</v>
      </c>
      <c r="AP706" s="574">
        <f ca="1">IF(Table_NFI[[#This Row],[Pcode]]="","",IF(OFFSET(CampList[Opening Date],MATCH(Table_NFI[[#This Row],[Pcode]],CampList[CP_Pcode],0)-1,0,1,1)&gt;=NFI_Monitor_Date,1,0))</f>
        <v>0</v>
      </c>
      <c r="AQ706" s="579" t="str">
        <f>IFERROR(VLOOKUP(Table_NFI[[#This Row],[Camp Name]],CL,3,0),"")</f>
        <v>Open</v>
      </c>
      <c r="AR706" s="378" t="str">
        <f ca="1">IF(Table_NFI[[#This Row],[Pcode]]="","",OFFSET(CampList[Priority],MATCH(Table_NFI[[#This Row],[Pcode]],CampList[CP_Pcode],0)-1,0,1,1))</f>
        <v>P4</v>
      </c>
      <c r="AS706" s="377">
        <f>IFERROR(Table_NFI[[#This Row],[Kitchen Set]]/VLOOKUP(Table_NFI[[#This Row],[Camp Name]],CL,4,0),"")</f>
        <v>0.27692307692307694</v>
      </c>
      <c r="AT706" s="572" t="s">
        <v>1095</v>
      </c>
      <c r="AU706" s="575"/>
    </row>
    <row r="707" spans="1:47" x14ac:dyDescent="0.25">
      <c r="A707" s="381">
        <f t="shared" si="10"/>
        <v>40.56666666666667</v>
      </c>
      <c r="B707" s="571">
        <v>41305</v>
      </c>
      <c r="C707" s="572" t="s">
        <v>571</v>
      </c>
      <c r="D707" s="573" t="s">
        <v>571</v>
      </c>
      <c r="E707" s="572" t="s">
        <v>380</v>
      </c>
      <c r="F707" s="374" t="s">
        <v>310</v>
      </c>
      <c r="G707" s="374" t="s">
        <v>342</v>
      </c>
      <c r="H707" s="375"/>
      <c r="I707" s="375"/>
      <c r="J707" s="375"/>
      <c r="K707" s="375"/>
      <c r="L707" s="376"/>
      <c r="M707" s="376">
        <v>242</v>
      </c>
      <c r="N707" s="376"/>
      <c r="O707" s="376"/>
      <c r="P707" s="378">
        <v>0</v>
      </c>
      <c r="Q707" s="378">
        <v>0</v>
      </c>
      <c r="R707" s="378"/>
      <c r="S707" s="378"/>
      <c r="T707" s="378"/>
      <c r="U707" s="378"/>
      <c r="V707" s="533"/>
      <c r="W707" s="378"/>
      <c r="X707" s="378"/>
      <c r="Y707" s="378">
        <f>IF(NFI_Expiration=1,IF($A707&lt;VLOOKUP(H$5,NFI,5,0),1,0)*Table_NFI[[#This Row],[Hygiene Kit]],Table_NFI[Hygiene Kit])</f>
        <v>0</v>
      </c>
      <c r="Z707" s="378">
        <f>IF(NFI_Expiration=1,IF($A707&lt;VLOOKUP(I$5,NFI,5,0),1,0)*Table_NFI[[#This Row],[NFI Core Kit]],Table_NFI[NFI Core Kit])</f>
        <v>0</v>
      </c>
      <c r="AA707" s="378">
        <f>IF(NFI_Expiration=1,IF($A707&lt;VLOOKUP(J$5,NFI,5,0),1,0)*Table_NFI[[#This Row],[Sanitary Kit]],Table_NFI[Sanitary Kit])</f>
        <v>0</v>
      </c>
      <c r="AB707" s="378">
        <f>IF(NFI_Expiration=1,IF($A707&lt;VLOOKUP(K$5,NFI,5,0),1,0)*Table_NFI[[#This Row],[Mosquito net]],Table_NFI[Mosquito net])</f>
        <v>0</v>
      </c>
      <c r="AC707" s="378">
        <f>IF(NFI_Expiration=1,IF($A707&lt;VLOOKUP(L$5,NFI,5,0),1,0)*Table_NFI[[#This Row],[Tarpaulin]],Table_NFI[[#This Row],[Tarpaulin]])</f>
        <v>0</v>
      </c>
      <c r="AD707" s="378">
        <f>IF(NFI_Expiration=1,IF($A707&lt;VLOOKUP(M$5,NFI,5,0),1,0)*Table_NFI[[#This Row],[Blanket]],Table_NFI[[#This Row],[Blanket]])</f>
        <v>0</v>
      </c>
      <c r="AE707" s="378">
        <f>IF(NFI_Expiration=1,IF($A707&lt;VLOOKUP(N$5,NFI,5,0),1,0)*Table_NFI[[#This Row],[Kitchen Set]],Table_NFI[Kitchen Set])</f>
        <v>0</v>
      </c>
      <c r="AF707" s="378">
        <f>IF(NFI_Expiration=1,IF($A707&lt;VLOOKUP(O$5,NFI,5,0),1,0)*Table_NFI[[#This Row],[Clothes Kit]],Table_NFI[Clothes Kit])</f>
        <v>0</v>
      </c>
      <c r="AG707" s="378">
        <f>IF(NFI_Expiration=1,IF($A707&lt;VLOOKUP(P$5,NFI,5,0),1,0)*Table_NFI[[#This Row],[Plastic Bucket]],Table_NFI[Plastic Bucket])</f>
        <v>0</v>
      </c>
      <c r="AH707" s="378">
        <f>IF(NFI_Expiration=1,IF($A707&lt;VLOOKUP(Q$5,NFI,5,0),1,0)*Table_NFI[[#This Row],[Plastic Mat]],Table_NFI[Plastic Mat])*IF(Table_NFI[[#This Row],[Distribution Date]]&gt;"2014-04-01",1,2.5)</f>
        <v>0</v>
      </c>
      <c r="AI707" s="378">
        <f>IF(NFI_Expiration=1,IF($A707&lt;VLOOKUP(R$5,NFI,5,0),1,0)*Table_NFI[[#This Row],[Winter Clothes Adult]],Table_NFI[Winter Clothes Adult])</f>
        <v>0</v>
      </c>
      <c r="AJ707" s="378">
        <f>IF(NFI_Expiration=1,IF($A707&lt;VLOOKUP(S$5,NFI,5,0),1,0)*Table_NFI[[#This Row],[Winter Clothes Children]],Table_NFI[Winter Clothes Children])</f>
        <v>0</v>
      </c>
      <c r="AK707" s="378">
        <f>IF(NFI_Expiration=1,IF($A707&lt;VLOOKUP(T$5,NFI,5,0),1,0)*Table_NFI[[#This Row],[Winter Items Other]],Table_NFI[Winter Items Other])</f>
        <v>0</v>
      </c>
      <c r="AL707" s="378">
        <f>IF(NFI_Expiration=1,IF($A707&lt;VLOOKUP(M$5,NFI,5,0),1,0)*Table_NFI[[#This Row],[Winter Blanket]],Table_NFI[[#This Row],[Winter Blanket]])</f>
        <v>0</v>
      </c>
      <c r="AM707" s="378">
        <f>IF(Table_NFI[[#This Row],[Winter Clothes Adult]]+Table_NFI[[#This Row],[Winter Clothes Children]]+Table_NFI[[#This Row],[Winter Items Other]]+Table_NFI[[#This Row],[Winter Blanket]]&gt;0,1,0)</f>
        <v>0</v>
      </c>
      <c r="AN707" s="418">
        <f>IF(NFI_Expiration=1,IF($A707&lt;VLOOKUP(V$5,NFI,5,0),1,0)*Table_NFI[[#This Row],[Jerry Can]],Table_NFI[Jerry Can])</f>
        <v>0</v>
      </c>
      <c r="AO707" s="579" t="str">
        <f>IFERROR(VLOOKUP(Table_NFI[[#This Row],[Camp Name]],CL,2,0),"")</f>
        <v>MMR001CMP025</v>
      </c>
      <c r="AP707" s="574">
        <f ca="1">IF(Table_NFI[[#This Row],[Pcode]]="","",IF(OFFSET(CampList[Opening Date],MATCH(Table_NFI[[#This Row],[Pcode]],CampList[CP_Pcode],0)-1,0,1,1)&gt;=NFI_Monitor_Date,1,0))</f>
        <v>0</v>
      </c>
      <c r="AQ707" s="579" t="str">
        <f>IFERROR(VLOOKUP(Table_NFI[[#This Row],[Camp Name]],CL,3,0),"")</f>
        <v>Open</v>
      </c>
      <c r="AR707" s="378" t="str">
        <f ca="1">IF(Table_NFI[[#This Row],[Pcode]]="","",OFFSET(CampList[Priority],MATCH(Table_NFI[[#This Row],[Pcode]],CampList[CP_Pcode],0)-1,0,1,1))</f>
        <v>P4</v>
      </c>
      <c r="AS707" s="377">
        <f>IFERROR(Table_NFI[[#This Row],[Kitchen Set]]/VLOOKUP(Table_NFI[[#This Row],[Camp Name]],CL,4,0),"")</f>
        <v>0</v>
      </c>
      <c r="AT707" s="572" t="s">
        <v>1095</v>
      </c>
      <c r="AU707" s="575"/>
    </row>
    <row r="708" spans="1:47" x14ac:dyDescent="0.25">
      <c r="A708" s="381">
        <f t="shared" si="10"/>
        <v>53.966666666666669</v>
      </c>
      <c r="B708" s="571">
        <v>40903</v>
      </c>
      <c r="C708" s="572" t="s">
        <v>454</v>
      </c>
      <c r="D708" s="572" t="s">
        <v>462</v>
      </c>
      <c r="E708" s="572" t="s">
        <v>380</v>
      </c>
      <c r="F708" s="374" t="s">
        <v>310</v>
      </c>
      <c r="G708" s="374" t="s">
        <v>342</v>
      </c>
      <c r="H708" s="375"/>
      <c r="I708" s="375"/>
      <c r="J708" s="375"/>
      <c r="K708" s="375">
        <v>54</v>
      </c>
      <c r="L708" s="376">
        <v>33</v>
      </c>
      <c r="M708" s="376">
        <v>54</v>
      </c>
      <c r="N708" s="376">
        <v>33</v>
      </c>
      <c r="O708" s="376">
        <v>33</v>
      </c>
      <c r="P708" s="378">
        <v>33</v>
      </c>
      <c r="Q708" s="378">
        <v>33</v>
      </c>
      <c r="R708" s="378"/>
      <c r="S708" s="378"/>
      <c r="T708" s="378"/>
      <c r="U708" s="378"/>
      <c r="V708" s="533"/>
      <c r="W708" s="378"/>
      <c r="X708" s="378"/>
      <c r="Y708" s="378">
        <f>IF(NFI_Expiration=1,IF($A708&lt;VLOOKUP(H$5,NFI,5,0),1,0)*Table_NFI[[#This Row],[Hygiene Kit]],Table_NFI[Hygiene Kit])</f>
        <v>0</v>
      </c>
      <c r="Z708" s="378">
        <f>IF(NFI_Expiration=1,IF($A708&lt;VLOOKUP(I$5,NFI,5,0),1,0)*Table_NFI[[#This Row],[NFI Core Kit]],Table_NFI[NFI Core Kit])</f>
        <v>0</v>
      </c>
      <c r="AA708" s="378">
        <f>IF(NFI_Expiration=1,IF($A708&lt;VLOOKUP(J$5,NFI,5,0),1,0)*Table_NFI[[#This Row],[Sanitary Kit]],Table_NFI[Sanitary Kit])</f>
        <v>0</v>
      </c>
      <c r="AB708" s="378">
        <f>IF(NFI_Expiration=1,IF($A708&lt;VLOOKUP(K$5,NFI,5,0),1,0)*Table_NFI[[#This Row],[Mosquito net]],Table_NFI[Mosquito net])</f>
        <v>0</v>
      </c>
      <c r="AC708" s="378">
        <f>IF(NFI_Expiration=1,IF($A708&lt;VLOOKUP(L$5,NFI,5,0),1,0)*Table_NFI[[#This Row],[Tarpaulin]],Table_NFI[[#This Row],[Tarpaulin]])</f>
        <v>0</v>
      </c>
      <c r="AD708" s="378">
        <f>IF(NFI_Expiration=1,IF($A708&lt;VLOOKUP(M$5,NFI,5,0),1,0)*Table_NFI[[#This Row],[Blanket]],Table_NFI[[#This Row],[Blanket]])</f>
        <v>0</v>
      </c>
      <c r="AE708" s="378">
        <f>IF(NFI_Expiration=1,IF($A708&lt;VLOOKUP(N$5,NFI,5,0),1,0)*Table_NFI[[#This Row],[Kitchen Set]],Table_NFI[Kitchen Set])</f>
        <v>0</v>
      </c>
      <c r="AF708" s="378">
        <f>IF(NFI_Expiration=1,IF($A708&lt;VLOOKUP(O$5,NFI,5,0),1,0)*Table_NFI[[#This Row],[Clothes Kit]],Table_NFI[Clothes Kit])</f>
        <v>0</v>
      </c>
      <c r="AG708" s="378">
        <f>IF(NFI_Expiration=1,IF($A708&lt;VLOOKUP(P$5,NFI,5,0),1,0)*Table_NFI[[#This Row],[Plastic Bucket]],Table_NFI[Plastic Bucket])</f>
        <v>0</v>
      </c>
      <c r="AH708" s="378">
        <f>IF(NFI_Expiration=1,IF($A708&lt;VLOOKUP(Q$5,NFI,5,0),1,0)*Table_NFI[[#This Row],[Plastic Mat]],Table_NFI[Plastic Mat])*IF(Table_NFI[[#This Row],[Distribution Date]]&gt;"2014-04-01",1,2.5)</f>
        <v>0</v>
      </c>
      <c r="AI708" s="378">
        <f>IF(NFI_Expiration=1,IF($A708&lt;VLOOKUP(R$5,NFI,5,0),1,0)*Table_NFI[[#This Row],[Winter Clothes Adult]],Table_NFI[Winter Clothes Adult])</f>
        <v>0</v>
      </c>
      <c r="AJ708" s="378">
        <f>IF(NFI_Expiration=1,IF($A708&lt;VLOOKUP(S$5,NFI,5,0),1,0)*Table_NFI[[#This Row],[Winter Clothes Children]],Table_NFI[Winter Clothes Children])</f>
        <v>0</v>
      </c>
      <c r="AK708" s="378">
        <f>IF(NFI_Expiration=1,IF($A708&lt;VLOOKUP(T$5,NFI,5,0),1,0)*Table_NFI[[#This Row],[Winter Items Other]],Table_NFI[Winter Items Other])</f>
        <v>0</v>
      </c>
      <c r="AL708" s="378">
        <f>IF(NFI_Expiration=1,IF($A708&lt;VLOOKUP(M$5,NFI,5,0),1,0)*Table_NFI[[#This Row],[Winter Blanket]],Table_NFI[[#This Row],[Winter Blanket]])</f>
        <v>0</v>
      </c>
      <c r="AM708" s="378">
        <f>IF(Table_NFI[[#This Row],[Winter Clothes Adult]]+Table_NFI[[#This Row],[Winter Clothes Children]]+Table_NFI[[#This Row],[Winter Items Other]]+Table_NFI[[#This Row],[Winter Blanket]]&gt;0,1,0)</f>
        <v>0</v>
      </c>
      <c r="AN708" s="418">
        <f>IF(NFI_Expiration=1,IF($A708&lt;VLOOKUP(V$5,NFI,5,0),1,0)*Table_NFI[[#This Row],[Jerry Can]],Table_NFI[Jerry Can])</f>
        <v>0</v>
      </c>
      <c r="AO708" s="579" t="str">
        <f>IFERROR(VLOOKUP(Table_NFI[[#This Row],[Camp Name]],CL,2,0),"")</f>
        <v>MMR001CMP025</v>
      </c>
      <c r="AP708" s="574">
        <f ca="1">IF(Table_NFI[[#This Row],[Pcode]]="","",IF(OFFSET(CampList[Opening Date],MATCH(Table_NFI[[#This Row],[Pcode]],CampList[CP_Pcode],0)-1,0,1,1)&gt;=NFI_Monitor_Date,1,0))</f>
        <v>0</v>
      </c>
      <c r="AQ708" s="579" t="str">
        <f>IFERROR(VLOOKUP(Table_NFI[[#This Row],[Camp Name]],CL,3,0),"")</f>
        <v>Open</v>
      </c>
      <c r="AR708" s="378" t="str">
        <f ca="1">IF(Table_NFI[[#This Row],[Pcode]]="","",OFFSET(CampList[Priority],MATCH(Table_NFI[[#This Row],[Pcode]],CampList[CP_Pcode],0)-1,0,1,1))</f>
        <v>P4</v>
      </c>
      <c r="AS708" s="377">
        <f>IFERROR(Table_NFI[[#This Row],[Kitchen Set]]/VLOOKUP(Table_NFI[[#This Row],[Camp Name]],CL,4,0),"")</f>
        <v>0.50769230769230766</v>
      </c>
      <c r="AT708" s="572" t="s">
        <v>1095</v>
      </c>
      <c r="AU708" s="575"/>
    </row>
    <row r="709" spans="1:47" x14ac:dyDescent="0.25">
      <c r="A709" s="381">
        <f t="shared" si="10"/>
        <v>20.3</v>
      </c>
      <c r="B709" s="571">
        <v>41913</v>
      </c>
      <c r="C709" s="572" t="s">
        <v>454</v>
      </c>
      <c r="D709" s="577" t="s">
        <v>507</v>
      </c>
      <c r="E709" s="577" t="s">
        <v>380</v>
      </c>
      <c r="F709" s="577" t="s">
        <v>310</v>
      </c>
      <c r="G709" s="577" t="s">
        <v>338</v>
      </c>
      <c r="H709" s="376"/>
      <c r="I709" s="376"/>
      <c r="J709" s="376"/>
      <c r="K709" s="376">
        <v>46</v>
      </c>
      <c r="L709" s="376"/>
      <c r="M709" s="376"/>
      <c r="N709" s="376"/>
      <c r="O709" s="376"/>
      <c r="P709" s="378"/>
      <c r="Q709" s="378"/>
      <c r="R709" s="378"/>
      <c r="S709" s="378"/>
      <c r="T709" s="378"/>
      <c r="U709" s="378"/>
      <c r="V709" s="533"/>
      <c r="W709" s="378"/>
      <c r="X709" s="378"/>
      <c r="Y709" s="378">
        <f>IF(NFI_Expiration=1,IF($A709&lt;VLOOKUP(H$5,NFI,5,0),1,0)*Table_NFI[[#This Row],[Hygiene Kit]],Table_NFI[Hygiene Kit])</f>
        <v>0</v>
      </c>
      <c r="Z709" s="378">
        <f>IF(NFI_Expiration=1,IF($A709&lt;VLOOKUP(I$5,NFI,5,0),1,0)*Table_NFI[[#This Row],[NFI Core Kit]],Table_NFI[NFI Core Kit])</f>
        <v>0</v>
      </c>
      <c r="AA709" s="378">
        <f>IF(NFI_Expiration=1,IF($A709&lt;VLOOKUP(J$5,NFI,5,0),1,0)*Table_NFI[[#This Row],[Sanitary Kit]],Table_NFI[Sanitary Kit])</f>
        <v>0</v>
      </c>
      <c r="AB709" s="378">
        <f>IF(NFI_Expiration=1,IF($A709&lt;VLOOKUP(K$5,NFI,5,0),1,0)*Table_NFI[[#This Row],[Mosquito net]],Table_NFI[Mosquito net])</f>
        <v>0</v>
      </c>
      <c r="AC709" s="378">
        <f>IF(NFI_Expiration=1,IF($A709&lt;VLOOKUP(L$5,NFI,5,0),1,0)*Table_NFI[[#This Row],[Tarpaulin]],Table_NFI[[#This Row],[Tarpaulin]])</f>
        <v>0</v>
      </c>
      <c r="AD709" s="378">
        <f>IF(NFI_Expiration=1,IF($A709&lt;VLOOKUP(M$5,NFI,5,0),1,0)*Table_NFI[[#This Row],[Blanket]],Table_NFI[[#This Row],[Blanket]])</f>
        <v>0</v>
      </c>
      <c r="AE709" s="378">
        <f>IF(NFI_Expiration=1,IF($A709&lt;VLOOKUP(N$5,NFI,5,0),1,0)*Table_NFI[[#This Row],[Kitchen Set]],Table_NFI[Kitchen Set])</f>
        <v>0</v>
      </c>
      <c r="AF709" s="378">
        <f>IF(NFI_Expiration=1,IF($A709&lt;VLOOKUP(O$5,NFI,5,0),1,0)*Table_NFI[[#This Row],[Clothes Kit]],Table_NFI[Clothes Kit])</f>
        <v>0</v>
      </c>
      <c r="AG709" s="378">
        <f>IF(NFI_Expiration=1,IF($A709&lt;VLOOKUP(P$5,NFI,5,0),1,0)*Table_NFI[[#This Row],[Plastic Bucket]],Table_NFI[Plastic Bucket])</f>
        <v>0</v>
      </c>
      <c r="AH709" s="378">
        <f>IF(NFI_Expiration=1,IF($A709&lt;VLOOKUP(Q$5,NFI,5,0),1,0)*Table_NFI[[#This Row],[Plastic Mat]],Table_NFI[Plastic Mat])*IF(Table_NFI[[#This Row],[Distribution Date]]&gt;"2014-04-01",1,2.5)</f>
        <v>0</v>
      </c>
      <c r="AI709" s="378">
        <f>IF(NFI_Expiration=1,IF($A709&lt;VLOOKUP(R$5,NFI,5,0),1,0)*Table_NFI[[#This Row],[Winter Clothes Adult]],Table_NFI[Winter Clothes Adult])</f>
        <v>0</v>
      </c>
      <c r="AJ709" s="378">
        <f>IF(NFI_Expiration=1,IF($A709&lt;VLOOKUP(S$5,NFI,5,0),1,0)*Table_NFI[[#This Row],[Winter Clothes Children]],Table_NFI[Winter Clothes Children])</f>
        <v>0</v>
      </c>
      <c r="AK709" s="378">
        <f>IF(NFI_Expiration=1,IF($A709&lt;VLOOKUP(T$5,NFI,5,0),1,0)*Table_NFI[[#This Row],[Winter Items Other]],Table_NFI[Winter Items Other])</f>
        <v>0</v>
      </c>
      <c r="AL709" s="378">
        <f>IF(NFI_Expiration=1,IF($A709&lt;VLOOKUP(M$5,NFI,5,0),1,0)*Table_NFI[[#This Row],[Winter Blanket]],Table_NFI[[#This Row],[Winter Blanket]])</f>
        <v>0</v>
      </c>
      <c r="AM709" s="378">
        <f>IF(Table_NFI[[#This Row],[Winter Clothes Adult]]+Table_NFI[[#This Row],[Winter Clothes Children]]+Table_NFI[[#This Row],[Winter Items Other]]+Table_NFI[[#This Row],[Winter Blanket]]&gt;0,1,0)</f>
        <v>0</v>
      </c>
      <c r="AN709" s="418">
        <f>IF(NFI_Expiration=1,IF($A709&lt;VLOOKUP(V$5,NFI,5,0),1,0)*Table_NFI[[#This Row],[Jerry Can]],Table_NFI[Jerry Can])</f>
        <v>0</v>
      </c>
      <c r="AO709" s="579" t="str">
        <f>IFERROR(VLOOKUP(Table_NFI[[#This Row],[Camp Name]],CL,2,0),"")</f>
        <v>MMR001CMP030</v>
      </c>
      <c r="AP709" s="574">
        <f ca="1">IF(Table_NFI[[#This Row],[Pcode]]="","",IF(OFFSET(CampList[Opening Date],MATCH(Table_NFI[[#This Row],[Pcode]],CampList[CP_Pcode],0)-1,0,1,1)&gt;=NFI_Monitor_Date,1,0))</f>
        <v>0</v>
      </c>
      <c r="AQ709" s="579" t="str">
        <f>IFERROR(VLOOKUP(Table_NFI[[#This Row],[Camp Name]],CL,3,0),"")</f>
        <v>Open</v>
      </c>
      <c r="AR709" s="378" t="str">
        <f ca="1">IF(Table_NFI[[#This Row],[Pcode]]="","",OFFSET(CampList[Priority],MATCH(Table_NFI[[#This Row],[Pcode]],CampList[CP_Pcode],0)-1,0,1,1))</f>
        <v>P4</v>
      </c>
      <c r="AS709" s="377">
        <f>IFERROR(Table_NFI[[#This Row],[Kitchen Set]]/VLOOKUP(Table_NFI[[#This Row],[Camp Name]],CL,4,0),"")</f>
        <v>0</v>
      </c>
      <c r="AT709" s="577"/>
      <c r="AU709" s="580"/>
    </row>
    <row r="710" spans="1:47" x14ac:dyDescent="0.25">
      <c r="A710" s="381">
        <f t="shared" ref="A710:A773" si="11">IF(ISBLANK(B710),"",(Report_Date-B710)/30)</f>
        <v>24.8</v>
      </c>
      <c r="B710" s="571">
        <v>41778</v>
      </c>
      <c r="C710" s="572" t="s">
        <v>1107</v>
      </c>
      <c r="D710" s="572" t="s">
        <v>903</v>
      </c>
      <c r="E710" s="572" t="s">
        <v>380</v>
      </c>
      <c r="F710" s="572" t="s">
        <v>310</v>
      </c>
      <c r="G710" s="572" t="s">
        <v>338</v>
      </c>
      <c r="H710" s="375"/>
      <c r="I710" s="375"/>
      <c r="J710" s="375"/>
      <c r="K710" s="375"/>
      <c r="L710" s="376"/>
      <c r="M710" s="376"/>
      <c r="N710" s="376"/>
      <c r="O710" s="376"/>
      <c r="P710" s="378"/>
      <c r="Q710" s="378"/>
      <c r="R710" s="378"/>
      <c r="S710" s="378"/>
      <c r="T710" s="378"/>
      <c r="U710" s="378">
        <v>60</v>
      </c>
      <c r="V710" s="533"/>
      <c r="W710" s="378"/>
      <c r="X710" s="378"/>
      <c r="Y710" s="378">
        <f>IF(NFI_Expiration=1,IF($A710&lt;VLOOKUP(H$5,NFI,5,0),1,0)*Table_NFI[[#This Row],[Hygiene Kit]],Table_NFI[Hygiene Kit])</f>
        <v>0</v>
      </c>
      <c r="Z710" s="378">
        <f>IF(NFI_Expiration=1,IF($A710&lt;VLOOKUP(I$5,NFI,5,0),1,0)*Table_NFI[[#This Row],[NFI Core Kit]],Table_NFI[NFI Core Kit])</f>
        <v>0</v>
      </c>
      <c r="AA710" s="378">
        <f>IF(NFI_Expiration=1,IF($A710&lt;VLOOKUP(J$5,NFI,5,0),1,0)*Table_NFI[[#This Row],[Sanitary Kit]],Table_NFI[Sanitary Kit])</f>
        <v>0</v>
      </c>
      <c r="AB710" s="378">
        <f>IF(NFI_Expiration=1,IF($A710&lt;VLOOKUP(K$5,NFI,5,0),1,0)*Table_NFI[[#This Row],[Mosquito net]],Table_NFI[Mosquito net])</f>
        <v>0</v>
      </c>
      <c r="AC710" s="378">
        <f>IF(NFI_Expiration=1,IF($A710&lt;VLOOKUP(L$5,NFI,5,0),1,0)*Table_NFI[[#This Row],[Tarpaulin]],Table_NFI[[#This Row],[Tarpaulin]])</f>
        <v>0</v>
      </c>
      <c r="AD710" s="378">
        <f>IF(NFI_Expiration=1,IF($A710&lt;VLOOKUP(M$5,NFI,5,0),1,0)*Table_NFI[[#This Row],[Blanket]],Table_NFI[[#This Row],[Blanket]])</f>
        <v>0</v>
      </c>
      <c r="AE710" s="378">
        <f>IF(NFI_Expiration=1,IF($A710&lt;VLOOKUP(N$5,NFI,5,0),1,0)*Table_NFI[[#This Row],[Kitchen Set]],Table_NFI[Kitchen Set])</f>
        <v>0</v>
      </c>
      <c r="AF710" s="378">
        <f>IF(NFI_Expiration=1,IF($A710&lt;VLOOKUP(O$5,NFI,5,0),1,0)*Table_NFI[[#This Row],[Clothes Kit]],Table_NFI[Clothes Kit])</f>
        <v>0</v>
      </c>
      <c r="AG710" s="378">
        <f>IF(NFI_Expiration=1,IF($A710&lt;VLOOKUP(P$5,NFI,5,0),1,0)*Table_NFI[[#This Row],[Plastic Bucket]],Table_NFI[Plastic Bucket])</f>
        <v>0</v>
      </c>
      <c r="AH710" s="378">
        <f>IF(NFI_Expiration=1,IF($A710&lt;VLOOKUP(Q$5,NFI,5,0),1,0)*Table_NFI[[#This Row],[Plastic Mat]],Table_NFI[Plastic Mat])*IF(Table_NFI[[#This Row],[Distribution Date]]&gt;"2014-04-01",1,2.5)</f>
        <v>0</v>
      </c>
      <c r="AI710" s="378">
        <f>IF(NFI_Expiration=1,IF($A710&lt;VLOOKUP(R$5,NFI,5,0),1,0)*Table_NFI[[#This Row],[Winter Clothes Adult]],Table_NFI[Winter Clothes Adult])</f>
        <v>0</v>
      </c>
      <c r="AJ710" s="378">
        <f>IF(NFI_Expiration=1,IF($A710&lt;VLOOKUP(S$5,NFI,5,0),1,0)*Table_NFI[[#This Row],[Winter Clothes Children]],Table_NFI[Winter Clothes Children])</f>
        <v>0</v>
      </c>
      <c r="AK710" s="378">
        <f>IF(NFI_Expiration=1,IF($A710&lt;VLOOKUP(T$5,NFI,5,0),1,0)*Table_NFI[[#This Row],[Winter Items Other]],Table_NFI[Winter Items Other])</f>
        <v>0</v>
      </c>
      <c r="AL710" s="378">
        <f>IF(NFI_Expiration=1,IF($A710&lt;VLOOKUP(M$5,NFI,5,0),1,0)*Table_NFI[[#This Row],[Winter Blanket]],Table_NFI[[#This Row],[Winter Blanket]])</f>
        <v>0</v>
      </c>
      <c r="AM710" s="378">
        <f>IF(Table_NFI[[#This Row],[Winter Clothes Adult]]+Table_NFI[[#This Row],[Winter Clothes Children]]+Table_NFI[[#This Row],[Winter Items Other]]+Table_NFI[[#This Row],[Winter Blanket]]&gt;0,1,0)</f>
        <v>1</v>
      </c>
      <c r="AN710" s="418">
        <f>IF(NFI_Expiration=1,IF($A710&lt;VLOOKUP(V$5,NFI,5,0),1,0)*Table_NFI[[#This Row],[Jerry Can]],Table_NFI[Jerry Can])</f>
        <v>0</v>
      </c>
      <c r="AO710" s="579" t="str">
        <f>IFERROR(VLOOKUP(Table_NFI[[#This Row],[Camp Name]],CL,2,0),"")</f>
        <v>MMR001CMP030</v>
      </c>
      <c r="AP710" s="574">
        <f ca="1">IF(Table_NFI[[#This Row],[Pcode]]="","",IF(OFFSET(CampList[Opening Date],MATCH(Table_NFI[[#This Row],[Pcode]],CampList[CP_Pcode],0)-1,0,1,1)&gt;=NFI_Monitor_Date,1,0))</f>
        <v>0</v>
      </c>
      <c r="AQ710" s="579" t="str">
        <f>IFERROR(VLOOKUP(Table_NFI[[#This Row],[Camp Name]],CL,3,0),"")</f>
        <v>Open</v>
      </c>
      <c r="AR710" s="378" t="str">
        <f ca="1">IF(Table_NFI[[#This Row],[Pcode]]="","",OFFSET(CampList[Priority],MATCH(Table_NFI[[#This Row],[Pcode]],CampList[CP_Pcode],0)-1,0,1,1))</f>
        <v>P4</v>
      </c>
      <c r="AS710" s="377">
        <f>IFERROR(Table_NFI[[#This Row],[Kitchen Set]]/VLOOKUP(Table_NFI[[#This Row],[Camp Name]],CL,4,0),"")</f>
        <v>0</v>
      </c>
      <c r="AT710" s="572"/>
      <c r="AU710" s="575"/>
    </row>
    <row r="711" spans="1:47" x14ac:dyDescent="0.25">
      <c r="A711" s="381">
        <f t="shared" si="11"/>
        <v>29.866666666666667</v>
      </c>
      <c r="B711" s="571">
        <v>41626</v>
      </c>
      <c r="C711" s="572" t="s">
        <v>908</v>
      </c>
      <c r="D711" s="572" t="s">
        <v>462</v>
      </c>
      <c r="E711" s="572" t="s">
        <v>380</v>
      </c>
      <c r="F711" s="572" t="s">
        <v>310</v>
      </c>
      <c r="G711" s="572" t="s">
        <v>338</v>
      </c>
      <c r="H711" s="375"/>
      <c r="I711" s="375"/>
      <c r="J711" s="375"/>
      <c r="K711" s="375"/>
      <c r="L711" s="376"/>
      <c r="M711" s="376"/>
      <c r="N711" s="376"/>
      <c r="O711" s="376"/>
      <c r="P711" s="378"/>
      <c r="Q711" s="378"/>
      <c r="R711" s="378">
        <v>30</v>
      </c>
      <c r="S711" s="378">
        <v>57</v>
      </c>
      <c r="T711" s="378">
        <v>174</v>
      </c>
      <c r="U711" s="378">
        <v>87</v>
      </c>
      <c r="V711" s="533"/>
      <c r="W711" s="378"/>
      <c r="X711" s="378"/>
      <c r="Y711" s="378">
        <f>IF(NFI_Expiration=1,IF($A711&lt;VLOOKUP(H$5,NFI,5,0),1,0)*Table_NFI[[#This Row],[Hygiene Kit]],Table_NFI[Hygiene Kit])</f>
        <v>0</v>
      </c>
      <c r="Z711" s="378">
        <f>IF(NFI_Expiration=1,IF($A711&lt;VLOOKUP(I$5,NFI,5,0),1,0)*Table_NFI[[#This Row],[NFI Core Kit]],Table_NFI[NFI Core Kit])</f>
        <v>0</v>
      </c>
      <c r="AA711" s="378">
        <f>IF(NFI_Expiration=1,IF($A711&lt;VLOOKUP(J$5,NFI,5,0),1,0)*Table_NFI[[#This Row],[Sanitary Kit]],Table_NFI[Sanitary Kit])</f>
        <v>0</v>
      </c>
      <c r="AB711" s="378">
        <f>IF(NFI_Expiration=1,IF($A711&lt;VLOOKUP(K$5,NFI,5,0),1,0)*Table_NFI[[#This Row],[Mosquito net]],Table_NFI[Mosquito net])</f>
        <v>0</v>
      </c>
      <c r="AC711" s="378">
        <f>IF(NFI_Expiration=1,IF($A711&lt;VLOOKUP(L$5,NFI,5,0),1,0)*Table_NFI[[#This Row],[Tarpaulin]],Table_NFI[[#This Row],[Tarpaulin]])</f>
        <v>0</v>
      </c>
      <c r="AD711" s="378">
        <f>IF(NFI_Expiration=1,IF($A711&lt;VLOOKUP(M$5,NFI,5,0),1,0)*Table_NFI[[#This Row],[Blanket]],Table_NFI[[#This Row],[Blanket]])</f>
        <v>0</v>
      </c>
      <c r="AE711" s="378">
        <f>IF(NFI_Expiration=1,IF($A711&lt;VLOOKUP(N$5,NFI,5,0),1,0)*Table_NFI[[#This Row],[Kitchen Set]],Table_NFI[Kitchen Set])</f>
        <v>0</v>
      </c>
      <c r="AF711" s="378">
        <f>IF(NFI_Expiration=1,IF($A711&lt;VLOOKUP(O$5,NFI,5,0),1,0)*Table_NFI[[#This Row],[Clothes Kit]],Table_NFI[Clothes Kit])</f>
        <v>0</v>
      </c>
      <c r="AG711" s="378">
        <f>IF(NFI_Expiration=1,IF($A711&lt;VLOOKUP(P$5,NFI,5,0),1,0)*Table_NFI[[#This Row],[Plastic Bucket]],Table_NFI[Plastic Bucket])</f>
        <v>0</v>
      </c>
      <c r="AH711" s="378">
        <f>IF(NFI_Expiration=1,IF($A711&lt;VLOOKUP(Q$5,NFI,5,0),1,0)*Table_NFI[[#This Row],[Plastic Mat]],Table_NFI[Plastic Mat])*IF(Table_NFI[[#This Row],[Distribution Date]]&gt;"2014-04-01",1,2.5)</f>
        <v>0</v>
      </c>
      <c r="AI711" s="378">
        <f>IF(NFI_Expiration=1,IF($A711&lt;VLOOKUP(R$5,NFI,5,0),1,0)*Table_NFI[[#This Row],[Winter Clothes Adult]],Table_NFI[Winter Clothes Adult])</f>
        <v>0</v>
      </c>
      <c r="AJ711" s="378">
        <f>IF(NFI_Expiration=1,IF($A711&lt;VLOOKUP(S$5,NFI,5,0),1,0)*Table_NFI[[#This Row],[Winter Clothes Children]],Table_NFI[Winter Clothes Children])</f>
        <v>0</v>
      </c>
      <c r="AK711" s="378">
        <f>IF(NFI_Expiration=1,IF($A711&lt;VLOOKUP(T$5,NFI,5,0),1,0)*Table_NFI[[#This Row],[Winter Items Other]],Table_NFI[Winter Items Other])</f>
        <v>0</v>
      </c>
      <c r="AL711" s="378">
        <f>IF(NFI_Expiration=1,IF($A711&lt;VLOOKUP(M$5,NFI,5,0),1,0)*Table_NFI[[#This Row],[Winter Blanket]],Table_NFI[[#This Row],[Winter Blanket]])</f>
        <v>0</v>
      </c>
      <c r="AM711" s="378">
        <f>IF(Table_NFI[[#This Row],[Winter Clothes Adult]]+Table_NFI[[#This Row],[Winter Clothes Children]]+Table_NFI[[#This Row],[Winter Items Other]]+Table_NFI[[#This Row],[Winter Blanket]]&gt;0,1,0)</f>
        <v>1</v>
      </c>
      <c r="AN711" s="418">
        <f>IF(NFI_Expiration=1,IF($A711&lt;VLOOKUP(V$5,NFI,5,0),1,0)*Table_NFI[[#This Row],[Jerry Can]],Table_NFI[Jerry Can])</f>
        <v>0</v>
      </c>
      <c r="AO711" s="579" t="str">
        <f>IFERROR(VLOOKUP(Table_NFI[[#This Row],[Camp Name]],CL,2,0),"")</f>
        <v>MMR001CMP030</v>
      </c>
      <c r="AP711" s="574">
        <f ca="1">IF(Table_NFI[[#This Row],[Pcode]]="","",IF(OFFSET(CampList[Opening Date],MATCH(Table_NFI[[#This Row],[Pcode]],CampList[CP_Pcode],0)-1,0,1,1)&gt;=NFI_Monitor_Date,1,0))</f>
        <v>0</v>
      </c>
      <c r="AQ711" s="579" t="str">
        <f>IFERROR(VLOOKUP(Table_NFI[[#This Row],[Camp Name]],CL,3,0),"")</f>
        <v>Open</v>
      </c>
      <c r="AR711" s="378" t="str">
        <f ca="1">IF(Table_NFI[[#This Row],[Pcode]]="","",OFFSET(CampList[Priority],MATCH(Table_NFI[[#This Row],[Pcode]],CampList[CP_Pcode],0)-1,0,1,1))</f>
        <v>P4</v>
      </c>
      <c r="AS711" s="377">
        <f>IFERROR(Table_NFI[[#This Row],[Kitchen Set]]/VLOOKUP(Table_NFI[[#This Row],[Camp Name]],CL,4,0),"")</f>
        <v>0</v>
      </c>
      <c r="AT711" s="572"/>
      <c r="AU711" s="575"/>
    </row>
    <row r="712" spans="1:47" x14ac:dyDescent="0.25">
      <c r="A712" s="381">
        <f t="shared" si="11"/>
        <v>30.466666666666665</v>
      </c>
      <c r="B712" s="571">
        <v>41608</v>
      </c>
      <c r="C712" s="572" t="s">
        <v>908</v>
      </c>
      <c r="D712" s="573" t="s">
        <v>462</v>
      </c>
      <c r="E712" s="572" t="s">
        <v>380</v>
      </c>
      <c r="F712" s="374" t="s">
        <v>310</v>
      </c>
      <c r="G712" s="374" t="s">
        <v>338</v>
      </c>
      <c r="H712" s="375"/>
      <c r="I712" s="375"/>
      <c r="J712" s="375"/>
      <c r="K712" s="375"/>
      <c r="L712" s="376"/>
      <c r="M712" s="376"/>
      <c r="N712" s="376"/>
      <c r="O712" s="376"/>
      <c r="P712" s="378"/>
      <c r="Q712" s="378"/>
      <c r="R712" s="378"/>
      <c r="S712" s="378"/>
      <c r="T712" s="378"/>
      <c r="U712" s="378"/>
      <c r="V712" s="533"/>
      <c r="W712" s="378"/>
      <c r="X712" s="378"/>
      <c r="Y712" s="378">
        <f>IF(NFI_Expiration=1,IF($A712&lt;VLOOKUP(H$5,NFI,5,0),1,0)*Table_NFI[[#This Row],[Hygiene Kit]],Table_NFI[Hygiene Kit])</f>
        <v>0</v>
      </c>
      <c r="Z712" s="378">
        <f>IF(NFI_Expiration=1,IF($A712&lt;VLOOKUP(I$5,NFI,5,0),1,0)*Table_NFI[[#This Row],[NFI Core Kit]],Table_NFI[NFI Core Kit])</f>
        <v>0</v>
      </c>
      <c r="AA712" s="378">
        <f>IF(NFI_Expiration=1,IF($A712&lt;VLOOKUP(J$5,NFI,5,0),1,0)*Table_NFI[[#This Row],[Sanitary Kit]],Table_NFI[Sanitary Kit])</f>
        <v>0</v>
      </c>
      <c r="AB712" s="378">
        <f>IF(NFI_Expiration=1,IF($A712&lt;VLOOKUP(K$5,NFI,5,0),1,0)*Table_NFI[[#This Row],[Mosquito net]],Table_NFI[Mosquito net])</f>
        <v>0</v>
      </c>
      <c r="AC712" s="378">
        <f>IF(NFI_Expiration=1,IF($A712&lt;VLOOKUP(L$5,NFI,5,0),1,0)*Table_NFI[[#This Row],[Tarpaulin]],Table_NFI[[#This Row],[Tarpaulin]])</f>
        <v>0</v>
      </c>
      <c r="AD712" s="378">
        <f>IF(NFI_Expiration=1,IF($A712&lt;VLOOKUP(M$5,NFI,5,0),1,0)*Table_NFI[[#This Row],[Blanket]],Table_NFI[[#This Row],[Blanket]])</f>
        <v>0</v>
      </c>
      <c r="AE712" s="378">
        <f>IF(NFI_Expiration=1,IF($A712&lt;VLOOKUP(N$5,NFI,5,0),1,0)*Table_NFI[[#This Row],[Kitchen Set]],Table_NFI[Kitchen Set])</f>
        <v>0</v>
      </c>
      <c r="AF712" s="378">
        <f>IF(NFI_Expiration=1,IF($A712&lt;VLOOKUP(O$5,NFI,5,0),1,0)*Table_NFI[[#This Row],[Clothes Kit]],Table_NFI[Clothes Kit])</f>
        <v>0</v>
      </c>
      <c r="AG712" s="378">
        <f>IF(NFI_Expiration=1,IF($A712&lt;VLOOKUP(P$5,NFI,5,0),1,0)*Table_NFI[[#This Row],[Plastic Bucket]],Table_NFI[Plastic Bucket])</f>
        <v>0</v>
      </c>
      <c r="AH712" s="378">
        <f>IF(NFI_Expiration=1,IF($A712&lt;VLOOKUP(Q$5,NFI,5,0),1,0)*Table_NFI[[#This Row],[Plastic Mat]],Table_NFI[Plastic Mat])*IF(Table_NFI[[#This Row],[Distribution Date]]&gt;"2014-04-01",1,2.5)</f>
        <v>0</v>
      </c>
      <c r="AI712" s="378">
        <f>IF(NFI_Expiration=1,IF($A712&lt;VLOOKUP(R$5,NFI,5,0),1,0)*Table_NFI[[#This Row],[Winter Clothes Adult]],Table_NFI[Winter Clothes Adult])</f>
        <v>0</v>
      </c>
      <c r="AJ712" s="378">
        <f>IF(NFI_Expiration=1,IF($A712&lt;VLOOKUP(S$5,NFI,5,0),1,0)*Table_NFI[[#This Row],[Winter Clothes Children]],Table_NFI[Winter Clothes Children])</f>
        <v>0</v>
      </c>
      <c r="AK712" s="378">
        <f>IF(NFI_Expiration=1,IF($A712&lt;VLOOKUP(T$5,NFI,5,0),1,0)*Table_NFI[[#This Row],[Winter Items Other]],Table_NFI[Winter Items Other])</f>
        <v>0</v>
      </c>
      <c r="AL712" s="378">
        <f>IF(NFI_Expiration=1,IF($A712&lt;VLOOKUP(M$5,NFI,5,0),1,0)*Table_NFI[[#This Row],[Winter Blanket]],Table_NFI[[#This Row],[Winter Blanket]])</f>
        <v>0</v>
      </c>
      <c r="AM712" s="378">
        <f>IF(Table_NFI[[#This Row],[Winter Clothes Adult]]+Table_NFI[[#This Row],[Winter Clothes Children]]+Table_NFI[[#This Row],[Winter Items Other]]+Table_NFI[[#This Row],[Winter Blanket]]&gt;0,1,0)</f>
        <v>0</v>
      </c>
      <c r="AN712" s="418">
        <f>IF(NFI_Expiration=1,IF($A712&lt;VLOOKUP(V$5,NFI,5,0),1,0)*Table_NFI[[#This Row],[Jerry Can]],Table_NFI[Jerry Can])</f>
        <v>0</v>
      </c>
      <c r="AO712" s="579" t="str">
        <f>IFERROR(VLOOKUP(Table_NFI[[#This Row],[Camp Name]],CL,2,0),"")</f>
        <v>MMR001CMP030</v>
      </c>
      <c r="AP712" s="574">
        <f ca="1">IF(Table_NFI[[#This Row],[Pcode]]="","",IF(OFFSET(CampList[Opening Date],MATCH(Table_NFI[[#This Row],[Pcode]],CampList[CP_Pcode],0)-1,0,1,1)&gt;=NFI_Monitor_Date,1,0))</f>
        <v>0</v>
      </c>
      <c r="AQ712" s="579" t="str">
        <f>IFERROR(VLOOKUP(Table_NFI[[#This Row],[Camp Name]],CL,3,0),"")</f>
        <v>Open</v>
      </c>
      <c r="AR712" s="378" t="str">
        <f ca="1">IF(Table_NFI[[#This Row],[Pcode]]="","",OFFSET(CampList[Priority],MATCH(Table_NFI[[#This Row],[Pcode]],CampList[CP_Pcode],0)-1,0,1,1))</f>
        <v>P4</v>
      </c>
      <c r="AS712" s="377">
        <f>IFERROR(Table_NFI[[#This Row],[Kitchen Set]]/VLOOKUP(Table_NFI[[#This Row],[Camp Name]],CL,4,0),"")</f>
        <v>0</v>
      </c>
      <c r="AT712" s="572" t="s">
        <v>1095</v>
      </c>
      <c r="AU712" s="575"/>
    </row>
    <row r="713" spans="1:47" x14ac:dyDescent="0.25">
      <c r="A713" s="381">
        <f t="shared" si="11"/>
        <v>40.56666666666667</v>
      </c>
      <c r="B713" s="571">
        <v>41305</v>
      </c>
      <c r="C713" s="572" t="s">
        <v>571</v>
      </c>
      <c r="D713" s="573" t="s">
        <v>571</v>
      </c>
      <c r="E713" s="572" t="s">
        <v>380</v>
      </c>
      <c r="F713" s="374" t="s">
        <v>310</v>
      </c>
      <c r="G713" s="374" t="s">
        <v>338</v>
      </c>
      <c r="H713" s="375"/>
      <c r="I713" s="375"/>
      <c r="J713" s="375"/>
      <c r="K713" s="375"/>
      <c r="L713" s="376"/>
      <c r="M713" s="376">
        <v>54</v>
      </c>
      <c r="N713" s="376"/>
      <c r="O713" s="376"/>
      <c r="P713" s="378">
        <v>0</v>
      </c>
      <c r="Q713" s="378">
        <v>0</v>
      </c>
      <c r="R713" s="378"/>
      <c r="S713" s="378"/>
      <c r="T713" s="378"/>
      <c r="U713" s="378"/>
      <c r="V713" s="533"/>
      <c r="W713" s="378"/>
      <c r="X713" s="378"/>
      <c r="Y713" s="378">
        <f>IF(NFI_Expiration=1,IF($A713&lt;VLOOKUP(H$5,NFI,5,0),1,0)*Table_NFI[[#This Row],[Hygiene Kit]],Table_NFI[Hygiene Kit])</f>
        <v>0</v>
      </c>
      <c r="Z713" s="378">
        <f>IF(NFI_Expiration=1,IF($A713&lt;VLOOKUP(I$5,NFI,5,0),1,0)*Table_NFI[[#This Row],[NFI Core Kit]],Table_NFI[NFI Core Kit])</f>
        <v>0</v>
      </c>
      <c r="AA713" s="378">
        <f>IF(NFI_Expiration=1,IF($A713&lt;VLOOKUP(J$5,NFI,5,0),1,0)*Table_NFI[[#This Row],[Sanitary Kit]],Table_NFI[Sanitary Kit])</f>
        <v>0</v>
      </c>
      <c r="AB713" s="378">
        <f>IF(NFI_Expiration=1,IF($A713&lt;VLOOKUP(K$5,NFI,5,0),1,0)*Table_NFI[[#This Row],[Mosquito net]],Table_NFI[Mosquito net])</f>
        <v>0</v>
      </c>
      <c r="AC713" s="378">
        <f>IF(NFI_Expiration=1,IF($A713&lt;VLOOKUP(L$5,NFI,5,0),1,0)*Table_NFI[[#This Row],[Tarpaulin]],Table_NFI[[#This Row],[Tarpaulin]])</f>
        <v>0</v>
      </c>
      <c r="AD713" s="378">
        <f>IF(NFI_Expiration=1,IF($A713&lt;VLOOKUP(M$5,NFI,5,0),1,0)*Table_NFI[[#This Row],[Blanket]],Table_NFI[[#This Row],[Blanket]])</f>
        <v>0</v>
      </c>
      <c r="AE713" s="378">
        <f>IF(NFI_Expiration=1,IF($A713&lt;VLOOKUP(N$5,NFI,5,0),1,0)*Table_NFI[[#This Row],[Kitchen Set]],Table_NFI[Kitchen Set])</f>
        <v>0</v>
      </c>
      <c r="AF713" s="378">
        <f>IF(NFI_Expiration=1,IF($A713&lt;VLOOKUP(O$5,NFI,5,0),1,0)*Table_NFI[[#This Row],[Clothes Kit]],Table_NFI[Clothes Kit])</f>
        <v>0</v>
      </c>
      <c r="AG713" s="378">
        <f>IF(NFI_Expiration=1,IF($A713&lt;VLOOKUP(P$5,NFI,5,0),1,0)*Table_NFI[[#This Row],[Plastic Bucket]],Table_NFI[Plastic Bucket])</f>
        <v>0</v>
      </c>
      <c r="AH713" s="378">
        <f>IF(NFI_Expiration=1,IF($A713&lt;VLOOKUP(Q$5,NFI,5,0),1,0)*Table_NFI[[#This Row],[Plastic Mat]],Table_NFI[Plastic Mat])*IF(Table_NFI[[#This Row],[Distribution Date]]&gt;"2014-04-01",1,2.5)</f>
        <v>0</v>
      </c>
      <c r="AI713" s="378">
        <f>IF(NFI_Expiration=1,IF($A713&lt;VLOOKUP(R$5,NFI,5,0),1,0)*Table_NFI[[#This Row],[Winter Clothes Adult]],Table_NFI[Winter Clothes Adult])</f>
        <v>0</v>
      </c>
      <c r="AJ713" s="378">
        <f>IF(NFI_Expiration=1,IF($A713&lt;VLOOKUP(S$5,NFI,5,0),1,0)*Table_NFI[[#This Row],[Winter Clothes Children]],Table_NFI[Winter Clothes Children])</f>
        <v>0</v>
      </c>
      <c r="AK713" s="378">
        <f>IF(NFI_Expiration=1,IF($A713&lt;VLOOKUP(T$5,NFI,5,0),1,0)*Table_NFI[[#This Row],[Winter Items Other]],Table_NFI[Winter Items Other])</f>
        <v>0</v>
      </c>
      <c r="AL713" s="378">
        <f>IF(NFI_Expiration=1,IF($A713&lt;VLOOKUP(M$5,NFI,5,0),1,0)*Table_NFI[[#This Row],[Winter Blanket]],Table_NFI[[#This Row],[Winter Blanket]])</f>
        <v>0</v>
      </c>
      <c r="AM713" s="378">
        <f>IF(Table_NFI[[#This Row],[Winter Clothes Adult]]+Table_NFI[[#This Row],[Winter Clothes Children]]+Table_NFI[[#This Row],[Winter Items Other]]+Table_NFI[[#This Row],[Winter Blanket]]&gt;0,1,0)</f>
        <v>0</v>
      </c>
      <c r="AN713" s="418">
        <f>IF(NFI_Expiration=1,IF($A713&lt;VLOOKUP(V$5,NFI,5,0),1,0)*Table_NFI[[#This Row],[Jerry Can]],Table_NFI[Jerry Can])</f>
        <v>0</v>
      </c>
      <c r="AO713" s="579" t="str">
        <f>IFERROR(VLOOKUP(Table_NFI[[#This Row],[Camp Name]],CL,2,0),"")</f>
        <v>MMR001CMP030</v>
      </c>
      <c r="AP713" s="574">
        <f ca="1">IF(Table_NFI[[#This Row],[Pcode]]="","",IF(OFFSET(CampList[Opening Date],MATCH(Table_NFI[[#This Row],[Pcode]],CampList[CP_Pcode],0)-1,0,1,1)&gt;=NFI_Monitor_Date,1,0))</f>
        <v>0</v>
      </c>
      <c r="AQ713" s="579" t="str">
        <f>IFERROR(VLOOKUP(Table_NFI[[#This Row],[Camp Name]],CL,3,0),"")</f>
        <v>Open</v>
      </c>
      <c r="AR713" s="378" t="str">
        <f ca="1">IF(Table_NFI[[#This Row],[Pcode]]="","",OFFSET(CampList[Priority],MATCH(Table_NFI[[#This Row],[Pcode]],CampList[CP_Pcode],0)-1,0,1,1))</f>
        <v>P4</v>
      </c>
      <c r="AS713" s="377">
        <f>IFERROR(Table_NFI[[#This Row],[Kitchen Set]]/VLOOKUP(Table_NFI[[#This Row],[Camp Name]],CL,4,0),"")</f>
        <v>0</v>
      </c>
      <c r="AT713" s="572" t="s">
        <v>1095</v>
      </c>
      <c r="AU713" s="575"/>
    </row>
    <row r="714" spans="1:47" x14ac:dyDescent="0.25">
      <c r="A714" s="381">
        <f t="shared" si="11"/>
        <v>41.6</v>
      </c>
      <c r="B714" s="571">
        <v>41274</v>
      </c>
      <c r="C714" s="572" t="s">
        <v>455</v>
      </c>
      <c r="D714" s="573" t="s">
        <v>455</v>
      </c>
      <c r="E714" s="572" t="s">
        <v>380</v>
      </c>
      <c r="F714" s="374" t="s">
        <v>310</v>
      </c>
      <c r="G714" s="374" t="s">
        <v>338</v>
      </c>
      <c r="H714" s="375">
        <v>27</v>
      </c>
      <c r="I714" s="375"/>
      <c r="J714" s="375"/>
      <c r="K714" s="375"/>
      <c r="L714" s="376"/>
      <c r="M714" s="376"/>
      <c r="N714" s="376"/>
      <c r="O714" s="376"/>
      <c r="P714" s="378">
        <v>0</v>
      </c>
      <c r="Q714" s="378">
        <v>0</v>
      </c>
      <c r="R714" s="378"/>
      <c r="S714" s="378"/>
      <c r="T714" s="378"/>
      <c r="U714" s="378"/>
      <c r="V714" s="533"/>
      <c r="W714" s="378"/>
      <c r="X714" s="378"/>
      <c r="Y714" s="378">
        <f>IF(NFI_Expiration=1,IF($A714&lt;VLOOKUP(H$5,NFI,5,0),1,0)*Table_NFI[[#This Row],[Hygiene Kit]],Table_NFI[Hygiene Kit])</f>
        <v>0</v>
      </c>
      <c r="Z714" s="378">
        <f>IF(NFI_Expiration=1,IF($A714&lt;VLOOKUP(I$5,NFI,5,0),1,0)*Table_NFI[[#This Row],[NFI Core Kit]],Table_NFI[NFI Core Kit])</f>
        <v>0</v>
      </c>
      <c r="AA714" s="378">
        <f>IF(NFI_Expiration=1,IF($A714&lt;VLOOKUP(J$5,NFI,5,0),1,0)*Table_NFI[[#This Row],[Sanitary Kit]],Table_NFI[Sanitary Kit])</f>
        <v>0</v>
      </c>
      <c r="AB714" s="378">
        <f>IF(NFI_Expiration=1,IF($A714&lt;VLOOKUP(K$5,NFI,5,0),1,0)*Table_NFI[[#This Row],[Mosquito net]],Table_NFI[Mosquito net])</f>
        <v>0</v>
      </c>
      <c r="AC714" s="378">
        <f>IF(NFI_Expiration=1,IF($A714&lt;VLOOKUP(L$5,NFI,5,0),1,0)*Table_NFI[[#This Row],[Tarpaulin]],Table_NFI[[#This Row],[Tarpaulin]])</f>
        <v>0</v>
      </c>
      <c r="AD714" s="378">
        <f>IF(NFI_Expiration=1,IF($A714&lt;VLOOKUP(M$5,NFI,5,0),1,0)*Table_NFI[[#This Row],[Blanket]],Table_NFI[[#This Row],[Blanket]])</f>
        <v>0</v>
      </c>
      <c r="AE714" s="378">
        <f>IF(NFI_Expiration=1,IF($A714&lt;VLOOKUP(N$5,NFI,5,0),1,0)*Table_NFI[[#This Row],[Kitchen Set]],Table_NFI[Kitchen Set])</f>
        <v>0</v>
      </c>
      <c r="AF714" s="378">
        <f>IF(NFI_Expiration=1,IF($A714&lt;VLOOKUP(O$5,NFI,5,0),1,0)*Table_NFI[[#This Row],[Clothes Kit]],Table_NFI[Clothes Kit])</f>
        <v>0</v>
      </c>
      <c r="AG714" s="378">
        <f>IF(NFI_Expiration=1,IF($A714&lt;VLOOKUP(P$5,NFI,5,0),1,0)*Table_NFI[[#This Row],[Plastic Bucket]],Table_NFI[Plastic Bucket])</f>
        <v>0</v>
      </c>
      <c r="AH714" s="378">
        <f>IF(NFI_Expiration=1,IF($A714&lt;VLOOKUP(Q$5,NFI,5,0),1,0)*Table_NFI[[#This Row],[Plastic Mat]],Table_NFI[Plastic Mat])*IF(Table_NFI[[#This Row],[Distribution Date]]&gt;"2014-04-01",1,2.5)</f>
        <v>0</v>
      </c>
      <c r="AI714" s="378">
        <f>IF(NFI_Expiration=1,IF($A714&lt;VLOOKUP(R$5,NFI,5,0),1,0)*Table_NFI[[#This Row],[Winter Clothes Adult]],Table_NFI[Winter Clothes Adult])</f>
        <v>0</v>
      </c>
      <c r="AJ714" s="378">
        <f>IF(NFI_Expiration=1,IF($A714&lt;VLOOKUP(S$5,NFI,5,0),1,0)*Table_NFI[[#This Row],[Winter Clothes Children]],Table_NFI[Winter Clothes Children])</f>
        <v>0</v>
      </c>
      <c r="AK714" s="378">
        <f>IF(NFI_Expiration=1,IF($A714&lt;VLOOKUP(T$5,NFI,5,0),1,0)*Table_NFI[[#This Row],[Winter Items Other]],Table_NFI[Winter Items Other])</f>
        <v>0</v>
      </c>
      <c r="AL714" s="378">
        <f>IF(NFI_Expiration=1,IF($A714&lt;VLOOKUP(M$5,NFI,5,0),1,0)*Table_NFI[[#This Row],[Winter Blanket]],Table_NFI[[#This Row],[Winter Blanket]])</f>
        <v>0</v>
      </c>
      <c r="AM714" s="378">
        <f>IF(Table_NFI[[#This Row],[Winter Clothes Adult]]+Table_NFI[[#This Row],[Winter Clothes Children]]+Table_NFI[[#This Row],[Winter Items Other]]+Table_NFI[[#This Row],[Winter Blanket]]&gt;0,1,0)</f>
        <v>0</v>
      </c>
      <c r="AN714" s="418">
        <f>IF(NFI_Expiration=1,IF($A714&lt;VLOOKUP(V$5,NFI,5,0),1,0)*Table_NFI[[#This Row],[Jerry Can]],Table_NFI[Jerry Can])</f>
        <v>0</v>
      </c>
      <c r="AO714" s="579" t="str">
        <f>IFERROR(VLOOKUP(Table_NFI[[#This Row],[Camp Name]],CL,2,0),"")</f>
        <v>MMR001CMP030</v>
      </c>
      <c r="AP714" s="574">
        <f ca="1">IF(Table_NFI[[#This Row],[Pcode]]="","",IF(OFFSET(CampList[Opening Date],MATCH(Table_NFI[[#This Row],[Pcode]],CampList[CP_Pcode],0)-1,0,1,1)&gt;=NFI_Monitor_Date,1,0))</f>
        <v>0</v>
      </c>
      <c r="AQ714" s="579" t="str">
        <f>IFERROR(VLOOKUP(Table_NFI[[#This Row],[Camp Name]],CL,3,0),"")</f>
        <v>Open</v>
      </c>
      <c r="AR714" s="378" t="str">
        <f ca="1">IF(Table_NFI[[#This Row],[Pcode]]="","",OFFSET(CampList[Priority],MATCH(Table_NFI[[#This Row],[Pcode]],CampList[CP_Pcode],0)-1,0,1,1))</f>
        <v>P4</v>
      </c>
      <c r="AS714" s="377">
        <f>IFERROR(Table_NFI[[#This Row],[Kitchen Set]]/VLOOKUP(Table_NFI[[#This Row],[Camp Name]],CL,4,0),"")</f>
        <v>0</v>
      </c>
      <c r="AT714" s="572" t="s">
        <v>1095</v>
      </c>
      <c r="AU714" s="575"/>
    </row>
    <row r="715" spans="1:47" x14ac:dyDescent="0.25">
      <c r="A715" s="381">
        <f t="shared" si="11"/>
        <v>48.833333333333336</v>
      </c>
      <c r="B715" s="571">
        <v>41057</v>
      </c>
      <c r="C715" s="572" t="s">
        <v>454</v>
      </c>
      <c r="D715" s="572" t="s">
        <v>454</v>
      </c>
      <c r="E715" s="572" t="s">
        <v>380</v>
      </c>
      <c r="F715" s="374" t="s">
        <v>310</v>
      </c>
      <c r="G715" s="374" t="s">
        <v>338</v>
      </c>
      <c r="H715" s="375"/>
      <c r="I715" s="375"/>
      <c r="J715" s="375"/>
      <c r="K715" s="375">
        <v>0</v>
      </c>
      <c r="L715" s="376">
        <v>11</v>
      </c>
      <c r="M715" s="376">
        <v>0</v>
      </c>
      <c r="N715" s="376">
        <v>0</v>
      </c>
      <c r="O715" s="376">
        <v>0</v>
      </c>
      <c r="P715" s="378"/>
      <c r="Q715" s="378"/>
      <c r="R715" s="378"/>
      <c r="S715" s="378"/>
      <c r="T715" s="378"/>
      <c r="U715" s="378"/>
      <c r="V715" s="533"/>
      <c r="W715" s="378"/>
      <c r="X715" s="378"/>
      <c r="Y715" s="378">
        <f>IF(NFI_Expiration=1,IF($A715&lt;VLOOKUP(H$5,NFI,5,0),1,0)*Table_NFI[[#This Row],[Hygiene Kit]],Table_NFI[Hygiene Kit])</f>
        <v>0</v>
      </c>
      <c r="Z715" s="378">
        <f>IF(NFI_Expiration=1,IF($A715&lt;VLOOKUP(I$5,NFI,5,0),1,0)*Table_NFI[[#This Row],[NFI Core Kit]],Table_NFI[NFI Core Kit])</f>
        <v>0</v>
      </c>
      <c r="AA715" s="378">
        <f>IF(NFI_Expiration=1,IF($A715&lt;VLOOKUP(J$5,NFI,5,0),1,0)*Table_NFI[[#This Row],[Sanitary Kit]],Table_NFI[Sanitary Kit])</f>
        <v>0</v>
      </c>
      <c r="AB715" s="378">
        <f>IF(NFI_Expiration=1,IF($A715&lt;VLOOKUP(K$5,NFI,5,0),1,0)*Table_NFI[[#This Row],[Mosquito net]],Table_NFI[Mosquito net])</f>
        <v>0</v>
      </c>
      <c r="AC715" s="378">
        <f>IF(NFI_Expiration=1,IF($A715&lt;VLOOKUP(L$5,NFI,5,0),1,0)*Table_NFI[[#This Row],[Tarpaulin]],Table_NFI[[#This Row],[Tarpaulin]])</f>
        <v>0</v>
      </c>
      <c r="AD715" s="378">
        <f>IF(NFI_Expiration=1,IF($A715&lt;VLOOKUP(M$5,NFI,5,0),1,0)*Table_NFI[[#This Row],[Blanket]],Table_NFI[[#This Row],[Blanket]])</f>
        <v>0</v>
      </c>
      <c r="AE715" s="378">
        <f>IF(NFI_Expiration=1,IF($A715&lt;VLOOKUP(N$5,NFI,5,0),1,0)*Table_NFI[[#This Row],[Kitchen Set]],Table_NFI[Kitchen Set])</f>
        <v>0</v>
      </c>
      <c r="AF715" s="378">
        <f>IF(NFI_Expiration=1,IF($A715&lt;VLOOKUP(O$5,NFI,5,0),1,0)*Table_NFI[[#This Row],[Clothes Kit]],Table_NFI[Clothes Kit])</f>
        <v>0</v>
      </c>
      <c r="AG715" s="378">
        <f>IF(NFI_Expiration=1,IF($A715&lt;VLOOKUP(P$5,NFI,5,0),1,0)*Table_NFI[[#This Row],[Plastic Bucket]],Table_NFI[Plastic Bucket])</f>
        <v>0</v>
      </c>
      <c r="AH715" s="378">
        <f>IF(NFI_Expiration=1,IF($A715&lt;VLOOKUP(Q$5,NFI,5,0),1,0)*Table_NFI[[#This Row],[Plastic Mat]],Table_NFI[Plastic Mat])*IF(Table_NFI[[#This Row],[Distribution Date]]&gt;"2014-04-01",1,2.5)</f>
        <v>0</v>
      </c>
      <c r="AI715" s="378">
        <f>IF(NFI_Expiration=1,IF($A715&lt;VLOOKUP(R$5,NFI,5,0),1,0)*Table_NFI[[#This Row],[Winter Clothes Adult]],Table_NFI[Winter Clothes Adult])</f>
        <v>0</v>
      </c>
      <c r="AJ715" s="378">
        <f>IF(NFI_Expiration=1,IF($A715&lt;VLOOKUP(S$5,NFI,5,0),1,0)*Table_NFI[[#This Row],[Winter Clothes Children]],Table_NFI[Winter Clothes Children])</f>
        <v>0</v>
      </c>
      <c r="AK715" s="378">
        <f>IF(NFI_Expiration=1,IF($A715&lt;VLOOKUP(T$5,NFI,5,0),1,0)*Table_NFI[[#This Row],[Winter Items Other]],Table_NFI[Winter Items Other])</f>
        <v>0</v>
      </c>
      <c r="AL715" s="378">
        <f>IF(NFI_Expiration=1,IF($A715&lt;VLOOKUP(M$5,NFI,5,0),1,0)*Table_NFI[[#This Row],[Winter Blanket]],Table_NFI[[#This Row],[Winter Blanket]])</f>
        <v>0</v>
      </c>
      <c r="AM715" s="378">
        <f>IF(Table_NFI[[#This Row],[Winter Clothes Adult]]+Table_NFI[[#This Row],[Winter Clothes Children]]+Table_NFI[[#This Row],[Winter Items Other]]+Table_NFI[[#This Row],[Winter Blanket]]&gt;0,1,0)</f>
        <v>0</v>
      </c>
      <c r="AN715" s="418">
        <f>IF(NFI_Expiration=1,IF($A715&lt;VLOOKUP(V$5,NFI,5,0),1,0)*Table_NFI[[#This Row],[Jerry Can]],Table_NFI[Jerry Can])</f>
        <v>0</v>
      </c>
      <c r="AO715" s="579" t="str">
        <f>IFERROR(VLOOKUP(Table_NFI[[#This Row],[Camp Name]],CL,2,0),"")</f>
        <v>MMR001CMP030</v>
      </c>
      <c r="AP715" s="574">
        <f ca="1">IF(Table_NFI[[#This Row],[Pcode]]="","",IF(OFFSET(CampList[Opening Date],MATCH(Table_NFI[[#This Row],[Pcode]],CampList[CP_Pcode],0)-1,0,1,1)&gt;=NFI_Monitor_Date,1,0))</f>
        <v>0</v>
      </c>
      <c r="AQ715" s="579" t="str">
        <f>IFERROR(VLOOKUP(Table_NFI[[#This Row],[Camp Name]],CL,3,0),"")</f>
        <v>Open</v>
      </c>
      <c r="AR715" s="378" t="str">
        <f ca="1">IF(Table_NFI[[#This Row],[Pcode]]="","",OFFSET(CampList[Priority],MATCH(Table_NFI[[#This Row],[Pcode]],CampList[CP_Pcode],0)-1,0,1,1))</f>
        <v>P4</v>
      </c>
      <c r="AS715" s="377">
        <f>IFERROR(Table_NFI[[#This Row],[Kitchen Set]]/VLOOKUP(Table_NFI[[#This Row],[Camp Name]],CL,4,0),"")</f>
        <v>0</v>
      </c>
      <c r="AT715" s="572" t="s">
        <v>1095</v>
      </c>
      <c r="AU715" s="575"/>
    </row>
    <row r="716" spans="1:47" x14ac:dyDescent="0.25">
      <c r="A716" s="381">
        <f t="shared" si="11"/>
        <v>49.666666666666664</v>
      </c>
      <c r="B716" s="571">
        <v>41032</v>
      </c>
      <c r="C716" s="572" t="s">
        <v>454</v>
      </c>
      <c r="D716" s="572" t="s">
        <v>454</v>
      </c>
      <c r="E716" s="572" t="s">
        <v>380</v>
      </c>
      <c r="F716" s="374" t="s">
        <v>310</v>
      </c>
      <c r="G716" s="374" t="s">
        <v>338</v>
      </c>
      <c r="H716" s="375"/>
      <c r="I716" s="375"/>
      <c r="J716" s="375"/>
      <c r="K716" s="375">
        <v>12</v>
      </c>
      <c r="L716" s="376">
        <v>0</v>
      </c>
      <c r="M716" s="376">
        <v>12</v>
      </c>
      <c r="N716" s="376">
        <v>6</v>
      </c>
      <c r="O716" s="376">
        <v>6</v>
      </c>
      <c r="P716" s="378">
        <v>6</v>
      </c>
      <c r="Q716" s="378">
        <v>6</v>
      </c>
      <c r="R716" s="378"/>
      <c r="S716" s="378"/>
      <c r="T716" s="378"/>
      <c r="U716" s="378"/>
      <c r="V716" s="533"/>
      <c r="W716" s="378"/>
      <c r="X716" s="378"/>
      <c r="Y716" s="378">
        <f>IF(NFI_Expiration=1,IF($A716&lt;VLOOKUP(H$5,NFI,5,0),1,0)*Table_NFI[[#This Row],[Hygiene Kit]],Table_NFI[Hygiene Kit])</f>
        <v>0</v>
      </c>
      <c r="Z716" s="378">
        <f>IF(NFI_Expiration=1,IF($A716&lt;VLOOKUP(I$5,NFI,5,0),1,0)*Table_NFI[[#This Row],[NFI Core Kit]],Table_NFI[NFI Core Kit])</f>
        <v>0</v>
      </c>
      <c r="AA716" s="378">
        <f>IF(NFI_Expiration=1,IF($A716&lt;VLOOKUP(J$5,NFI,5,0),1,0)*Table_NFI[[#This Row],[Sanitary Kit]],Table_NFI[Sanitary Kit])</f>
        <v>0</v>
      </c>
      <c r="AB716" s="378">
        <f>IF(NFI_Expiration=1,IF($A716&lt;VLOOKUP(K$5,NFI,5,0),1,0)*Table_NFI[[#This Row],[Mosquito net]],Table_NFI[Mosquito net])</f>
        <v>0</v>
      </c>
      <c r="AC716" s="378">
        <f>IF(NFI_Expiration=1,IF($A716&lt;VLOOKUP(L$5,NFI,5,0),1,0)*Table_NFI[[#This Row],[Tarpaulin]],Table_NFI[[#This Row],[Tarpaulin]])</f>
        <v>0</v>
      </c>
      <c r="AD716" s="378">
        <f>IF(NFI_Expiration=1,IF($A716&lt;VLOOKUP(M$5,NFI,5,0),1,0)*Table_NFI[[#This Row],[Blanket]],Table_NFI[[#This Row],[Blanket]])</f>
        <v>0</v>
      </c>
      <c r="AE716" s="378">
        <f>IF(NFI_Expiration=1,IF($A716&lt;VLOOKUP(N$5,NFI,5,0),1,0)*Table_NFI[[#This Row],[Kitchen Set]],Table_NFI[Kitchen Set])</f>
        <v>0</v>
      </c>
      <c r="AF716" s="378">
        <f>IF(NFI_Expiration=1,IF($A716&lt;VLOOKUP(O$5,NFI,5,0),1,0)*Table_NFI[[#This Row],[Clothes Kit]],Table_NFI[Clothes Kit])</f>
        <v>0</v>
      </c>
      <c r="AG716" s="378">
        <f>IF(NFI_Expiration=1,IF($A716&lt;VLOOKUP(P$5,NFI,5,0),1,0)*Table_NFI[[#This Row],[Plastic Bucket]],Table_NFI[Plastic Bucket])</f>
        <v>0</v>
      </c>
      <c r="AH716" s="378">
        <f>IF(NFI_Expiration=1,IF($A716&lt;VLOOKUP(Q$5,NFI,5,0),1,0)*Table_NFI[[#This Row],[Plastic Mat]],Table_NFI[Plastic Mat])*IF(Table_NFI[[#This Row],[Distribution Date]]&gt;"2014-04-01",1,2.5)</f>
        <v>0</v>
      </c>
      <c r="AI716" s="378">
        <f>IF(NFI_Expiration=1,IF($A716&lt;VLOOKUP(R$5,NFI,5,0),1,0)*Table_NFI[[#This Row],[Winter Clothes Adult]],Table_NFI[Winter Clothes Adult])</f>
        <v>0</v>
      </c>
      <c r="AJ716" s="378">
        <f>IF(NFI_Expiration=1,IF($A716&lt;VLOOKUP(S$5,NFI,5,0),1,0)*Table_NFI[[#This Row],[Winter Clothes Children]],Table_NFI[Winter Clothes Children])</f>
        <v>0</v>
      </c>
      <c r="AK716" s="378">
        <f>IF(NFI_Expiration=1,IF($A716&lt;VLOOKUP(T$5,NFI,5,0),1,0)*Table_NFI[[#This Row],[Winter Items Other]],Table_NFI[Winter Items Other])</f>
        <v>0</v>
      </c>
      <c r="AL716" s="378">
        <f>IF(NFI_Expiration=1,IF($A716&lt;VLOOKUP(M$5,NFI,5,0),1,0)*Table_NFI[[#This Row],[Winter Blanket]],Table_NFI[[#This Row],[Winter Blanket]])</f>
        <v>0</v>
      </c>
      <c r="AM716" s="378">
        <f>IF(Table_NFI[[#This Row],[Winter Clothes Adult]]+Table_NFI[[#This Row],[Winter Clothes Children]]+Table_NFI[[#This Row],[Winter Items Other]]+Table_NFI[[#This Row],[Winter Blanket]]&gt;0,1,0)</f>
        <v>0</v>
      </c>
      <c r="AN716" s="418">
        <f>IF(NFI_Expiration=1,IF($A716&lt;VLOOKUP(V$5,NFI,5,0),1,0)*Table_NFI[[#This Row],[Jerry Can]],Table_NFI[Jerry Can])</f>
        <v>0</v>
      </c>
      <c r="AO716" s="579" t="str">
        <f>IFERROR(VLOOKUP(Table_NFI[[#This Row],[Camp Name]],CL,2,0),"")</f>
        <v>MMR001CMP030</v>
      </c>
      <c r="AP716" s="574">
        <f ca="1">IF(Table_NFI[[#This Row],[Pcode]]="","",IF(OFFSET(CampList[Opening Date],MATCH(Table_NFI[[#This Row],[Pcode]],CampList[CP_Pcode],0)-1,0,1,1)&gt;=NFI_Monitor_Date,1,0))</f>
        <v>0</v>
      </c>
      <c r="AQ716" s="579" t="str">
        <f>IFERROR(VLOOKUP(Table_NFI[[#This Row],[Camp Name]],CL,3,0),"")</f>
        <v>Open</v>
      </c>
      <c r="AR716" s="378" t="str">
        <f ca="1">IF(Table_NFI[[#This Row],[Pcode]]="","",OFFSET(CampList[Priority],MATCH(Table_NFI[[#This Row],[Pcode]],CampList[CP_Pcode],0)-1,0,1,1))</f>
        <v>P4</v>
      </c>
      <c r="AS716" s="377">
        <f>IFERROR(Table_NFI[[#This Row],[Kitchen Set]]/VLOOKUP(Table_NFI[[#This Row],[Camp Name]],CL,4,0),"")</f>
        <v>0.19354838709677419</v>
      </c>
      <c r="AT716" s="572" t="s">
        <v>1095</v>
      </c>
      <c r="AU716" s="575"/>
    </row>
    <row r="717" spans="1:47" x14ac:dyDescent="0.25">
      <c r="A717" s="381">
        <f t="shared" si="11"/>
        <v>20.3</v>
      </c>
      <c r="B717" s="571">
        <v>41913</v>
      </c>
      <c r="C717" s="572" t="s">
        <v>454</v>
      </c>
      <c r="D717" s="577" t="s">
        <v>507</v>
      </c>
      <c r="E717" s="577" t="s">
        <v>380</v>
      </c>
      <c r="F717" s="577" t="s">
        <v>310</v>
      </c>
      <c r="G717" s="577" t="s">
        <v>351</v>
      </c>
      <c r="H717" s="376"/>
      <c r="I717" s="376"/>
      <c r="J717" s="376"/>
      <c r="K717" s="376">
        <v>204</v>
      </c>
      <c r="L717" s="376"/>
      <c r="M717" s="376"/>
      <c r="N717" s="376"/>
      <c r="O717" s="376"/>
      <c r="P717" s="378"/>
      <c r="Q717" s="378"/>
      <c r="R717" s="378"/>
      <c r="S717" s="378"/>
      <c r="T717" s="378"/>
      <c r="U717" s="378"/>
      <c r="V717" s="533"/>
      <c r="W717" s="378"/>
      <c r="X717" s="378"/>
      <c r="Y717" s="378">
        <f>IF(NFI_Expiration=1,IF($A717&lt;VLOOKUP(H$5,NFI,5,0),1,0)*Table_NFI[[#This Row],[Hygiene Kit]],Table_NFI[Hygiene Kit])</f>
        <v>0</v>
      </c>
      <c r="Z717" s="378">
        <f>IF(NFI_Expiration=1,IF($A717&lt;VLOOKUP(I$5,NFI,5,0),1,0)*Table_NFI[[#This Row],[NFI Core Kit]],Table_NFI[NFI Core Kit])</f>
        <v>0</v>
      </c>
      <c r="AA717" s="378">
        <f>IF(NFI_Expiration=1,IF($A717&lt;VLOOKUP(J$5,NFI,5,0),1,0)*Table_NFI[[#This Row],[Sanitary Kit]],Table_NFI[Sanitary Kit])</f>
        <v>0</v>
      </c>
      <c r="AB717" s="378">
        <f>IF(NFI_Expiration=1,IF($A717&lt;VLOOKUP(K$5,NFI,5,0),1,0)*Table_NFI[[#This Row],[Mosquito net]],Table_NFI[Mosquito net])</f>
        <v>0</v>
      </c>
      <c r="AC717" s="378">
        <f>IF(NFI_Expiration=1,IF($A717&lt;VLOOKUP(L$5,NFI,5,0),1,0)*Table_NFI[[#This Row],[Tarpaulin]],Table_NFI[[#This Row],[Tarpaulin]])</f>
        <v>0</v>
      </c>
      <c r="AD717" s="378">
        <f>IF(NFI_Expiration=1,IF($A717&lt;VLOOKUP(M$5,NFI,5,0),1,0)*Table_NFI[[#This Row],[Blanket]],Table_NFI[[#This Row],[Blanket]])</f>
        <v>0</v>
      </c>
      <c r="AE717" s="378">
        <f>IF(NFI_Expiration=1,IF($A717&lt;VLOOKUP(N$5,NFI,5,0),1,0)*Table_NFI[[#This Row],[Kitchen Set]],Table_NFI[Kitchen Set])</f>
        <v>0</v>
      </c>
      <c r="AF717" s="378">
        <f>IF(NFI_Expiration=1,IF($A717&lt;VLOOKUP(O$5,NFI,5,0),1,0)*Table_NFI[[#This Row],[Clothes Kit]],Table_NFI[Clothes Kit])</f>
        <v>0</v>
      </c>
      <c r="AG717" s="378">
        <f>IF(NFI_Expiration=1,IF($A717&lt;VLOOKUP(P$5,NFI,5,0),1,0)*Table_NFI[[#This Row],[Plastic Bucket]],Table_NFI[Plastic Bucket])</f>
        <v>0</v>
      </c>
      <c r="AH717" s="378">
        <f>IF(NFI_Expiration=1,IF($A717&lt;VLOOKUP(Q$5,NFI,5,0),1,0)*Table_NFI[[#This Row],[Plastic Mat]],Table_NFI[Plastic Mat])*IF(Table_NFI[[#This Row],[Distribution Date]]&gt;"2014-04-01",1,2.5)</f>
        <v>0</v>
      </c>
      <c r="AI717" s="378">
        <f>IF(NFI_Expiration=1,IF($A717&lt;VLOOKUP(R$5,NFI,5,0),1,0)*Table_NFI[[#This Row],[Winter Clothes Adult]],Table_NFI[Winter Clothes Adult])</f>
        <v>0</v>
      </c>
      <c r="AJ717" s="378">
        <f>IF(NFI_Expiration=1,IF($A717&lt;VLOOKUP(S$5,NFI,5,0),1,0)*Table_NFI[[#This Row],[Winter Clothes Children]],Table_NFI[Winter Clothes Children])</f>
        <v>0</v>
      </c>
      <c r="AK717" s="378">
        <f>IF(NFI_Expiration=1,IF($A717&lt;VLOOKUP(T$5,NFI,5,0),1,0)*Table_NFI[[#This Row],[Winter Items Other]],Table_NFI[Winter Items Other])</f>
        <v>0</v>
      </c>
      <c r="AL717" s="378">
        <f>IF(NFI_Expiration=1,IF($A717&lt;VLOOKUP(M$5,NFI,5,0),1,0)*Table_NFI[[#This Row],[Winter Blanket]],Table_NFI[[#This Row],[Winter Blanket]])</f>
        <v>0</v>
      </c>
      <c r="AM717" s="378">
        <f>IF(Table_NFI[[#This Row],[Winter Clothes Adult]]+Table_NFI[[#This Row],[Winter Clothes Children]]+Table_NFI[[#This Row],[Winter Items Other]]+Table_NFI[[#This Row],[Winter Blanket]]&gt;0,1,0)</f>
        <v>0</v>
      </c>
      <c r="AN717" s="418">
        <f>IF(NFI_Expiration=1,IF($A717&lt;VLOOKUP(V$5,NFI,5,0),1,0)*Table_NFI[[#This Row],[Jerry Can]],Table_NFI[Jerry Can])</f>
        <v>0</v>
      </c>
      <c r="AO717" s="579" t="str">
        <f>IFERROR(VLOOKUP(Table_NFI[[#This Row],[Camp Name]],CL,2,0),"")</f>
        <v>MMR001CMP026</v>
      </c>
      <c r="AP717" s="574">
        <f ca="1">IF(Table_NFI[[#This Row],[Pcode]]="","",IF(OFFSET(CampList[Opening Date],MATCH(Table_NFI[[#This Row],[Pcode]],CampList[CP_Pcode],0)-1,0,1,1)&gt;=NFI_Monitor_Date,1,0))</f>
        <v>0</v>
      </c>
      <c r="AQ717" s="579" t="str">
        <f>IFERROR(VLOOKUP(Table_NFI[[#This Row],[Camp Name]],CL,3,0),"")</f>
        <v>Open</v>
      </c>
      <c r="AR717" s="378" t="str">
        <f ca="1">IF(Table_NFI[[#This Row],[Pcode]]="","",OFFSET(CampList[Priority],MATCH(Table_NFI[[#This Row],[Pcode]],CampList[CP_Pcode],0)-1,0,1,1))</f>
        <v>P4</v>
      </c>
      <c r="AS717" s="377">
        <f>IFERROR(Table_NFI[[#This Row],[Kitchen Set]]/VLOOKUP(Table_NFI[[#This Row],[Camp Name]],CL,4,0),"")</f>
        <v>0</v>
      </c>
      <c r="AT717" s="577"/>
      <c r="AU717" s="580"/>
    </row>
    <row r="718" spans="1:47" x14ac:dyDescent="0.25">
      <c r="A718" s="381">
        <f t="shared" si="11"/>
        <v>24.533333333333335</v>
      </c>
      <c r="B718" s="571">
        <v>41786</v>
      </c>
      <c r="C718" s="572" t="s">
        <v>454</v>
      </c>
      <c r="D718" s="572" t="s">
        <v>507</v>
      </c>
      <c r="E718" s="572" t="s">
        <v>380</v>
      </c>
      <c r="F718" s="572" t="s">
        <v>310</v>
      </c>
      <c r="G718" s="572" t="s">
        <v>351</v>
      </c>
      <c r="H718" s="375"/>
      <c r="I718" s="375"/>
      <c r="J718" s="375">
        <v>3</v>
      </c>
      <c r="K718" s="375">
        <v>3</v>
      </c>
      <c r="L718" s="376">
        <v>6</v>
      </c>
      <c r="M718" s="376">
        <v>3</v>
      </c>
      <c r="N718" s="376"/>
      <c r="O718" s="376">
        <v>3</v>
      </c>
      <c r="P718" s="378">
        <v>15</v>
      </c>
      <c r="Q718" s="378"/>
      <c r="R718" s="378"/>
      <c r="S718" s="378"/>
      <c r="T718" s="378"/>
      <c r="U718" s="378"/>
      <c r="V718" s="533"/>
      <c r="W718" s="378"/>
      <c r="X718" s="378"/>
      <c r="Y718" s="378">
        <f>IF(NFI_Expiration=1,IF($A718&lt;VLOOKUP(H$5,NFI,5,0),1,0)*Table_NFI[[#This Row],[Hygiene Kit]],Table_NFI[Hygiene Kit])</f>
        <v>0</v>
      </c>
      <c r="Z718" s="378">
        <f>IF(NFI_Expiration=1,IF($A718&lt;VLOOKUP(I$5,NFI,5,0),1,0)*Table_NFI[[#This Row],[NFI Core Kit]],Table_NFI[NFI Core Kit])</f>
        <v>0</v>
      </c>
      <c r="AA718" s="378">
        <f>IF(NFI_Expiration=1,IF($A718&lt;VLOOKUP(J$5,NFI,5,0),1,0)*Table_NFI[[#This Row],[Sanitary Kit]],Table_NFI[Sanitary Kit])</f>
        <v>0</v>
      </c>
      <c r="AB718" s="378">
        <f>IF(NFI_Expiration=1,IF($A718&lt;VLOOKUP(K$5,NFI,5,0),1,0)*Table_NFI[[#This Row],[Mosquito net]],Table_NFI[Mosquito net])</f>
        <v>0</v>
      </c>
      <c r="AC718" s="378">
        <f>IF(NFI_Expiration=1,IF($A718&lt;VLOOKUP(L$5,NFI,5,0),1,0)*Table_NFI[[#This Row],[Tarpaulin]],Table_NFI[[#This Row],[Tarpaulin]])</f>
        <v>0</v>
      </c>
      <c r="AD718" s="378">
        <f>IF(NFI_Expiration=1,IF($A718&lt;VLOOKUP(M$5,NFI,5,0),1,0)*Table_NFI[[#This Row],[Blanket]],Table_NFI[[#This Row],[Blanket]])</f>
        <v>0</v>
      </c>
      <c r="AE718" s="378">
        <f>IF(NFI_Expiration=1,IF($A718&lt;VLOOKUP(N$5,NFI,5,0),1,0)*Table_NFI[[#This Row],[Kitchen Set]],Table_NFI[Kitchen Set])</f>
        <v>0</v>
      </c>
      <c r="AF718" s="378">
        <f>IF(NFI_Expiration=1,IF($A718&lt;VLOOKUP(O$5,NFI,5,0),1,0)*Table_NFI[[#This Row],[Clothes Kit]],Table_NFI[Clothes Kit])</f>
        <v>0</v>
      </c>
      <c r="AG718" s="378">
        <f>IF(NFI_Expiration=1,IF($A718&lt;VLOOKUP(P$5,NFI,5,0),1,0)*Table_NFI[[#This Row],[Plastic Bucket]],Table_NFI[Plastic Bucket])</f>
        <v>0</v>
      </c>
      <c r="AH718" s="378">
        <f>IF(NFI_Expiration=1,IF($A718&lt;VLOOKUP(Q$5,NFI,5,0),1,0)*Table_NFI[[#This Row],[Plastic Mat]],Table_NFI[Plastic Mat])*IF(Table_NFI[[#This Row],[Distribution Date]]&gt;"2014-04-01",1,2.5)</f>
        <v>0</v>
      </c>
      <c r="AI718" s="378">
        <f>IF(NFI_Expiration=1,IF($A718&lt;VLOOKUP(R$5,NFI,5,0),1,0)*Table_NFI[[#This Row],[Winter Clothes Adult]],Table_NFI[Winter Clothes Adult])</f>
        <v>0</v>
      </c>
      <c r="AJ718" s="378">
        <f>IF(NFI_Expiration=1,IF($A718&lt;VLOOKUP(S$5,NFI,5,0),1,0)*Table_NFI[[#This Row],[Winter Clothes Children]],Table_NFI[Winter Clothes Children])</f>
        <v>0</v>
      </c>
      <c r="AK718" s="378">
        <f>IF(NFI_Expiration=1,IF($A718&lt;VLOOKUP(T$5,NFI,5,0),1,0)*Table_NFI[[#This Row],[Winter Items Other]],Table_NFI[Winter Items Other])</f>
        <v>0</v>
      </c>
      <c r="AL718" s="378">
        <f>IF(NFI_Expiration=1,IF($A718&lt;VLOOKUP(M$5,NFI,5,0),1,0)*Table_NFI[[#This Row],[Winter Blanket]],Table_NFI[[#This Row],[Winter Blanket]])</f>
        <v>0</v>
      </c>
      <c r="AM718" s="378">
        <f>IF(Table_NFI[[#This Row],[Winter Clothes Adult]]+Table_NFI[[#This Row],[Winter Clothes Children]]+Table_NFI[[#This Row],[Winter Items Other]]+Table_NFI[[#This Row],[Winter Blanket]]&gt;0,1,0)</f>
        <v>0</v>
      </c>
      <c r="AN718" s="418">
        <f>IF(NFI_Expiration=1,IF($A718&lt;VLOOKUP(V$5,NFI,5,0),1,0)*Table_NFI[[#This Row],[Jerry Can]],Table_NFI[Jerry Can])</f>
        <v>0</v>
      </c>
      <c r="AO718" s="579" t="str">
        <f>IFERROR(VLOOKUP(Table_NFI[[#This Row],[Camp Name]],CL,2,0),"")</f>
        <v>MMR001CMP026</v>
      </c>
      <c r="AP718" s="574">
        <f ca="1">IF(Table_NFI[[#This Row],[Pcode]]="","",IF(OFFSET(CampList[Opening Date],MATCH(Table_NFI[[#This Row],[Pcode]],CampList[CP_Pcode],0)-1,0,1,1)&gt;=NFI_Monitor_Date,1,0))</f>
        <v>0</v>
      </c>
      <c r="AQ718" s="579" t="str">
        <f>IFERROR(VLOOKUP(Table_NFI[[#This Row],[Camp Name]],CL,3,0),"")</f>
        <v>Open</v>
      </c>
      <c r="AR718" s="378" t="str">
        <f ca="1">IF(Table_NFI[[#This Row],[Pcode]]="","",OFFSET(CampList[Priority],MATCH(Table_NFI[[#This Row],[Pcode]],CampList[CP_Pcode],0)-1,0,1,1))</f>
        <v>P4</v>
      </c>
      <c r="AS718" s="377">
        <f>IFERROR(Table_NFI[[#This Row],[Kitchen Set]]/VLOOKUP(Table_NFI[[#This Row],[Camp Name]],CL,4,0),"")</f>
        <v>0</v>
      </c>
      <c r="AT718" s="572"/>
      <c r="AU718" s="575"/>
    </row>
    <row r="719" spans="1:47" x14ac:dyDescent="0.25">
      <c r="A719" s="381">
        <f t="shared" si="11"/>
        <v>24.6</v>
      </c>
      <c r="B719" s="571">
        <v>41784</v>
      </c>
      <c r="C719" s="572" t="s">
        <v>1107</v>
      </c>
      <c r="D719" s="572" t="s">
        <v>903</v>
      </c>
      <c r="E719" s="572" t="s">
        <v>380</v>
      </c>
      <c r="F719" s="572" t="s">
        <v>310</v>
      </c>
      <c r="G719" s="572" t="s">
        <v>351</v>
      </c>
      <c r="H719" s="375"/>
      <c r="I719" s="375"/>
      <c r="J719" s="375"/>
      <c r="K719" s="375"/>
      <c r="L719" s="376"/>
      <c r="M719" s="376"/>
      <c r="N719" s="376"/>
      <c r="O719" s="376"/>
      <c r="P719" s="378"/>
      <c r="Q719" s="378"/>
      <c r="R719" s="378"/>
      <c r="S719" s="378"/>
      <c r="T719" s="378"/>
      <c r="U719" s="378">
        <v>182</v>
      </c>
      <c r="V719" s="533"/>
      <c r="W719" s="378"/>
      <c r="X719" s="378"/>
      <c r="Y719" s="378">
        <f>IF(NFI_Expiration=1,IF($A719&lt;VLOOKUP(H$5,NFI,5,0),1,0)*Table_NFI[[#This Row],[Hygiene Kit]],Table_NFI[Hygiene Kit])</f>
        <v>0</v>
      </c>
      <c r="Z719" s="378">
        <f>IF(NFI_Expiration=1,IF($A719&lt;VLOOKUP(I$5,NFI,5,0),1,0)*Table_NFI[[#This Row],[NFI Core Kit]],Table_NFI[NFI Core Kit])</f>
        <v>0</v>
      </c>
      <c r="AA719" s="378">
        <f>IF(NFI_Expiration=1,IF($A719&lt;VLOOKUP(J$5,NFI,5,0),1,0)*Table_NFI[[#This Row],[Sanitary Kit]],Table_NFI[Sanitary Kit])</f>
        <v>0</v>
      </c>
      <c r="AB719" s="378">
        <f>IF(NFI_Expiration=1,IF($A719&lt;VLOOKUP(K$5,NFI,5,0),1,0)*Table_NFI[[#This Row],[Mosquito net]],Table_NFI[Mosquito net])</f>
        <v>0</v>
      </c>
      <c r="AC719" s="378">
        <f>IF(NFI_Expiration=1,IF($A719&lt;VLOOKUP(L$5,NFI,5,0),1,0)*Table_NFI[[#This Row],[Tarpaulin]],Table_NFI[[#This Row],[Tarpaulin]])</f>
        <v>0</v>
      </c>
      <c r="AD719" s="378">
        <f>IF(NFI_Expiration=1,IF($A719&lt;VLOOKUP(M$5,NFI,5,0),1,0)*Table_NFI[[#This Row],[Blanket]],Table_NFI[[#This Row],[Blanket]])</f>
        <v>0</v>
      </c>
      <c r="AE719" s="378">
        <f>IF(NFI_Expiration=1,IF($A719&lt;VLOOKUP(N$5,NFI,5,0),1,0)*Table_NFI[[#This Row],[Kitchen Set]],Table_NFI[Kitchen Set])</f>
        <v>0</v>
      </c>
      <c r="AF719" s="378">
        <f>IF(NFI_Expiration=1,IF($A719&lt;VLOOKUP(O$5,NFI,5,0),1,0)*Table_NFI[[#This Row],[Clothes Kit]],Table_NFI[Clothes Kit])</f>
        <v>0</v>
      </c>
      <c r="AG719" s="378">
        <f>IF(NFI_Expiration=1,IF($A719&lt;VLOOKUP(P$5,NFI,5,0),1,0)*Table_NFI[[#This Row],[Plastic Bucket]],Table_NFI[Plastic Bucket])</f>
        <v>0</v>
      </c>
      <c r="AH719" s="378">
        <f>IF(NFI_Expiration=1,IF($A719&lt;VLOOKUP(Q$5,NFI,5,0),1,0)*Table_NFI[[#This Row],[Plastic Mat]],Table_NFI[Plastic Mat])*IF(Table_NFI[[#This Row],[Distribution Date]]&gt;"2014-04-01",1,2.5)</f>
        <v>0</v>
      </c>
      <c r="AI719" s="378">
        <f>IF(NFI_Expiration=1,IF($A719&lt;VLOOKUP(R$5,NFI,5,0),1,0)*Table_NFI[[#This Row],[Winter Clothes Adult]],Table_NFI[Winter Clothes Adult])</f>
        <v>0</v>
      </c>
      <c r="AJ719" s="378">
        <f>IF(NFI_Expiration=1,IF($A719&lt;VLOOKUP(S$5,NFI,5,0),1,0)*Table_NFI[[#This Row],[Winter Clothes Children]],Table_NFI[Winter Clothes Children])</f>
        <v>0</v>
      </c>
      <c r="AK719" s="378">
        <f>IF(NFI_Expiration=1,IF($A719&lt;VLOOKUP(T$5,NFI,5,0),1,0)*Table_NFI[[#This Row],[Winter Items Other]],Table_NFI[Winter Items Other])</f>
        <v>0</v>
      </c>
      <c r="AL719" s="378">
        <f>IF(NFI_Expiration=1,IF($A719&lt;VLOOKUP(M$5,NFI,5,0),1,0)*Table_NFI[[#This Row],[Winter Blanket]],Table_NFI[[#This Row],[Winter Blanket]])</f>
        <v>0</v>
      </c>
      <c r="AM719" s="378">
        <f>IF(Table_NFI[[#This Row],[Winter Clothes Adult]]+Table_NFI[[#This Row],[Winter Clothes Children]]+Table_NFI[[#This Row],[Winter Items Other]]+Table_NFI[[#This Row],[Winter Blanket]]&gt;0,1,0)</f>
        <v>1</v>
      </c>
      <c r="AN719" s="418">
        <f>IF(NFI_Expiration=1,IF($A719&lt;VLOOKUP(V$5,NFI,5,0),1,0)*Table_NFI[[#This Row],[Jerry Can]],Table_NFI[Jerry Can])</f>
        <v>0</v>
      </c>
      <c r="AO719" s="579" t="str">
        <f>IFERROR(VLOOKUP(Table_NFI[[#This Row],[Camp Name]],CL,2,0),"")</f>
        <v>MMR001CMP026</v>
      </c>
      <c r="AP719" s="574">
        <f ca="1">IF(Table_NFI[[#This Row],[Pcode]]="","",IF(OFFSET(CampList[Opening Date],MATCH(Table_NFI[[#This Row],[Pcode]],CampList[CP_Pcode],0)-1,0,1,1)&gt;=NFI_Monitor_Date,1,0))</f>
        <v>0</v>
      </c>
      <c r="AQ719" s="579" t="str">
        <f>IFERROR(VLOOKUP(Table_NFI[[#This Row],[Camp Name]],CL,3,0),"")</f>
        <v>Open</v>
      </c>
      <c r="AR719" s="378" t="str">
        <f ca="1">IF(Table_NFI[[#This Row],[Pcode]]="","",OFFSET(CampList[Priority],MATCH(Table_NFI[[#This Row],[Pcode]],CampList[CP_Pcode],0)-1,0,1,1))</f>
        <v>P4</v>
      </c>
      <c r="AS719" s="377">
        <f>IFERROR(Table_NFI[[#This Row],[Kitchen Set]]/VLOOKUP(Table_NFI[[#This Row],[Camp Name]],CL,4,0),"")</f>
        <v>0</v>
      </c>
      <c r="AT719" s="572"/>
      <c r="AU719" s="575"/>
    </row>
    <row r="720" spans="1:47" x14ac:dyDescent="0.25">
      <c r="A720" s="381">
        <f t="shared" si="11"/>
        <v>29.8</v>
      </c>
      <c r="B720" s="571">
        <v>41628</v>
      </c>
      <c r="C720" s="572" t="s">
        <v>908</v>
      </c>
      <c r="D720" s="572" t="s">
        <v>462</v>
      </c>
      <c r="E720" s="572" t="s">
        <v>380</v>
      </c>
      <c r="F720" s="572" t="s">
        <v>310</v>
      </c>
      <c r="G720" s="572" t="s">
        <v>351</v>
      </c>
      <c r="H720" s="375"/>
      <c r="I720" s="375"/>
      <c r="J720" s="375"/>
      <c r="K720" s="375"/>
      <c r="L720" s="376"/>
      <c r="M720" s="376"/>
      <c r="N720" s="376"/>
      <c r="O720" s="376"/>
      <c r="P720" s="378"/>
      <c r="Q720" s="378"/>
      <c r="R720" s="378">
        <v>102</v>
      </c>
      <c r="S720" s="378">
        <v>188</v>
      </c>
      <c r="T720" s="378">
        <v>580</v>
      </c>
      <c r="U720" s="378">
        <v>290</v>
      </c>
      <c r="V720" s="533"/>
      <c r="W720" s="378"/>
      <c r="X720" s="378"/>
      <c r="Y720" s="378">
        <f>IF(NFI_Expiration=1,IF($A720&lt;VLOOKUP(H$5,NFI,5,0),1,0)*Table_NFI[[#This Row],[Hygiene Kit]],Table_NFI[Hygiene Kit])</f>
        <v>0</v>
      </c>
      <c r="Z720" s="378">
        <f>IF(NFI_Expiration=1,IF($A720&lt;VLOOKUP(I$5,NFI,5,0),1,0)*Table_NFI[[#This Row],[NFI Core Kit]],Table_NFI[NFI Core Kit])</f>
        <v>0</v>
      </c>
      <c r="AA720" s="378">
        <f>IF(NFI_Expiration=1,IF($A720&lt;VLOOKUP(J$5,NFI,5,0),1,0)*Table_NFI[[#This Row],[Sanitary Kit]],Table_NFI[Sanitary Kit])</f>
        <v>0</v>
      </c>
      <c r="AB720" s="378">
        <f>IF(NFI_Expiration=1,IF($A720&lt;VLOOKUP(K$5,NFI,5,0),1,0)*Table_NFI[[#This Row],[Mosquito net]],Table_NFI[Mosquito net])</f>
        <v>0</v>
      </c>
      <c r="AC720" s="378">
        <f>IF(NFI_Expiration=1,IF($A720&lt;VLOOKUP(L$5,NFI,5,0),1,0)*Table_NFI[[#This Row],[Tarpaulin]],Table_NFI[[#This Row],[Tarpaulin]])</f>
        <v>0</v>
      </c>
      <c r="AD720" s="378">
        <f>IF(NFI_Expiration=1,IF($A720&lt;VLOOKUP(M$5,NFI,5,0),1,0)*Table_NFI[[#This Row],[Blanket]],Table_NFI[[#This Row],[Blanket]])</f>
        <v>0</v>
      </c>
      <c r="AE720" s="378">
        <f>IF(NFI_Expiration=1,IF($A720&lt;VLOOKUP(N$5,NFI,5,0),1,0)*Table_NFI[[#This Row],[Kitchen Set]],Table_NFI[Kitchen Set])</f>
        <v>0</v>
      </c>
      <c r="AF720" s="378">
        <f>IF(NFI_Expiration=1,IF($A720&lt;VLOOKUP(O$5,NFI,5,0),1,0)*Table_NFI[[#This Row],[Clothes Kit]],Table_NFI[Clothes Kit])</f>
        <v>0</v>
      </c>
      <c r="AG720" s="378">
        <f>IF(NFI_Expiration=1,IF($A720&lt;VLOOKUP(P$5,NFI,5,0),1,0)*Table_NFI[[#This Row],[Plastic Bucket]],Table_NFI[Plastic Bucket])</f>
        <v>0</v>
      </c>
      <c r="AH720" s="378">
        <f>IF(NFI_Expiration=1,IF($A720&lt;VLOOKUP(Q$5,NFI,5,0),1,0)*Table_NFI[[#This Row],[Plastic Mat]],Table_NFI[Plastic Mat])*IF(Table_NFI[[#This Row],[Distribution Date]]&gt;"2014-04-01",1,2.5)</f>
        <v>0</v>
      </c>
      <c r="AI720" s="378">
        <f>IF(NFI_Expiration=1,IF($A720&lt;VLOOKUP(R$5,NFI,5,0),1,0)*Table_NFI[[#This Row],[Winter Clothes Adult]],Table_NFI[Winter Clothes Adult])</f>
        <v>0</v>
      </c>
      <c r="AJ720" s="378">
        <f>IF(NFI_Expiration=1,IF($A720&lt;VLOOKUP(S$5,NFI,5,0),1,0)*Table_NFI[[#This Row],[Winter Clothes Children]],Table_NFI[Winter Clothes Children])</f>
        <v>0</v>
      </c>
      <c r="AK720" s="378">
        <f>IF(NFI_Expiration=1,IF($A720&lt;VLOOKUP(T$5,NFI,5,0),1,0)*Table_NFI[[#This Row],[Winter Items Other]],Table_NFI[Winter Items Other])</f>
        <v>0</v>
      </c>
      <c r="AL720" s="378">
        <f>IF(NFI_Expiration=1,IF($A720&lt;VLOOKUP(M$5,NFI,5,0),1,0)*Table_NFI[[#This Row],[Winter Blanket]],Table_NFI[[#This Row],[Winter Blanket]])</f>
        <v>0</v>
      </c>
      <c r="AM720" s="378">
        <f>IF(Table_NFI[[#This Row],[Winter Clothes Adult]]+Table_NFI[[#This Row],[Winter Clothes Children]]+Table_NFI[[#This Row],[Winter Items Other]]+Table_NFI[[#This Row],[Winter Blanket]]&gt;0,1,0)</f>
        <v>1</v>
      </c>
      <c r="AN720" s="418">
        <f>IF(NFI_Expiration=1,IF($A720&lt;VLOOKUP(V$5,NFI,5,0),1,0)*Table_NFI[[#This Row],[Jerry Can]],Table_NFI[Jerry Can])</f>
        <v>0</v>
      </c>
      <c r="AO720" s="579" t="str">
        <f>IFERROR(VLOOKUP(Table_NFI[[#This Row],[Camp Name]],CL,2,0),"")</f>
        <v>MMR001CMP026</v>
      </c>
      <c r="AP720" s="574">
        <f ca="1">IF(Table_NFI[[#This Row],[Pcode]]="","",IF(OFFSET(CampList[Opening Date],MATCH(Table_NFI[[#This Row],[Pcode]],CampList[CP_Pcode],0)-1,0,1,1)&gt;=NFI_Monitor_Date,1,0))</f>
        <v>0</v>
      </c>
      <c r="AQ720" s="579" t="str">
        <f>IFERROR(VLOOKUP(Table_NFI[[#This Row],[Camp Name]],CL,3,0),"")</f>
        <v>Open</v>
      </c>
      <c r="AR720" s="378" t="str">
        <f ca="1">IF(Table_NFI[[#This Row],[Pcode]]="","",OFFSET(CampList[Priority],MATCH(Table_NFI[[#This Row],[Pcode]],CampList[CP_Pcode],0)-1,0,1,1))</f>
        <v>P4</v>
      </c>
      <c r="AS720" s="377">
        <f>IFERROR(Table_NFI[[#This Row],[Kitchen Set]]/VLOOKUP(Table_NFI[[#This Row],[Camp Name]],CL,4,0),"")</f>
        <v>0</v>
      </c>
      <c r="AT720" s="572"/>
      <c r="AU720" s="575"/>
    </row>
    <row r="721" spans="1:47" x14ac:dyDescent="0.25">
      <c r="A721" s="381">
        <f t="shared" si="11"/>
        <v>30.466666666666665</v>
      </c>
      <c r="B721" s="571">
        <v>41608</v>
      </c>
      <c r="C721" s="572" t="s">
        <v>908</v>
      </c>
      <c r="D721" s="572" t="s">
        <v>462</v>
      </c>
      <c r="E721" s="572" t="s">
        <v>380</v>
      </c>
      <c r="F721" s="374" t="s">
        <v>310</v>
      </c>
      <c r="G721" s="374" t="s">
        <v>351</v>
      </c>
      <c r="H721" s="375"/>
      <c r="I721" s="375"/>
      <c r="J721" s="375"/>
      <c r="K721" s="375"/>
      <c r="L721" s="376"/>
      <c r="M721" s="376"/>
      <c r="N721" s="376"/>
      <c r="O721" s="376"/>
      <c r="P721" s="378"/>
      <c r="Q721" s="378"/>
      <c r="R721" s="378"/>
      <c r="S721" s="378"/>
      <c r="T721" s="378"/>
      <c r="U721" s="378"/>
      <c r="V721" s="533"/>
      <c r="W721" s="378"/>
      <c r="X721" s="378"/>
      <c r="Y721" s="378">
        <f>IF(NFI_Expiration=1,IF($A721&lt;VLOOKUP(H$5,NFI,5,0),1,0)*Table_NFI[[#This Row],[Hygiene Kit]],Table_NFI[Hygiene Kit])</f>
        <v>0</v>
      </c>
      <c r="Z721" s="378">
        <f>IF(NFI_Expiration=1,IF($A721&lt;VLOOKUP(I$5,NFI,5,0),1,0)*Table_NFI[[#This Row],[NFI Core Kit]],Table_NFI[NFI Core Kit])</f>
        <v>0</v>
      </c>
      <c r="AA721" s="378">
        <f>IF(NFI_Expiration=1,IF($A721&lt;VLOOKUP(J$5,NFI,5,0),1,0)*Table_NFI[[#This Row],[Sanitary Kit]],Table_NFI[Sanitary Kit])</f>
        <v>0</v>
      </c>
      <c r="AB721" s="378">
        <f>IF(NFI_Expiration=1,IF($A721&lt;VLOOKUP(K$5,NFI,5,0),1,0)*Table_NFI[[#This Row],[Mosquito net]],Table_NFI[Mosquito net])</f>
        <v>0</v>
      </c>
      <c r="AC721" s="378">
        <f>IF(NFI_Expiration=1,IF($A721&lt;VLOOKUP(L$5,NFI,5,0),1,0)*Table_NFI[[#This Row],[Tarpaulin]],Table_NFI[[#This Row],[Tarpaulin]])</f>
        <v>0</v>
      </c>
      <c r="AD721" s="378">
        <f>IF(NFI_Expiration=1,IF($A721&lt;VLOOKUP(M$5,NFI,5,0),1,0)*Table_NFI[[#This Row],[Blanket]],Table_NFI[[#This Row],[Blanket]])</f>
        <v>0</v>
      </c>
      <c r="AE721" s="378">
        <f>IF(NFI_Expiration=1,IF($A721&lt;VLOOKUP(N$5,NFI,5,0),1,0)*Table_NFI[[#This Row],[Kitchen Set]],Table_NFI[Kitchen Set])</f>
        <v>0</v>
      </c>
      <c r="AF721" s="378">
        <f>IF(NFI_Expiration=1,IF($A721&lt;VLOOKUP(O$5,NFI,5,0),1,0)*Table_NFI[[#This Row],[Clothes Kit]],Table_NFI[Clothes Kit])</f>
        <v>0</v>
      </c>
      <c r="AG721" s="378">
        <f>IF(NFI_Expiration=1,IF($A721&lt;VLOOKUP(P$5,NFI,5,0),1,0)*Table_NFI[[#This Row],[Plastic Bucket]],Table_NFI[Plastic Bucket])</f>
        <v>0</v>
      </c>
      <c r="AH721" s="378">
        <f>IF(NFI_Expiration=1,IF($A721&lt;VLOOKUP(Q$5,NFI,5,0),1,0)*Table_NFI[[#This Row],[Plastic Mat]],Table_NFI[Plastic Mat])*IF(Table_NFI[[#This Row],[Distribution Date]]&gt;"2014-04-01",1,2.5)</f>
        <v>0</v>
      </c>
      <c r="AI721" s="378">
        <f>IF(NFI_Expiration=1,IF($A721&lt;VLOOKUP(R$5,NFI,5,0),1,0)*Table_NFI[[#This Row],[Winter Clothes Adult]],Table_NFI[Winter Clothes Adult])</f>
        <v>0</v>
      </c>
      <c r="AJ721" s="378">
        <f>IF(NFI_Expiration=1,IF($A721&lt;VLOOKUP(S$5,NFI,5,0),1,0)*Table_NFI[[#This Row],[Winter Clothes Children]],Table_NFI[Winter Clothes Children])</f>
        <v>0</v>
      </c>
      <c r="AK721" s="378">
        <f>IF(NFI_Expiration=1,IF($A721&lt;VLOOKUP(T$5,NFI,5,0),1,0)*Table_NFI[[#This Row],[Winter Items Other]],Table_NFI[Winter Items Other])</f>
        <v>0</v>
      </c>
      <c r="AL721" s="378">
        <f>IF(NFI_Expiration=1,IF($A721&lt;VLOOKUP(M$5,NFI,5,0),1,0)*Table_NFI[[#This Row],[Winter Blanket]],Table_NFI[[#This Row],[Winter Blanket]])</f>
        <v>0</v>
      </c>
      <c r="AM721" s="378">
        <f>IF(Table_NFI[[#This Row],[Winter Clothes Adult]]+Table_NFI[[#This Row],[Winter Clothes Children]]+Table_NFI[[#This Row],[Winter Items Other]]+Table_NFI[[#This Row],[Winter Blanket]]&gt;0,1,0)</f>
        <v>0</v>
      </c>
      <c r="AN721" s="418">
        <f>IF(NFI_Expiration=1,IF($A721&lt;VLOOKUP(V$5,NFI,5,0),1,0)*Table_NFI[[#This Row],[Jerry Can]],Table_NFI[Jerry Can])</f>
        <v>0</v>
      </c>
      <c r="AO721" s="579" t="str">
        <f>IFERROR(VLOOKUP(Table_NFI[[#This Row],[Camp Name]],CL,2,0),"")</f>
        <v>MMR001CMP026</v>
      </c>
      <c r="AP721" s="574">
        <f ca="1">IF(Table_NFI[[#This Row],[Pcode]]="","",IF(OFFSET(CampList[Opening Date],MATCH(Table_NFI[[#This Row],[Pcode]],CampList[CP_Pcode],0)-1,0,1,1)&gt;=NFI_Monitor_Date,1,0))</f>
        <v>0</v>
      </c>
      <c r="AQ721" s="579" t="str">
        <f>IFERROR(VLOOKUP(Table_NFI[[#This Row],[Camp Name]],CL,3,0),"")</f>
        <v>Open</v>
      </c>
      <c r="AR721" s="378" t="str">
        <f ca="1">IF(Table_NFI[[#This Row],[Pcode]]="","",OFFSET(CampList[Priority],MATCH(Table_NFI[[#This Row],[Pcode]],CampList[CP_Pcode],0)-1,0,1,1))</f>
        <v>P4</v>
      </c>
      <c r="AS721" s="377">
        <f>IFERROR(Table_NFI[[#This Row],[Kitchen Set]]/VLOOKUP(Table_NFI[[#This Row],[Camp Name]],CL,4,0),"")</f>
        <v>0</v>
      </c>
      <c r="AT721" s="572" t="s">
        <v>1095</v>
      </c>
      <c r="AU721" s="575"/>
    </row>
    <row r="722" spans="1:47" x14ac:dyDescent="0.25">
      <c r="A722" s="381">
        <f t="shared" si="11"/>
        <v>34.766666666666666</v>
      </c>
      <c r="B722" s="571">
        <v>41479</v>
      </c>
      <c r="C722" s="572" t="s">
        <v>454</v>
      </c>
      <c r="D722" s="572" t="s">
        <v>507</v>
      </c>
      <c r="E722" s="572" t="s">
        <v>380</v>
      </c>
      <c r="F722" s="572" t="s">
        <v>310</v>
      </c>
      <c r="G722" s="374" t="s">
        <v>351</v>
      </c>
      <c r="H722" s="375"/>
      <c r="I722" s="375"/>
      <c r="J722" s="375">
        <v>41</v>
      </c>
      <c r="K722" s="375">
        <v>73</v>
      </c>
      <c r="L722" s="376">
        <v>31</v>
      </c>
      <c r="M722" s="376">
        <v>73</v>
      </c>
      <c r="N722" s="376">
        <v>31</v>
      </c>
      <c r="O722" s="376">
        <v>31</v>
      </c>
      <c r="P722" s="378">
        <v>31</v>
      </c>
      <c r="Q722" s="378">
        <v>31</v>
      </c>
      <c r="R722" s="378"/>
      <c r="S722" s="378"/>
      <c r="T722" s="378"/>
      <c r="U722" s="378"/>
      <c r="V722" s="533"/>
      <c r="W722" s="378"/>
      <c r="X722" s="378"/>
      <c r="Y722" s="378">
        <f>IF(NFI_Expiration=1,IF($A722&lt;VLOOKUP(H$5,NFI,5,0),1,0)*Table_NFI[[#This Row],[Hygiene Kit]],Table_NFI[Hygiene Kit])</f>
        <v>0</v>
      </c>
      <c r="Z722" s="378">
        <f>IF(NFI_Expiration=1,IF($A722&lt;VLOOKUP(I$5,NFI,5,0),1,0)*Table_NFI[[#This Row],[NFI Core Kit]],Table_NFI[NFI Core Kit])</f>
        <v>0</v>
      </c>
      <c r="AA722" s="378">
        <f>IF(NFI_Expiration=1,IF($A722&lt;VLOOKUP(J$5,NFI,5,0),1,0)*Table_NFI[[#This Row],[Sanitary Kit]],Table_NFI[Sanitary Kit])</f>
        <v>0</v>
      </c>
      <c r="AB722" s="378">
        <f>IF(NFI_Expiration=1,IF($A722&lt;VLOOKUP(K$5,NFI,5,0),1,0)*Table_NFI[[#This Row],[Mosquito net]],Table_NFI[Mosquito net])</f>
        <v>0</v>
      </c>
      <c r="AC722" s="378">
        <f>IF(NFI_Expiration=1,IF($A722&lt;VLOOKUP(L$5,NFI,5,0),1,0)*Table_NFI[[#This Row],[Tarpaulin]],Table_NFI[[#This Row],[Tarpaulin]])</f>
        <v>0</v>
      </c>
      <c r="AD722" s="378">
        <f>IF(NFI_Expiration=1,IF($A722&lt;VLOOKUP(M$5,NFI,5,0),1,0)*Table_NFI[[#This Row],[Blanket]],Table_NFI[[#This Row],[Blanket]])</f>
        <v>0</v>
      </c>
      <c r="AE722" s="378">
        <f>IF(NFI_Expiration=1,IF($A722&lt;VLOOKUP(N$5,NFI,5,0),1,0)*Table_NFI[[#This Row],[Kitchen Set]],Table_NFI[Kitchen Set])</f>
        <v>0</v>
      </c>
      <c r="AF722" s="378">
        <f>IF(NFI_Expiration=1,IF($A722&lt;VLOOKUP(O$5,NFI,5,0),1,0)*Table_NFI[[#This Row],[Clothes Kit]],Table_NFI[Clothes Kit])</f>
        <v>0</v>
      </c>
      <c r="AG722" s="378">
        <f>IF(NFI_Expiration=1,IF($A722&lt;VLOOKUP(P$5,NFI,5,0),1,0)*Table_NFI[[#This Row],[Plastic Bucket]],Table_NFI[Plastic Bucket])</f>
        <v>0</v>
      </c>
      <c r="AH722" s="378">
        <f>IF(NFI_Expiration=1,IF($A722&lt;VLOOKUP(Q$5,NFI,5,0),1,0)*Table_NFI[[#This Row],[Plastic Mat]],Table_NFI[Plastic Mat])*IF(Table_NFI[[#This Row],[Distribution Date]]&gt;"2014-04-01",1,2.5)</f>
        <v>0</v>
      </c>
      <c r="AI722" s="378">
        <f>IF(NFI_Expiration=1,IF($A722&lt;VLOOKUP(R$5,NFI,5,0),1,0)*Table_NFI[[#This Row],[Winter Clothes Adult]],Table_NFI[Winter Clothes Adult])</f>
        <v>0</v>
      </c>
      <c r="AJ722" s="378">
        <f>IF(NFI_Expiration=1,IF($A722&lt;VLOOKUP(S$5,NFI,5,0),1,0)*Table_NFI[[#This Row],[Winter Clothes Children]],Table_NFI[Winter Clothes Children])</f>
        <v>0</v>
      </c>
      <c r="AK722" s="378">
        <f>IF(NFI_Expiration=1,IF($A722&lt;VLOOKUP(T$5,NFI,5,0),1,0)*Table_NFI[[#This Row],[Winter Items Other]],Table_NFI[Winter Items Other])</f>
        <v>0</v>
      </c>
      <c r="AL722" s="378">
        <f>IF(NFI_Expiration=1,IF($A722&lt;VLOOKUP(M$5,NFI,5,0),1,0)*Table_NFI[[#This Row],[Winter Blanket]],Table_NFI[[#This Row],[Winter Blanket]])</f>
        <v>0</v>
      </c>
      <c r="AM722" s="378">
        <f>IF(Table_NFI[[#This Row],[Winter Clothes Adult]]+Table_NFI[[#This Row],[Winter Clothes Children]]+Table_NFI[[#This Row],[Winter Items Other]]+Table_NFI[[#This Row],[Winter Blanket]]&gt;0,1,0)</f>
        <v>0</v>
      </c>
      <c r="AN722" s="418">
        <f>IF(NFI_Expiration=1,IF($A722&lt;VLOOKUP(V$5,NFI,5,0),1,0)*Table_NFI[[#This Row],[Jerry Can]],Table_NFI[Jerry Can])</f>
        <v>0</v>
      </c>
      <c r="AO722" s="579" t="str">
        <f>IFERROR(VLOOKUP(Table_NFI[[#This Row],[Camp Name]],CL,2,0),"")</f>
        <v>MMR001CMP026</v>
      </c>
      <c r="AP722" s="574">
        <f ca="1">IF(Table_NFI[[#This Row],[Pcode]]="","",IF(OFFSET(CampList[Opening Date],MATCH(Table_NFI[[#This Row],[Pcode]],CampList[CP_Pcode],0)-1,0,1,1)&gt;=NFI_Monitor_Date,1,0))</f>
        <v>0</v>
      </c>
      <c r="AQ722" s="579" t="str">
        <f>IFERROR(VLOOKUP(Table_NFI[[#This Row],[Camp Name]],CL,3,0),"")</f>
        <v>Open</v>
      </c>
      <c r="AR722" s="378" t="str">
        <f ca="1">IF(Table_NFI[[#This Row],[Pcode]]="","",OFFSET(CampList[Priority],MATCH(Table_NFI[[#This Row],[Pcode]],CampList[CP_Pcode],0)-1,0,1,1))</f>
        <v>P4</v>
      </c>
      <c r="AS722" s="377">
        <f>IFERROR(Table_NFI[[#This Row],[Kitchen Set]]/VLOOKUP(Table_NFI[[#This Row],[Camp Name]],CL,4,0),"")</f>
        <v>0.35227272727272729</v>
      </c>
      <c r="AT722" s="572" t="s">
        <v>1095</v>
      </c>
      <c r="AU722" s="575"/>
    </row>
    <row r="723" spans="1:47" x14ac:dyDescent="0.25">
      <c r="A723" s="381">
        <f t="shared" si="11"/>
        <v>40.4</v>
      </c>
      <c r="B723" s="571">
        <v>41310</v>
      </c>
      <c r="C723" s="572" t="s">
        <v>903</v>
      </c>
      <c r="D723" s="572" t="s">
        <v>903</v>
      </c>
      <c r="E723" s="572" t="s">
        <v>380</v>
      </c>
      <c r="F723" s="374" t="s">
        <v>310</v>
      </c>
      <c r="G723" s="374" t="s">
        <v>351</v>
      </c>
      <c r="H723" s="375">
        <v>20</v>
      </c>
      <c r="I723" s="375"/>
      <c r="J723" s="375"/>
      <c r="K723" s="375"/>
      <c r="L723" s="376"/>
      <c r="M723" s="376"/>
      <c r="N723" s="376"/>
      <c r="O723" s="376"/>
      <c r="P723" s="378">
        <v>0</v>
      </c>
      <c r="Q723" s="378">
        <v>0</v>
      </c>
      <c r="R723" s="378"/>
      <c r="S723" s="378"/>
      <c r="T723" s="378"/>
      <c r="U723" s="378"/>
      <c r="V723" s="533"/>
      <c r="W723" s="378"/>
      <c r="X723" s="378"/>
      <c r="Y723" s="378">
        <f>IF(NFI_Expiration=1,IF($A723&lt;VLOOKUP(H$5,NFI,5,0),1,0)*Table_NFI[[#This Row],[Hygiene Kit]],Table_NFI[Hygiene Kit])</f>
        <v>0</v>
      </c>
      <c r="Z723" s="378">
        <f>IF(NFI_Expiration=1,IF($A723&lt;VLOOKUP(I$5,NFI,5,0),1,0)*Table_NFI[[#This Row],[NFI Core Kit]],Table_NFI[NFI Core Kit])</f>
        <v>0</v>
      </c>
      <c r="AA723" s="378">
        <f>IF(NFI_Expiration=1,IF($A723&lt;VLOOKUP(J$5,NFI,5,0),1,0)*Table_NFI[[#This Row],[Sanitary Kit]],Table_NFI[Sanitary Kit])</f>
        <v>0</v>
      </c>
      <c r="AB723" s="378">
        <f>IF(NFI_Expiration=1,IF($A723&lt;VLOOKUP(K$5,NFI,5,0),1,0)*Table_NFI[[#This Row],[Mosquito net]],Table_NFI[Mosquito net])</f>
        <v>0</v>
      </c>
      <c r="AC723" s="378">
        <f>IF(NFI_Expiration=1,IF($A723&lt;VLOOKUP(L$5,NFI,5,0),1,0)*Table_NFI[[#This Row],[Tarpaulin]],Table_NFI[[#This Row],[Tarpaulin]])</f>
        <v>0</v>
      </c>
      <c r="AD723" s="378">
        <f>IF(NFI_Expiration=1,IF($A723&lt;VLOOKUP(M$5,NFI,5,0),1,0)*Table_NFI[[#This Row],[Blanket]],Table_NFI[[#This Row],[Blanket]])</f>
        <v>0</v>
      </c>
      <c r="AE723" s="378">
        <f>IF(NFI_Expiration=1,IF($A723&lt;VLOOKUP(N$5,NFI,5,0),1,0)*Table_NFI[[#This Row],[Kitchen Set]],Table_NFI[Kitchen Set])</f>
        <v>0</v>
      </c>
      <c r="AF723" s="378">
        <f>IF(NFI_Expiration=1,IF($A723&lt;VLOOKUP(O$5,NFI,5,0),1,0)*Table_NFI[[#This Row],[Clothes Kit]],Table_NFI[Clothes Kit])</f>
        <v>0</v>
      </c>
      <c r="AG723" s="378">
        <f>IF(NFI_Expiration=1,IF($A723&lt;VLOOKUP(P$5,NFI,5,0),1,0)*Table_NFI[[#This Row],[Plastic Bucket]],Table_NFI[Plastic Bucket])</f>
        <v>0</v>
      </c>
      <c r="AH723" s="378">
        <f>IF(NFI_Expiration=1,IF($A723&lt;VLOOKUP(Q$5,NFI,5,0),1,0)*Table_NFI[[#This Row],[Plastic Mat]],Table_NFI[Plastic Mat])*IF(Table_NFI[[#This Row],[Distribution Date]]&gt;"2014-04-01",1,2.5)</f>
        <v>0</v>
      </c>
      <c r="AI723" s="378">
        <f>IF(NFI_Expiration=1,IF($A723&lt;VLOOKUP(R$5,NFI,5,0),1,0)*Table_NFI[[#This Row],[Winter Clothes Adult]],Table_NFI[Winter Clothes Adult])</f>
        <v>0</v>
      </c>
      <c r="AJ723" s="378">
        <f>IF(NFI_Expiration=1,IF($A723&lt;VLOOKUP(S$5,NFI,5,0),1,0)*Table_NFI[[#This Row],[Winter Clothes Children]],Table_NFI[Winter Clothes Children])</f>
        <v>0</v>
      </c>
      <c r="AK723" s="378">
        <f>IF(NFI_Expiration=1,IF($A723&lt;VLOOKUP(T$5,NFI,5,0),1,0)*Table_NFI[[#This Row],[Winter Items Other]],Table_NFI[Winter Items Other])</f>
        <v>0</v>
      </c>
      <c r="AL723" s="378">
        <f>IF(NFI_Expiration=1,IF($A723&lt;VLOOKUP(M$5,NFI,5,0),1,0)*Table_NFI[[#This Row],[Winter Blanket]],Table_NFI[[#This Row],[Winter Blanket]])</f>
        <v>0</v>
      </c>
      <c r="AM723" s="378">
        <f>IF(Table_NFI[[#This Row],[Winter Clothes Adult]]+Table_NFI[[#This Row],[Winter Clothes Children]]+Table_NFI[[#This Row],[Winter Items Other]]+Table_NFI[[#This Row],[Winter Blanket]]&gt;0,1,0)</f>
        <v>0</v>
      </c>
      <c r="AN723" s="418">
        <f>IF(NFI_Expiration=1,IF($A723&lt;VLOOKUP(V$5,NFI,5,0),1,0)*Table_NFI[[#This Row],[Jerry Can]],Table_NFI[Jerry Can])</f>
        <v>0</v>
      </c>
      <c r="AO723" s="579" t="str">
        <f>IFERROR(VLOOKUP(Table_NFI[[#This Row],[Camp Name]],CL,2,0),"")</f>
        <v>MMR001CMP026</v>
      </c>
      <c r="AP723" s="574">
        <f ca="1">IF(Table_NFI[[#This Row],[Pcode]]="","",IF(OFFSET(CampList[Opening Date],MATCH(Table_NFI[[#This Row],[Pcode]],CampList[CP_Pcode],0)-1,0,1,1)&gt;=NFI_Monitor_Date,1,0))</f>
        <v>0</v>
      </c>
      <c r="AQ723" s="579" t="str">
        <f>IFERROR(VLOOKUP(Table_NFI[[#This Row],[Camp Name]],CL,3,0),"")</f>
        <v>Open</v>
      </c>
      <c r="AR723" s="378" t="str">
        <f ca="1">IF(Table_NFI[[#This Row],[Pcode]]="","",OFFSET(CampList[Priority],MATCH(Table_NFI[[#This Row],[Pcode]],CampList[CP_Pcode],0)-1,0,1,1))</f>
        <v>P4</v>
      </c>
      <c r="AS723" s="377">
        <f>IFERROR(Table_NFI[[#This Row],[Kitchen Set]]/VLOOKUP(Table_NFI[[#This Row],[Camp Name]],CL,4,0),"")</f>
        <v>0</v>
      </c>
      <c r="AT723" s="572" t="s">
        <v>1095</v>
      </c>
      <c r="AU723" s="575"/>
    </row>
    <row r="724" spans="1:47" x14ac:dyDescent="0.25">
      <c r="A724" s="381">
        <f t="shared" si="11"/>
        <v>40.56666666666667</v>
      </c>
      <c r="B724" s="571">
        <v>41305</v>
      </c>
      <c r="C724" s="572" t="s">
        <v>571</v>
      </c>
      <c r="D724" s="573" t="s">
        <v>571</v>
      </c>
      <c r="E724" s="572" t="s">
        <v>380</v>
      </c>
      <c r="F724" s="374" t="s">
        <v>310</v>
      </c>
      <c r="G724" s="374" t="s">
        <v>351</v>
      </c>
      <c r="H724" s="375"/>
      <c r="I724" s="375"/>
      <c r="J724" s="375"/>
      <c r="K724" s="375"/>
      <c r="L724" s="376"/>
      <c r="M724" s="376">
        <v>188</v>
      </c>
      <c r="N724" s="376"/>
      <c r="O724" s="376"/>
      <c r="P724" s="378">
        <v>0</v>
      </c>
      <c r="Q724" s="378">
        <v>0</v>
      </c>
      <c r="R724" s="378"/>
      <c r="S724" s="378"/>
      <c r="T724" s="378"/>
      <c r="U724" s="378"/>
      <c r="V724" s="533"/>
      <c r="W724" s="378"/>
      <c r="X724" s="378"/>
      <c r="Y724" s="378">
        <f>IF(NFI_Expiration=1,IF($A724&lt;VLOOKUP(H$5,NFI,5,0),1,0)*Table_NFI[[#This Row],[Hygiene Kit]],Table_NFI[Hygiene Kit])</f>
        <v>0</v>
      </c>
      <c r="Z724" s="378">
        <f>IF(NFI_Expiration=1,IF($A724&lt;VLOOKUP(I$5,NFI,5,0),1,0)*Table_NFI[[#This Row],[NFI Core Kit]],Table_NFI[NFI Core Kit])</f>
        <v>0</v>
      </c>
      <c r="AA724" s="378">
        <f>IF(NFI_Expiration=1,IF($A724&lt;VLOOKUP(J$5,NFI,5,0),1,0)*Table_NFI[[#This Row],[Sanitary Kit]],Table_NFI[Sanitary Kit])</f>
        <v>0</v>
      </c>
      <c r="AB724" s="378">
        <f>IF(NFI_Expiration=1,IF($A724&lt;VLOOKUP(K$5,NFI,5,0),1,0)*Table_NFI[[#This Row],[Mosquito net]],Table_NFI[Mosquito net])</f>
        <v>0</v>
      </c>
      <c r="AC724" s="378">
        <f>IF(NFI_Expiration=1,IF($A724&lt;VLOOKUP(L$5,NFI,5,0),1,0)*Table_NFI[[#This Row],[Tarpaulin]],Table_NFI[[#This Row],[Tarpaulin]])</f>
        <v>0</v>
      </c>
      <c r="AD724" s="378">
        <f>IF(NFI_Expiration=1,IF($A724&lt;VLOOKUP(M$5,NFI,5,0),1,0)*Table_NFI[[#This Row],[Blanket]],Table_NFI[[#This Row],[Blanket]])</f>
        <v>0</v>
      </c>
      <c r="AE724" s="378">
        <f>IF(NFI_Expiration=1,IF($A724&lt;VLOOKUP(N$5,NFI,5,0),1,0)*Table_NFI[[#This Row],[Kitchen Set]],Table_NFI[Kitchen Set])</f>
        <v>0</v>
      </c>
      <c r="AF724" s="378">
        <f>IF(NFI_Expiration=1,IF($A724&lt;VLOOKUP(O$5,NFI,5,0),1,0)*Table_NFI[[#This Row],[Clothes Kit]],Table_NFI[Clothes Kit])</f>
        <v>0</v>
      </c>
      <c r="AG724" s="378">
        <f>IF(NFI_Expiration=1,IF($A724&lt;VLOOKUP(P$5,NFI,5,0),1,0)*Table_NFI[[#This Row],[Plastic Bucket]],Table_NFI[Plastic Bucket])</f>
        <v>0</v>
      </c>
      <c r="AH724" s="378">
        <f>IF(NFI_Expiration=1,IF($A724&lt;VLOOKUP(Q$5,NFI,5,0),1,0)*Table_NFI[[#This Row],[Plastic Mat]],Table_NFI[Plastic Mat])*IF(Table_NFI[[#This Row],[Distribution Date]]&gt;"2014-04-01",1,2.5)</f>
        <v>0</v>
      </c>
      <c r="AI724" s="378">
        <f>IF(NFI_Expiration=1,IF($A724&lt;VLOOKUP(R$5,NFI,5,0),1,0)*Table_NFI[[#This Row],[Winter Clothes Adult]],Table_NFI[Winter Clothes Adult])</f>
        <v>0</v>
      </c>
      <c r="AJ724" s="378">
        <f>IF(NFI_Expiration=1,IF($A724&lt;VLOOKUP(S$5,NFI,5,0),1,0)*Table_NFI[[#This Row],[Winter Clothes Children]],Table_NFI[Winter Clothes Children])</f>
        <v>0</v>
      </c>
      <c r="AK724" s="378">
        <f>IF(NFI_Expiration=1,IF($A724&lt;VLOOKUP(T$5,NFI,5,0),1,0)*Table_NFI[[#This Row],[Winter Items Other]],Table_NFI[Winter Items Other])</f>
        <v>0</v>
      </c>
      <c r="AL724" s="378">
        <f>IF(NFI_Expiration=1,IF($A724&lt;VLOOKUP(M$5,NFI,5,0),1,0)*Table_NFI[[#This Row],[Winter Blanket]],Table_NFI[[#This Row],[Winter Blanket]])</f>
        <v>0</v>
      </c>
      <c r="AM724" s="378">
        <f>IF(Table_NFI[[#This Row],[Winter Clothes Adult]]+Table_NFI[[#This Row],[Winter Clothes Children]]+Table_NFI[[#This Row],[Winter Items Other]]+Table_NFI[[#This Row],[Winter Blanket]]&gt;0,1,0)</f>
        <v>0</v>
      </c>
      <c r="AN724" s="418">
        <f>IF(NFI_Expiration=1,IF($A724&lt;VLOOKUP(V$5,NFI,5,0),1,0)*Table_NFI[[#This Row],[Jerry Can]],Table_NFI[Jerry Can])</f>
        <v>0</v>
      </c>
      <c r="AO724" s="579" t="str">
        <f>IFERROR(VLOOKUP(Table_NFI[[#This Row],[Camp Name]],CL,2,0),"")</f>
        <v>MMR001CMP026</v>
      </c>
      <c r="AP724" s="574">
        <f ca="1">IF(Table_NFI[[#This Row],[Pcode]]="","",IF(OFFSET(CampList[Opening Date],MATCH(Table_NFI[[#This Row],[Pcode]],CampList[CP_Pcode],0)-1,0,1,1)&gt;=NFI_Monitor_Date,1,0))</f>
        <v>0</v>
      </c>
      <c r="AQ724" s="579" t="str">
        <f>IFERROR(VLOOKUP(Table_NFI[[#This Row],[Camp Name]],CL,3,0),"")</f>
        <v>Open</v>
      </c>
      <c r="AR724" s="378" t="str">
        <f ca="1">IF(Table_NFI[[#This Row],[Pcode]]="","",OFFSET(CampList[Priority],MATCH(Table_NFI[[#This Row],[Pcode]],CampList[CP_Pcode],0)-1,0,1,1))</f>
        <v>P4</v>
      </c>
      <c r="AS724" s="377">
        <f>IFERROR(Table_NFI[[#This Row],[Kitchen Set]]/VLOOKUP(Table_NFI[[#This Row],[Camp Name]],CL,4,0),"")</f>
        <v>0</v>
      </c>
      <c r="AT724" s="572" t="s">
        <v>1095</v>
      </c>
      <c r="AU724" s="575"/>
    </row>
    <row r="725" spans="1:47" x14ac:dyDescent="0.25">
      <c r="A725" s="381">
        <f t="shared" si="11"/>
        <v>41.6</v>
      </c>
      <c r="B725" s="571">
        <v>41274</v>
      </c>
      <c r="C725" s="572" t="s">
        <v>455</v>
      </c>
      <c r="D725" s="573" t="s">
        <v>455</v>
      </c>
      <c r="E725" s="572" t="s">
        <v>380</v>
      </c>
      <c r="F725" s="374" t="s">
        <v>310</v>
      </c>
      <c r="G725" s="374" t="s">
        <v>351</v>
      </c>
      <c r="H725" s="375">
        <v>96</v>
      </c>
      <c r="I725" s="375"/>
      <c r="J725" s="375"/>
      <c r="K725" s="375"/>
      <c r="L725" s="376"/>
      <c r="M725" s="376"/>
      <c r="N725" s="376"/>
      <c r="O725" s="376"/>
      <c r="P725" s="378">
        <v>0</v>
      </c>
      <c r="Q725" s="378">
        <v>0</v>
      </c>
      <c r="R725" s="378"/>
      <c r="S725" s="378"/>
      <c r="T725" s="378"/>
      <c r="U725" s="378"/>
      <c r="V725" s="533"/>
      <c r="W725" s="378"/>
      <c r="X725" s="378"/>
      <c r="Y725" s="378">
        <f>IF(NFI_Expiration=1,IF($A725&lt;VLOOKUP(H$5,NFI,5,0),1,0)*Table_NFI[[#This Row],[Hygiene Kit]],Table_NFI[Hygiene Kit])</f>
        <v>0</v>
      </c>
      <c r="Z725" s="378">
        <f>IF(NFI_Expiration=1,IF($A725&lt;VLOOKUP(I$5,NFI,5,0),1,0)*Table_NFI[[#This Row],[NFI Core Kit]],Table_NFI[NFI Core Kit])</f>
        <v>0</v>
      </c>
      <c r="AA725" s="378">
        <f>IF(NFI_Expiration=1,IF($A725&lt;VLOOKUP(J$5,NFI,5,0),1,0)*Table_NFI[[#This Row],[Sanitary Kit]],Table_NFI[Sanitary Kit])</f>
        <v>0</v>
      </c>
      <c r="AB725" s="378">
        <f>IF(NFI_Expiration=1,IF($A725&lt;VLOOKUP(K$5,NFI,5,0),1,0)*Table_NFI[[#This Row],[Mosquito net]],Table_NFI[Mosquito net])</f>
        <v>0</v>
      </c>
      <c r="AC725" s="378">
        <f>IF(NFI_Expiration=1,IF($A725&lt;VLOOKUP(L$5,NFI,5,0),1,0)*Table_NFI[[#This Row],[Tarpaulin]],Table_NFI[[#This Row],[Tarpaulin]])</f>
        <v>0</v>
      </c>
      <c r="AD725" s="378">
        <f>IF(NFI_Expiration=1,IF($A725&lt;VLOOKUP(M$5,NFI,5,0),1,0)*Table_NFI[[#This Row],[Blanket]],Table_NFI[[#This Row],[Blanket]])</f>
        <v>0</v>
      </c>
      <c r="AE725" s="378">
        <f>IF(NFI_Expiration=1,IF($A725&lt;VLOOKUP(N$5,NFI,5,0),1,0)*Table_NFI[[#This Row],[Kitchen Set]],Table_NFI[Kitchen Set])</f>
        <v>0</v>
      </c>
      <c r="AF725" s="378">
        <f>IF(NFI_Expiration=1,IF($A725&lt;VLOOKUP(O$5,NFI,5,0),1,0)*Table_NFI[[#This Row],[Clothes Kit]],Table_NFI[Clothes Kit])</f>
        <v>0</v>
      </c>
      <c r="AG725" s="378">
        <f>IF(NFI_Expiration=1,IF($A725&lt;VLOOKUP(P$5,NFI,5,0),1,0)*Table_NFI[[#This Row],[Plastic Bucket]],Table_NFI[Plastic Bucket])</f>
        <v>0</v>
      </c>
      <c r="AH725" s="378">
        <f>IF(NFI_Expiration=1,IF($A725&lt;VLOOKUP(Q$5,NFI,5,0),1,0)*Table_NFI[[#This Row],[Plastic Mat]],Table_NFI[Plastic Mat])*IF(Table_NFI[[#This Row],[Distribution Date]]&gt;"2014-04-01",1,2.5)</f>
        <v>0</v>
      </c>
      <c r="AI725" s="378">
        <f>IF(NFI_Expiration=1,IF($A725&lt;VLOOKUP(R$5,NFI,5,0),1,0)*Table_NFI[[#This Row],[Winter Clothes Adult]],Table_NFI[Winter Clothes Adult])</f>
        <v>0</v>
      </c>
      <c r="AJ725" s="378">
        <f>IF(NFI_Expiration=1,IF($A725&lt;VLOOKUP(S$5,NFI,5,0),1,0)*Table_NFI[[#This Row],[Winter Clothes Children]],Table_NFI[Winter Clothes Children])</f>
        <v>0</v>
      </c>
      <c r="AK725" s="378">
        <f>IF(NFI_Expiration=1,IF($A725&lt;VLOOKUP(T$5,NFI,5,0),1,0)*Table_NFI[[#This Row],[Winter Items Other]],Table_NFI[Winter Items Other])</f>
        <v>0</v>
      </c>
      <c r="AL725" s="378">
        <f>IF(NFI_Expiration=1,IF($A725&lt;VLOOKUP(M$5,NFI,5,0),1,0)*Table_NFI[[#This Row],[Winter Blanket]],Table_NFI[[#This Row],[Winter Blanket]])</f>
        <v>0</v>
      </c>
      <c r="AM725" s="378">
        <f>IF(Table_NFI[[#This Row],[Winter Clothes Adult]]+Table_NFI[[#This Row],[Winter Clothes Children]]+Table_NFI[[#This Row],[Winter Items Other]]+Table_NFI[[#This Row],[Winter Blanket]]&gt;0,1,0)</f>
        <v>0</v>
      </c>
      <c r="AN725" s="418">
        <f>IF(NFI_Expiration=1,IF($A725&lt;VLOOKUP(V$5,NFI,5,0),1,0)*Table_NFI[[#This Row],[Jerry Can]],Table_NFI[Jerry Can])</f>
        <v>0</v>
      </c>
      <c r="AO725" s="579" t="str">
        <f>IFERROR(VLOOKUP(Table_NFI[[#This Row],[Camp Name]],CL,2,0),"")</f>
        <v>MMR001CMP026</v>
      </c>
      <c r="AP725" s="574">
        <f ca="1">IF(Table_NFI[[#This Row],[Pcode]]="","",IF(OFFSET(CampList[Opening Date],MATCH(Table_NFI[[#This Row],[Pcode]],CampList[CP_Pcode],0)-1,0,1,1)&gt;=NFI_Monitor_Date,1,0))</f>
        <v>0</v>
      </c>
      <c r="AQ725" s="579" t="str">
        <f>IFERROR(VLOOKUP(Table_NFI[[#This Row],[Camp Name]],CL,3,0),"")</f>
        <v>Open</v>
      </c>
      <c r="AR725" s="378" t="str">
        <f ca="1">IF(Table_NFI[[#This Row],[Pcode]]="","",OFFSET(CampList[Priority],MATCH(Table_NFI[[#This Row],[Pcode]],CampList[CP_Pcode],0)-1,0,1,1))</f>
        <v>P4</v>
      </c>
      <c r="AS725" s="377">
        <f>IFERROR(Table_NFI[[#This Row],[Kitchen Set]]/VLOOKUP(Table_NFI[[#This Row],[Camp Name]],CL,4,0),"")</f>
        <v>0</v>
      </c>
      <c r="AT725" s="572" t="s">
        <v>1095</v>
      </c>
      <c r="AU725" s="575"/>
    </row>
    <row r="726" spans="1:47" x14ac:dyDescent="0.25">
      <c r="A726" s="381">
        <f t="shared" si="11"/>
        <v>47.3</v>
      </c>
      <c r="B726" s="571">
        <v>41103</v>
      </c>
      <c r="C726" s="572" t="s">
        <v>454</v>
      </c>
      <c r="D726" s="573" t="s">
        <v>454</v>
      </c>
      <c r="E726" s="572" t="s">
        <v>380</v>
      </c>
      <c r="F726" s="374" t="s">
        <v>310</v>
      </c>
      <c r="G726" s="374" t="s">
        <v>351</v>
      </c>
      <c r="H726" s="375"/>
      <c r="I726" s="375"/>
      <c r="J726" s="375"/>
      <c r="K726" s="375">
        <v>3</v>
      </c>
      <c r="L726" s="376">
        <v>3</v>
      </c>
      <c r="M726" s="376">
        <v>3</v>
      </c>
      <c r="N726" s="376">
        <v>3</v>
      </c>
      <c r="O726" s="376">
        <v>3</v>
      </c>
      <c r="P726" s="378">
        <v>3</v>
      </c>
      <c r="Q726" s="378">
        <v>3</v>
      </c>
      <c r="R726" s="378"/>
      <c r="S726" s="378"/>
      <c r="T726" s="378"/>
      <c r="U726" s="378"/>
      <c r="V726" s="533"/>
      <c r="W726" s="378"/>
      <c r="X726" s="378"/>
      <c r="Y726" s="378">
        <f>IF(NFI_Expiration=1,IF($A726&lt;VLOOKUP(H$5,NFI,5,0),1,0)*Table_NFI[[#This Row],[Hygiene Kit]],Table_NFI[Hygiene Kit])</f>
        <v>0</v>
      </c>
      <c r="Z726" s="378">
        <f>IF(NFI_Expiration=1,IF($A726&lt;VLOOKUP(I$5,NFI,5,0),1,0)*Table_NFI[[#This Row],[NFI Core Kit]],Table_NFI[NFI Core Kit])</f>
        <v>0</v>
      </c>
      <c r="AA726" s="378">
        <f>IF(NFI_Expiration=1,IF($A726&lt;VLOOKUP(J$5,NFI,5,0),1,0)*Table_NFI[[#This Row],[Sanitary Kit]],Table_NFI[Sanitary Kit])</f>
        <v>0</v>
      </c>
      <c r="AB726" s="378">
        <f>IF(NFI_Expiration=1,IF($A726&lt;VLOOKUP(K$5,NFI,5,0),1,0)*Table_NFI[[#This Row],[Mosquito net]],Table_NFI[Mosquito net])</f>
        <v>0</v>
      </c>
      <c r="AC726" s="378">
        <f>IF(NFI_Expiration=1,IF($A726&lt;VLOOKUP(L$5,NFI,5,0),1,0)*Table_NFI[[#This Row],[Tarpaulin]],Table_NFI[[#This Row],[Tarpaulin]])</f>
        <v>0</v>
      </c>
      <c r="AD726" s="378">
        <f>IF(NFI_Expiration=1,IF($A726&lt;VLOOKUP(M$5,NFI,5,0),1,0)*Table_NFI[[#This Row],[Blanket]],Table_NFI[[#This Row],[Blanket]])</f>
        <v>0</v>
      </c>
      <c r="AE726" s="378">
        <f>IF(NFI_Expiration=1,IF($A726&lt;VLOOKUP(N$5,NFI,5,0),1,0)*Table_NFI[[#This Row],[Kitchen Set]],Table_NFI[Kitchen Set])</f>
        <v>0</v>
      </c>
      <c r="AF726" s="378">
        <f>IF(NFI_Expiration=1,IF($A726&lt;VLOOKUP(O$5,NFI,5,0),1,0)*Table_NFI[[#This Row],[Clothes Kit]],Table_NFI[Clothes Kit])</f>
        <v>0</v>
      </c>
      <c r="AG726" s="378">
        <f>IF(NFI_Expiration=1,IF($A726&lt;VLOOKUP(P$5,NFI,5,0),1,0)*Table_NFI[[#This Row],[Plastic Bucket]],Table_NFI[Plastic Bucket])</f>
        <v>0</v>
      </c>
      <c r="AH726" s="378">
        <f>IF(NFI_Expiration=1,IF($A726&lt;VLOOKUP(Q$5,NFI,5,0),1,0)*Table_NFI[[#This Row],[Plastic Mat]],Table_NFI[Plastic Mat])*IF(Table_NFI[[#This Row],[Distribution Date]]&gt;"2014-04-01",1,2.5)</f>
        <v>0</v>
      </c>
      <c r="AI726" s="378">
        <f>IF(NFI_Expiration=1,IF($A726&lt;VLOOKUP(R$5,NFI,5,0),1,0)*Table_NFI[[#This Row],[Winter Clothes Adult]],Table_NFI[Winter Clothes Adult])</f>
        <v>0</v>
      </c>
      <c r="AJ726" s="378">
        <f>IF(NFI_Expiration=1,IF($A726&lt;VLOOKUP(S$5,NFI,5,0),1,0)*Table_NFI[[#This Row],[Winter Clothes Children]],Table_NFI[Winter Clothes Children])</f>
        <v>0</v>
      </c>
      <c r="AK726" s="378">
        <f>IF(NFI_Expiration=1,IF($A726&lt;VLOOKUP(T$5,NFI,5,0),1,0)*Table_NFI[[#This Row],[Winter Items Other]],Table_NFI[Winter Items Other])</f>
        <v>0</v>
      </c>
      <c r="AL726" s="378">
        <f>IF(NFI_Expiration=1,IF($A726&lt;VLOOKUP(M$5,NFI,5,0),1,0)*Table_NFI[[#This Row],[Winter Blanket]],Table_NFI[[#This Row],[Winter Blanket]])</f>
        <v>0</v>
      </c>
      <c r="AM726" s="378">
        <f>IF(Table_NFI[[#This Row],[Winter Clothes Adult]]+Table_NFI[[#This Row],[Winter Clothes Children]]+Table_NFI[[#This Row],[Winter Items Other]]+Table_NFI[[#This Row],[Winter Blanket]]&gt;0,1,0)</f>
        <v>0</v>
      </c>
      <c r="AN726" s="418">
        <f>IF(NFI_Expiration=1,IF($A726&lt;VLOOKUP(V$5,NFI,5,0),1,0)*Table_NFI[[#This Row],[Jerry Can]],Table_NFI[Jerry Can])</f>
        <v>0</v>
      </c>
      <c r="AO726" s="579" t="str">
        <f>IFERROR(VLOOKUP(Table_NFI[[#This Row],[Camp Name]],CL,2,0),"")</f>
        <v>MMR001CMP026</v>
      </c>
      <c r="AP726" s="574">
        <f ca="1">IF(Table_NFI[[#This Row],[Pcode]]="","",IF(OFFSET(CampList[Opening Date],MATCH(Table_NFI[[#This Row],[Pcode]],CampList[CP_Pcode],0)-1,0,1,1)&gt;=NFI_Monitor_Date,1,0))</f>
        <v>0</v>
      </c>
      <c r="AQ726" s="579" t="str">
        <f>IFERROR(VLOOKUP(Table_NFI[[#This Row],[Camp Name]],CL,3,0),"")</f>
        <v>Open</v>
      </c>
      <c r="AR726" s="378" t="str">
        <f ca="1">IF(Table_NFI[[#This Row],[Pcode]]="","",OFFSET(CampList[Priority],MATCH(Table_NFI[[#This Row],[Pcode]],CampList[CP_Pcode],0)-1,0,1,1))</f>
        <v>P4</v>
      </c>
      <c r="AS726" s="377">
        <f>IFERROR(Table_NFI[[#This Row],[Kitchen Set]]/VLOOKUP(Table_NFI[[#This Row],[Camp Name]],CL,4,0),"")</f>
        <v>3.4090909090909088E-2</v>
      </c>
      <c r="AT726" s="572" t="s">
        <v>1095</v>
      </c>
      <c r="AU726" s="575"/>
    </row>
    <row r="727" spans="1:47" x14ac:dyDescent="0.25">
      <c r="A727" s="381">
        <f t="shared" si="11"/>
        <v>49.666666666666664</v>
      </c>
      <c r="B727" s="571">
        <v>41032</v>
      </c>
      <c r="C727" s="572" t="s">
        <v>454</v>
      </c>
      <c r="D727" s="572" t="s">
        <v>454</v>
      </c>
      <c r="E727" s="572" t="s">
        <v>380</v>
      </c>
      <c r="F727" s="374" t="s">
        <v>310</v>
      </c>
      <c r="G727" s="374" t="s">
        <v>351</v>
      </c>
      <c r="H727" s="375"/>
      <c r="I727" s="375"/>
      <c r="J727" s="375"/>
      <c r="K727" s="375">
        <v>34</v>
      </c>
      <c r="L727" s="376">
        <v>0</v>
      </c>
      <c r="M727" s="376">
        <v>34</v>
      </c>
      <c r="N727" s="376">
        <v>0</v>
      </c>
      <c r="O727" s="376">
        <v>18</v>
      </c>
      <c r="P727" s="378">
        <v>18</v>
      </c>
      <c r="Q727" s="378">
        <v>18</v>
      </c>
      <c r="R727" s="378"/>
      <c r="S727" s="378"/>
      <c r="T727" s="378"/>
      <c r="U727" s="378"/>
      <c r="V727" s="533"/>
      <c r="W727" s="378"/>
      <c r="X727" s="378"/>
      <c r="Y727" s="378">
        <f>IF(NFI_Expiration=1,IF($A727&lt;VLOOKUP(H$5,NFI,5,0),1,0)*Table_NFI[[#This Row],[Hygiene Kit]],Table_NFI[Hygiene Kit])</f>
        <v>0</v>
      </c>
      <c r="Z727" s="378">
        <f>IF(NFI_Expiration=1,IF($A727&lt;VLOOKUP(I$5,NFI,5,0),1,0)*Table_NFI[[#This Row],[NFI Core Kit]],Table_NFI[NFI Core Kit])</f>
        <v>0</v>
      </c>
      <c r="AA727" s="378">
        <f>IF(NFI_Expiration=1,IF($A727&lt;VLOOKUP(J$5,NFI,5,0),1,0)*Table_NFI[[#This Row],[Sanitary Kit]],Table_NFI[Sanitary Kit])</f>
        <v>0</v>
      </c>
      <c r="AB727" s="378">
        <f>IF(NFI_Expiration=1,IF($A727&lt;VLOOKUP(K$5,NFI,5,0),1,0)*Table_NFI[[#This Row],[Mosquito net]],Table_NFI[Mosquito net])</f>
        <v>0</v>
      </c>
      <c r="AC727" s="378">
        <f>IF(NFI_Expiration=1,IF($A727&lt;VLOOKUP(L$5,NFI,5,0),1,0)*Table_NFI[[#This Row],[Tarpaulin]],Table_NFI[[#This Row],[Tarpaulin]])</f>
        <v>0</v>
      </c>
      <c r="AD727" s="378">
        <f>IF(NFI_Expiration=1,IF($A727&lt;VLOOKUP(M$5,NFI,5,0),1,0)*Table_NFI[[#This Row],[Blanket]],Table_NFI[[#This Row],[Blanket]])</f>
        <v>0</v>
      </c>
      <c r="AE727" s="378">
        <f>IF(NFI_Expiration=1,IF($A727&lt;VLOOKUP(N$5,NFI,5,0),1,0)*Table_NFI[[#This Row],[Kitchen Set]],Table_NFI[Kitchen Set])</f>
        <v>0</v>
      </c>
      <c r="AF727" s="378">
        <f>IF(NFI_Expiration=1,IF($A727&lt;VLOOKUP(O$5,NFI,5,0),1,0)*Table_NFI[[#This Row],[Clothes Kit]],Table_NFI[Clothes Kit])</f>
        <v>0</v>
      </c>
      <c r="AG727" s="378">
        <f>IF(NFI_Expiration=1,IF($A727&lt;VLOOKUP(P$5,NFI,5,0),1,0)*Table_NFI[[#This Row],[Plastic Bucket]],Table_NFI[Plastic Bucket])</f>
        <v>0</v>
      </c>
      <c r="AH727" s="378">
        <f>IF(NFI_Expiration=1,IF($A727&lt;VLOOKUP(Q$5,NFI,5,0),1,0)*Table_NFI[[#This Row],[Plastic Mat]],Table_NFI[Plastic Mat])*IF(Table_NFI[[#This Row],[Distribution Date]]&gt;"2014-04-01",1,2.5)</f>
        <v>0</v>
      </c>
      <c r="AI727" s="378">
        <f>IF(NFI_Expiration=1,IF($A727&lt;VLOOKUP(R$5,NFI,5,0),1,0)*Table_NFI[[#This Row],[Winter Clothes Adult]],Table_NFI[Winter Clothes Adult])</f>
        <v>0</v>
      </c>
      <c r="AJ727" s="378">
        <f>IF(NFI_Expiration=1,IF($A727&lt;VLOOKUP(S$5,NFI,5,0),1,0)*Table_NFI[[#This Row],[Winter Clothes Children]],Table_NFI[Winter Clothes Children])</f>
        <v>0</v>
      </c>
      <c r="AK727" s="378">
        <f>IF(NFI_Expiration=1,IF($A727&lt;VLOOKUP(T$5,NFI,5,0),1,0)*Table_NFI[[#This Row],[Winter Items Other]],Table_NFI[Winter Items Other])</f>
        <v>0</v>
      </c>
      <c r="AL727" s="378">
        <f>IF(NFI_Expiration=1,IF($A727&lt;VLOOKUP(M$5,NFI,5,0),1,0)*Table_NFI[[#This Row],[Winter Blanket]],Table_NFI[[#This Row],[Winter Blanket]])</f>
        <v>0</v>
      </c>
      <c r="AM727" s="378">
        <f>IF(Table_NFI[[#This Row],[Winter Clothes Adult]]+Table_NFI[[#This Row],[Winter Clothes Children]]+Table_NFI[[#This Row],[Winter Items Other]]+Table_NFI[[#This Row],[Winter Blanket]]&gt;0,1,0)</f>
        <v>0</v>
      </c>
      <c r="AN727" s="418">
        <f>IF(NFI_Expiration=1,IF($A727&lt;VLOOKUP(V$5,NFI,5,0),1,0)*Table_NFI[[#This Row],[Jerry Can]],Table_NFI[Jerry Can])</f>
        <v>0</v>
      </c>
      <c r="AO727" s="579" t="str">
        <f>IFERROR(VLOOKUP(Table_NFI[[#This Row],[Camp Name]],CL,2,0),"")</f>
        <v>MMR001CMP026</v>
      </c>
      <c r="AP727" s="574">
        <f ca="1">IF(Table_NFI[[#This Row],[Pcode]]="","",IF(OFFSET(CampList[Opening Date],MATCH(Table_NFI[[#This Row],[Pcode]],CampList[CP_Pcode],0)-1,0,1,1)&gt;=NFI_Monitor_Date,1,0))</f>
        <v>0</v>
      </c>
      <c r="AQ727" s="579" t="str">
        <f>IFERROR(VLOOKUP(Table_NFI[[#This Row],[Camp Name]],CL,3,0),"")</f>
        <v>Open</v>
      </c>
      <c r="AR727" s="378" t="str">
        <f ca="1">IF(Table_NFI[[#This Row],[Pcode]]="","",OFFSET(CampList[Priority],MATCH(Table_NFI[[#This Row],[Pcode]],CampList[CP_Pcode],0)-1,0,1,1))</f>
        <v>P4</v>
      </c>
      <c r="AS727" s="377">
        <f>IFERROR(Table_NFI[[#This Row],[Kitchen Set]]/VLOOKUP(Table_NFI[[#This Row],[Camp Name]],CL,4,0),"")</f>
        <v>0</v>
      </c>
      <c r="AT727" s="572" t="s">
        <v>1095</v>
      </c>
      <c r="AU727" s="575"/>
    </row>
    <row r="728" spans="1:47" x14ac:dyDescent="0.25">
      <c r="A728" s="381">
        <f t="shared" si="11"/>
        <v>49.733333333333334</v>
      </c>
      <c r="B728" s="571">
        <v>41030</v>
      </c>
      <c r="C728" s="572" t="s">
        <v>454</v>
      </c>
      <c r="D728" s="573" t="s">
        <v>454</v>
      </c>
      <c r="E728" s="572" t="s">
        <v>380</v>
      </c>
      <c r="F728" s="374" t="s">
        <v>310</v>
      </c>
      <c r="G728" s="374" t="s">
        <v>351</v>
      </c>
      <c r="H728" s="375"/>
      <c r="I728" s="375"/>
      <c r="J728" s="375"/>
      <c r="K728" s="375">
        <v>52</v>
      </c>
      <c r="L728" s="376">
        <v>0</v>
      </c>
      <c r="M728" s="376">
        <v>52</v>
      </c>
      <c r="N728" s="376">
        <v>0</v>
      </c>
      <c r="O728" s="376">
        <v>24</v>
      </c>
      <c r="P728" s="378">
        <v>24</v>
      </c>
      <c r="Q728" s="378">
        <v>24</v>
      </c>
      <c r="R728" s="378"/>
      <c r="S728" s="378"/>
      <c r="T728" s="378"/>
      <c r="U728" s="378"/>
      <c r="V728" s="533"/>
      <c r="W728" s="378"/>
      <c r="X728" s="378"/>
      <c r="Y728" s="378">
        <f>IF(NFI_Expiration=1,IF($A728&lt;VLOOKUP(H$5,NFI,5,0),1,0)*Table_NFI[[#This Row],[Hygiene Kit]],Table_NFI[Hygiene Kit])</f>
        <v>0</v>
      </c>
      <c r="Z728" s="378">
        <f>IF(NFI_Expiration=1,IF($A728&lt;VLOOKUP(I$5,NFI,5,0),1,0)*Table_NFI[[#This Row],[NFI Core Kit]],Table_NFI[NFI Core Kit])</f>
        <v>0</v>
      </c>
      <c r="AA728" s="378">
        <f>IF(NFI_Expiration=1,IF($A728&lt;VLOOKUP(J$5,NFI,5,0),1,0)*Table_NFI[[#This Row],[Sanitary Kit]],Table_NFI[Sanitary Kit])</f>
        <v>0</v>
      </c>
      <c r="AB728" s="378">
        <f>IF(NFI_Expiration=1,IF($A728&lt;VLOOKUP(K$5,NFI,5,0),1,0)*Table_NFI[[#This Row],[Mosquito net]],Table_NFI[Mosquito net])</f>
        <v>0</v>
      </c>
      <c r="AC728" s="378">
        <f>IF(NFI_Expiration=1,IF($A728&lt;VLOOKUP(L$5,NFI,5,0),1,0)*Table_NFI[[#This Row],[Tarpaulin]],Table_NFI[[#This Row],[Tarpaulin]])</f>
        <v>0</v>
      </c>
      <c r="AD728" s="378">
        <f>IF(NFI_Expiration=1,IF($A728&lt;VLOOKUP(M$5,NFI,5,0),1,0)*Table_NFI[[#This Row],[Blanket]],Table_NFI[[#This Row],[Blanket]])</f>
        <v>0</v>
      </c>
      <c r="AE728" s="378">
        <f>IF(NFI_Expiration=1,IF($A728&lt;VLOOKUP(N$5,NFI,5,0),1,0)*Table_NFI[[#This Row],[Kitchen Set]],Table_NFI[Kitchen Set])</f>
        <v>0</v>
      </c>
      <c r="AF728" s="378">
        <f>IF(NFI_Expiration=1,IF($A728&lt;VLOOKUP(O$5,NFI,5,0),1,0)*Table_NFI[[#This Row],[Clothes Kit]],Table_NFI[Clothes Kit])</f>
        <v>0</v>
      </c>
      <c r="AG728" s="378">
        <f>IF(NFI_Expiration=1,IF($A728&lt;VLOOKUP(P$5,NFI,5,0),1,0)*Table_NFI[[#This Row],[Plastic Bucket]],Table_NFI[Plastic Bucket])</f>
        <v>0</v>
      </c>
      <c r="AH728" s="378">
        <f>IF(NFI_Expiration=1,IF($A728&lt;VLOOKUP(Q$5,NFI,5,0),1,0)*Table_NFI[[#This Row],[Plastic Mat]],Table_NFI[Plastic Mat])*IF(Table_NFI[[#This Row],[Distribution Date]]&gt;"2014-04-01",1,2.5)</f>
        <v>0</v>
      </c>
      <c r="AI728" s="378">
        <f>IF(NFI_Expiration=1,IF($A728&lt;VLOOKUP(R$5,NFI,5,0),1,0)*Table_NFI[[#This Row],[Winter Clothes Adult]],Table_NFI[Winter Clothes Adult])</f>
        <v>0</v>
      </c>
      <c r="AJ728" s="378">
        <f>IF(NFI_Expiration=1,IF($A728&lt;VLOOKUP(S$5,NFI,5,0),1,0)*Table_NFI[[#This Row],[Winter Clothes Children]],Table_NFI[Winter Clothes Children])</f>
        <v>0</v>
      </c>
      <c r="AK728" s="378">
        <f>IF(NFI_Expiration=1,IF($A728&lt;VLOOKUP(T$5,NFI,5,0),1,0)*Table_NFI[[#This Row],[Winter Items Other]],Table_NFI[Winter Items Other])</f>
        <v>0</v>
      </c>
      <c r="AL728" s="378">
        <f>IF(NFI_Expiration=1,IF($A728&lt;VLOOKUP(M$5,NFI,5,0),1,0)*Table_NFI[[#This Row],[Winter Blanket]],Table_NFI[[#This Row],[Winter Blanket]])</f>
        <v>0</v>
      </c>
      <c r="AM728" s="378">
        <f>IF(Table_NFI[[#This Row],[Winter Clothes Adult]]+Table_NFI[[#This Row],[Winter Clothes Children]]+Table_NFI[[#This Row],[Winter Items Other]]+Table_NFI[[#This Row],[Winter Blanket]]&gt;0,1,0)</f>
        <v>0</v>
      </c>
      <c r="AN728" s="418">
        <f>IF(NFI_Expiration=1,IF($A728&lt;VLOOKUP(V$5,NFI,5,0),1,0)*Table_NFI[[#This Row],[Jerry Can]],Table_NFI[Jerry Can])</f>
        <v>0</v>
      </c>
      <c r="AO728" s="579" t="str">
        <f>IFERROR(VLOOKUP(Table_NFI[[#This Row],[Camp Name]],CL,2,0),"")</f>
        <v>MMR001CMP026</v>
      </c>
      <c r="AP728" s="574">
        <f ca="1">IF(Table_NFI[[#This Row],[Pcode]]="","",IF(OFFSET(CampList[Opening Date],MATCH(Table_NFI[[#This Row],[Pcode]],CampList[CP_Pcode],0)-1,0,1,1)&gt;=NFI_Monitor_Date,1,0))</f>
        <v>0</v>
      </c>
      <c r="AQ728" s="579" t="str">
        <f>IFERROR(VLOOKUP(Table_NFI[[#This Row],[Camp Name]],CL,3,0),"")</f>
        <v>Open</v>
      </c>
      <c r="AR728" s="378" t="str">
        <f ca="1">IF(Table_NFI[[#This Row],[Pcode]]="","",OFFSET(CampList[Priority],MATCH(Table_NFI[[#This Row],[Pcode]],CampList[CP_Pcode],0)-1,0,1,1))</f>
        <v>P4</v>
      </c>
      <c r="AS728" s="377">
        <f>IFERROR(Table_NFI[[#This Row],[Kitchen Set]]/VLOOKUP(Table_NFI[[#This Row],[Camp Name]],CL,4,0),"")</f>
        <v>0</v>
      </c>
      <c r="AT728" s="572" t="s">
        <v>1095</v>
      </c>
      <c r="AU728" s="575"/>
    </row>
    <row r="729" spans="1:47" x14ac:dyDescent="0.25">
      <c r="A729" s="381">
        <f t="shared" si="11"/>
        <v>52.56666666666667</v>
      </c>
      <c r="B729" s="571">
        <v>40945</v>
      </c>
      <c r="C729" s="572" t="s">
        <v>454</v>
      </c>
      <c r="D729" s="573" t="s">
        <v>454</v>
      </c>
      <c r="E729" s="572" t="s">
        <v>380</v>
      </c>
      <c r="F729" s="374" t="s">
        <v>310</v>
      </c>
      <c r="G729" s="374" t="s">
        <v>351</v>
      </c>
      <c r="H729" s="375"/>
      <c r="I729" s="375"/>
      <c r="J729" s="375"/>
      <c r="K729" s="375">
        <v>0</v>
      </c>
      <c r="L729" s="376">
        <v>0</v>
      </c>
      <c r="M729" s="376">
        <v>0</v>
      </c>
      <c r="N729" s="376">
        <v>0</v>
      </c>
      <c r="O729" s="376">
        <v>13</v>
      </c>
      <c r="P729" s="378">
        <v>13</v>
      </c>
      <c r="Q729" s="378">
        <v>13</v>
      </c>
      <c r="R729" s="378"/>
      <c r="S729" s="378"/>
      <c r="T729" s="378"/>
      <c r="U729" s="378"/>
      <c r="V729" s="533"/>
      <c r="W729" s="378"/>
      <c r="X729" s="378"/>
      <c r="Y729" s="378">
        <f>IF(NFI_Expiration=1,IF($A729&lt;VLOOKUP(H$5,NFI,5,0),1,0)*Table_NFI[[#This Row],[Hygiene Kit]],Table_NFI[Hygiene Kit])</f>
        <v>0</v>
      </c>
      <c r="Z729" s="378">
        <f>IF(NFI_Expiration=1,IF($A729&lt;VLOOKUP(I$5,NFI,5,0),1,0)*Table_NFI[[#This Row],[NFI Core Kit]],Table_NFI[NFI Core Kit])</f>
        <v>0</v>
      </c>
      <c r="AA729" s="378">
        <f>IF(NFI_Expiration=1,IF($A729&lt;VLOOKUP(J$5,NFI,5,0),1,0)*Table_NFI[[#This Row],[Sanitary Kit]],Table_NFI[Sanitary Kit])</f>
        <v>0</v>
      </c>
      <c r="AB729" s="378">
        <f>IF(NFI_Expiration=1,IF($A729&lt;VLOOKUP(K$5,NFI,5,0),1,0)*Table_NFI[[#This Row],[Mosquito net]],Table_NFI[Mosquito net])</f>
        <v>0</v>
      </c>
      <c r="AC729" s="378">
        <f>IF(NFI_Expiration=1,IF($A729&lt;VLOOKUP(L$5,NFI,5,0),1,0)*Table_NFI[[#This Row],[Tarpaulin]],Table_NFI[[#This Row],[Tarpaulin]])</f>
        <v>0</v>
      </c>
      <c r="AD729" s="378">
        <f>IF(NFI_Expiration=1,IF($A729&lt;VLOOKUP(M$5,NFI,5,0),1,0)*Table_NFI[[#This Row],[Blanket]],Table_NFI[[#This Row],[Blanket]])</f>
        <v>0</v>
      </c>
      <c r="AE729" s="378">
        <f>IF(NFI_Expiration=1,IF($A729&lt;VLOOKUP(N$5,NFI,5,0),1,0)*Table_NFI[[#This Row],[Kitchen Set]],Table_NFI[Kitchen Set])</f>
        <v>0</v>
      </c>
      <c r="AF729" s="378">
        <f>IF(NFI_Expiration=1,IF($A729&lt;VLOOKUP(O$5,NFI,5,0),1,0)*Table_NFI[[#This Row],[Clothes Kit]],Table_NFI[Clothes Kit])</f>
        <v>0</v>
      </c>
      <c r="AG729" s="378">
        <f>IF(NFI_Expiration=1,IF($A729&lt;VLOOKUP(P$5,NFI,5,0),1,0)*Table_NFI[[#This Row],[Plastic Bucket]],Table_NFI[Plastic Bucket])</f>
        <v>0</v>
      </c>
      <c r="AH729" s="378">
        <f>IF(NFI_Expiration=1,IF($A729&lt;VLOOKUP(Q$5,NFI,5,0),1,0)*Table_NFI[[#This Row],[Plastic Mat]],Table_NFI[Plastic Mat])*IF(Table_NFI[[#This Row],[Distribution Date]]&gt;"2014-04-01",1,2.5)</f>
        <v>0</v>
      </c>
      <c r="AI729" s="378">
        <f>IF(NFI_Expiration=1,IF($A729&lt;VLOOKUP(R$5,NFI,5,0),1,0)*Table_NFI[[#This Row],[Winter Clothes Adult]],Table_NFI[Winter Clothes Adult])</f>
        <v>0</v>
      </c>
      <c r="AJ729" s="378">
        <f>IF(NFI_Expiration=1,IF($A729&lt;VLOOKUP(S$5,NFI,5,0),1,0)*Table_NFI[[#This Row],[Winter Clothes Children]],Table_NFI[Winter Clothes Children])</f>
        <v>0</v>
      </c>
      <c r="AK729" s="378">
        <f>IF(NFI_Expiration=1,IF($A729&lt;VLOOKUP(T$5,NFI,5,0),1,0)*Table_NFI[[#This Row],[Winter Items Other]],Table_NFI[Winter Items Other])</f>
        <v>0</v>
      </c>
      <c r="AL729" s="378">
        <f>IF(NFI_Expiration=1,IF($A729&lt;VLOOKUP(M$5,NFI,5,0),1,0)*Table_NFI[[#This Row],[Winter Blanket]],Table_NFI[[#This Row],[Winter Blanket]])</f>
        <v>0</v>
      </c>
      <c r="AM729" s="378">
        <f>IF(Table_NFI[[#This Row],[Winter Clothes Adult]]+Table_NFI[[#This Row],[Winter Clothes Children]]+Table_NFI[[#This Row],[Winter Items Other]]+Table_NFI[[#This Row],[Winter Blanket]]&gt;0,1,0)</f>
        <v>0</v>
      </c>
      <c r="AN729" s="418">
        <f>IF(NFI_Expiration=1,IF($A729&lt;VLOOKUP(V$5,NFI,5,0),1,0)*Table_NFI[[#This Row],[Jerry Can]],Table_NFI[Jerry Can])</f>
        <v>0</v>
      </c>
      <c r="AO729" s="579" t="str">
        <f>IFERROR(VLOOKUP(Table_NFI[[#This Row],[Camp Name]],CL,2,0),"")</f>
        <v>MMR001CMP026</v>
      </c>
      <c r="AP729" s="574">
        <f ca="1">IF(Table_NFI[[#This Row],[Pcode]]="","",IF(OFFSET(CampList[Opening Date],MATCH(Table_NFI[[#This Row],[Pcode]],CampList[CP_Pcode],0)-1,0,1,1)&gt;=NFI_Monitor_Date,1,0))</f>
        <v>0</v>
      </c>
      <c r="AQ729" s="579" t="str">
        <f>IFERROR(VLOOKUP(Table_NFI[[#This Row],[Camp Name]],CL,3,0),"")</f>
        <v>Open</v>
      </c>
      <c r="AR729" s="378" t="str">
        <f ca="1">IF(Table_NFI[[#This Row],[Pcode]]="","",OFFSET(CampList[Priority],MATCH(Table_NFI[[#This Row],[Pcode]],CampList[CP_Pcode],0)-1,0,1,1))</f>
        <v>P4</v>
      </c>
      <c r="AS729" s="377">
        <f>IFERROR(Table_NFI[[#This Row],[Kitchen Set]]/VLOOKUP(Table_NFI[[#This Row],[Camp Name]],CL,4,0),"")</f>
        <v>0</v>
      </c>
      <c r="AT729" s="572" t="s">
        <v>1095</v>
      </c>
      <c r="AU729" s="575"/>
    </row>
    <row r="730" spans="1:47" x14ac:dyDescent="0.25">
      <c r="A730" s="381">
        <f t="shared" si="11"/>
        <v>52.766666666666666</v>
      </c>
      <c r="B730" s="571">
        <v>40939</v>
      </c>
      <c r="C730" s="572" t="s">
        <v>454</v>
      </c>
      <c r="D730" s="572" t="s">
        <v>454</v>
      </c>
      <c r="E730" s="572" t="s">
        <v>380</v>
      </c>
      <c r="F730" s="572" t="s">
        <v>310</v>
      </c>
      <c r="G730" s="374" t="s">
        <v>351</v>
      </c>
      <c r="H730" s="375"/>
      <c r="I730" s="375"/>
      <c r="J730" s="375"/>
      <c r="K730" s="375">
        <v>0</v>
      </c>
      <c r="L730" s="376">
        <v>0</v>
      </c>
      <c r="M730" s="376">
        <v>0</v>
      </c>
      <c r="N730" s="376">
        <v>0</v>
      </c>
      <c r="O730" s="376">
        <v>61</v>
      </c>
      <c r="P730" s="378">
        <v>61</v>
      </c>
      <c r="Q730" s="378">
        <v>61</v>
      </c>
      <c r="R730" s="378"/>
      <c r="S730" s="378"/>
      <c r="T730" s="378"/>
      <c r="U730" s="378"/>
      <c r="V730" s="533"/>
      <c r="W730" s="378"/>
      <c r="X730" s="378"/>
      <c r="Y730" s="378">
        <f>IF(NFI_Expiration=1,IF($A730&lt;VLOOKUP(H$5,NFI,5,0),1,0)*Table_NFI[[#This Row],[Hygiene Kit]],Table_NFI[Hygiene Kit])</f>
        <v>0</v>
      </c>
      <c r="Z730" s="378">
        <f>IF(NFI_Expiration=1,IF($A730&lt;VLOOKUP(I$5,NFI,5,0),1,0)*Table_NFI[[#This Row],[NFI Core Kit]],Table_NFI[NFI Core Kit])</f>
        <v>0</v>
      </c>
      <c r="AA730" s="378">
        <f>IF(NFI_Expiration=1,IF($A730&lt;VLOOKUP(J$5,NFI,5,0),1,0)*Table_NFI[[#This Row],[Sanitary Kit]],Table_NFI[Sanitary Kit])</f>
        <v>0</v>
      </c>
      <c r="AB730" s="378">
        <f>IF(NFI_Expiration=1,IF($A730&lt;VLOOKUP(K$5,NFI,5,0),1,0)*Table_NFI[[#This Row],[Mosquito net]],Table_NFI[Mosquito net])</f>
        <v>0</v>
      </c>
      <c r="AC730" s="378">
        <f>IF(NFI_Expiration=1,IF($A730&lt;VLOOKUP(L$5,NFI,5,0),1,0)*Table_NFI[[#This Row],[Tarpaulin]],Table_NFI[[#This Row],[Tarpaulin]])</f>
        <v>0</v>
      </c>
      <c r="AD730" s="378">
        <f>IF(NFI_Expiration=1,IF($A730&lt;VLOOKUP(M$5,NFI,5,0),1,0)*Table_NFI[[#This Row],[Blanket]],Table_NFI[[#This Row],[Blanket]])</f>
        <v>0</v>
      </c>
      <c r="AE730" s="378">
        <f>IF(NFI_Expiration=1,IF($A730&lt;VLOOKUP(N$5,NFI,5,0),1,0)*Table_NFI[[#This Row],[Kitchen Set]],Table_NFI[Kitchen Set])</f>
        <v>0</v>
      </c>
      <c r="AF730" s="378">
        <f>IF(NFI_Expiration=1,IF($A730&lt;VLOOKUP(O$5,NFI,5,0),1,0)*Table_NFI[[#This Row],[Clothes Kit]],Table_NFI[Clothes Kit])</f>
        <v>0</v>
      </c>
      <c r="AG730" s="378">
        <f>IF(NFI_Expiration=1,IF($A730&lt;VLOOKUP(P$5,NFI,5,0),1,0)*Table_NFI[[#This Row],[Plastic Bucket]],Table_NFI[Plastic Bucket])</f>
        <v>0</v>
      </c>
      <c r="AH730" s="378">
        <f>IF(NFI_Expiration=1,IF($A730&lt;VLOOKUP(Q$5,NFI,5,0),1,0)*Table_NFI[[#This Row],[Plastic Mat]],Table_NFI[Plastic Mat])*IF(Table_NFI[[#This Row],[Distribution Date]]&gt;"2014-04-01",1,2.5)</f>
        <v>0</v>
      </c>
      <c r="AI730" s="378">
        <f>IF(NFI_Expiration=1,IF($A730&lt;VLOOKUP(R$5,NFI,5,0),1,0)*Table_NFI[[#This Row],[Winter Clothes Adult]],Table_NFI[Winter Clothes Adult])</f>
        <v>0</v>
      </c>
      <c r="AJ730" s="378">
        <f>IF(NFI_Expiration=1,IF($A730&lt;VLOOKUP(S$5,NFI,5,0),1,0)*Table_NFI[[#This Row],[Winter Clothes Children]],Table_NFI[Winter Clothes Children])</f>
        <v>0</v>
      </c>
      <c r="AK730" s="378">
        <f>IF(NFI_Expiration=1,IF($A730&lt;VLOOKUP(T$5,NFI,5,0),1,0)*Table_NFI[[#This Row],[Winter Items Other]],Table_NFI[Winter Items Other])</f>
        <v>0</v>
      </c>
      <c r="AL730" s="378">
        <f>IF(NFI_Expiration=1,IF($A730&lt;VLOOKUP(M$5,NFI,5,0),1,0)*Table_NFI[[#This Row],[Winter Blanket]],Table_NFI[[#This Row],[Winter Blanket]])</f>
        <v>0</v>
      </c>
      <c r="AM730" s="378">
        <f>IF(Table_NFI[[#This Row],[Winter Clothes Adult]]+Table_NFI[[#This Row],[Winter Clothes Children]]+Table_NFI[[#This Row],[Winter Items Other]]+Table_NFI[[#This Row],[Winter Blanket]]&gt;0,1,0)</f>
        <v>0</v>
      </c>
      <c r="AN730" s="418">
        <f>IF(NFI_Expiration=1,IF($A730&lt;VLOOKUP(V$5,NFI,5,0),1,0)*Table_NFI[[#This Row],[Jerry Can]],Table_NFI[Jerry Can])</f>
        <v>0</v>
      </c>
      <c r="AO730" s="579" t="str">
        <f>IFERROR(VLOOKUP(Table_NFI[[#This Row],[Camp Name]],CL,2,0),"")</f>
        <v>MMR001CMP026</v>
      </c>
      <c r="AP730" s="574">
        <f ca="1">IF(Table_NFI[[#This Row],[Pcode]]="","",IF(OFFSET(CampList[Opening Date],MATCH(Table_NFI[[#This Row],[Pcode]],CampList[CP_Pcode],0)-1,0,1,1)&gt;=NFI_Monitor_Date,1,0))</f>
        <v>0</v>
      </c>
      <c r="AQ730" s="579" t="str">
        <f>IFERROR(VLOOKUP(Table_NFI[[#This Row],[Camp Name]],CL,3,0),"")</f>
        <v>Open</v>
      </c>
      <c r="AR730" s="378" t="str">
        <f ca="1">IF(Table_NFI[[#This Row],[Pcode]]="","",OFFSET(CampList[Priority],MATCH(Table_NFI[[#This Row],[Pcode]],CampList[CP_Pcode],0)-1,0,1,1))</f>
        <v>P4</v>
      </c>
      <c r="AS730" s="377">
        <f>IFERROR(Table_NFI[[#This Row],[Kitchen Set]]/VLOOKUP(Table_NFI[[#This Row],[Camp Name]],CL,4,0),"")</f>
        <v>0</v>
      </c>
      <c r="AT730" s="572" t="s">
        <v>1095</v>
      </c>
      <c r="AU730" s="575"/>
    </row>
    <row r="731" spans="1:47" x14ac:dyDescent="0.25">
      <c r="A731" s="381">
        <f t="shared" si="11"/>
        <v>16.833333333333332</v>
      </c>
      <c r="B731" s="571">
        <v>42017</v>
      </c>
      <c r="C731" s="572" t="s">
        <v>1097</v>
      </c>
      <c r="D731" s="572" t="s">
        <v>903</v>
      </c>
      <c r="E731" s="572" t="s">
        <v>380</v>
      </c>
      <c r="F731" s="572" t="s">
        <v>529</v>
      </c>
      <c r="G731" s="572" t="s">
        <v>118</v>
      </c>
      <c r="H731" s="375"/>
      <c r="I731" s="378"/>
      <c r="J731" s="378"/>
      <c r="K731" s="378"/>
      <c r="L731" s="376"/>
      <c r="M731" s="376"/>
      <c r="N731" s="376"/>
      <c r="O731" s="376"/>
      <c r="P731" s="378"/>
      <c r="Q731" s="378"/>
      <c r="R731" s="378">
        <v>26</v>
      </c>
      <c r="S731" s="378">
        <v>14</v>
      </c>
      <c r="T731" s="378"/>
      <c r="U731" s="378"/>
      <c r="V731" s="533"/>
      <c r="W731" s="378"/>
      <c r="X731" s="378"/>
      <c r="Y731" s="378">
        <f>IF(NFI_Expiration=1,IF($A731&lt;VLOOKUP(H$5,NFI,5,0),1,0)*Table_NFI[[#This Row],[Hygiene Kit]],Table_NFI[Hygiene Kit])</f>
        <v>0</v>
      </c>
      <c r="Z731" s="378">
        <f>IF(NFI_Expiration=1,IF($A731&lt;VLOOKUP(I$5,NFI,5,0),1,0)*Table_NFI[[#This Row],[NFI Core Kit]],Table_NFI[NFI Core Kit])</f>
        <v>0</v>
      </c>
      <c r="AA731" s="378">
        <f>IF(NFI_Expiration=1,IF($A731&lt;VLOOKUP(J$5,NFI,5,0),1,0)*Table_NFI[[#This Row],[Sanitary Kit]],Table_NFI[Sanitary Kit])</f>
        <v>0</v>
      </c>
      <c r="AB731" s="378">
        <f>IF(NFI_Expiration=1,IF($A731&lt;VLOOKUP(K$5,NFI,5,0),1,0)*Table_NFI[[#This Row],[Mosquito net]],Table_NFI[Mosquito net])</f>
        <v>0</v>
      </c>
      <c r="AC731" s="378">
        <f>IF(NFI_Expiration=1,IF($A731&lt;VLOOKUP(L$5,NFI,5,0),1,0)*Table_NFI[[#This Row],[Tarpaulin]],Table_NFI[[#This Row],[Tarpaulin]])</f>
        <v>0</v>
      </c>
      <c r="AD731" s="378">
        <f>IF(NFI_Expiration=1,IF($A731&lt;VLOOKUP(M$5,NFI,5,0),1,0)*Table_NFI[[#This Row],[Blanket]],Table_NFI[[#This Row],[Blanket]])</f>
        <v>0</v>
      </c>
      <c r="AE731" s="378">
        <f>IF(NFI_Expiration=1,IF($A731&lt;VLOOKUP(N$5,NFI,5,0),1,0)*Table_NFI[[#This Row],[Kitchen Set]],Table_NFI[Kitchen Set])</f>
        <v>0</v>
      </c>
      <c r="AF731" s="378">
        <f>IF(NFI_Expiration=1,IF($A731&lt;VLOOKUP(O$5,NFI,5,0),1,0)*Table_NFI[[#This Row],[Clothes Kit]],Table_NFI[Clothes Kit])</f>
        <v>0</v>
      </c>
      <c r="AG731" s="378">
        <f>IF(NFI_Expiration=1,IF($A731&lt;VLOOKUP(P$5,NFI,5,0),1,0)*Table_NFI[[#This Row],[Plastic Bucket]],Table_NFI[Plastic Bucket])</f>
        <v>0</v>
      </c>
      <c r="AH731" s="378">
        <f>IF(NFI_Expiration=1,IF($A731&lt;VLOOKUP(Q$5,NFI,5,0),1,0)*Table_NFI[[#This Row],[Plastic Mat]],Table_NFI[Plastic Mat])*IF(Table_NFI[[#This Row],[Distribution Date]]&gt;"2014-04-01",1,2.5)</f>
        <v>0</v>
      </c>
      <c r="AI731" s="378">
        <f>IF(NFI_Expiration=1,IF($A731&lt;VLOOKUP(R$5,NFI,5,0),1,0)*Table_NFI[[#This Row],[Winter Clothes Adult]],Table_NFI[Winter Clothes Adult])</f>
        <v>0</v>
      </c>
      <c r="AJ731" s="378">
        <f>IF(NFI_Expiration=1,IF($A731&lt;VLOOKUP(S$5,NFI,5,0),1,0)*Table_NFI[[#This Row],[Winter Clothes Children]],Table_NFI[Winter Clothes Children])</f>
        <v>0</v>
      </c>
      <c r="AK731" s="378">
        <f>IF(NFI_Expiration=1,IF($A731&lt;VLOOKUP(T$5,NFI,5,0),1,0)*Table_NFI[[#This Row],[Winter Items Other]],Table_NFI[Winter Items Other])</f>
        <v>0</v>
      </c>
      <c r="AL731" s="378">
        <f>IF(NFI_Expiration=1,IF($A731&lt;VLOOKUP(M$5,NFI,5,0),1,0)*Table_NFI[[#This Row],[Winter Blanket]],Table_NFI[[#This Row],[Winter Blanket]])</f>
        <v>0</v>
      </c>
      <c r="AM731" s="378">
        <f>IF(Table_NFI[[#This Row],[Winter Clothes Adult]]+Table_NFI[[#This Row],[Winter Clothes Children]]+Table_NFI[[#This Row],[Winter Items Other]]+Table_NFI[[#This Row],[Winter Blanket]]&gt;0,1,0)</f>
        <v>1</v>
      </c>
      <c r="AN731" s="418">
        <f>IF(NFI_Expiration=1,IF($A731&lt;VLOOKUP(V$5,NFI,5,0),1,0)*Table_NFI[[#This Row],[Jerry Can]],Table_NFI[Jerry Can])</f>
        <v>0</v>
      </c>
      <c r="AO731" s="579" t="str">
        <f>IFERROR(VLOOKUP(Table_NFI[[#This Row],[Camp Name]],CL,2,0),"")</f>
        <v>MMR001CMP182</v>
      </c>
      <c r="AP731" s="574">
        <f ca="1">IF(Table_NFI[[#This Row],[Pcode]]="","",IF(OFFSET(CampList[Opening Date],MATCH(Table_NFI[[#This Row],[Pcode]],CampList[CP_Pcode],0)-1,0,1,1)&gt;=NFI_Monitor_Date,1,0))</f>
        <v>0</v>
      </c>
      <c r="AQ731" s="579" t="str">
        <f>IFERROR(VLOOKUP(Table_NFI[[#This Row],[Camp Name]],CL,3,0),"")</f>
        <v>Open</v>
      </c>
      <c r="AR731" s="378" t="str">
        <f ca="1">IF(Table_NFI[[#This Row],[Pcode]]="","",OFFSET(CampList[Priority],MATCH(Table_NFI[[#This Row],[Pcode]],CampList[CP_Pcode],0)-1,0,1,1))</f>
        <v>P4</v>
      </c>
      <c r="AS731" s="377">
        <f>IFERROR(Table_NFI[[#This Row],[Kitchen Set]]/VLOOKUP(Table_NFI[[#This Row],[Camp Name]],CL,4,0),"")</f>
        <v>0</v>
      </c>
      <c r="AT731" s="572"/>
      <c r="AU731" s="601"/>
    </row>
    <row r="732" spans="1:47" x14ac:dyDescent="0.25">
      <c r="A732" s="381">
        <f t="shared" si="11"/>
        <v>19.3</v>
      </c>
      <c r="B732" s="571">
        <v>41943</v>
      </c>
      <c r="C732" s="572" t="s">
        <v>454</v>
      </c>
      <c r="D732" s="572"/>
      <c r="E732" s="572" t="s">
        <v>380</v>
      </c>
      <c r="F732" s="572" t="s">
        <v>529</v>
      </c>
      <c r="G732" s="572" t="s">
        <v>118</v>
      </c>
      <c r="H732" s="375"/>
      <c r="I732" s="375"/>
      <c r="J732" s="375">
        <v>12</v>
      </c>
      <c r="K732" s="375">
        <v>24</v>
      </c>
      <c r="L732" s="376">
        <v>12</v>
      </c>
      <c r="M732" s="376">
        <v>24</v>
      </c>
      <c r="N732" s="376">
        <v>12</v>
      </c>
      <c r="O732" s="376"/>
      <c r="P732" s="378">
        <v>12</v>
      </c>
      <c r="Q732" s="378">
        <v>60</v>
      </c>
      <c r="R732" s="378"/>
      <c r="S732" s="378"/>
      <c r="T732" s="378"/>
      <c r="U732" s="378"/>
      <c r="V732" s="533"/>
      <c r="W732" s="378"/>
      <c r="X732" s="378"/>
      <c r="Y732" s="378">
        <f>IF(NFI_Expiration=1,IF($A732&lt;VLOOKUP(H$5,NFI,5,0),1,0)*Table_NFI[[#This Row],[Hygiene Kit]],Table_NFI[Hygiene Kit])</f>
        <v>0</v>
      </c>
      <c r="Z732" s="378">
        <f>IF(NFI_Expiration=1,IF($A732&lt;VLOOKUP(I$5,NFI,5,0),1,0)*Table_NFI[[#This Row],[NFI Core Kit]],Table_NFI[NFI Core Kit])</f>
        <v>0</v>
      </c>
      <c r="AA732" s="378">
        <f>IF(NFI_Expiration=1,IF($A732&lt;VLOOKUP(J$5,NFI,5,0),1,0)*Table_NFI[[#This Row],[Sanitary Kit]],Table_NFI[Sanitary Kit])</f>
        <v>0</v>
      </c>
      <c r="AB732" s="378">
        <f>IF(NFI_Expiration=1,IF($A732&lt;VLOOKUP(K$5,NFI,5,0),1,0)*Table_NFI[[#This Row],[Mosquito net]],Table_NFI[Mosquito net])</f>
        <v>0</v>
      </c>
      <c r="AC732" s="378">
        <f>IF(NFI_Expiration=1,IF($A732&lt;VLOOKUP(L$5,NFI,5,0),1,0)*Table_NFI[[#This Row],[Tarpaulin]],Table_NFI[[#This Row],[Tarpaulin]])</f>
        <v>0</v>
      </c>
      <c r="AD732" s="378">
        <f>IF(NFI_Expiration=1,IF($A732&lt;VLOOKUP(M$5,NFI,5,0),1,0)*Table_NFI[[#This Row],[Blanket]],Table_NFI[[#This Row],[Blanket]])</f>
        <v>0</v>
      </c>
      <c r="AE732" s="378">
        <f>IF(NFI_Expiration=1,IF($A732&lt;VLOOKUP(N$5,NFI,5,0),1,0)*Table_NFI[[#This Row],[Kitchen Set]],Table_NFI[Kitchen Set])</f>
        <v>0</v>
      </c>
      <c r="AF732" s="378">
        <f>IF(NFI_Expiration=1,IF($A732&lt;VLOOKUP(O$5,NFI,5,0),1,0)*Table_NFI[[#This Row],[Clothes Kit]],Table_NFI[Clothes Kit])</f>
        <v>0</v>
      </c>
      <c r="AG732" s="378">
        <f>IF(NFI_Expiration=1,IF($A732&lt;VLOOKUP(P$5,NFI,5,0),1,0)*Table_NFI[[#This Row],[Plastic Bucket]],Table_NFI[Plastic Bucket])</f>
        <v>0</v>
      </c>
      <c r="AH732" s="378">
        <f>IF(NFI_Expiration=1,IF($A732&lt;VLOOKUP(Q$5,NFI,5,0),1,0)*Table_NFI[[#This Row],[Plastic Mat]],Table_NFI[Plastic Mat])*IF(Table_NFI[[#This Row],[Distribution Date]]&gt;"2014-04-01",1,2.5)</f>
        <v>0</v>
      </c>
      <c r="AI732" s="378">
        <f>IF(NFI_Expiration=1,IF($A732&lt;VLOOKUP(R$5,NFI,5,0),1,0)*Table_NFI[[#This Row],[Winter Clothes Adult]],Table_NFI[Winter Clothes Adult])</f>
        <v>0</v>
      </c>
      <c r="AJ732" s="378">
        <f>IF(NFI_Expiration=1,IF($A732&lt;VLOOKUP(S$5,NFI,5,0),1,0)*Table_NFI[[#This Row],[Winter Clothes Children]],Table_NFI[Winter Clothes Children])</f>
        <v>0</v>
      </c>
      <c r="AK732" s="378">
        <f>IF(NFI_Expiration=1,IF($A732&lt;VLOOKUP(T$5,NFI,5,0),1,0)*Table_NFI[[#This Row],[Winter Items Other]],Table_NFI[Winter Items Other])</f>
        <v>0</v>
      </c>
      <c r="AL732" s="378">
        <f>IF(NFI_Expiration=1,IF($A732&lt;VLOOKUP(M$5,NFI,5,0),1,0)*Table_NFI[[#This Row],[Winter Blanket]],Table_NFI[[#This Row],[Winter Blanket]])</f>
        <v>0</v>
      </c>
      <c r="AM732" s="378">
        <f>IF(Table_NFI[[#This Row],[Winter Clothes Adult]]+Table_NFI[[#This Row],[Winter Clothes Children]]+Table_NFI[[#This Row],[Winter Items Other]]+Table_NFI[[#This Row],[Winter Blanket]]&gt;0,1,0)</f>
        <v>0</v>
      </c>
      <c r="AN732" s="418">
        <f>IF(NFI_Expiration=1,IF($A732&lt;VLOOKUP(V$5,NFI,5,0),1,0)*Table_NFI[[#This Row],[Jerry Can]],Table_NFI[Jerry Can])</f>
        <v>0</v>
      </c>
      <c r="AO732" s="579" t="str">
        <f>IFERROR(VLOOKUP(Table_NFI[[#This Row],[Camp Name]],CL,2,0),"")</f>
        <v>MMR001CMP182</v>
      </c>
      <c r="AP732" s="574">
        <f ca="1">IF(Table_NFI[[#This Row],[Pcode]]="","",IF(OFFSET(CampList[Opening Date],MATCH(Table_NFI[[#This Row],[Pcode]],CampList[CP_Pcode],0)-1,0,1,1)&gt;=NFI_Monitor_Date,1,0))</f>
        <v>0</v>
      </c>
      <c r="AQ732" s="579" t="str">
        <f>IFERROR(VLOOKUP(Table_NFI[[#This Row],[Camp Name]],CL,3,0),"")</f>
        <v>Open</v>
      </c>
      <c r="AR732" s="378" t="str">
        <f ca="1">IF(Table_NFI[[#This Row],[Pcode]]="","",OFFSET(CampList[Priority],MATCH(Table_NFI[[#This Row],[Pcode]],CampList[CP_Pcode],0)-1,0,1,1))</f>
        <v>P4</v>
      </c>
      <c r="AS732" s="377">
        <f>IFERROR(Table_NFI[[#This Row],[Kitchen Set]]/VLOOKUP(Table_NFI[[#This Row],[Camp Name]],CL,4,0),"")</f>
        <v>1.2</v>
      </c>
      <c r="AT732" s="572"/>
      <c r="AU732" s="575"/>
    </row>
    <row r="733" spans="1:47" x14ac:dyDescent="0.25">
      <c r="A733" s="381">
        <f t="shared" si="11"/>
        <v>20.3</v>
      </c>
      <c r="B733" s="571">
        <v>41913</v>
      </c>
      <c r="C733" s="572" t="s">
        <v>454</v>
      </c>
      <c r="D733" s="577" t="s">
        <v>507</v>
      </c>
      <c r="E733" s="577" t="s">
        <v>380</v>
      </c>
      <c r="F733" s="577" t="s">
        <v>529</v>
      </c>
      <c r="G733" s="577" t="s">
        <v>118</v>
      </c>
      <c r="H733" s="376"/>
      <c r="I733" s="376"/>
      <c r="J733" s="376"/>
      <c r="K733" s="376">
        <v>24</v>
      </c>
      <c r="L733" s="376"/>
      <c r="M733" s="376"/>
      <c r="N733" s="376"/>
      <c r="O733" s="376"/>
      <c r="P733" s="378"/>
      <c r="Q733" s="378"/>
      <c r="R733" s="378"/>
      <c r="S733" s="378"/>
      <c r="T733" s="378"/>
      <c r="U733" s="378"/>
      <c r="V733" s="533"/>
      <c r="W733" s="378"/>
      <c r="X733" s="378"/>
      <c r="Y733" s="378">
        <f>IF(NFI_Expiration=1,IF($A733&lt;VLOOKUP(H$5,NFI,5,0),1,0)*Table_NFI[[#This Row],[Hygiene Kit]],Table_NFI[Hygiene Kit])</f>
        <v>0</v>
      </c>
      <c r="Z733" s="378">
        <f>IF(NFI_Expiration=1,IF($A733&lt;VLOOKUP(I$5,NFI,5,0),1,0)*Table_NFI[[#This Row],[NFI Core Kit]],Table_NFI[NFI Core Kit])</f>
        <v>0</v>
      </c>
      <c r="AA733" s="378">
        <f>IF(NFI_Expiration=1,IF($A733&lt;VLOOKUP(J$5,NFI,5,0),1,0)*Table_NFI[[#This Row],[Sanitary Kit]],Table_NFI[Sanitary Kit])</f>
        <v>0</v>
      </c>
      <c r="AB733" s="378">
        <f>IF(NFI_Expiration=1,IF($A733&lt;VLOOKUP(K$5,NFI,5,0),1,0)*Table_NFI[[#This Row],[Mosquito net]],Table_NFI[Mosquito net])</f>
        <v>0</v>
      </c>
      <c r="AC733" s="378">
        <f>IF(NFI_Expiration=1,IF($A733&lt;VLOOKUP(L$5,NFI,5,0),1,0)*Table_NFI[[#This Row],[Tarpaulin]],Table_NFI[[#This Row],[Tarpaulin]])</f>
        <v>0</v>
      </c>
      <c r="AD733" s="378">
        <f>IF(NFI_Expiration=1,IF($A733&lt;VLOOKUP(M$5,NFI,5,0),1,0)*Table_NFI[[#This Row],[Blanket]],Table_NFI[[#This Row],[Blanket]])</f>
        <v>0</v>
      </c>
      <c r="AE733" s="378">
        <f>IF(NFI_Expiration=1,IF($A733&lt;VLOOKUP(N$5,NFI,5,0),1,0)*Table_NFI[[#This Row],[Kitchen Set]],Table_NFI[Kitchen Set])</f>
        <v>0</v>
      </c>
      <c r="AF733" s="378">
        <f>IF(NFI_Expiration=1,IF($A733&lt;VLOOKUP(O$5,NFI,5,0),1,0)*Table_NFI[[#This Row],[Clothes Kit]],Table_NFI[Clothes Kit])</f>
        <v>0</v>
      </c>
      <c r="AG733" s="378">
        <f>IF(NFI_Expiration=1,IF($A733&lt;VLOOKUP(P$5,NFI,5,0),1,0)*Table_NFI[[#This Row],[Plastic Bucket]],Table_NFI[Plastic Bucket])</f>
        <v>0</v>
      </c>
      <c r="AH733" s="378">
        <f>IF(NFI_Expiration=1,IF($A733&lt;VLOOKUP(Q$5,NFI,5,0),1,0)*Table_NFI[[#This Row],[Plastic Mat]],Table_NFI[Plastic Mat])*IF(Table_NFI[[#This Row],[Distribution Date]]&gt;"2014-04-01",1,2.5)</f>
        <v>0</v>
      </c>
      <c r="AI733" s="378">
        <f>IF(NFI_Expiration=1,IF($A733&lt;VLOOKUP(R$5,NFI,5,0),1,0)*Table_NFI[[#This Row],[Winter Clothes Adult]],Table_NFI[Winter Clothes Adult])</f>
        <v>0</v>
      </c>
      <c r="AJ733" s="378">
        <f>IF(NFI_Expiration=1,IF($A733&lt;VLOOKUP(S$5,NFI,5,0),1,0)*Table_NFI[[#This Row],[Winter Clothes Children]],Table_NFI[Winter Clothes Children])</f>
        <v>0</v>
      </c>
      <c r="AK733" s="378">
        <f>IF(NFI_Expiration=1,IF($A733&lt;VLOOKUP(T$5,NFI,5,0),1,0)*Table_NFI[[#This Row],[Winter Items Other]],Table_NFI[Winter Items Other])</f>
        <v>0</v>
      </c>
      <c r="AL733" s="378">
        <f>IF(NFI_Expiration=1,IF($A733&lt;VLOOKUP(M$5,NFI,5,0),1,0)*Table_NFI[[#This Row],[Winter Blanket]],Table_NFI[[#This Row],[Winter Blanket]])</f>
        <v>0</v>
      </c>
      <c r="AM733" s="378">
        <f>IF(Table_NFI[[#This Row],[Winter Clothes Adult]]+Table_NFI[[#This Row],[Winter Clothes Children]]+Table_NFI[[#This Row],[Winter Items Other]]+Table_NFI[[#This Row],[Winter Blanket]]&gt;0,1,0)</f>
        <v>0</v>
      </c>
      <c r="AN733" s="418">
        <f>IF(NFI_Expiration=1,IF($A733&lt;VLOOKUP(V$5,NFI,5,0),1,0)*Table_NFI[[#This Row],[Jerry Can]],Table_NFI[Jerry Can])</f>
        <v>0</v>
      </c>
      <c r="AO733" s="579" t="str">
        <f>IFERROR(VLOOKUP(Table_NFI[[#This Row],[Camp Name]],CL,2,0),"")</f>
        <v>MMR001CMP182</v>
      </c>
      <c r="AP733" s="574">
        <f ca="1">IF(Table_NFI[[#This Row],[Pcode]]="","",IF(OFFSET(CampList[Opening Date],MATCH(Table_NFI[[#This Row],[Pcode]],CampList[CP_Pcode],0)-1,0,1,1)&gt;=NFI_Monitor_Date,1,0))</f>
        <v>0</v>
      </c>
      <c r="AQ733" s="579" t="str">
        <f>IFERROR(VLOOKUP(Table_NFI[[#This Row],[Camp Name]],CL,3,0),"")</f>
        <v>Open</v>
      </c>
      <c r="AR733" s="378" t="str">
        <f ca="1">IF(Table_NFI[[#This Row],[Pcode]]="","",OFFSET(CampList[Priority],MATCH(Table_NFI[[#This Row],[Pcode]],CampList[CP_Pcode],0)-1,0,1,1))</f>
        <v>P4</v>
      </c>
      <c r="AS733" s="377">
        <f>IFERROR(Table_NFI[[#This Row],[Kitchen Set]]/VLOOKUP(Table_NFI[[#This Row],[Camp Name]],CL,4,0),"")</f>
        <v>0</v>
      </c>
      <c r="AT733" s="577"/>
      <c r="AU733" s="580"/>
    </row>
    <row r="734" spans="1:47" x14ac:dyDescent="0.25">
      <c r="A734" s="381">
        <f t="shared" si="11"/>
        <v>38.93333333333333</v>
      </c>
      <c r="B734" s="571">
        <v>41354</v>
      </c>
      <c r="C734" s="572" t="s">
        <v>454</v>
      </c>
      <c r="D734" s="573" t="s">
        <v>454</v>
      </c>
      <c r="E734" s="572" t="s">
        <v>380</v>
      </c>
      <c r="F734" s="374" t="s">
        <v>529</v>
      </c>
      <c r="G734" s="374" t="s">
        <v>118</v>
      </c>
      <c r="H734" s="375"/>
      <c r="I734" s="375"/>
      <c r="J734" s="375">
        <v>15</v>
      </c>
      <c r="K734" s="375">
        <v>8</v>
      </c>
      <c r="L734" s="376">
        <v>8</v>
      </c>
      <c r="M734" s="376">
        <v>17</v>
      </c>
      <c r="N734" s="376">
        <v>8</v>
      </c>
      <c r="O734" s="376">
        <v>17</v>
      </c>
      <c r="P734" s="378">
        <v>17</v>
      </c>
      <c r="Q734" s="378">
        <v>17</v>
      </c>
      <c r="R734" s="378"/>
      <c r="S734" s="378"/>
      <c r="T734" s="378"/>
      <c r="U734" s="378"/>
      <c r="V734" s="533"/>
      <c r="W734" s="378"/>
      <c r="X734" s="378"/>
      <c r="Y734" s="378">
        <f>IF(NFI_Expiration=1,IF($A734&lt;VLOOKUP(H$5,NFI,5,0),1,0)*Table_NFI[[#This Row],[Hygiene Kit]],Table_NFI[Hygiene Kit])</f>
        <v>0</v>
      </c>
      <c r="Z734" s="378">
        <f>IF(NFI_Expiration=1,IF($A734&lt;VLOOKUP(I$5,NFI,5,0),1,0)*Table_NFI[[#This Row],[NFI Core Kit]],Table_NFI[NFI Core Kit])</f>
        <v>0</v>
      </c>
      <c r="AA734" s="378">
        <f>IF(NFI_Expiration=1,IF($A734&lt;VLOOKUP(J$5,NFI,5,0),1,0)*Table_NFI[[#This Row],[Sanitary Kit]],Table_NFI[Sanitary Kit])</f>
        <v>0</v>
      </c>
      <c r="AB734" s="378">
        <f>IF(NFI_Expiration=1,IF($A734&lt;VLOOKUP(K$5,NFI,5,0),1,0)*Table_NFI[[#This Row],[Mosquito net]],Table_NFI[Mosquito net])</f>
        <v>0</v>
      </c>
      <c r="AC734" s="378">
        <f>IF(NFI_Expiration=1,IF($A734&lt;VLOOKUP(L$5,NFI,5,0),1,0)*Table_NFI[[#This Row],[Tarpaulin]],Table_NFI[[#This Row],[Tarpaulin]])</f>
        <v>0</v>
      </c>
      <c r="AD734" s="378">
        <f>IF(NFI_Expiration=1,IF($A734&lt;VLOOKUP(M$5,NFI,5,0),1,0)*Table_NFI[[#This Row],[Blanket]],Table_NFI[[#This Row],[Blanket]])</f>
        <v>0</v>
      </c>
      <c r="AE734" s="378">
        <f>IF(NFI_Expiration=1,IF($A734&lt;VLOOKUP(N$5,NFI,5,0),1,0)*Table_NFI[[#This Row],[Kitchen Set]],Table_NFI[Kitchen Set])</f>
        <v>0</v>
      </c>
      <c r="AF734" s="378">
        <f>IF(NFI_Expiration=1,IF($A734&lt;VLOOKUP(O$5,NFI,5,0),1,0)*Table_NFI[[#This Row],[Clothes Kit]],Table_NFI[Clothes Kit])</f>
        <v>0</v>
      </c>
      <c r="AG734" s="378">
        <f>IF(NFI_Expiration=1,IF($A734&lt;VLOOKUP(P$5,NFI,5,0),1,0)*Table_NFI[[#This Row],[Plastic Bucket]],Table_NFI[Plastic Bucket])</f>
        <v>0</v>
      </c>
      <c r="AH734" s="378">
        <f>IF(NFI_Expiration=1,IF($A734&lt;VLOOKUP(Q$5,NFI,5,0),1,0)*Table_NFI[[#This Row],[Plastic Mat]],Table_NFI[Plastic Mat])*IF(Table_NFI[[#This Row],[Distribution Date]]&gt;"2014-04-01",1,2.5)</f>
        <v>0</v>
      </c>
      <c r="AI734" s="378">
        <f>IF(NFI_Expiration=1,IF($A734&lt;VLOOKUP(R$5,NFI,5,0),1,0)*Table_NFI[[#This Row],[Winter Clothes Adult]],Table_NFI[Winter Clothes Adult])</f>
        <v>0</v>
      </c>
      <c r="AJ734" s="378">
        <f>IF(NFI_Expiration=1,IF($A734&lt;VLOOKUP(S$5,NFI,5,0),1,0)*Table_NFI[[#This Row],[Winter Clothes Children]],Table_NFI[Winter Clothes Children])</f>
        <v>0</v>
      </c>
      <c r="AK734" s="378">
        <f>IF(NFI_Expiration=1,IF($A734&lt;VLOOKUP(T$5,NFI,5,0),1,0)*Table_NFI[[#This Row],[Winter Items Other]],Table_NFI[Winter Items Other])</f>
        <v>0</v>
      </c>
      <c r="AL734" s="378">
        <f>IF(NFI_Expiration=1,IF($A734&lt;VLOOKUP(M$5,NFI,5,0),1,0)*Table_NFI[[#This Row],[Winter Blanket]],Table_NFI[[#This Row],[Winter Blanket]])</f>
        <v>0</v>
      </c>
      <c r="AM734" s="378">
        <f>IF(Table_NFI[[#This Row],[Winter Clothes Adult]]+Table_NFI[[#This Row],[Winter Clothes Children]]+Table_NFI[[#This Row],[Winter Items Other]]+Table_NFI[[#This Row],[Winter Blanket]]&gt;0,1,0)</f>
        <v>0</v>
      </c>
      <c r="AN734" s="418">
        <f>IF(NFI_Expiration=1,IF($A734&lt;VLOOKUP(V$5,NFI,5,0),1,0)*Table_NFI[[#This Row],[Jerry Can]],Table_NFI[Jerry Can])</f>
        <v>0</v>
      </c>
      <c r="AO734" s="579" t="str">
        <f>IFERROR(VLOOKUP(Table_NFI[[#This Row],[Camp Name]],CL,2,0),"")</f>
        <v>MMR001CMP182</v>
      </c>
      <c r="AP734" s="574">
        <f ca="1">IF(Table_NFI[[#This Row],[Pcode]]="","",IF(OFFSET(CampList[Opening Date],MATCH(Table_NFI[[#This Row],[Pcode]],CampList[CP_Pcode],0)-1,0,1,1)&gt;=NFI_Monitor_Date,1,0))</f>
        <v>0</v>
      </c>
      <c r="AQ734" s="579" t="str">
        <f>IFERROR(VLOOKUP(Table_NFI[[#This Row],[Camp Name]],CL,3,0),"")</f>
        <v>Open</v>
      </c>
      <c r="AR734" s="378" t="str">
        <f ca="1">IF(Table_NFI[[#This Row],[Pcode]]="","",OFFSET(CampList[Priority],MATCH(Table_NFI[[#This Row],[Pcode]],CampList[CP_Pcode],0)-1,0,1,1))</f>
        <v>P4</v>
      </c>
      <c r="AS734" s="377">
        <f>IFERROR(Table_NFI[[#This Row],[Kitchen Set]]/VLOOKUP(Table_NFI[[#This Row],[Camp Name]],CL,4,0),"")</f>
        <v>0.8</v>
      </c>
      <c r="AT734" s="572" t="s">
        <v>1095</v>
      </c>
      <c r="AU734" s="575"/>
    </row>
    <row r="735" spans="1:47" x14ac:dyDescent="0.25">
      <c r="A735" s="381">
        <f t="shared" si="11"/>
        <v>15.9</v>
      </c>
      <c r="B735" s="571">
        <v>42045</v>
      </c>
      <c r="C735" s="577" t="s">
        <v>454</v>
      </c>
      <c r="D735" s="577" t="s">
        <v>462</v>
      </c>
      <c r="E735" s="577" t="s">
        <v>380</v>
      </c>
      <c r="F735" s="577" t="s">
        <v>300</v>
      </c>
      <c r="G735" s="577" t="s">
        <v>1329</v>
      </c>
      <c r="H735" s="376"/>
      <c r="I735" s="376"/>
      <c r="J735" s="376">
        <v>46</v>
      </c>
      <c r="K735" s="376">
        <v>92</v>
      </c>
      <c r="L735" s="376">
        <v>46</v>
      </c>
      <c r="M735" s="376">
        <v>92</v>
      </c>
      <c r="N735" s="376">
        <v>46</v>
      </c>
      <c r="O735" s="376"/>
      <c r="P735" s="378">
        <v>46</v>
      </c>
      <c r="Q735" s="378">
        <v>230</v>
      </c>
      <c r="R735" s="378"/>
      <c r="S735" s="378"/>
      <c r="T735" s="378"/>
      <c r="U735" s="378"/>
      <c r="V735" s="533">
        <v>46</v>
      </c>
      <c r="W735" s="378"/>
      <c r="X735" s="378">
        <v>55</v>
      </c>
      <c r="Y735" s="378">
        <f>IF(NFI_Expiration=1,IF($A735&lt;VLOOKUP(H$5,NFI,5,0),1,0)*Table_NFI[[#This Row],[Hygiene Kit]],Table_NFI[Hygiene Kit])</f>
        <v>0</v>
      </c>
      <c r="Z735" s="378">
        <f>IF(NFI_Expiration=1,IF($A735&lt;VLOOKUP(I$5,NFI,5,0),1,0)*Table_NFI[[#This Row],[NFI Core Kit]],Table_NFI[NFI Core Kit])</f>
        <v>0</v>
      </c>
      <c r="AA735" s="378">
        <f>IF(NFI_Expiration=1,IF($A735&lt;VLOOKUP(J$5,NFI,5,0),1,0)*Table_NFI[[#This Row],[Sanitary Kit]],Table_NFI[Sanitary Kit])</f>
        <v>0</v>
      </c>
      <c r="AB735" s="378">
        <f>IF(NFI_Expiration=1,IF($A735&lt;VLOOKUP(K$5,NFI,5,0),1,0)*Table_NFI[[#This Row],[Mosquito net]],Table_NFI[Mosquito net])</f>
        <v>0</v>
      </c>
      <c r="AC735" s="378">
        <f>IF(NFI_Expiration=1,IF($A735&lt;VLOOKUP(L$5,NFI,5,0),1,0)*Table_NFI[[#This Row],[Tarpaulin]],Table_NFI[[#This Row],[Tarpaulin]])</f>
        <v>0</v>
      </c>
      <c r="AD735" s="378">
        <f>IF(NFI_Expiration=1,IF($A735&lt;VLOOKUP(M$5,NFI,5,0),1,0)*Table_NFI[[#This Row],[Blanket]],Table_NFI[[#This Row],[Blanket]])</f>
        <v>0</v>
      </c>
      <c r="AE735" s="378">
        <f>IF(NFI_Expiration=1,IF($A735&lt;VLOOKUP(N$5,NFI,5,0),1,0)*Table_NFI[[#This Row],[Kitchen Set]],Table_NFI[Kitchen Set])</f>
        <v>0</v>
      </c>
      <c r="AF735" s="378">
        <f>IF(NFI_Expiration=1,IF($A735&lt;VLOOKUP(O$5,NFI,5,0),1,0)*Table_NFI[[#This Row],[Clothes Kit]],Table_NFI[Clothes Kit])</f>
        <v>0</v>
      </c>
      <c r="AG735" s="378">
        <f>IF(NFI_Expiration=1,IF($A735&lt;VLOOKUP(P$5,NFI,5,0),1,0)*Table_NFI[[#This Row],[Plastic Bucket]],Table_NFI[Plastic Bucket])</f>
        <v>0</v>
      </c>
      <c r="AH735" s="378">
        <f>IF(NFI_Expiration=1,IF($A735&lt;VLOOKUP(Q$5,NFI,5,0),1,0)*Table_NFI[[#This Row],[Plastic Mat]],Table_NFI[Plastic Mat])*IF(Table_NFI[[#This Row],[Distribution Date]]&gt;"2014-04-01",1,2.5)</f>
        <v>0</v>
      </c>
      <c r="AI735" s="378">
        <f>IF(NFI_Expiration=1,IF($A735&lt;VLOOKUP(R$5,NFI,5,0),1,0)*Table_NFI[[#This Row],[Winter Clothes Adult]],Table_NFI[Winter Clothes Adult])</f>
        <v>0</v>
      </c>
      <c r="AJ735" s="378">
        <f>IF(NFI_Expiration=1,IF($A735&lt;VLOOKUP(S$5,NFI,5,0),1,0)*Table_NFI[[#This Row],[Winter Clothes Children]],Table_NFI[Winter Clothes Children])</f>
        <v>0</v>
      </c>
      <c r="AK735" s="378">
        <f>IF(NFI_Expiration=1,IF($A735&lt;VLOOKUP(T$5,NFI,5,0),1,0)*Table_NFI[[#This Row],[Winter Items Other]],Table_NFI[Winter Items Other])</f>
        <v>0</v>
      </c>
      <c r="AL735" s="378">
        <f>IF(NFI_Expiration=1,IF($A735&lt;VLOOKUP(M$5,NFI,5,0),1,0)*Table_NFI[[#This Row],[Winter Blanket]],Table_NFI[[#This Row],[Winter Blanket]])</f>
        <v>0</v>
      </c>
      <c r="AM735" s="378">
        <f>IF(Table_NFI[[#This Row],[Winter Clothes Adult]]+Table_NFI[[#This Row],[Winter Clothes Children]]+Table_NFI[[#This Row],[Winter Items Other]]+Table_NFI[[#This Row],[Winter Blanket]]&gt;0,1,0)</f>
        <v>0</v>
      </c>
      <c r="AN735" s="418">
        <f>IF(NFI_Expiration=1,IF($A735&lt;VLOOKUP(V$5,NFI,5,0),1,0)*Table_NFI[[#This Row],[Jerry Can]],Table_NFI[Jerry Can])</f>
        <v>0</v>
      </c>
      <c r="AO735" s="579" t="str">
        <f>IFERROR(VLOOKUP(Table_NFI[[#This Row],[Camp Name]],CL,2,0),"")</f>
        <v/>
      </c>
      <c r="AP735" s="574" t="str">
        <f ca="1">IF(Table_NFI[[#This Row],[Pcode]]="","",IF(OFFSET(CampList[Opening Date],MATCH(Table_NFI[[#This Row],[Pcode]],CampList[CP_Pcode],0)-1,0,1,1)&gt;=NFI_Monitor_Date,1,0))</f>
        <v/>
      </c>
      <c r="AQ735" s="579" t="str">
        <f>IFERROR(VLOOKUP(Table_NFI[[#This Row],[Camp Name]],CL,3,0),"")</f>
        <v/>
      </c>
      <c r="AR735" s="378" t="str">
        <f ca="1">IF(Table_NFI[[#This Row],[Pcode]]="","",OFFSET(CampList[Priority],MATCH(Table_NFI[[#This Row],[Pcode]],CampList[CP_Pcode],0)-1,0,1,1))</f>
        <v/>
      </c>
      <c r="AS735" s="377" t="str">
        <f>IFERROR(Table_NFI[[#This Row],[Kitchen Set]]/VLOOKUP(Table_NFI[[#This Row],[Camp Name]],CL,4,0),"")</f>
        <v/>
      </c>
      <c r="AT735" s="572" t="s">
        <v>1095</v>
      </c>
      <c r="AU735" s="580"/>
    </row>
    <row r="736" spans="1:47" x14ac:dyDescent="0.25">
      <c r="A736" s="381">
        <f t="shared" si="11"/>
        <v>29.2</v>
      </c>
      <c r="B736" s="571">
        <v>41646</v>
      </c>
      <c r="C736" s="572" t="s">
        <v>454</v>
      </c>
      <c r="D736" s="573" t="s">
        <v>454</v>
      </c>
      <c r="E736" s="572" t="s">
        <v>380</v>
      </c>
      <c r="F736" s="374" t="s">
        <v>5</v>
      </c>
      <c r="G736" s="374" t="s">
        <v>22</v>
      </c>
      <c r="H736" s="375"/>
      <c r="I736" s="375"/>
      <c r="J736" s="375"/>
      <c r="K736" s="375">
        <v>44</v>
      </c>
      <c r="L736" s="376">
        <v>30</v>
      </c>
      <c r="M736" s="376">
        <v>44</v>
      </c>
      <c r="N736" s="376">
        <v>20</v>
      </c>
      <c r="O736" s="376">
        <v>20</v>
      </c>
      <c r="P736" s="378"/>
      <c r="Q736" s="378"/>
      <c r="R736" s="378"/>
      <c r="S736" s="378"/>
      <c r="T736" s="378"/>
      <c r="U736" s="378"/>
      <c r="V736" s="533"/>
      <c r="W736" s="378"/>
      <c r="X736" s="378"/>
      <c r="Y736" s="378">
        <f>IF(NFI_Expiration=1,IF($A736&lt;VLOOKUP(H$5,NFI,5,0),1,0)*Table_NFI[[#This Row],[Hygiene Kit]],Table_NFI[Hygiene Kit])</f>
        <v>0</v>
      </c>
      <c r="Z736" s="378">
        <f>IF(NFI_Expiration=1,IF($A736&lt;VLOOKUP(I$5,NFI,5,0),1,0)*Table_NFI[[#This Row],[NFI Core Kit]],Table_NFI[NFI Core Kit])</f>
        <v>0</v>
      </c>
      <c r="AA736" s="378">
        <f>IF(NFI_Expiration=1,IF($A736&lt;VLOOKUP(J$5,NFI,5,0),1,0)*Table_NFI[[#This Row],[Sanitary Kit]],Table_NFI[Sanitary Kit])</f>
        <v>0</v>
      </c>
      <c r="AB736" s="378">
        <f>IF(NFI_Expiration=1,IF($A736&lt;VLOOKUP(K$5,NFI,5,0),1,0)*Table_NFI[[#This Row],[Mosquito net]],Table_NFI[Mosquito net])</f>
        <v>0</v>
      </c>
      <c r="AC736" s="378">
        <f>IF(NFI_Expiration=1,IF($A736&lt;VLOOKUP(L$5,NFI,5,0),1,0)*Table_NFI[[#This Row],[Tarpaulin]],Table_NFI[[#This Row],[Tarpaulin]])</f>
        <v>0</v>
      </c>
      <c r="AD736" s="378">
        <f>IF(NFI_Expiration=1,IF($A736&lt;VLOOKUP(M$5,NFI,5,0),1,0)*Table_NFI[[#This Row],[Blanket]],Table_NFI[[#This Row],[Blanket]])</f>
        <v>0</v>
      </c>
      <c r="AE736" s="378">
        <f>IF(NFI_Expiration=1,IF($A736&lt;VLOOKUP(N$5,NFI,5,0),1,0)*Table_NFI[[#This Row],[Kitchen Set]],Table_NFI[Kitchen Set])</f>
        <v>0</v>
      </c>
      <c r="AF736" s="378">
        <f>IF(NFI_Expiration=1,IF($A736&lt;VLOOKUP(O$5,NFI,5,0),1,0)*Table_NFI[[#This Row],[Clothes Kit]],Table_NFI[Clothes Kit])</f>
        <v>0</v>
      </c>
      <c r="AG736" s="378">
        <f>IF(NFI_Expiration=1,IF($A736&lt;VLOOKUP(P$5,NFI,5,0),1,0)*Table_NFI[[#This Row],[Plastic Bucket]],Table_NFI[Plastic Bucket])</f>
        <v>0</v>
      </c>
      <c r="AH736" s="378">
        <f>IF(NFI_Expiration=1,IF($A736&lt;VLOOKUP(Q$5,NFI,5,0),1,0)*Table_NFI[[#This Row],[Plastic Mat]],Table_NFI[Plastic Mat])*IF(Table_NFI[[#This Row],[Distribution Date]]&gt;"2014-04-01",1,2.5)</f>
        <v>0</v>
      </c>
      <c r="AI736" s="378">
        <f>IF(NFI_Expiration=1,IF($A736&lt;VLOOKUP(R$5,NFI,5,0),1,0)*Table_NFI[[#This Row],[Winter Clothes Adult]],Table_NFI[Winter Clothes Adult])</f>
        <v>0</v>
      </c>
      <c r="AJ736" s="378">
        <f>IF(NFI_Expiration=1,IF($A736&lt;VLOOKUP(S$5,NFI,5,0),1,0)*Table_NFI[[#This Row],[Winter Clothes Children]],Table_NFI[Winter Clothes Children])</f>
        <v>0</v>
      </c>
      <c r="AK736" s="378">
        <f>IF(NFI_Expiration=1,IF($A736&lt;VLOOKUP(T$5,NFI,5,0),1,0)*Table_NFI[[#This Row],[Winter Items Other]],Table_NFI[Winter Items Other])</f>
        <v>0</v>
      </c>
      <c r="AL736" s="378">
        <f>IF(NFI_Expiration=1,IF($A736&lt;VLOOKUP(M$5,NFI,5,0),1,0)*Table_NFI[[#This Row],[Winter Blanket]],Table_NFI[[#This Row],[Winter Blanket]])</f>
        <v>0</v>
      </c>
      <c r="AM736" s="378">
        <f>IF(Table_NFI[[#This Row],[Winter Clothes Adult]]+Table_NFI[[#This Row],[Winter Clothes Children]]+Table_NFI[[#This Row],[Winter Items Other]]+Table_NFI[[#This Row],[Winter Blanket]]&gt;0,1,0)</f>
        <v>0</v>
      </c>
      <c r="AN736" s="418">
        <f>IF(NFI_Expiration=1,IF($A736&lt;VLOOKUP(V$5,NFI,5,0),1,0)*Table_NFI[[#This Row],[Jerry Can]],Table_NFI[Jerry Can])</f>
        <v>0</v>
      </c>
      <c r="AO736" s="579" t="str">
        <f>IFERROR(VLOOKUP(Table_NFI[[#This Row],[Camp Name]],CL,2,0),"")</f>
        <v>MMR001CMP047</v>
      </c>
      <c r="AP736" s="574">
        <f ca="1">IF(Table_NFI[[#This Row],[Pcode]]="","",IF(OFFSET(CampList[Opening Date],MATCH(Table_NFI[[#This Row],[Pcode]],CampList[CP_Pcode],0)-1,0,1,1)&gt;=NFI_Monitor_Date,1,0))</f>
        <v>0</v>
      </c>
      <c r="AQ736" s="579" t="str">
        <f>IFERROR(VLOOKUP(Table_NFI[[#This Row],[Camp Name]],CL,3,0),"")</f>
        <v>Open</v>
      </c>
      <c r="AR736" s="378" t="str">
        <f ca="1">IF(Table_NFI[[#This Row],[Pcode]]="","",OFFSET(CampList[Priority],MATCH(Table_NFI[[#This Row],[Pcode]],CampList[CP_Pcode],0)-1,0,1,1))</f>
        <v>P4</v>
      </c>
      <c r="AS736" s="377">
        <f>IFERROR(Table_NFI[[#This Row],[Kitchen Set]]/VLOOKUP(Table_NFI[[#This Row],[Camp Name]],CL,4,0),"")</f>
        <v>3.1796502384737677E-2</v>
      </c>
      <c r="AT736" s="572" t="s">
        <v>1095</v>
      </c>
      <c r="AU736" s="575"/>
    </row>
    <row r="737" spans="1:47" x14ac:dyDescent="0.25">
      <c r="A737" s="381">
        <f t="shared" si="11"/>
        <v>30.333333333333332</v>
      </c>
      <c r="B737" s="571">
        <v>41612</v>
      </c>
      <c r="C737" s="572" t="s">
        <v>454</v>
      </c>
      <c r="D737" s="573" t="s">
        <v>454</v>
      </c>
      <c r="E737" s="572" t="s">
        <v>380</v>
      </c>
      <c r="F737" s="374" t="s">
        <v>5</v>
      </c>
      <c r="G737" s="374" t="s">
        <v>22</v>
      </c>
      <c r="H737" s="375"/>
      <c r="I737" s="375"/>
      <c r="J737" s="375"/>
      <c r="K737" s="375"/>
      <c r="L737" s="376"/>
      <c r="M737" s="376">
        <v>120</v>
      </c>
      <c r="N737" s="376"/>
      <c r="O737" s="376"/>
      <c r="P737" s="378"/>
      <c r="Q737" s="378"/>
      <c r="R737" s="378"/>
      <c r="S737" s="378"/>
      <c r="T737" s="378"/>
      <c r="U737" s="378"/>
      <c r="V737" s="533"/>
      <c r="W737" s="378"/>
      <c r="X737" s="378"/>
      <c r="Y737" s="378">
        <f>IF(NFI_Expiration=1,IF($A737&lt;VLOOKUP(H$5,NFI,5,0),1,0)*Table_NFI[[#This Row],[Hygiene Kit]],Table_NFI[Hygiene Kit])</f>
        <v>0</v>
      </c>
      <c r="Z737" s="378">
        <f>IF(NFI_Expiration=1,IF($A737&lt;VLOOKUP(I$5,NFI,5,0),1,0)*Table_NFI[[#This Row],[NFI Core Kit]],Table_NFI[NFI Core Kit])</f>
        <v>0</v>
      </c>
      <c r="AA737" s="378">
        <f>IF(NFI_Expiration=1,IF($A737&lt;VLOOKUP(J$5,NFI,5,0),1,0)*Table_NFI[[#This Row],[Sanitary Kit]],Table_NFI[Sanitary Kit])</f>
        <v>0</v>
      </c>
      <c r="AB737" s="378">
        <f>IF(NFI_Expiration=1,IF($A737&lt;VLOOKUP(K$5,NFI,5,0),1,0)*Table_NFI[[#This Row],[Mosquito net]],Table_NFI[Mosquito net])</f>
        <v>0</v>
      </c>
      <c r="AC737" s="378">
        <f>IF(NFI_Expiration=1,IF($A737&lt;VLOOKUP(L$5,NFI,5,0),1,0)*Table_NFI[[#This Row],[Tarpaulin]],Table_NFI[[#This Row],[Tarpaulin]])</f>
        <v>0</v>
      </c>
      <c r="AD737" s="378">
        <f>IF(NFI_Expiration=1,IF($A737&lt;VLOOKUP(M$5,NFI,5,0),1,0)*Table_NFI[[#This Row],[Blanket]],Table_NFI[[#This Row],[Blanket]])</f>
        <v>0</v>
      </c>
      <c r="AE737" s="378">
        <f>IF(NFI_Expiration=1,IF($A737&lt;VLOOKUP(N$5,NFI,5,0),1,0)*Table_NFI[[#This Row],[Kitchen Set]],Table_NFI[Kitchen Set])</f>
        <v>0</v>
      </c>
      <c r="AF737" s="378">
        <f>IF(NFI_Expiration=1,IF($A737&lt;VLOOKUP(O$5,NFI,5,0),1,0)*Table_NFI[[#This Row],[Clothes Kit]],Table_NFI[Clothes Kit])</f>
        <v>0</v>
      </c>
      <c r="AG737" s="378">
        <f>IF(NFI_Expiration=1,IF($A737&lt;VLOOKUP(P$5,NFI,5,0),1,0)*Table_NFI[[#This Row],[Plastic Bucket]],Table_NFI[Plastic Bucket])</f>
        <v>0</v>
      </c>
      <c r="AH737" s="378">
        <f>IF(NFI_Expiration=1,IF($A737&lt;VLOOKUP(Q$5,NFI,5,0),1,0)*Table_NFI[[#This Row],[Plastic Mat]],Table_NFI[Plastic Mat])*IF(Table_NFI[[#This Row],[Distribution Date]]&gt;"2014-04-01",1,2.5)</f>
        <v>0</v>
      </c>
      <c r="AI737" s="378">
        <f>IF(NFI_Expiration=1,IF($A737&lt;VLOOKUP(R$5,NFI,5,0),1,0)*Table_NFI[[#This Row],[Winter Clothes Adult]],Table_NFI[Winter Clothes Adult])</f>
        <v>0</v>
      </c>
      <c r="AJ737" s="378">
        <f>IF(NFI_Expiration=1,IF($A737&lt;VLOOKUP(S$5,NFI,5,0),1,0)*Table_NFI[[#This Row],[Winter Clothes Children]],Table_NFI[Winter Clothes Children])</f>
        <v>0</v>
      </c>
      <c r="AK737" s="378">
        <f>IF(NFI_Expiration=1,IF($A737&lt;VLOOKUP(T$5,NFI,5,0),1,0)*Table_NFI[[#This Row],[Winter Items Other]],Table_NFI[Winter Items Other])</f>
        <v>0</v>
      </c>
      <c r="AL737" s="378">
        <f>IF(NFI_Expiration=1,IF($A737&lt;VLOOKUP(M$5,NFI,5,0),1,0)*Table_NFI[[#This Row],[Winter Blanket]],Table_NFI[[#This Row],[Winter Blanket]])</f>
        <v>0</v>
      </c>
      <c r="AM737" s="378">
        <f>IF(Table_NFI[[#This Row],[Winter Clothes Adult]]+Table_NFI[[#This Row],[Winter Clothes Children]]+Table_NFI[[#This Row],[Winter Items Other]]+Table_NFI[[#This Row],[Winter Blanket]]&gt;0,1,0)</f>
        <v>0</v>
      </c>
      <c r="AN737" s="418">
        <f>IF(NFI_Expiration=1,IF($A737&lt;VLOOKUP(V$5,NFI,5,0),1,0)*Table_NFI[[#This Row],[Jerry Can]],Table_NFI[Jerry Can])</f>
        <v>0</v>
      </c>
      <c r="AO737" s="579" t="str">
        <f>IFERROR(VLOOKUP(Table_NFI[[#This Row],[Camp Name]],CL,2,0),"")</f>
        <v>MMR001CMP047</v>
      </c>
      <c r="AP737" s="574">
        <f ca="1">IF(Table_NFI[[#This Row],[Pcode]]="","",IF(OFFSET(CampList[Opening Date],MATCH(Table_NFI[[#This Row],[Pcode]],CampList[CP_Pcode],0)-1,0,1,1)&gt;=NFI_Monitor_Date,1,0))</f>
        <v>0</v>
      </c>
      <c r="AQ737" s="579" t="str">
        <f>IFERROR(VLOOKUP(Table_NFI[[#This Row],[Camp Name]],CL,3,0),"")</f>
        <v>Open</v>
      </c>
      <c r="AR737" s="378" t="str">
        <f ca="1">IF(Table_NFI[[#This Row],[Pcode]]="","",OFFSET(CampList[Priority],MATCH(Table_NFI[[#This Row],[Pcode]],CampList[CP_Pcode],0)-1,0,1,1))</f>
        <v>P4</v>
      </c>
      <c r="AS737" s="377">
        <f>IFERROR(Table_NFI[[#This Row],[Kitchen Set]]/VLOOKUP(Table_NFI[[#This Row],[Camp Name]],CL,4,0),"")</f>
        <v>0</v>
      </c>
      <c r="AT737" s="572" t="s">
        <v>1095</v>
      </c>
      <c r="AU737" s="575"/>
    </row>
    <row r="738" spans="1:47" x14ac:dyDescent="0.25">
      <c r="A738" s="381">
        <f t="shared" si="11"/>
        <v>30.333333333333332</v>
      </c>
      <c r="B738" s="571">
        <v>41612</v>
      </c>
      <c r="C738" s="572" t="s">
        <v>454</v>
      </c>
      <c r="D738" s="573" t="s">
        <v>454</v>
      </c>
      <c r="E738" s="572" t="s">
        <v>380</v>
      </c>
      <c r="F738" s="374" t="s">
        <v>5</v>
      </c>
      <c r="G738" s="374" t="s">
        <v>22</v>
      </c>
      <c r="H738" s="375"/>
      <c r="I738" s="375"/>
      <c r="J738" s="375"/>
      <c r="K738" s="375"/>
      <c r="L738" s="376">
        <v>5</v>
      </c>
      <c r="M738" s="376"/>
      <c r="N738" s="376"/>
      <c r="O738" s="376"/>
      <c r="P738" s="378"/>
      <c r="Q738" s="378"/>
      <c r="R738" s="378"/>
      <c r="S738" s="378"/>
      <c r="T738" s="378"/>
      <c r="U738" s="378"/>
      <c r="V738" s="533"/>
      <c r="W738" s="378"/>
      <c r="X738" s="378"/>
      <c r="Y738" s="378">
        <f>IF(NFI_Expiration=1,IF($A738&lt;VLOOKUP(H$5,NFI,5,0),1,0)*Table_NFI[[#This Row],[Hygiene Kit]],Table_NFI[Hygiene Kit])</f>
        <v>0</v>
      </c>
      <c r="Z738" s="378">
        <f>IF(NFI_Expiration=1,IF($A738&lt;VLOOKUP(I$5,NFI,5,0),1,0)*Table_NFI[[#This Row],[NFI Core Kit]],Table_NFI[NFI Core Kit])</f>
        <v>0</v>
      </c>
      <c r="AA738" s="378">
        <f>IF(NFI_Expiration=1,IF($A738&lt;VLOOKUP(J$5,NFI,5,0),1,0)*Table_NFI[[#This Row],[Sanitary Kit]],Table_NFI[Sanitary Kit])</f>
        <v>0</v>
      </c>
      <c r="AB738" s="378">
        <f>IF(NFI_Expiration=1,IF($A738&lt;VLOOKUP(K$5,NFI,5,0),1,0)*Table_NFI[[#This Row],[Mosquito net]],Table_NFI[Mosquito net])</f>
        <v>0</v>
      </c>
      <c r="AC738" s="378">
        <f>IF(NFI_Expiration=1,IF($A738&lt;VLOOKUP(L$5,NFI,5,0),1,0)*Table_NFI[[#This Row],[Tarpaulin]],Table_NFI[[#This Row],[Tarpaulin]])</f>
        <v>0</v>
      </c>
      <c r="AD738" s="378">
        <f>IF(NFI_Expiration=1,IF($A738&lt;VLOOKUP(M$5,NFI,5,0),1,0)*Table_NFI[[#This Row],[Blanket]],Table_NFI[[#This Row],[Blanket]])</f>
        <v>0</v>
      </c>
      <c r="AE738" s="378">
        <f>IF(NFI_Expiration=1,IF($A738&lt;VLOOKUP(N$5,NFI,5,0),1,0)*Table_NFI[[#This Row],[Kitchen Set]],Table_NFI[Kitchen Set])</f>
        <v>0</v>
      </c>
      <c r="AF738" s="378">
        <f>IF(NFI_Expiration=1,IF($A738&lt;VLOOKUP(O$5,NFI,5,0),1,0)*Table_NFI[[#This Row],[Clothes Kit]],Table_NFI[Clothes Kit])</f>
        <v>0</v>
      </c>
      <c r="AG738" s="378">
        <f>IF(NFI_Expiration=1,IF($A738&lt;VLOOKUP(P$5,NFI,5,0),1,0)*Table_NFI[[#This Row],[Plastic Bucket]],Table_NFI[Plastic Bucket])</f>
        <v>0</v>
      </c>
      <c r="AH738" s="378">
        <f>IF(NFI_Expiration=1,IF($A738&lt;VLOOKUP(Q$5,NFI,5,0),1,0)*Table_NFI[[#This Row],[Plastic Mat]],Table_NFI[Plastic Mat])*IF(Table_NFI[[#This Row],[Distribution Date]]&gt;"2014-04-01",1,2.5)</f>
        <v>0</v>
      </c>
      <c r="AI738" s="378">
        <f>IF(NFI_Expiration=1,IF($A738&lt;VLOOKUP(R$5,NFI,5,0),1,0)*Table_NFI[[#This Row],[Winter Clothes Adult]],Table_NFI[Winter Clothes Adult])</f>
        <v>0</v>
      </c>
      <c r="AJ738" s="378">
        <f>IF(NFI_Expiration=1,IF($A738&lt;VLOOKUP(S$5,NFI,5,0),1,0)*Table_NFI[[#This Row],[Winter Clothes Children]],Table_NFI[Winter Clothes Children])</f>
        <v>0</v>
      </c>
      <c r="AK738" s="378">
        <f>IF(NFI_Expiration=1,IF($A738&lt;VLOOKUP(T$5,NFI,5,0),1,0)*Table_NFI[[#This Row],[Winter Items Other]],Table_NFI[Winter Items Other])</f>
        <v>0</v>
      </c>
      <c r="AL738" s="378">
        <f>IF(NFI_Expiration=1,IF($A738&lt;VLOOKUP(M$5,NFI,5,0),1,0)*Table_NFI[[#This Row],[Winter Blanket]],Table_NFI[[#This Row],[Winter Blanket]])</f>
        <v>0</v>
      </c>
      <c r="AM738" s="378">
        <f>IF(Table_NFI[[#This Row],[Winter Clothes Adult]]+Table_NFI[[#This Row],[Winter Clothes Children]]+Table_NFI[[#This Row],[Winter Items Other]]+Table_NFI[[#This Row],[Winter Blanket]]&gt;0,1,0)</f>
        <v>0</v>
      </c>
      <c r="AN738" s="418">
        <f>IF(NFI_Expiration=1,IF($A738&lt;VLOOKUP(V$5,NFI,5,0),1,0)*Table_NFI[[#This Row],[Jerry Can]],Table_NFI[Jerry Can])</f>
        <v>0</v>
      </c>
      <c r="AO738" s="579" t="str">
        <f>IFERROR(VLOOKUP(Table_NFI[[#This Row],[Camp Name]],CL,2,0),"")</f>
        <v>MMR001CMP047</v>
      </c>
      <c r="AP738" s="574">
        <f ca="1">IF(Table_NFI[[#This Row],[Pcode]]="","",IF(OFFSET(CampList[Opening Date],MATCH(Table_NFI[[#This Row],[Pcode]],CampList[CP_Pcode],0)-1,0,1,1)&gt;=NFI_Monitor_Date,1,0))</f>
        <v>0</v>
      </c>
      <c r="AQ738" s="579" t="str">
        <f>IFERROR(VLOOKUP(Table_NFI[[#This Row],[Camp Name]],CL,3,0),"")</f>
        <v>Open</v>
      </c>
      <c r="AR738" s="378" t="str">
        <f ca="1">IF(Table_NFI[[#This Row],[Pcode]]="","",OFFSET(CampList[Priority],MATCH(Table_NFI[[#This Row],[Pcode]],CampList[CP_Pcode],0)-1,0,1,1))</f>
        <v>P4</v>
      </c>
      <c r="AS738" s="377">
        <f>IFERROR(Table_NFI[[#This Row],[Kitchen Set]]/VLOOKUP(Table_NFI[[#This Row],[Camp Name]],CL,4,0),"")</f>
        <v>0</v>
      </c>
      <c r="AT738" s="572" t="s">
        <v>1095</v>
      </c>
      <c r="AU738" s="575"/>
    </row>
    <row r="739" spans="1:47" x14ac:dyDescent="0.25">
      <c r="A739" s="381">
        <f t="shared" si="11"/>
        <v>30.433333333333334</v>
      </c>
      <c r="B739" s="571">
        <v>41609</v>
      </c>
      <c r="C739" s="572" t="s">
        <v>454</v>
      </c>
      <c r="D739" s="573" t="s">
        <v>454</v>
      </c>
      <c r="E739" s="572" t="s">
        <v>380</v>
      </c>
      <c r="F739" s="374" t="s">
        <v>5</v>
      </c>
      <c r="G739" s="374" t="s">
        <v>22</v>
      </c>
      <c r="H739" s="375"/>
      <c r="I739" s="375"/>
      <c r="J739" s="375"/>
      <c r="K739" s="375"/>
      <c r="L739" s="376"/>
      <c r="M739" s="376">
        <v>30</v>
      </c>
      <c r="N739" s="376"/>
      <c r="O739" s="376"/>
      <c r="P739" s="378"/>
      <c r="Q739" s="378"/>
      <c r="R739" s="378"/>
      <c r="S739" s="378"/>
      <c r="T739" s="378"/>
      <c r="U739" s="378"/>
      <c r="V739" s="533"/>
      <c r="W739" s="378"/>
      <c r="X739" s="378"/>
      <c r="Y739" s="378">
        <f>IF(NFI_Expiration=1,IF($A739&lt;VLOOKUP(H$5,NFI,5,0),1,0)*Table_NFI[[#This Row],[Hygiene Kit]],Table_NFI[Hygiene Kit])</f>
        <v>0</v>
      </c>
      <c r="Z739" s="378">
        <f>IF(NFI_Expiration=1,IF($A739&lt;VLOOKUP(I$5,NFI,5,0),1,0)*Table_NFI[[#This Row],[NFI Core Kit]],Table_NFI[NFI Core Kit])</f>
        <v>0</v>
      </c>
      <c r="AA739" s="378">
        <f>IF(NFI_Expiration=1,IF($A739&lt;VLOOKUP(J$5,NFI,5,0),1,0)*Table_NFI[[#This Row],[Sanitary Kit]],Table_NFI[Sanitary Kit])</f>
        <v>0</v>
      </c>
      <c r="AB739" s="378">
        <f>IF(NFI_Expiration=1,IF($A739&lt;VLOOKUP(K$5,NFI,5,0),1,0)*Table_NFI[[#This Row],[Mosquito net]],Table_NFI[Mosquito net])</f>
        <v>0</v>
      </c>
      <c r="AC739" s="378">
        <f>IF(NFI_Expiration=1,IF($A739&lt;VLOOKUP(L$5,NFI,5,0),1,0)*Table_NFI[[#This Row],[Tarpaulin]],Table_NFI[[#This Row],[Tarpaulin]])</f>
        <v>0</v>
      </c>
      <c r="AD739" s="378">
        <f>IF(NFI_Expiration=1,IF($A739&lt;VLOOKUP(M$5,NFI,5,0),1,0)*Table_NFI[[#This Row],[Blanket]],Table_NFI[[#This Row],[Blanket]])</f>
        <v>0</v>
      </c>
      <c r="AE739" s="378">
        <f>IF(NFI_Expiration=1,IF($A739&lt;VLOOKUP(N$5,NFI,5,0),1,0)*Table_NFI[[#This Row],[Kitchen Set]],Table_NFI[Kitchen Set])</f>
        <v>0</v>
      </c>
      <c r="AF739" s="378">
        <f>IF(NFI_Expiration=1,IF($A739&lt;VLOOKUP(O$5,NFI,5,0),1,0)*Table_NFI[[#This Row],[Clothes Kit]],Table_NFI[Clothes Kit])</f>
        <v>0</v>
      </c>
      <c r="AG739" s="378">
        <f>IF(NFI_Expiration=1,IF($A739&lt;VLOOKUP(P$5,NFI,5,0),1,0)*Table_NFI[[#This Row],[Plastic Bucket]],Table_NFI[Plastic Bucket])</f>
        <v>0</v>
      </c>
      <c r="AH739" s="378">
        <f>IF(NFI_Expiration=1,IF($A739&lt;VLOOKUP(Q$5,NFI,5,0),1,0)*Table_NFI[[#This Row],[Plastic Mat]],Table_NFI[Plastic Mat])*IF(Table_NFI[[#This Row],[Distribution Date]]&gt;"2014-04-01",1,2.5)</f>
        <v>0</v>
      </c>
      <c r="AI739" s="378">
        <f>IF(NFI_Expiration=1,IF($A739&lt;VLOOKUP(R$5,NFI,5,0),1,0)*Table_NFI[[#This Row],[Winter Clothes Adult]],Table_NFI[Winter Clothes Adult])</f>
        <v>0</v>
      </c>
      <c r="AJ739" s="378">
        <f>IF(NFI_Expiration=1,IF($A739&lt;VLOOKUP(S$5,NFI,5,0),1,0)*Table_NFI[[#This Row],[Winter Clothes Children]],Table_NFI[Winter Clothes Children])</f>
        <v>0</v>
      </c>
      <c r="AK739" s="378">
        <f>IF(NFI_Expiration=1,IF($A739&lt;VLOOKUP(T$5,NFI,5,0),1,0)*Table_NFI[[#This Row],[Winter Items Other]],Table_NFI[Winter Items Other])</f>
        <v>0</v>
      </c>
      <c r="AL739" s="378">
        <f>IF(NFI_Expiration=1,IF($A739&lt;VLOOKUP(M$5,NFI,5,0),1,0)*Table_NFI[[#This Row],[Winter Blanket]],Table_NFI[[#This Row],[Winter Blanket]])</f>
        <v>0</v>
      </c>
      <c r="AM739" s="378">
        <f>IF(Table_NFI[[#This Row],[Winter Clothes Adult]]+Table_NFI[[#This Row],[Winter Clothes Children]]+Table_NFI[[#This Row],[Winter Items Other]]+Table_NFI[[#This Row],[Winter Blanket]]&gt;0,1,0)</f>
        <v>0</v>
      </c>
      <c r="AN739" s="418">
        <f>IF(NFI_Expiration=1,IF($A739&lt;VLOOKUP(V$5,NFI,5,0),1,0)*Table_NFI[[#This Row],[Jerry Can]],Table_NFI[Jerry Can])</f>
        <v>0</v>
      </c>
      <c r="AO739" s="579" t="str">
        <f>IFERROR(VLOOKUP(Table_NFI[[#This Row],[Camp Name]],CL,2,0),"")</f>
        <v>MMR001CMP047</v>
      </c>
      <c r="AP739" s="574">
        <f ca="1">IF(Table_NFI[[#This Row],[Pcode]]="","",IF(OFFSET(CampList[Opening Date],MATCH(Table_NFI[[#This Row],[Pcode]],CampList[CP_Pcode],0)-1,0,1,1)&gt;=NFI_Monitor_Date,1,0))</f>
        <v>0</v>
      </c>
      <c r="AQ739" s="579" t="str">
        <f>IFERROR(VLOOKUP(Table_NFI[[#This Row],[Camp Name]],CL,3,0),"")</f>
        <v>Open</v>
      </c>
      <c r="AR739" s="378" t="str">
        <f ca="1">IF(Table_NFI[[#This Row],[Pcode]]="","",OFFSET(CampList[Priority],MATCH(Table_NFI[[#This Row],[Pcode]],CampList[CP_Pcode],0)-1,0,1,1))</f>
        <v>P4</v>
      </c>
      <c r="AS739" s="377">
        <f>IFERROR(Table_NFI[[#This Row],[Kitchen Set]]/VLOOKUP(Table_NFI[[#This Row],[Camp Name]],CL,4,0),"")</f>
        <v>0</v>
      </c>
      <c r="AT739" s="572" t="s">
        <v>1095</v>
      </c>
      <c r="AU739" s="575"/>
    </row>
    <row r="740" spans="1:47" x14ac:dyDescent="0.25">
      <c r="A740" s="381">
        <f t="shared" si="11"/>
        <v>30.466666666666665</v>
      </c>
      <c r="B740" s="571">
        <v>41608</v>
      </c>
      <c r="C740" s="572" t="s">
        <v>908</v>
      </c>
      <c r="D740" s="572"/>
      <c r="E740" s="572" t="s">
        <v>380</v>
      </c>
      <c r="F740" s="374" t="s">
        <v>5</v>
      </c>
      <c r="G740" s="374" t="s">
        <v>22</v>
      </c>
      <c r="H740" s="375"/>
      <c r="I740" s="375"/>
      <c r="J740" s="375"/>
      <c r="K740" s="375"/>
      <c r="L740" s="376"/>
      <c r="M740" s="376"/>
      <c r="N740" s="376"/>
      <c r="O740" s="376"/>
      <c r="P740" s="378"/>
      <c r="Q740" s="378">
        <v>1164</v>
      </c>
      <c r="R740" s="378"/>
      <c r="S740" s="378"/>
      <c r="T740" s="378"/>
      <c r="U740" s="378"/>
      <c r="V740" s="533"/>
      <c r="W740" s="378"/>
      <c r="X740" s="378"/>
      <c r="Y740" s="378">
        <f>IF(NFI_Expiration=1,IF($A740&lt;VLOOKUP(H$5,NFI,5,0),1,0)*Table_NFI[[#This Row],[Hygiene Kit]],Table_NFI[Hygiene Kit])</f>
        <v>0</v>
      </c>
      <c r="Z740" s="378">
        <f>IF(NFI_Expiration=1,IF($A740&lt;VLOOKUP(I$5,NFI,5,0),1,0)*Table_NFI[[#This Row],[NFI Core Kit]],Table_NFI[NFI Core Kit])</f>
        <v>0</v>
      </c>
      <c r="AA740" s="378">
        <f>IF(NFI_Expiration=1,IF($A740&lt;VLOOKUP(J$5,NFI,5,0),1,0)*Table_NFI[[#This Row],[Sanitary Kit]],Table_NFI[Sanitary Kit])</f>
        <v>0</v>
      </c>
      <c r="AB740" s="378">
        <f>IF(NFI_Expiration=1,IF($A740&lt;VLOOKUP(K$5,NFI,5,0),1,0)*Table_NFI[[#This Row],[Mosquito net]],Table_NFI[Mosquito net])</f>
        <v>0</v>
      </c>
      <c r="AC740" s="378">
        <f>IF(NFI_Expiration=1,IF($A740&lt;VLOOKUP(L$5,NFI,5,0),1,0)*Table_NFI[[#This Row],[Tarpaulin]],Table_NFI[[#This Row],[Tarpaulin]])</f>
        <v>0</v>
      </c>
      <c r="AD740" s="378">
        <f>IF(NFI_Expiration=1,IF($A740&lt;VLOOKUP(M$5,NFI,5,0),1,0)*Table_NFI[[#This Row],[Blanket]],Table_NFI[[#This Row],[Blanket]])</f>
        <v>0</v>
      </c>
      <c r="AE740" s="378">
        <f>IF(NFI_Expiration=1,IF($A740&lt;VLOOKUP(N$5,NFI,5,0),1,0)*Table_NFI[[#This Row],[Kitchen Set]],Table_NFI[Kitchen Set])</f>
        <v>0</v>
      </c>
      <c r="AF740" s="378">
        <f>IF(NFI_Expiration=1,IF($A740&lt;VLOOKUP(O$5,NFI,5,0),1,0)*Table_NFI[[#This Row],[Clothes Kit]],Table_NFI[Clothes Kit])</f>
        <v>0</v>
      </c>
      <c r="AG740" s="378">
        <f>IF(NFI_Expiration=1,IF($A740&lt;VLOOKUP(P$5,NFI,5,0),1,0)*Table_NFI[[#This Row],[Plastic Bucket]],Table_NFI[Plastic Bucket])</f>
        <v>0</v>
      </c>
      <c r="AH740" s="378">
        <f>IF(NFI_Expiration=1,IF($A740&lt;VLOOKUP(Q$5,NFI,5,0),1,0)*Table_NFI[[#This Row],[Plastic Mat]],Table_NFI[Plastic Mat])*IF(Table_NFI[[#This Row],[Distribution Date]]&gt;"2014-04-01",1,2.5)</f>
        <v>0</v>
      </c>
      <c r="AI740" s="378">
        <f>IF(NFI_Expiration=1,IF($A740&lt;VLOOKUP(R$5,NFI,5,0),1,0)*Table_NFI[[#This Row],[Winter Clothes Adult]],Table_NFI[Winter Clothes Adult])</f>
        <v>0</v>
      </c>
      <c r="AJ740" s="378">
        <f>IF(NFI_Expiration=1,IF($A740&lt;VLOOKUP(S$5,NFI,5,0),1,0)*Table_NFI[[#This Row],[Winter Clothes Children]],Table_NFI[Winter Clothes Children])</f>
        <v>0</v>
      </c>
      <c r="AK740" s="378">
        <f>IF(NFI_Expiration=1,IF($A740&lt;VLOOKUP(T$5,NFI,5,0),1,0)*Table_NFI[[#This Row],[Winter Items Other]],Table_NFI[Winter Items Other])</f>
        <v>0</v>
      </c>
      <c r="AL740" s="378">
        <f>IF(NFI_Expiration=1,IF($A740&lt;VLOOKUP(M$5,NFI,5,0),1,0)*Table_NFI[[#This Row],[Winter Blanket]],Table_NFI[[#This Row],[Winter Blanket]])</f>
        <v>0</v>
      </c>
      <c r="AM740" s="378">
        <f>IF(Table_NFI[[#This Row],[Winter Clothes Adult]]+Table_NFI[[#This Row],[Winter Clothes Children]]+Table_NFI[[#This Row],[Winter Items Other]]+Table_NFI[[#This Row],[Winter Blanket]]&gt;0,1,0)</f>
        <v>0</v>
      </c>
      <c r="AN740" s="418">
        <f>IF(NFI_Expiration=1,IF($A740&lt;VLOOKUP(V$5,NFI,5,0),1,0)*Table_NFI[[#This Row],[Jerry Can]],Table_NFI[Jerry Can])</f>
        <v>0</v>
      </c>
      <c r="AO740" s="579" t="str">
        <f>IFERROR(VLOOKUP(Table_NFI[[#This Row],[Camp Name]],CL,2,0),"")</f>
        <v>MMR001CMP047</v>
      </c>
      <c r="AP740" s="574">
        <f ca="1">IF(Table_NFI[[#This Row],[Pcode]]="","",IF(OFFSET(CampList[Opening Date],MATCH(Table_NFI[[#This Row],[Pcode]],CampList[CP_Pcode],0)-1,0,1,1)&gt;=NFI_Monitor_Date,1,0))</f>
        <v>0</v>
      </c>
      <c r="AQ740" s="579" t="str">
        <f>IFERROR(VLOOKUP(Table_NFI[[#This Row],[Camp Name]],CL,3,0),"")</f>
        <v>Open</v>
      </c>
      <c r="AR740" s="378" t="str">
        <f ca="1">IF(Table_NFI[[#This Row],[Pcode]]="","",OFFSET(CampList[Priority],MATCH(Table_NFI[[#This Row],[Pcode]],CampList[CP_Pcode],0)-1,0,1,1))</f>
        <v>P4</v>
      </c>
      <c r="AS740" s="377">
        <f>IFERROR(Table_NFI[[#This Row],[Kitchen Set]]/VLOOKUP(Table_NFI[[#This Row],[Camp Name]],CL,4,0),"")</f>
        <v>0</v>
      </c>
      <c r="AT740" s="572" t="s">
        <v>1095</v>
      </c>
      <c r="AU740" s="575"/>
    </row>
    <row r="741" spans="1:47" x14ac:dyDescent="0.25">
      <c r="A741" s="381">
        <f t="shared" si="11"/>
        <v>30.466666666666665</v>
      </c>
      <c r="B741" s="571">
        <v>41608</v>
      </c>
      <c r="C741" s="572" t="s">
        <v>454</v>
      </c>
      <c r="D741" s="573" t="s">
        <v>454</v>
      </c>
      <c r="E741" s="572" t="s">
        <v>380</v>
      </c>
      <c r="F741" s="572" t="s">
        <v>5</v>
      </c>
      <c r="G741" s="374" t="s">
        <v>22</v>
      </c>
      <c r="H741" s="375"/>
      <c r="I741" s="375"/>
      <c r="J741" s="375"/>
      <c r="K741" s="375">
        <v>75</v>
      </c>
      <c r="L741" s="376">
        <v>36</v>
      </c>
      <c r="M741" s="376">
        <v>75</v>
      </c>
      <c r="N741" s="376">
        <v>36</v>
      </c>
      <c r="O741" s="376">
        <v>36</v>
      </c>
      <c r="P741" s="378"/>
      <c r="Q741" s="378"/>
      <c r="R741" s="378"/>
      <c r="S741" s="378"/>
      <c r="T741" s="378"/>
      <c r="U741" s="378"/>
      <c r="V741" s="533"/>
      <c r="W741" s="378"/>
      <c r="X741" s="378"/>
      <c r="Y741" s="378">
        <f>IF(NFI_Expiration=1,IF($A741&lt;VLOOKUP(H$5,NFI,5,0),1,0)*Table_NFI[[#This Row],[Hygiene Kit]],Table_NFI[Hygiene Kit])</f>
        <v>0</v>
      </c>
      <c r="Z741" s="378">
        <f>IF(NFI_Expiration=1,IF($A741&lt;VLOOKUP(I$5,NFI,5,0),1,0)*Table_NFI[[#This Row],[NFI Core Kit]],Table_NFI[NFI Core Kit])</f>
        <v>0</v>
      </c>
      <c r="AA741" s="378">
        <f>IF(NFI_Expiration=1,IF($A741&lt;VLOOKUP(J$5,NFI,5,0),1,0)*Table_NFI[[#This Row],[Sanitary Kit]],Table_NFI[Sanitary Kit])</f>
        <v>0</v>
      </c>
      <c r="AB741" s="378">
        <f>IF(NFI_Expiration=1,IF($A741&lt;VLOOKUP(K$5,NFI,5,0),1,0)*Table_NFI[[#This Row],[Mosquito net]],Table_NFI[Mosquito net])</f>
        <v>0</v>
      </c>
      <c r="AC741" s="378">
        <f>IF(NFI_Expiration=1,IF($A741&lt;VLOOKUP(L$5,NFI,5,0),1,0)*Table_NFI[[#This Row],[Tarpaulin]],Table_NFI[[#This Row],[Tarpaulin]])</f>
        <v>0</v>
      </c>
      <c r="AD741" s="378">
        <f>IF(NFI_Expiration=1,IF($A741&lt;VLOOKUP(M$5,NFI,5,0),1,0)*Table_NFI[[#This Row],[Blanket]],Table_NFI[[#This Row],[Blanket]])</f>
        <v>0</v>
      </c>
      <c r="AE741" s="378">
        <f>IF(NFI_Expiration=1,IF($A741&lt;VLOOKUP(N$5,NFI,5,0),1,0)*Table_NFI[[#This Row],[Kitchen Set]],Table_NFI[Kitchen Set])</f>
        <v>0</v>
      </c>
      <c r="AF741" s="378">
        <f>IF(NFI_Expiration=1,IF($A741&lt;VLOOKUP(O$5,NFI,5,0),1,0)*Table_NFI[[#This Row],[Clothes Kit]],Table_NFI[Clothes Kit])</f>
        <v>0</v>
      </c>
      <c r="AG741" s="378">
        <f>IF(NFI_Expiration=1,IF($A741&lt;VLOOKUP(P$5,NFI,5,0),1,0)*Table_NFI[[#This Row],[Plastic Bucket]],Table_NFI[Plastic Bucket])</f>
        <v>0</v>
      </c>
      <c r="AH741" s="378">
        <f>IF(NFI_Expiration=1,IF($A741&lt;VLOOKUP(Q$5,NFI,5,0),1,0)*Table_NFI[[#This Row],[Plastic Mat]],Table_NFI[Plastic Mat])*IF(Table_NFI[[#This Row],[Distribution Date]]&gt;"2014-04-01",1,2.5)</f>
        <v>0</v>
      </c>
      <c r="AI741" s="378">
        <f>IF(NFI_Expiration=1,IF($A741&lt;VLOOKUP(R$5,NFI,5,0),1,0)*Table_NFI[[#This Row],[Winter Clothes Adult]],Table_NFI[Winter Clothes Adult])</f>
        <v>0</v>
      </c>
      <c r="AJ741" s="378">
        <f>IF(NFI_Expiration=1,IF($A741&lt;VLOOKUP(S$5,NFI,5,0),1,0)*Table_NFI[[#This Row],[Winter Clothes Children]],Table_NFI[Winter Clothes Children])</f>
        <v>0</v>
      </c>
      <c r="AK741" s="378">
        <f>IF(NFI_Expiration=1,IF($A741&lt;VLOOKUP(T$5,NFI,5,0),1,0)*Table_NFI[[#This Row],[Winter Items Other]],Table_NFI[Winter Items Other])</f>
        <v>0</v>
      </c>
      <c r="AL741" s="378">
        <f>IF(NFI_Expiration=1,IF($A741&lt;VLOOKUP(M$5,NFI,5,0),1,0)*Table_NFI[[#This Row],[Winter Blanket]],Table_NFI[[#This Row],[Winter Blanket]])</f>
        <v>0</v>
      </c>
      <c r="AM741" s="378">
        <f>IF(Table_NFI[[#This Row],[Winter Clothes Adult]]+Table_NFI[[#This Row],[Winter Clothes Children]]+Table_NFI[[#This Row],[Winter Items Other]]+Table_NFI[[#This Row],[Winter Blanket]]&gt;0,1,0)</f>
        <v>0</v>
      </c>
      <c r="AN741" s="418">
        <f>IF(NFI_Expiration=1,IF($A741&lt;VLOOKUP(V$5,NFI,5,0),1,0)*Table_NFI[[#This Row],[Jerry Can]],Table_NFI[Jerry Can])</f>
        <v>0</v>
      </c>
      <c r="AO741" s="579" t="str">
        <f>IFERROR(VLOOKUP(Table_NFI[[#This Row],[Camp Name]],CL,2,0),"")</f>
        <v>MMR001CMP047</v>
      </c>
      <c r="AP741" s="574">
        <f ca="1">IF(Table_NFI[[#This Row],[Pcode]]="","",IF(OFFSET(CampList[Opening Date],MATCH(Table_NFI[[#This Row],[Pcode]],CampList[CP_Pcode],0)-1,0,1,1)&gt;=NFI_Monitor_Date,1,0))</f>
        <v>0</v>
      </c>
      <c r="AQ741" s="579" t="str">
        <f>IFERROR(VLOOKUP(Table_NFI[[#This Row],[Camp Name]],CL,3,0),"")</f>
        <v>Open</v>
      </c>
      <c r="AR741" s="378" t="str">
        <f ca="1">IF(Table_NFI[[#This Row],[Pcode]]="","",OFFSET(CampList[Priority],MATCH(Table_NFI[[#This Row],[Pcode]],CampList[CP_Pcode],0)-1,0,1,1))</f>
        <v>P4</v>
      </c>
      <c r="AS741" s="377">
        <f>IFERROR(Table_NFI[[#This Row],[Kitchen Set]]/VLOOKUP(Table_NFI[[#This Row],[Camp Name]],CL,4,0),"")</f>
        <v>5.7233704292527825E-2</v>
      </c>
      <c r="AT741" s="572" t="s">
        <v>1095</v>
      </c>
      <c r="AU741" s="575"/>
    </row>
    <row r="742" spans="1:47" x14ac:dyDescent="0.25">
      <c r="A742" s="381">
        <f t="shared" si="11"/>
        <v>30.8</v>
      </c>
      <c r="B742" s="571">
        <v>41598</v>
      </c>
      <c r="C742" s="572" t="s">
        <v>908</v>
      </c>
      <c r="D742" s="572" t="s">
        <v>908</v>
      </c>
      <c r="E742" s="572" t="s">
        <v>380</v>
      </c>
      <c r="F742" s="572" t="s">
        <v>5</v>
      </c>
      <c r="G742" s="572" t="s">
        <v>22</v>
      </c>
      <c r="H742" s="375"/>
      <c r="I742" s="375"/>
      <c r="J742" s="375"/>
      <c r="K742" s="375"/>
      <c r="L742" s="376"/>
      <c r="M742" s="376"/>
      <c r="N742" s="376"/>
      <c r="O742" s="376"/>
      <c r="P742" s="378"/>
      <c r="Q742" s="378"/>
      <c r="R742" s="378"/>
      <c r="S742" s="378">
        <v>19</v>
      </c>
      <c r="T742" s="378">
        <v>38</v>
      </c>
      <c r="U742" s="378">
        <v>19</v>
      </c>
      <c r="V742" s="533"/>
      <c r="W742" s="378"/>
      <c r="X742" s="378"/>
      <c r="Y742" s="378">
        <f>IF(NFI_Expiration=1,IF($A742&lt;VLOOKUP(H$5,NFI,5,0),1,0)*Table_NFI[[#This Row],[Hygiene Kit]],Table_NFI[Hygiene Kit])</f>
        <v>0</v>
      </c>
      <c r="Z742" s="378">
        <f>IF(NFI_Expiration=1,IF($A742&lt;VLOOKUP(I$5,NFI,5,0),1,0)*Table_NFI[[#This Row],[NFI Core Kit]],Table_NFI[NFI Core Kit])</f>
        <v>0</v>
      </c>
      <c r="AA742" s="378">
        <f>IF(NFI_Expiration=1,IF($A742&lt;VLOOKUP(J$5,NFI,5,0),1,0)*Table_NFI[[#This Row],[Sanitary Kit]],Table_NFI[Sanitary Kit])</f>
        <v>0</v>
      </c>
      <c r="AB742" s="378">
        <f>IF(NFI_Expiration=1,IF($A742&lt;VLOOKUP(K$5,NFI,5,0),1,0)*Table_NFI[[#This Row],[Mosquito net]],Table_NFI[Mosquito net])</f>
        <v>0</v>
      </c>
      <c r="AC742" s="378">
        <f>IF(NFI_Expiration=1,IF($A742&lt;VLOOKUP(L$5,NFI,5,0),1,0)*Table_NFI[[#This Row],[Tarpaulin]],Table_NFI[[#This Row],[Tarpaulin]])</f>
        <v>0</v>
      </c>
      <c r="AD742" s="378">
        <f>IF(NFI_Expiration=1,IF($A742&lt;VLOOKUP(M$5,NFI,5,0),1,0)*Table_NFI[[#This Row],[Blanket]],Table_NFI[[#This Row],[Blanket]])</f>
        <v>0</v>
      </c>
      <c r="AE742" s="378">
        <f>IF(NFI_Expiration=1,IF($A742&lt;VLOOKUP(N$5,NFI,5,0),1,0)*Table_NFI[[#This Row],[Kitchen Set]],Table_NFI[Kitchen Set])</f>
        <v>0</v>
      </c>
      <c r="AF742" s="378">
        <f>IF(NFI_Expiration=1,IF($A742&lt;VLOOKUP(O$5,NFI,5,0),1,0)*Table_NFI[[#This Row],[Clothes Kit]],Table_NFI[Clothes Kit])</f>
        <v>0</v>
      </c>
      <c r="AG742" s="378">
        <f>IF(NFI_Expiration=1,IF($A742&lt;VLOOKUP(P$5,NFI,5,0),1,0)*Table_NFI[[#This Row],[Plastic Bucket]],Table_NFI[Plastic Bucket])</f>
        <v>0</v>
      </c>
      <c r="AH742" s="378">
        <f>IF(NFI_Expiration=1,IF($A742&lt;VLOOKUP(Q$5,NFI,5,0),1,0)*Table_NFI[[#This Row],[Plastic Mat]],Table_NFI[Plastic Mat])*IF(Table_NFI[[#This Row],[Distribution Date]]&gt;"2014-04-01",1,2.5)</f>
        <v>0</v>
      </c>
      <c r="AI742" s="378">
        <f>IF(NFI_Expiration=1,IF($A742&lt;VLOOKUP(R$5,NFI,5,0),1,0)*Table_NFI[[#This Row],[Winter Clothes Adult]],Table_NFI[Winter Clothes Adult])</f>
        <v>0</v>
      </c>
      <c r="AJ742" s="378">
        <f>IF(NFI_Expiration=1,IF($A742&lt;VLOOKUP(S$5,NFI,5,0),1,0)*Table_NFI[[#This Row],[Winter Clothes Children]],Table_NFI[Winter Clothes Children])</f>
        <v>0</v>
      </c>
      <c r="AK742" s="378">
        <f>IF(NFI_Expiration=1,IF($A742&lt;VLOOKUP(T$5,NFI,5,0),1,0)*Table_NFI[[#This Row],[Winter Items Other]],Table_NFI[Winter Items Other])</f>
        <v>0</v>
      </c>
      <c r="AL742" s="378">
        <f>IF(NFI_Expiration=1,IF($A742&lt;VLOOKUP(M$5,NFI,5,0),1,0)*Table_NFI[[#This Row],[Winter Blanket]],Table_NFI[[#This Row],[Winter Blanket]])</f>
        <v>0</v>
      </c>
      <c r="AM742" s="378">
        <f>IF(Table_NFI[[#This Row],[Winter Clothes Adult]]+Table_NFI[[#This Row],[Winter Clothes Children]]+Table_NFI[[#This Row],[Winter Items Other]]+Table_NFI[[#This Row],[Winter Blanket]]&gt;0,1,0)</f>
        <v>1</v>
      </c>
      <c r="AN742" s="418">
        <f>IF(NFI_Expiration=1,IF($A742&lt;VLOOKUP(V$5,NFI,5,0),1,0)*Table_NFI[[#This Row],[Jerry Can]],Table_NFI[Jerry Can])</f>
        <v>0</v>
      </c>
      <c r="AO742" s="579" t="str">
        <f>IFERROR(VLOOKUP(Table_NFI[[#This Row],[Camp Name]],CL,2,0),"")</f>
        <v>MMR001CMP047</v>
      </c>
      <c r="AP742" s="574">
        <f ca="1">IF(Table_NFI[[#This Row],[Pcode]]="","",IF(OFFSET(CampList[Opening Date],MATCH(Table_NFI[[#This Row],[Pcode]],CampList[CP_Pcode],0)-1,0,1,1)&gt;=NFI_Monitor_Date,1,0))</f>
        <v>0</v>
      </c>
      <c r="AQ742" s="579" t="str">
        <f>IFERROR(VLOOKUP(Table_NFI[[#This Row],[Camp Name]],CL,3,0),"")</f>
        <v>Open</v>
      </c>
      <c r="AR742" s="378" t="str">
        <f ca="1">IF(Table_NFI[[#This Row],[Pcode]]="","",OFFSET(CampList[Priority],MATCH(Table_NFI[[#This Row],[Pcode]],CampList[CP_Pcode],0)-1,0,1,1))</f>
        <v>P4</v>
      </c>
      <c r="AS742" s="377">
        <f>IFERROR(Table_NFI[[#This Row],[Kitchen Set]]/VLOOKUP(Table_NFI[[#This Row],[Camp Name]],CL,4,0),"")</f>
        <v>0</v>
      </c>
      <c r="AT742" s="572"/>
      <c r="AU742" s="575"/>
    </row>
    <row r="743" spans="1:47" x14ac:dyDescent="0.25">
      <c r="A743" s="381">
        <f t="shared" si="11"/>
        <v>30.833333333333332</v>
      </c>
      <c r="B743" s="571">
        <v>41597</v>
      </c>
      <c r="C743" s="573" t="s">
        <v>454</v>
      </c>
      <c r="D743" s="573" t="s">
        <v>454</v>
      </c>
      <c r="E743" s="572" t="s">
        <v>380</v>
      </c>
      <c r="F743" s="572" t="s">
        <v>5</v>
      </c>
      <c r="G743" s="374" t="s">
        <v>22</v>
      </c>
      <c r="H743" s="375"/>
      <c r="I743" s="375"/>
      <c r="J743" s="375">
        <v>40</v>
      </c>
      <c r="K743" s="375">
        <v>38</v>
      </c>
      <c r="L743" s="376">
        <v>20</v>
      </c>
      <c r="M743" s="376">
        <v>38</v>
      </c>
      <c r="N743" s="376">
        <v>20</v>
      </c>
      <c r="O743" s="376">
        <v>20</v>
      </c>
      <c r="P743" s="378"/>
      <c r="Q743" s="378"/>
      <c r="R743" s="378"/>
      <c r="S743" s="378"/>
      <c r="T743" s="378"/>
      <c r="U743" s="378"/>
      <c r="V743" s="533"/>
      <c r="W743" s="378"/>
      <c r="X743" s="378"/>
      <c r="Y743" s="378">
        <f>IF(NFI_Expiration=1,IF($A743&lt;VLOOKUP(H$5,NFI,5,0),1,0)*Table_NFI[[#This Row],[Hygiene Kit]],Table_NFI[Hygiene Kit])</f>
        <v>0</v>
      </c>
      <c r="Z743" s="378">
        <f>IF(NFI_Expiration=1,IF($A743&lt;VLOOKUP(I$5,NFI,5,0),1,0)*Table_NFI[[#This Row],[NFI Core Kit]],Table_NFI[NFI Core Kit])</f>
        <v>0</v>
      </c>
      <c r="AA743" s="378">
        <f>IF(NFI_Expiration=1,IF($A743&lt;VLOOKUP(J$5,NFI,5,0),1,0)*Table_NFI[[#This Row],[Sanitary Kit]],Table_NFI[Sanitary Kit])</f>
        <v>0</v>
      </c>
      <c r="AB743" s="378">
        <f>IF(NFI_Expiration=1,IF($A743&lt;VLOOKUP(K$5,NFI,5,0),1,0)*Table_NFI[[#This Row],[Mosquito net]],Table_NFI[Mosquito net])</f>
        <v>0</v>
      </c>
      <c r="AC743" s="378">
        <f>IF(NFI_Expiration=1,IF($A743&lt;VLOOKUP(L$5,NFI,5,0),1,0)*Table_NFI[[#This Row],[Tarpaulin]],Table_NFI[[#This Row],[Tarpaulin]])</f>
        <v>0</v>
      </c>
      <c r="AD743" s="378">
        <f>IF(NFI_Expiration=1,IF($A743&lt;VLOOKUP(M$5,NFI,5,0),1,0)*Table_NFI[[#This Row],[Blanket]],Table_NFI[[#This Row],[Blanket]])</f>
        <v>0</v>
      </c>
      <c r="AE743" s="378">
        <f>IF(NFI_Expiration=1,IF($A743&lt;VLOOKUP(N$5,NFI,5,0),1,0)*Table_NFI[[#This Row],[Kitchen Set]],Table_NFI[Kitchen Set])</f>
        <v>0</v>
      </c>
      <c r="AF743" s="378">
        <f>IF(NFI_Expiration=1,IF($A743&lt;VLOOKUP(O$5,NFI,5,0),1,0)*Table_NFI[[#This Row],[Clothes Kit]],Table_NFI[Clothes Kit])</f>
        <v>0</v>
      </c>
      <c r="AG743" s="378">
        <f>IF(NFI_Expiration=1,IF($A743&lt;VLOOKUP(P$5,NFI,5,0),1,0)*Table_NFI[[#This Row],[Plastic Bucket]],Table_NFI[Plastic Bucket])</f>
        <v>0</v>
      </c>
      <c r="AH743" s="378">
        <f>IF(NFI_Expiration=1,IF($A743&lt;VLOOKUP(Q$5,NFI,5,0),1,0)*Table_NFI[[#This Row],[Plastic Mat]],Table_NFI[Plastic Mat])*IF(Table_NFI[[#This Row],[Distribution Date]]&gt;"2014-04-01",1,2.5)</f>
        <v>0</v>
      </c>
      <c r="AI743" s="378">
        <f>IF(NFI_Expiration=1,IF($A743&lt;VLOOKUP(R$5,NFI,5,0),1,0)*Table_NFI[[#This Row],[Winter Clothes Adult]],Table_NFI[Winter Clothes Adult])</f>
        <v>0</v>
      </c>
      <c r="AJ743" s="378">
        <f>IF(NFI_Expiration=1,IF($A743&lt;VLOOKUP(S$5,NFI,5,0),1,0)*Table_NFI[[#This Row],[Winter Clothes Children]],Table_NFI[Winter Clothes Children])</f>
        <v>0</v>
      </c>
      <c r="AK743" s="378">
        <f>IF(NFI_Expiration=1,IF($A743&lt;VLOOKUP(T$5,NFI,5,0),1,0)*Table_NFI[[#This Row],[Winter Items Other]],Table_NFI[Winter Items Other])</f>
        <v>0</v>
      </c>
      <c r="AL743" s="378">
        <f>IF(NFI_Expiration=1,IF($A743&lt;VLOOKUP(M$5,NFI,5,0),1,0)*Table_NFI[[#This Row],[Winter Blanket]],Table_NFI[[#This Row],[Winter Blanket]])</f>
        <v>0</v>
      </c>
      <c r="AM743" s="378">
        <f>IF(Table_NFI[[#This Row],[Winter Clothes Adult]]+Table_NFI[[#This Row],[Winter Clothes Children]]+Table_NFI[[#This Row],[Winter Items Other]]+Table_NFI[[#This Row],[Winter Blanket]]&gt;0,1,0)</f>
        <v>0</v>
      </c>
      <c r="AN743" s="418">
        <f>IF(NFI_Expiration=1,IF($A743&lt;VLOOKUP(V$5,NFI,5,0),1,0)*Table_NFI[[#This Row],[Jerry Can]],Table_NFI[Jerry Can])</f>
        <v>0</v>
      </c>
      <c r="AO743" s="579" t="str">
        <f>IFERROR(VLOOKUP(Table_NFI[[#This Row],[Camp Name]],CL,2,0),"")</f>
        <v>MMR001CMP047</v>
      </c>
      <c r="AP743" s="574">
        <f ca="1">IF(Table_NFI[[#This Row],[Pcode]]="","",IF(OFFSET(CampList[Opening Date],MATCH(Table_NFI[[#This Row],[Pcode]],CampList[CP_Pcode],0)-1,0,1,1)&gt;=NFI_Monitor_Date,1,0))</f>
        <v>0</v>
      </c>
      <c r="AQ743" s="579" t="str">
        <f>IFERROR(VLOOKUP(Table_NFI[[#This Row],[Camp Name]],CL,3,0),"")</f>
        <v>Open</v>
      </c>
      <c r="AR743" s="378" t="str">
        <f ca="1">IF(Table_NFI[[#This Row],[Pcode]]="","",OFFSET(CampList[Priority],MATCH(Table_NFI[[#This Row],[Pcode]],CampList[CP_Pcode],0)-1,0,1,1))</f>
        <v>P4</v>
      </c>
      <c r="AS743" s="377">
        <f>IFERROR(Table_NFI[[#This Row],[Kitchen Set]]/VLOOKUP(Table_NFI[[#This Row],[Camp Name]],CL,4,0),"")</f>
        <v>3.1796502384737677E-2</v>
      </c>
      <c r="AT743" s="572" t="s">
        <v>1095</v>
      </c>
      <c r="AU743" s="575"/>
    </row>
    <row r="744" spans="1:47" x14ac:dyDescent="0.25">
      <c r="A744" s="381">
        <f t="shared" si="11"/>
        <v>30.933333333333334</v>
      </c>
      <c r="B744" s="571">
        <v>41594</v>
      </c>
      <c r="C744" s="572" t="s">
        <v>454</v>
      </c>
      <c r="D744" s="572" t="s">
        <v>454</v>
      </c>
      <c r="E744" s="572" t="s">
        <v>380</v>
      </c>
      <c r="F744" s="374" t="s">
        <v>5</v>
      </c>
      <c r="G744" s="374" t="s">
        <v>22</v>
      </c>
      <c r="H744" s="375"/>
      <c r="I744" s="375"/>
      <c r="J744" s="375"/>
      <c r="K744" s="375"/>
      <c r="L744" s="376">
        <v>10</v>
      </c>
      <c r="M744" s="376"/>
      <c r="N744" s="376"/>
      <c r="O744" s="376"/>
      <c r="P744" s="378"/>
      <c r="Q744" s="378"/>
      <c r="R744" s="378"/>
      <c r="S744" s="378"/>
      <c r="T744" s="378"/>
      <c r="U744" s="378"/>
      <c r="V744" s="533"/>
      <c r="W744" s="378"/>
      <c r="X744" s="378"/>
      <c r="Y744" s="378">
        <f>IF(NFI_Expiration=1,IF($A744&lt;VLOOKUP(H$5,NFI,5,0),1,0)*Table_NFI[[#This Row],[Hygiene Kit]],Table_NFI[Hygiene Kit])</f>
        <v>0</v>
      </c>
      <c r="Z744" s="378">
        <f>IF(NFI_Expiration=1,IF($A744&lt;VLOOKUP(I$5,NFI,5,0),1,0)*Table_NFI[[#This Row],[NFI Core Kit]],Table_NFI[NFI Core Kit])</f>
        <v>0</v>
      </c>
      <c r="AA744" s="378">
        <f>IF(NFI_Expiration=1,IF($A744&lt;VLOOKUP(J$5,NFI,5,0),1,0)*Table_NFI[[#This Row],[Sanitary Kit]],Table_NFI[Sanitary Kit])</f>
        <v>0</v>
      </c>
      <c r="AB744" s="378">
        <f>IF(NFI_Expiration=1,IF($A744&lt;VLOOKUP(K$5,NFI,5,0),1,0)*Table_NFI[[#This Row],[Mosquito net]],Table_NFI[Mosquito net])</f>
        <v>0</v>
      </c>
      <c r="AC744" s="378">
        <f>IF(NFI_Expiration=1,IF($A744&lt;VLOOKUP(L$5,NFI,5,0),1,0)*Table_NFI[[#This Row],[Tarpaulin]],Table_NFI[[#This Row],[Tarpaulin]])</f>
        <v>0</v>
      </c>
      <c r="AD744" s="378">
        <f>IF(NFI_Expiration=1,IF($A744&lt;VLOOKUP(M$5,NFI,5,0),1,0)*Table_NFI[[#This Row],[Blanket]],Table_NFI[[#This Row],[Blanket]])</f>
        <v>0</v>
      </c>
      <c r="AE744" s="378">
        <f>IF(NFI_Expiration=1,IF($A744&lt;VLOOKUP(N$5,NFI,5,0),1,0)*Table_NFI[[#This Row],[Kitchen Set]],Table_NFI[Kitchen Set])</f>
        <v>0</v>
      </c>
      <c r="AF744" s="378">
        <f>IF(NFI_Expiration=1,IF($A744&lt;VLOOKUP(O$5,NFI,5,0),1,0)*Table_NFI[[#This Row],[Clothes Kit]],Table_NFI[Clothes Kit])</f>
        <v>0</v>
      </c>
      <c r="AG744" s="378">
        <f>IF(NFI_Expiration=1,IF($A744&lt;VLOOKUP(P$5,NFI,5,0),1,0)*Table_NFI[[#This Row],[Plastic Bucket]],Table_NFI[Plastic Bucket])</f>
        <v>0</v>
      </c>
      <c r="AH744" s="378">
        <f>IF(NFI_Expiration=1,IF($A744&lt;VLOOKUP(Q$5,NFI,5,0),1,0)*Table_NFI[[#This Row],[Plastic Mat]],Table_NFI[Plastic Mat])*IF(Table_NFI[[#This Row],[Distribution Date]]&gt;"2014-04-01",1,2.5)</f>
        <v>0</v>
      </c>
      <c r="AI744" s="378">
        <f>IF(NFI_Expiration=1,IF($A744&lt;VLOOKUP(R$5,NFI,5,0),1,0)*Table_NFI[[#This Row],[Winter Clothes Adult]],Table_NFI[Winter Clothes Adult])</f>
        <v>0</v>
      </c>
      <c r="AJ744" s="378">
        <f>IF(NFI_Expiration=1,IF($A744&lt;VLOOKUP(S$5,NFI,5,0),1,0)*Table_NFI[[#This Row],[Winter Clothes Children]],Table_NFI[Winter Clothes Children])</f>
        <v>0</v>
      </c>
      <c r="AK744" s="378">
        <f>IF(NFI_Expiration=1,IF($A744&lt;VLOOKUP(T$5,NFI,5,0),1,0)*Table_NFI[[#This Row],[Winter Items Other]],Table_NFI[Winter Items Other])</f>
        <v>0</v>
      </c>
      <c r="AL744" s="378">
        <f>IF(NFI_Expiration=1,IF($A744&lt;VLOOKUP(M$5,NFI,5,0),1,0)*Table_NFI[[#This Row],[Winter Blanket]],Table_NFI[[#This Row],[Winter Blanket]])</f>
        <v>0</v>
      </c>
      <c r="AM744" s="378">
        <f>IF(Table_NFI[[#This Row],[Winter Clothes Adult]]+Table_NFI[[#This Row],[Winter Clothes Children]]+Table_NFI[[#This Row],[Winter Items Other]]+Table_NFI[[#This Row],[Winter Blanket]]&gt;0,1,0)</f>
        <v>0</v>
      </c>
      <c r="AN744" s="418">
        <f>IF(NFI_Expiration=1,IF($A744&lt;VLOOKUP(V$5,NFI,5,0),1,0)*Table_NFI[[#This Row],[Jerry Can]],Table_NFI[Jerry Can])</f>
        <v>0</v>
      </c>
      <c r="AO744" s="579" t="str">
        <f>IFERROR(VLOOKUP(Table_NFI[[#This Row],[Camp Name]],CL,2,0),"")</f>
        <v>MMR001CMP047</v>
      </c>
      <c r="AP744" s="574">
        <f ca="1">IF(Table_NFI[[#This Row],[Pcode]]="","",IF(OFFSET(CampList[Opening Date],MATCH(Table_NFI[[#This Row],[Pcode]],CampList[CP_Pcode],0)-1,0,1,1)&gt;=NFI_Monitor_Date,1,0))</f>
        <v>0</v>
      </c>
      <c r="AQ744" s="579" t="str">
        <f>IFERROR(VLOOKUP(Table_NFI[[#This Row],[Camp Name]],CL,3,0),"")</f>
        <v>Open</v>
      </c>
      <c r="AR744" s="378" t="str">
        <f ca="1">IF(Table_NFI[[#This Row],[Pcode]]="","",OFFSET(CampList[Priority],MATCH(Table_NFI[[#This Row],[Pcode]],CampList[CP_Pcode],0)-1,0,1,1))</f>
        <v>P4</v>
      </c>
      <c r="AS744" s="377">
        <f>IFERROR(Table_NFI[[#This Row],[Kitchen Set]]/VLOOKUP(Table_NFI[[#This Row],[Camp Name]],CL,4,0),"")</f>
        <v>0</v>
      </c>
      <c r="AT744" s="572" t="s">
        <v>1095</v>
      </c>
      <c r="AU744" s="575"/>
    </row>
    <row r="745" spans="1:47" x14ac:dyDescent="0.25">
      <c r="A745" s="381">
        <f t="shared" si="11"/>
        <v>31.433333333333334</v>
      </c>
      <c r="B745" s="571">
        <v>41579</v>
      </c>
      <c r="C745" s="572" t="s">
        <v>454</v>
      </c>
      <c r="D745" s="572" t="s">
        <v>454</v>
      </c>
      <c r="E745" s="572" t="s">
        <v>380</v>
      </c>
      <c r="F745" s="374" t="s">
        <v>5</v>
      </c>
      <c r="G745" s="374" t="s">
        <v>22</v>
      </c>
      <c r="H745" s="375"/>
      <c r="I745" s="375"/>
      <c r="J745" s="375">
        <v>40</v>
      </c>
      <c r="K745" s="375">
        <v>48</v>
      </c>
      <c r="L745" s="376">
        <v>20</v>
      </c>
      <c r="M745" s="376">
        <v>48</v>
      </c>
      <c r="N745" s="376">
        <v>20</v>
      </c>
      <c r="O745" s="376">
        <v>20</v>
      </c>
      <c r="P745" s="378">
        <v>500</v>
      </c>
      <c r="Q745" s="378">
        <v>500</v>
      </c>
      <c r="R745" s="378"/>
      <c r="S745" s="378"/>
      <c r="T745" s="378"/>
      <c r="U745" s="378"/>
      <c r="V745" s="533"/>
      <c r="W745" s="378"/>
      <c r="X745" s="378"/>
      <c r="Y745" s="378">
        <f>IF(NFI_Expiration=1,IF($A745&lt;VLOOKUP(H$5,NFI,5,0),1,0)*Table_NFI[[#This Row],[Hygiene Kit]],Table_NFI[Hygiene Kit])</f>
        <v>0</v>
      </c>
      <c r="Z745" s="378">
        <f>IF(NFI_Expiration=1,IF($A745&lt;VLOOKUP(I$5,NFI,5,0),1,0)*Table_NFI[[#This Row],[NFI Core Kit]],Table_NFI[NFI Core Kit])</f>
        <v>0</v>
      </c>
      <c r="AA745" s="378">
        <f>IF(NFI_Expiration=1,IF($A745&lt;VLOOKUP(J$5,NFI,5,0),1,0)*Table_NFI[[#This Row],[Sanitary Kit]],Table_NFI[Sanitary Kit])</f>
        <v>0</v>
      </c>
      <c r="AB745" s="378">
        <f>IF(NFI_Expiration=1,IF($A745&lt;VLOOKUP(K$5,NFI,5,0),1,0)*Table_NFI[[#This Row],[Mosquito net]],Table_NFI[Mosquito net])</f>
        <v>0</v>
      </c>
      <c r="AC745" s="378">
        <f>IF(NFI_Expiration=1,IF($A745&lt;VLOOKUP(L$5,NFI,5,0),1,0)*Table_NFI[[#This Row],[Tarpaulin]],Table_NFI[[#This Row],[Tarpaulin]])</f>
        <v>0</v>
      </c>
      <c r="AD745" s="378">
        <f>IF(NFI_Expiration=1,IF($A745&lt;VLOOKUP(M$5,NFI,5,0),1,0)*Table_NFI[[#This Row],[Blanket]],Table_NFI[[#This Row],[Blanket]])</f>
        <v>0</v>
      </c>
      <c r="AE745" s="378">
        <f>IF(NFI_Expiration=1,IF($A745&lt;VLOOKUP(N$5,NFI,5,0),1,0)*Table_NFI[[#This Row],[Kitchen Set]],Table_NFI[Kitchen Set])</f>
        <v>0</v>
      </c>
      <c r="AF745" s="378">
        <f>IF(NFI_Expiration=1,IF($A745&lt;VLOOKUP(O$5,NFI,5,0),1,0)*Table_NFI[[#This Row],[Clothes Kit]],Table_NFI[Clothes Kit])</f>
        <v>0</v>
      </c>
      <c r="AG745" s="378">
        <f>IF(NFI_Expiration=1,IF($A745&lt;VLOOKUP(P$5,NFI,5,0),1,0)*Table_NFI[[#This Row],[Plastic Bucket]],Table_NFI[Plastic Bucket])</f>
        <v>0</v>
      </c>
      <c r="AH745" s="378">
        <f>IF(NFI_Expiration=1,IF($A745&lt;VLOOKUP(Q$5,NFI,5,0),1,0)*Table_NFI[[#This Row],[Plastic Mat]],Table_NFI[Plastic Mat])*IF(Table_NFI[[#This Row],[Distribution Date]]&gt;"2014-04-01",1,2.5)</f>
        <v>0</v>
      </c>
      <c r="AI745" s="378">
        <f>IF(NFI_Expiration=1,IF($A745&lt;VLOOKUP(R$5,NFI,5,0),1,0)*Table_NFI[[#This Row],[Winter Clothes Adult]],Table_NFI[Winter Clothes Adult])</f>
        <v>0</v>
      </c>
      <c r="AJ745" s="378">
        <f>IF(NFI_Expiration=1,IF($A745&lt;VLOOKUP(S$5,NFI,5,0),1,0)*Table_NFI[[#This Row],[Winter Clothes Children]],Table_NFI[Winter Clothes Children])</f>
        <v>0</v>
      </c>
      <c r="AK745" s="378">
        <f>IF(NFI_Expiration=1,IF($A745&lt;VLOOKUP(T$5,NFI,5,0),1,0)*Table_NFI[[#This Row],[Winter Items Other]],Table_NFI[Winter Items Other])</f>
        <v>0</v>
      </c>
      <c r="AL745" s="378">
        <f>IF(NFI_Expiration=1,IF($A745&lt;VLOOKUP(M$5,NFI,5,0),1,0)*Table_NFI[[#This Row],[Winter Blanket]],Table_NFI[[#This Row],[Winter Blanket]])</f>
        <v>0</v>
      </c>
      <c r="AM745" s="378">
        <f>IF(Table_NFI[[#This Row],[Winter Clothes Adult]]+Table_NFI[[#This Row],[Winter Clothes Children]]+Table_NFI[[#This Row],[Winter Items Other]]+Table_NFI[[#This Row],[Winter Blanket]]&gt;0,1,0)</f>
        <v>0</v>
      </c>
      <c r="AN745" s="418">
        <f>IF(NFI_Expiration=1,IF($A745&lt;VLOOKUP(V$5,NFI,5,0),1,0)*Table_NFI[[#This Row],[Jerry Can]],Table_NFI[Jerry Can])</f>
        <v>0</v>
      </c>
      <c r="AO745" s="579" t="str">
        <f>IFERROR(VLOOKUP(Table_NFI[[#This Row],[Camp Name]],CL,2,0),"")</f>
        <v>MMR001CMP047</v>
      </c>
      <c r="AP745" s="574">
        <f ca="1">IF(Table_NFI[[#This Row],[Pcode]]="","",IF(OFFSET(CampList[Opening Date],MATCH(Table_NFI[[#This Row],[Pcode]],CampList[CP_Pcode],0)-1,0,1,1)&gt;=NFI_Monitor_Date,1,0))</f>
        <v>0</v>
      </c>
      <c r="AQ745" s="579" t="str">
        <f>IFERROR(VLOOKUP(Table_NFI[[#This Row],[Camp Name]],CL,3,0),"")</f>
        <v>Open</v>
      </c>
      <c r="AR745" s="378" t="str">
        <f ca="1">IF(Table_NFI[[#This Row],[Pcode]]="","",OFFSET(CampList[Priority],MATCH(Table_NFI[[#This Row],[Pcode]],CampList[CP_Pcode],0)-1,0,1,1))</f>
        <v>P4</v>
      </c>
      <c r="AS745" s="377">
        <f>IFERROR(Table_NFI[[#This Row],[Kitchen Set]]/VLOOKUP(Table_NFI[[#This Row],[Camp Name]],CL,4,0),"")</f>
        <v>3.1796502384737677E-2</v>
      </c>
      <c r="AT745" s="572" t="s">
        <v>1095</v>
      </c>
      <c r="AU745" s="575"/>
    </row>
    <row r="746" spans="1:47" x14ac:dyDescent="0.25">
      <c r="A746" s="381">
        <f t="shared" si="11"/>
        <v>40.866666666666667</v>
      </c>
      <c r="B746" s="571">
        <v>41296</v>
      </c>
      <c r="C746" s="572" t="s">
        <v>908</v>
      </c>
      <c r="D746" s="573" t="s">
        <v>908</v>
      </c>
      <c r="E746" s="572" t="s">
        <v>380</v>
      </c>
      <c r="F746" s="374" t="s">
        <v>5</v>
      </c>
      <c r="G746" s="374" t="s">
        <v>22</v>
      </c>
      <c r="H746" s="375">
        <v>1824</v>
      </c>
      <c r="I746" s="375"/>
      <c r="J746" s="375">
        <v>2090</v>
      </c>
      <c r="K746" s="375"/>
      <c r="L746" s="376"/>
      <c r="M746" s="376"/>
      <c r="N746" s="376"/>
      <c r="O746" s="376"/>
      <c r="P746" s="378">
        <v>0</v>
      </c>
      <c r="Q746" s="378">
        <v>0</v>
      </c>
      <c r="R746" s="378"/>
      <c r="S746" s="378"/>
      <c r="T746" s="378"/>
      <c r="U746" s="378"/>
      <c r="V746" s="533"/>
      <c r="W746" s="378"/>
      <c r="X746" s="378"/>
      <c r="Y746" s="378">
        <f>IF(NFI_Expiration=1,IF($A746&lt;VLOOKUP(H$5,NFI,5,0),1,0)*Table_NFI[[#This Row],[Hygiene Kit]],Table_NFI[Hygiene Kit])</f>
        <v>0</v>
      </c>
      <c r="Z746" s="378">
        <f>IF(NFI_Expiration=1,IF($A746&lt;VLOOKUP(I$5,NFI,5,0),1,0)*Table_NFI[[#This Row],[NFI Core Kit]],Table_NFI[NFI Core Kit])</f>
        <v>0</v>
      </c>
      <c r="AA746" s="378">
        <f>IF(NFI_Expiration=1,IF($A746&lt;VLOOKUP(J$5,NFI,5,0),1,0)*Table_NFI[[#This Row],[Sanitary Kit]],Table_NFI[Sanitary Kit])</f>
        <v>0</v>
      </c>
      <c r="AB746" s="378">
        <f>IF(NFI_Expiration=1,IF($A746&lt;VLOOKUP(K$5,NFI,5,0),1,0)*Table_NFI[[#This Row],[Mosquito net]],Table_NFI[Mosquito net])</f>
        <v>0</v>
      </c>
      <c r="AC746" s="378">
        <f>IF(NFI_Expiration=1,IF($A746&lt;VLOOKUP(L$5,NFI,5,0),1,0)*Table_NFI[[#This Row],[Tarpaulin]],Table_NFI[[#This Row],[Tarpaulin]])</f>
        <v>0</v>
      </c>
      <c r="AD746" s="378">
        <f>IF(NFI_Expiration=1,IF($A746&lt;VLOOKUP(M$5,NFI,5,0),1,0)*Table_NFI[[#This Row],[Blanket]],Table_NFI[[#This Row],[Blanket]])</f>
        <v>0</v>
      </c>
      <c r="AE746" s="378">
        <f>IF(NFI_Expiration=1,IF($A746&lt;VLOOKUP(N$5,NFI,5,0),1,0)*Table_NFI[[#This Row],[Kitchen Set]],Table_NFI[Kitchen Set])</f>
        <v>0</v>
      </c>
      <c r="AF746" s="378">
        <f>IF(NFI_Expiration=1,IF($A746&lt;VLOOKUP(O$5,NFI,5,0),1,0)*Table_NFI[[#This Row],[Clothes Kit]],Table_NFI[Clothes Kit])</f>
        <v>0</v>
      </c>
      <c r="AG746" s="378">
        <f>IF(NFI_Expiration=1,IF($A746&lt;VLOOKUP(P$5,NFI,5,0),1,0)*Table_NFI[[#This Row],[Plastic Bucket]],Table_NFI[Plastic Bucket])</f>
        <v>0</v>
      </c>
      <c r="AH746" s="378">
        <f>IF(NFI_Expiration=1,IF($A746&lt;VLOOKUP(Q$5,NFI,5,0),1,0)*Table_NFI[[#This Row],[Plastic Mat]],Table_NFI[Plastic Mat])*IF(Table_NFI[[#This Row],[Distribution Date]]&gt;"2014-04-01",1,2.5)</f>
        <v>0</v>
      </c>
      <c r="AI746" s="378">
        <f>IF(NFI_Expiration=1,IF($A746&lt;VLOOKUP(R$5,NFI,5,0),1,0)*Table_NFI[[#This Row],[Winter Clothes Adult]],Table_NFI[Winter Clothes Adult])</f>
        <v>0</v>
      </c>
      <c r="AJ746" s="378">
        <f>IF(NFI_Expiration=1,IF($A746&lt;VLOOKUP(S$5,NFI,5,0),1,0)*Table_NFI[[#This Row],[Winter Clothes Children]],Table_NFI[Winter Clothes Children])</f>
        <v>0</v>
      </c>
      <c r="AK746" s="378">
        <f>IF(NFI_Expiration=1,IF($A746&lt;VLOOKUP(T$5,NFI,5,0),1,0)*Table_NFI[[#This Row],[Winter Items Other]],Table_NFI[Winter Items Other])</f>
        <v>0</v>
      </c>
      <c r="AL746" s="378">
        <f>IF(NFI_Expiration=1,IF($A746&lt;VLOOKUP(M$5,NFI,5,0),1,0)*Table_NFI[[#This Row],[Winter Blanket]],Table_NFI[[#This Row],[Winter Blanket]])</f>
        <v>0</v>
      </c>
      <c r="AM746" s="378">
        <f>IF(Table_NFI[[#This Row],[Winter Clothes Adult]]+Table_NFI[[#This Row],[Winter Clothes Children]]+Table_NFI[[#This Row],[Winter Items Other]]+Table_NFI[[#This Row],[Winter Blanket]]&gt;0,1,0)</f>
        <v>0</v>
      </c>
      <c r="AN746" s="418">
        <f>IF(NFI_Expiration=1,IF($A746&lt;VLOOKUP(V$5,NFI,5,0),1,0)*Table_NFI[[#This Row],[Jerry Can]],Table_NFI[Jerry Can])</f>
        <v>0</v>
      </c>
      <c r="AO746" s="579" t="str">
        <f>IFERROR(VLOOKUP(Table_NFI[[#This Row],[Camp Name]],CL,2,0),"")</f>
        <v>MMR001CMP047</v>
      </c>
      <c r="AP746" s="574">
        <f ca="1">IF(Table_NFI[[#This Row],[Pcode]]="","",IF(OFFSET(CampList[Opening Date],MATCH(Table_NFI[[#This Row],[Pcode]],CampList[CP_Pcode],0)-1,0,1,1)&gt;=NFI_Monitor_Date,1,0))</f>
        <v>0</v>
      </c>
      <c r="AQ746" s="579" t="str">
        <f>IFERROR(VLOOKUP(Table_NFI[[#This Row],[Camp Name]],CL,3,0),"")</f>
        <v>Open</v>
      </c>
      <c r="AR746" s="378" t="str">
        <f ca="1">IF(Table_NFI[[#This Row],[Pcode]]="","",OFFSET(CampList[Priority],MATCH(Table_NFI[[#This Row],[Pcode]],CampList[CP_Pcode],0)-1,0,1,1))</f>
        <v>P4</v>
      </c>
      <c r="AS746" s="377">
        <f>IFERROR(Table_NFI[[#This Row],[Kitchen Set]]/VLOOKUP(Table_NFI[[#This Row],[Camp Name]],CL,4,0),"")</f>
        <v>0</v>
      </c>
      <c r="AT746" s="572" t="s">
        <v>1095</v>
      </c>
      <c r="AU746" s="575"/>
    </row>
    <row r="747" spans="1:47" x14ac:dyDescent="0.25">
      <c r="A747" s="381">
        <f t="shared" si="11"/>
        <v>41.93333333333333</v>
      </c>
      <c r="B747" s="571">
        <v>41264</v>
      </c>
      <c r="C747" s="572" t="s">
        <v>454</v>
      </c>
      <c r="D747" s="573" t="s">
        <v>454</v>
      </c>
      <c r="E747" s="572" t="s">
        <v>380</v>
      </c>
      <c r="F747" s="374" t="s">
        <v>5</v>
      </c>
      <c r="G747" s="374" t="s">
        <v>22</v>
      </c>
      <c r="H747" s="375"/>
      <c r="I747" s="375"/>
      <c r="J747" s="375"/>
      <c r="K747" s="375">
        <v>0</v>
      </c>
      <c r="L747" s="376">
        <v>0</v>
      </c>
      <c r="M747" s="376">
        <v>73</v>
      </c>
      <c r="N747" s="376">
        <v>0</v>
      </c>
      <c r="O747" s="376">
        <v>0</v>
      </c>
      <c r="P747" s="378"/>
      <c r="Q747" s="378"/>
      <c r="R747" s="378"/>
      <c r="S747" s="378"/>
      <c r="T747" s="378"/>
      <c r="U747" s="378"/>
      <c r="V747" s="533"/>
      <c r="W747" s="378"/>
      <c r="X747" s="378"/>
      <c r="Y747" s="378">
        <f>IF(NFI_Expiration=1,IF($A747&lt;VLOOKUP(H$5,NFI,5,0),1,0)*Table_NFI[[#This Row],[Hygiene Kit]],Table_NFI[Hygiene Kit])</f>
        <v>0</v>
      </c>
      <c r="Z747" s="378">
        <f>IF(NFI_Expiration=1,IF($A747&lt;VLOOKUP(I$5,NFI,5,0),1,0)*Table_NFI[[#This Row],[NFI Core Kit]],Table_NFI[NFI Core Kit])</f>
        <v>0</v>
      </c>
      <c r="AA747" s="378">
        <f>IF(NFI_Expiration=1,IF($A747&lt;VLOOKUP(J$5,NFI,5,0),1,0)*Table_NFI[[#This Row],[Sanitary Kit]],Table_NFI[Sanitary Kit])</f>
        <v>0</v>
      </c>
      <c r="AB747" s="378">
        <f>IF(NFI_Expiration=1,IF($A747&lt;VLOOKUP(K$5,NFI,5,0),1,0)*Table_NFI[[#This Row],[Mosquito net]],Table_NFI[Mosquito net])</f>
        <v>0</v>
      </c>
      <c r="AC747" s="378">
        <f>IF(NFI_Expiration=1,IF($A747&lt;VLOOKUP(L$5,NFI,5,0),1,0)*Table_NFI[[#This Row],[Tarpaulin]],Table_NFI[[#This Row],[Tarpaulin]])</f>
        <v>0</v>
      </c>
      <c r="AD747" s="378">
        <f>IF(NFI_Expiration=1,IF($A747&lt;VLOOKUP(M$5,NFI,5,0),1,0)*Table_NFI[[#This Row],[Blanket]],Table_NFI[[#This Row],[Blanket]])</f>
        <v>0</v>
      </c>
      <c r="AE747" s="378">
        <f>IF(NFI_Expiration=1,IF($A747&lt;VLOOKUP(N$5,NFI,5,0),1,0)*Table_NFI[[#This Row],[Kitchen Set]],Table_NFI[Kitchen Set])</f>
        <v>0</v>
      </c>
      <c r="AF747" s="378">
        <f>IF(NFI_Expiration=1,IF($A747&lt;VLOOKUP(O$5,NFI,5,0),1,0)*Table_NFI[[#This Row],[Clothes Kit]],Table_NFI[Clothes Kit])</f>
        <v>0</v>
      </c>
      <c r="AG747" s="378">
        <f>IF(NFI_Expiration=1,IF($A747&lt;VLOOKUP(P$5,NFI,5,0),1,0)*Table_NFI[[#This Row],[Plastic Bucket]],Table_NFI[Plastic Bucket])</f>
        <v>0</v>
      </c>
      <c r="AH747" s="378">
        <f>IF(NFI_Expiration=1,IF($A747&lt;VLOOKUP(Q$5,NFI,5,0),1,0)*Table_NFI[[#This Row],[Plastic Mat]],Table_NFI[Plastic Mat])*IF(Table_NFI[[#This Row],[Distribution Date]]&gt;"2014-04-01",1,2.5)</f>
        <v>0</v>
      </c>
      <c r="AI747" s="378">
        <f>IF(NFI_Expiration=1,IF($A747&lt;VLOOKUP(R$5,NFI,5,0),1,0)*Table_NFI[[#This Row],[Winter Clothes Adult]],Table_NFI[Winter Clothes Adult])</f>
        <v>0</v>
      </c>
      <c r="AJ747" s="378">
        <f>IF(NFI_Expiration=1,IF($A747&lt;VLOOKUP(S$5,NFI,5,0),1,0)*Table_NFI[[#This Row],[Winter Clothes Children]],Table_NFI[Winter Clothes Children])</f>
        <v>0</v>
      </c>
      <c r="AK747" s="378">
        <f>IF(NFI_Expiration=1,IF($A747&lt;VLOOKUP(T$5,NFI,5,0),1,0)*Table_NFI[[#This Row],[Winter Items Other]],Table_NFI[Winter Items Other])</f>
        <v>0</v>
      </c>
      <c r="AL747" s="378">
        <f>IF(NFI_Expiration=1,IF($A747&lt;VLOOKUP(M$5,NFI,5,0),1,0)*Table_NFI[[#This Row],[Winter Blanket]],Table_NFI[[#This Row],[Winter Blanket]])</f>
        <v>0</v>
      </c>
      <c r="AM747" s="378">
        <f>IF(Table_NFI[[#This Row],[Winter Clothes Adult]]+Table_NFI[[#This Row],[Winter Clothes Children]]+Table_NFI[[#This Row],[Winter Items Other]]+Table_NFI[[#This Row],[Winter Blanket]]&gt;0,1,0)</f>
        <v>0</v>
      </c>
      <c r="AN747" s="418">
        <f>IF(NFI_Expiration=1,IF($A747&lt;VLOOKUP(V$5,NFI,5,0),1,0)*Table_NFI[[#This Row],[Jerry Can]],Table_NFI[Jerry Can])</f>
        <v>0</v>
      </c>
      <c r="AO747" s="579" t="str">
        <f>IFERROR(VLOOKUP(Table_NFI[[#This Row],[Camp Name]],CL,2,0),"")</f>
        <v>MMR001CMP047</v>
      </c>
      <c r="AP747" s="574">
        <f ca="1">IF(Table_NFI[[#This Row],[Pcode]]="","",IF(OFFSET(CampList[Opening Date],MATCH(Table_NFI[[#This Row],[Pcode]],CampList[CP_Pcode],0)-1,0,1,1)&gt;=NFI_Monitor_Date,1,0))</f>
        <v>0</v>
      </c>
      <c r="AQ747" s="579" t="str">
        <f>IFERROR(VLOOKUP(Table_NFI[[#This Row],[Camp Name]],CL,3,0),"")</f>
        <v>Open</v>
      </c>
      <c r="AR747" s="378" t="str">
        <f ca="1">IF(Table_NFI[[#This Row],[Pcode]]="","",OFFSET(CampList[Priority],MATCH(Table_NFI[[#This Row],[Pcode]],CampList[CP_Pcode],0)-1,0,1,1))</f>
        <v>P4</v>
      </c>
      <c r="AS747" s="377">
        <f>IFERROR(Table_NFI[[#This Row],[Kitchen Set]]/VLOOKUP(Table_NFI[[#This Row],[Camp Name]],CL,4,0),"")</f>
        <v>0</v>
      </c>
      <c r="AT747" s="572" t="s">
        <v>1095</v>
      </c>
      <c r="AU747" s="575"/>
    </row>
    <row r="748" spans="1:47" x14ac:dyDescent="0.25">
      <c r="A748" s="381">
        <f t="shared" si="11"/>
        <v>41.93333333333333</v>
      </c>
      <c r="B748" s="571">
        <v>41264</v>
      </c>
      <c r="C748" s="572" t="s">
        <v>454</v>
      </c>
      <c r="D748" s="573" t="s">
        <v>454</v>
      </c>
      <c r="E748" s="572" t="s">
        <v>380</v>
      </c>
      <c r="F748" s="374" t="s">
        <v>5</v>
      </c>
      <c r="G748" s="374" t="s">
        <v>22</v>
      </c>
      <c r="H748" s="375"/>
      <c r="I748" s="375"/>
      <c r="J748" s="375"/>
      <c r="K748" s="375">
        <v>24</v>
      </c>
      <c r="L748" s="376">
        <v>12</v>
      </c>
      <c r="M748" s="376">
        <v>24</v>
      </c>
      <c r="N748" s="376">
        <v>12</v>
      </c>
      <c r="O748" s="376">
        <v>12</v>
      </c>
      <c r="P748" s="378">
        <v>12</v>
      </c>
      <c r="Q748" s="378">
        <v>12</v>
      </c>
      <c r="R748" s="378"/>
      <c r="S748" s="378"/>
      <c r="T748" s="378"/>
      <c r="U748" s="378"/>
      <c r="V748" s="533"/>
      <c r="W748" s="378"/>
      <c r="X748" s="378"/>
      <c r="Y748" s="378">
        <f>IF(NFI_Expiration=1,IF($A748&lt;VLOOKUP(H$5,NFI,5,0),1,0)*Table_NFI[[#This Row],[Hygiene Kit]],Table_NFI[Hygiene Kit])</f>
        <v>0</v>
      </c>
      <c r="Z748" s="378">
        <f>IF(NFI_Expiration=1,IF($A748&lt;VLOOKUP(I$5,NFI,5,0),1,0)*Table_NFI[[#This Row],[NFI Core Kit]],Table_NFI[NFI Core Kit])</f>
        <v>0</v>
      </c>
      <c r="AA748" s="378">
        <f>IF(NFI_Expiration=1,IF($A748&lt;VLOOKUP(J$5,NFI,5,0),1,0)*Table_NFI[[#This Row],[Sanitary Kit]],Table_NFI[Sanitary Kit])</f>
        <v>0</v>
      </c>
      <c r="AB748" s="378">
        <f>IF(NFI_Expiration=1,IF($A748&lt;VLOOKUP(K$5,NFI,5,0),1,0)*Table_NFI[[#This Row],[Mosquito net]],Table_NFI[Mosquito net])</f>
        <v>0</v>
      </c>
      <c r="AC748" s="378">
        <f>IF(NFI_Expiration=1,IF($A748&lt;VLOOKUP(L$5,NFI,5,0),1,0)*Table_NFI[[#This Row],[Tarpaulin]],Table_NFI[[#This Row],[Tarpaulin]])</f>
        <v>0</v>
      </c>
      <c r="AD748" s="378">
        <f>IF(NFI_Expiration=1,IF($A748&lt;VLOOKUP(M$5,NFI,5,0),1,0)*Table_NFI[[#This Row],[Blanket]],Table_NFI[[#This Row],[Blanket]])</f>
        <v>0</v>
      </c>
      <c r="AE748" s="378">
        <f>IF(NFI_Expiration=1,IF($A748&lt;VLOOKUP(N$5,NFI,5,0),1,0)*Table_NFI[[#This Row],[Kitchen Set]],Table_NFI[Kitchen Set])</f>
        <v>0</v>
      </c>
      <c r="AF748" s="378">
        <f>IF(NFI_Expiration=1,IF($A748&lt;VLOOKUP(O$5,NFI,5,0),1,0)*Table_NFI[[#This Row],[Clothes Kit]],Table_NFI[Clothes Kit])</f>
        <v>0</v>
      </c>
      <c r="AG748" s="378">
        <f>IF(NFI_Expiration=1,IF($A748&lt;VLOOKUP(P$5,NFI,5,0),1,0)*Table_NFI[[#This Row],[Plastic Bucket]],Table_NFI[Plastic Bucket])</f>
        <v>0</v>
      </c>
      <c r="AH748" s="378">
        <f>IF(NFI_Expiration=1,IF($A748&lt;VLOOKUP(Q$5,NFI,5,0),1,0)*Table_NFI[[#This Row],[Plastic Mat]],Table_NFI[Plastic Mat])*IF(Table_NFI[[#This Row],[Distribution Date]]&gt;"2014-04-01",1,2.5)</f>
        <v>0</v>
      </c>
      <c r="AI748" s="378">
        <f>IF(NFI_Expiration=1,IF($A748&lt;VLOOKUP(R$5,NFI,5,0),1,0)*Table_NFI[[#This Row],[Winter Clothes Adult]],Table_NFI[Winter Clothes Adult])</f>
        <v>0</v>
      </c>
      <c r="AJ748" s="378">
        <f>IF(NFI_Expiration=1,IF($A748&lt;VLOOKUP(S$5,NFI,5,0),1,0)*Table_NFI[[#This Row],[Winter Clothes Children]],Table_NFI[Winter Clothes Children])</f>
        <v>0</v>
      </c>
      <c r="AK748" s="378">
        <f>IF(NFI_Expiration=1,IF($A748&lt;VLOOKUP(T$5,NFI,5,0),1,0)*Table_NFI[[#This Row],[Winter Items Other]],Table_NFI[Winter Items Other])</f>
        <v>0</v>
      </c>
      <c r="AL748" s="378">
        <f>IF(NFI_Expiration=1,IF($A748&lt;VLOOKUP(M$5,NFI,5,0),1,0)*Table_NFI[[#This Row],[Winter Blanket]],Table_NFI[[#This Row],[Winter Blanket]])</f>
        <v>0</v>
      </c>
      <c r="AM748" s="378">
        <f>IF(Table_NFI[[#This Row],[Winter Clothes Adult]]+Table_NFI[[#This Row],[Winter Clothes Children]]+Table_NFI[[#This Row],[Winter Items Other]]+Table_NFI[[#This Row],[Winter Blanket]]&gt;0,1,0)</f>
        <v>0</v>
      </c>
      <c r="AN748" s="418">
        <f>IF(NFI_Expiration=1,IF($A748&lt;VLOOKUP(V$5,NFI,5,0),1,0)*Table_NFI[[#This Row],[Jerry Can]],Table_NFI[Jerry Can])</f>
        <v>0</v>
      </c>
      <c r="AO748" s="579" t="str">
        <f>IFERROR(VLOOKUP(Table_NFI[[#This Row],[Camp Name]],CL,2,0),"")</f>
        <v>MMR001CMP047</v>
      </c>
      <c r="AP748" s="574">
        <f ca="1">IF(Table_NFI[[#This Row],[Pcode]]="","",IF(OFFSET(CampList[Opening Date],MATCH(Table_NFI[[#This Row],[Pcode]],CampList[CP_Pcode],0)-1,0,1,1)&gt;=NFI_Monitor_Date,1,0))</f>
        <v>0</v>
      </c>
      <c r="AQ748" s="579" t="str">
        <f>IFERROR(VLOOKUP(Table_NFI[[#This Row],[Camp Name]],CL,3,0),"")</f>
        <v>Open</v>
      </c>
      <c r="AR748" s="378" t="str">
        <f ca="1">IF(Table_NFI[[#This Row],[Pcode]]="","",OFFSET(CampList[Priority],MATCH(Table_NFI[[#This Row],[Pcode]],CampList[CP_Pcode],0)-1,0,1,1))</f>
        <v>P4</v>
      </c>
      <c r="AS748" s="377">
        <f>IFERROR(Table_NFI[[#This Row],[Kitchen Set]]/VLOOKUP(Table_NFI[[#This Row],[Camp Name]],CL,4,0),"")</f>
        <v>1.9077901430842606E-2</v>
      </c>
      <c r="AT748" s="572" t="s">
        <v>1095</v>
      </c>
      <c r="AU748" s="575"/>
    </row>
    <row r="749" spans="1:47" x14ac:dyDescent="0.25">
      <c r="A749" s="381">
        <f t="shared" si="11"/>
        <v>46.266666666666666</v>
      </c>
      <c r="B749" s="571">
        <v>41134</v>
      </c>
      <c r="C749" s="572" t="s">
        <v>454</v>
      </c>
      <c r="D749" s="573" t="s">
        <v>575</v>
      </c>
      <c r="E749" s="572" t="s">
        <v>380</v>
      </c>
      <c r="F749" s="374" t="s">
        <v>5</v>
      </c>
      <c r="G749" s="374" t="s">
        <v>22</v>
      </c>
      <c r="H749" s="375"/>
      <c r="I749" s="375"/>
      <c r="J749" s="375"/>
      <c r="K749" s="375">
        <v>310</v>
      </c>
      <c r="L749" s="376">
        <v>151</v>
      </c>
      <c r="M749" s="376">
        <v>310</v>
      </c>
      <c r="N749" s="376">
        <v>151</v>
      </c>
      <c r="O749" s="376">
        <v>151</v>
      </c>
      <c r="P749" s="378">
        <v>151</v>
      </c>
      <c r="Q749" s="378">
        <v>151</v>
      </c>
      <c r="R749" s="378"/>
      <c r="S749" s="378"/>
      <c r="T749" s="378"/>
      <c r="U749" s="378"/>
      <c r="V749" s="533"/>
      <c r="W749" s="378"/>
      <c r="X749" s="378"/>
      <c r="Y749" s="378">
        <f>IF(NFI_Expiration=1,IF($A749&lt;VLOOKUP(H$5,NFI,5,0),1,0)*Table_NFI[[#This Row],[Hygiene Kit]],Table_NFI[Hygiene Kit])</f>
        <v>0</v>
      </c>
      <c r="Z749" s="378">
        <f>IF(NFI_Expiration=1,IF($A749&lt;VLOOKUP(I$5,NFI,5,0),1,0)*Table_NFI[[#This Row],[NFI Core Kit]],Table_NFI[NFI Core Kit])</f>
        <v>0</v>
      </c>
      <c r="AA749" s="378">
        <f>IF(NFI_Expiration=1,IF($A749&lt;VLOOKUP(J$5,NFI,5,0),1,0)*Table_NFI[[#This Row],[Sanitary Kit]],Table_NFI[Sanitary Kit])</f>
        <v>0</v>
      </c>
      <c r="AB749" s="378">
        <f>IF(NFI_Expiration=1,IF($A749&lt;VLOOKUP(K$5,NFI,5,0),1,0)*Table_NFI[[#This Row],[Mosquito net]],Table_NFI[Mosquito net])</f>
        <v>0</v>
      </c>
      <c r="AC749" s="378">
        <f>IF(NFI_Expiration=1,IF($A749&lt;VLOOKUP(L$5,NFI,5,0),1,0)*Table_NFI[[#This Row],[Tarpaulin]],Table_NFI[[#This Row],[Tarpaulin]])</f>
        <v>0</v>
      </c>
      <c r="AD749" s="378">
        <f>IF(NFI_Expiration=1,IF($A749&lt;VLOOKUP(M$5,NFI,5,0),1,0)*Table_NFI[[#This Row],[Blanket]],Table_NFI[[#This Row],[Blanket]])</f>
        <v>0</v>
      </c>
      <c r="AE749" s="378">
        <f>IF(NFI_Expiration=1,IF($A749&lt;VLOOKUP(N$5,NFI,5,0),1,0)*Table_NFI[[#This Row],[Kitchen Set]],Table_NFI[Kitchen Set])</f>
        <v>0</v>
      </c>
      <c r="AF749" s="378">
        <f>IF(NFI_Expiration=1,IF($A749&lt;VLOOKUP(O$5,NFI,5,0),1,0)*Table_NFI[[#This Row],[Clothes Kit]],Table_NFI[Clothes Kit])</f>
        <v>0</v>
      </c>
      <c r="AG749" s="378">
        <f>IF(NFI_Expiration=1,IF($A749&lt;VLOOKUP(P$5,NFI,5,0),1,0)*Table_NFI[[#This Row],[Plastic Bucket]],Table_NFI[Plastic Bucket])</f>
        <v>0</v>
      </c>
      <c r="AH749" s="378">
        <f>IF(NFI_Expiration=1,IF($A749&lt;VLOOKUP(Q$5,NFI,5,0),1,0)*Table_NFI[[#This Row],[Plastic Mat]],Table_NFI[Plastic Mat])*IF(Table_NFI[[#This Row],[Distribution Date]]&gt;"2014-04-01",1,2.5)</f>
        <v>0</v>
      </c>
      <c r="AI749" s="378">
        <f>IF(NFI_Expiration=1,IF($A749&lt;VLOOKUP(R$5,NFI,5,0),1,0)*Table_NFI[[#This Row],[Winter Clothes Adult]],Table_NFI[Winter Clothes Adult])</f>
        <v>0</v>
      </c>
      <c r="AJ749" s="378">
        <f>IF(NFI_Expiration=1,IF($A749&lt;VLOOKUP(S$5,NFI,5,0),1,0)*Table_NFI[[#This Row],[Winter Clothes Children]],Table_NFI[Winter Clothes Children])</f>
        <v>0</v>
      </c>
      <c r="AK749" s="378">
        <f>IF(NFI_Expiration=1,IF($A749&lt;VLOOKUP(T$5,NFI,5,0),1,0)*Table_NFI[[#This Row],[Winter Items Other]],Table_NFI[Winter Items Other])</f>
        <v>0</v>
      </c>
      <c r="AL749" s="378">
        <f>IF(NFI_Expiration=1,IF($A749&lt;VLOOKUP(M$5,NFI,5,0),1,0)*Table_NFI[[#This Row],[Winter Blanket]],Table_NFI[[#This Row],[Winter Blanket]])</f>
        <v>0</v>
      </c>
      <c r="AM749" s="378">
        <f>IF(Table_NFI[[#This Row],[Winter Clothes Adult]]+Table_NFI[[#This Row],[Winter Clothes Children]]+Table_NFI[[#This Row],[Winter Items Other]]+Table_NFI[[#This Row],[Winter Blanket]]&gt;0,1,0)</f>
        <v>0</v>
      </c>
      <c r="AN749" s="418">
        <f>IF(NFI_Expiration=1,IF($A749&lt;VLOOKUP(V$5,NFI,5,0),1,0)*Table_NFI[[#This Row],[Jerry Can]],Table_NFI[Jerry Can])</f>
        <v>0</v>
      </c>
      <c r="AO749" s="579" t="str">
        <f>IFERROR(VLOOKUP(Table_NFI[[#This Row],[Camp Name]],CL,2,0),"")</f>
        <v>MMR001CMP047</v>
      </c>
      <c r="AP749" s="574">
        <f ca="1">IF(Table_NFI[[#This Row],[Pcode]]="","",IF(OFFSET(CampList[Opening Date],MATCH(Table_NFI[[#This Row],[Pcode]],CampList[CP_Pcode],0)-1,0,1,1)&gt;=NFI_Monitor_Date,1,0))</f>
        <v>0</v>
      </c>
      <c r="AQ749" s="579" t="str">
        <f>IFERROR(VLOOKUP(Table_NFI[[#This Row],[Camp Name]],CL,3,0),"")</f>
        <v>Open</v>
      </c>
      <c r="AR749" s="378" t="str">
        <f ca="1">IF(Table_NFI[[#This Row],[Pcode]]="","",OFFSET(CampList[Priority],MATCH(Table_NFI[[#This Row],[Pcode]],CampList[CP_Pcode],0)-1,0,1,1))</f>
        <v>P4</v>
      </c>
      <c r="AS749" s="377">
        <f>IFERROR(Table_NFI[[#This Row],[Kitchen Set]]/VLOOKUP(Table_NFI[[#This Row],[Camp Name]],CL,4,0),"")</f>
        <v>0.24006359300476948</v>
      </c>
      <c r="AT749" s="572" t="s">
        <v>1095</v>
      </c>
      <c r="AU749" s="575"/>
    </row>
    <row r="750" spans="1:47" x14ac:dyDescent="0.25">
      <c r="A750" s="381">
        <f t="shared" si="11"/>
        <v>48.733333333333334</v>
      </c>
      <c r="B750" s="571">
        <v>41060</v>
      </c>
      <c r="C750" s="572" t="s">
        <v>454</v>
      </c>
      <c r="D750" s="572" t="s">
        <v>462</v>
      </c>
      <c r="E750" s="572" t="s">
        <v>380</v>
      </c>
      <c r="F750" s="374" t="s">
        <v>5</v>
      </c>
      <c r="G750" s="374" t="s">
        <v>22</v>
      </c>
      <c r="H750" s="375"/>
      <c r="I750" s="375"/>
      <c r="J750" s="375"/>
      <c r="K750" s="375">
        <v>0</v>
      </c>
      <c r="L750" s="376">
        <v>20</v>
      </c>
      <c r="M750" s="376">
        <v>0</v>
      </c>
      <c r="N750" s="376">
        <v>0</v>
      </c>
      <c r="O750" s="376">
        <v>0</v>
      </c>
      <c r="P750" s="378"/>
      <c r="Q750" s="378"/>
      <c r="R750" s="378"/>
      <c r="S750" s="378"/>
      <c r="T750" s="378"/>
      <c r="U750" s="378"/>
      <c r="V750" s="533"/>
      <c r="W750" s="378"/>
      <c r="X750" s="378"/>
      <c r="Y750" s="378">
        <f>IF(NFI_Expiration=1,IF($A750&lt;VLOOKUP(H$5,NFI,5,0),1,0)*Table_NFI[[#This Row],[Hygiene Kit]],Table_NFI[Hygiene Kit])</f>
        <v>0</v>
      </c>
      <c r="Z750" s="378">
        <f>IF(NFI_Expiration=1,IF($A750&lt;VLOOKUP(I$5,NFI,5,0),1,0)*Table_NFI[[#This Row],[NFI Core Kit]],Table_NFI[NFI Core Kit])</f>
        <v>0</v>
      </c>
      <c r="AA750" s="378">
        <f>IF(NFI_Expiration=1,IF($A750&lt;VLOOKUP(J$5,NFI,5,0),1,0)*Table_NFI[[#This Row],[Sanitary Kit]],Table_NFI[Sanitary Kit])</f>
        <v>0</v>
      </c>
      <c r="AB750" s="378">
        <f>IF(NFI_Expiration=1,IF($A750&lt;VLOOKUP(K$5,NFI,5,0),1,0)*Table_NFI[[#This Row],[Mosquito net]],Table_NFI[Mosquito net])</f>
        <v>0</v>
      </c>
      <c r="AC750" s="378">
        <f>IF(NFI_Expiration=1,IF($A750&lt;VLOOKUP(L$5,NFI,5,0),1,0)*Table_NFI[[#This Row],[Tarpaulin]],Table_NFI[[#This Row],[Tarpaulin]])</f>
        <v>0</v>
      </c>
      <c r="AD750" s="378">
        <f>IF(NFI_Expiration=1,IF($A750&lt;VLOOKUP(M$5,NFI,5,0),1,0)*Table_NFI[[#This Row],[Blanket]],Table_NFI[[#This Row],[Blanket]])</f>
        <v>0</v>
      </c>
      <c r="AE750" s="378">
        <f>IF(NFI_Expiration=1,IF($A750&lt;VLOOKUP(N$5,NFI,5,0),1,0)*Table_NFI[[#This Row],[Kitchen Set]],Table_NFI[Kitchen Set])</f>
        <v>0</v>
      </c>
      <c r="AF750" s="378">
        <f>IF(NFI_Expiration=1,IF($A750&lt;VLOOKUP(O$5,NFI,5,0),1,0)*Table_NFI[[#This Row],[Clothes Kit]],Table_NFI[Clothes Kit])</f>
        <v>0</v>
      </c>
      <c r="AG750" s="378">
        <f>IF(NFI_Expiration=1,IF($A750&lt;VLOOKUP(P$5,NFI,5,0),1,0)*Table_NFI[[#This Row],[Plastic Bucket]],Table_NFI[Plastic Bucket])</f>
        <v>0</v>
      </c>
      <c r="AH750" s="378">
        <f>IF(NFI_Expiration=1,IF($A750&lt;VLOOKUP(Q$5,NFI,5,0),1,0)*Table_NFI[[#This Row],[Plastic Mat]],Table_NFI[Plastic Mat])*IF(Table_NFI[[#This Row],[Distribution Date]]&gt;"2014-04-01",1,2.5)</f>
        <v>0</v>
      </c>
      <c r="AI750" s="378">
        <f>IF(NFI_Expiration=1,IF($A750&lt;VLOOKUP(R$5,NFI,5,0),1,0)*Table_NFI[[#This Row],[Winter Clothes Adult]],Table_NFI[Winter Clothes Adult])</f>
        <v>0</v>
      </c>
      <c r="AJ750" s="378">
        <f>IF(NFI_Expiration=1,IF($A750&lt;VLOOKUP(S$5,NFI,5,0),1,0)*Table_NFI[[#This Row],[Winter Clothes Children]],Table_NFI[Winter Clothes Children])</f>
        <v>0</v>
      </c>
      <c r="AK750" s="378">
        <f>IF(NFI_Expiration=1,IF($A750&lt;VLOOKUP(T$5,NFI,5,0),1,0)*Table_NFI[[#This Row],[Winter Items Other]],Table_NFI[Winter Items Other])</f>
        <v>0</v>
      </c>
      <c r="AL750" s="378">
        <f>IF(NFI_Expiration=1,IF($A750&lt;VLOOKUP(M$5,NFI,5,0),1,0)*Table_NFI[[#This Row],[Winter Blanket]],Table_NFI[[#This Row],[Winter Blanket]])</f>
        <v>0</v>
      </c>
      <c r="AM750" s="378">
        <f>IF(Table_NFI[[#This Row],[Winter Clothes Adult]]+Table_NFI[[#This Row],[Winter Clothes Children]]+Table_NFI[[#This Row],[Winter Items Other]]+Table_NFI[[#This Row],[Winter Blanket]]&gt;0,1,0)</f>
        <v>0</v>
      </c>
      <c r="AN750" s="418">
        <f>IF(NFI_Expiration=1,IF($A750&lt;VLOOKUP(V$5,NFI,5,0),1,0)*Table_NFI[[#This Row],[Jerry Can]],Table_NFI[Jerry Can])</f>
        <v>0</v>
      </c>
      <c r="AO750" s="579" t="str">
        <f>IFERROR(VLOOKUP(Table_NFI[[#This Row],[Camp Name]],CL,2,0),"")</f>
        <v>MMR001CMP047</v>
      </c>
      <c r="AP750" s="574">
        <f ca="1">IF(Table_NFI[[#This Row],[Pcode]]="","",IF(OFFSET(CampList[Opening Date],MATCH(Table_NFI[[#This Row],[Pcode]],CampList[CP_Pcode],0)-1,0,1,1)&gt;=NFI_Monitor_Date,1,0))</f>
        <v>0</v>
      </c>
      <c r="AQ750" s="579" t="str">
        <f>IFERROR(VLOOKUP(Table_NFI[[#This Row],[Camp Name]],CL,3,0),"")</f>
        <v>Open</v>
      </c>
      <c r="AR750" s="378" t="str">
        <f ca="1">IF(Table_NFI[[#This Row],[Pcode]]="","",OFFSET(CampList[Priority],MATCH(Table_NFI[[#This Row],[Pcode]],CampList[CP_Pcode],0)-1,0,1,1))</f>
        <v>P4</v>
      </c>
      <c r="AS750" s="377">
        <f>IFERROR(Table_NFI[[#This Row],[Kitchen Set]]/VLOOKUP(Table_NFI[[#This Row],[Camp Name]],CL,4,0),"")</f>
        <v>0</v>
      </c>
      <c r="AT750" s="572" t="s">
        <v>1095</v>
      </c>
      <c r="AU750" s="575"/>
    </row>
    <row r="751" spans="1:47" x14ac:dyDescent="0.25">
      <c r="A751" s="381">
        <f t="shared" si="11"/>
        <v>50.9</v>
      </c>
      <c r="B751" s="571">
        <v>40995</v>
      </c>
      <c r="C751" s="572" t="s">
        <v>454</v>
      </c>
      <c r="D751" s="573" t="s">
        <v>454</v>
      </c>
      <c r="E751" s="572" t="s">
        <v>380</v>
      </c>
      <c r="F751" s="374" t="s">
        <v>5</v>
      </c>
      <c r="G751" s="374" t="s">
        <v>22</v>
      </c>
      <c r="H751" s="375"/>
      <c r="I751" s="375"/>
      <c r="J751" s="375"/>
      <c r="K751" s="375">
        <v>1000</v>
      </c>
      <c r="L751" s="376">
        <v>500</v>
      </c>
      <c r="M751" s="376">
        <v>1000</v>
      </c>
      <c r="N751" s="376">
        <v>500</v>
      </c>
      <c r="O751" s="376">
        <v>500</v>
      </c>
      <c r="P751" s="378">
        <v>500</v>
      </c>
      <c r="Q751" s="378">
        <v>500</v>
      </c>
      <c r="R751" s="378"/>
      <c r="S751" s="378"/>
      <c r="T751" s="378"/>
      <c r="U751" s="378"/>
      <c r="V751" s="533"/>
      <c r="W751" s="378"/>
      <c r="X751" s="378"/>
      <c r="Y751" s="378">
        <f>IF(NFI_Expiration=1,IF($A751&lt;VLOOKUP(H$5,NFI,5,0),1,0)*Table_NFI[[#This Row],[Hygiene Kit]],Table_NFI[Hygiene Kit])</f>
        <v>0</v>
      </c>
      <c r="Z751" s="378">
        <f>IF(NFI_Expiration=1,IF($A751&lt;VLOOKUP(I$5,NFI,5,0),1,0)*Table_NFI[[#This Row],[NFI Core Kit]],Table_NFI[NFI Core Kit])</f>
        <v>0</v>
      </c>
      <c r="AA751" s="378">
        <f>IF(NFI_Expiration=1,IF($A751&lt;VLOOKUP(J$5,NFI,5,0),1,0)*Table_NFI[[#This Row],[Sanitary Kit]],Table_NFI[Sanitary Kit])</f>
        <v>0</v>
      </c>
      <c r="AB751" s="378">
        <f>IF(NFI_Expiration=1,IF($A751&lt;VLOOKUP(K$5,NFI,5,0),1,0)*Table_NFI[[#This Row],[Mosquito net]],Table_NFI[Mosquito net])</f>
        <v>0</v>
      </c>
      <c r="AC751" s="378">
        <f>IF(NFI_Expiration=1,IF($A751&lt;VLOOKUP(L$5,NFI,5,0),1,0)*Table_NFI[[#This Row],[Tarpaulin]],Table_NFI[[#This Row],[Tarpaulin]])</f>
        <v>0</v>
      </c>
      <c r="AD751" s="378">
        <f>IF(NFI_Expiration=1,IF($A751&lt;VLOOKUP(M$5,NFI,5,0),1,0)*Table_NFI[[#This Row],[Blanket]],Table_NFI[[#This Row],[Blanket]])</f>
        <v>0</v>
      </c>
      <c r="AE751" s="378">
        <f>IF(NFI_Expiration=1,IF($A751&lt;VLOOKUP(N$5,NFI,5,0),1,0)*Table_NFI[[#This Row],[Kitchen Set]],Table_NFI[Kitchen Set])</f>
        <v>0</v>
      </c>
      <c r="AF751" s="378">
        <f>IF(NFI_Expiration=1,IF($A751&lt;VLOOKUP(O$5,NFI,5,0),1,0)*Table_NFI[[#This Row],[Clothes Kit]],Table_NFI[Clothes Kit])</f>
        <v>0</v>
      </c>
      <c r="AG751" s="378">
        <f>IF(NFI_Expiration=1,IF($A751&lt;VLOOKUP(P$5,NFI,5,0),1,0)*Table_NFI[[#This Row],[Plastic Bucket]],Table_NFI[Plastic Bucket])</f>
        <v>0</v>
      </c>
      <c r="AH751" s="378">
        <f>IF(NFI_Expiration=1,IF($A751&lt;VLOOKUP(Q$5,NFI,5,0),1,0)*Table_NFI[[#This Row],[Plastic Mat]],Table_NFI[Plastic Mat])*IF(Table_NFI[[#This Row],[Distribution Date]]&gt;"2014-04-01",1,2.5)</f>
        <v>0</v>
      </c>
      <c r="AI751" s="378">
        <f>IF(NFI_Expiration=1,IF($A751&lt;VLOOKUP(R$5,NFI,5,0),1,0)*Table_NFI[[#This Row],[Winter Clothes Adult]],Table_NFI[Winter Clothes Adult])</f>
        <v>0</v>
      </c>
      <c r="AJ751" s="378">
        <f>IF(NFI_Expiration=1,IF($A751&lt;VLOOKUP(S$5,NFI,5,0),1,0)*Table_NFI[[#This Row],[Winter Clothes Children]],Table_NFI[Winter Clothes Children])</f>
        <v>0</v>
      </c>
      <c r="AK751" s="378">
        <f>IF(NFI_Expiration=1,IF($A751&lt;VLOOKUP(T$5,NFI,5,0),1,0)*Table_NFI[[#This Row],[Winter Items Other]],Table_NFI[Winter Items Other])</f>
        <v>0</v>
      </c>
      <c r="AL751" s="378">
        <f>IF(NFI_Expiration=1,IF($A751&lt;VLOOKUP(M$5,NFI,5,0),1,0)*Table_NFI[[#This Row],[Winter Blanket]],Table_NFI[[#This Row],[Winter Blanket]])</f>
        <v>0</v>
      </c>
      <c r="AM751" s="378">
        <f>IF(Table_NFI[[#This Row],[Winter Clothes Adult]]+Table_NFI[[#This Row],[Winter Clothes Children]]+Table_NFI[[#This Row],[Winter Items Other]]+Table_NFI[[#This Row],[Winter Blanket]]&gt;0,1,0)</f>
        <v>0</v>
      </c>
      <c r="AN751" s="418">
        <f>IF(NFI_Expiration=1,IF($A751&lt;VLOOKUP(V$5,NFI,5,0),1,0)*Table_NFI[[#This Row],[Jerry Can]],Table_NFI[Jerry Can])</f>
        <v>0</v>
      </c>
      <c r="AO751" s="579" t="str">
        <f>IFERROR(VLOOKUP(Table_NFI[[#This Row],[Camp Name]],CL,2,0),"")</f>
        <v>MMR001CMP047</v>
      </c>
      <c r="AP751" s="574">
        <f ca="1">IF(Table_NFI[[#This Row],[Pcode]]="","",IF(OFFSET(CampList[Opening Date],MATCH(Table_NFI[[#This Row],[Pcode]],CampList[CP_Pcode],0)-1,0,1,1)&gt;=NFI_Monitor_Date,1,0))</f>
        <v>0</v>
      </c>
      <c r="AQ751" s="579" t="str">
        <f>IFERROR(VLOOKUP(Table_NFI[[#This Row],[Camp Name]],CL,3,0),"")</f>
        <v>Open</v>
      </c>
      <c r="AR751" s="378" t="str">
        <f ca="1">IF(Table_NFI[[#This Row],[Pcode]]="","",OFFSET(CampList[Priority],MATCH(Table_NFI[[#This Row],[Pcode]],CampList[CP_Pcode],0)-1,0,1,1))</f>
        <v>P4</v>
      </c>
      <c r="AS751" s="377">
        <f>IFERROR(Table_NFI[[#This Row],[Kitchen Set]]/VLOOKUP(Table_NFI[[#This Row],[Camp Name]],CL,4,0),"")</f>
        <v>0.79491255961844198</v>
      </c>
      <c r="AT751" s="572" t="s">
        <v>1095</v>
      </c>
      <c r="AU751" s="575"/>
    </row>
    <row r="752" spans="1:47" x14ac:dyDescent="0.25">
      <c r="A752" s="381">
        <f t="shared" si="11"/>
        <v>16.833333333333332</v>
      </c>
      <c r="B752" s="571">
        <v>42017</v>
      </c>
      <c r="C752" s="572" t="s">
        <v>1097</v>
      </c>
      <c r="D752" s="572" t="s">
        <v>903</v>
      </c>
      <c r="E752" s="572" t="s">
        <v>380</v>
      </c>
      <c r="F752" s="572" t="s">
        <v>529</v>
      </c>
      <c r="G752" s="572" t="s">
        <v>124</v>
      </c>
      <c r="H752" s="375"/>
      <c r="I752" s="378"/>
      <c r="J752" s="378"/>
      <c r="K752" s="378"/>
      <c r="L752" s="376"/>
      <c r="M752" s="376"/>
      <c r="N752" s="376"/>
      <c r="O752" s="376"/>
      <c r="P752" s="378"/>
      <c r="Q752" s="378"/>
      <c r="R752" s="378">
        <v>34</v>
      </c>
      <c r="S752" s="378">
        <v>9</v>
      </c>
      <c r="T752" s="378"/>
      <c r="U752" s="378"/>
      <c r="V752" s="533"/>
      <c r="W752" s="378"/>
      <c r="X752" s="378"/>
      <c r="Y752" s="378">
        <f>IF(NFI_Expiration=1,IF($A752&lt;VLOOKUP(H$5,NFI,5,0),1,0)*Table_NFI[[#This Row],[Hygiene Kit]],Table_NFI[Hygiene Kit])</f>
        <v>0</v>
      </c>
      <c r="Z752" s="378">
        <f>IF(NFI_Expiration=1,IF($A752&lt;VLOOKUP(I$5,NFI,5,0),1,0)*Table_NFI[[#This Row],[NFI Core Kit]],Table_NFI[NFI Core Kit])</f>
        <v>0</v>
      </c>
      <c r="AA752" s="378">
        <f>IF(NFI_Expiration=1,IF($A752&lt;VLOOKUP(J$5,NFI,5,0),1,0)*Table_NFI[[#This Row],[Sanitary Kit]],Table_NFI[Sanitary Kit])</f>
        <v>0</v>
      </c>
      <c r="AB752" s="378">
        <f>IF(NFI_Expiration=1,IF($A752&lt;VLOOKUP(K$5,NFI,5,0),1,0)*Table_NFI[[#This Row],[Mosquito net]],Table_NFI[Mosquito net])</f>
        <v>0</v>
      </c>
      <c r="AC752" s="378">
        <f>IF(NFI_Expiration=1,IF($A752&lt;VLOOKUP(L$5,NFI,5,0),1,0)*Table_NFI[[#This Row],[Tarpaulin]],Table_NFI[[#This Row],[Tarpaulin]])</f>
        <v>0</v>
      </c>
      <c r="AD752" s="378">
        <f>IF(NFI_Expiration=1,IF($A752&lt;VLOOKUP(M$5,NFI,5,0),1,0)*Table_NFI[[#This Row],[Blanket]],Table_NFI[[#This Row],[Blanket]])</f>
        <v>0</v>
      </c>
      <c r="AE752" s="378">
        <f>IF(NFI_Expiration=1,IF($A752&lt;VLOOKUP(N$5,NFI,5,0),1,0)*Table_NFI[[#This Row],[Kitchen Set]],Table_NFI[Kitchen Set])</f>
        <v>0</v>
      </c>
      <c r="AF752" s="378">
        <f>IF(NFI_Expiration=1,IF($A752&lt;VLOOKUP(O$5,NFI,5,0),1,0)*Table_NFI[[#This Row],[Clothes Kit]],Table_NFI[Clothes Kit])</f>
        <v>0</v>
      </c>
      <c r="AG752" s="378">
        <f>IF(NFI_Expiration=1,IF($A752&lt;VLOOKUP(P$5,NFI,5,0),1,0)*Table_NFI[[#This Row],[Plastic Bucket]],Table_NFI[Plastic Bucket])</f>
        <v>0</v>
      </c>
      <c r="AH752" s="378">
        <f>IF(NFI_Expiration=1,IF($A752&lt;VLOOKUP(Q$5,NFI,5,0),1,0)*Table_NFI[[#This Row],[Plastic Mat]],Table_NFI[Plastic Mat])*IF(Table_NFI[[#This Row],[Distribution Date]]&gt;"2014-04-01",1,2.5)</f>
        <v>0</v>
      </c>
      <c r="AI752" s="378">
        <f>IF(NFI_Expiration=1,IF($A752&lt;VLOOKUP(R$5,NFI,5,0),1,0)*Table_NFI[[#This Row],[Winter Clothes Adult]],Table_NFI[Winter Clothes Adult])</f>
        <v>0</v>
      </c>
      <c r="AJ752" s="378">
        <f>IF(NFI_Expiration=1,IF($A752&lt;VLOOKUP(S$5,NFI,5,0),1,0)*Table_NFI[[#This Row],[Winter Clothes Children]],Table_NFI[Winter Clothes Children])</f>
        <v>0</v>
      </c>
      <c r="AK752" s="378">
        <f>IF(NFI_Expiration=1,IF($A752&lt;VLOOKUP(T$5,NFI,5,0),1,0)*Table_NFI[[#This Row],[Winter Items Other]],Table_NFI[Winter Items Other])</f>
        <v>0</v>
      </c>
      <c r="AL752" s="378">
        <f>IF(NFI_Expiration=1,IF($A752&lt;VLOOKUP(M$5,NFI,5,0),1,0)*Table_NFI[[#This Row],[Winter Blanket]],Table_NFI[[#This Row],[Winter Blanket]])</f>
        <v>0</v>
      </c>
      <c r="AM752" s="378">
        <f>IF(Table_NFI[[#This Row],[Winter Clothes Adult]]+Table_NFI[[#This Row],[Winter Clothes Children]]+Table_NFI[[#This Row],[Winter Items Other]]+Table_NFI[[#This Row],[Winter Blanket]]&gt;0,1,0)</f>
        <v>1</v>
      </c>
      <c r="AN752" s="418">
        <f>IF(NFI_Expiration=1,IF($A752&lt;VLOOKUP(V$5,NFI,5,0),1,0)*Table_NFI[[#This Row],[Jerry Can]],Table_NFI[Jerry Can])</f>
        <v>0</v>
      </c>
      <c r="AO752" s="579" t="str">
        <f>IFERROR(VLOOKUP(Table_NFI[[#This Row],[Camp Name]],CL,2,0),"")</f>
        <v>MMR001CMP183</v>
      </c>
      <c r="AP752" s="574">
        <f ca="1">IF(Table_NFI[[#This Row],[Pcode]]="","",IF(OFFSET(CampList[Opening Date],MATCH(Table_NFI[[#This Row],[Pcode]],CampList[CP_Pcode],0)-1,0,1,1)&gt;=NFI_Monitor_Date,1,0))</f>
        <v>0</v>
      </c>
      <c r="AQ752" s="579" t="str">
        <f>IFERROR(VLOOKUP(Table_NFI[[#This Row],[Camp Name]],CL,3,0),"")</f>
        <v>Open</v>
      </c>
      <c r="AR752" s="378" t="str">
        <f ca="1">IF(Table_NFI[[#This Row],[Pcode]]="","",OFFSET(CampList[Priority],MATCH(Table_NFI[[#This Row],[Pcode]],CampList[CP_Pcode],0)-1,0,1,1))</f>
        <v>P4</v>
      </c>
      <c r="AS752" s="377">
        <f>IFERROR(Table_NFI[[#This Row],[Kitchen Set]]/VLOOKUP(Table_NFI[[#This Row],[Camp Name]],CL,4,0),"")</f>
        <v>0</v>
      </c>
      <c r="AT752" s="572"/>
      <c r="AU752" s="601"/>
    </row>
    <row r="753" spans="1:47" x14ac:dyDescent="0.25">
      <c r="A753" s="381">
        <f t="shared" si="11"/>
        <v>19.3</v>
      </c>
      <c r="B753" s="571">
        <v>41943</v>
      </c>
      <c r="C753" s="572" t="s">
        <v>454</v>
      </c>
      <c r="D753" s="572"/>
      <c r="E753" s="572" t="s">
        <v>380</v>
      </c>
      <c r="F753" s="572" t="s">
        <v>529</v>
      </c>
      <c r="G753" s="572" t="s">
        <v>124</v>
      </c>
      <c r="H753" s="375"/>
      <c r="I753" s="375"/>
      <c r="J753" s="375">
        <v>9</v>
      </c>
      <c r="K753" s="375">
        <v>18</v>
      </c>
      <c r="L753" s="376">
        <v>9</v>
      </c>
      <c r="M753" s="376">
        <v>18</v>
      </c>
      <c r="N753" s="376">
        <v>9</v>
      </c>
      <c r="O753" s="376"/>
      <c r="P753" s="378">
        <v>9</v>
      </c>
      <c r="Q753" s="378">
        <v>45</v>
      </c>
      <c r="R753" s="378"/>
      <c r="S753" s="378"/>
      <c r="T753" s="378"/>
      <c r="U753" s="378"/>
      <c r="V753" s="533"/>
      <c r="W753" s="378"/>
      <c r="X753" s="378"/>
      <c r="Y753" s="378">
        <f>IF(NFI_Expiration=1,IF($A753&lt;VLOOKUP(H$5,NFI,5,0),1,0)*Table_NFI[[#This Row],[Hygiene Kit]],Table_NFI[Hygiene Kit])</f>
        <v>0</v>
      </c>
      <c r="Z753" s="378">
        <f>IF(NFI_Expiration=1,IF($A753&lt;VLOOKUP(I$5,NFI,5,0),1,0)*Table_NFI[[#This Row],[NFI Core Kit]],Table_NFI[NFI Core Kit])</f>
        <v>0</v>
      </c>
      <c r="AA753" s="378">
        <f>IF(NFI_Expiration=1,IF($A753&lt;VLOOKUP(J$5,NFI,5,0),1,0)*Table_NFI[[#This Row],[Sanitary Kit]],Table_NFI[Sanitary Kit])</f>
        <v>0</v>
      </c>
      <c r="AB753" s="378">
        <f>IF(NFI_Expiration=1,IF($A753&lt;VLOOKUP(K$5,NFI,5,0),1,0)*Table_NFI[[#This Row],[Mosquito net]],Table_NFI[Mosquito net])</f>
        <v>0</v>
      </c>
      <c r="AC753" s="378">
        <f>IF(NFI_Expiration=1,IF($A753&lt;VLOOKUP(L$5,NFI,5,0),1,0)*Table_NFI[[#This Row],[Tarpaulin]],Table_NFI[[#This Row],[Tarpaulin]])</f>
        <v>0</v>
      </c>
      <c r="AD753" s="378">
        <f>IF(NFI_Expiration=1,IF($A753&lt;VLOOKUP(M$5,NFI,5,0),1,0)*Table_NFI[[#This Row],[Blanket]],Table_NFI[[#This Row],[Blanket]])</f>
        <v>0</v>
      </c>
      <c r="AE753" s="378">
        <f>IF(NFI_Expiration=1,IF($A753&lt;VLOOKUP(N$5,NFI,5,0),1,0)*Table_NFI[[#This Row],[Kitchen Set]],Table_NFI[Kitchen Set])</f>
        <v>0</v>
      </c>
      <c r="AF753" s="378">
        <f>IF(NFI_Expiration=1,IF($A753&lt;VLOOKUP(O$5,NFI,5,0),1,0)*Table_NFI[[#This Row],[Clothes Kit]],Table_NFI[Clothes Kit])</f>
        <v>0</v>
      </c>
      <c r="AG753" s="378">
        <f>IF(NFI_Expiration=1,IF($A753&lt;VLOOKUP(P$5,NFI,5,0),1,0)*Table_NFI[[#This Row],[Plastic Bucket]],Table_NFI[Plastic Bucket])</f>
        <v>0</v>
      </c>
      <c r="AH753" s="378">
        <f>IF(NFI_Expiration=1,IF($A753&lt;VLOOKUP(Q$5,NFI,5,0),1,0)*Table_NFI[[#This Row],[Plastic Mat]],Table_NFI[Plastic Mat])*IF(Table_NFI[[#This Row],[Distribution Date]]&gt;"2014-04-01",1,2.5)</f>
        <v>0</v>
      </c>
      <c r="AI753" s="378">
        <f>IF(NFI_Expiration=1,IF($A753&lt;VLOOKUP(R$5,NFI,5,0),1,0)*Table_NFI[[#This Row],[Winter Clothes Adult]],Table_NFI[Winter Clothes Adult])</f>
        <v>0</v>
      </c>
      <c r="AJ753" s="378">
        <f>IF(NFI_Expiration=1,IF($A753&lt;VLOOKUP(S$5,NFI,5,0),1,0)*Table_NFI[[#This Row],[Winter Clothes Children]],Table_NFI[Winter Clothes Children])</f>
        <v>0</v>
      </c>
      <c r="AK753" s="378">
        <f>IF(NFI_Expiration=1,IF($A753&lt;VLOOKUP(T$5,NFI,5,0),1,0)*Table_NFI[[#This Row],[Winter Items Other]],Table_NFI[Winter Items Other])</f>
        <v>0</v>
      </c>
      <c r="AL753" s="378">
        <f>IF(NFI_Expiration=1,IF($A753&lt;VLOOKUP(M$5,NFI,5,0),1,0)*Table_NFI[[#This Row],[Winter Blanket]],Table_NFI[[#This Row],[Winter Blanket]])</f>
        <v>0</v>
      </c>
      <c r="AM753" s="378">
        <f>IF(Table_NFI[[#This Row],[Winter Clothes Adult]]+Table_NFI[[#This Row],[Winter Clothes Children]]+Table_NFI[[#This Row],[Winter Items Other]]+Table_NFI[[#This Row],[Winter Blanket]]&gt;0,1,0)</f>
        <v>0</v>
      </c>
      <c r="AN753" s="418">
        <f>IF(NFI_Expiration=1,IF($A753&lt;VLOOKUP(V$5,NFI,5,0),1,0)*Table_NFI[[#This Row],[Jerry Can]],Table_NFI[Jerry Can])</f>
        <v>0</v>
      </c>
      <c r="AO753" s="579" t="str">
        <f>IFERROR(VLOOKUP(Table_NFI[[#This Row],[Camp Name]],CL,2,0),"")</f>
        <v>MMR001CMP183</v>
      </c>
      <c r="AP753" s="574">
        <f ca="1">IF(Table_NFI[[#This Row],[Pcode]]="","",IF(OFFSET(CampList[Opening Date],MATCH(Table_NFI[[#This Row],[Pcode]],CampList[CP_Pcode],0)-1,0,1,1)&gt;=NFI_Monitor_Date,1,0))</f>
        <v>0</v>
      </c>
      <c r="AQ753" s="579" t="str">
        <f>IFERROR(VLOOKUP(Table_NFI[[#This Row],[Camp Name]],CL,3,0),"")</f>
        <v>Open</v>
      </c>
      <c r="AR753" s="378" t="str">
        <f ca="1">IF(Table_NFI[[#This Row],[Pcode]]="","",OFFSET(CampList[Priority],MATCH(Table_NFI[[#This Row],[Pcode]],CampList[CP_Pcode],0)-1,0,1,1))</f>
        <v>P4</v>
      </c>
      <c r="AS753" s="377">
        <f>IFERROR(Table_NFI[[#This Row],[Kitchen Set]]/VLOOKUP(Table_NFI[[#This Row],[Camp Name]],CL,4,0),"")</f>
        <v>1.125</v>
      </c>
      <c r="AT753" s="572"/>
      <c r="AU753" s="575"/>
    </row>
    <row r="754" spans="1:47" x14ac:dyDescent="0.25">
      <c r="A754" s="381">
        <f t="shared" si="11"/>
        <v>16.833333333333332</v>
      </c>
      <c r="B754" s="571">
        <v>42017</v>
      </c>
      <c r="C754" s="572" t="s">
        <v>1097</v>
      </c>
      <c r="D754" s="572" t="s">
        <v>903</v>
      </c>
      <c r="E754" s="572" t="s">
        <v>380</v>
      </c>
      <c r="F754" s="572" t="s">
        <v>27</v>
      </c>
      <c r="G754" s="572" t="s">
        <v>1022</v>
      </c>
      <c r="H754" s="375"/>
      <c r="I754" s="378"/>
      <c r="J754" s="378"/>
      <c r="K754" s="378"/>
      <c r="L754" s="376"/>
      <c r="M754" s="376"/>
      <c r="N754" s="376"/>
      <c r="O754" s="376"/>
      <c r="P754" s="378"/>
      <c r="Q754" s="378"/>
      <c r="R754" s="378">
        <v>111</v>
      </c>
      <c r="S754" s="378">
        <v>56</v>
      </c>
      <c r="T754" s="378"/>
      <c r="U754" s="378">
        <v>58</v>
      </c>
      <c r="V754" s="533"/>
      <c r="W754" s="378"/>
      <c r="X754" s="378"/>
      <c r="Y754" s="378">
        <f>IF(NFI_Expiration=1,IF($A754&lt;VLOOKUP(H$5,NFI,5,0),1,0)*Table_NFI[[#This Row],[Hygiene Kit]],Table_NFI[Hygiene Kit])</f>
        <v>0</v>
      </c>
      <c r="Z754" s="378">
        <f>IF(NFI_Expiration=1,IF($A754&lt;VLOOKUP(I$5,NFI,5,0),1,0)*Table_NFI[[#This Row],[NFI Core Kit]],Table_NFI[NFI Core Kit])</f>
        <v>0</v>
      </c>
      <c r="AA754" s="378">
        <f>IF(NFI_Expiration=1,IF($A754&lt;VLOOKUP(J$5,NFI,5,0),1,0)*Table_NFI[[#This Row],[Sanitary Kit]],Table_NFI[Sanitary Kit])</f>
        <v>0</v>
      </c>
      <c r="AB754" s="378">
        <f>IF(NFI_Expiration=1,IF($A754&lt;VLOOKUP(K$5,NFI,5,0),1,0)*Table_NFI[[#This Row],[Mosquito net]],Table_NFI[Mosquito net])</f>
        <v>0</v>
      </c>
      <c r="AC754" s="378">
        <f>IF(NFI_Expiration=1,IF($A754&lt;VLOOKUP(L$5,NFI,5,0),1,0)*Table_NFI[[#This Row],[Tarpaulin]],Table_NFI[[#This Row],[Tarpaulin]])</f>
        <v>0</v>
      </c>
      <c r="AD754" s="378">
        <f>IF(NFI_Expiration=1,IF($A754&lt;VLOOKUP(M$5,NFI,5,0),1,0)*Table_NFI[[#This Row],[Blanket]],Table_NFI[[#This Row],[Blanket]])</f>
        <v>0</v>
      </c>
      <c r="AE754" s="378">
        <f>IF(NFI_Expiration=1,IF($A754&lt;VLOOKUP(N$5,NFI,5,0),1,0)*Table_NFI[[#This Row],[Kitchen Set]],Table_NFI[Kitchen Set])</f>
        <v>0</v>
      </c>
      <c r="AF754" s="378">
        <f>IF(NFI_Expiration=1,IF($A754&lt;VLOOKUP(O$5,NFI,5,0),1,0)*Table_NFI[[#This Row],[Clothes Kit]],Table_NFI[Clothes Kit])</f>
        <v>0</v>
      </c>
      <c r="AG754" s="378">
        <f>IF(NFI_Expiration=1,IF($A754&lt;VLOOKUP(P$5,NFI,5,0),1,0)*Table_NFI[[#This Row],[Plastic Bucket]],Table_NFI[Plastic Bucket])</f>
        <v>0</v>
      </c>
      <c r="AH754" s="378">
        <f>IF(NFI_Expiration=1,IF($A754&lt;VLOOKUP(Q$5,NFI,5,0),1,0)*Table_NFI[[#This Row],[Plastic Mat]],Table_NFI[Plastic Mat])*IF(Table_NFI[[#This Row],[Distribution Date]]&gt;"2014-04-01",1,2.5)</f>
        <v>0</v>
      </c>
      <c r="AI754" s="378">
        <f>IF(NFI_Expiration=1,IF($A754&lt;VLOOKUP(R$5,NFI,5,0),1,0)*Table_NFI[[#This Row],[Winter Clothes Adult]],Table_NFI[Winter Clothes Adult])</f>
        <v>0</v>
      </c>
      <c r="AJ754" s="378">
        <f>IF(NFI_Expiration=1,IF($A754&lt;VLOOKUP(S$5,NFI,5,0),1,0)*Table_NFI[[#This Row],[Winter Clothes Children]],Table_NFI[Winter Clothes Children])</f>
        <v>0</v>
      </c>
      <c r="AK754" s="378">
        <f>IF(NFI_Expiration=1,IF($A754&lt;VLOOKUP(T$5,NFI,5,0),1,0)*Table_NFI[[#This Row],[Winter Items Other]],Table_NFI[Winter Items Other])</f>
        <v>0</v>
      </c>
      <c r="AL754" s="378">
        <f>IF(NFI_Expiration=1,IF($A754&lt;VLOOKUP(M$5,NFI,5,0),1,0)*Table_NFI[[#This Row],[Winter Blanket]],Table_NFI[[#This Row],[Winter Blanket]])</f>
        <v>0</v>
      </c>
      <c r="AM754" s="378">
        <f>IF(Table_NFI[[#This Row],[Winter Clothes Adult]]+Table_NFI[[#This Row],[Winter Clothes Children]]+Table_NFI[[#This Row],[Winter Items Other]]+Table_NFI[[#This Row],[Winter Blanket]]&gt;0,1,0)</f>
        <v>1</v>
      </c>
      <c r="AN754" s="418">
        <f>IF(NFI_Expiration=1,IF($A754&lt;VLOOKUP(V$5,NFI,5,0),1,0)*Table_NFI[[#This Row],[Jerry Can]],Table_NFI[Jerry Can])</f>
        <v>0</v>
      </c>
      <c r="AO754" s="579" t="str">
        <f>IFERROR(VLOOKUP(Table_NFI[[#This Row],[Camp Name]],CL,2,0),"")</f>
        <v>MMR001CMP225</v>
      </c>
      <c r="AP754" s="574">
        <f ca="1">IF(Table_NFI[[#This Row],[Pcode]]="","",IF(OFFSET(CampList[Opening Date],MATCH(Table_NFI[[#This Row],[Pcode]],CampList[CP_Pcode],0)-1,0,1,1)&gt;=NFI_Monitor_Date,1,0))</f>
        <v>0</v>
      </c>
      <c r="AQ754" s="579" t="str">
        <f>IFERROR(VLOOKUP(Table_NFI[[#This Row],[Camp Name]],CL,3,0),"")</f>
        <v>Open</v>
      </c>
      <c r="AR754" s="378" t="str">
        <f ca="1">IF(Table_NFI[[#This Row],[Pcode]]="","",OFFSET(CampList[Priority],MATCH(Table_NFI[[#This Row],[Pcode]],CampList[CP_Pcode],0)-1,0,1,1))</f>
        <v>P1</v>
      </c>
      <c r="AS754" s="377">
        <f>IFERROR(Table_NFI[[#This Row],[Kitchen Set]]/VLOOKUP(Table_NFI[[#This Row],[Camp Name]],CL,4,0),"")</f>
        <v>0</v>
      </c>
      <c r="AT754" s="572"/>
      <c r="AU754" s="601"/>
    </row>
    <row r="755" spans="1:47" x14ac:dyDescent="0.25">
      <c r="A755" s="381">
        <f t="shared" si="11"/>
        <v>20.3</v>
      </c>
      <c r="B755" s="571">
        <v>41913</v>
      </c>
      <c r="C755" s="572" t="s">
        <v>454</v>
      </c>
      <c r="D755" s="577" t="s">
        <v>508</v>
      </c>
      <c r="E755" s="577" t="s">
        <v>380</v>
      </c>
      <c r="F755" s="577" t="s">
        <v>27</v>
      </c>
      <c r="G755" s="577" t="s">
        <v>1022</v>
      </c>
      <c r="H755" s="376"/>
      <c r="I755" s="376"/>
      <c r="J755" s="376"/>
      <c r="K755" s="376">
        <v>56</v>
      </c>
      <c r="L755" s="376"/>
      <c r="M755" s="376"/>
      <c r="N755" s="376"/>
      <c r="O755" s="376"/>
      <c r="P755" s="378"/>
      <c r="Q755" s="378"/>
      <c r="R755" s="378"/>
      <c r="S755" s="378"/>
      <c r="T755" s="378"/>
      <c r="U755" s="378">
        <v>56</v>
      </c>
      <c r="V755" s="533"/>
      <c r="W755" s="378"/>
      <c r="X755" s="378"/>
      <c r="Y755" s="378">
        <f>IF(NFI_Expiration=1,IF($A755&lt;VLOOKUP(H$5,NFI,5,0),1,0)*Table_NFI[[#This Row],[Hygiene Kit]],Table_NFI[Hygiene Kit])</f>
        <v>0</v>
      </c>
      <c r="Z755" s="378">
        <f>IF(NFI_Expiration=1,IF($A755&lt;VLOOKUP(I$5,NFI,5,0),1,0)*Table_NFI[[#This Row],[NFI Core Kit]],Table_NFI[NFI Core Kit])</f>
        <v>0</v>
      </c>
      <c r="AA755" s="378">
        <f>IF(NFI_Expiration=1,IF($A755&lt;VLOOKUP(J$5,NFI,5,0),1,0)*Table_NFI[[#This Row],[Sanitary Kit]],Table_NFI[Sanitary Kit])</f>
        <v>0</v>
      </c>
      <c r="AB755" s="378">
        <f>IF(NFI_Expiration=1,IF($A755&lt;VLOOKUP(K$5,NFI,5,0),1,0)*Table_NFI[[#This Row],[Mosquito net]],Table_NFI[Mosquito net])</f>
        <v>0</v>
      </c>
      <c r="AC755" s="378">
        <f>IF(NFI_Expiration=1,IF($A755&lt;VLOOKUP(L$5,NFI,5,0),1,0)*Table_NFI[[#This Row],[Tarpaulin]],Table_NFI[[#This Row],[Tarpaulin]])</f>
        <v>0</v>
      </c>
      <c r="AD755" s="378">
        <f>IF(NFI_Expiration=1,IF($A755&lt;VLOOKUP(M$5,NFI,5,0),1,0)*Table_NFI[[#This Row],[Blanket]],Table_NFI[[#This Row],[Blanket]])</f>
        <v>0</v>
      </c>
      <c r="AE755" s="378">
        <f>IF(NFI_Expiration=1,IF($A755&lt;VLOOKUP(N$5,NFI,5,0),1,0)*Table_NFI[[#This Row],[Kitchen Set]],Table_NFI[Kitchen Set])</f>
        <v>0</v>
      </c>
      <c r="AF755" s="378">
        <f>IF(NFI_Expiration=1,IF($A755&lt;VLOOKUP(O$5,NFI,5,0),1,0)*Table_NFI[[#This Row],[Clothes Kit]],Table_NFI[Clothes Kit])</f>
        <v>0</v>
      </c>
      <c r="AG755" s="378">
        <f>IF(NFI_Expiration=1,IF($A755&lt;VLOOKUP(P$5,NFI,5,0),1,0)*Table_NFI[[#This Row],[Plastic Bucket]],Table_NFI[Plastic Bucket])</f>
        <v>0</v>
      </c>
      <c r="AH755" s="378">
        <f>IF(NFI_Expiration=1,IF($A755&lt;VLOOKUP(Q$5,NFI,5,0),1,0)*Table_NFI[[#This Row],[Plastic Mat]],Table_NFI[Plastic Mat])*IF(Table_NFI[[#This Row],[Distribution Date]]&gt;"2014-04-01",1,2.5)</f>
        <v>0</v>
      </c>
      <c r="AI755" s="378">
        <f>IF(NFI_Expiration=1,IF($A755&lt;VLOOKUP(R$5,NFI,5,0),1,0)*Table_NFI[[#This Row],[Winter Clothes Adult]],Table_NFI[Winter Clothes Adult])</f>
        <v>0</v>
      </c>
      <c r="AJ755" s="378">
        <f>IF(NFI_Expiration=1,IF($A755&lt;VLOOKUP(S$5,NFI,5,0),1,0)*Table_NFI[[#This Row],[Winter Clothes Children]],Table_NFI[Winter Clothes Children])</f>
        <v>0</v>
      </c>
      <c r="AK755" s="378">
        <f>IF(NFI_Expiration=1,IF($A755&lt;VLOOKUP(T$5,NFI,5,0),1,0)*Table_NFI[[#This Row],[Winter Items Other]],Table_NFI[Winter Items Other])</f>
        <v>0</v>
      </c>
      <c r="AL755" s="378">
        <f>IF(NFI_Expiration=1,IF($A755&lt;VLOOKUP(M$5,NFI,5,0),1,0)*Table_NFI[[#This Row],[Winter Blanket]],Table_NFI[[#This Row],[Winter Blanket]])</f>
        <v>0</v>
      </c>
      <c r="AM755" s="378">
        <f>IF(Table_NFI[[#This Row],[Winter Clothes Adult]]+Table_NFI[[#This Row],[Winter Clothes Children]]+Table_NFI[[#This Row],[Winter Items Other]]+Table_NFI[[#This Row],[Winter Blanket]]&gt;0,1,0)</f>
        <v>1</v>
      </c>
      <c r="AN755" s="418">
        <f>IF(NFI_Expiration=1,IF($A755&lt;VLOOKUP(V$5,NFI,5,0),1,0)*Table_NFI[[#This Row],[Jerry Can]],Table_NFI[Jerry Can])</f>
        <v>0</v>
      </c>
      <c r="AO755" s="579" t="str">
        <f>IFERROR(VLOOKUP(Table_NFI[[#This Row],[Camp Name]],CL,2,0),"")</f>
        <v>MMR001CMP225</v>
      </c>
      <c r="AP755" s="574">
        <f ca="1">IF(Table_NFI[[#This Row],[Pcode]]="","",IF(OFFSET(CampList[Opening Date],MATCH(Table_NFI[[#This Row],[Pcode]],CampList[CP_Pcode],0)-1,0,1,1)&gt;=NFI_Monitor_Date,1,0))</f>
        <v>0</v>
      </c>
      <c r="AQ755" s="579" t="str">
        <f>IFERROR(VLOOKUP(Table_NFI[[#This Row],[Camp Name]],CL,3,0),"")</f>
        <v>Open</v>
      </c>
      <c r="AR755" s="378" t="str">
        <f ca="1">IF(Table_NFI[[#This Row],[Pcode]]="","",OFFSET(CampList[Priority],MATCH(Table_NFI[[#This Row],[Pcode]],CampList[CP_Pcode],0)-1,0,1,1))</f>
        <v>P1</v>
      </c>
      <c r="AS755" s="377">
        <f>IFERROR(Table_NFI[[#This Row],[Kitchen Set]]/VLOOKUP(Table_NFI[[#This Row],[Camp Name]],CL,4,0),"")</f>
        <v>0</v>
      </c>
      <c r="AT755" s="577"/>
      <c r="AU755" s="580"/>
    </row>
    <row r="756" spans="1:47" x14ac:dyDescent="0.25">
      <c r="A756" s="381">
        <f t="shared" si="11"/>
        <v>27.666666666666668</v>
      </c>
      <c r="B756" s="571">
        <v>41692</v>
      </c>
      <c r="C756" s="572" t="s">
        <v>1107</v>
      </c>
      <c r="D756" s="572" t="s">
        <v>903</v>
      </c>
      <c r="E756" s="572" t="s">
        <v>380</v>
      </c>
      <c r="F756" s="572" t="s">
        <v>27</v>
      </c>
      <c r="G756" s="572" t="s">
        <v>1022</v>
      </c>
      <c r="H756" s="375"/>
      <c r="I756" s="375"/>
      <c r="J756" s="375"/>
      <c r="K756" s="375"/>
      <c r="L756" s="376"/>
      <c r="M756" s="376"/>
      <c r="N756" s="376"/>
      <c r="O756" s="376"/>
      <c r="P756" s="378"/>
      <c r="Q756" s="378"/>
      <c r="R756" s="378"/>
      <c r="S756" s="378"/>
      <c r="T756" s="378"/>
      <c r="U756" s="378">
        <v>58</v>
      </c>
      <c r="V756" s="533"/>
      <c r="W756" s="378"/>
      <c r="X756" s="378"/>
      <c r="Y756" s="378">
        <f>IF(NFI_Expiration=1,IF($A756&lt;VLOOKUP(H$5,NFI,5,0),1,0)*Table_NFI[[#This Row],[Hygiene Kit]],Table_NFI[Hygiene Kit])</f>
        <v>0</v>
      </c>
      <c r="Z756" s="378">
        <f>IF(NFI_Expiration=1,IF($A756&lt;VLOOKUP(I$5,NFI,5,0),1,0)*Table_NFI[[#This Row],[NFI Core Kit]],Table_NFI[NFI Core Kit])</f>
        <v>0</v>
      </c>
      <c r="AA756" s="378">
        <f>IF(NFI_Expiration=1,IF($A756&lt;VLOOKUP(J$5,NFI,5,0),1,0)*Table_NFI[[#This Row],[Sanitary Kit]],Table_NFI[Sanitary Kit])</f>
        <v>0</v>
      </c>
      <c r="AB756" s="378">
        <f>IF(NFI_Expiration=1,IF($A756&lt;VLOOKUP(K$5,NFI,5,0),1,0)*Table_NFI[[#This Row],[Mosquito net]],Table_NFI[Mosquito net])</f>
        <v>0</v>
      </c>
      <c r="AC756" s="378">
        <f>IF(NFI_Expiration=1,IF($A756&lt;VLOOKUP(L$5,NFI,5,0),1,0)*Table_NFI[[#This Row],[Tarpaulin]],Table_NFI[[#This Row],[Tarpaulin]])</f>
        <v>0</v>
      </c>
      <c r="AD756" s="378">
        <f>IF(NFI_Expiration=1,IF($A756&lt;VLOOKUP(M$5,NFI,5,0),1,0)*Table_NFI[[#This Row],[Blanket]],Table_NFI[[#This Row],[Blanket]])</f>
        <v>0</v>
      </c>
      <c r="AE756" s="378">
        <f>IF(NFI_Expiration=1,IF($A756&lt;VLOOKUP(N$5,NFI,5,0),1,0)*Table_NFI[[#This Row],[Kitchen Set]],Table_NFI[Kitchen Set])</f>
        <v>0</v>
      </c>
      <c r="AF756" s="378">
        <f>IF(NFI_Expiration=1,IF($A756&lt;VLOOKUP(O$5,NFI,5,0),1,0)*Table_NFI[[#This Row],[Clothes Kit]],Table_NFI[Clothes Kit])</f>
        <v>0</v>
      </c>
      <c r="AG756" s="378">
        <f>IF(NFI_Expiration=1,IF($A756&lt;VLOOKUP(P$5,NFI,5,0),1,0)*Table_NFI[[#This Row],[Plastic Bucket]],Table_NFI[Plastic Bucket])</f>
        <v>0</v>
      </c>
      <c r="AH756" s="378">
        <f>IF(NFI_Expiration=1,IF($A756&lt;VLOOKUP(Q$5,NFI,5,0),1,0)*Table_NFI[[#This Row],[Plastic Mat]],Table_NFI[Plastic Mat])*IF(Table_NFI[[#This Row],[Distribution Date]]&gt;"2014-04-01",1,2.5)</f>
        <v>0</v>
      </c>
      <c r="AI756" s="378">
        <f>IF(NFI_Expiration=1,IF($A756&lt;VLOOKUP(R$5,NFI,5,0),1,0)*Table_NFI[[#This Row],[Winter Clothes Adult]],Table_NFI[Winter Clothes Adult])</f>
        <v>0</v>
      </c>
      <c r="AJ756" s="378">
        <f>IF(NFI_Expiration=1,IF($A756&lt;VLOOKUP(S$5,NFI,5,0),1,0)*Table_NFI[[#This Row],[Winter Clothes Children]],Table_NFI[Winter Clothes Children])</f>
        <v>0</v>
      </c>
      <c r="AK756" s="378">
        <f>IF(NFI_Expiration=1,IF($A756&lt;VLOOKUP(T$5,NFI,5,0),1,0)*Table_NFI[[#This Row],[Winter Items Other]],Table_NFI[Winter Items Other])</f>
        <v>0</v>
      </c>
      <c r="AL756" s="378">
        <f>IF(NFI_Expiration=1,IF($A756&lt;VLOOKUP(M$5,NFI,5,0),1,0)*Table_NFI[[#This Row],[Winter Blanket]],Table_NFI[[#This Row],[Winter Blanket]])</f>
        <v>0</v>
      </c>
      <c r="AM756" s="378">
        <f>IF(Table_NFI[[#This Row],[Winter Clothes Adult]]+Table_NFI[[#This Row],[Winter Clothes Children]]+Table_NFI[[#This Row],[Winter Items Other]]+Table_NFI[[#This Row],[Winter Blanket]]&gt;0,1,0)</f>
        <v>1</v>
      </c>
      <c r="AN756" s="418">
        <f>IF(NFI_Expiration=1,IF($A756&lt;VLOOKUP(V$5,NFI,5,0),1,0)*Table_NFI[[#This Row],[Jerry Can]],Table_NFI[Jerry Can])</f>
        <v>0</v>
      </c>
      <c r="AO756" s="579" t="str">
        <f>IFERROR(VLOOKUP(Table_NFI[[#This Row],[Camp Name]],CL,2,0),"")</f>
        <v>MMR001CMP225</v>
      </c>
      <c r="AP756" s="574">
        <f ca="1">IF(Table_NFI[[#This Row],[Pcode]]="","",IF(OFFSET(CampList[Opening Date],MATCH(Table_NFI[[#This Row],[Pcode]],CampList[CP_Pcode],0)-1,0,1,1)&gt;=NFI_Monitor_Date,1,0))</f>
        <v>0</v>
      </c>
      <c r="AQ756" s="579" t="str">
        <f>IFERROR(VLOOKUP(Table_NFI[[#This Row],[Camp Name]],CL,3,0),"")</f>
        <v>Open</v>
      </c>
      <c r="AR756" s="378" t="str">
        <f ca="1">IF(Table_NFI[[#This Row],[Pcode]]="","",OFFSET(CampList[Priority],MATCH(Table_NFI[[#This Row],[Pcode]],CampList[CP_Pcode],0)-1,0,1,1))</f>
        <v>P1</v>
      </c>
      <c r="AS756" s="377">
        <f>IFERROR(Table_NFI[[#This Row],[Kitchen Set]]/VLOOKUP(Table_NFI[[#This Row],[Camp Name]],CL,4,0),"")</f>
        <v>0</v>
      </c>
      <c r="AT756" s="572"/>
      <c r="AU756" s="575"/>
    </row>
    <row r="757" spans="1:47" x14ac:dyDescent="0.25">
      <c r="A757" s="381">
        <f t="shared" si="11"/>
        <v>16.833333333333332</v>
      </c>
      <c r="B757" s="571">
        <v>42017</v>
      </c>
      <c r="C757" s="572" t="s">
        <v>1097</v>
      </c>
      <c r="D757" s="572" t="s">
        <v>903</v>
      </c>
      <c r="E757" s="572" t="s">
        <v>380</v>
      </c>
      <c r="F757" s="572" t="s">
        <v>185</v>
      </c>
      <c r="G757" s="572" t="s">
        <v>225</v>
      </c>
      <c r="H757" s="375"/>
      <c r="I757" s="378"/>
      <c r="J757" s="378"/>
      <c r="K757" s="378"/>
      <c r="L757" s="376"/>
      <c r="M757" s="376"/>
      <c r="N757" s="376"/>
      <c r="O757" s="376"/>
      <c r="P757" s="378"/>
      <c r="Q757" s="378"/>
      <c r="R757" s="378">
        <v>155</v>
      </c>
      <c r="S757" s="378">
        <v>73</v>
      </c>
      <c r="T757" s="378"/>
      <c r="U757" s="378">
        <v>96</v>
      </c>
      <c r="V757" s="533"/>
      <c r="W757" s="378"/>
      <c r="X757" s="378"/>
      <c r="Y757" s="378">
        <f>IF(NFI_Expiration=1,IF($A757&lt;VLOOKUP(H$5,NFI,5,0),1,0)*Table_NFI[[#This Row],[Hygiene Kit]],Table_NFI[Hygiene Kit])</f>
        <v>0</v>
      </c>
      <c r="Z757" s="378">
        <f>IF(NFI_Expiration=1,IF($A757&lt;VLOOKUP(I$5,NFI,5,0),1,0)*Table_NFI[[#This Row],[NFI Core Kit]],Table_NFI[NFI Core Kit])</f>
        <v>0</v>
      </c>
      <c r="AA757" s="378">
        <f>IF(NFI_Expiration=1,IF($A757&lt;VLOOKUP(J$5,NFI,5,0),1,0)*Table_NFI[[#This Row],[Sanitary Kit]],Table_NFI[Sanitary Kit])</f>
        <v>0</v>
      </c>
      <c r="AB757" s="378">
        <f>IF(NFI_Expiration=1,IF($A757&lt;VLOOKUP(K$5,NFI,5,0),1,0)*Table_NFI[[#This Row],[Mosquito net]],Table_NFI[Mosquito net])</f>
        <v>0</v>
      </c>
      <c r="AC757" s="378">
        <f>IF(NFI_Expiration=1,IF($A757&lt;VLOOKUP(L$5,NFI,5,0),1,0)*Table_NFI[[#This Row],[Tarpaulin]],Table_NFI[[#This Row],[Tarpaulin]])</f>
        <v>0</v>
      </c>
      <c r="AD757" s="378">
        <f>IF(NFI_Expiration=1,IF($A757&lt;VLOOKUP(M$5,NFI,5,0),1,0)*Table_NFI[[#This Row],[Blanket]],Table_NFI[[#This Row],[Blanket]])</f>
        <v>0</v>
      </c>
      <c r="AE757" s="378">
        <f>IF(NFI_Expiration=1,IF($A757&lt;VLOOKUP(N$5,NFI,5,0),1,0)*Table_NFI[[#This Row],[Kitchen Set]],Table_NFI[Kitchen Set])</f>
        <v>0</v>
      </c>
      <c r="AF757" s="378">
        <f>IF(NFI_Expiration=1,IF($A757&lt;VLOOKUP(O$5,NFI,5,0),1,0)*Table_NFI[[#This Row],[Clothes Kit]],Table_NFI[Clothes Kit])</f>
        <v>0</v>
      </c>
      <c r="AG757" s="378">
        <f>IF(NFI_Expiration=1,IF($A757&lt;VLOOKUP(P$5,NFI,5,0),1,0)*Table_NFI[[#This Row],[Plastic Bucket]],Table_NFI[Plastic Bucket])</f>
        <v>0</v>
      </c>
      <c r="AH757" s="378">
        <f>IF(NFI_Expiration=1,IF($A757&lt;VLOOKUP(Q$5,NFI,5,0),1,0)*Table_NFI[[#This Row],[Plastic Mat]],Table_NFI[Plastic Mat])*IF(Table_NFI[[#This Row],[Distribution Date]]&gt;"2014-04-01",1,2.5)</f>
        <v>0</v>
      </c>
      <c r="AI757" s="378">
        <f>IF(NFI_Expiration=1,IF($A757&lt;VLOOKUP(R$5,NFI,5,0),1,0)*Table_NFI[[#This Row],[Winter Clothes Adult]],Table_NFI[Winter Clothes Adult])</f>
        <v>0</v>
      </c>
      <c r="AJ757" s="378">
        <f>IF(NFI_Expiration=1,IF($A757&lt;VLOOKUP(S$5,NFI,5,0),1,0)*Table_NFI[[#This Row],[Winter Clothes Children]],Table_NFI[Winter Clothes Children])</f>
        <v>0</v>
      </c>
      <c r="AK757" s="378">
        <f>IF(NFI_Expiration=1,IF($A757&lt;VLOOKUP(T$5,NFI,5,0),1,0)*Table_NFI[[#This Row],[Winter Items Other]],Table_NFI[Winter Items Other])</f>
        <v>0</v>
      </c>
      <c r="AL757" s="378">
        <f>IF(NFI_Expiration=1,IF($A757&lt;VLOOKUP(M$5,NFI,5,0),1,0)*Table_NFI[[#This Row],[Winter Blanket]],Table_NFI[[#This Row],[Winter Blanket]])</f>
        <v>0</v>
      </c>
      <c r="AM757" s="378">
        <f>IF(Table_NFI[[#This Row],[Winter Clothes Adult]]+Table_NFI[[#This Row],[Winter Clothes Children]]+Table_NFI[[#This Row],[Winter Items Other]]+Table_NFI[[#This Row],[Winter Blanket]]&gt;0,1,0)</f>
        <v>1</v>
      </c>
      <c r="AN757" s="418">
        <f>IF(NFI_Expiration=1,IF($A757&lt;VLOOKUP(V$5,NFI,5,0),1,0)*Table_NFI[[#This Row],[Jerry Can]],Table_NFI[Jerry Can])</f>
        <v>0</v>
      </c>
      <c r="AO757" s="579" t="str">
        <f>IFERROR(VLOOKUP(Table_NFI[[#This Row],[Camp Name]],CL,2,0),"")</f>
        <v>MMR001CMP073</v>
      </c>
      <c r="AP757" s="574">
        <f ca="1">IF(Table_NFI[[#This Row],[Pcode]]="","",IF(OFFSET(CampList[Opening Date],MATCH(Table_NFI[[#This Row],[Pcode]],CampList[CP_Pcode],0)-1,0,1,1)&gt;=NFI_Monitor_Date,1,0))</f>
        <v>0</v>
      </c>
      <c r="AQ757" s="579" t="str">
        <f>IFERROR(VLOOKUP(Table_NFI[[#This Row],[Camp Name]],CL,3,0),"")</f>
        <v>Open</v>
      </c>
      <c r="AR757" s="378" t="str">
        <f ca="1">IF(Table_NFI[[#This Row],[Pcode]]="","",OFFSET(CampList[Priority],MATCH(Table_NFI[[#This Row],[Pcode]],CampList[CP_Pcode],0)-1,0,1,1))</f>
        <v>P3</v>
      </c>
      <c r="AS757" s="377">
        <f>IFERROR(Table_NFI[[#This Row],[Kitchen Set]]/VLOOKUP(Table_NFI[[#This Row],[Camp Name]],CL,4,0),"")</f>
        <v>0</v>
      </c>
      <c r="AT757" s="572"/>
      <c r="AU757" s="601"/>
    </row>
    <row r="758" spans="1:47" x14ac:dyDescent="0.25">
      <c r="A758" s="381">
        <f t="shared" si="11"/>
        <v>27.633333333333333</v>
      </c>
      <c r="B758" s="571">
        <v>41693</v>
      </c>
      <c r="C758" s="572" t="s">
        <v>1107</v>
      </c>
      <c r="D758" s="572" t="s">
        <v>903</v>
      </c>
      <c r="E758" s="572" t="s">
        <v>380</v>
      </c>
      <c r="F758" s="572" t="s">
        <v>185</v>
      </c>
      <c r="G758" s="572" t="s">
        <v>225</v>
      </c>
      <c r="H758" s="375"/>
      <c r="I758" s="375"/>
      <c r="J758" s="375"/>
      <c r="K758" s="375"/>
      <c r="L758" s="376"/>
      <c r="M758" s="376"/>
      <c r="N758" s="376"/>
      <c r="O758" s="376"/>
      <c r="P758" s="378"/>
      <c r="Q758" s="378"/>
      <c r="R758" s="378"/>
      <c r="S758" s="378"/>
      <c r="T758" s="378"/>
      <c r="U758" s="378">
        <v>376</v>
      </c>
      <c r="V758" s="533"/>
      <c r="W758" s="378"/>
      <c r="X758" s="378"/>
      <c r="Y758" s="378">
        <f>IF(NFI_Expiration=1,IF($A758&lt;VLOOKUP(H$5,NFI,5,0),1,0)*Table_NFI[[#This Row],[Hygiene Kit]],Table_NFI[Hygiene Kit])</f>
        <v>0</v>
      </c>
      <c r="Z758" s="378">
        <f>IF(NFI_Expiration=1,IF($A758&lt;VLOOKUP(I$5,NFI,5,0),1,0)*Table_NFI[[#This Row],[NFI Core Kit]],Table_NFI[NFI Core Kit])</f>
        <v>0</v>
      </c>
      <c r="AA758" s="378">
        <f>IF(NFI_Expiration=1,IF($A758&lt;VLOOKUP(J$5,NFI,5,0),1,0)*Table_NFI[[#This Row],[Sanitary Kit]],Table_NFI[Sanitary Kit])</f>
        <v>0</v>
      </c>
      <c r="AB758" s="378">
        <f>IF(NFI_Expiration=1,IF($A758&lt;VLOOKUP(K$5,NFI,5,0),1,0)*Table_NFI[[#This Row],[Mosquito net]],Table_NFI[Mosquito net])</f>
        <v>0</v>
      </c>
      <c r="AC758" s="378">
        <f>IF(NFI_Expiration=1,IF($A758&lt;VLOOKUP(L$5,NFI,5,0),1,0)*Table_NFI[[#This Row],[Tarpaulin]],Table_NFI[[#This Row],[Tarpaulin]])</f>
        <v>0</v>
      </c>
      <c r="AD758" s="378">
        <f>IF(NFI_Expiration=1,IF($A758&lt;VLOOKUP(M$5,NFI,5,0),1,0)*Table_NFI[[#This Row],[Blanket]],Table_NFI[[#This Row],[Blanket]])</f>
        <v>0</v>
      </c>
      <c r="AE758" s="378">
        <f>IF(NFI_Expiration=1,IF($A758&lt;VLOOKUP(N$5,NFI,5,0),1,0)*Table_NFI[[#This Row],[Kitchen Set]],Table_NFI[Kitchen Set])</f>
        <v>0</v>
      </c>
      <c r="AF758" s="378">
        <f>IF(NFI_Expiration=1,IF($A758&lt;VLOOKUP(O$5,NFI,5,0),1,0)*Table_NFI[[#This Row],[Clothes Kit]],Table_NFI[Clothes Kit])</f>
        <v>0</v>
      </c>
      <c r="AG758" s="378">
        <f>IF(NFI_Expiration=1,IF($A758&lt;VLOOKUP(P$5,NFI,5,0),1,0)*Table_NFI[[#This Row],[Plastic Bucket]],Table_NFI[Plastic Bucket])</f>
        <v>0</v>
      </c>
      <c r="AH758" s="378">
        <f>IF(NFI_Expiration=1,IF($A758&lt;VLOOKUP(Q$5,NFI,5,0),1,0)*Table_NFI[[#This Row],[Plastic Mat]],Table_NFI[Plastic Mat])*IF(Table_NFI[[#This Row],[Distribution Date]]&gt;"2014-04-01",1,2.5)</f>
        <v>0</v>
      </c>
      <c r="AI758" s="378">
        <f>IF(NFI_Expiration=1,IF($A758&lt;VLOOKUP(R$5,NFI,5,0),1,0)*Table_NFI[[#This Row],[Winter Clothes Adult]],Table_NFI[Winter Clothes Adult])</f>
        <v>0</v>
      </c>
      <c r="AJ758" s="378">
        <f>IF(NFI_Expiration=1,IF($A758&lt;VLOOKUP(S$5,NFI,5,0),1,0)*Table_NFI[[#This Row],[Winter Clothes Children]],Table_NFI[Winter Clothes Children])</f>
        <v>0</v>
      </c>
      <c r="AK758" s="378">
        <f>IF(NFI_Expiration=1,IF($A758&lt;VLOOKUP(T$5,NFI,5,0),1,0)*Table_NFI[[#This Row],[Winter Items Other]],Table_NFI[Winter Items Other])</f>
        <v>0</v>
      </c>
      <c r="AL758" s="378">
        <f>IF(NFI_Expiration=1,IF($A758&lt;VLOOKUP(M$5,NFI,5,0),1,0)*Table_NFI[[#This Row],[Winter Blanket]],Table_NFI[[#This Row],[Winter Blanket]])</f>
        <v>0</v>
      </c>
      <c r="AM758" s="378">
        <f>IF(Table_NFI[[#This Row],[Winter Clothes Adult]]+Table_NFI[[#This Row],[Winter Clothes Children]]+Table_NFI[[#This Row],[Winter Items Other]]+Table_NFI[[#This Row],[Winter Blanket]]&gt;0,1,0)</f>
        <v>1</v>
      </c>
      <c r="AN758" s="418">
        <f>IF(NFI_Expiration=1,IF($A758&lt;VLOOKUP(V$5,NFI,5,0),1,0)*Table_NFI[[#This Row],[Jerry Can]],Table_NFI[Jerry Can])</f>
        <v>0</v>
      </c>
      <c r="AO758" s="579" t="str">
        <f>IFERROR(VLOOKUP(Table_NFI[[#This Row],[Camp Name]],CL,2,0),"")</f>
        <v>MMR001CMP073</v>
      </c>
      <c r="AP758" s="574">
        <f ca="1">IF(Table_NFI[[#This Row],[Pcode]]="","",IF(OFFSET(CampList[Opening Date],MATCH(Table_NFI[[#This Row],[Pcode]],CampList[CP_Pcode],0)-1,0,1,1)&gt;=NFI_Monitor_Date,1,0))</f>
        <v>0</v>
      </c>
      <c r="AQ758" s="579" t="str">
        <f>IFERROR(VLOOKUP(Table_NFI[[#This Row],[Camp Name]],CL,3,0),"")</f>
        <v>Open</v>
      </c>
      <c r="AR758" s="378" t="str">
        <f ca="1">IF(Table_NFI[[#This Row],[Pcode]]="","",OFFSET(CampList[Priority],MATCH(Table_NFI[[#This Row],[Pcode]],CampList[CP_Pcode],0)-1,0,1,1))</f>
        <v>P3</v>
      </c>
      <c r="AS758" s="377">
        <f>IFERROR(Table_NFI[[#This Row],[Kitchen Set]]/VLOOKUP(Table_NFI[[#This Row],[Camp Name]],CL,4,0),"")</f>
        <v>0</v>
      </c>
      <c r="AT758" s="572"/>
      <c r="AU758" s="575"/>
    </row>
    <row r="759" spans="1:47" x14ac:dyDescent="0.25">
      <c r="A759" s="381">
        <f t="shared" si="11"/>
        <v>30.466666666666665</v>
      </c>
      <c r="B759" s="571">
        <v>41608</v>
      </c>
      <c r="C759" s="572" t="s">
        <v>908</v>
      </c>
      <c r="D759" s="572"/>
      <c r="E759" s="572" t="s">
        <v>380</v>
      </c>
      <c r="F759" s="374" t="s">
        <v>185</v>
      </c>
      <c r="G759" s="374" t="s">
        <v>225</v>
      </c>
      <c r="H759" s="375"/>
      <c r="I759" s="375"/>
      <c r="J759" s="375"/>
      <c r="K759" s="375"/>
      <c r="L759" s="376"/>
      <c r="M759" s="376"/>
      <c r="N759" s="376"/>
      <c r="O759" s="376"/>
      <c r="P759" s="378"/>
      <c r="Q759" s="378">
        <v>99</v>
      </c>
      <c r="R759" s="378"/>
      <c r="S759" s="378"/>
      <c r="T759" s="378"/>
      <c r="U759" s="378"/>
      <c r="V759" s="533"/>
      <c r="W759" s="378"/>
      <c r="X759" s="378"/>
      <c r="Y759" s="378">
        <f>IF(NFI_Expiration=1,IF($A759&lt;VLOOKUP(H$5,NFI,5,0),1,0)*Table_NFI[[#This Row],[Hygiene Kit]],Table_NFI[Hygiene Kit])</f>
        <v>0</v>
      </c>
      <c r="Z759" s="378">
        <f>IF(NFI_Expiration=1,IF($A759&lt;VLOOKUP(I$5,NFI,5,0),1,0)*Table_NFI[[#This Row],[NFI Core Kit]],Table_NFI[NFI Core Kit])</f>
        <v>0</v>
      </c>
      <c r="AA759" s="378">
        <f>IF(NFI_Expiration=1,IF($A759&lt;VLOOKUP(J$5,NFI,5,0),1,0)*Table_NFI[[#This Row],[Sanitary Kit]],Table_NFI[Sanitary Kit])</f>
        <v>0</v>
      </c>
      <c r="AB759" s="378">
        <f>IF(NFI_Expiration=1,IF($A759&lt;VLOOKUP(K$5,NFI,5,0),1,0)*Table_NFI[[#This Row],[Mosquito net]],Table_NFI[Mosquito net])</f>
        <v>0</v>
      </c>
      <c r="AC759" s="378">
        <f>IF(NFI_Expiration=1,IF($A759&lt;VLOOKUP(L$5,NFI,5,0),1,0)*Table_NFI[[#This Row],[Tarpaulin]],Table_NFI[[#This Row],[Tarpaulin]])</f>
        <v>0</v>
      </c>
      <c r="AD759" s="378">
        <f>IF(NFI_Expiration=1,IF($A759&lt;VLOOKUP(M$5,NFI,5,0),1,0)*Table_NFI[[#This Row],[Blanket]],Table_NFI[[#This Row],[Blanket]])</f>
        <v>0</v>
      </c>
      <c r="AE759" s="378">
        <f>IF(NFI_Expiration=1,IF($A759&lt;VLOOKUP(N$5,NFI,5,0),1,0)*Table_NFI[[#This Row],[Kitchen Set]],Table_NFI[Kitchen Set])</f>
        <v>0</v>
      </c>
      <c r="AF759" s="378">
        <f>IF(NFI_Expiration=1,IF($A759&lt;VLOOKUP(O$5,NFI,5,0),1,0)*Table_NFI[[#This Row],[Clothes Kit]],Table_NFI[Clothes Kit])</f>
        <v>0</v>
      </c>
      <c r="AG759" s="378">
        <f>IF(NFI_Expiration=1,IF($A759&lt;VLOOKUP(P$5,NFI,5,0),1,0)*Table_NFI[[#This Row],[Plastic Bucket]],Table_NFI[Plastic Bucket])</f>
        <v>0</v>
      </c>
      <c r="AH759" s="378">
        <f>IF(NFI_Expiration=1,IF($A759&lt;VLOOKUP(Q$5,NFI,5,0),1,0)*Table_NFI[[#This Row],[Plastic Mat]],Table_NFI[Plastic Mat])*IF(Table_NFI[[#This Row],[Distribution Date]]&gt;"2014-04-01",1,2.5)</f>
        <v>0</v>
      </c>
      <c r="AI759" s="378">
        <f>IF(NFI_Expiration=1,IF($A759&lt;VLOOKUP(R$5,NFI,5,0),1,0)*Table_NFI[[#This Row],[Winter Clothes Adult]],Table_NFI[Winter Clothes Adult])</f>
        <v>0</v>
      </c>
      <c r="AJ759" s="378">
        <f>IF(NFI_Expiration=1,IF($A759&lt;VLOOKUP(S$5,NFI,5,0),1,0)*Table_NFI[[#This Row],[Winter Clothes Children]],Table_NFI[Winter Clothes Children])</f>
        <v>0</v>
      </c>
      <c r="AK759" s="378">
        <f>IF(NFI_Expiration=1,IF($A759&lt;VLOOKUP(T$5,NFI,5,0),1,0)*Table_NFI[[#This Row],[Winter Items Other]],Table_NFI[Winter Items Other])</f>
        <v>0</v>
      </c>
      <c r="AL759" s="378">
        <f>IF(NFI_Expiration=1,IF($A759&lt;VLOOKUP(M$5,NFI,5,0),1,0)*Table_NFI[[#This Row],[Winter Blanket]],Table_NFI[[#This Row],[Winter Blanket]])</f>
        <v>0</v>
      </c>
      <c r="AM759" s="378">
        <f>IF(Table_NFI[[#This Row],[Winter Clothes Adult]]+Table_NFI[[#This Row],[Winter Clothes Children]]+Table_NFI[[#This Row],[Winter Items Other]]+Table_NFI[[#This Row],[Winter Blanket]]&gt;0,1,0)</f>
        <v>0</v>
      </c>
      <c r="AN759" s="418">
        <f>IF(NFI_Expiration=1,IF($A759&lt;VLOOKUP(V$5,NFI,5,0),1,0)*Table_NFI[[#This Row],[Jerry Can]],Table_NFI[Jerry Can])</f>
        <v>0</v>
      </c>
      <c r="AO759" s="579" t="str">
        <f>IFERROR(VLOOKUP(Table_NFI[[#This Row],[Camp Name]],CL,2,0),"")</f>
        <v>MMR001CMP073</v>
      </c>
      <c r="AP759" s="574">
        <f ca="1">IF(Table_NFI[[#This Row],[Pcode]]="","",IF(OFFSET(CampList[Opening Date],MATCH(Table_NFI[[#This Row],[Pcode]],CampList[CP_Pcode],0)-1,0,1,1)&gt;=NFI_Monitor_Date,1,0))</f>
        <v>0</v>
      </c>
      <c r="AQ759" s="579" t="str">
        <f>IFERROR(VLOOKUP(Table_NFI[[#This Row],[Camp Name]],CL,3,0),"")</f>
        <v>Open</v>
      </c>
      <c r="AR759" s="378" t="str">
        <f ca="1">IF(Table_NFI[[#This Row],[Pcode]]="","",OFFSET(CampList[Priority],MATCH(Table_NFI[[#This Row],[Pcode]],CampList[CP_Pcode],0)-1,0,1,1))</f>
        <v>P3</v>
      </c>
      <c r="AS759" s="377">
        <f>IFERROR(Table_NFI[[#This Row],[Kitchen Set]]/VLOOKUP(Table_NFI[[#This Row],[Camp Name]],CL,4,0),"")</f>
        <v>0</v>
      </c>
      <c r="AT759" s="572" t="s">
        <v>1095</v>
      </c>
      <c r="AU759" s="575"/>
    </row>
    <row r="760" spans="1:47" x14ac:dyDescent="0.25">
      <c r="A760" s="381">
        <f t="shared" si="11"/>
        <v>31</v>
      </c>
      <c r="B760" s="571">
        <v>41592</v>
      </c>
      <c r="C760" s="572" t="s">
        <v>455</v>
      </c>
      <c r="D760" s="572"/>
      <c r="E760" s="572" t="s">
        <v>380</v>
      </c>
      <c r="F760" s="572" t="s">
        <v>185</v>
      </c>
      <c r="G760" s="572" t="s">
        <v>225</v>
      </c>
      <c r="H760" s="375"/>
      <c r="I760" s="375"/>
      <c r="J760" s="375"/>
      <c r="K760" s="375"/>
      <c r="L760" s="376"/>
      <c r="M760" s="376">
        <v>110</v>
      </c>
      <c r="N760" s="376"/>
      <c r="O760" s="376"/>
      <c r="P760" s="378"/>
      <c r="Q760" s="378"/>
      <c r="R760" s="378"/>
      <c r="S760" s="378"/>
      <c r="T760" s="378"/>
      <c r="U760" s="378"/>
      <c r="V760" s="533"/>
      <c r="W760" s="378"/>
      <c r="X760" s="378"/>
      <c r="Y760" s="378">
        <f>IF(NFI_Expiration=1,IF($A760&lt;VLOOKUP(H$5,NFI,5,0),1,0)*Table_NFI[[#This Row],[Hygiene Kit]],Table_NFI[Hygiene Kit])</f>
        <v>0</v>
      </c>
      <c r="Z760" s="378">
        <f>IF(NFI_Expiration=1,IF($A760&lt;VLOOKUP(I$5,NFI,5,0),1,0)*Table_NFI[[#This Row],[NFI Core Kit]],Table_NFI[NFI Core Kit])</f>
        <v>0</v>
      </c>
      <c r="AA760" s="378">
        <f>IF(NFI_Expiration=1,IF($A760&lt;VLOOKUP(J$5,NFI,5,0),1,0)*Table_NFI[[#This Row],[Sanitary Kit]],Table_NFI[Sanitary Kit])</f>
        <v>0</v>
      </c>
      <c r="AB760" s="378">
        <f>IF(NFI_Expiration=1,IF($A760&lt;VLOOKUP(K$5,NFI,5,0),1,0)*Table_NFI[[#This Row],[Mosquito net]],Table_NFI[Mosquito net])</f>
        <v>0</v>
      </c>
      <c r="AC760" s="378">
        <f>IF(NFI_Expiration=1,IF($A760&lt;VLOOKUP(L$5,NFI,5,0),1,0)*Table_NFI[[#This Row],[Tarpaulin]],Table_NFI[[#This Row],[Tarpaulin]])</f>
        <v>0</v>
      </c>
      <c r="AD760" s="378">
        <f>IF(NFI_Expiration=1,IF($A760&lt;VLOOKUP(M$5,NFI,5,0),1,0)*Table_NFI[[#This Row],[Blanket]],Table_NFI[[#This Row],[Blanket]])</f>
        <v>0</v>
      </c>
      <c r="AE760" s="378">
        <f>IF(NFI_Expiration=1,IF($A760&lt;VLOOKUP(N$5,NFI,5,0),1,0)*Table_NFI[[#This Row],[Kitchen Set]],Table_NFI[Kitchen Set])</f>
        <v>0</v>
      </c>
      <c r="AF760" s="378">
        <f>IF(NFI_Expiration=1,IF($A760&lt;VLOOKUP(O$5,NFI,5,0),1,0)*Table_NFI[[#This Row],[Clothes Kit]],Table_NFI[Clothes Kit])</f>
        <v>0</v>
      </c>
      <c r="AG760" s="378">
        <f>IF(NFI_Expiration=1,IF($A760&lt;VLOOKUP(P$5,NFI,5,0),1,0)*Table_NFI[[#This Row],[Plastic Bucket]],Table_NFI[Plastic Bucket])</f>
        <v>0</v>
      </c>
      <c r="AH760" s="378">
        <f>IF(NFI_Expiration=1,IF($A760&lt;VLOOKUP(Q$5,NFI,5,0),1,0)*Table_NFI[[#This Row],[Plastic Mat]],Table_NFI[Plastic Mat])*IF(Table_NFI[[#This Row],[Distribution Date]]&gt;"2014-04-01",1,2.5)</f>
        <v>0</v>
      </c>
      <c r="AI760" s="378">
        <f>IF(NFI_Expiration=1,IF($A760&lt;VLOOKUP(R$5,NFI,5,0),1,0)*Table_NFI[[#This Row],[Winter Clothes Adult]],Table_NFI[Winter Clothes Adult])</f>
        <v>0</v>
      </c>
      <c r="AJ760" s="378">
        <f>IF(NFI_Expiration=1,IF($A760&lt;VLOOKUP(S$5,NFI,5,0),1,0)*Table_NFI[[#This Row],[Winter Clothes Children]],Table_NFI[Winter Clothes Children])</f>
        <v>0</v>
      </c>
      <c r="AK760" s="378">
        <f>IF(NFI_Expiration=1,IF($A760&lt;VLOOKUP(T$5,NFI,5,0),1,0)*Table_NFI[[#This Row],[Winter Items Other]],Table_NFI[Winter Items Other])</f>
        <v>0</v>
      </c>
      <c r="AL760" s="378">
        <f>IF(NFI_Expiration=1,IF($A760&lt;VLOOKUP(M$5,NFI,5,0),1,0)*Table_NFI[[#This Row],[Winter Blanket]],Table_NFI[[#This Row],[Winter Blanket]])</f>
        <v>0</v>
      </c>
      <c r="AM760" s="378">
        <f>IF(Table_NFI[[#This Row],[Winter Clothes Adult]]+Table_NFI[[#This Row],[Winter Clothes Children]]+Table_NFI[[#This Row],[Winter Items Other]]+Table_NFI[[#This Row],[Winter Blanket]]&gt;0,1,0)</f>
        <v>0</v>
      </c>
      <c r="AN760" s="418">
        <f>IF(NFI_Expiration=1,IF($A760&lt;VLOOKUP(V$5,NFI,5,0),1,0)*Table_NFI[[#This Row],[Jerry Can]],Table_NFI[Jerry Can])</f>
        <v>0</v>
      </c>
      <c r="AO760" s="579" t="str">
        <f>IFERROR(VLOOKUP(Table_NFI[[#This Row],[Camp Name]],CL,2,0),"")</f>
        <v>MMR001CMP073</v>
      </c>
      <c r="AP760" s="574">
        <f ca="1">IF(Table_NFI[[#This Row],[Pcode]]="","",IF(OFFSET(CampList[Opening Date],MATCH(Table_NFI[[#This Row],[Pcode]],CampList[CP_Pcode],0)-1,0,1,1)&gt;=NFI_Monitor_Date,1,0))</f>
        <v>0</v>
      </c>
      <c r="AQ760" s="579" t="str">
        <f>IFERROR(VLOOKUP(Table_NFI[[#This Row],[Camp Name]],CL,3,0),"")</f>
        <v>Open</v>
      </c>
      <c r="AR760" s="378" t="str">
        <f ca="1">IF(Table_NFI[[#This Row],[Pcode]]="","",OFFSET(CampList[Priority],MATCH(Table_NFI[[#This Row],[Pcode]],CampList[CP_Pcode],0)-1,0,1,1))</f>
        <v>P3</v>
      </c>
      <c r="AS760" s="377">
        <f>IFERROR(Table_NFI[[#This Row],[Kitchen Set]]/VLOOKUP(Table_NFI[[#This Row],[Camp Name]],CL,4,0),"")</f>
        <v>0</v>
      </c>
      <c r="AT760" s="572" t="s">
        <v>1095</v>
      </c>
      <c r="AU760" s="575"/>
    </row>
    <row r="761" spans="1:47" x14ac:dyDescent="0.25">
      <c r="A761" s="381">
        <f t="shared" si="11"/>
        <v>39.533333333333331</v>
      </c>
      <c r="B761" s="571">
        <v>41336</v>
      </c>
      <c r="C761" s="572" t="s">
        <v>908</v>
      </c>
      <c r="D761" s="573" t="s">
        <v>908</v>
      </c>
      <c r="E761" s="572" t="s">
        <v>380</v>
      </c>
      <c r="F761" s="374" t="s">
        <v>185</v>
      </c>
      <c r="G761" s="374" t="s">
        <v>225</v>
      </c>
      <c r="H761" s="375">
        <v>33</v>
      </c>
      <c r="I761" s="375"/>
      <c r="J761" s="375"/>
      <c r="K761" s="375"/>
      <c r="L761" s="376"/>
      <c r="M761" s="376"/>
      <c r="N761" s="376"/>
      <c r="O761" s="376"/>
      <c r="P761" s="378">
        <v>0</v>
      </c>
      <c r="Q761" s="378">
        <v>0</v>
      </c>
      <c r="R761" s="378"/>
      <c r="S761" s="378"/>
      <c r="T761" s="378"/>
      <c r="U761" s="378"/>
      <c r="V761" s="533"/>
      <c r="W761" s="378"/>
      <c r="X761" s="378"/>
      <c r="Y761" s="378">
        <f>IF(NFI_Expiration=1,IF($A761&lt;VLOOKUP(H$5,NFI,5,0),1,0)*Table_NFI[[#This Row],[Hygiene Kit]],Table_NFI[Hygiene Kit])</f>
        <v>0</v>
      </c>
      <c r="Z761" s="378">
        <f>IF(NFI_Expiration=1,IF($A761&lt;VLOOKUP(I$5,NFI,5,0),1,0)*Table_NFI[[#This Row],[NFI Core Kit]],Table_NFI[NFI Core Kit])</f>
        <v>0</v>
      </c>
      <c r="AA761" s="378">
        <f>IF(NFI_Expiration=1,IF($A761&lt;VLOOKUP(J$5,NFI,5,0),1,0)*Table_NFI[[#This Row],[Sanitary Kit]],Table_NFI[Sanitary Kit])</f>
        <v>0</v>
      </c>
      <c r="AB761" s="378">
        <f>IF(NFI_Expiration=1,IF($A761&lt;VLOOKUP(K$5,NFI,5,0),1,0)*Table_NFI[[#This Row],[Mosquito net]],Table_NFI[Mosquito net])</f>
        <v>0</v>
      </c>
      <c r="AC761" s="378">
        <f>IF(NFI_Expiration=1,IF($A761&lt;VLOOKUP(L$5,NFI,5,0),1,0)*Table_NFI[[#This Row],[Tarpaulin]],Table_NFI[[#This Row],[Tarpaulin]])</f>
        <v>0</v>
      </c>
      <c r="AD761" s="378">
        <f>IF(NFI_Expiration=1,IF($A761&lt;VLOOKUP(M$5,NFI,5,0),1,0)*Table_NFI[[#This Row],[Blanket]],Table_NFI[[#This Row],[Blanket]])</f>
        <v>0</v>
      </c>
      <c r="AE761" s="378">
        <f>IF(NFI_Expiration=1,IF($A761&lt;VLOOKUP(N$5,NFI,5,0),1,0)*Table_NFI[[#This Row],[Kitchen Set]],Table_NFI[Kitchen Set])</f>
        <v>0</v>
      </c>
      <c r="AF761" s="378">
        <f>IF(NFI_Expiration=1,IF($A761&lt;VLOOKUP(O$5,NFI,5,0),1,0)*Table_NFI[[#This Row],[Clothes Kit]],Table_NFI[Clothes Kit])</f>
        <v>0</v>
      </c>
      <c r="AG761" s="378">
        <f>IF(NFI_Expiration=1,IF($A761&lt;VLOOKUP(P$5,NFI,5,0),1,0)*Table_NFI[[#This Row],[Plastic Bucket]],Table_NFI[Plastic Bucket])</f>
        <v>0</v>
      </c>
      <c r="AH761" s="378">
        <f>IF(NFI_Expiration=1,IF($A761&lt;VLOOKUP(Q$5,NFI,5,0),1,0)*Table_NFI[[#This Row],[Plastic Mat]],Table_NFI[Plastic Mat])*IF(Table_NFI[[#This Row],[Distribution Date]]&gt;"2014-04-01",1,2.5)</f>
        <v>0</v>
      </c>
      <c r="AI761" s="378">
        <f>IF(NFI_Expiration=1,IF($A761&lt;VLOOKUP(R$5,NFI,5,0),1,0)*Table_NFI[[#This Row],[Winter Clothes Adult]],Table_NFI[Winter Clothes Adult])</f>
        <v>0</v>
      </c>
      <c r="AJ761" s="378">
        <f>IF(NFI_Expiration=1,IF($A761&lt;VLOOKUP(S$5,NFI,5,0),1,0)*Table_NFI[[#This Row],[Winter Clothes Children]],Table_NFI[Winter Clothes Children])</f>
        <v>0</v>
      </c>
      <c r="AK761" s="378">
        <f>IF(NFI_Expiration=1,IF($A761&lt;VLOOKUP(T$5,NFI,5,0),1,0)*Table_NFI[[#This Row],[Winter Items Other]],Table_NFI[Winter Items Other])</f>
        <v>0</v>
      </c>
      <c r="AL761" s="378">
        <f>IF(NFI_Expiration=1,IF($A761&lt;VLOOKUP(M$5,NFI,5,0),1,0)*Table_NFI[[#This Row],[Winter Blanket]],Table_NFI[[#This Row],[Winter Blanket]])</f>
        <v>0</v>
      </c>
      <c r="AM761" s="378">
        <f>IF(Table_NFI[[#This Row],[Winter Clothes Adult]]+Table_NFI[[#This Row],[Winter Clothes Children]]+Table_NFI[[#This Row],[Winter Items Other]]+Table_NFI[[#This Row],[Winter Blanket]]&gt;0,1,0)</f>
        <v>0</v>
      </c>
      <c r="AN761" s="418">
        <f>IF(NFI_Expiration=1,IF($A761&lt;VLOOKUP(V$5,NFI,5,0),1,0)*Table_NFI[[#This Row],[Jerry Can]],Table_NFI[Jerry Can])</f>
        <v>0</v>
      </c>
      <c r="AO761" s="579" t="str">
        <f>IFERROR(VLOOKUP(Table_NFI[[#This Row],[Camp Name]],CL,2,0),"")</f>
        <v>MMR001CMP073</v>
      </c>
      <c r="AP761" s="574">
        <f ca="1">IF(Table_NFI[[#This Row],[Pcode]]="","",IF(OFFSET(CampList[Opening Date],MATCH(Table_NFI[[#This Row],[Pcode]],CampList[CP_Pcode],0)-1,0,1,1)&gt;=NFI_Monitor_Date,1,0))</f>
        <v>0</v>
      </c>
      <c r="AQ761" s="579" t="str">
        <f>IFERROR(VLOOKUP(Table_NFI[[#This Row],[Camp Name]],CL,3,0),"")</f>
        <v>Open</v>
      </c>
      <c r="AR761" s="378" t="str">
        <f ca="1">IF(Table_NFI[[#This Row],[Pcode]]="","",OFFSET(CampList[Priority],MATCH(Table_NFI[[#This Row],[Pcode]],CampList[CP_Pcode],0)-1,0,1,1))</f>
        <v>P3</v>
      </c>
      <c r="AS761" s="377">
        <f>IFERROR(Table_NFI[[#This Row],[Kitchen Set]]/VLOOKUP(Table_NFI[[#This Row],[Camp Name]],CL,4,0),"")</f>
        <v>0</v>
      </c>
      <c r="AT761" s="572" t="s">
        <v>1095</v>
      </c>
      <c r="AU761" s="575"/>
    </row>
    <row r="762" spans="1:47" x14ac:dyDescent="0.25">
      <c r="A762" s="381">
        <f t="shared" si="11"/>
        <v>44.3</v>
      </c>
      <c r="B762" s="571">
        <v>41193</v>
      </c>
      <c r="C762" s="572" t="s">
        <v>454</v>
      </c>
      <c r="D762" s="573" t="s">
        <v>454</v>
      </c>
      <c r="E762" s="572" t="s">
        <v>380</v>
      </c>
      <c r="F762" s="374" t="s">
        <v>185</v>
      </c>
      <c r="G762" s="374" t="s">
        <v>225</v>
      </c>
      <c r="H762" s="375"/>
      <c r="I762" s="375"/>
      <c r="J762" s="375"/>
      <c r="K762" s="375">
        <v>28</v>
      </c>
      <c r="L762" s="376">
        <v>17</v>
      </c>
      <c r="M762" s="376">
        <v>28</v>
      </c>
      <c r="N762" s="376">
        <v>17</v>
      </c>
      <c r="O762" s="376">
        <v>17</v>
      </c>
      <c r="P762" s="378">
        <v>17</v>
      </c>
      <c r="Q762" s="378">
        <v>17</v>
      </c>
      <c r="R762" s="378"/>
      <c r="S762" s="378"/>
      <c r="T762" s="378"/>
      <c r="U762" s="378"/>
      <c r="V762" s="533"/>
      <c r="W762" s="378"/>
      <c r="X762" s="378"/>
      <c r="Y762" s="378">
        <f>IF(NFI_Expiration=1,IF($A762&lt;VLOOKUP(H$5,NFI,5,0),1,0)*Table_NFI[[#This Row],[Hygiene Kit]],Table_NFI[Hygiene Kit])</f>
        <v>0</v>
      </c>
      <c r="Z762" s="378">
        <f>IF(NFI_Expiration=1,IF($A762&lt;VLOOKUP(I$5,NFI,5,0),1,0)*Table_NFI[[#This Row],[NFI Core Kit]],Table_NFI[NFI Core Kit])</f>
        <v>0</v>
      </c>
      <c r="AA762" s="378">
        <f>IF(NFI_Expiration=1,IF($A762&lt;VLOOKUP(J$5,NFI,5,0),1,0)*Table_NFI[[#This Row],[Sanitary Kit]],Table_NFI[Sanitary Kit])</f>
        <v>0</v>
      </c>
      <c r="AB762" s="378">
        <f>IF(NFI_Expiration=1,IF($A762&lt;VLOOKUP(K$5,NFI,5,0),1,0)*Table_NFI[[#This Row],[Mosquito net]],Table_NFI[Mosquito net])</f>
        <v>0</v>
      </c>
      <c r="AC762" s="378">
        <f>IF(NFI_Expiration=1,IF($A762&lt;VLOOKUP(L$5,NFI,5,0),1,0)*Table_NFI[[#This Row],[Tarpaulin]],Table_NFI[[#This Row],[Tarpaulin]])</f>
        <v>0</v>
      </c>
      <c r="AD762" s="378">
        <f>IF(NFI_Expiration=1,IF($A762&lt;VLOOKUP(M$5,NFI,5,0),1,0)*Table_NFI[[#This Row],[Blanket]],Table_NFI[[#This Row],[Blanket]])</f>
        <v>0</v>
      </c>
      <c r="AE762" s="378">
        <f>IF(NFI_Expiration=1,IF($A762&lt;VLOOKUP(N$5,NFI,5,0),1,0)*Table_NFI[[#This Row],[Kitchen Set]],Table_NFI[Kitchen Set])</f>
        <v>0</v>
      </c>
      <c r="AF762" s="378">
        <f>IF(NFI_Expiration=1,IF($A762&lt;VLOOKUP(O$5,NFI,5,0),1,0)*Table_NFI[[#This Row],[Clothes Kit]],Table_NFI[Clothes Kit])</f>
        <v>0</v>
      </c>
      <c r="AG762" s="378">
        <f>IF(NFI_Expiration=1,IF($A762&lt;VLOOKUP(P$5,NFI,5,0),1,0)*Table_NFI[[#This Row],[Plastic Bucket]],Table_NFI[Plastic Bucket])</f>
        <v>0</v>
      </c>
      <c r="AH762" s="378">
        <f>IF(NFI_Expiration=1,IF($A762&lt;VLOOKUP(Q$5,NFI,5,0),1,0)*Table_NFI[[#This Row],[Plastic Mat]],Table_NFI[Plastic Mat])*IF(Table_NFI[[#This Row],[Distribution Date]]&gt;"2014-04-01",1,2.5)</f>
        <v>0</v>
      </c>
      <c r="AI762" s="378">
        <f>IF(NFI_Expiration=1,IF($A762&lt;VLOOKUP(R$5,NFI,5,0),1,0)*Table_NFI[[#This Row],[Winter Clothes Adult]],Table_NFI[Winter Clothes Adult])</f>
        <v>0</v>
      </c>
      <c r="AJ762" s="378">
        <f>IF(NFI_Expiration=1,IF($A762&lt;VLOOKUP(S$5,NFI,5,0),1,0)*Table_NFI[[#This Row],[Winter Clothes Children]],Table_NFI[Winter Clothes Children])</f>
        <v>0</v>
      </c>
      <c r="AK762" s="378">
        <f>IF(NFI_Expiration=1,IF($A762&lt;VLOOKUP(T$5,NFI,5,0),1,0)*Table_NFI[[#This Row],[Winter Items Other]],Table_NFI[Winter Items Other])</f>
        <v>0</v>
      </c>
      <c r="AL762" s="378">
        <f>IF(NFI_Expiration=1,IF($A762&lt;VLOOKUP(M$5,NFI,5,0),1,0)*Table_NFI[[#This Row],[Winter Blanket]],Table_NFI[[#This Row],[Winter Blanket]])</f>
        <v>0</v>
      </c>
      <c r="AM762" s="378">
        <f>IF(Table_NFI[[#This Row],[Winter Clothes Adult]]+Table_NFI[[#This Row],[Winter Clothes Children]]+Table_NFI[[#This Row],[Winter Items Other]]+Table_NFI[[#This Row],[Winter Blanket]]&gt;0,1,0)</f>
        <v>0</v>
      </c>
      <c r="AN762" s="418">
        <f>IF(NFI_Expiration=1,IF($A762&lt;VLOOKUP(V$5,NFI,5,0),1,0)*Table_NFI[[#This Row],[Jerry Can]],Table_NFI[Jerry Can])</f>
        <v>0</v>
      </c>
      <c r="AO762" s="579" t="str">
        <f>IFERROR(VLOOKUP(Table_NFI[[#This Row],[Camp Name]],CL,2,0),"")</f>
        <v>MMR001CMP073</v>
      </c>
      <c r="AP762" s="574">
        <f ca="1">IF(Table_NFI[[#This Row],[Pcode]]="","",IF(OFFSET(CampList[Opening Date],MATCH(Table_NFI[[#This Row],[Pcode]],CampList[CP_Pcode],0)-1,0,1,1)&gt;=NFI_Monitor_Date,1,0))</f>
        <v>0</v>
      </c>
      <c r="AQ762" s="579" t="str">
        <f>IFERROR(VLOOKUP(Table_NFI[[#This Row],[Camp Name]],CL,3,0),"")</f>
        <v>Open</v>
      </c>
      <c r="AR762" s="378" t="str">
        <f ca="1">IF(Table_NFI[[#This Row],[Pcode]]="","",OFFSET(CampList[Priority],MATCH(Table_NFI[[#This Row],[Pcode]],CampList[CP_Pcode],0)-1,0,1,1))</f>
        <v>P3</v>
      </c>
      <c r="AS762" s="377">
        <f>IFERROR(Table_NFI[[#This Row],[Kitchen Set]]/VLOOKUP(Table_NFI[[#This Row],[Camp Name]],CL,4,0),"")</f>
        <v>0.4358974358974359</v>
      </c>
      <c r="AT762" s="572" t="s">
        <v>1095</v>
      </c>
      <c r="AU762" s="575"/>
    </row>
    <row r="763" spans="1:47" x14ac:dyDescent="0.25">
      <c r="A763" s="381">
        <f t="shared" si="11"/>
        <v>45.5</v>
      </c>
      <c r="B763" s="571">
        <v>41157</v>
      </c>
      <c r="C763" s="572" t="s">
        <v>454</v>
      </c>
      <c r="D763" s="573" t="s">
        <v>454</v>
      </c>
      <c r="E763" s="572" t="s">
        <v>380</v>
      </c>
      <c r="F763" s="374" t="s">
        <v>185</v>
      </c>
      <c r="G763" s="374" t="s">
        <v>225</v>
      </c>
      <c r="H763" s="375"/>
      <c r="I763" s="375"/>
      <c r="J763" s="375"/>
      <c r="K763" s="375">
        <v>26</v>
      </c>
      <c r="L763" s="376">
        <v>11</v>
      </c>
      <c r="M763" s="376">
        <v>26</v>
      </c>
      <c r="N763" s="376">
        <v>11</v>
      </c>
      <c r="O763" s="376">
        <v>11</v>
      </c>
      <c r="P763" s="378">
        <v>11</v>
      </c>
      <c r="Q763" s="378">
        <v>11</v>
      </c>
      <c r="R763" s="378"/>
      <c r="S763" s="378"/>
      <c r="T763" s="378"/>
      <c r="U763" s="378"/>
      <c r="V763" s="533"/>
      <c r="W763" s="378"/>
      <c r="X763" s="378"/>
      <c r="Y763" s="378">
        <f>IF(NFI_Expiration=1,IF($A763&lt;VLOOKUP(H$5,NFI,5,0),1,0)*Table_NFI[[#This Row],[Hygiene Kit]],Table_NFI[Hygiene Kit])</f>
        <v>0</v>
      </c>
      <c r="Z763" s="378">
        <f>IF(NFI_Expiration=1,IF($A763&lt;VLOOKUP(I$5,NFI,5,0),1,0)*Table_NFI[[#This Row],[NFI Core Kit]],Table_NFI[NFI Core Kit])</f>
        <v>0</v>
      </c>
      <c r="AA763" s="378">
        <f>IF(NFI_Expiration=1,IF($A763&lt;VLOOKUP(J$5,NFI,5,0),1,0)*Table_NFI[[#This Row],[Sanitary Kit]],Table_NFI[Sanitary Kit])</f>
        <v>0</v>
      </c>
      <c r="AB763" s="378">
        <f>IF(NFI_Expiration=1,IF($A763&lt;VLOOKUP(K$5,NFI,5,0),1,0)*Table_NFI[[#This Row],[Mosquito net]],Table_NFI[Mosquito net])</f>
        <v>0</v>
      </c>
      <c r="AC763" s="378">
        <f>IF(NFI_Expiration=1,IF($A763&lt;VLOOKUP(L$5,NFI,5,0),1,0)*Table_NFI[[#This Row],[Tarpaulin]],Table_NFI[[#This Row],[Tarpaulin]])</f>
        <v>0</v>
      </c>
      <c r="AD763" s="378">
        <f>IF(NFI_Expiration=1,IF($A763&lt;VLOOKUP(M$5,NFI,5,0),1,0)*Table_NFI[[#This Row],[Blanket]],Table_NFI[[#This Row],[Blanket]])</f>
        <v>0</v>
      </c>
      <c r="AE763" s="378">
        <f>IF(NFI_Expiration=1,IF($A763&lt;VLOOKUP(N$5,NFI,5,0),1,0)*Table_NFI[[#This Row],[Kitchen Set]],Table_NFI[Kitchen Set])</f>
        <v>0</v>
      </c>
      <c r="AF763" s="378">
        <f>IF(NFI_Expiration=1,IF($A763&lt;VLOOKUP(O$5,NFI,5,0),1,0)*Table_NFI[[#This Row],[Clothes Kit]],Table_NFI[Clothes Kit])</f>
        <v>0</v>
      </c>
      <c r="AG763" s="378">
        <f>IF(NFI_Expiration=1,IF($A763&lt;VLOOKUP(P$5,NFI,5,0),1,0)*Table_NFI[[#This Row],[Plastic Bucket]],Table_NFI[Plastic Bucket])</f>
        <v>0</v>
      </c>
      <c r="AH763" s="378">
        <f>IF(NFI_Expiration=1,IF($A763&lt;VLOOKUP(Q$5,NFI,5,0),1,0)*Table_NFI[[#This Row],[Plastic Mat]],Table_NFI[Plastic Mat])*IF(Table_NFI[[#This Row],[Distribution Date]]&gt;"2014-04-01",1,2.5)</f>
        <v>0</v>
      </c>
      <c r="AI763" s="378">
        <f>IF(NFI_Expiration=1,IF($A763&lt;VLOOKUP(R$5,NFI,5,0),1,0)*Table_NFI[[#This Row],[Winter Clothes Adult]],Table_NFI[Winter Clothes Adult])</f>
        <v>0</v>
      </c>
      <c r="AJ763" s="378">
        <f>IF(NFI_Expiration=1,IF($A763&lt;VLOOKUP(S$5,NFI,5,0),1,0)*Table_NFI[[#This Row],[Winter Clothes Children]],Table_NFI[Winter Clothes Children])</f>
        <v>0</v>
      </c>
      <c r="AK763" s="378">
        <f>IF(NFI_Expiration=1,IF($A763&lt;VLOOKUP(T$5,NFI,5,0),1,0)*Table_NFI[[#This Row],[Winter Items Other]],Table_NFI[Winter Items Other])</f>
        <v>0</v>
      </c>
      <c r="AL763" s="378">
        <f>IF(NFI_Expiration=1,IF($A763&lt;VLOOKUP(M$5,NFI,5,0),1,0)*Table_NFI[[#This Row],[Winter Blanket]],Table_NFI[[#This Row],[Winter Blanket]])</f>
        <v>0</v>
      </c>
      <c r="AM763" s="378">
        <f>IF(Table_NFI[[#This Row],[Winter Clothes Adult]]+Table_NFI[[#This Row],[Winter Clothes Children]]+Table_NFI[[#This Row],[Winter Items Other]]+Table_NFI[[#This Row],[Winter Blanket]]&gt;0,1,0)</f>
        <v>0</v>
      </c>
      <c r="AN763" s="418">
        <f>IF(NFI_Expiration=1,IF($A763&lt;VLOOKUP(V$5,NFI,5,0),1,0)*Table_NFI[[#This Row],[Jerry Can]],Table_NFI[Jerry Can])</f>
        <v>0</v>
      </c>
      <c r="AO763" s="579" t="str">
        <f>IFERROR(VLOOKUP(Table_NFI[[#This Row],[Camp Name]],CL,2,0),"")</f>
        <v>MMR001CMP073</v>
      </c>
      <c r="AP763" s="574">
        <f ca="1">IF(Table_NFI[[#This Row],[Pcode]]="","",IF(OFFSET(CampList[Opening Date],MATCH(Table_NFI[[#This Row],[Pcode]],CampList[CP_Pcode],0)-1,0,1,1)&gt;=NFI_Monitor_Date,1,0))</f>
        <v>0</v>
      </c>
      <c r="AQ763" s="579" t="str">
        <f>IFERROR(VLOOKUP(Table_NFI[[#This Row],[Camp Name]],CL,3,0),"")</f>
        <v>Open</v>
      </c>
      <c r="AR763" s="378" t="str">
        <f ca="1">IF(Table_NFI[[#This Row],[Pcode]]="","",OFFSET(CampList[Priority],MATCH(Table_NFI[[#This Row],[Pcode]],CampList[CP_Pcode],0)-1,0,1,1))</f>
        <v>P3</v>
      </c>
      <c r="AS763" s="377">
        <f>IFERROR(Table_NFI[[#This Row],[Kitchen Set]]/VLOOKUP(Table_NFI[[#This Row],[Camp Name]],CL,4,0),"")</f>
        <v>0.28205128205128205</v>
      </c>
      <c r="AT763" s="572" t="s">
        <v>1095</v>
      </c>
      <c r="AU763" s="575"/>
    </row>
    <row r="764" spans="1:47" x14ac:dyDescent="0.25">
      <c r="A764" s="381">
        <f t="shared" si="11"/>
        <v>50.833333333333336</v>
      </c>
      <c r="B764" s="571">
        <v>40997</v>
      </c>
      <c r="C764" s="572" t="s">
        <v>454</v>
      </c>
      <c r="D764" s="573" t="s">
        <v>454</v>
      </c>
      <c r="E764" s="572" t="s">
        <v>380</v>
      </c>
      <c r="F764" s="374" t="s">
        <v>185</v>
      </c>
      <c r="G764" s="374" t="s">
        <v>225</v>
      </c>
      <c r="H764" s="375"/>
      <c r="I764" s="375"/>
      <c r="J764" s="375"/>
      <c r="K764" s="375">
        <v>66</v>
      </c>
      <c r="L764" s="376">
        <v>66</v>
      </c>
      <c r="M764" s="376">
        <v>0</v>
      </c>
      <c r="N764" s="376">
        <v>0</v>
      </c>
      <c r="O764" s="376">
        <v>0</v>
      </c>
      <c r="P764" s="378"/>
      <c r="Q764" s="378"/>
      <c r="R764" s="378"/>
      <c r="S764" s="378"/>
      <c r="T764" s="378"/>
      <c r="U764" s="378"/>
      <c r="V764" s="533"/>
      <c r="W764" s="378"/>
      <c r="X764" s="378"/>
      <c r="Y764" s="378">
        <f>IF(NFI_Expiration=1,IF($A764&lt;VLOOKUP(H$5,NFI,5,0),1,0)*Table_NFI[[#This Row],[Hygiene Kit]],Table_NFI[Hygiene Kit])</f>
        <v>0</v>
      </c>
      <c r="Z764" s="378">
        <f>IF(NFI_Expiration=1,IF($A764&lt;VLOOKUP(I$5,NFI,5,0),1,0)*Table_NFI[[#This Row],[NFI Core Kit]],Table_NFI[NFI Core Kit])</f>
        <v>0</v>
      </c>
      <c r="AA764" s="378">
        <f>IF(NFI_Expiration=1,IF($A764&lt;VLOOKUP(J$5,NFI,5,0),1,0)*Table_NFI[[#This Row],[Sanitary Kit]],Table_NFI[Sanitary Kit])</f>
        <v>0</v>
      </c>
      <c r="AB764" s="378">
        <f>IF(NFI_Expiration=1,IF($A764&lt;VLOOKUP(K$5,NFI,5,0),1,0)*Table_NFI[[#This Row],[Mosquito net]],Table_NFI[Mosquito net])</f>
        <v>0</v>
      </c>
      <c r="AC764" s="378">
        <f>IF(NFI_Expiration=1,IF($A764&lt;VLOOKUP(L$5,NFI,5,0),1,0)*Table_NFI[[#This Row],[Tarpaulin]],Table_NFI[[#This Row],[Tarpaulin]])</f>
        <v>0</v>
      </c>
      <c r="AD764" s="378">
        <f>IF(NFI_Expiration=1,IF($A764&lt;VLOOKUP(M$5,NFI,5,0),1,0)*Table_NFI[[#This Row],[Blanket]],Table_NFI[[#This Row],[Blanket]])</f>
        <v>0</v>
      </c>
      <c r="AE764" s="378">
        <f>IF(NFI_Expiration=1,IF($A764&lt;VLOOKUP(N$5,NFI,5,0),1,0)*Table_NFI[[#This Row],[Kitchen Set]],Table_NFI[Kitchen Set])</f>
        <v>0</v>
      </c>
      <c r="AF764" s="378">
        <f>IF(NFI_Expiration=1,IF($A764&lt;VLOOKUP(O$5,NFI,5,0),1,0)*Table_NFI[[#This Row],[Clothes Kit]],Table_NFI[Clothes Kit])</f>
        <v>0</v>
      </c>
      <c r="AG764" s="378">
        <f>IF(NFI_Expiration=1,IF($A764&lt;VLOOKUP(P$5,NFI,5,0),1,0)*Table_NFI[[#This Row],[Plastic Bucket]],Table_NFI[Plastic Bucket])</f>
        <v>0</v>
      </c>
      <c r="AH764" s="378">
        <f>IF(NFI_Expiration=1,IF($A764&lt;VLOOKUP(Q$5,NFI,5,0),1,0)*Table_NFI[[#This Row],[Plastic Mat]],Table_NFI[Plastic Mat])*IF(Table_NFI[[#This Row],[Distribution Date]]&gt;"2014-04-01",1,2.5)</f>
        <v>0</v>
      </c>
      <c r="AI764" s="378">
        <f>IF(NFI_Expiration=1,IF($A764&lt;VLOOKUP(R$5,NFI,5,0),1,0)*Table_NFI[[#This Row],[Winter Clothes Adult]],Table_NFI[Winter Clothes Adult])</f>
        <v>0</v>
      </c>
      <c r="AJ764" s="378">
        <f>IF(NFI_Expiration=1,IF($A764&lt;VLOOKUP(S$5,NFI,5,0),1,0)*Table_NFI[[#This Row],[Winter Clothes Children]],Table_NFI[Winter Clothes Children])</f>
        <v>0</v>
      </c>
      <c r="AK764" s="378">
        <f>IF(NFI_Expiration=1,IF($A764&lt;VLOOKUP(T$5,NFI,5,0),1,0)*Table_NFI[[#This Row],[Winter Items Other]],Table_NFI[Winter Items Other])</f>
        <v>0</v>
      </c>
      <c r="AL764" s="378">
        <f>IF(NFI_Expiration=1,IF($A764&lt;VLOOKUP(M$5,NFI,5,0),1,0)*Table_NFI[[#This Row],[Winter Blanket]],Table_NFI[[#This Row],[Winter Blanket]])</f>
        <v>0</v>
      </c>
      <c r="AM764" s="378">
        <f>IF(Table_NFI[[#This Row],[Winter Clothes Adult]]+Table_NFI[[#This Row],[Winter Clothes Children]]+Table_NFI[[#This Row],[Winter Items Other]]+Table_NFI[[#This Row],[Winter Blanket]]&gt;0,1,0)</f>
        <v>0</v>
      </c>
      <c r="AN764" s="418">
        <f>IF(NFI_Expiration=1,IF($A764&lt;VLOOKUP(V$5,NFI,5,0),1,0)*Table_NFI[[#This Row],[Jerry Can]],Table_NFI[Jerry Can])</f>
        <v>0</v>
      </c>
      <c r="AO764" s="579" t="str">
        <f>IFERROR(VLOOKUP(Table_NFI[[#This Row],[Camp Name]],CL,2,0),"")</f>
        <v>MMR001CMP073</v>
      </c>
      <c r="AP764" s="574">
        <f ca="1">IF(Table_NFI[[#This Row],[Pcode]]="","",IF(OFFSET(CampList[Opening Date],MATCH(Table_NFI[[#This Row],[Pcode]],CampList[CP_Pcode],0)-1,0,1,1)&gt;=NFI_Monitor_Date,1,0))</f>
        <v>0</v>
      </c>
      <c r="AQ764" s="579" t="str">
        <f>IFERROR(VLOOKUP(Table_NFI[[#This Row],[Camp Name]],CL,3,0),"")</f>
        <v>Open</v>
      </c>
      <c r="AR764" s="378" t="str">
        <f ca="1">IF(Table_NFI[[#This Row],[Pcode]]="","",OFFSET(CampList[Priority],MATCH(Table_NFI[[#This Row],[Pcode]],CampList[CP_Pcode],0)-1,0,1,1))</f>
        <v>P3</v>
      </c>
      <c r="AS764" s="377">
        <f>IFERROR(Table_NFI[[#This Row],[Kitchen Set]]/VLOOKUP(Table_NFI[[#This Row],[Camp Name]],CL,4,0),"")</f>
        <v>0</v>
      </c>
      <c r="AT764" s="572" t="s">
        <v>1095</v>
      </c>
      <c r="AU764" s="575"/>
    </row>
    <row r="765" spans="1:47" x14ac:dyDescent="0.25">
      <c r="A765" s="381">
        <f t="shared" si="11"/>
        <v>54.466666666666669</v>
      </c>
      <c r="B765" s="571">
        <v>40888</v>
      </c>
      <c r="C765" s="572" t="s">
        <v>454</v>
      </c>
      <c r="D765" s="572" t="s">
        <v>906</v>
      </c>
      <c r="E765" s="572" t="s">
        <v>380</v>
      </c>
      <c r="F765" s="572" t="s">
        <v>237</v>
      </c>
      <c r="G765" s="374" t="s">
        <v>921</v>
      </c>
      <c r="H765" s="375"/>
      <c r="I765" s="375"/>
      <c r="J765" s="375"/>
      <c r="K765" s="375">
        <v>88</v>
      </c>
      <c r="L765" s="376">
        <v>49</v>
      </c>
      <c r="M765" s="376">
        <v>88</v>
      </c>
      <c r="N765" s="376">
        <v>49</v>
      </c>
      <c r="O765" s="376">
        <v>49</v>
      </c>
      <c r="P765" s="378">
        <v>49</v>
      </c>
      <c r="Q765" s="378">
        <v>49</v>
      </c>
      <c r="R765" s="378"/>
      <c r="S765" s="378"/>
      <c r="T765" s="378"/>
      <c r="U765" s="378"/>
      <c r="V765" s="533"/>
      <c r="W765" s="378"/>
      <c r="X765" s="378"/>
      <c r="Y765" s="378">
        <f>IF(NFI_Expiration=1,IF($A765&lt;VLOOKUP(H$5,NFI,5,0),1,0)*Table_NFI[[#This Row],[Hygiene Kit]],Table_NFI[Hygiene Kit])</f>
        <v>0</v>
      </c>
      <c r="Z765" s="378">
        <f>IF(NFI_Expiration=1,IF($A765&lt;VLOOKUP(I$5,NFI,5,0),1,0)*Table_NFI[[#This Row],[NFI Core Kit]],Table_NFI[NFI Core Kit])</f>
        <v>0</v>
      </c>
      <c r="AA765" s="378">
        <f>IF(NFI_Expiration=1,IF($A765&lt;VLOOKUP(J$5,NFI,5,0),1,0)*Table_NFI[[#This Row],[Sanitary Kit]],Table_NFI[Sanitary Kit])</f>
        <v>0</v>
      </c>
      <c r="AB765" s="378">
        <f>IF(NFI_Expiration=1,IF($A765&lt;VLOOKUP(K$5,NFI,5,0),1,0)*Table_NFI[[#This Row],[Mosquito net]],Table_NFI[Mosquito net])</f>
        <v>0</v>
      </c>
      <c r="AC765" s="378">
        <f>IF(NFI_Expiration=1,IF($A765&lt;VLOOKUP(L$5,NFI,5,0),1,0)*Table_NFI[[#This Row],[Tarpaulin]],Table_NFI[[#This Row],[Tarpaulin]])</f>
        <v>0</v>
      </c>
      <c r="AD765" s="378">
        <f>IF(NFI_Expiration=1,IF($A765&lt;VLOOKUP(M$5,NFI,5,0),1,0)*Table_NFI[[#This Row],[Blanket]],Table_NFI[[#This Row],[Blanket]])</f>
        <v>0</v>
      </c>
      <c r="AE765" s="378">
        <f>IF(NFI_Expiration=1,IF($A765&lt;VLOOKUP(N$5,NFI,5,0),1,0)*Table_NFI[[#This Row],[Kitchen Set]],Table_NFI[Kitchen Set])</f>
        <v>0</v>
      </c>
      <c r="AF765" s="378">
        <f>IF(NFI_Expiration=1,IF($A765&lt;VLOOKUP(O$5,NFI,5,0),1,0)*Table_NFI[[#This Row],[Clothes Kit]],Table_NFI[Clothes Kit])</f>
        <v>0</v>
      </c>
      <c r="AG765" s="378">
        <f>IF(NFI_Expiration=1,IF($A765&lt;VLOOKUP(P$5,NFI,5,0),1,0)*Table_NFI[[#This Row],[Plastic Bucket]],Table_NFI[Plastic Bucket])</f>
        <v>0</v>
      </c>
      <c r="AH765" s="378">
        <f>IF(NFI_Expiration=1,IF($A765&lt;VLOOKUP(Q$5,NFI,5,0),1,0)*Table_NFI[[#This Row],[Plastic Mat]],Table_NFI[Plastic Mat])*IF(Table_NFI[[#This Row],[Distribution Date]]&gt;"2014-04-01",1,2.5)</f>
        <v>0</v>
      </c>
      <c r="AI765" s="378">
        <f>IF(NFI_Expiration=1,IF($A765&lt;VLOOKUP(R$5,NFI,5,0),1,0)*Table_NFI[[#This Row],[Winter Clothes Adult]],Table_NFI[Winter Clothes Adult])</f>
        <v>0</v>
      </c>
      <c r="AJ765" s="378">
        <f>IF(NFI_Expiration=1,IF($A765&lt;VLOOKUP(S$5,NFI,5,0),1,0)*Table_NFI[[#This Row],[Winter Clothes Children]],Table_NFI[Winter Clothes Children])</f>
        <v>0</v>
      </c>
      <c r="AK765" s="378">
        <f>IF(NFI_Expiration=1,IF($A765&lt;VLOOKUP(T$5,NFI,5,0),1,0)*Table_NFI[[#This Row],[Winter Items Other]],Table_NFI[Winter Items Other])</f>
        <v>0</v>
      </c>
      <c r="AL765" s="378">
        <f>IF(NFI_Expiration=1,IF($A765&lt;VLOOKUP(M$5,NFI,5,0),1,0)*Table_NFI[[#This Row],[Winter Blanket]],Table_NFI[[#This Row],[Winter Blanket]])</f>
        <v>0</v>
      </c>
      <c r="AM765" s="378">
        <f>IF(Table_NFI[[#This Row],[Winter Clothes Adult]]+Table_NFI[[#This Row],[Winter Clothes Children]]+Table_NFI[[#This Row],[Winter Items Other]]+Table_NFI[[#This Row],[Winter Blanket]]&gt;0,1,0)</f>
        <v>0</v>
      </c>
      <c r="AN765" s="418">
        <f>IF(NFI_Expiration=1,IF($A765&lt;VLOOKUP(V$5,NFI,5,0),1,0)*Table_NFI[[#This Row],[Jerry Can]],Table_NFI[Jerry Can])</f>
        <v>0</v>
      </c>
      <c r="AO765" s="579" t="str">
        <f>IFERROR(VLOOKUP(Table_NFI[[#This Row],[Camp Name]],CL,2,0),"")</f>
        <v/>
      </c>
      <c r="AP765" s="574" t="str">
        <f ca="1">IF(Table_NFI[[#This Row],[Pcode]]="","",IF(OFFSET(CampList[Opening Date],MATCH(Table_NFI[[#This Row],[Pcode]],CampList[CP_Pcode],0)-1,0,1,1)&gt;=NFI_Monitor_Date,1,0))</f>
        <v/>
      </c>
      <c r="AQ765" s="579" t="str">
        <f>IFERROR(VLOOKUP(Table_NFI[[#This Row],[Camp Name]],CL,3,0),"")</f>
        <v/>
      </c>
      <c r="AR765" s="378" t="str">
        <f ca="1">IF(Table_NFI[[#This Row],[Pcode]]="","",OFFSET(CampList[Priority],MATCH(Table_NFI[[#This Row],[Pcode]],CampList[CP_Pcode],0)-1,0,1,1))</f>
        <v/>
      </c>
      <c r="AS765" s="377" t="str">
        <f>IFERROR(Table_NFI[[#This Row],[Kitchen Set]]/VLOOKUP(Table_NFI[[#This Row],[Camp Name]],CL,4,0),"")</f>
        <v/>
      </c>
      <c r="AT765" s="572" t="s">
        <v>1095</v>
      </c>
      <c r="AU765" s="575"/>
    </row>
    <row r="766" spans="1:47" x14ac:dyDescent="0.25">
      <c r="A766" s="381">
        <f t="shared" si="11"/>
        <v>25.133333333333333</v>
      </c>
      <c r="B766" s="571">
        <v>41768</v>
      </c>
      <c r="C766" s="572" t="s">
        <v>1107</v>
      </c>
      <c r="D766" s="572" t="s">
        <v>903</v>
      </c>
      <c r="E766" s="572" t="s">
        <v>380</v>
      </c>
      <c r="F766" s="572" t="s">
        <v>237</v>
      </c>
      <c r="G766" s="572" t="s">
        <v>277</v>
      </c>
      <c r="H766" s="375"/>
      <c r="I766" s="375"/>
      <c r="J766" s="375"/>
      <c r="K766" s="375"/>
      <c r="L766" s="376"/>
      <c r="M766" s="376"/>
      <c r="N766" s="376"/>
      <c r="O766" s="376"/>
      <c r="P766" s="378"/>
      <c r="Q766" s="378"/>
      <c r="R766" s="378"/>
      <c r="S766" s="378"/>
      <c r="T766" s="378"/>
      <c r="U766" s="378">
        <v>208</v>
      </c>
      <c r="V766" s="533"/>
      <c r="W766" s="378"/>
      <c r="X766" s="378"/>
      <c r="Y766" s="378">
        <f>IF(NFI_Expiration=1,IF($A766&lt;VLOOKUP(H$5,NFI,5,0),1,0)*Table_NFI[[#This Row],[Hygiene Kit]],Table_NFI[Hygiene Kit])</f>
        <v>0</v>
      </c>
      <c r="Z766" s="378">
        <f>IF(NFI_Expiration=1,IF($A766&lt;VLOOKUP(I$5,NFI,5,0),1,0)*Table_NFI[[#This Row],[NFI Core Kit]],Table_NFI[NFI Core Kit])</f>
        <v>0</v>
      </c>
      <c r="AA766" s="378">
        <f>IF(NFI_Expiration=1,IF($A766&lt;VLOOKUP(J$5,NFI,5,0),1,0)*Table_NFI[[#This Row],[Sanitary Kit]],Table_NFI[Sanitary Kit])</f>
        <v>0</v>
      </c>
      <c r="AB766" s="378">
        <f>IF(NFI_Expiration=1,IF($A766&lt;VLOOKUP(K$5,NFI,5,0),1,0)*Table_NFI[[#This Row],[Mosquito net]],Table_NFI[Mosquito net])</f>
        <v>0</v>
      </c>
      <c r="AC766" s="378">
        <f>IF(NFI_Expiration=1,IF($A766&lt;VLOOKUP(L$5,NFI,5,0),1,0)*Table_NFI[[#This Row],[Tarpaulin]],Table_NFI[[#This Row],[Tarpaulin]])</f>
        <v>0</v>
      </c>
      <c r="AD766" s="378">
        <f>IF(NFI_Expiration=1,IF($A766&lt;VLOOKUP(M$5,NFI,5,0),1,0)*Table_NFI[[#This Row],[Blanket]],Table_NFI[[#This Row],[Blanket]])</f>
        <v>0</v>
      </c>
      <c r="AE766" s="378">
        <f>IF(NFI_Expiration=1,IF($A766&lt;VLOOKUP(N$5,NFI,5,0),1,0)*Table_NFI[[#This Row],[Kitchen Set]],Table_NFI[Kitchen Set])</f>
        <v>0</v>
      </c>
      <c r="AF766" s="378">
        <f>IF(NFI_Expiration=1,IF($A766&lt;VLOOKUP(O$5,NFI,5,0),1,0)*Table_NFI[[#This Row],[Clothes Kit]],Table_NFI[Clothes Kit])</f>
        <v>0</v>
      </c>
      <c r="AG766" s="378">
        <f>IF(NFI_Expiration=1,IF($A766&lt;VLOOKUP(P$5,NFI,5,0),1,0)*Table_NFI[[#This Row],[Plastic Bucket]],Table_NFI[Plastic Bucket])</f>
        <v>0</v>
      </c>
      <c r="AH766" s="378">
        <f>IF(NFI_Expiration=1,IF($A766&lt;VLOOKUP(Q$5,NFI,5,0),1,0)*Table_NFI[[#This Row],[Plastic Mat]],Table_NFI[Plastic Mat])*IF(Table_NFI[[#This Row],[Distribution Date]]&gt;"2014-04-01",1,2.5)</f>
        <v>0</v>
      </c>
      <c r="AI766" s="378">
        <f>IF(NFI_Expiration=1,IF($A766&lt;VLOOKUP(R$5,NFI,5,0),1,0)*Table_NFI[[#This Row],[Winter Clothes Adult]],Table_NFI[Winter Clothes Adult])</f>
        <v>0</v>
      </c>
      <c r="AJ766" s="378">
        <f>IF(NFI_Expiration=1,IF($A766&lt;VLOOKUP(S$5,NFI,5,0),1,0)*Table_NFI[[#This Row],[Winter Clothes Children]],Table_NFI[Winter Clothes Children])</f>
        <v>0</v>
      </c>
      <c r="AK766" s="378">
        <f>IF(NFI_Expiration=1,IF($A766&lt;VLOOKUP(T$5,NFI,5,0),1,0)*Table_NFI[[#This Row],[Winter Items Other]],Table_NFI[Winter Items Other])</f>
        <v>0</v>
      </c>
      <c r="AL766" s="378">
        <f>IF(NFI_Expiration=1,IF($A766&lt;VLOOKUP(M$5,NFI,5,0),1,0)*Table_NFI[[#This Row],[Winter Blanket]],Table_NFI[[#This Row],[Winter Blanket]])</f>
        <v>0</v>
      </c>
      <c r="AM766" s="378">
        <f>IF(Table_NFI[[#This Row],[Winter Clothes Adult]]+Table_NFI[[#This Row],[Winter Clothes Children]]+Table_NFI[[#This Row],[Winter Items Other]]+Table_NFI[[#This Row],[Winter Blanket]]&gt;0,1,0)</f>
        <v>1</v>
      </c>
      <c r="AN766" s="418">
        <f>IF(NFI_Expiration=1,IF($A766&lt;VLOOKUP(V$5,NFI,5,0),1,0)*Table_NFI[[#This Row],[Jerry Can]],Table_NFI[Jerry Can])</f>
        <v>0</v>
      </c>
      <c r="AO766" s="579" t="str">
        <f>IFERROR(VLOOKUP(Table_NFI[[#This Row],[Camp Name]],CL,2,0),"")</f>
        <v>MMR001CMP006</v>
      </c>
      <c r="AP766" s="574">
        <f ca="1">IF(Table_NFI[[#This Row],[Pcode]]="","",IF(OFFSET(CampList[Opening Date],MATCH(Table_NFI[[#This Row],[Pcode]],CampList[CP_Pcode],0)-1,0,1,1)&gt;=NFI_Monitor_Date,1,0))</f>
        <v>0</v>
      </c>
      <c r="AQ766" s="579" t="str">
        <f>IFERROR(VLOOKUP(Table_NFI[[#This Row],[Camp Name]],CL,3,0),"")</f>
        <v>Open</v>
      </c>
      <c r="AR766" s="378" t="str">
        <f ca="1">IF(Table_NFI[[#This Row],[Pcode]]="","",OFFSET(CampList[Priority],MATCH(Table_NFI[[#This Row],[Pcode]],CampList[CP_Pcode],0)-1,0,1,1))</f>
        <v>P4</v>
      </c>
      <c r="AS766" s="377">
        <f>IFERROR(Table_NFI[[#This Row],[Kitchen Set]]/VLOOKUP(Table_NFI[[#This Row],[Camp Name]],CL,4,0),"")</f>
        <v>0</v>
      </c>
      <c r="AT766" s="572"/>
      <c r="AU766" s="575"/>
    </row>
    <row r="767" spans="1:47" x14ac:dyDescent="0.25">
      <c r="A767" s="381">
        <f t="shared" si="11"/>
        <v>34.766666666666666</v>
      </c>
      <c r="B767" s="571">
        <v>41479</v>
      </c>
      <c r="C767" s="572" t="s">
        <v>454</v>
      </c>
      <c r="D767" s="573" t="s">
        <v>462</v>
      </c>
      <c r="E767" s="572" t="s">
        <v>380</v>
      </c>
      <c r="F767" s="374" t="s">
        <v>237</v>
      </c>
      <c r="G767" s="374" t="s">
        <v>277</v>
      </c>
      <c r="H767" s="375"/>
      <c r="I767" s="375"/>
      <c r="J767" s="375">
        <v>21</v>
      </c>
      <c r="K767" s="375">
        <v>36</v>
      </c>
      <c r="L767" s="376">
        <v>16</v>
      </c>
      <c r="M767" s="376">
        <v>36</v>
      </c>
      <c r="N767" s="376">
        <v>16</v>
      </c>
      <c r="O767" s="376">
        <v>16</v>
      </c>
      <c r="P767" s="378">
        <v>16</v>
      </c>
      <c r="Q767" s="378">
        <v>16</v>
      </c>
      <c r="R767" s="378"/>
      <c r="S767" s="378"/>
      <c r="T767" s="378"/>
      <c r="U767" s="378"/>
      <c r="V767" s="533"/>
      <c r="W767" s="378"/>
      <c r="X767" s="378"/>
      <c r="Y767" s="378">
        <f>IF(NFI_Expiration=1,IF($A767&lt;VLOOKUP(H$5,NFI,5,0),1,0)*Table_NFI[[#This Row],[Hygiene Kit]],Table_NFI[Hygiene Kit])</f>
        <v>0</v>
      </c>
      <c r="Z767" s="378">
        <f>IF(NFI_Expiration=1,IF($A767&lt;VLOOKUP(I$5,NFI,5,0),1,0)*Table_NFI[[#This Row],[NFI Core Kit]],Table_NFI[NFI Core Kit])</f>
        <v>0</v>
      </c>
      <c r="AA767" s="378">
        <f>IF(NFI_Expiration=1,IF($A767&lt;VLOOKUP(J$5,NFI,5,0),1,0)*Table_NFI[[#This Row],[Sanitary Kit]],Table_NFI[Sanitary Kit])</f>
        <v>0</v>
      </c>
      <c r="AB767" s="378">
        <f>IF(NFI_Expiration=1,IF($A767&lt;VLOOKUP(K$5,NFI,5,0),1,0)*Table_NFI[[#This Row],[Mosquito net]],Table_NFI[Mosquito net])</f>
        <v>0</v>
      </c>
      <c r="AC767" s="378">
        <f>IF(NFI_Expiration=1,IF($A767&lt;VLOOKUP(L$5,NFI,5,0),1,0)*Table_NFI[[#This Row],[Tarpaulin]],Table_NFI[[#This Row],[Tarpaulin]])</f>
        <v>0</v>
      </c>
      <c r="AD767" s="378">
        <f>IF(NFI_Expiration=1,IF($A767&lt;VLOOKUP(M$5,NFI,5,0),1,0)*Table_NFI[[#This Row],[Blanket]],Table_NFI[[#This Row],[Blanket]])</f>
        <v>0</v>
      </c>
      <c r="AE767" s="378">
        <f>IF(NFI_Expiration=1,IF($A767&lt;VLOOKUP(N$5,NFI,5,0),1,0)*Table_NFI[[#This Row],[Kitchen Set]],Table_NFI[Kitchen Set])</f>
        <v>0</v>
      </c>
      <c r="AF767" s="378">
        <f>IF(NFI_Expiration=1,IF($A767&lt;VLOOKUP(O$5,NFI,5,0),1,0)*Table_NFI[[#This Row],[Clothes Kit]],Table_NFI[Clothes Kit])</f>
        <v>0</v>
      </c>
      <c r="AG767" s="378">
        <f>IF(NFI_Expiration=1,IF($A767&lt;VLOOKUP(P$5,NFI,5,0),1,0)*Table_NFI[[#This Row],[Plastic Bucket]],Table_NFI[Plastic Bucket])</f>
        <v>0</v>
      </c>
      <c r="AH767" s="378">
        <f>IF(NFI_Expiration=1,IF($A767&lt;VLOOKUP(Q$5,NFI,5,0),1,0)*Table_NFI[[#This Row],[Plastic Mat]],Table_NFI[Plastic Mat])*IF(Table_NFI[[#This Row],[Distribution Date]]&gt;"2014-04-01",1,2.5)</f>
        <v>0</v>
      </c>
      <c r="AI767" s="378">
        <f>IF(NFI_Expiration=1,IF($A767&lt;VLOOKUP(R$5,NFI,5,0),1,0)*Table_NFI[[#This Row],[Winter Clothes Adult]],Table_NFI[Winter Clothes Adult])</f>
        <v>0</v>
      </c>
      <c r="AJ767" s="378">
        <f>IF(NFI_Expiration=1,IF($A767&lt;VLOOKUP(S$5,NFI,5,0),1,0)*Table_NFI[[#This Row],[Winter Clothes Children]],Table_NFI[Winter Clothes Children])</f>
        <v>0</v>
      </c>
      <c r="AK767" s="378">
        <f>IF(NFI_Expiration=1,IF($A767&lt;VLOOKUP(T$5,NFI,5,0),1,0)*Table_NFI[[#This Row],[Winter Items Other]],Table_NFI[Winter Items Other])</f>
        <v>0</v>
      </c>
      <c r="AL767" s="378">
        <f>IF(NFI_Expiration=1,IF($A767&lt;VLOOKUP(M$5,NFI,5,0),1,0)*Table_NFI[[#This Row],[Winter Blanket]],Table_NFI[[#This Row],[Winter Blanket]])</f>
        <v>0</v>
      </c>
      <c r="AM767" s="378">
        <f>IF(Table_NFI[[#This Row],[Winter Clothes Adult]]+Table_NFI[[#This Row],[Winter Clothes Children]]+Table_NFI[[#This Row],[Winter Items Other]]+Table_NFI[[#This Row],[Winter Blanket]]&gt;0,1,0)</f>
        <v>0</v>
      </c>
      <c r="AN767" s="418">
        <f>IF(NFI_Expiration=1,IF($A767&lt;VLOOKUP(V$5,NFI,5,0),1,0)*Table_NFI[[#This Row],[Jerry Can]],Table_NFI[Jerry Can])</f>
        <v>0</v>
      </c>
      <c r="AO767" s="579" t="str">
        <f>IFERROR(VLOOKUP(Table_NFI[[#This Row],[Camp Name]],CL,2,0),"")</f>
        <v>MMR001CMP006</v>
      </c>
      <c r="AP767" s="574">
        <f ca="1">IF(Table_NFI[[#This Row],[Pcode]]="","",IF(OFFSET(CampList[Opening Date],MATCH(Table_NFI[[#This Row],[Pcode]],CampList[CP_Pcode],0)-1,0,1,1)&gt;=NFI_Monitor_Date,1,0))</f>
        <v>0</v>
      </c>
      <c r="AQ767" s="579" t="str">
        <f>IFERROR(VLOOKUP(Table_NFI[[#This Row],[Camp Name]],CL,3,0),"")</f>
        <v>Open</v>
      </c>
      <c r="AR767" s="378" t="str">
        <f ca="1">IF(Table_NFI[[#This Row],[Pcode]]="","",OFFSET(CampList[Priority],MATCH(Table_NFI[[#This Row],[Pcode]],CampList[CP_Pcode],0)-1,0,1,1))</f>
        <v>P4</v>
      </c>
      <c r="AS767" s="377">
        <f>IFERROR(Table_NFI[[#This Row],[Kitchen Set]]/VLOOKUP(Table_NFI[[#This Row],[Camp Name]],CL,4,0),"")</f>
        <v>0.17777777777777778</v>
      </c>
      <c r="AT767" s="572" t="s">
        <v>1095</v>
      </c>
      <c r="AU767" s="575"/>
    </row>
    <row r="768" spans="1:47" x14ac:dyDescent="0.25">
      <c r="A768" s="381">
        <f t="shared" si="11"/>
        <v>40.266666666666666</v>
      </c>
      <c r="B768" s="571">
        <v>41314</v>
      </c>
      <c r="C768" s="572" t="s">
        <v>903</v>
      </c>
      <c r="D768" s="573" t="s">
        <v>903</v>
      </c>
      <c r="E768" s="572" t="s">
        <v>380</v>
      </c>
      <c r="F768" s="374" t="s">
        <v>237</v>
      </c>
      <c r="G768" s="374" t="s">
        <v>277</v>
      </c>
      <c r="H768" s="375"/>
      <c r="I768" s="375"/>
      <c r="J768" s="375"/>
      <c r="K768" s="375"/>
      <c r="L768" s="376">
        <v>109</v>
      </c>
      <c r="M768" s="376">
        <v>10</v>
      </c>
      <c r="N768" s="376">
        <v>10</v>
      </c>
      <c r="O768" s="376"/>
      <c r="P768" s="378">
        <v>0</v>
      </c>
      <c r="Q768" s="378">
        <v>0</v>
      </c>
      <c r="R768" s="378"/>
      <c r="S768" s="378"/>
      <c r="T768" s="378"/>
      <c r="U768" s="378"/>
      <c r="V768" s="533"/>
      <c r="W768" s="378"/>
      <c r="X768" s="378"/>
      <c r="Y768" s="378">
        <f>IF(NFI_Expiration=1,IF($A768&lt;VLOOKUP(H$5,NFI,5,0),1,0)*Table_NFI[[#This Row],[Hygiene Kit]],Table_NFI[Hygiene Kit])</f>
        <v>0</v>
      </c>
      <c r="Z768" s="378">
        <f>IF(NFI_Expiration=1,IF($A768&lt;VLOOKUP(I$5,NFI,5,0),1,0)*Table_NFI[[#This Row],[NFI Core Kit]],Table_NFI[NFI Core Kit])</f>
        <v>0</v>
      </c>
      <c r="AA768" s="378">
        <f>IF(NFI_Expiration=1,IF($A768&lt;VLOOKUP(J$5,NFI,5,0),1,0)*Table_NFI[[#This Row],[Sanitary Kit]],Table_NFI[Sanitary Kit])</f>
        <v>0</v>
      </c>
      <c r="AB768" s="378">
        <f>IF(NFI_Expiration=1,IF($A768&lt;VLOOKUP(K$5,NFI,5,0),1,0)*Table_NFI[[#This Row],[Mosquito net]],Table_NFI[Mosquito net])</f>
        <v>0</v>
      </c>
      <c r="AC768" s="378">
        <f>IF(NFI_Expiration=1,IF($A768&lt;VLOOKUP(L$5,NFI,5,0),1,0)*Table_NFI[[#This Row],[Tarpaulin]],Table_NFI[[#This Row],[Tarpaulin]])</f>
        <v>0</v>
      </c>
      <c r="AD768" s="378">
        <f>IF(NFI_Expiration=1,IF($A768&lt;VLOOKUP(M$5,NFI,5,0),1,0)*Table_NFI[[#This Row],[Blanket]],Table_NFI[[#This Row],[Blanket]])</f>
        <v>0</v>
      </c>
      <c r="AE768" s="378">
        <f>IF(NFI_Expiration=1,IF($A768&lt;VLOOKUP(N$5,NFI,5,0),1,0)*Table_NFI[[#This Row],[Kitchen Set]],Table_NFI[Kitchen Set])</f>
        <v>0</v>
      </c>
      <c r="AF768" s="378">
        <f>IF(NFI_Expiration=1,IF($A768&lt;VLOOKUP(O$5,NFI,5,0),1,0)*Table_NFI[[#This Row],[Clothes Kit]],Table_NFI[Clothes Kit])</f>
        <v>0</v>
      </c>
      <c r="AG768" s="378">
        <f>IF(NFI_Expiration=1,IF($A768&lt;VLOOKUP(P$5,NFI,5,0),1,0)*Table_NFI[[#This Row],[Plastic Bucket]],Table_NFI[Plastic Bucket])</f>
        <v>0</v>
      </c>
      <c r="AH768" s="378">
        <f>IF(NFI_Expiration=1,IF($A768&lt;VLOOKUP(Q$5,NFI,5,0),1,0)*Table_NFI[[#This Row],[Plastic Mat]],Table_NFI[Plastic Mat])*IF(Table_NFI[[#This Row],[Distribution Date]]&gt;"2014-04-01",1,2.5)</f>
        <v>0</v>
      </c>
      <c r="AI768" s="378">
        <f>IF(NFI_Expiration=1,IF($A768&lt;VLOOKUP(R$5,NFI,5,0),1,0)*Table_NFI[[#This Row],[Winter Clothes Adult]],Table_NFI[Winter Clothes Adult])</f>
        <v>0</v>
      </c>
      <c r="AJ768" s="378">
        <f>IF(NFI_Expiration=1,IF($A768&lt;VLOOKUP(S$5,NFI,5,0),1,0)*Table_NFI[[#This Row],[Winter Clothes Children]],Table_NFI[Winter Clothes Children])</f>
        <v>0</v>
      </c>
      <c r="AK768" s="378">
        <f>IF(NFI_Expiration=1,IF($A768&lt;VLOOKUP(T$5,NFI,5,0),1,0)*Table_NFI[[#This Row],[Winter Items Other]],Table_NFI[Winter Items Other])</f>
        <v>0</v>
      </c>
      <c r="AL768" s="378">
        <f>IF(NFI_Expiration=1,IF($A768&lt;VLOOKUP(M$5,NFI,5,0),1,0)*Table_NFI[[#This Row],[Winter Blanket]],Table_NFI[[#This Row],[Winter Blanket]])</f>
        <v>0</v>
      </c>
      <c r="AM768" s="378">
        <f>IF(Table_NFI[[#This Row],[Winter Clothes Adult]]+Table_NFI[[#This Row],[Winter Clothes Children]]+Table_NFI[[#This Row],[Winter Items Other]]+Table_NFI[[#This Row],[Winter Blanket]]&gt;0,1,0)</f>
        <v>0</v>
      </c>
      <c r="AN768" s="418">
        <f>IF(NFI_Expiration=1,IF($A768&lt;VLOOKUP(V$5,NFI,5,0),1,0)*Table_NFI[[#This Row],[Jerry Can]],Table_NFI[Jerry Can])</f>
        <v>0</v>
      </c>
      <c r="AO768" s="579" t="str">
        <f>IFERROR(VLOOKUP(Table_NFI[[#This Row],[Camp Name]],CL,2,0),"")</f>
        <v>MMR001CMP006</v>
      </c>
      <c r="AP768" s="574">
        <f ca="1">IF(Table_NFI[[#This Row],[Pcode]]="","",IF(OFFSET(CampList[Opening Date],MATCH(Table_NFI[[#This Row],[Pcode]],CampList[CP_Pcode],0)-1,0,1,1)&gt;=NFI_Monitor_Date,1,0))</f>
        <v>0</v>
      </c>
      <c r="AQ768" s="579" t="str">
        <f>IFERROR(VLOOKUP(Table_NFI[[#This Row],[Camp Name]],CL,3,0),"")</f>
        <v>Open</v>
      </c>
      <c r="AR768" s="378" t="str">
        <f ca="1">IF(Table_NFI[[#This Row],[Pcode]]="","",OFFSET(CampList[Priority],MATCH(Table_NFI[[#This Row],[Pcode]],CampList[CP_Pcode],0)-1,0,1,1))</f>
        <v>P4</v>
      </c>
      <c r="AS768" s="377">
        <f>IFERROR(Table_NFI[[#This Row],[Kitchen Set]]/VLOOKUP(Table_NFI[[#This Row],[Camp Name]],CL,4,0),"")</f>
        <v>0.1111111111111111</v>
      </c>
      <c r="AT768" s="572" t="s">
        <v>1095</v>
      </c>
      <c r="AU768" s="575"/>
    </row>
    <row r="769" spans="1:47" x14ac:dyDescent="0.25">
      <c r="A769" s="381">
        <f t="shared" si="11"/>
        <v>40.4</v>
      </c>
      <c r="B769" s="571">
        <v>41310</v>
      </c>
      <c r="C769" s="572" t="s">
        <v>903</v>
      </c>
      <c r="D769" s="572" t="s">
        <v>903</v>
      </c>
      <c r="E769" s="572" t="s">
        <v>380</v>
      </c>
      <c r="F769" s="374" t="s">
        <v>237</v>
      </c>
      <c r="G769" s="374" t="s">
        <v>277</v>
      </c>
      <c r="H769" s="375">
        <v>36</v>
      </c>
      <c r="I769" s="375"/>
      <c r="J769" s="375"/>
      <c r="K769" s="375"/>
      <c r="L769" s="376"/>
      <c r="M769" s="376"/>
      <c r="N769" s="376"/>
      <c r="O769" s="376"/>
      <c r="P769" s="378">
        <v>0</v>
      </c>
      <c r="Q769" s="378">
        <v>0</v>
      </c>
      <c r="R769" s="378"/>
      <c r="S769" s="378"/>
      <c r="T769" s="378"/>
      <c r="U769" s="378"/>
      <c r="V769" s="533"/>
      <c r="W769" s="378"/>
      <c r="X769" s="378"/>
      <c r="Y769" s="378">
        <f>IF(NFI_Expiration=1,IF($A769&lt;VLOOKUP(H$5,NFI,5,0),1,0)*Table_NFI[[#This Row],[Hygiene Kit]],Table_NFI[Hygiene Kit])</f>
        <v>0</v>
      </c>
      <c r="Z769" s="378">
        <f>IF(NFI_Expiration=1,IF($A769&lt;VLOOKUP(I$5,NFI,5,0),1,0)*Table_NFI[[#This Row],[NFI Core Kit]],Table_NFI[NFI Core Kit])</f>
        <v>0</v>
      </c>
      <c r="AA769" s="378">
        <f>IF(NFI_Expiration=1,IF($A769&lt;VLOOKUP(J$5,NFI,5,0),1,0)*Table_NFI[[#This Row],[Sanitary Kit]],Table_NFI[Sanitary Kit])</f>
        <v>0</v>
      </c>
      <c r="AB769" s="378">
        <f>IF(NFI_Expiration=1,IF($A769&lt;VLOOKUP(K$5,NFI,5,0),1,0)*Table_NFI[[#This Row],[Mosquito net]],Table_NFI[Mosquito net])</f>
        <v>0</v>
      </c>
      <c r="AC769" s="378">
        <f>IF(NFI_Expiration=1,IF($A769&lt;VLOOKUP(L$5,NFI,5,0),1,0)*Table_NFI[[#This Row],[Tarpaulin]],Table_NFI[[#This Row],[Tarpaulin]])</f>
        <v>0</v>
      </c>
      <c r="AD769" s="378">
        <f>IF(NFI_Expiration=1,IF($A769&lt;VLOOKUP(M$5,NFI,5,0),1,0)*Table_NFI[[#This Row],[Blanket]],Table_NFI[[#This Row],[Blanket]])</f>
        <v>0</v>
      </c>
      <c r="AE769" s="378">
        <f>IF(NFI_Expiration=1,IF($A769&lt;VLOOKUP(N$5,NFI,5,0),1,0)*Table_NFI[[#This Row],[Kitchen Set]],Table_NFI[Kitchen Set])</f>
        <v>0</v>
      </c>
      <c r="AF769" s="378">
        <f>IF(NFI_Expiration=1,IF($A769&lt;VLOOKUP(O$5,NFI,5,0),1,0)*Table_NFI[[#This Row],[Clothes Kit]],Table_NFI[Clothes Kit])</f>
        <v>0</v>
      </c>
      <c r="AG769" s="378">
        <f>IF(NFI_Expiration=1,IF($A769&lt;VLOOKUP(P$5,NFI,5,0),1,0)*Table_NFI[[#This Row],[Plastic Bucket]],Table_NFI[Plastic Bucket])</f>
        <v>0</v>
      </c>
      <c r="AH769" s="378">
        <f>IF(NFI_Expiration=1,IF($A769&lt;VLOOKUP(Q$5,NFI,5,0),1,0)*Table_NFI[[#This Row],[Plastic Mat]],Table_NFI[Plastic Mat])*IF(Table_NFI[[#This Row],[Distribution Date]]&gt;"2014-04-01",1,2.5)</f>
        <v>0</v>
      </c>
      <c r="AI769" s="378">
        <f>IF(NFI_Expiration=1,IF($A769&lt;VLOOKUP(R$5,NFI,5,0),1,0)*Table_NFI[[#This Row],[Winter Clothes Adult]],Table_NFI[Winter Clothes Adult])</f>
        <v>0</v>
      </c>
      <c r="AJ769" s="378">
        <f>IF(NFI_Expiration=1,IF($A769&lt;VLOOKUP(S$5,NFI,5,0),1,0)*Table_NFI[[#This Row],[Winter Clothes Children]],Table_NFI[Winter Clothes Children])</f>
        <v>0</v>
      </c>
      <c r="AK769" s="378">
        <f>IF(NFI_Expiration=1,IF($A769&lt;VLOOKUP(T$5,NFI,5,0),1,0)*Table_NFI[[#This Row],[Winter Items Other]],Table_NFI[Winter Items Other])</f>
        <v>0</v>
      </c>
      <c r="AL769" s="378">
        <f>IF(NFI_Expiration=1,IF($A769&lt;VLOOKUP(M$5,NFI,5,0),1,0)*Table_NFI[[#This Row],[Winter Blanket]],Table_NFI[[#This Row],[Winter Blanket]])</f>
        <v>0</v>
      </c>
      <c r="AM769" s="378">
        <f>IF(Table_NFI[[#This Row],[Winter Clothes Adult]]+Table_NFI[[#This Row],[Winter Clothes Children]]+Table_NFI[[#This Row],[Winter Items Other]]+Table_NFI[[#This Row],[Winter Blanket]]&gt;0,1,0)</f>
        <v>0</v>
      </c>
      <c r="AN769" s="418">
        <f>IF(NFI_Expiration=1,IF($A769&lt;VLOOKUP(V$5,NFI,5,0),1,0)*Table_NFI[[#This Row],[Jerry Can]],Table_NFI[Jerry Can])</f>
        <v>0</v>
      </c>
      <c r="AO769" s="579" t="str">
        <f>IFERROR(VLOOKUP(Table_NFI[[#This Row],[Camp Name]],CL,2,0),"")</f>
        <v>MMR001CMP006</v>
      </c>
      <c r="AP769" s="574">
        <f ca="1">IF(Table_NFI[[#This Row],[Pcode]]="","",IF(OFFSET(CampList[Opening Date],MATCH(Table_NFI[[#This Row],[Pcode]],CampList[CP_Pcode],0)-1,0,1,1)&gt;=NFI_Monitor_Date,1,0))</f>
        <v>0</v>
      </c>
      <c r="AQ769" s="579" t="str">
        <f>IFERROR(VLOOKUP(Table_NFI[[#This Row],[Camp Name]],CL,3,0),"")</f>
        <v>Open</v>
      </c>
      <c r="AR769" s="378" t="str">
        <f ca="1">IF(Table_NFI[[#This Row],[Pcode]]="","",OFFSET(CampList[Priority],MATCH(Table_NFI[[#This Row],[Pcode]],CampList[CP_Pcode],0)-1,0,1,1))</f>
        <v>P4</v>
      </c>
      <c r="AS769" s="377">
        <f>IFERROR(Table_NFI[[#This Row],[Kitchen Set]]/VLOOKUP(Table_NFI[[#This Row],[Camp Name]],CL,4,0),"")</f>
        <v>0</v>
      </c>
      <c r="AT769" s="572" t="s">
        <v>1095</v>
      </c>
      <c r="AU769" s="575"/>
    </row>
    <row r="770" spans="1:47" x14ac:dyDescent="0.25">
      <c r="A770" s="381">
        <f t="shared" si="11"/>
        <v>54.466666666666669</v>
      </c>
      <c r="B770" s="571">
        <v>40888</v>
      </c>
      <c r="C770" s="572" t="s">
        <v>454</v>
      </c>
      <c r="D770" s="573" t="s">
        <v>462</v>
      </c>
      <c r="E770" s="572" t="s">
        <v>380</v>
      </c>
      <c r="F770" s="374" t="s">
        <v>237</v>
      </c>
      <c r="G770" s="374" t="s">
        <v>277</v>
      </c>
      <c r="H770" s="375"/>
      <c r="I770" s="375"/>
      <c r="J770" s="375"/>
      <c r="K770" s="375">
        <v>2</v>
      </c>
      <c r="L770" s="376">
        <v>2</v>
      </c>
      <c r="M770" s="376">
        <v>2</v>
      </c>
      <c r="N770" s="376">
        <v>2</v>
      </c>
      <c r="O770" s="376">
        <v>2</v>
      </c>
      <c r="P770" s="378">
        <v>2</v>
      </c>
      <c r="Q770" s="378">
        <v>2</v>
      </c>
      <c r="R770" s="378"/>
      <c r="S770" s="378"/>
      <c r="T770" s="378"/>
      <c r="U770" s="378"/>
      <c r="V770" s="533"/>
      <c r="W770" s="378"/>
      <c r="X770" s="378"/>
      <c r="Y770" s="378">
        <f>IF(NFI_Expiration=1,IF($A770&lt;VLOOKUP(H$5,NFI,5,0),1,0)*Table_NFI[[#This Row],[Hygiene Kit]],Table_NFI[Hygiene Kit])</f>
        <v>0</v>
      </c>
      <c r="Z770" s="378">
        <f>IF(NFI_Expiration=1,IF($A770&lt;VLOOKUP(I$5,NFI,5,0),1,0)*Table_NFI[[#This Row],[NFI Core Kit]],Table_NFI[NFI Core Kit])</f>
        <v>0</v>
      </c>
      <c r="AA770" s="378">
        <f>IF(NFI_Expiration=1,IF($A770&lt;VLOOKUP(J$5,NFI,5,0),1,0)*Table_NFI[[#This Row],[Sanitary Kit]],Table_NFI[Sanitary Kit])</f>
        <v>0</v>
      </c>
      <c r="AB770" s="378">
        <f>IF(NFI_Expiration=1,IF($A770&lt;VLOOKUP(K$5,NFI,5,0),1,0)*Table_NFI[[#This Row],[Mosquito net]],Table_NFI[Mosquito net])</f>
        <v>0</v>
      </c>
      <c r="AC770" s="378">
        <f>IF(NFI_Expiration=1,IF($A770&lt;VLOOKUP(L$5,NFI,5,0),1,0)*Table_NFI[[#This Row],[Tarpaulin]],Table_NFI[[#This Row],[Tarpaulin]])</f>
        <v>0</v>
      </c>
      <c r="AD770" s="378">
        <f>IF(NFI_Expiration=1,IF($A770&lt;VLOOKUP(M$5,NFI,5,0),1,0)*Table_NFI[[#This Row],[Blanket]],Table_NFI[[#This Row],[Blanket]])</f>
        <v>0</v>
      </c>
      <c r="AE770" s="378">
        <f>IF(NFI_Expiration=1,IF($A770&lt;VLOOKUP(N$5,NFI,5,0),1,0)*Table_NFI[[#This Row],[Kitchen Set]],Table_NFI[Kitchen Set])</f>
        <v>0</v>
      </c>
      <c r="AF770" s="378">
        <f>IF(NFI_Expiration=1,IF($A770&lt;VLOOKUP(O$5,NFI,5,0),1,0)*Table_NFI[[#This Row],[Clothes Kit]],Table_NFI[Clothes Kit])</f>
        <v>0</v>
      </c>
      <c r="AG770" s="378">
        <f>IF(NFI_Expiration=1,IF($A770&lt;VLOOKUP(P$5,NFI,5,0),1,0)*Table_NFI[[#This Row],[Plastic Bucket]],Table_NFI[Plastic Bucket])</f>
        <v>0</v>
      </c>
      <c r="AH770" s="378">
        <f>IF(NFI_Expiration=1,IF($A770&lt;VLOOKUP(Q$5,NFI,5,0),1,0)*Table_NFI[[#This Row],[Plastic Mat]],Table_NFI[Plastic Mat])*IF(Table_NFI[[#This Row],[Distribution Date]]&gt;"2014-04-01",1,2.5)</f>
        <v>0</v>
      </c>
      <c r="AI770" s="378">
        <f>IF(NFI_Expiration=1,IF($A770&lt;VLOOKUP(R$5,NFI,5,0),1,0)*Table_NFI[[#This Row],[Winter Clothes Adult]],Table_NFI[Winter Clothes Adult])</f>
        <v>0</v>
      </c>
      <c r="AJ770" s="378">
        <f>IF(NFI_Expiration=1,IF($A770&lt;VLOOKUP(S$5,NFI,5,0),1,0)*Table_NFI[[#This Row],[Winter Clothes Children]],Table_NFI[Winter Clothes Children])</f>
        <v>0</v>
      </c>
      <c r="AK770" s="378">
        <f>IF(NFI_Expiration=1,IF($A770&lt;VLOOKUP(T$5,NFI,5,0),1,0)*Table_NFI[[#This Row],[Winter Items Other]],Table_NFI[Winter Items Other])</f>
        <v>0</v>
      </c>
      <c r="AL770" s="378">
        <f>IF(NFI_Expiration=1,IF($A770&lt;VLOOKUP(M$5,NFI,5,0),1,0)*Table_NFI[[#This Row],[Winter Blanket]],Table_NFI[[#This Row],[Winter Blanket]])</f>
        <v>0</v>
      </c>
      <c r="AM770" s="378">
        <f>IF(Table_NFI[[#This Row],[Winter Clothes Adult]]+Table_NFI[[#This Row],[Winter Clothes Children]]+Table_NFI[[#This Row],[Winter Items Other]]+Table_NFI[[#This Row],[Winter Blanket]]&gt;0,1,0)</f>
        <v>0</v>
      </c>
      <c r="AN770" s="418">
        <f>IF(NFI_Expiration=1,IF($A770&lt;VLOOKUP(V$5,NFI,5,0),1,0)*Table_NFI[[#This Row],[Jerry Can]],Table_NFI[Jerry Can])</f>
        <v>0</v>
      </c>
      <c r="AO770" s="579" t="str">
        <f>IFERROR(VLOOKUP(Table_NFI[[#This Row],[Camp Name]],CL,2,0),"")</f>
        <v>MMR001CMP006</v>
      </c>
      <c r="AP770" s="574">
        <f ca="1">IF(Table_NFI[[#This Row],[Pcode]]="","",IF(OFFSET(CampList[Opening Date],MATCH(Table_NFI[[#This Row],[Pcode]],CampList[CP_Pcode],0)-1,0,1,1)&gt;=NFI_Monitor_Date,1,0))</f>
        <v>0</v>
      </c>
      <c r="AQ770" s="579" t="str">
        <f>IFERROR(VLOOKUP(Table_NFI[[#This Row],[Camp Name]],CL,3,0),"")</f>
        <v>Open</v>
      </c>
      <c r="AR770" s="378" t="str">
        <f ca="1">IF(Table_NFI[[#This Row],[Pcode]]="","",OFFSET(CampList[Priority],MATCH(Table_NFI[[#This Row],[Pcode]],CampList[CP_Pcode],0)-1,0,1,1))</f>
        <v>P4</v>
      </c>
      <c r="AS770" s="377">
        <f>IFERROR(Table_NFI[[#This Row],[Kitchen Set]]/VLOOKUP(Table_NFI[[#This Row],[Camp Name]],CL,4,0),"")</f>
        <v>2.2222222222222223E-2</v>
      </c>
      <c r="AT770" s="572" t="s">
        <v>1095</v>
      </c>
      <c r="AU770" s="575"/>
    </row>
    <row r="771" spans="1:47" x14ac:dyDescent="0.25">
      <c r="A771" s="381">
        <f t="shared" si="11"/>
        <v>55.766666666666666</v>
      </c>
      <c r="B771" s="571">
        <v>40849</v>
      </c>
      <c r="C771" s="572" t="s">
        <v>454</v>
      </c>
      <c r="D771" s="572" t="s">
        <v>462</v>
      </c>
      <c r="E771" s="572" t="s">
        <v>380</v>
      </c>
      <c r="F771" s="374" t="s">
        <v>237</v>
      </c>
      <c r="G771" s="374" t="s">
        <v>277</v>
      </c>
      <c r="H771" s="375"/>
      <c r="I771" s="375"/>
      <c r="J771" s="375"/>
      <c r="K771" s="375">
        <v>219</v>
      </c>
      <c r="L771" s="376">
        <v>117</v>
      </c>
      <c r="M771" s="376">
        <v>219</v>
      </c>
      <c r="N771" s="376">
        <v>117</v>
      </c>
      <c r="O771" s="376">
        <v>117</v>
      </c>
      <c r="P771" s="378">
        <v>117</v>
      </c>
      <c r="Q771" s="378">
        <v>117</v>
      </c>
      <c r="R771" s="378"/>
      <c r="S771" s="378"/>
      <c r="T771" s="378"/>
      <c r="U771" s="378"/>
      <c r="V771" s="533"/>
      <c r="W771" s="378"/>
      <c r="X771" s="378"/>
      <c r="Y771" s="378">
        <f>IF(NFI_Expiration=1,IF($A771&lt;VLOOKUP(H$5,NFI,5,0),1,0)*Table_NFI[[#This Row],[Hygiene Kit]],Table_NFI[Hygiene Kit])</f>
        <v>0</v>
      </c>
      <c r="Z771" s="378">
        <f>IF(NFI_Expiration=1,IF($A771&lt;VLOOKUP(I$5,NFI,5,0),1,0)*Table_NFI[[#This Row],[NFI Core Kit]],Table_NFI[NFI Core Kit])</f>
        <v>0</v>
      </c>
      <c r="AA771" s="378">
        <f>IF(NFI_Expiration=1,IF($A771&lt;VLOOKUP(J$5,NFI,5,0),1,0)*Table_NFI[[#This Row],[Sanitary Kit]],Table_NFI[Sanitary Kit])</f>
        <v>0</v>
      </c>
      <c r="AB771" s="378">
        <f>IF(NFI_Expiration=1,IF($A771&lt;VLOOKUP(K$5,NFI,5,0),1,0)*Table_NFI[[#This Row],[Mosquito net]],Table_NFI[Mosquito net])</f>
        <v>0</v>
      </c>
      <c r="AC771" s="378">
        <f>IF(NFI_Expiration=1,IF($A771&lt;VLOOKUP(L$5,NFI,5,0),1,0)*Table_NFI[[#This Row],[Tarpaulin]],Table_NFI[[#This Row],[Tarpaulin]])</f>
        <v>0</v>
      </c>
      <c r="AD771" s="378">
        <f>IF(NFI_Expiration=1,IF($A771&lt;VLOOKUP(M$5,NFI,5,0),1,0)*Table_NFI[[#This Row],[Blanket]],Table_NFI[[#This Row],[Blanket]])</f>
        <v>0</v>
      </c>
      <c r="AE771" s="378">
        <f>IF(NFI_Expiration=1,IF($A771&lt;VLOOKUP(N$5,NFI,5,0),1,0)*Table_NFI[[#This Row],[Kitchen Set]],Table_NFI[Kitchen Set])</f>
        <v>0</v>
      </c>
      <c r="AF771" s="378">
        <f>IF(NFI_Expiration=1,IF($A771&lt;VLOOKUP(O$5,NFI,5,0),1,0)*Table_NFI[[#This Row],[Clothes Kit]],Table_NFI[Clothes Kit])</f>
        <v>0</v>
      </c>
      <c r="AG771" s="378">
        <f>IF(NFI_Expiration=1,IF($A771&lt;VLOOKUP(P$5,NFI,5,0),1,0)*Table_NFI[[#This Row],[Plastic Bucket]],Table_NFI[Plastic Bucket])</f>
        <v>0</v>
      </c>
      <c r="AH771" s="378">
        <f>IF(NFI_Expiration=1,IF($A771&lt;VLOOKUP(Q$5,NFI,5,0),1,0)*Table_NFI[[#This Row],[Plastic Mat]],Table_NFI[Plastic Mat])*IF(Table_NFI[[#This Row],[Distribution Date]]&gt;"2014-04-01",1,2.5)</f>
        <v>0</v>
      </c>
      <c r="AI771" s="378">
        <f>IF(NFI_Expiration=1,IF($A771&lt;VLOOKUP(R$5,NFI,5,0),1,0)*Table_NFI[[#This Row],[Winter Clothes Adult]],Table_NFI[Winter Clothes Adult])</f>
        <v>0</v>
      </c>
      <c r="AJ771" s="378">
        <f>IF(NFI_Expiration=1,IF($A771&lt;VLOOKUP(S$5,NFI,5,0),1,0)*Table_NFI[[#This Row],[Winter Clothes Children]],Table_NFI[Winter Clothes Children])</f>
        <v>0</v>
      </c>
      <c r="AK771" s="378">
        <f>IF(NFI_Expiration=1,IF($A771&lt;VLOOKUP(T$5,NFI,5,0),1,0)*Table_NFI[[#This Row],[Winter Items Other]],Table_NFI[Winter Items Other])</f>
        <v>0</v>
      </c>
      <c r="AL771" s="378">
        <f>IF(NFI_Expiration=1,IF($A771&lt;VLOOKUP(M$5,NFI,5,0),1,0)*Table_NFI[[#This Row],[Winter Blanket]],Table_NFI[[#This Row],[Winter Blanket]])</f>
        <v>0</v>
      </c>
      <c r="AM771" s="378">
        <f>IF(Table_NFI[[#This Row],[Winter Clothes Adult]]+Table_NFI[[#This Row],[Winter Clothes Children]]+Table_NFI[[#This Row],[Winter Items Other]]+Table_NFI[[#This Row],[Winter Blanket]]&gt;0,1,0)</f>
        <v>0</v>
      </c>
      <c r="AN771" s="418">
        <f>IF(NFI_Expiration=1,IF($A771&lt;VLOOKUP(V$5,NFI,5,0),1,0)*Table_NFI[[#This Row],[Jerry Can]],Table_NFI[Jerry Can])</f>
        <v>0</v>
      </c>
      <c r="AO771" s="579" t="str">
        <f>IFERROR(VLOOKUP(Table_NFI[[#This Row],[Camp Name]],CL,2,0),"")</f>
        <v>MMR001CMP006</v>
      </c>
      <c r="AP771" s="574">
        <f ca="1">IF(Table_NFI[[#This Row],[Pcode]]="","",IF(OFFSET(CampList[Opening Date],MATCH(Table_NFI[[#This Row],[Pcode]],CampList[CP_Pcode],0)-1,0,1,1)&gt;=NFI_Monitor_Date,1,0))</f>
        <v>0</v>
      </c>
      <c r="AQ771" s="579" t="str">
        <f>IFERROR(VLOOKUP(Table_NFI[[#This Row],[Camp Name]],CL,3,0),"")</f>
        <v>Open</v>
      </c>
      <c r="AR771" s="378" t="str">
        <f ca="1">IF(Table_NFI[[#This Row],[Pcode]]="","",OFFSET(CampList[Priority],MATCH(Table_NFI[[#This Row],[Pcode]],CampList[CP_Pcode],0)-1,0,1,1))</f>
        <v>P4</v>
      </c>
      <c r="AS771" s="377">
        <f>IFERROR(Table_NFI[[#This Row],[Kitchen Set]]/VLOOKUP(Table_NFI[[#This Row],[Camp Name]],CL,4,0),"")</f>
        <v>1.3</v>
      </c>
      <c r="AT771" s="572" t="s">
        <v>1095</v>
      </c>
      <c r="AU771" s="575"/>
    </row>
    <row r="772" spans="1:47" x14ac:dyDescent="0.25">
      <c r="A772" s="381">
        <f t="shared" si="11"/>
        <v>20.3</v>
      </c>
      <c r="B772" s="571">
        <v>41913</v>
      </c>
      <c r="C772" s="572" t="s">
        <v>454</v>
      </c>
      <c r="D772" s="577" t="s">
        <v>507</v>
      </c>
      <c r="E772" s="577" t="s">
        <v>380</v>
      </c>
      <c r="F772" s="577" t="s">
        <v>237</v>
      </c>
      <c r="G772" s="577" t="s">
        <v>279</v>
      </c>
      <c r="H772" s="376"/>
      <c r="I772" s="376"/>
      <c r="J772" s="376"/>
      <c r="K772" s="376">
        <v>30</v>
      </c>
      <c r="L772" s="376"/>
      <c r="M772" s="376"/>
      <c r="N772" s="376"/>
      <c r="O772" s="376"/>
      <c r="P772" s="378"/>
      <c r="Q772" s="378"/>
      <c r="R772" s="378"/>
      <c r="S772" s="378"/>
      <c r="T772" s="378"/>
      <c r="U772" s="378"/>
      <c r="V772" s="533"/>
      <c r="W772" s="378"/>
      <c r="X772" s="378"/>
      <c r="Y772" s="378">
        <f>IF(NFI_Expiration=1,IF($A772&lt;VLOOKUP(H$5,NFI,5,0),1,0)*Table_NFI[[#This Row],[Hygiene Kit]],Table_NFI[Hygiene Kit])</f>
        <v>0</v>
      </c>
      <c r="Z772" s="378">
        <f>IF(NFI_Expiration=1,IF($A772&lt;VLOOKUP(I$5,NFI,5,0),1,0)*Table_NFI[[#This Row],[NFI Core Kit]],Table_NFI[NFI Core Kit])</f>
        <v>0</v>
      </c>
      <c r="AA772" s="378">
        <f>IF(NFI_Expiration=1,IF($A772&lt;VLOOKUP(J$5,NFI,5,0),1,0)*Table_NFI[[#This Row],[Sanitary Kit]],Table_NFI[Sanitary Kit])</f>
        <v>0</v>
      </c>
      <c r="AB772" s="378">
        <f>IF(NFI_Expiration=1,IF($A772&lt;VLOOKUP(K$5,NFI,5,0),1,0)*Table_NFI[[#This Row],[Mosquito net]],Table_NFI[Mosquito net])</f>
        <v>0</v>
      </c>
      <c r="AC772" s="378">
        <f>IF(NFI_Expiration=1,IF($A772&lt;VLOOKUP(L$5,NFI,5,0),1,0)*Table_NFI[[#This Row],[Tarpaulin]],Table_NFI[[#This Row],[Tarpaulin]])</f>
        <v>0</v>
      </c>
      <c r="AD772" s="378">
        <f>IF(NFI_Expiration=1,IF($A772&lt;VLOOKUP(M$5,NFI,5,0),1,0)*Table_NFI[[#This Row],[Blanket]],Table_NFI[[#This Row],[Blanket]])</f>
        <v>0</v>
      </c>
      <c r="AE772" s="378">
        <f>IF(NFI_Expiration=1,IF($A772&lt;VLOOKUP(N$5,NFI,5,0),1,0)*Table_NFI[[#This Row],[Kitchen Set]],Table_NFI[Kitchen Set])</f>
        <v>0</v>
      </c>
      <c r="AF772" s="378">
        <f>IF(NFI_Expiration=1,IF($A772&lt;VLOOKUP(O$5,NFI,5,0),1,0)*Table_NFI[[#This Row],[Clothes Kit]],Table_NFI[Clothes Kit])</f>
        <v>0</v>
      </c>
      <c r="AG772" s="378">
        <f>IF(NFI_Expiration=1,IF($A772&lt;VLOOKUP(P$5,NFI,5,0),1,0)*Table_NFI[[#This Row],[Plastic Bucket]],Table_NFI[Plastic Bucket])</f>
        <v>0</v>
      </c>
      <c r="AH772" s="378">
        <f>IF(NFI_Expiration=1,IF($A772&lt;VLOOKUP(Q$5,NFI,5,0),1,0)*Table_NFI[[#This Row],[Plastic Mat]],Table_NFI[Plastic Mat])*IF(Table_NFI[[#This Row],[Distribution Date]]&gt;"2014-04-01",1,2.5)</f>
        <v>0</v>
      </c>
      <c r="AI772" s="378">
        <f>IF(NFI_Expiration=1,IF($A772&lt;VLOOKUP(R$5,NFI,5,0),1,0)*Table_NFI[[#This Row],[Winter Clothes Adult]],Table_NFI[Winter Clothes Adult])</f>
        <v>0</v>
      </c>
      <c r="AJ772" s="378">
        <f>IF(NFI_Expiration=1,IF($A772&lt;VLOOKUP(S$5,NFI,5,0),1,0)*Table_NFI[[#This Row],[Winter Clothes Children]],Table_NFI[Winter Clothes Children])</f>
        <v>0</v>
      </c>
      <c r="AK772" s="378">
        <f>IF(NFI_Expiration=1,IF($A772&lt;VLOOKUP(T$5,NFI,5,0),1,0)*Table_NFI[[#This Row],[Winter Items Other]],Table_NFI[Winter Items Other])</f>
        <v>0</v>
      </c>
      <c r="AL772" s="378">
        <f>IF(NFI_Expiration=1,IF($A772&lt;VLOOKUP(M$5,NFI,5,0),1,0)*Table_NFI[[#This Row],[Winter Blanket]],Table_NFI[[#This Row],[Winter Blanket]])</f>
        <v>0</v>
      </c>
      <c r="AM772" s="378">
        <f>IF(Table_NFI[[#This Row],[Winter Clothes Adult]]+Table_NFI[[#This Row],[Winter Clothes Children]]+Table_NFI[[#This Row],[Winter Items Other]]+Table_NFI[[#This Row],[Winter Blanket]]&gt;0,1,0)</f>
        <v>0</v>
      </c>
      <c r="AN772" s="418">
        <f>IF(NFI_Expiration=1,IF($A772&lt;VLOOKUP(V$5,NFI,5,0),1,0)*Table_NFI[[#This Row],[Jerry Can]],Table_NFI[Jerry Can])</f>
        <v>0</v>
      </c>
      <c r="AO772" s="579" t="str">
        <f>IFERROR(VLOOKUP(Table_NFI[[#This Row],[Camp Name]],CL,2,0),"")</f>
        <v>MMR001CMP007</v>
      </c>
      <c r="AP772" s="574">
        <f ca="1">IF(Table_NFI[[#This Row],[Pcode]]="","",IF(OFFSET(CampList[Opening Date],MATCH(Table_NFI[[#This Row],[Pcode]],CampList[CP_Pcode],0)-1,0,1,1)&gt;=NFI_Monitor_Date,1,0))</f>
        <v>0</v>
      </c>
      <c r="AQ772" s="579" t="str">
        <f>IFERROR(VLOOKUP(Table_NFI[[#This Row],[Camp Name]],CL,3,0),"")</f>
        <v>Open</v>
      </c>
      <c r="AR772" s="378" t="str">
        <f ca="1">IF(Table_NFI[[#This Row],[Pcode]]="","",OFFSET(CampList[Priority],MATCH(Table_NFI[[#This Row],[Pcode]],CampList[CP_Pcode],0)-1,0,1,1))</f>
        <v>P4</v>
      </c>
      <c r="AS772" s="377">
        <f>IFERROR(Table_NFI[[#This Row],[Kitchen Set]]/VLOOKUP(Table_NFI[[#This Row],[Camp Name]],CL,4,0),"")</f>
        <v>0</v>
      </c>
      <c r="AT772" s="577"/>
      <c r="AU772" s="580"/>
    </row>
    <row r="773" spans="1:47" x14ac:dyDescent="0.25">
      <c r="A773" s="381">
        <f t="shared" si="11"/>
        <v>24.733333333333334</v>
      </c>
      <c r="B773" s="571">
        <v>41780</v>
      </c>
      <c r="C773" s="572" t="s">
        <v>1107</v>
      </c>
      <c r="D773" s="572" t="s">
        <v>903</v>
      </c>
      <c r="E773" s="572" t="s">
        <v>380</v>
      </c>
      <c r="F773" s="572" t="s">
        <v>237</v>
      </c>
      <c r="G773" s="572" t="s">
        <v>279</v>
      </c>
      <c r="H773" s="375"/>
      <c r="I773" s="375"/>
      <c r="J773" s="375"/>
      <c r="K773" s="375"/>
      <c r="L773" s="376"/>
      <c r="M773" s="376"/>
      <c r="N773" s="376"/>
      <c r="O773" s="376"/>
      <c r="P773" s="378"/>
      <c r="Q773" s="378"/>
      <c r="R773" s="378"/>
      <c r="S773" s="378"/>
      <c r="T773" s="378"/>
      <c r="U773" s="378">
        <v>30</v>
      </c>
      <c r="V773" s="533"/>
      <c r="W773" s="378"/>
      <c r="X773" s="378"/>
      <c r="Y773" s="378">
        <f>IF(NFI_Expiration=1,IF($A773&lt;VLOOKUP(H$5,NFI,5,0),1,0)*Table_NFI[[#This Row],[Hygiene Kit]],Table_NFI[Hygiene Kit])</f>
        <v>0</v>
      </c>
      <c r="Z773" s="378">
        <f>IF(NFI_Expiration=1,IF($A773&lt;VLOOKUP(I$5,NFI,5,0),1,0)*Table_NFI[[#This Row],[NFI Core Kit]],Table_NFI[NFI Core Kit])</f>
        <v>0</v>
      </c>
      <c r="AA773" s="378">
        <f>IF(NFI_Expiration=1,IF($A773&lt;VLOOKUP(J$5,NFI,5,0),1,0)*Table_NFI[[#This Row],[Sanitary Kit]],Table_NFI[Sanitary Kit])</f>
        <v>0</v>
      </c>
      <c r="AB773" s="378">
        <f>IF(NFI_Expiration=1,IF($A773&lt;VLOOKUP(K$5,NFI,5,0),1,0)*Table_NFI[[#This Row],[Mosquito net]],Table_NFI[Mosquito net])</f>
        <v>0</v>
      </c>
      <c r="AC773" s="378">
        <f>IF(NFI_Expiration=1,IF($A773&lt;VLOOKUP(L$5,NFI,5,0),1,0)*Table_NFI[[#This Row],[Tarpaulin]],Table_NFI[[#This Row],[Tarpaulin]])</f>
        <v>0</v>
      </c>
      <c r="AD773" s="378">
        <f>IF(NFI_Expiration=1,IF($A773&lt;VLOOKUP(M$5,NFI,5,0),1,0)*Table_NFI[[#This Row],[Blanket]],Table_NFI[[#This Row],[Blanket]])</f>
        <v>0</v>
      </c>
      <c r="AE773" s="378">
        <f>IF(NFI_Expiration=1,IF($A773&lt;VLOOKUP(N$5,NFI,5,0),1,0)*Table_NFI[[#This Row],[Kitchen Set]],Table_NFI[Kitchen Set])</f>
        <v>0</v>
      </c>
      <c r="AF773" s="378">
        <f>IF(NFI_Expiration=1,IF($A773&lt;VLOOKUP(O$5,NFI,5,0),1,0)*Table_NFI[[#This Row],[Clothes Kit]],Table_NFI[Clothes Kit])</f>
        <v>0</v>
      </c>
      <c r="AG773" s="378">
        <f>IF(NFI_Expiration=1,IF($A773&lt;VLOOKUP(P$5,NFI,5,0),1,0)*Table_NFI[[#This Row],[Plastic Bucket]],Table_NFI[Plastic Bucket])</f>
        <v>0</v>
      </c>
      <c r="AH773" s="378">
        <f>IF(NFI_Expiration=1,IF($A773&lt;VLOOKUP(Q$5,NFI,5,0),1,0)*Table_NFI[[#This Row],[Plastic Mat]],Table_NFI[Plastic Mat])*IF(Table_NFI[[#This Row],[Distribution Date]]&gt;"2014-04-01",1,2.5)</f>
        <v>0</v>
      </c>
      <c r="AI773" s="378">
        <f>IF(NFI_Expiration=1,IF($A773&lt;VLOOKUP(R$5,NFI,5,0),1,0)*Table_NFI[[#This Row],[Winter Clothes Adult]],Table_NFI[Winter Clothes Adult])</f>
        <v>0</v>
      </c>
      <c r="AJ773" s="378">
        <f>IF(NFI_Expiration=1,IF($A773&lt;VLOOKUP(S$5,NFI,5,0),1,0)*Table_NFI[[#This Row],[Winter Clothes Children]],Table_NFI[Winter Clothes Children])</f>
        <v>0</v>
      </c>
      <c r="AK773" s="378">
        <f>IF(NFI_Expiration=1,IF($A773&lt;VLOOKUP(T$5,NFI,5,0),1,0)*Table_NFI[[#This Row],[Winter Items Other]],Table_NFI[Winter Items Other])</f>
        <v>0</v>
      </c>
      <c r="AL773" s="378">
        <f>IF(NFI_Expiration=1,IF($A773&lt;VLOOKUP(M$5,NFI,5,0),1,0)*Table_NFI[[#This Row],[Winter Blanket]],Table_NFI[[#This Row],[Winter Blanket]])</f>
        <v>0</v>
      </c>
      <c r="AM773" s="378">
        <f>IF(Table_NFI[[#This Row],[Winter Clothes Adult]]+Table_NFI[[#This Row],[Winter Clothes Children]]+Table_NFI[[#This Row],[Winter Items Other]]+Table_NFI[[#This Row],[Winter Blanket]]&gt;0,1,0)</f>
        <v>1</v>
      </c>
      <c r="AN773" s="418">
        <f>IF(NFI_Expiration=1,IF($A773&lt;VLOOKUP(V$5,NFI,5,0),1,0)*Table_NFI[[#This Row],[Jerry Can]],Table_NFI[Jerry Can])</f>
        <v>0</v>
      </c>
      <c r="AO773" s="579" t="str">
        <f>IFERROR(VLOOKUP(Table_NFI[[#This Row],[Camp Name]],CL,2,0),"")</f>
        <v>MMR001CMP007</v>
      </c>
      <c r="AP773" s="574">
        <f ca="1">IF(Table_NFI[[#This Row],[Pcode]]="","",IF(OFFSET(CampList[Opening Date],MATCH(Table_NFI[[#This Row],[Pcode]],CampList[CP_Pcode],0)-1,0,1,1)&gt;=NFI_Monitor_Date,1,0))</f>
        <v>0</v>
      </c>
      <c r="AQ773" s="579" t="str">
        <f>IFERROR(VLOOKUP(Table_NFI[[#This Row],[Camp Name]],CL,3,0),"")</f>
        <v>Open</v>
      </c>
      <c r="AR773" s="378" t="str">
        <f ca="1">IF(Table_NFI[[#This Row],[Pcode]]="","",OFFSET(CampList[Priority],MATCH(Table_NFI[[#This Row],[Pcode]],CampList[CP_Pcode],0)-1,0,1,1))</f>
        <v>P4</v>
      </c>
      <c r="AS773" s="377">
        <f>IFERROR(Table_NFI[[#This Row],[Kitchen Set]]/VLOOKUP(Table_NFI[[#This Row],[Camp Name]],CL,4,0),"")</f>
        <v>0</v>
      </c>
      <c r="AT773" s="572"/>
      <c r="AU773" s="575"/>
    </row>
    <row r="774" spans="1:47" x14ac:dyDescent="0.25">
      <c r="A774" s="381">
        <f t="shared" ref="A774:A837" si="12">IF(ISBLANK(B774),"",(Report_Date-B774)/30)</f>
        <v>41.6</v>
      </c>
      <c r="B774" s="571">
        <v>41274</v>
      </c>
      <c r="C774" s="572" t="s">
        <v>455</v>
      </c>
      <c r="D774" s="573" t="s">
        <v>455</v>
      </c>
      <c r="E774" s="572" t="s">
        <v>380</v>
      </c>
      <c r="F774" s="374" t="s">
        <v>237</v>
      </c>
      <c r="G774" s="374" t="s">
        <v>279</v>
      </c>
      <c r="H774" s="375">
        <v>17</v>
      </c>
      <c r="I774" s="375"/>
      <c r="J774" s="375"/>
      <c r="K774" s="375"/>
      <c r="L774" s="376"/>
      <c r="M774" s="376"/>
      <c r="N774" s="376"/>
      <c r="O774" s="376"/>
      <c r="P774" s="378">
        <v>0</v>
      </c>
      <c r="Q774" s="378">
        <v>0</v>
      </c>
      <c r="R774" s="378"/>
      <c r="S774" s="378"/>
      <c r="T774" s="378"/>
      <c r="U774" s="378"/>
      <c r="V774" s="533"/>
      <c r="W774" s="378"/>
      <c r="X774" s="378"/>
      <c r="Y774" s="378">
        <f>IF(NFI_Expiration=1,IF($A774&lt;VLOOKUP(H$5,NFI,5,0),1,0)*Table_NFI[[#This Row],[Hygiene Kit]],Table_NFI[Hygiene Kit])</f>
        <v>0</v>
      </c>
      <c r="Z774" s="378">
        <f>IF(NFI_Expiration=1,IF($A774&lt;VLOOKUP(I$5,NFI,5,0),1,0)*Table_NFI[[#This Row],[NFI Core Kit]],Table_NFI[NFI Core Kit])</f>
        <v>0</v>
      </c>
      <c r="AA774" s="378">
        <f>IF(NFI_Expiration=1,IF($A774&lt;VLOOKUP(J$5,NFI,5,0),1,0)*Table_NFI[[#This Row],[Sanitary Kit]],Table_NFI[Sanitary Kit])</f>
        <v>0</v>
      </c>
      <c r="AB774" s="378">
        <f>IF(NFI_Expiration=1,IF($A774&lt;VLOOKUP(K$5,NFI,5,0),1,0)*Table_NFI[[#This Row],[Mosquito net]],Table_NFI[Mosquito net])</f>
        <v>0</v>
      </c>
      <c r="AC774" s="378">
        <f>IF(NFI_Expiration=1,IF($A774&lt;VLOOKUP(L$5,NFI,5,0),1,0)*Table_NFI[[#This Row],[Tarpaulin]],Table_NFI[[#This Row],[Tarpaulin]])</f>
        <v>0</v>
      </c>
      <c r="AD774" s="378">
        <f>IF(NFI_Expiration=1,IF($A774&lt;VLOOKUP(M$5,NFI,5,0),1,0)*Table_NFI[[#This Row],[Blanket]],Table_NFI[[#This Row],[Blanket]])</f>
        <v>0</v>
      </c>
      <c r="AE774" s="378">
        <f>IF(NFI_Expiration=1,IF($A774&lt;VLOOKUP(N$5,NFI,5,0),1,0)*Table_NFI[[#This Row],[Kitchen Set]],Table_NFI[Kitchen Set])</f>
        <v>0</v>
      </c>
      <c r="AF774" s="378">
        <f>IF(NFI_Expiration=1,IF($A774&lt;VLOOKUP(O$5,NFI,5,0),1,0)*Table_NFI[[#This Row],[Clothes Kit]],Table_NFI[Clothes Kit])</f>
        <v>0</v>
      </c>
      <c r="AG774" s="378">
        <f>IF(NFI_Expiration=1,IF($A774&lt;VLOOKUP(P$5,NFI,5,0),1,0)*Table_NFI[[#This Row],[Plastic Bucket]],Table_NFI[Plastic Bucket])</f>
        <v>0</v>
      </c>
      <c r="AH774" s="378">
        <f>IF(NFI_Expiration=1,IF($A774&lt;VLOOKUP(Q$5,NFI,5,0),1,0)*Table_NFI[[#This Row],[Plastic Mat]],Table_NFI[Plastic Mat])*IF(Table_NFI[[#This Row],[Distribution Date]]&gt;"2014-04-01",1,2.5)</f>
        <v>0</v>
      </c>
      <c r="AI774" s="378">
        <f>IF(NFI_Expiration=1,IF($A774&lt;VLOOKUP(R$5,NFI,5,0),1,0)*Table_NFI[[#This Row],[Winter Clothes Adult]],Table_NFI[Winter Clothes Adult])</f>
        <v>0</v>
      </c>
      <c r="AJ774" s="378">
        <f>IF(NFI_Expiration=1,IF($A774&lt;VLOOKUP(S$5,NFI,5,0),1,0)*Table_NFI[[#This Row],[Winter Clothes Children]],Table_NFI[Winter Clothes Children])</f>
        <v>0</v>
      </c>
      <c r="AK774" s="378">
        <f>IF(NFI_Expiration=1,IF($A774&lt;VLOOKUP(T$5,NFI,5,0),1,0)*Table_NFI[[#This Row],[Winter Items Other]],Table_NFI[Winter Items Other])</f>
        <v>0</v>
      </c>
      <c r="AL774" s="378">
        <f>IF(NFI_Expiration=1,IF($A774&lt;VLOOKUP(M$5,NFI,5,0),1,0)*Table_NFI[[#This Row],[Winter Blanket]],Table_NFI[[#This Row],[Winter Blanket]])</f>
        <v>0</v>
      </c>
      <c r="AM774" s="378">
        <f>IF(Table_NFI[[#This Row],[Winter Clothes Adult]]+Table_NFI[[#This Row],[Winter Clothes Children]]+Table_NFI[[#This Row],[Winter Items Other]]+Table_NFI[[#This Row],[Winter Blanket]]&gt;0,1,0)</f>
        <v>0</v>
      </c>
      <c r="AN774" s="418">
        <f>IF(NFI_Expiration=1,IF($A774&lt;VLOOKUP(V$5,NFI,5,0),1,0)*Table_NFI[[#This Row],[Jerry Can]],Table_NFI[Jerry Can])</f>
        <v>0</v>
      </c>
      <c r="AO774" s="579" t="str">
        <f>IFERROR(VLOOKUP(Table_NFI[[#This Row],[Camp Name]],CL,2,0),"")</f>
        <v>MMR001CMP007</v>
      </c>
      <c r="AP774" s="574">
        <f ca="1">IF(Table_NFI[[#This Row],[Pcode]]="","",IF(OFFSET(CampList[Opening Date],MATCH(Table_NFI[[#This Row],[Pcode]],CampList[CP_Pcode],0)-1,0,1,1)&gt;=NFI_Monitor_Date,1,0))</f>
        <v>0</v>
      </c>
      <c r="AQ774" s="579" t="str">
        <f>IFERROR(VLOOKUP(Table_NFI[[#This Row],[Camp Name]],CL,3,0),"")</f>
        <v>Open</v>
      </c>
      <c r="AR774" s="378" t="str">
        <f ca="1">IF(Table_NFI[[#This Row],[Pcode]]="","",OFFSET(CampList[Priority],MATCH(Table_NFI[[#This Row],[Pcode]],CampList[CP_Pcode],0)-1,0,1,1))</f>
        <v>P4</v>
      </c>
      <c r="AS774" s="377">
        <f>IFERROR(Table_NFI[[#This Row],[Kitchen Set]]/VLOOKUP(Table_NFI[[#This Row],[Camp Name]],CL,4,0),"")</f>
        <v>0</v>
      </c>
      <c r="AT774" s="572" t="s">
        <v>1095</v>
      </c>
      <c r="AU774" s="575"/>
    </row>
    <row r="775" spans="1:47" x14ac:dyDescent="0.25">
      <c r="A775" s="381">
        <f t="shared" si="12"/>
        <v>46.966666666666669</v>
      </c>
      <c r="B775" s="571">
        <v>41113</v>
      </c>
      <c r="C775" s="572" t="s">
        <v>454</v>
      </c>
      <c r="D775" s="573" t="s">
        <v>454</v>
      </c>
      <c r="E775" s="572" t="s">
        <v>380</v>
      </c>
      <c r="F775" s="374" t="s">
        <v>237</v>
      </c>
      <c r="G775" s="374" t="s">
        <v>279</v>
      </c>
      <c r="H775" s="375"/>
      <c r="I775" s="380"/>
      <c r="J775" s="373"/>
      <c r="K775" s="373">
        <v>30</v>
      </c>
      <c r="L775" s="373">
        <v>12</v>
      </c>
      <c r="M775" s="373">
        <v>30</v>
      </c>
      <c r="N775" s="373">
        <v>12</v>
      </c>
      <c r="O775" s="373">
        <v>14</v>
      </c>
      <c r="P775" s="378">
        <v>14</v>
      </c>
      <c r="Q775" s="378">
        <v>14</v>
      </c>
      <c r="R775" s="378"/>
      <c r="S775" s="378"/>
      <c r="T775" s="378"/>
      <c r="U775" s="378"/>
      <c r="V775" s="533"/>
      <c r="W775" s="378"/>
      <c r="X775" s="378"/>
      <c r="Y775" s="378">
        <f>IF(NFI_Expiration=1,IF($A775&lt;VLOOKUP(H$5,NFI,5,0),1,0)*Table_NFI[[#This Row],[Hygiene Kit]],Table_NFI[Hygiene Kit])</f>
        <v>0</v>
      </c>
      <c r="Z775" s="378">
        <f>IF(NFI_Expiration=1,IF($A775&lt;VLOOKUP(I$5,NFI,5,0),1,0)*Table_NFI[[#This Row],[NFI Core Kit]],Table_NFI[NFI Core Kit])</f>
        <v>0</v>
      </c>
      <c r="AA775" s="378">
        <f>IF(NFI_Expiration=1,IF($A775&lt;VLOOKUP(J$5,NFI,5,0),1,0)*Table_NFI[[#This Row],[Sanitary Kit]],Table_NFI[Sanitary Kit])</f>
        <v>0</v>
      </c>
      <c r="AB775" s="378">
        <f>IF(NFI_Expiration=1,IF($A775&lt;VLOOKUP(K$5,NFI,5,0),1,0)*Table_NFI[[#This Row],[Mosquito net]],Table_NFI[Mosquito net])</f>
        <v>0</v>
      </c>
      <c r="AC775" s="378">
        <f>IF(NFI_Expiration=1,IF($A775&lt;VLOOKUP(L$5,NFI,5,0),1,0)*Table_NFI[[#This Row],[Tarpaulin]],Table_NFI[[#This Row],[Tarpaulin]])</f>
        <v>0</v>
      </c>
      <c r="AD775" s="378">
        <f>IF(NFI_Expiration=1,IF($A775&lt;VLOOKUP(M$5,NFI,5,0),1,0)*Table_NFI[[#This Row],[Blanket]],Table_NFI[[#This Row],[Blanket]])</f>
        <v>0</v>
      </c>
      <c r="AE775" s="378">
        <f>IF(NFI_Expiration=1,IF($A775&lt;VLOOKUP(N$5,NFI,5,0),1,0)*Table_NFI[[#This Row],[Kitchen Set]],Table_NFI[Kitchen Set])</f>
        <v>0</v>
      </c>
      <c r="AF775" s="378">
        <f>IF(NFI_Expiration=1,IF($A775&lt;VLOOKUP(O$5,NFI,5,0),1,0)*Table_NFI[[#This Row],[Clothes Kit]],Table_NFI[Clothes Kit])</f>
        <v>0</v>
      </c>
      <c r="AG775" s="378">
        <f>IF(NFI_Expiration=1,IF($A775&lt;VLOOKUP(P$5,NFI,5,0),1,0)*Table_NFI[[#This Row],[Plastic Bucket]],Table_NFI[Plastic Bucket])</f>
        <v>0</v>
      </c>
      <c r="AH775" s="378">
        <f>IF(NFI_Expiration=1,IF($A775&lt;VLOOKUP(Q$5,NFI,5,0),1,0)*Table_NFI[[#This Row],[Plastic Mat]],Table_NFI[Plastic Mat])*IF(Table_NFI[[#This Row],[Distribution Date]]&gt;"2014-04-01",1,2.5)</f>
        <v>0</v>
      </c>
      <c r="AI775" s="378">
        <f>IF(NFI_Expiration=1,IF($A775&lt;VLOOKUP(R$5,NFI,5,0),1,0)*Table_NFI[[#This Row],[Winter Clothes Adult]],Table_NFI[Winter Clothes Adult])</f>
        <v>0</v>
      </c>
      <c r="AJ775" s="378">
        <f>IF(NFI_Expiration=1,IF($A775&lt;VLOOKUP(S$5,NFI,5,0),1,0)*Table_NFI[[#This Row],[Winter Clothes Children]],Table_NFI[Winter Clothes Children])</f>
        <v>0</v>
      </c>
      <c r="AK775" s="378">
        <f>IF(NFI_Expiration=1,IF($A775&lt;VLOOKUP(T$5,NFI,5,0),1,0)*Table_NFI[[#This Row],[Winter Items Other]],Table_NFI[Winter Items Other])</f>
        <v>0</v>
      </c>
      <c r="AL775" s="378">
        <f>IF(NFI_Expiration=1,IF($A775&lt;VLOOKUP(M$5,NFI,5,0),1,0)*Table_NFI[[#This Row],[Winter Blanket]],Table_NFI[[#This Row],[Winter Blanket]])</f>
        <v>0</v>
      </c>
      <c r="AM775" s="378">
        <f>IF(Table_NFI[[#This Row],[Winter Clothes Adult]]+Table_NFI[[#This Row],[Winter Clothes Children]]+Table_NFI[[#This Row],[Winter Items Other]]+Table_NFI[[#This Row],[Winter Blanket]]&gt;0,1,0)</f>
        <v>0</v>
      </c>
      <c r="AN775" s="418">
        <f>IF(NFI_Expiration=1,IF($A775&lt;VLOOKUP(V$5,NFI,5,0),1,0)*Table_NFI[[#This Row],[Jerry Can]],Table_NFI[Jerry Can])</f>
        <v>0</v>
      </c>
      <c r="AO775" s="579" t="str">
        <f>IFERROR(VLOOKUP(Table_NFI[[#This Row],[Camp Name]],CL,2,0),"")</f>
        <v>MMR001CMP007</v>
      </c>
      <c r="AP775" s="574">
        <f ca="1">IF(Table_NFI[[#This Row],[Pcode]]="","",IF(OFFSET(CampList[Opening Date],MATCH(Table_NFI[[#This Row],[Pcode]],CampList[CP_Pcode],0)-1,0,1,1)&gt;=NFI_Monitor_Date,1,0))</f>
        <v>0</v>
      </c>
      <c r="AQ775" s="579" t="str">
        <f>IFERROR(VLOOKUP(Table_NFI[[#This Row],[Camp Name]],CL,3,0),"")</f>
        <v>Open</v>
      </c>
      <c r="AR775" s="378" t="str">
        <f ca="1">IF(Table_NFI[[#This Row],[Pcode]]="","",OFFSET(CampList[Priority],MATCH(Table_NFI[[#This Row],[Pcode]],CampList[CP_Pcode],0)-1,0,1,1))</f>
        <v>P4</v>
      </c>
      <c r="AS775" s="377">
        <f>IFERROR(Table_NFI[[#This Row],[Kitchen Set]]/VLOOKUP(Table_NFI[[#This Row],[Camp Name]],CL,4,0),"")</f>
        <v>0.54545454545454541</v>
      </c>
      <c r="AT775" s="572" t="s">
        <v>1095</v>
      </c>
      <c r="AU775" s="575"/>
    </row>
    <row r="776" spans="1:47" x14ac:dyDescent="0.25">
      <c r="A776" s="381">
        <f t="shared" si="12"/>
        <v>47.166666666666664</v>
      </c>
      <c r="B776" s="571">
        <v>41107</v>
      </c>
      <c r="C776" s="572" t="s">
        <v>454</v>
      </c>
      <c r="D776" s="572" t="s">
        <v>454</v>
      </c>
      <c r="E776" s="572" t="s">
        <v>380</v>
      </c>
      <c r="F776" s="572" t="s">
        <v>237</v>
      </c>
      <c r="G776" s="374" t="s">
        <v>279</v>
      </c>
      <c r="H776" s="375"/>
      <c r="I776" s="375"/>
      <c r="J776" s="375"/>
      <c r="K776" s="375">
        <v>3</v>
      </c>
      <c r="L776" s="376">
        <v>3</v>
      </c>
      <c r="M776" s="376">
        <v>3</v>
      </c>
      <c r="N776" s="376">
        <v>3</v>
      </c>
      <c r="O776" s="376">
        <v>3</v>
      </c>
      <c r="P776" s="378">
        <v>3</v>
      </c>
      <c r="Q776" s="378">
        <v>3</v>
      </c>
      <c r="R776" s="378"/>
      <c r="S776" s="378"/>
      <c r="T776" s="378"/>
      <c r="U776" s="378"/>
      <c r="V776" s="533"/>
      <c r="W776" s="378"/>
      <c r="X776" s="378"/>
      <c r="Y776" s="378">
        <f>IF(NFI_Expiration=1,IF($A776&lt;VLOOKUP(H$5,NFI,5,0),1,0)*Table_NFI[[#This Row],[Hygiene Kit]],Table_NFI[Hygiene Kit])</f>
        <v>0</v>
      </c>
      <c r="Z776" s="378">
        <f>IF(NFI_Expiration=1,IF($A776&lt;VLOOKUP(I$5,NFI,5,0),1,0)*Table_NFI[[#This Row],[NFI Core Kit]],Table_NFI[NFI Core Kit])</f>
        <v>0</v>
      </c>
      <c r="AA776" s="378">
        <f>IF(NFI_Expiration=1,IF($A776&lt;VLOOKUP(J$5,NFI,5,0),1,0)*Table_NFI[[#This Row],[Sanitary Kit]],Table_NFI[Sanitary Kit])</f>
        <v>0</v>
      </c>
      <c r="AB776" s="378">
        <f>IF(NFI_Expiration=1,IF($A776&lt;VLOOKUP(K$5,NFI,5,0),1,0)*Table_NFI[[#This Row],[Mosquito net]],Table_NFI[Mosquito net])</f>
        <v>0</v>
      </c>
      <c r="AC776" s="378">
        <f>IF(NFI_Expiration=1,IF($A776&lt;VLOOKUP(L$5,NFI,5,0),1,0)*Table_NFI[[#This Row],[Tarpaulin]],Table_NFI[[#This Row],[Tarpaulin]])</f>
        <v>0</v>
      </c>
      <c r="AD776" s="378">
        <f>IF(NFI_Expiration=1,IF($A776&lt;VLOOKUP(M$5,NFI,5,0),1,0)*Table_NFI[[#This Row],[Blanket]],Table_NFI[[#This Row],[Blanket]])</f>
        <v>0</v>
      </c>
      <c r="AE776" s="378">
        <f>IF(NFI_Expiration=1,IF($A776&lt;VLOOKUP(N$5,NFI,5,0),1,0)*Table_NFI[[#This Row],[Kitchen Set]],Table_NFI[Kitchen Set])</f>
        <v>0</v>
      </c>
      <c r="AF776" s="378">
        <f>IF(NFI_Expiration=1,IF($A776&lt;VLOOKUP(O$5,NFI,5,0),1,0)*Table_NFI[[#This Row],[Clothes Kit]],Table_NFI[Clothes Kit])</f>
        <v>0</v>
      </c>
      <c r="AG776" s="378">
        <f>IF(NFI_Expiration=1,IF($A776&lt;VLOOKUP(P$5,NFI,5,0),1,0)*Table_NFI[[#This Row],[Plastic Bucket]],Table_NFI[Plastic Bucket])</f>
        <v>0</v>
      </c>
      <c r="AH776" s="378">
        <f>IF(NFI_Expiration=1,IF($A776&lt;VLOOKUP(Q$5,NFI,5,0),1,0)*Table_NFI[[#This Row],[Plastic Mat]],Table_NFI[Plastic Mat])*IF(Table_NFI[[#This Row],[Distribution Date]]&gt;"2014-04-01",1,2.5)</f>
        <v>0</v>
      </c>
      <c r="AI776" s="378">
        <f>IF(NFI_Expiration=1,IF($A776&lt;VLOOKUP(R$5,NFI,5,0),1,0)*Table_NFI[[#This Row],[Winter Clothes Adult]],Table_NFI[Winter Clothes Adult])</f>
        <v>0</v>
      </c>
      <c r="AJ776" s="378">
        <f>IF(NFI_Expiration=1,IF($A776&lt;VLOOKUP(S$5,NFI,5,0),1,0)*Table_NFI[[#This Row],[Winter Clothes Children]],Table_NFI[Winter Clothes Children])</f>
        <v>0</v>
      </c>
      <c r="AK776" s="378">
        <f>IF(NFI_Expiration=1,IF($A776&lt;VLOOKUP(T$5,NFI,5,0),1,0)*Table_NFI[[#This Row],[Winter Items Other]],Table_NFI[Winter Items Other])</f>
        <v>0</v>
      </c>
      <c r="AL776" s="378">
        <f>IF(NFI_Expiration=1,IF($A776&lt;VLOOKUP(M$5,NFI,5,0),1,0)*Table_NFI[[#This Row],[Winter Blanket]],Table_NFI[[#This Row],[Winter Blanket]])</f>
        <v>0</v>
      </c>
      <c r="AM776" s="378">
        <f>IF(Table_NFI[[#This Row],[Winter Clothes Adult]]+Table_NFI[[#This Row],[Winter Clothes Children]]+Table_NFI[[#This Row],[Winter Items Other]]+Table_NFI[[#This Row],[Winter Blanket]]&gt;0,1,0)</f>
        <v>0</v>
      </c>
      <c r="AN776" s="418">
        <f>IF(NFI_Expiration=1,IF($A776&lt;VLOOKUP(V$5,NFI,5,0),1,0)*Table_NFI[[#This Row],[Jerry Can]],Table_NFI[Jerry Can])</f>
        <v>0</v>
      </c>
      <c r="AO776" s="579" t="str">
        <f>IFERROR(VLOOKUP(Table_NFI[[#This Row],[Camp Name]],CL,2,0),"")</f>
        <v>MMR001CMP007</v>
      </c>
      <c r="AP776" s="574">
        <f ca="1">IF(Table_NFI[[#This Row],[Pcode]]="","",IF(OFFSET(CampList[Opening Date],MATCH(Table_NFI[[#This Row],[Pcode]],CampList[CP_Pcode],0)-1,0,1,1)&gt;=NFI_Monitor_Date,1,0))</f>
        <v>0</v>
      </c>
      <c r="AQ776" s="579" t="str">
        <f>IFERROR(VLOOKUP(Table_NFI[[#This Row],[Camp Name]],CL,3,0),"")</f>
        <v>Open</v>
      </c>
      <c r="AR776" s="378" t="str">
        <f ca="1">IF(Table_NFI[[#This Row],[Pcode]]="","",OFFSET(CampList[Priority],MATCH(Table_NFI[[#This Row],[Pcode]],CampList[CP_Pcode],0)-1,0,1,1))</f>
        <v>P4</v>
      </c>
      <c r="AS776" s="377">
        <f>IFERROR(Table_NFI[[#This Row],[Kitchen Set]]/VLOOKUP(Table_NFI[[#This Row],[Camp Name]],CL,4,0),"")</f>
        <v>0.13636363636363635</v>
      </c>
      <c r="AT776" s="572" t="s">
        <v>1095</v>
      </c>
      <c r="AU776" s="575"/>
    </row>
    <row r="777" spans="1:47" x14ac:dyDescent="0.25">
      <c r="A777" s="381">
        <f t="shared" si="12"/>
        <v>55.766666666666666</v>
      </c>
      <c r="B777" s="571">
        <v>40849</v>
      </c>
      <c r="C777" s="572" t="s">
        <v>454</v>
      </c>
      <c r="D777" s="573" t="s">
        <v>462</v>
      </c>
      <c r="E777" s="572" t="s">
        <v>380</v>
      </c>
      <c r="F777" s="374" t="s">
        <v>237</v>
      </c>
      <c r="G777" s="374" t="s">
        <v>279</v>
      </c>
      <c r="H777" s="375"/>
      <c r="I777" s="375"/>
      <c r="J777" s="375"/>
      <c r="K777" s="375">
        <v>2</v>
      </c>
      <c r="L777" s="376">
        <v>1</v>
      </c>
      <c r="M777" s="376">
        <v>2</v>
      </c>
      <c r="N777" s="376">
        <v>1</v>
      </c>
      <c r="O777" s="376">
        <v>1</v>
      </c>
      <c r="P777" s="378">
        <v>1</v>
      </c>
      <c r="Q777" s="378">
        <v>1</v>
      </c>
      <c r="R777" s="378"/>
      <c r="S777" s="378"/>
      <c r="T777" s="378"/>
      <c r="U777" s="378"/>
      <c r="V777" s="533"/>
      <c r="W777" s="378"/>
      <c r="X777" s="378"/>
      <c r="Y777" s="378">
        <f>IF(NFI_Expiration=1,IF($A777&lt;VLOOKUP(H$5,NFI,5,0),1,0)*Table_NFI[[#This Row],[Hygiene Kit]],Table_NFI[Hygiene Kit])</f>
        <v>0</v>
      </c>
      <c r="Z777" s="378">
        <f>IF(NFI_Expiration=1,IF($A777&lt;VLOOKUP(I$5,NFI,5,0),1,0)*Table_NFI[[#This Row],[NFI Core Kit]],Table_NFI[NFI Core Kit])</f>
        <v>0</v>
      </c>
      <c r="AA777" s="378">
        <f>IF(NFI_Expiration=1,IF($A777&lt;VLOOKUP(J$5,NFI,5,0),1,0)*Table_NFI[[#This Row],[Sanitary Kit]],Table_NFI[Sanitary Kit])</f>
        <v>0</v>
      </c>
      <c r="AB777" s="378">
        <f>IF(NFI_Expiration=1,IF($A777&lt;VLOOKUP(K$5,NFI,5,0),1,0)*Table_NFI[[#This Row],[Mosquito net]],Table_NFI[Mosquito net])</f>
        <v>0</v>
      </c>
      <c r="AC777" s="378">
        <f>IF(NFI_Expiration=1,IF($A777&lt;VLOOKUP(L$5,NFI,5,0),1,0)*Table_NFI[[#This Row],[Tarpaulin]],Table_NFI[[#This Row],[Tarpaulin]])</f>
        <v>0</v>
      </c>
      <c r="AD777" s="378">
        <f>IF(NFI_Expiration=1,IF($A777&lt;VLOOKUP(M$5,NFI,5,0),1,0)*Table_NFI[[#This Row],[Blanket]],Table_NFI[[#This Row],[Blanket]])</f>
        <v>0</v>
      </c>
      <c r="AE777" s="378">
        <f>IF(NFI_Expiration=1,IF($A777&lt;VLOOKUP(N$5,NFI,5,0),1,0)*Table_NFI[[#This Row],[Kitchen Set]],Table_NFI[Kitchen Set])</f>
        <v>0</v>
      </c>
      <c r="AF777" s="378">
        <f>IF(NFI_Expiration=1,IF($A777&lt;VLOOKUP(O$5,NFI,5,0),1,0)*Table_NFI[[#This Row],[Clothes Kit]],Table_NFI[Clothes Kit])</f>
        <v>0</v>
      </c>
      <c r="AG777" s="378">
        <f>IF(NFI_Expiration=1,IF($A777&lt;VLOOKUP(P$5,NFI,5,0),1,0)*Table_NFI[[#This Row],[Plastic Bucket]],Table_NFI[Plastic Bucket])</f>
        <v>0</v>
      </c>
      <c r="AH777" s="378">
        <f>IF(NFI_Expiration=1,IF($A777&lt;VLOOKUP(Q$5,NFI,5,0),1,0)*Table_NFI[[#This Row],[Plastic Mat]],Table_NFI[Plastic Mat])*IF(Table_NFI[[#This Row],[Distribution Date]]&gt;"2014-04-01",1,2.5)</f>
        <v>0</v>
      </c>
      <c r="AI777" s="378">
        <f>IF(NFI_Expiration=1,IF($A777&lt;VLOOKUP(R$5,NFI,5,0),1,0)*Table_NFI[[#This Row],[Winter Clothes Adult]],Table_NFI[Winter Clothes Adult])</f>
        <v>0</v>
      </c>
      <c r="AJ777" s="378">
        <f>IF(NFI_Expiration=1,IF($A777&lt;VLOOKUP(S$5,NFI,5,0),1,0)*Table_NFI[[#This Row],[Winter Clothes Children]],Table_NFI[Winter Clothes Children])</f>
        <v>0</v>
      </c>
      <c r="AK777" s="378">
        <f>IF(NFI_Expiration=1,IF($A777&lt;VLOOKUP(T$5,NFI,5,0),1,0)*Table_NFI[[#This Row],[Winter Items Other]],Table_NFI[Winter Items Other])</f>
        <v>0</v>
      </c>
      <c r="AL777" s="378">
        <f>IF(NFI_Expiration=1,IF($A777&lt;VLOOKUP(M$5,NFI,5,0),1,0)*Table_NFI[[#This Row],[Winter Blanket]],Table_NFI[[#This Row],[Winter Blanket]])</f>
        <v>0</v>
      </c>
      <c r="AM777" s="378">
        <f>IF(Table_NFI[[#This Row],[Winter Clothes Adult]]+Table_NFI[[#This Row],[Winter Clothes Children]]+Table_NFI[[#This Row],[Winter Items Other]]+Table_NFI[[#This Row],[Winter Blanket]]&gt;0,1,0)</f>
        <v>0</v>
      </c>
      <c r="AN777" s="418">
        <f>IF(NFI_Expiration=1,IF($A777&lt;VLOOKUP(V$5,NFI,5,0),1,0)*Table_NFI[[#This Row],[Jerry Can]],Table_NFI[Jerry Can])</f>
        <v>0</v>
      </c>
      <c r="AO777" s="579" t="str">
        <f>IFERROR(VLOOKUP(Table_NFI[[#This Row],[Camp Name]],CL,2,0),"")</f>
        <v>MMR001CMP007</v>
      </c>
      <c r="AP777" s="574">
        <f ca="1">IF(Table_NFI[[#This Row],[Pcode]]="","",IF(OFFSET(CampList[Opening Date],MATCH(Table_NFI[[#This Row],[Pcode]],CampList[CP_Pcode],0)-1,0,1,1)&gt;=NFI_Monitor_Date,1,0))</f>
        <v>0</v>
      </c>
      <c r="AQ777" s="579" t="str">
        <f>IFERROR(VLOOKUP(Table_NFI[[#This Row],[Camp Name]],CL,3,0),"")</f>
        <v>Open</v>
      </c>
      <c r="AR777" s="378" t="str">
        <f ca="1">IF(Table_NFI[[#This Row],[Pcode]]="","",OFFSET(CampList[Priority],MATCH(Table_NFI[[#This Row],[Pcode]],CampList[CP_Pcode],0)-1,0,1,1))</f>
        <v>P4</v>
      </c>
      <c r="AS777" s="377">
        <f>IFERROR(Table_NFI[[#This Row],[Kitchen Set]]/VLOOKUP(Table_NFI[[#This Row],[Camp Name]],CL,4,0),"")</f>
        <v>4.5454545454545456E-2</v>
      </c>
      <c r="AT777" s="572" t="s">
        <v>1095</v>
      </c>
      <c r="AU777" s="575"/>
    </row>
    <row r="778" spans="1:47" x14ac:dyDescent="0.25">
      <c r="A778" s="381">
        <f t="shared" si="12"/>
        <v>17.233333333333334</v>
      </c>
      <c r="B778" s="571">
        <v>42005</v>
      </c>
      <c r="C778" s="577" t="s">
        <v>454</v>
      </c>
      <c r="D778" s="577" t="s">
        <v>462</v>
      </c>
      <c r="E778" s="577" t="s">
        <v>380</v>
      </c>
      <c r="F778" s="577" t="s">
        <v>310</v>
      </c>
      <c r="G778" s="577" t="s">
        <v>347</v>
      </c>
      <c r="H778" s="376"/>
      <c r="I778" s="376"/>
      <c r="J778" s="376"/>
      <c r="K778" s="376"/>
      <c r="L778" s="376"/>
      <c r="M778" s="376"/>
      <c r="N778" s="376">
        <v>50</v>
      </c>
      <c r="O778" s="376"/>
      <c r="P778" s="378"/>
      <c r="Q778" s="378"/>
      <c r="R778" s="378"/>
      <c r="S778" s="378"/>
      <c r="T778" s="378"/>
      <c r="U778" s="378"/>
      <c r="V778" s="533"/>
      <c r="W778" s="378"/>
      <c r="X778" s="378">
        <v>90</v>
      </c>
      <c r="Y778" s="378">
        <f>IF(NFI_Expiration=1,IF($A778&lt;VLOOKUP(H$5,NFI,5,0),1,0)*Table_NFI[[#This Row],[Hygiene Kit]],Table_NFI[Hygiene Kit])</f>
        <v>0</v>
      </c>
      <c r="Z778" s="378">
        <f>IF(NFI_Expiration=1,IF($A778&lt;VLOOKUP(I$5,NFI,5,0),1,0)*Table_NFI[[#This Row],[NFI Core Kit]],Table_NFI[NFI Core Kit])</f>
        <v>0</v>
      </c>
      <c r="AA778" s="378">
        <f>IF(NFI_Expiration=1,IF($A778&lt;VLOOKUP(J$5,NFI,5,0),1,0)*Table_NFI[[#This Row],[Sanitary Kit]],Table_NFI[Sanitary Kit])</f>
        <v>0</v>
      </c>
      <c r="AB778" s="378">
        <f>IF(NFI_Expiration=1,IF($A778&lt;VLOOKUP(K$5,NFI,5,0),1,0)*Table_NFI[[#This Row],[Mosquito net]],Table_NFI[Mosquito net])</f>
        <v>0</v>
      </c>
      <c r="AC778" s="378">
        <f>IF(NFI_Expiration=1,IF($A778&lt;VLOOKUP(L$5,NFI,5,0),1,0)*Table_NFI[[#This Row],[Tarpaulin]],Table_NFI[[#This Row],[Tarpaulin]])</f>
        <v>0</v>
      </c>
      <c r="AD778" s="378">
        <f>IF(NFI_Expiration=1,IF($A778&lt;VLOOKUP(M$5,NFI,5,0),1,0)*Table_NFI[[#This Row],[Blanket]],Table_NFI[[#This Row],[Blanket]])</f>
        <v>0</v>
      </c>
      <c r="AE778" s="378">
        <f>IF(NFI_Expiration=1,IF($A778&lt;VLOOKUP(N$5,NFI,5,0),1,0)*Table_NFI[[#This Row],[Kitchen Set]],Table_NFI[Kitchen Set])</f>
        <v>0</v>
      </c>
      <c r="AF778" s="378">
        <f>IF(NFI_Expiration=1,IF($A778&lt;VLOOKUP(O$5,NFI,5,0),1,0)*Table_NFI[[#This Row],[Clothes Kit]],Table_NFI[Clothes Kit])</f>
        <v>0</v>
      </c>
      <c r="AG778" s="378">
        <f>IF(NFI_Expiration=1,IF($A778&lt;VLOOKUP(P$5,NFI,5,0),1,0)*Table_NFI[[#This Row],[Plastic Bucket]],Table_NFI[Plastic Bucket])</f>
        <v>0</v>
      </c>
      <c r="AH778" s="378">
        <f>IF(NFI_Expiration=1,IF($A778&lt;VLOOKUP(Q$5,NFI,5,0),1,0)*Table_NFI[[#This Row],[Plastic Mat]],Table_NFI[Plastic Mat])*IF(Table_NFI[[#This Row],[Distribution Date]]&gt;"2014-04-01",1,2.5)</f>
        <v>0</v>
      </c>
      <c r="AI778" s="378">
        <f>IF(NFI_Expiration=1,IF($A778&lt;VLOOKUP(R$5,NFI,5,0),1,0)*Table_NFI[[#This Row],[Winter Clothes Adult]],Table_NFI[Winter Clothes Adult])</f>
        <v>0</v>
      </c>
      <c r="AJ778" s="378">
        <f>IF(NFI_Expiration=1,IF($A778&lt;VLOOKUP(S$5,NFI,5,0),1,0)*Table_NFI[[#This Row],[Winter Clothes Children]],Table_NFI[Winter Clothes Children])</f>
        <v>0</v>
      </c>
      <c r="AK778" s="378">
        <f>IF(NFI_Expiration=1,IF($A778&lt;VLOOKUP(T$5,NFI,5,0),1,0)*Table_NFI[[#This Row],[Winter Items Other]],Table_NFI[Winter Items Other])</f>
        <v>0</v>
      </c>
      <c r="AL778" s="378">
        <f>IF(NFI_Expiration=1,IF($A778&lt;VLOOKUP(M$5,NFI,5,0),1,0)*Table_NFI[[#This Row],[Winter Blanket]],Table_NFI[[#This Row],[Winter Blanket]])</f>
        <v>0</v>
      </c>
      <c r="AM778" s="378">
        <f>IF(Table_NFI[[#This Row],[Winter Clothes Adult]]+Table_NFI[[#This Row],[Winter Clothes Children]]+Table_NFI[[#This Row],[Winter Items Other]]+Table_NFI[[#This Row],[Winter Blanket]]&gt;0,1,0)</f>
        <v>0</v>
      </c>
      <c r="AN778" s="418">
        <f>IF(NFI_Expiration=1,IF($A778&lt;VLOOKUP(V$5,NFI,5,0),1,0)*Table_NFI[[#This Row],[Jerry Can]],Table_NFI[Jerry Can])</f>
        <v>0</v>
      </c>
      <c r="AO778" s="579" t="str">
        <f>IFERROR(VLOOKUP(Table_NFI[[#This Row],[Camp Name]],CL,2,0),"")</f>
        <v>MMR001CMP041</v>
      </c>
      <c r="AP778" s="574">
        <f ca="1">IF(Table_NFI[[#This Row],[Pcode]]="","",IF(OFFSET(CampList[Opening Date],MATCH(Table_NFI[[#This Row],[Pcode]],CampList[CP_Pcode],0)-1,0,1,1)&gt;=NFI_Monitor_Date,1,0))</f>
        <v>0</v>
      </c>
      <c r="AQ778" s="579" t="str">
        <f>IFERROR(VLOOKUP(Table_NFI[[#This Row],[Camp Name]],CL,3,0),"")</f>
        <v>Open</v>
      </c>
      <c r="AR778" s="378" t="str">
        <f ca="1">IF(Table_NFI[[#This Row],[Pcode]]="","",OFFSET(CampList[Priority],MATCH(Table_NFI[[#This Row],[Pcode]],CampList[CP_Pcode],0)-1,0,1,1))</f>
        <v>P1</v>
      </c>
      <c r="AS778" s="377">
        <f>IFERROR(Table_NFI[[#This Row],[Kitchen Set]]/VLOOKUP(Table_NFI[[#This Row],[Camp Name]],CL,4,0),"")</f>
        <v>0.27932960893854747</v>
      </c>
      <c r="AT778" s="572" t="s">
        <v>1095</v>
      </c>
      <c r="AU778" s="580"/>
    </row>
    <row r="779" spans="1:47" x14ac:dyDescent="0.25">
      <c r="A779" s="381">
        <f t="shared" si="12"/>
        <v>17.3</v>
      </c>
      <c r="B779" s="571">
        <v>42003</v>
      </c>
      <c r="C779" s="572" t="s">
        <v>454</v>
      </c>
      <c r="D779" s="572" t="s">
        <v>462</v>
      </c>
      <c r="E779" s="572" t="s">
        <v>380</v>
      </c>
      <c r="F779" s="572" t="s">
        <v>310</v>
      </c>
      <c r="G779" s="572" t="s">
        <v>347</v>
      </c>
      <c r="H779" s="375"/>
      <c r="I779" s="375"/>
      <c r="J779" s="375">
        <v>120</v>
      </c>
      <c r="K779" s="375">
        <v>240</v>
      </c>
      <c r="L779" s="376">
        <v>135</v>
      </c>
      <c r="M779" s="376">
        <v>240</v>
      </c>
      <c r="N779" s="376">
        <v>170</v>
      </c>
      <c r="O779" s="376">
        <v>120</v>
      </c>
      <c r="P779" s="378">
        <v>120</v>
      </c>
      <c r="Q779" s="378">
        <v>600</v>
      </c>
      <c r="R779" s="378"/>
      <c r="S779" s="378"/>
      <c r="T779" s="378"/>
      <c r="U779" s="378"/>
      <c r="V779" s="533"/>
      <c r="W779" s="378"/>
      <c r="X779" s="378"/>
      <c r="Y779" s="378">
        <f>IF(NFI_Expiration=1,IF($A779&lt;VLOOKUP(H$5,NFI,5,0),1,0)*Table_NFI[[#This Row],[Hygiene Kit]],Table_NFI[Hygiene Kit])</f>
        <v>0</v>
      </c>
      <c r="Z779" s="378">
        <f>IF(NFI_Expiration=1,IF($A779&lt;VLOOKUP(I$5,NFI,5,0),1,0)*Table_NFI[[#This Row],[NFI Core Kit]],Table_NFI[NFI Core Kit])</f>
        <v>0</v>
      </c>
      <c r="AA779" s="378">
        <f>IF(NFI_Expiration=1,IF($A779&lt;VLOOKUP(J$5,NFI,5,0),1,0)*Table_NFI[[#This Row],[Sanitary Kit]],Table_NFI[Sanitary Kit])</f>
        <v>0</v>
      </c>
      <c r="AB779" s="378">
        <f>IF(NFI_Expiration=1,IF($A779&lt;VLOOKUP(K$5,NFI,5,0),1,0)*Table_NFI[[#This Row],[Mosquito net]],Table_NFI[Mosquito net])</f>
        <v>0</v>
      </c>
      <c r="AC779" s="378">
        <f>IF(NFI_Expiration=1,IF($A779&lt;VLOOKUP(L$5,NFI,5,0),1,0)*Table_NFI[[#This Row],[Tarpaulin]],Table_NFI[[#This Row],[Tarpaulin]])</f>
        <v>0</v>
      </c>
      <c r="AD779" s="378">
        <f>IF(NFI_Expiration=1,IF($A779&lt;VLOOKUP(M$5,NFI,5,0),1,0)*Table_NFI[[#This Row],[Blanket]],Table_NFI[[#This Row],[Blanket]])</f>
        <v>0</v>
      </c>
      <c r="AE779" s="378">
        <f>IF(NFI_Expiration=1,IF($A779&lt;VLOOKUP(N$5,NFI,5,0),1,0)*Table_NFI[[#This Row],[Kitchen Set]],Table_NFI[Kitchen Set])</f>
        <v>0</v>
      </c>
      <c r="AF779" s="378">
        <f>IF(NFI_Expiration=1,IF($A779&lt;VLOOKUP(O$5,NFI,5,0),1,0)*Table_NFI[[#This Row],[Clothes Kit]],Table_NFI[Clothes Kit])</f>
        <v>0</v>
      </c>
      <c r="AG779" s="378">
        <f>IF(NFI_Expiration=1,IF($A779&lt;VLOOKUP(P$5,NFI,5,0),1,0)*Table_NFI[[#This Row],[Plastic Bucket]],Table_NFI[Plastic Bucket])</f>
        <v>0</v>
      </c>
      <c r="AH779" s="378">
        <f>IF(NFI_Expiration=1,IF($A779&lt;VLOOKUP(Q$5,NFI,5,0),1,0)*Table_NFI[[#This Row],[Plastic Mat]],Table_NFI[Plastic Mat])*IF(Table_NFI[[#This Row],[Distribution Date]]&gt;"2014-04-01",1,2.5)</f>
        <v>0</v>
      </c>
      <c r="AI779" s="378">
        <f>IF(NFI_Expiration=1,IF($A779&lt;VLOOKUP(R$5,NFI,5,0),1,0)*Table_NFI[[#This Row],[Winter Clothes Adult]],Table_NFI[Winter Clothes Adult])</f>
        <v>0</v>
      </c>
      <c r="AJ779" s="378">
        <f>IF(NFI_Expiration=1,IF($A779&lt;VLOOKUP(S$5,NFI,5,0),1,0)*Table_NFI[[#This Row],[Winter Clothes Children]],Table_NFI[Winter Clothes Children])</f>
        <v>0</v>
      </c>
      <c r="AK779" s="378">
        <f>IF(NFI_Expiration=1,IF($A779&lt;VLOOKUP(T$5,NFI,5,0),1,0)*Table_NFI[[#This Row],[Winter Items Other]],Table_NFI[Winter Items Other])</f>
        <v>0</v>
      </c>
      <c r="AL779" s="378">
        <f>IF(NFI_Expiration=1,IF($A779&lt;VLOOKUP(M$5,NFI,5,0),1,0)*Table_NFI[[#This Row],[Winter Blanket]],Table_NFI[[#This Row],[Winter Blanket]])</f>
        <v>0</v>
      </c>
      <c r="AM779" s="378">
        <f>IF(Table_NFI[[#This Row],[Winter Clothes Adult]]+Table_NFI[[#This Row],[Winter Clothes Children]]+Table_NFI[[#This Row],[Winter Items Other]]+Table_NFI[[#This Row],[Winter Blanket]]&gt;0,1,0)</f>
        <v>0</v>
      </c>
      <c r="AN779" s="418">
        <f>IF(NFI_Expiration=1,IF($A779&lt;VLOOKUP(V$5,NFI,5,0),1,0)*Table_NFI[[#This Row],[Jerry Can]],Table_NFI[Jerry Can])</f>
        <v>0</v>
      </c>
      <c r="AO779" s="579" t="str">
        <f>IFERROR(VLOOKUP(Table_NFI[[#This Row],[Camp Name]],CL,2,0),"")</f>
        <v>MMR001CMP041</v>
      </c>
      <c r="AP779" s="574">
        <f ca="1">IF(Table_NFI[[#This Row],[Pcode]]="","",IF(OFFSET(CampList[Opening Date],MATCH(Table_NFI[[#This Row],[Pcode]],CampList[CP_Pcode],0)-1,0,1,1)&gt;=NFI_Monitor_Date,1,0))</f>
        <v>0</v>
      </c>
      <c r="AQ779" s="579" t="str">
        <f>IFERROR(VLOOKUP(Table_NFI[[#This Row],[Camp Name]],CL,3,0),"")</f>
        <v>Open</v>
      </c>
      <c r="AR779" s="378" t="str">
        <f ca="1">IF(Table_NFI[[#This Row],[Pcode]]="","",OFFSET(CampList[Priority],MATCH(Table_NFI[[#This Row],[Pcode]],CampList[CP_Pcode],0)-1,0,1,1))</f>
        <v>P1</v>
      </c>
      <c r="AS779" s="377">
        <f>IFERROR(Table_NFI[[#This Row],[Kitchen Set]]/VLOOKUP(Table_NFI[[#This Row],[Camp Name]],CL,4,0),"")</f>
        <v>0.94972067039106145</v>
      </c>
      <c r="AT779" s="572"/>
      <c r="AU779" s="575"/>
    </row>
    <row r="780" spans="1:47" x14ac:dyDescent="0.25">
      <c r="A780" s="381">
        <f t="shared" si="12"/>
        <v>21.3</v>
      </c>
      <c r="B780" s="571">
        <v>41883</v>
      </c>
      <c r="C780" s="577" t="s">
        <v>1039</v>
      </c>
      <c r="D780" s="577"/>
      <c r="E780" s="577" t="s">
        <v>380</v>
      </c>
      <c r="F780" s="577" t="s">
        <v>310</v>
      </c>
      <c r="G780" s="577" t="s">
        <v>347</v>
      </c>
      <c r="H780" s="376"/>
      <c r="I780" s="376"/>
      <c r="J780" s="376"/>
      <c r="K780" s="376"/>
      <c r="L780" s="376"/>
      <c r="M780" s="376"/>
      <c r="N780" s="376"/>
      <c r="O780" s="376"/>
      <c r="P780" s="378"/>
      <c r="Q780" s="378"/>
      <c r="R780" s="378"/>
      <c r="S780" s="378">
        <v>288</v>
      </c>
      <c r="T780" s="378"/>
      <c r="U780" s="378"/>
      <c r="V780" s="533"/>
      <c r="W780" s="378"/>
      <c r="X780" s="378"/>
      <c r="Y780" s="378">
        <f>IF(NFI_Expiration=1,IF($A780&lt;VLOOKUP(H$5,NFI,5,0),1,0)*Table_NFI[[#This Row],[Hygiene Kit]],Table_NFI[Hygiene Kit])</f>
        <v>0</v>
      </c>
      <c r="Z780" s="378">
        <f>IF(NFI_Expiration=1,IF($A780&lt;VLOOKUP(I$5,NFI,5,0),1,0)*Table_NFI[[#This Row],[NFI Core Kit]],Table_NFI[NFI Core Kit])</f>
        <v>0</v>
      </c>
      <c r="AA780" s="378">
        <f>IF(NFI_Expiration=1,IF($A780&lt;VLOOKUP(J$5,NFI,5,0),1,0)*Table_NFI[[#This Row],[Sanitary Kit]],Table_NFI[Sanitary Kit])</f>
        <v>0</v>
      </c>
      <c r="AB780" s="378">
        <f>IF(NFI_Expiration=1,IF($A780&lt;VLOOKUP(K$5,NFI,5,0),1,0)*Table_NFI[[#This Row],[Mosquito net]],Table_NFI[Mosquito net])</f>
        <v>0</v>
      </c>
      <c r="AC780" s="378">
        <f>IF(NFI_Expiration=1,IF($A780&lt;VLOOKUP(L$5,NFI,5,0),1,0)*Table_NFI[[#This Row],[Tarpaulin]],Table_NFI[[#This Row],[Tarpaulin]])</f>
        <v>0</v>
      </c>
      <c r="AD780" s="378">
        <f>IF(NFI_Expiration=1,IF($A780&lt;VLOOKUP(M$5,NFI,5,0),1,0)*Table_NFI[[#This Row],[Blanket]],Table_NFI[[#This Row],[Blanket]])</f>
        <v>0</v>
      </c>
      <c r="AE780" s="378">
        <f>IF(NFI_Expiration=1,IF($A780&lt;VLOOKUP(N$5,NFI,5,0),1,0)*Table_NFI[[#This Row],[Kitchen Set]],Table_NFI[Kitchen Set])</f>
        <v>0</v>
      </c>
      <c r="AF780" s="378">
        <f>IF(NFI_Expiration=1,IF($A780&lt;VLOOKUP(O$5,NFI,5,0),1,0)*Table_NFI[[#This Row],[Clothes Kit]],Table_NFI[Clothes Kit])</f>
        <v>0</v>
      </c>
      <c r="AG780" s="378">
        <f>IF(NFI_Expiration=1,IF($A780&lt;VLOOKUP(P$5,NFI,5,0),1,0)*Table_NFI[[#This Row],[Plastic Bucket]],Table_NFI[Plastic Bucket])</f>
        <v>0</v>
      </c>
      <c r="AH780" s="378">
        <f>IF(NFI_Expiration=1,IF($A780&lt;VLOOKUP(Q$5,NFI,5,0),1,0)*Table_NFI[[#This Row],[Plastic Mat]],Table_NFI[Plastic Mat])*IF(Table_NFI[[#This Row],[Distribution Date]]&gt;"2014-04-01",1,2.5)</f>
        <v>0</v>
      </c>
      <c r="AI780" s="378">
        <f>IF(NFI_Expiration=1,IF($A780&lt;VLOOKUP(R$5,NFI,5,0),1,0)*Table_NFI[[#This Row],[Winter Clothes Adult]],Table_NFI[Winter Clothes Adult])</f>
        <v>0</v>
      </c>
      <c r="AJ780" s="378">
        <f>IF(NFI_Expiration=1,IF($A780&lt;VLOOKUP(S$5,NFI,5,0),1,0)*Table_NFI[[#This Row],[Winter Clothes Children]],Table_NFI[Winter Clothes Children])</f>
        <v>0</v>
      </c>
      <c r="AK780" s="378">
        <f>IF(NFI_Expiration=1,IF($A780&lt;VLOOKUP(T$5,NFI,5,0),1,0)*Table_NFI[[#This Row],[Winter Items Other]],Table_NFI[Winter Items Other])</f>
        <v>0</v>
      </c>
      <c r="AL780" s="378">
        <f>IF(NFI_Expiration=1,IF($A780&lt;VLOOKUP(M$5,NFI,5,0),1,0)*Table_NFI[[#This Row],[Winter Blanket]],Table_NFI[[#This Row],[Winter Blanket]])</f>
        <v>0</v>
      </c>
      <c r="AM780" s="378">
        <f>IF(Table_NFI[[#This Row],[Winter Clothes Adult]]+Table_NFI[[#This Row],[Winter Clothes Children]]+Table_NFI[[#This Row],[Winter Items Other]]+Table_NFI[[#This Row],[Winter Blanket]]&gt;0,1,0)</f>
        <v>1</v>
      </c>
      <c r="AN780" s="418">
        <f>IF(NFI_Expiration=1,IF($A780&lt;VLOOKUP(V$5,NFI,5,0),1,0)*Table_NFI[[#This Row],[Jerry Can]],Table_NFI[Jerry Can])</f>
        <v>0</v>
      </c>
      <c r="AO780" s="579" t="str">
        <f>IFERROR(VLOOKUP(Table_NFI[[#This Row],[Camp Name]],CL,2,0),"")</f>
        <v>MMR001CMP041</v>
      </c>
      <c r="AP780" s="574">
        <f ca="1">IF(Table_NFI[[#This Row],[Pcode]]="","",IF(OFFSET(CampList[Opening Date],MATCH(Table_NFI[[#This Row],[Pcode]],CampList[CP_Pcode],0)-1,0,1,1)&gt;=NFI_Monitor_Date,1,0))</f>
        <v>0</v>
      </c>
      <c r="AQ780" s="579" t="str">
        <f>IFERROR(VLOOKUP(Table_NFI[[#This Row],[Camp Name]],CL,3,0),"")</f>
        <v>Open</v>
      </c>
      <c r="AR780" s="378" t="str">
        <f ca="1">IF(Table_NFI[[#This Row],[Pcode]]="","",OFFSET(CampList[Priority],MATCH(Table_NFI[[#This Row],[Pcode]],CampList[CP_Pcode],0)-1,0,1,1))</f>
        <v>P1</v>
      </c>
      <c r="AS780" s="377">
        <f>IFERROR(Table_NFI[[#This Row],[Kitchen Set]]/VLOOKUP(Table_NFI[[#This Row],[Camp Name]],CL,4,0),"")</f>
        <v>0</v>
      </c>
      <c r="AT780" s="577"/>
      <c r="AU780" s="580"/>
    </row>
    <row r="781" spans="1:47" s="576" customFormat="1" x14ac:dyDescent="0.25">
      <c r="A781" s="381">
        <f t="shared" si="12"/>
        <v>28.6</v>
      </c>
      <c r="B781" s="571">
        <v>41664</v>
      </c>
      <c r="C781" s="572" t="s">
        <v>1039</v>
      </c>
      <c r="D781" s="572" t="s">
        <v>462</v>
      </c>
      <c r="E781" s="572" t="s">
        <v>380</v>
      </c>
      <c r="F781" s="572" t="s">
        <v>310</v>
      </c>
      <c r="G781" s="572" t="s">
        <v>347</v>
      </c>
      <c r="H781" s="375"/>
      <c r="I781" s="375"/>
      <c r="J781" s="375"/>
      <c r="K781" s="375"/>
      <c r="L781" s="376"/>
      <c r="M781" s="376">
        <v>198</v>
      </c>
      <c r="N781" s="376">
        <v>198</v>
      </c>
      <c r="O781" s="376">
        <v>198</v>
      </c>
      <c r="P781" s="378"/>
      <c r="Q781" s="378">
        <v>198</v>
      </c>
      <c r="R781" s="378"/>
      <c r="S781" s="378"/>
      <c r="T781" s="378"/>
      <c r="U781" s="378"/>
      <c r="V781" s="533"/>
      <c r="W781" s="378"/>
      <c r="X781" s="378"/>
      <c r="Y781" s="378">
        <f>IF(NFI_Expiration=1,IF($A781&lt;VLOOKUP(H$5,NFI,5,0),1,0)*Table_NFI[[#This Row],[Hygiene Kit]],Table_NFI[Hygiene Kit])</f>
        <v>0</v>
      </c>
      <c r="Z781" s="378">
        <f>IF(NFI_Expiration=1,IF($A781&lt;VLOOKUP(I$5,NFI,5,0),1,0)*Table_NFI[[#This Row],[NFI Core Kit]],Table_NFI[NFI Core Kit])</f>
        <v>0</v>
      </c>
      <c r="AA781" s="378">
        <f>IF(NFI_Expiration=1,IF($A781&lt;VLOOKUP(J$5,NFI,5,0),1,0)*Table_NFI[[#This Row],[Sanitary Kit]],Table_NFI[Sanitary Kit])</f>
        <v>0</v>
      </c>
      <c r="AB781" s="378">
        <f>IF(NFI_Expiration=1,IF($A781&lt;VLOOKUP(K$5,NFI,5,0),1,0)*Table_NFI[[#This Row],[Mosquito net]],Table_NFI[Mosquito net])</f>
        <v>0</v>
      </c>
      <c r="AC781" s="378">
        <f>IF(NFI_Expiration=1,IF($A781&lt;VLOOKUP(L$5,NFI,5,0),1,0)*Table_NFI[[#This Row],[Tarpaulin]],Table_NFI[[#This Row],[Tarpaulin]])</f>
        <v>0</v>
      </c>
      <c r="AD781" s="378">
        <f>IF(NFI_Expiration=1,IF($A781&lt;VLOOKUP(M$5,NFI,5,0),1,0)*Table_NFI[[#This Row],[Blanket]],Table_NFI[[#This Row],[Blanket]])</f>
        <v>0</v>
      </c>
      <c r="AE781" s="378">
        <f>IF(NFI_Expiration=1,IF($A781&lt;VLOOKUP(N$5,NFI,5,0),1,0)*Table_NFI[[#This Row],[Kitchen Set]],Table_NFI[Kitchen Set])</f>
        <v>0</v>
      </c>
      <c r="AF781" s="378">
        <f>IF(NFI_Expiration=1,IF($A781&lt;VLOOKUP(O$5,NFI,5,0),1,0)*Table_NFI[[#This Row],[Clothes Kit]],Table_NFI[Clothes Kit])</f>
        <v>0</v>
      </c>
      <c r="AG781" s="378">
        <f>IF(NFI_Expiration=1,IF($A781&lt;VLOOKUP(P$5,NFI,5,0),1,0)*Table_NFI[[#This Row],[Plastic Bucket]],Table_NFI[Plastic Bucket])</f>
        <v>0</v>
      </c>
      <c r="AH781" s="378">
        <f>IF(NFI_Expiration=1,IF($A781&lt;VLOOKUP(Q$5,NFI,5,0),1,0)*Table_NFI[[#This Row],[Plastic Mat]],Table_NFI[Plastic Mat])*IF(Table_NFI[[#This Row],[Distribution Date]]&gt;"2014-04-01",1,2.5)</f>
        <v>0</v>
      </c>
      <c r="AI781" s="378">
        <f>IF(NFI_Expiration=1,IF($A781&lt;VLOOKUP(R$5,NFI,5,0),1,0)*Table_NFI[[#This Row],[Winter Clothes Adult]],Table_NFI[Winter Clothes Adult])</f>
        <v>0</v>
      </c>
      <c r="AJ781" s="378">
        <f>IF(NFI_Expiration=1,IF($A781&lt;VLOOKUP(S$5,NFI,5,0),1,0)*Table_NFI[[#This Row],[Winter Clothes Children]],Table_NFI[Winter Clothes Children])</f>
        <v>0</v>
      </c>
      <c r="AK781" s="378">
        <f>IF(NFI_Expiration=1,IF($A781&lt;VLOOKUP(T$5,NFI,5,0),1,0)*Table_NFI[[#This Row],[Winter Items Other]],Table_NFI[Winter Items Other])</f>
        <v>0</v>
      </c>
      <c r="AL781" s="378">
        <f>IF(NFI_Expiration=1,IF($A781&lt;VLOOKUP(M$5,NFI,5,0),1,0)*Table_NFI[[#This Row],[Winter Blanket]],Table_NFI[[#This Row],[Winter Blanket]])</f>
        <v>0</v>
      </c>
      <c r="AM781" s="378">
        <f>IF(Table_NFI[[#This Row],[Winter Clothes Adult]]+Table_NFI[[#This Row],[Winter Clothes Children]]+Table_NFI[[#This Row],[Winter Items Other]]+Table_NFI[[#This Row],[Winter Blanket]]&gt;0,1,0)</f>
        <v>0</v>
      </c>
      <c r="AN781" s="418">
        <f>IF(NFI_Expiration=1,IF($A781&lt;VLOOKUP(V$5,NFI,5,0),1,0)*Table_NFI[[#This Row],[Jerry Can]],Table_NFI[Jerry Can])</f>
        <v>0</v>
      </c>
      <c r="AO781" s="579" t="str">
        <f>IFERROR(VLOOKUP(Table_NFI[[#This Row],[Camp Name]],CL,2,0),"")</f>
        <v>MMR001CMP041</v>
      </c>
      <c r="AP781" s="574">
        <f ca="1">IF(Table_NFI[[#This Row],[Pcode]]="","",IF(OFFSET(CampList[Opening Date],MATCH(Table_NFI[[#This Row],[Pcode]],CampList[CP_Pcode],0)-1,0,1,1)&gt;=NFI_Monitor_Date,1,0))</f>
        <v>0</v>
      </c>
      <c r="AQ781" s="579" t="str">
        <f>IFERROR(VLOOKUP(Table_NFI[[#This Row],[Camp Name]],CL,3,0),"")</f>
        <v>Open</v>
      </c>
      <c r="AR781" s="378" t="str">
        <f ca="1">IF(Table_NFI[[#This Row],[Pcode]]="","",OFFSET(CampList[Priority],MATCH(Table_NFI[[#This Row],[Pcode]],CampList[CP_Pcode],0)-1,0,1,1))</f>
        <v>P1</v>
      </c>
      <c r="AS781" s="377">
        <f>IFERROR(Table_NFI[[#This Row],[Kitchen Set]]/VLOOKUP(Table_NFI[[#This Row],[Camp Name]],CL,4,0),"")</f>
        <v>1.1061452513966481</v>
      </c>
      <c r="AT781" s="572" t="s">
        <v>1095</v>
      </c>
      <c r="AU781" s="575"/>
    </row>
    <row r="782" spans="1:47" s="576" customFormat="1" x14ac:dyDescent="0.25">
      <c r="A782" s="381">
        <f t="shared" si="12"/>
        <v>29.9</v>
      </c>
      <c r="B782" s="571">
        <v>41625</v>
      </c>
      <c r="C782" s="572" t="s">
        <v>908</v>
      </c>
      <c r="D782" s="572" t="s">
        <v>462</v>
      </c>
      <c r="E782" s="572" t="s">
        <v>380</v>
      </c>
      <c r="F782" s="572" t="s">
        <v>310</v>
      </c>
      <c r="G782" s="572" t="s">
        <v>347</v>
      </c>
      <c r="H782" s="375"/>
      <c r="I782" s="375"/>
      <c r="J782" s="375"/>
      <c r="K782" s="375"/>
      <c r="L782" s="376"/>
      <c r="M782" s="376"/>
      <c r="N782" s="376"/>
      <c r="O782" s="376"/>
      <c r="P782" s="378"/>
      <c r="Q782" s="378"/>
      <c r="R782" s="378">
        <v>188</v>
      </c>
      <c r="S782" s="378">
        <v>343</v>
      </c>
      <c r="T782" s="378">
        <v>1062</v>
      </c>
      <c r="U782" s="378">
        <v>531</v>
      </c>
      <c r="V782" s="533"/>
      <c r="W782" s="378"/>
      <c r="X782" s="378"/>
      <c r="Y782" s="378">
        <f>IF(NFI_Expiration=1,IF($A782&lt;VLOOKUP(H$5,NFI,5,0),1,0)*Table_NFI[[#This Row],[Hygiene Kit]],Table_NFI[Hygiene Kit])</f>
        <v>0</v>
      </c>
      <c r="Z782" s="378">
        <f>IF(NFI_Expiration=1,IF($A782&lt;VLOOKUP(I$5,NFI,5,0),1,0)*Table_NFI[[#This Row],[NFI Core Kit]],Table_NFI[NFI Core Kit])</f>
        <v>0</v>
      </c>
      <c r="AA782" s="378">
        <f>IF(NFI_Expiration=1,IF($A782&lt;VLOOKUP(J$5,NFI,5,0),1,0)*Table_NFI[[#This Row],[Sanitary Kit]],Table_NFI[Sanitary Kit])</f>
        <v>0</v>
      </c>
      <c r="AB782" s="378">
        <f>IF(NFI_Expiration=1,IF($A782&lt;VLOOKUP(K$5,NFI,5,0),1,0)*Table_NFI[[#This Row],[Mosquito net]],Table_NFI[Mosquito net])</f>
        <v>0</v>
      </c>
      <c r="AC782" s="378">
        <f>IF(NFI_Expiration=1,IF($A782&lt;VLOOKUP(L$5,NFI,5,0),1,0)*Table_NFI[[#This Row],[Tarpaulin]],Table_NFI[[#This Row],[Tarpaulin]])</f>
        <v>0</v>
      </c>
      <c r="AD782" s="378">
        <f>IF(NFI_Expiration=1,IF($A782&lt;VLOOKUP(M$5,NFI,5,0),1,0)*Table_NFI[[#This Row],[Blanket]],Table_NFI[[#This Row],[Blanket]])</f>
        <v>0</v>
      </c>
      <c r="AE782" s="378">
        <f>IF(NFI_Expiration=1,IF($A782&lt;VLOOKUP(N$5,NFI,5,0),1,0)*Table_NFI[[#This Row],[Kitchen Set]],Table_NFI[Kitchen Set])</f>
        <v>0</v>
      </c>
      <c r="AF782" s="378">
        <f>IF(NFI_Expiration=1,IF($A782&lt;VLOOKUP(O$5,NFI,5,0),1,0)*Table_NFI[[#This Row],[Clothes Kit]],Table_NFI[Clothes Kit])</f>
        <v>0</v>
      </c>
      <c r="AG782" s="378">
        <f>IF(NFI_Expiration=1,IF($A782&lt;VLOOKUP(P$5,NFI,5,0),1,0)*Table_NFI[[#This Row],[Plastic Bucket]],Table_NFI[Plastic Bucket])</f>
        <v>0</v>
      </c>
      <c r="AH782" s="378">
        <f>IF(NFI_Expiration=1,IF($A782&lt;VLOOKUP(Q$5,NFI,5,0),1,0)*Table_NFI[[#This Row],[Plastic Mat]],Table_NFI[Plastic Mat])*IF(Table_NFI[[#This Row],[Distribution Date]]&gt;"2014-04-01",1,2.5)</f>
        <v>0</v>
      </c>
      <c r="AI782" s="378">
        <f>IF(NFI_Expiration=1,IF($A782&lt;VLOOKUP(R$5,NFI,5,0),1,0)*Table_NFI[[#This Row],[Winter Clothes Adult]],Table_NFI[Winter Clothes Adult])</f>
        <v>0</v>
      </c>
      <c r="AJ782" s="378">
        <f>IF(NFI_Expiration=1,IF($A782&lt;VLOOKUP(S$5,NFI,5,0),1,0)*Table_NFI[[#This Row],[Winter Clothes Children]],Table_NFI[Winter Clothes Children])</f>
        <v>0</v>
      </c>
      <c r="AK782" s="378">
        <f>IF(NFI_Expiration=1,IF($A782&lt;VLOOKUP(T$5,NFI,5,0),1,0)*Table_NFI[[#This Row],[Winter Items Other]],Table_NFI[Winter Items Other])</f>
        <v>0</v>
      </c>
      <c r="AL782" s="378">
        <f>IF(NFI_Expiration=1,IF($A782&lt;VLOOKUP(M$5,NFI,5,0),1,0)*Table_NFI[[#This Row],[Winter Blanket]],Table_NFI[[#This Row],[Winter Blanket]])</f>
        <v>0</v>
      </c>
      <c r="AM782" s="378">
        <f>IF(Table_NFI[[#This Row],[Winter Clothes Adult]]+Table_NFI[[#This Row],[Winter Clothes Children]]+Table_NFI[[#This Row],[Winter Items Other]]+Table_NFI[[#This Row],[Winter Blanket]]&gt;0,1,0)</f>
        <v>1</v>
      </c>
      <c r="AN782" s="418">
        <f>IF(NFI_Expiration=1,IF($A782&lt;VLOOKUP(V$5,NFI,5,0),1,0)*Table_NFI[[#This Row],[Jerry Can]],Table_NFI[Jerry Can])</f>
        <v>0</v>
      </c>
      <c r="AO782" s="579" t="str">
        <f>IFERROR(VLOOKUP(Table_NFI[[#This Row],[Camp Name]],CL,2,0),"")</f>
        <v>MMR001CMP041</v>
      </c>
      <c r="AP782" s="574">
        <f ca="1">IF(Table_NFI[[#This Row],[Pcode]]="","",IF(OFFSET(CampList[Opening Date],MATCH(Table_NFI[[#This Row],[Pcode]],CampList[CP_Pcode],0)-1,0,1,1)&gt;=NFI_Monitor_Date,1,0))</f>
        <v>0</v>
      </c>
      <c r="AQ782" s="579" t="str">
        <f>IFERROR(VLOOKUP(Table_NFI[[#This Row],[Camp Name]],CL,3,0),"")</f>
        <v>Open</v>
      </c>
      <c r="AR782" s="378" t="str">
        <f ca="1">IF(Table_NFI[[#This Row],[Pcode]]="","",OFFSET(CampList[Priority],MATCH(Table_NFI[[#This Row],[Pcode]],CampList[CP_Pcode],0)-1,0,1,1))</f>
        <v>P1</v>
      </c>
      <c r="AS782" s="377">
        <f>IFERROR(Table_NFI[[#This Row],[Kitchen Set]]/VLOOKUP(Table_NFI[[#This Row],[Camp Name]],CL,4,0),"")</f>
        <v>0</v>
      </c>
      <c r="AT782" s="572"/>
      <c r="AU782" s="575"/>
    </row>
    <row r="783" spans="1:47" s="576" customFormat="1" x14ac:dyDescent="0.25">
      <c r="A783" s="381">
        <f t="shared" si="12"/>
        <v>30.466666666666665</v>
      </c>
      <c r="B783" s="571">
        <v>41608</v>
      </c>
      <c r="C783" s="572" t="s">
        <v>908</v>
      </c>
      <c r="D783" s="572" t="s">
        <v>462</v>
      </c>
      <c r="E783" s="572" t="s">
        <v>380</v>
      </c>
      <c r="F783" s="374" t="s">
        <v>310</v>
      </c>
      <c r="G783" s="374" t="s">
        <v>347</v>
      </c>
      <c r="H783" s="375"/>
      <c r="I783" s="375"/>
      <c r="J783" s="375"/>
      <c r="K783" s="375"/>
      <c r="L783" s="376"/>
      <c r="M783" s="376"/>
      <c r="N783" s="376"/>
      <c r="O783" s="376"/>
      <c r="P783" s="378"/>
      <c r="Q783" s="378"/>
      <c r="R783" s="378"/>
      <c r="S783" s="378"/>
      <c r="T783" s="378"/>
      <c r="U783" s="378"/>
      <c r="V783" s="533"/>
      <c r="W783" s="378"/>
      <c r="X783" s="378"/>
      <c r="Y783" s="378">
        <f>IF(NFI_Expiration=1,IF($A783&lt;VLOOKUP(H$5,NFI,5,0),1,0)*Table_NFI[[#This Row],[Hygiene Kit]],Table_NFI[Hygiene Kit])</f>
        <v>0</v>
      </c>
      <c r="Z783" s="378">
        <f>IF(NFI_Expiration=1,IF($A783&lt;VLOOKUP(I$5,NFI,5,0),1,0)*Table_NFI[[#This Row],[NFI Core Kit]],Table_NFI[NFI Core Kit])</f>
        <v>0</v>
      </c>
      <c r="AA783" s="378">
        <f>IF(NFI_Expiration=1,IF($A783&lt;VLOOKUP(J$5,NFI,5,0),1,0)*Table_NFI[[#This Row],[Sanitary Kit]],Table_NFI[Sanitary Kit])</f>
        <v>0</v>
      </c>
      <c r="AB783" s="378">
        <f>IF(NFI_Expiration=1,IF($A783&lt;VLOOKUP(K$5,NFI,5,0),1,0)*Table_NFI[[#This Row],[Mosquito net]],Table_NFI[Mosquito net])</f>
        <v>0</v>
      </c>
      <c r="AC783" s="378">
        <f>IF(NFI_Expiration=1,IF($A783&lt;VLOOKUP(L$5,NFI,5,0),1,0)*Table_NFI[[#This Row],[Tarpaulin]],Table_NFI[[#This Row],[Tarpaulin]])</f>
        <v>0</v>
      </c>
      <c r="AD783" s="378">
        <f>IF(NFI_Expiration=1,IF($A783&lt;VLOOKUP(M$5,NFI,5,0),1,0)*Table_NFI[[#This Row],[Blanket]],Table_NFI[[#This Row],[Blanket]])</f>
        <v>0</v>
      </c>
      <c r="AE783" s="378">
        <f>IF(NFI_Expiration=1,IF($A783&lt;VLOOKUP(N$5,NFI,5,0),1,0)*Table_NFI[[#This Row],[Kitchen Set]],Table_NFI[Kitchen Set])</f>
        <v>0</v>
      </c>
      <c r="AF783" s="378">
        <f>IF(NFI_Expiration=1,IF($A783&lt;VLOOKUP(O$5,NFI,5,0),1,0)*Table_NFI[[#This Row],[Clothes Kit]],Table_NFI[Clothes Kit])</f>
        <v>0</v>
      </c>
      <c r="AG783" s="378">
        <f>IF(NFI_Expiration=1,IF($A783&lt;VLOOKUP(P$5,NFI,5,0),1,0)*Table_NFI[[#This Row],[Plastic Bucket]],Table_NFI[Plastic Bucket])</f>
        <v>0</v>
      </c>
      <c r="AH783" s="378">
        <f>IF(NFI_Expiration=1,IF($A783&lt;VLOOKUP(Q$5,NFI,5,0),1,0)*Table_NFI[[#This Row],[Plastic Mat]],Table_NFI[Plastic Mat])*IF(Table_NFI[[#This Row],[Distribution Date]]&gt;"2014-04-01",1,2.5)</f>
        <v>0</v>
      </c>
      <c r="AI783" s="378">
        <f>IF(NFI_Expiration=1,IF($A783&lt;VLOOKUP(R$5,NFI,5,0),1,0)*Table_NFI[[#This Row],[Winter Clothes Adult]],Table_NFI[Winter Clothes Adult])</f>
        <v>0</v>
      </c>
      <c r="AJ783" s="378">
        <f>IF(NFI_Expiration=1,IF($A783&lt;VLOOKUP(S$5,NFI,5,0),1,0)*Table_NFI[[#This Row],[Winter Clothes Children]],Table_NFI[Winter Clothes Children])</f>
        <v>0</v>
      </c>
      <c r="AK783" s="378">
        <f>IF(NFI_Expiration=1,IF($A783&lt;VLOOKUP(T$5,NFI,5,0),1,0)*Table_NFI[[#This Row],[Winter Items Other]],Table_NFI[Winter Items Other])</f>
        <v>0</v>
      </c>
      <c r="AL783" s="378">
        <f>IF(NFI_Expiration=1,IF($A783&lt;VLOOKUP(M$5,NFI,5,0),1,0)*Table_NFI[[#This Row],[Winter Blanket]],Table_NFI[[#This Row],[Winter Blanket]])</f>
        <v>0</v>
      </c>
      <c r="AM783" s="378">
        <f>IF(Table_NFI[[#This Row],[Winter Clothes Adult]]+Table_NFI[[#This Row],[Winter Clothes Children]]+Table_NFI[[#This Row],[Winter Items Other]]+Table_NFI[[#This Row],[Winter Blanket]]&gt;0,1,0)</f>
        <v>0</v>
      </c>
      <c r="AN783" s="418">
        <f>IF(NFI_Expiration=1,IF($A783&lt;VLOOKUP(V$5,NFI,5,0),1,0)*Table_NFI[[#This Row],[Jerry Can]],Table_NFI[Jerry Can])</f>
        <v>0</v>
      </c>
      <c r="AO783" s="579" t="str">
        <f>IFERROR(VLOOKUP(Table_NFI[[#This Row],[Camp Name]],CL,2,0),"")</f>
        <v>MMR001CMP041</v>
      </c>
      <c r="AP783" s="574">
        <f ca="1">IF(Table_NFI[[#This Row],[Pcode]]="","",IF(OFFSET(CampList[Opening Date],MATCH(Table_NFI[[#This Row],[Pcode]],CampList[CP_Pcode],0)-1,0,1,1)&gt;=NFI_Monitor_Date,1,0))</f>
        <v>0</v>
      </c>
      <c r="AQ783" s="579" t="str">
        <f>IFERROR(VLOOKUP(Table_NFI[[#This Row],[Camp Name]],CL,3,0),"")</f>
        <v>Open</v>
      </c>
      <c r="AR783" s="378" t="str">
        <f ca="1">IF(Table_NFI[[#This Row],[Pcode]]="","",OFFSET(CampList[Priority],MATCH(Table_NFI[[#This Row],[Pcode]],CampList[CP_Pcode],0)-1,0,1,1))</f>
        <v>P1</v>
      </c>
      <c r="AS783" s="377">
        <f>IFERROR(Table_NFI[[#This Row],[Kitchen Set]]/VLOOKUP(Table_NFI[[#This Row],[Camp Name]],CL,4,0),"")</f>
        <v>0</v>
      </c>
      <c r="AT783" s="572" t="s">
        <v>1095</v>
      </c>
      <c r="AU783" s="575"/>
    </row>
    <row r="784" spans="1:47" s="576" customFormat="1" x14ac:dyDescent="0.25">
      <c r="A784" s="381">
        <f t="shared" si="12"/>
        <v>40.56666666666667</v>
      </c>
      <c r="B784" s="571">
        <v>41305</v>
      </c>
      <c r="C784" s="572" t="s">
        <v>571</v>
      </c>
      <c r="D784" s="573" t="s">
        <v>571</v>
      </c>
      <c r="E784" s="572" t="s">
        <v>380</v>
      </c>
      <c r="F784" s="374" t="s">
        <v>310</v>
      </c>
      <c r="G784" s="374" t="s">
        <v>347</v>
      </c>
      <c r="H784" s="375"/>
      <c r="I784" s="375"/>
      <c r="J784" s="375"/>
      <c r="K784" s="375"/>
      <c r="L784" s="376"/>
      <c r="M784" s="376">
        <v>358</v>
      </c>
      <c r="N784" s="376"/>
      <c r="O784" s="376"/>
      <c r="P784" s="378">
        <v>0</v>
      </c>
      <c r="Q784" s="378">
        <v>0</v>
      </c>
      <c r="R784" s="378"/>
      <c r="S784" s="378"/>
      <c r="T784" s="378"/>
      <c r="U784" s="378"/>
      <c r="V784" s="533"/>
      <c r="W784" s="378"/>
      <c r="X784" s="378"/>
      <c r="Y784" s="378">
        <f>IF(NFI_Expiration=1,IF($A784&lt;VLOOKUP(H$5,NFI,5,0),1,0)*Table_NFI[[#This Row],[Hygiene Kit]],Table_NFI[Hygiene Kit])</f>
        <v>0</v>
      </c>
      <c r="Z784" s="378">
        <f>IF(NFI_Expiration=1,IF($A784&lt;VLOOKUP(I$5,NFI,5,0),1,0)*Table_NFI[[#This Row],[NFI Core Kit]],Table_NFI[NFI Core Kit])</f>
        <v>0</v>
      </c>
      <c r="AA784" s="378">
        <f>IF(NFI_Expiration=1,IF($A784&lt;VLOOKUP(J$5,NFI,5,0),1,0)*Table_NFI[[#This Row],[Sanitary Kit]],Table_NFI[Sanitary Kit])</f>
        <v>0</v>
      </c>
      <c r="AB784" s="378">
        <f>IF(NFI_Expiration=1,IF($A784&lt;VLOOKUP(K$5,NFI,5,0),1,0)*Table_NFI[[#This Row],[Mosquito net]],Table_NFI[Mosquito net])</f>
        <v>0</v>
      </c>
      <c r="AC784" s="378">
        <f>IF(NFI_Expiration=1,IF($A784&lt;VLOOKUP(L$5,NFI,5,0),1,0)*Table_NFI[[#This Row],[Tarpaulin]],Table_NFI[[#This Row],[Tarpaulin]])</f>
        <v>0</v>
      </c>
      <c r="AD784" s="378">
        <f>IF(NFI_Expiration=1,IF($A784&lt;VLOOKUP(M$5,NFI,5,0),1,0)*Table_NFI[[#This Row],[Blanket]],Table_NFI[[#This Row],[Blanket]])</f>
        <v>0</v>
      </c>
      <c r="AE784" s="378">
        <f>IF(NFI_Expiration=1,IF($A784&lt;VLOOKUP(N$5,NFI,5,0),1,0)*Table_NFI[[#This Row],[Kitchen Set]],Table_NFI[Kitchen Set])</f>
        <v>0</v>
      </c>
      <c r="AF784" s="378">
        <f>IF(NFI_Expiration=1,IF($A784&lt;VLOOKUP(O$5,NFI,5,0),1,0)*Table_NFI[[#This Row],[Clothes Kit]],Table_NFI[Clothes Kit])</f>
        <v>0</v>
      </c>
      <c r="AG784" s="378">
        <f>IF(NFI_Expiration=1,IF($A784&lt;VLOOKUP(P$5,NFI,5,0),1,0)*Table_NFI[[#This Row],[Plastic Bucket]],Table_NFI[Plastic Bucket])</f>
        <v>0</v>
      </c>
      <c r="AH784" s="378">
        <f>IF(NFI_Expiration=1,IF($A784&lt;VLOOKUP(Q$5,NFI,5,0),1,0)*Table_NFI[[#This Row],[Plastic Mat]],Table_NFI[Plastic Mat])*IF(Table_NFI[[#This Row],[Distribution Date]]&gt;"2014-04-01",1,2.5)</f>
        <v>0</v>
      </c>
      <c r="AI784" s="378">
        <f>IF(NFI_Expiration=1,IF($A784&lt;VLOOKUP(R$5,NFI,5,0),1,0)*Table_NFI[[#This Row],[Winter Clothes Adult]],Table_NFI[Winter Clothes Adult])</f>
        <v>0</v>
      </c>
      <c r="AJ784" s="378">
        <f>IF(NFI_Expiration=1,IF($A784&lt;VLOOKUP(S$5,NFI,5,0),1,0)*Table_NFI[[#This Row],[Winter Clothes Children]],Table_NFI[Winter Clothes Children])</f>
        <v>0</v>
      </c>
      <c r="AK784" s="378">
        <f>IF(NFI_Expiration=1,IF($A784&lt;VLOOKUP(T$5,NFI,5,0),1,0)*Table_NFI[[#This Row],[Winter Items Other]],Table_NFI[Winter Items Other])</f>
        <v>0</v>
      </c>
      <c r="AL784" s="378">
        <f>IF(NFI_Expiration=1,IF($A784&lt;VLOOKUP(M$5,NFI,5,0),1,0)*Table_NFI[[#This Row],[Winter Blanket]],Table_NFI[[#This Row],[Winter Blanket]])</f>
        <v>0</v>
      </c>
      <c r="AM784" s="378">
        <f>IF(Table_NFI[[#This Row],[Winter Clothes Adult]]+Table_NFI[[#This Row],[Winter Clothes Children]]+Table_NFI[[#This Row],[Winter Items Other]]+Table_NFI[[#This Row],[Winter Blanket]]&gt;0,1,0)</f>
        <v>0</v>
      </c>
      <c r="AN784" s="418">
        <f>IF(NFI_Expiration=1,IF($A784&lt;VLOOKUP(V$5,NFI,5,0),1,0)*Table_NFI[[#This Row],[Jerry Can]],Table_NFI[Jerry Can])</f>
        <v>0</v>
      </c>
      <c r="AO784" s="579" t="str">
        <f>IFERROR(VLOOKUP(Table_NFI[[#This Row],[Camp Name]],CL,2,0),"")</f>
        <v>MMR001CMP041</v>
      </c>
      <c r="AP784" s="574">
        <f ca="1">IF(Table_NFI[[#This Row],[Pcode]]="","",IF(OFFSET(CampList[Opening Date],MATCH(Table_NFI[[#This Row],[Pcode]],CampList[CP_Pcode],0)-1,0,1,1)&gt;=NFI_Monitor_Date,1,0))</f>
        <v>0</v>
      </c>
      <c r="AQ784" s="579" t="str">
        <f>IFERROR(VLOOKUP(Table_NFI[[#This Row],[Camp Name]],CL,3,0),"")</f>
        <v>Open</v>
      </c>
      <c r="AR784" s="378" t="str">
        <f ca="1">IF(Table_NFI[[#This Row],[Pcode]]="","",OFFSET(CampList[Priority],MATCH(Table_NFI[[#This Row],[Pcode]],CampList[CP_Pcode],0)-1,0,1,1))</f>
        <v>P1</v>
      </c>
      <c r="AS784" s="377">
        <f>IFERROR(Table_NFI[[#This Row],[Kitchen Set]]/VLOOKUP(Table_NFI[[#This Row],[Camp Name]],CL,4,0),"")</f>
        <v>0</v>
      </c>
      <c r="AT784" s="572" t="s">
        <v>1095</v>
      </c>
      <c r="AU784" s="575"/>
    </row>
    <row r="785" spans="1:47" s="576" customFormat="1" x14ac:dyDescent="0.25">
      <c r="A785" s="381">
        <f t="shared" si="12"/>
        <v>53.43333333333333</v>
      </c>
      <c r="B785" s="571">
        <v>40919</v>
      </c>
      <c r="C785" s="572" t="s">
        <v>454</v>
      </c>
      <c r="D785" s="573" t="s">
        <v>462</v>
      </c>
      <c r="E785" s="572" t="s">
        <v>380</v>
      </c>
      <c r="F785" s="374" t="s">
        <v>310</v>
      </c>
      <c r="G785" s="374" t="s">
        <v>347</v>
      </c>
      <c r="H785" s="375"/>
      <c r="I785" s="375"/>
      <c r="J785" s="375"/>
      <c r="K785" s="375">
        <v>536</v>
      </c>
      <c r="L785" s="376">
        <v>268</v>
      </c>
      <c r="M785" s="376">
        <v>536</v>
      </c>
      <c r="N785" s="376">
        <v>268</v>
      </c>
      <c r="O785" s="376">
        <v>268</v>
      </c>
      <c r="P785" s="378">
        <v>268</v>
      </c>
      <c r="Q785" s="378">
        <v>268</v>
      </c>
      <c r="R785" s="378"/>
      <c r="S785" s="378"/>
      <c r="T785" s="378"/>
      <c r="U785" s="378"/>
      <c r="V785" s="533"/>
      <c r="W785" s="378"/>
      <c r="X785" s="378"/>
      <c r="Y785" s="378">
        <f>IF(NFI_Expiration=1,IF($A785&lt;VLOOKUP(H$5,NFI,5,0),1,0)*Table_NFI[[#This Row],[Hygiene Kit]],Table_NFI[Hygiene Kit])</f>
        <v>0</v>
      </c>
      <c r="Z785" s="378">
        <f>IF(NFI_Expiration=1,IF($A785&lt;VLOOKUP(I$5,NFI,5,0),1,0)*Table_NFI[[#This Row],[NFI Core Kit]],Table_NFI[NFI Core Kit])</f>
        <v>0</v>
      </c>
      <c r="AA785" s="378">
        <f>IF(NFI_Expiration=1,IF($A785&lt;VLOOKUP(J$5,NFI,5,0),1,0)*Table_NFI[[#This Row],[Sanitary Kit]],Table_NFI[Sanitary Kit])</f>
        <v>0</v>
      </c>
      <c r="AB785" s="378">
        <f>IF(NFI_Expiration=1,IF($A785&lt;VLOOKUP(K$5,NFI,5,0),1,0)*Table_NFI[[#This Row],[Mosquito net]],Table_NFI[Mosquito net])</f>
        <v>0</v>
      </c>
      <c r="AC785" s="378">
        <f>IF(NFI_Expiration=1,IF($A785&lt;VLOOKUP(L$5,NFI,5,0),1,0)*Table_NFI[[#This Row],[Tarpaulin]],Table_NFI[[#This Row],[Tarpaulin]])</f>
        <v>0</v>
      </c>
      <c r="AD785" s="378">
        <f>IF(NFI_Expiration=1,IF($A785&lt;VLOOKUP(M$5,NFI,5,0),1,0)*Table_NFI[[#This Row],[Blanket]],Table_NFI[[#This Row],[Blanket]])</f>
        <v>0</v>
      </c>
      <c r="AE785" s="378">
        <f>IF(NFI_Expiration=1,IF($A785&lt;VLOOKUP(N$5,NFI,5,0),1,0)*Table_NFI[[#This Row],[Kitchen Set]],Table_NFI[Kitchen Set])</f>
        <v>0</v>
      </c>
      <c r="AF785" s="378">
        <f>IF(NFI_Expiration=1,IF($A785&lt;VLOOKUP(O$5,NFI,5,0),1,0)*Table_NFI[[#This Row],[Clothes Kit]],Table_NFI[Clothes Kit])</f>
        <v>0</v>
      </c>
      <c r="AG785" s="378">
        <f>IF(NFI_Expiration=1,IF($A785&lt;VLOOKUP(P$5,NFI,5,0),1,0)*Table_NFI[[#This Row],[Plastic Bucket]],Table_NFI[Plastic Bucket])</f>
        <v>0</v>
      </c>
      <c r="AH785" s="378">
        <f>IF(NFI_Expiration=1,IF($A785&lt;VLOOKUP(Q$5,NFI,5,0),1,0)*Table_NFI[[#This Row],[Plastic Mat]],Table_NFI[Plastic Mat])*IF(Table_NFI[[#This Row],[Distribution Date]]&gt;"2014-04-01",1,2.5)</f>
        <v>0</v>
      </c>
      <c r="AI785" s="378">
        <f>IF(NFI_Expiration=1,IF($A785&lt;VLOOKUP(R$5,NFI,5,0),1,0)*Table_NFI[[#This Row],[Winter Clothes Adult]],Table_NFI[Winter Clothes Adult])</f>
        <v>0</v>
      </c>
      <c r="AJ785" s="378">
        <f>IF(NFI_Expiration=1,IF($A785&lt;VLOOKUP(S$5,NFI,5,0),1,0)*Table_NFI[[#This Row],[Winter Clothes Children]],Table_NFI[Winter Clothes Children])</f>
        <v>0</v>
      </c>
      <c r="AK785" s="378">
        <f>IF(NFI_Expiration=1,IF($A785&lt;VLOOKUP(T$5,NFI,5,0),1,0)*Table_NFI[[#This Row],[Winter Items Other]],Table_NFI[Winter Items Other])</f>
        <v>0</v>
      </c>
      <c r="AL785" s="378">
        <f>IF(NFI_Expiration=1,IF($A785&lt;VLOOKUP(M$5,NFI,5,0),1,0)*Table_NFI[[#This Row],[Winter Blanket]],Table_NFI[[#This Row],[Winter Blanket]])</f>
        <v>0</v>
      </c>
      <c r="AM785" s="378">
        <f>IF(Table_NFI[[#This Row],[Winter Clothes Adult]]+Table_NFI[[#This Row],[Winter Clothes Children]]+Table_NFI[[#This Row],[Winter Items Other]]+Table_NFI[[#This Row],[Winter Blanket]]&gt;0,1,0)</f>
        <v>0</v>
      </c>
      <c r="AN785" s="418">
        <f>IF(NFI_Expiration=1,IF($A785&lt;VLOOKUP(V$5,NFI,5,0),1,0)*Table_NFI[[#This Row],[Jerry Can]],Table_NFI[Jerry Can])</f>
        <v>0</v>
      </c>
      <c r="AO785" s="579" t="str">
        <f>IFERROR(VLOOKUP(Table_NFI[[#This Row],[Camp Name]],CL,2,0),"")</f>
        <v>MMR001CMP041</v>
      </c>
      <c r="AP785" s="574">
        <f ca="1">IF(Table_NFI[[#This Row],[Pcode]]="","",IF(OFFSET(CampList[Opening Date],MATCH(Table_NFI[[#This Row],[Pcode]],CampList[CP_Pcode],0)-1,0,1,1)&gt;=NFI_Monitor_Date,1,0))</f>
        <v>0</v>
      </c>
      <c r="AQ785" s="579" t="str">
        <f>IFERROR(VLOOKUP(Table_NFI[[#This Row],[Camp Name]],CL,3,0),"")</f>
        <v>Open</v>
      </c>
      <c r="AR785" s="378" t="str">
        <f ca="1">IF(Table_NFI[[#This Row],[Pcode]]="","",OFFSET(CampList[Priority],MATCH(Table_NFI[[#This Row],[Pcode]],CampList[CP_Pcode],0)-1,0,1,1))</f>
        <v>P1</v>
      </c>
      <c r="AS785" s="377">
        <f>IFERROR(Table_NFI[[#This Row],[Kitchen Set]]/VLOOKUP(Table_NFI[[#This Row],[Camp Name]],CL,4,0),"")</f>
        <v>1.4972067039106145</v>
      </c>
      <c r="AT785" s="572" t="s">
        <v>1095</v>
      </c>
      <c r="AU785" s="575"/>
    </row>
    <row r="786" spans="1:47" x14ac:dyDescent="0.25">
      <c r="A786" s="381">
        <f t="shared" si="12"/>
        <v>6.2333333333333334</v>
      </c>
      <c r="B786" s="571">
        <v>42335</v>
      </c>
      <c r="C786" s="572" t="s">
        <v>454</v>
      </c>
      <c r="D786" s="572" t="s">
        <v>462</v>
      </c>
      <c r="E786" s="572" t="s">
        <v>380</v>
      </c>
      <c r="F786" s="572" t="s">
        <v>302</v>
      </c>
      <c r="G786" s="572" t="s">
        <v>1352</v>
      </c>
      <c r="H786" s="375"/>
      <c r="I786" s="378"/>
      <c r="J786" s="378"/>
      <c r="K786" s="378"/>
      <c r="L786" s="376">
        <v>9</v>
      </c>
      <c r="M786" s="376">
        <v>23</v>
      </c>
      <c r="N786" s="376">
        <v>10</v>
      </c>
      <c r="O786" s="376"/>
      <c r="P786" s="378">
        <v>8</v>
      </c>
      <c r="Q786" s="378">
        <v>24</v>
      </c>
      <c r="R786" s="378"/>
      <c r="S786" s="378"/>
      <c r="T786" s="378"/>
      <c r="U786" s="378"/>
      <c r="V786" s="533">
        <v>6</v>
      </c>
      <c r="W786" s="378"/>
      <c r="X786" s="378"/>
      <c r="Y786" s="378">
        <f>IF(NFI_Expiration=1,IF($A786&lt;VLOOKUP(H$5,NFI,5,0),1,0)*Table_NFI[[#This Row],[Hygiene Kit]],Table_NFI[Hygiene Kit])</f>
        <v>0</v>
      </c>
      <c r="Z786" s="378">
        <f>IF(NFI_Expiration=1,IF($A786&lt;VLOOKUP(I$5,NFI,5,0),1,0)*Table_NFI[[#This Row],[NFI Core Kit]],Table_NFI[NFI Core Kit])</f>
        <v>0</v>
      </c>
      <c r="AA786" s="378">
        <f>IF(NFI_Expiration=1,IF($A786&lt;VLOOKUP(J$5,NFI,5,0),1,0)*Table_NFI[[#This Row],[Sanitary Kit]],Table_NFI[Sanitary Kit])</f>
        <v>0</v>
      </c>
      <c r="AB786" s="378">
        <f>IF(NFI_Expiration=1,IF($A786&lt;VLOOKUP(K$5,NFI,5,0),1,0)*Table_NFI[[#This Row],[Mosquito net]],Table_NFI[Mosquito net])</f>
        <v>0</v>
      </c>
      <c r="AC786" s="378">
        <f>IF(NFI_Expiration=1,IF($A786&lt;VLOOKUP(L$5,NFI,5,0),1,0)*Table_NFI[[#This Row],[Tarpaulin]],Table_NFI[[#This Row],[Tarpaulin]])</f>
        <v>9</v>
      </c>
      <c r="AD786" s="378">
        <f>IF(NFI_Expiration=1,IF($A786&lt;VLOOKUP(M$5,NFI,5,0),1,0)*Table_NFI[[#This Row],[Blanket]],Table_NFI[[#This Row],[Blanket]])</f>
        <v>23</v>
      </c>
      <c r="AE786" s="378">
        <f>IF(NFI_Expiration=1,IF($A786&lt;VLOOKUP(N$5,NFI,5,0),1,0)*Table_NFI[[#This Row],[Kitchen Set]],Table_NFI[Kitchen Set])</f>
        <v>10</v>
      </c>
      <c r="AF786" s="378">
        <f>IF(NFI_Expiration=1,IF($A786&lt;VLOOKUP(O$5,NFI,5,0),1,0)*Table_NFI[[#This Row],[Clothes Kit]],Table_NFI[Clothes Kit])</f>
        <v>0</v>
      </c>
      <c r="AG786" s="378">
        <f>IF(NFI_Expiration=1,IF($A786&lt;VLOOKUP(P$5,NFI,5,0),1,0)*Table_NFI[[#This Row],[Plastic Bucket]],Table_NFI[Plastic Bucket])</f>
        <v>8</v>
      </c>
      <c r="AH786" s="378">
        <f>IF(NFI_Expiration=1,IF($A786&lt;VLOOKUP(Q$5,NFI,5,0),1,0)*Table_NFI[[#This Row],[Plastic Mat]],Table_NFI[Plastic Mat])*IF(Table_NFI[[#This Row],[Distribution Date]]&gt;"2014-04-01",1,2.5)</f>
        <v>60</v>
      </c>
      <c r="AI786" s="378">
        <f>IF(NFI_Expiration=1,IF($A786&lt;VLOOKUP(R$5,NFI,5,0),1,0)*Table_NFI[[#This Row],[Winter Clothes Adult]],Table_NFI[Winter Clothes Adult])</f>
        <v>0</v>
      </c>
      <c r="AJ786" s="378">
        <f>IF(NFI_Expiration=1,IF($A786&lt;VLOOKUP(S$5,NFI,5,0),1,0)*Table_NFI[[#This Row],[Winter Clothes Children]],Table_NFI[Winter Clothes Children])</f>
        <v>0</v>
      </c>
      <c r="AK786" s="378">
        <f>IF(NFI_Expiration=1,IF($A786&lt;VLOOKUP(T$5,NFI,5,0),1,0)*Table_NFI[[#This Row],[Winter Items Other]],Table_NFI[Winter Items Other])</f>
        <v>0</v>
      </c>
      <c r="AL786" s="378">
        <f>IF(NFI_Expiration=1,IF($A786&lt;VLOOKUP(M$5,NFI,5,0),1,0)*Table_NFI[[#This Row],[Winter Blanket]],Table_NFI[[#This Row],[Winter Blanket]])</f>
        <v>0</v>
      </c>
      <c r="AM786" s="378">
        <f>IF(Table_NFI[[#This Row],[Winter Clothes Adult]]+Table_NFI[[#This Row],[Winter Clothes Children]]+Table_NFI[[#This Row],[Winter Items Other]]+Table_NFI[[#This Row],[Winter Blanket]]&gt;0,1,0)</f>
        <v>0</v>
      </c>
      <c r="AN786" s="418">
        <f>IF(NFI_Expiration=1,IF($A786&lt;VLOOKUP(V$5,NFI,5,0),1,0)*Table_NFI[[#This Row],[Jerry Can]],Table_NFI[Jerry Can])</f>
        <v>6</v>
      </c>
      <c r="AO786" s="579" t="str">
        <f>IFERROR(VLOOKUP(Table_NFI[[#This Row],[Camp Name]],CL,2,0),"")</f>
        <v/>
      </c>
      <c r="AP786" s="574" t="str">
        <f ca="1">IF(Table_NFI[[#This Row],[Pcode]]="","",IF(OFFSET(CampList[Opening Date],MATCH(Table_NFI[[#This Row],[Pcode]],CampList[CP_Pcode],0)-1,0,1,1)&gt;=NFI_Monitor_Date,1,0))</f>
        <v/>
      </c>
      <c r="AQ786" s="579" t="str">
        <f>IFERROR(VLOOKUP(Table_NFI[[#This Row],[Camp Name]],CL,3,0),"")</f>
        <v/>
      </c>
      <c r="AR786" s="378" t="str">
        <f ca="1">IF(Table_NFI[[#This Row],[Pcode]]="","",OFFSET(CampList[Priority],MATCH(Table_NFI[[#This Row],[Pcode]],CampList[CP_Pcode],0)-1,0,1,1))</f>
        <v/>
      </c>
      <c r="AS786" s="377" t="str">
        <f>IFERROR(Table_NFI[[#This Row],[Kitchen Set]]/VLOOKUP(Table_NFI[[#This Row],[Camp Name]],CL,4,0),"")</f>
        <v/>
      </c>
      <c r="AT786" s="572" t="s">
        <v>1095</v>
      </c>
      <c r="AU786" s="601"/>
    </row>
    <row r="787" spans="1:47" x14ac:dyDescent="0.25">
      <c r="A787" s="381">
        <f t="shared" si="12"/>
        <v>6.3</v>
      </c>
      <c r="B787" s="571">
        <v>42333</v>
      </c>
      <c r="C787" s="572" t="s">
        <v>454</v>
      </c>
      <c r="D787" s="572" t="s">
        <v>462</v>
      </c>
      <c r="E787" s="572" t="s">
        <v>380</v>
      </c>
      <c r="F787" s="572" t="s">
        <v>302</v>
      </c>
      <c r="G787" s="572" t="s">
        <v>306</v>
      </c>
      <c r="H787" s="375"/>
      <c r="I787" s="375"/>
      <c r="J787" s="375"/>
      <c r="K787" s="375"/>
      <c r="L787" s="376">
        <v>4</v>
      </c>
      <c r="M787" s="376">
        <v>16</v>
      </c>
      <c r="N787" s="376">
        <v>4</v>
      </c>
      <c r="O787" s="376"/>
      <c r="P787" s="378">
        <v>4</v>
      </c>
      <c r="Q787" s="378">
        <v>23</v>
      </c>
      <c r="R787" s="378"/>
      <c r="S787" s="378"/>
      <c r="T787" s="378"/>
      <c r="U787" s="378"/>
      <c r="V787" s="533">
        <v>7</v>
      </c>
      <c r="W787" s="378"/>
      <c r="X787" s="378"/>
      <c r="Y787" s="378">
        <f>IF(NFI_Expiration=1,IF($A787&lt;VLOOKUP(H$5,NFI,5,0),1,0)*Table_NFI[[#This Row],[Hygiene Kit]],Table_NFI[Hygiene Kit])</f>
        <v>0</v>
      </c>
      <c r="Z787" s="378">
        <f>IF(NFI_Expiration=1,IF($A787&lt;VLOOKUP(I$5,NFI,5,0),1,0)*Table_NFI[[#This Row],[NFI Core Kit]],Table_NFI[NFI Core Kit])</f>
        <v>0</v>
      </c>
      <c r="AA787" s="378">
        <f>IF(NFI_Expiration=1,IF($A787&lt;VLOOKUP(J$5,NFI,5,0),1,0)*Table_NFI[[#This Row],[Sanitary Kit]],Table_NFI[Sanitary Kit])</f>
        <v>0</v>
      </c>
      <c r="AB787" s="378">
        <f>IF(NFI_Expiration=1,IF($A787&lt;VLOOKUP(K$5,NFI,5,0),1,0)*Table_NFI[[#This Row],[Mosquito net]],Table_NFI[Mosquito net])</f>
        <v>0</v>
      </c>
      <c r="AC787" s="378">
        <f>IF(NFI_Expiration=1,IF($A787&lt;VLOOKUP(L$5,NFI,5,0),1,0)*Table_NFI[[#This Row],[Tarpaulin]],Table_NFI[[#This Row],[Tarpaulin]])</f>
        <v>4</v>
      </c>
      <c r="AD787" s="378">
        <f>IF(NFI_Expiration=1,IF($A787&lt;VLOOKUP(M$5,NFI,5,0),1,0)*Table_NFI[[#This Row],[Blanket]],Table_NFI[[#This Row],[Blanket]])</f>
        <v>16</v>
      </c>
      <c r="AE787" s="378">
        <f>IF(NFI_Expiration=1,IF($A787&lt;VLOOKUP(N$5,NFI,5,0),1,0)*Table_NFI[[#This Row],[Kitchen Set]],Table_NFI[Kitchen Set])</f>
        <v>4</v>
      </c>
      <c r="AF787" s="378">
        <f>IF(NFI_Expiration=1,IF($A787&lt;VLOOKUP(O$5,NFI,5,0),1,0)*Table_NFI[[#This Row],[Clothes Kit]],Table_NFI[Clothes Kit])</f>
        <v>0</v>
      </c>
      <c r="AG787" s="378">
        <f>IF(NFI_Expiration=1,IF($A787&lt;VLOOKUP(P$5,NFI,5,0),1,0)*Table_NFI[[#This Row],[Plastic Bucket]],Table_NFI[Plastic Bucket])</f>
        <v>4</v>
      </c>
      <c r="AH787" s="378">
        <f>IF(NFI_Expiration=1,IF($A787&lt;VLOOKUP(Q$5,NFI,5,0),1,0)*Table_NFI[[#This Row],[Plastic Mat]],Table_NFI[Plastic Mat])*IF(Table_NFI[[#This Row],[Distribution Date]]&gt;"2014-04-01",1,2.5)</f>
        <v>57.5</v>
      </c>
      <c r="AI787" s="378">
        <f>IF(NFI_Expiration=1,IF($A787&lt;VLOOKUP(R$5,NFI,5,0),1,0)*Table_NFI[[#This Row],[Winter Clothes Adult]],Table_NFI[Winter Clothes Adult])</f>
        <v>0</v>
      </c>
      <c r="AJ787" s="378">
        <f>IF(NFI_Expiration=1,IF($A787&lt;VLOOKUP(S$5,NFI,5,0),1,0)*Table_NFI[[#This Row],[Winter Clothes Children]],Table_NFI[Winter Clothes Children])</f>
        <v>0</v>
      </c>
      <c r="AK787" s="378">
        <f>IF(NFI_Expiration=1,IF($A787&lt;VLOOKUP(T$5,NFI,5,0),1,0)*Table_NFI[[#This Row],[Winter Items Other]],Table_NFI[Winter Items Other])</f>
        <v>0</v>
      </c>
      <c r="AL787" s="378">
        <f>IF(NFI_Expiration=1,IF($A787&lt;VLOOKUP(M$5,NFI,5,0),1,0)*Table_NFI[[#This Row],[Winter Blanket]],Table_NFI[[#This Row],[Winter Blanket]])</f>
        <v>0</v>
      </c>
      <c r="AM787" s="378">
        <f>IF(Table_NFI[[#This Row],[Winter Clothes Adult]]+Table_NFI[[#This Row],[Winter Clothes Children]]+Table_NFI[[#This Row],[Winter Items Other]]+Table_NFI[[#This Row],[Winter Blanket]]&gt;0,1,0)</f>
        <v>0</v>
      </c>
      <c r="AN787" s="418">
        <f>IF(NFI_Expiration=1,IF($A787&lt;VLOOKUP(V$5,NFI,5,0),1,0)*Table_NFI[[#This Row],[Jerry Can]],Table_NFI[Jerry Can])</f>
        <v>7</v>
      </c>
      <c r="AO787" s="579" t="str">
        <f>IFERROR(VLOOKUP(Table_NFI[[#This Row],[Camp Name]],CL,2,0),"")</f>
        <v>MMR001CMP067</v>
      </c>
      <c r="AP787" s="574">
        <f ca="1">IF(Table_NFI[[#This Row],[Pcode]]="","",IF(OFFSET(CampList[Opening Date],MATCH(Table_NFI[[#This Row],[Pcode]],CampList[CP_Pcode],0)-1,0,1,1)&gt;=NFI_Monitor_Date,1,0))</f>
        <v>0</v>
      </c>
      <c r="AQ787" s="579" t="str">
        <f>IFERROR(VLOOKUP(Table_NFI[[#This Row],[Camp Name]],CL,3,0),"")</f>
        <v>Open</v>
      </c>
      <c r="AR787" s="378" t="str">
        <f ca="1">IF(Table_NFI[[#This Row],[Pcode]]="","",OFFSET(CampList[Priority],MATCH(Table_NFI[[#This Row],[Pcode]],CampList[CP_Pcode],0)-1,0,1,1))</f>
        <v>P4</v>
      </c>
      <c r="AS787" s="377">
        <f>IFERROR(Table_NFI[[#This Row],[Kitchen Set]]/VLOOKUP(Table_NFI[[#This Row],[Camp Name]],CL,4,0),"")</f>
        <v>4.6511627906976744E-2</v>
      </c>
      <c r="AT787" s="572" t="s">
        <v>1095</v>
      </c>
      <c r="AU787" s="575"/>
    </row>
    <row r="788" spans="1:47" x14ac:dyDescent="0.25">
      <c r="A788" s="381">
        <f t="shared" si="12"/>
        <v>23.9</v>
      </c>
      <c r="B788" s="571">
        <v>41805</v>
      </c>
      <c r="C788" s="572" t="s">
        <v>1107</v>
      </c>
      <c r="D788" s="572" t="s">
        <v>903</v>
      </c>
      <c r="E788" s="572" t="s">
        <v>380</v>
      </c>
      <c r="F788" s="572" t="s">
        <v>302</v>
      </c>
      <c r="G788" s="572" t="s">
        <v>306</v>
      </c>
      <c r="H788" s="375"/>
      <c r="I788" s="375"/>
      <c r="J788" s="375"/>
      <c r="K788" s="375"/>
      <c r="L788" s="376"/>
      <c r="M788" s="376"/>
      <c r="N788" s="376"/>
      <c r="O788" s="376"/>
      <c r="P788" s="378"/>
      <c r="Q788" s="378"/>
      <c r="R788" s="378"/>
      <c r="S788" s="378"/>
      <c r="T788" s="378"/>
      <c r="U788" s="378">
        <v>158</v>
      </c>
      <c r="V788" s="533"/>
      <c r="W788" s="378"/>
      <c r="X788" s="378"/>
      <c r="Y788" s="378">
        <f>IF(NFI_Expiration=1,IF($A788&lt;VLOOKUP(H$5,NFI,5,0),1,0)*Table_NFI[[#This Row],[Hygiene Kit]],Table_NFI[Hygiene Kit])</f>
        <v>0</v>
      </c>
      <c r="Z788" s="378">
        <f>IF(NFI_Expiration=1,IF($A788&lt;VLOOKUP(I$5,NFI,5,0),1,0)*Table_NFI[[#This Row],[NFI Core Kit]],Table_NFI[NFI Core Kit])</f>
        <v>0</v>
      </c>
      <c r="AA788" s="378">
        <f>IF(NFI_Expiration=1,IF($A788&lt;VLOOKUP(J$5,NFI,5,0),1,0)*Table_NFI[[#This Row],[Sanitary Kit]],Table_NFI[Sanitary Kit])</f>
        <v>0</v>
      </c>
      <c r="AB788" s="378">
        <f>IF(NFI_Expiration=1,IF($A788&lt;VLOOKUP(K$5,NFI,5,0),1,0)*Table_NFI[[#This Row],[Mosquito net]],Table_NFI[Mosquito net])</f>
        <v>0</v>
      </c>
      <c r="AC788" s="378">
        <f>IF(NFI_Expiration=1,IF($A788&lt;VLOOKUP(L$5,NFI,5,0),1,0)*Table_NFI[[#This Row],[Tarpaulin]],Table_NFI[[#This Row],[Tarpaulin]])</f>
        <v>0</v>
      </c>
      <c r="AD788" s="378">
        <f>IF(NFI_Expiration=1,IF($A788&lt;VLOOKUP(M$5,NFI,5,0),1,0)*Table_NFI[[#This Row],[Blanket]],Table_NFI[[#This Row],[Blanket]])</f>
        <v>0</v>
      </c>
      <c r="AE788" s="378">
        <f>IF(NFI_Expiration=1,IF($A788&lt;VLOOKUP(N$5,NFI,5,0),1,0)*Table_NFI[[#This Row],[Kitchen Set]],Table_NFI[Kitchen Set])</f>
        <v>0</v>
      </c>
      <c r="AF788" s="378">
        <f>IF(NFI_Expiration=1,IF($A788&lt;VLOOKUP(O$5,NFI,5,0),1,0)*Table_NFI[[#This Row],[Clothes Kit]],Table_NFI[Clothes Kit])</f>
        <v>0</v>
      </c>
      <c r="AG788" s="378">
        <f>IF(NFI_Expiration=1,IF($A788&lt;VLOOKUP(P$5,NFI,5,0),1,0)*Table_NFI[[#This Row],[Plastic Bucket]],Table_NFI[Plastic Bucket])</f>
        <v>0</v>
      </c>
      <c r="AH788" s="378">
        <f>IF(NFI_Expiration=1,IF($A788&lt;VLOOKUP(Q$5,NFI,5,0),1,0)*Table_NFI[[#This Row],[Plastic Mat]],Table_NFI[Plastic Mat])*IF(Table_NFI[[#This Row],[Distribution Date]]&gt;"2014-04-01",1,2.5)</f>
        <v>0</v>
      </c>
      <c r="AI788" s="378">
        <f>IF(NFI_Expiration=1,IF($A788&lt;VLOOKUP(R$5,NFI,5,0),1,0)*Table_NFI[[#This Row],[Winter Clothes Adult]],Table_NFI[Winter Clothes Adult])</f>
        <v>0</v>
      </c>
      <c r="AJ788" s="378">
        <f>IF(NFI_Expiration=1,IF($A788&lt;VLOOKUP(S$5,NFI,5,0),1,0)*Table_NFI[[#This Row],[Winter Clothes Children]],Table_NFI[Winter Clothes Children])</f>
        <v>0</v>
      </c>
      <c r="AK788" s="378">
        <f>IF(NFI_Expiration=1,IF($A788&lt;VLOOKUP(T$5,NFI,5,0),1,0)*Table_NFI[[#This Row],[Winter Items Other]],Table_NFI[Winter Items Other])</f>
        <v>0</v>
      </c>
      <c r="AL788" s="378">
        <f>IF(NFI_Expiration=1,IF($A788&lt;VLOOKUP(M$5,NFI,5,0),1,0)*Table_NFI[[#This Row],[Winter Blanket]],Table_NFI[[#This Row],[Winter Blanket]])</f>
        <v>0</v>
      </c>
      <c r="AM788" s="378">
        <f>IF(Table_NFI[[#This Row],[Winter Clothes Adult]]+Table_NFI[[#This Row],[Winter Clothes Children]]+Table_NFI[[#This Row],[Winter Items Other]]+Table_NFI[[#This Row],[Winter Blanket]]&gt;0,1,0)</f>
        <v>1</v>
      </c>
      <c r="AN788" s="418">
        <f>IF(NFI_Expiration=1,IF($A788&lt;VLOOKUP(V$5,NFI,5,0),1,0)*Table_NFI[[#This Row],[Jerry Can]],Table_NFI[Jerry Can])</f>
        <v>0</v>
      </c>
      <c r="AO788" s="579" t="str">
        <f>IFERROR(VLOOKUP(Table_NFI[[#This Row],[Camp Name]],CL,2,0),"")</f>
        <v>MMR001CMP067</v>
      </c>
      <c r="AP788" s="574">
        <f ca="1">IF(Table_NFI[[#This Row],[Pcode]]="","",IF(OFFSET(CampList[Opening Date],MATCH(Table_NFI[[#This Row],[Pcode]],CampList[CP_Pcode],0)-1,0,1,1)&gt;=NFI_Monitor_Date,1,0))</f>
        <v>0</v>
      </c>
      <c r="AQ788" s="579" t="str">
        <f>IFERROR(VLOOKUP(Table_NFI[[#This Row],[Camp Name]],CL,3,0),"")</f>
        <v>Open</v>
      </c>
      <c r="AR788" s="378" t="str">
        <f ca="1">IF(Table_NFI[[#This Row],[Pcode]]="","",OFFSET(CampList[Priority],MATCH(Table_NFI[[#This Row],[Pcode]],CampList[CP_Pcode],0)-1,0,1,1))</f>
        <v>P4</v>
      </c>
      <c r="AS788" s="377">
        <f>IFERROR(Table_NFI[[#This Row],[Kitchen Set]]/VLOOKUP(Table_NFI[[#This Row],[Camp Name]],CL,4,0),"")</f>
        <v>0</v>
      </c>
      <c r="AT788" s="572"/>
      <c r="AU788" s="575"/>
    </row>
    <row r="789" spans="1:47" x14ac:dyDescent="0.25">
      <c r="A789" s="381">
        <f t="shared" si="12"/>
        <v>30.466666666666665</v>
      </c>
      <c r="B789" s="571">
        <v>41608</v>
      </c>
      <c r="C789" s="572" t="s">
        <v>1100</v>
      </c>
      <c r="D789" s="573" t="s">
        <v>947</v>
      </c>
      <c r="E789" s="572" t="s">
        <v>380</v>
      </c>
      <c r="F789" s="374" t="s">
        <v>302</v>
      </c>
      <c r="G789" s="374" t="s">
        <v>306</v>
      </c>
      <c r="H789" s="375"/>
      <c r="I789" s="375"/>
      <c r="J789" s="375"/>
      <c r="K789" s="375"/>
      <c r="L789" s="376"/>
      <c r="M789" s="376">
        <v>197</v>
      </c>
      <c r="N789" s="376"/>
      <c r="O789" s="376"/>
      <c r="P789" s="378"/>
      <c r="Q789" s="378"/>
      <c r="R789" s="378">
        <v>226</v>
      </c>
      <c r="S789" s="378">
        <v>68</v>
      </c>
      <c r="T789" s="378">
        <v>0</v>
      </c>
      <c r="U789" s="378"/>
      <c r="V789" s="533"/>
      <c r="W789" s="378"/>
      <c r="X789" s="378"/>
      <c r="Y789" s="378">
        <f>IF(NFI_Expiration=1,IF($A789&lt;VLOOKUP(H$5,NFI,5,0),1,0)*Table_NFI[[#This Row],[Hygiene Kit]],Table_NFI[Hygiene Kit])</f>
        <v>0</v>
      </c>
      <c r="Z789" s="378">
        <f>IF(NFI_Expiration=1,IF($A789&lt;VLOOKUP(I$5,NFI,5,0),1,0)*Table_NFI[[#This Row],[NFI Core Kit]],Table_NFI[NFI Core Kit])</f>
        <v>0</v>
      </c>
      <c r="AA789" s="378">
        <f>IF(NFI_Expiration=1,IF($A789&lt;VLOOKUP(J$5,NFI,5,0),1,0)*Table_NFI[[#This Row],[Sanitary Kit]],Table_NFI[Sanitary Kit])</f>
        <v>0</v>
      </c>
      <c r="AB789" s="378">
        <f>IF(NFI_Expiration=1,IF($A789&lt;VLOOKUP(K$5,NFI,5,0),1,0)*Table_NFI[[#This Row],[Mosquito net]],Table_NFI[Mosquito net])</f>
        <v>0</v>
      </c>
      <c r="AC789" s="378">
        <f>IF(NFI_Expiration=1,IF($A789&lt;VLOOKUP(L$5,NFI,5,0),1,0)*Table_NFI[[#This Row],[Tarpaulin]],Table_NFI[[#This Row],[Tarpaulin]])</f>
        <v>0</v>
      </c>
      <c r="AD789" s="378">
        <f>IF(NFI_Expiration=1,IF($A789&lt;VLOOKUP(M$5,NFI,5,0),1,0)*Table_NFI[[#This Row],[Blanket]],Table_NFI[[#This Row],[Blanket]])</f>
        <v>0</v>
      </c>
      <c r="AE789" s="378">
        <f>IF(NFI_Expiration=1,IF($A789&lt;VLOOKUP(N$5,NFI,5,0),1,0)*Table_NFI[[#This Row],[Kitchen Set]],Table_NFI[Kitchen Set])</f>
        <v>0</v>
      </c>
      <c r="AF789" s="378">
        <f>IF(NFI_Expiration=1,IF($A789&lt;VLOOKUP(O$5,NFI,5,0),1,0)*Table_NFI[[#This Row],[Clothes Kit]],Table_NFI[Clothes Kit])</f>
        <v>0</v>
      </c>
      <c r="AG789" s="378">
        <f>IF(NFI_Expiration=1,IF($A789&lt;VLOOKUP(P$5,NFI,5,0),1,0)*Table_NFI[[#This Row],[Plastic Bucket]],Table_NFI[Plastic Bucket])</f>
        <v>0</v>
      </c>
      <c r="AH789" s="378">
        <f>IF(NFI_Expiration=1,IF($A789&lt;VLOOKUP(Q$5,NFI,5,0),1,0)*Table_NFI[[#This Row],[Plastic Mat]],Table_NFI[Plastic Mat])*IF(Table_NFI[[#This Row],[Distribution Date]]&gt;"2014-04-01",1,2.5)</f>
        <v>0</v>
      </c>
      <c r="AI789" s="378">
        <f>IF(NFI_Expiration=1,IF($A789&lt;VLOOKUP(R$5,NFI,5,0),1,0)*Table_NFI[[#This Row],[Winter Clothes Adult]],Table_NFI[Winter Clothes Adult])</f>
        <v>0</v>
      </c>
      <c r="AJ789" s="378">
        <f>IF(NFI_Expiration=1,IF($A789&lt;VLOOKUP(S$5,NFI,5,0),1,0)*Table_NFI[[#This Row],[Winter Clothes Children]],Table_NFI[Winter Clothes Children])</f>
        <v>0</v>
      </c>
      <c r="AK789" s="378">
        <f>IF(NFI_Expiration=1,IF($A789&lt;VLOOKUP(T$5,NFI,5,0),1,0)*Table_NFI[[#This Row],[Winter Items Other]],Table_NFI[Winter Items Other])</f>
        <v>0</v>
      </c>
      <c r="AL789" s="378">
        <f>IF(NFI_Expiration=1,IF($A789&lt;VLOOKUP(M$5,NFI,5,0),1,0)*Table_NFI[[#This Row],[Winter Blanket]],Table_NFI[[#This Row],[Winter Blanket]])</f>
        <v>0</v>
      </c>
      <c r="AM789" s="378">
        <f>IF(Table_NFI[[#This Row],[Winter Clothes Adult]]+Table_NFI[[#This Row],[Winter Clothes Children]]+Table_NFI[[#This Row],[Winter Items Other]]+Table_NFI[[#This Row],[Winter Blanket]]&gt;0,1,0)</f>
        <v>1</v>
      </c>
      <c r="AN789" s="418">
        <f>IF(NFI_Expiration=1,IF($A789&lt;VLOOKUP(V$5,NFI,5,0),1,0)*Table_NFI[[#This Row],[Jerry Can]],Table_NFI[Jerry Can])</f>
        <v>0</v>
      </c>
      <c r="AO789" s="579" t="str">
        <f>IFERROR(VLOOKUP(Table_NFI[[#This Row],[Camp Name]],CL,2,0),"")</f>
        <v>MMR001CMP067</v>
      </c>
      <c r="AP789" s="574">
        <f ca="1">IF(Table_NFI[[#This Row],[Pcode]]="","",IF(OFFSET(CampList[Opening Date],MATCH(Table_NFI[[#This Row],[Pcode]],CampList[CP_Pcode],0)-1,0,1,1)&gt;=NFI_Monitor_Date,1,0))</f>
        <v>0</v>
      </c>
      <c r="AQ789" s="579" t="str">
        <f>IFERROR(VLOOKUP(Table_NFI[[#This Row],[Camp Name]],CL,3,0),"")</f>
        <v>Open</v>
      </c>
      <c r="AR789" s="378" t="str">
        <f ca="1">IF(Table_NFI[[#This Row],[Pcode]]="","",OFFSET(CampList[Priority],MATCH(Table_NFI[[#This Row],[Pcode]],CampList[CP_Pcode],0)-1,0,1,1))</f>
        <v>P4</v>
      </c>
      <c r="AS789" s="377">
        <f>IFERROR(Table_NFI[[#This Row],[Kitchen Set]]/VLOOKUP(Table_NFI[[#This Row],[Camp Name]],CL,4,0),"")</f>
        <v>0</v>
      </c>
      <c r="AT789" s="572" t="s">
        <v>1095</v>
      </c>
      <c r="AU789" s="575"/>
    </row>
    <row r="790" spans="1:47" x14ac:dyDescent="0.25">
      <c r="A790" s="381">
        <f t="shared" si="12"/>
        <v>30.466666666666665</v>
      </c>
      <c r="B790" s="571">
        <v>41608</v>
      </c>
      <c r="C790" s="572" t="s">
        <v>908</v>
      </c>
      <c r="D790" s="572"/>
      <c r="E790" s="572" t="s">
        <v>380</v>
      </c>
      <c r="F790" s="374" t="s">
        <v>302</v>
      </c>
      <c r="G790" s="374" t="s">
        <v>306</v>
      </c>
      <c r="H790" s="375"/>
      <c r="I790" s="375"/>
      <c r="J790" s="375"/>
      <c r="K790" s="375"/>
      <c r="L790" s="376"/>
      <c r="M790" s="376"/>
      <c r="N790" s="376"/>
      <c r="O790" s="376"/>
      <c r="P790" s="378"/>
      <c r="Q790" s="378">
        <v>204</v>
      </c>
      <c r="R790" s="378"/>
      <c r="S790" s="378"/>
      <c r="T790" s="378"/>
      <c r="U790" s="378"/>
      <c r="V790" s="533"/>
      <c r="W790" s="378"/>
      <c r="X790" s="378"/>
      <c r="Y790" s="378">
        <f>IF(NFI_Expiration=1,IF($A790&lt;VLOOKUP(H$5,NFI,5,0),1,0)*Table_NFI[[#This Row],[Hygiene Kit]],Table_NFI[Hygiene Kit])</f>
        <v>0</v>
      </c>
      <c r="Z790" s="378">
        <f>IF(NFI_Expiration=1,IF($A790&lt;VLOOKUP(I$5,NFI,5,0),1,0)*Table_NFI[[#This Row],[NFI Core Kit]],Table_NFI[NFI Core Kit])</f>
        <v>0</v>
      </c>
      <c r="AA790" s="378">
        <f>IF(NFI_Expiration=1,IF($A790&lt;VLOOKUP(J$5,NFI,5,0),1,0)*Table_NFI[[#This Row],[Sanitary Kit]],Table_NFI[Sanitary Kit])</f>
        <v>0</v>
      </c>
      <c r="AB790" s="378">
        <f>IF(NFI_Expiration=1,IF($A790&lt;VLOOKUP(K$5,NFI,5,0),1,0)*Table_NFI[[#This Row],[Mosquito net]],Table_NFI[Mosquito net])</f>
        <v>0</v>
      </c>
      <c r="AC790" s="378">
        <f>IF(NFI_Expiration=1,IF($A790&lt;VLOOKUP(L$5,NFI,5,0),1,0)*Table_NFI[[#This Row],[Tarpaulin]],Table_NFI[[#This Row],[Tarpaulin]])</f>
        <v>0</v>
      </c>
      <c r="AD790" s="378">
        <f>IF(NFI_Expiration=1,IF($A790&lt;VLOOKUP(M$5,NFI,5,0),1,0)*Table_NFI[[#This Row],[Blanket]],Table_NFI[[#This Row],[Blanket]])</f>
        <v>0</v>
      </c>
      <c r="AE790" s="378">
        <f>IF(NFI_Expiration=1,IF($A790&lt;VLOOKUP(N$5,NFI,5,0),1,0)*Table_NFI[[#This Row],[Kitchen Set]],Table_NFI[Kitchen Set])</f>
        <v>0</v>
      </c>
      <c r="AF790" s="378">
        <f>IF(NFI_Expiration=1,IF($A790&lt;VLOOKUP(O$5,NFI,5,0),1,0)*Table_NFI[[#This Row],[Clothes Kit]],Table_NFI[Clothes Kit])</f>
        <v>0</v>
      </c>
      <c r="AG790" s="378">
        <f>IF(NFI_Expiration=1,IF($A790&lt;VLOOKUP(P$5,NFI,5,0),1,0)*Table_NFI[[#This Row],[Plastic Bucket]],Table_NFI[Plastic Bucket])</f>
        <v>0</v>
      </c>
      <c r="AH790" s="378">
        <f>IF(NFI_Expiration=1,IF($A790&lt;VLOOKUP(Q$5,NFI,5,0),1,0)*Table_NFI[[#This Row],[Plastic Mat]],Table_NFI[Plastic Mat])*IF(Table_NFI[[#This Row],[Distribution Date]]&gt;"2014-04-01",1,2.5)</f>
        <v>0</v>
      </c>
      <c r="AI790" s="378">
        <f>IF(NFI_Expiration=1,IF($A790&lt;VLOOKUP(R$5,NFI,5,0),1,0)*Table_NFI[[#This Row],[Winter Clothes Adult]],Table_NFI[Winter Clothes Adult])</f>
        <v>0</v>
      </c>
      <c r="AJ790" s="378">
        <f>IF(NFI_Expiration=1,IF($A790&lt;VLOOKUP(S$5,NFI,5,0),1,0)*Table_NFI[[#This Row],[Winter Clothes Children]],Table_NFI[Winter Clothes Children])</f>
        <v>0</v>
      </c>
      <c r="AK790" s="378">
        <f>IF(NFI_Expiration=1,IF($A790&lt;VLOOKUP(T$5,NFI,5,0),1,0)*Table_NFI[[#This Row],[Winter Items Other]],Table_NFI[Winter Items Other])</f>
        <v>0</v>
      </c>
      <c r="AL790" s="378">
        <f>IF(NFI_Expiration=1,IF($A790&lt;VLOOKUP(M$5,NFI,5,0),1,0)*Table_NFI[[#This Row],[Winter Blanket]],Table_NFI[[#This Row],[Winter Blanket]])</f>
        <v>0</v>
      </c>
      <c r="AM790" s="378">
        <f>IF(Table_NFI[[#This Row],[Winter Clothes Adult]]+Table_NFI[[#This Row],[Winter Clothes Children]]+Table_NFI[[#This Row],[Winter Items Other]]+Table_NFI[[#This Row],[Winter Blanket]]&gt;0,1,0)</f>
        <v>0</v>
      </c>
      <c r="AN790" s="418">
        <f>IF(NFI_Expiration=1,IF($A790&lt;VLOOKUP(V$5,NFI,5,0),1,0)*Table_NFI[[#This Row],[Jerry Can]],Table_NFI[Jerry Can])</f>
        <v>0</v>
      </c>
      <c r="AO790" s="579" t="str">
        <f>IFERROR(VLOOKUP(Table_NFI[[#This Row],[Camp Name]],CL,2,0),"")</f>
        <v>MMR001CMP067</v>
      </c>
      <c r="AP790" s="574">
        <f ca="1">IF(Table_NFI[[#This Row],[Pcode]]="","",IF(OFFSET(CampList[Opening Date],MATCH(Table_NFI[[#This Row],[Pcode]],CampList[CP_Pcode],0)-1,0,1,1)&gt;=NFI_Monitor_Date,1,0))</f>
        <v>0</v>
      </c>
      <c r="AQ790" s="579" t="str">
        <f>IFERROR(VLOOKUP(Table_NFI[[#This Row],[Camp Name]],CL,3,0),"")</f>
        <v>Open</v>
      </c>
      <c r="AR790" s="378" t="str">
        <f ca="1">IF(Table_NFI[[#This Row],[Pcode]]="","",OFFSET(CampList[Priority],MATCH(Table_NFI[[#This Row],[Pcode]],CampList[CP_Pcode],0)-1,0,1,1))</f>
        <v>P4</v>
      </c>
      <c r="AS790" s="377">
        <f>IFERROR(Table_NFI[[#This Row],[Kitchen Set]]/VLOOKUP(Table_NFI[[#This Row],[Camp Name]],CL,4,0),"")</f>
        <v>0</v>
      </c>
      <c r="AT790" s="572" t="s">
        <v>1095</v>
      </c>
      <c r="AU790" s="575"/>
    </row>
    <row r="791" spans="1:47" x14ac:dyDescent="0.25">
      <c r="A791" s="381">
        <f t="shared" si="12"/>
        <v>40.6</v>
      </c>
      <c r="B791" s="571">
        <v>41304</v>
      </c>
      <c r="C791" s="572" t="s">
        <v>908</v>
      </c>
      <c r="D791" s="572" t="s">
        <v>908</v>
      </c>
      <c r="E791" s="572" t="s">
        <v>380</v>
      </c>
      <c r="F791" s="374" t="s">
        <v>302</v>
      </c>
      <c r="G791" s="374" t="s">
        <v>306</v>
      </c>
      <c r="H791" s="375">
        <v>272</v>
      </c>
      <c r="I791" s="375"/>
      <c r="J791" s="375">
        <v>280</v>
      </c>
      <c r="K791" s="375"/>
      <c r="L791" s="376"/>
      <c r="M791" s="376"/>
      <c r="N791" s="376"/>
      <c r="O791" s="376"/>
      <c r="P791" s="378">
        <v>0</v>
      </c>
      <c r="Q791" s="378">
        <v>0</v>
      </c>
      <c r="R791" s="378"/>
      <c r="S791" s="378"/>
      <c r="T791" s="378"/>
      <c r="U791" s="378"/>
      <c r="V791" s="533"/>
      <c r="W791" s="378"/>
      <c r="X791" s="378"/>
      <c r="Y791" s="378">
        <f>IF(NFI_Expiration=1,IF($A791&lt;VLOOKUP(H$5,NFI,5,0),1,0)*Table_NFI[[#This Row],[Hygiene Kit]],Table_NFI[Hygiene Kit])</f>
        <v>0</v>
      </c>
      <c r="Z791" s="378">
        <f>IF(NFI_Expiration=1,IF($A791&lt;VLOOKUP(I$5,NFI,5,0),1,0)*Table_NFI[[#This Row],[NFI Core Kit]],Table_NFI[NFI Core Kit])</f>
        <v>0</v>
      </c>
      <c r="AA791" s="378">
        <f>IF(NFI_Expiration=1,IF($A791&lt;VLOOKUP(J$5,NFI,5,0),1,0)*Table_NFI[[#This Row],[Sanitary Kit]],Table_NFI[Sanitary Kit])</f>
        <v>0</v>
      </c>
      <c r="AB791" s="378">
        <f>IF(NFI_Expiration=1,IF($A791&lt;VLOOKUP(K$5,NFI,5,0),1,0)*Table_NFI[[#This Row],[Mosquito net]],Table_NFI[Mosquito net])</f>
        <v>0</v>
      </c>
      <c r="AC791" s="378">
        <f>IF(NFI_Expiration=1,IF($A791&lt;VLOOKUP(L$5,NFI,5,0),1,0)*Table_NFI[[#This Row],[Tarpaulin]],Table_NFI[[#This Row],[Tarpaulin]])</f>
        <v>0</v>
      </c>
      <c r="AD791" s="378">
        <f>IF(NFI_Expiration=1,IF($A791&lt;VLOOKUP(M$5,NFI,5,0),1,0)*Table_NFI[[#This Row],[Blanket]],Table_NFI[[#This Row],[Blanket]])</f>
        <v>0</v>
      </c>
      <c r="AE791" s="378">
        <f>IF(NFI_Expiration=1,IF($A791&lt;VLOOKUP(N$5,NFI,5,0),1,0)*Table_NFI[[#This Row],[Kitchen Set]],Table_NFI[Kitchen Set])</f>
        <v>0</v>
      </c>
      <c r="AF791" s="378">
        <f>IF(NFI_Expiration=1,IF($A791&lt;VLOOKUP(O$5,NFI,5,0),1,0)*Table_NFI[[#This Row],[Clothes Kit]],Table_NFI[Clothes Kit])</f>
        <v>0</v>
      </c>
      <c r="AG791" s="378">
        <f>IF(NFI_Expiration=1,IF($A791&lt;VLOOKUP(P$5,NFI,5,0),1,0)*Table_NFI[[#This Row],[Plastic Bucket]],Table_NFI[Plastic Bucket])</f>
        <v>0</v>
      </c>
      <c r="AH791" s="378">
        <f>IF(NFI_Expiration=1,IF($A791&lt;VLOOKUP(Q$5,NFI,5,0),1,0)*Table_NFI[[#This Row],[Plastic Mat]],Table_NFI[Plastic Mat])*IF(Table_NFI[[#This Row],[Distribution Date]]&gt;"2014-04-01",1,2.5)</f>
        <v>0</v>
      </c>
      <c r="AI791" s="378">
        <f>IF(NFI_Expiration=1,IF($A791&lt;VLOOKUP(R$5,NFI,5,0),1,0)*Table_NFI[[#This Row],[Winter Clothes Adult]],Table_NFI[Winter Clothes Adult])</f>
        <v>0</v>
      </c>
      <c r="AJ791" s="378">
        <f>IF(NFI_Expiration=1,IF($A791&lt;VLOOKUP(S$5,NFI,5,0),1,0)*Table_NFI[[#This Row],[Winter Clothes Children]],Table_NFI[Winter Clothes Children])</f>
        <v>0</v>
      </c>
      <c r="AK791" s="378">
        <f>IF(NFI_Expiration=1,IF($A791&lt;VLOOKUP(T$5,NFI,5,0),1,0)*Table_NFI[[#This Row],[Winter Items Other]],Table_NFI[Winter Items Other])</f>
        <v>0</v>
      </c>
      <c r="AL791" s="378">
        <f>IF(NFI_Expiration=1,IF($A791&lt;VLOOKUP(M$5,NFI,5,0),1,0)*Table_NFI[[#This Row],[Winter Blanket]],Table_NFI[[#This Row],[Winter Blanket]])</f>
        <v>0</v>
      </c>
      <c r="AM791" s="378">
        <f>IF(Table_NFI[[#This Row],[Winter Clothes Adult]]+Table_NFI[[#This Row],[Winter Clothes Children]]+Table_NFI[[#This Row],[Winter Items Other]]+Table_NFI[[#This Row],[Winter Blanket]]&gt;0,1,0)</f>
        <v>0</v>
      </c>
      <c r="AN791" s="418">
        <f>IF(NFI_Expiration=1,IF($A791&lt;VLOOKUP(V$5,NFI,5,0),1,0)*Table_NFI[[#This Row],[Jerry Can]],Table_NFI[Jerry Can])</f>
        <v>0</v>
      </c>
      <c r="AO791" s="579" t="str">
        <f>IFERROR(VLOOKUP(Table_NFI[[#This Row],[Camp Name]],CL,2,0),"")</f>
        <v>MMR001CMP067</v>
      </c>
      <c r="AP791" s="574">
        <f ca="1">IF(Table_NFI[[#This Row],[Pcode]]="","",IF(OFFSET(CampList[Opening Date],MATCH(Table_NFI[[#This Row],[Pcode]],CampList[CP_Pcode],0)-1,0,1,1)&gt;=NFI_Monitor_Date,1,0))</f>
        <v>0</v>
      </c>
      <c r="AQ791" s="579" t="str">
        <f>IFERROR(VLOOKUP(Table_NFI[[#This Row],[Camp Name]],CL,3,0),"")</f>
        <v>Open</v>
      </c>
      <c r="AR791" s="378" t="str">
        <f ca="1">IF(Table_NFI[[#This Row],[Pcode]]="","",OFFSET(CampList[Priority],MATCH(Table_NFI[[#This Row],[Pcode]],CampList[CP_Pcode],0)-1,0,1,1))</f>
        <v>P4</v>
      </c>
      <c r="AS791" s="377">
        <f>IFERROR(Table_NFI[[#This Row],[Kitchen Set]]/VLOOKUP(Table_NFI[[#This Row],[Camp Name]],CL,4,0),"")</f>
        <v>0</v>
      </c>
      <c r="AT791" s="572" t="s">
        <v>1095</v>
      </c>
      <c r="AU791" s="575"/>
    </row>
    <row r="792" spans="1:47" x14ac:dyDescent="0.25">
      <c r="A792" s="381">
        <f t="shared" si="12"/>
        <v>41.93333333333333</v>
      </c>
      <c r="B792" s="571">
        <v>41264</v>
      </c>
      <c r="C792" s="572" t="s">
        <v>454</v>
      </c>
      <c r="D792" s="573" t="s">
        <v>454</v>
      </c>
      <c r="E792" s="572" t="s">
        <v>380</v>
      </c>
      <c r="F792" s="374" t="s">
        <v>302</v>
      </c>
      <c r="G792" s="374" t="s">
        <v>306</v>
      </c>
      <c r="H792" s="375"/>
      <c r="I792" s="375"/>
      <c r="J792" s="375"/>
      <c r="K792" s="375">
        <v>0</v>
      </c>
      <c r="L792" s="376">
        <v>0</v>
      </c>
      <c r="M792" s="376">
        <v>83</v>
      </c>
      <c r="N792" s="376">
        <v>0</v>
      </c>
      <c r="O792" s="376">
        <v>0</v>
      </c>
      <c r="P792" s="378"/>
      <c r="Q792" s="378"/>
      <c r="R792" s="378"/>
      <c r="S792" s="378"/>
      <c r="T792" s="378"/>
      <c r="U792" s="378"/>
      <c r="V792" s="533"/>
      <c r="W792" s="378"/>
      <c r="X792" s="378"/>
      <c r="Y792" s="378">
        <f>IF(NFI_Expiration=1,IF($A792&lt;VLOOKUP(H$5,NFI,5,0),1,0)*Table_NFI[[#This Row],[Hygiene Kit]],Table_NFI[Hygiene Kit])</f>
        <v>0</v>
      </c>
      <c r="Z792" s="378">
        <f>IF(NFI_Expiration=1,IF($A792&lt;VLOOKUP(I$5,NFI,5,0),1,0)*Table_NFI[[#This Row],[NFI Core Kit]],Table_NFI[NFI Core Kit])</f>
        <v>0</v>
      </c>
      <c r="AA792" s="378">
        <f>IF(NFI_Expiration=1,IF($A792&lt;VLOOKUP(J$5,NFI,5,0),1,0)*Table_NFI[[#This Row],[Sanitary Kit]],Table_NFI[Sanitary Kit])</f>
        <v>0</v>
      </c>
      <c r="AB792" s="378">
        <f>IF(NFI_Expiration=1,IF($A792&lt;VLOOKUP(K$5,NFI,5,0),1,0)*Table_NFI[[#This Row],[Mosquito net]],Table_NFI[Mosquito net])</f>
        <v>0</v>
      </c>
      <c r="AC792" s="378">
        <f>IF(NFI_Expiration=1,IF($A792&lt;VLOOKUP(L$5,NFI,5,0),1,0)*Table_NFI[[#This Row],[Tarpaulin]],Table_NFI[[#This Row],[Tarpaulin]])</f>
        <v>0</v>
      </c>
      <c r="AD792" s="378">
        <f>IF(NFI_Expiration=1,IF($A792&lt;VLOOKUP(M$5,NFI,5,0),1,0)*Table_NFI[[#This Row],[Blanket]],Table_NFI[[#This Row],[Blanket]])</f>
        <v>0</v>
      </c>
      <c r="AE792" s="378">
        <f>IF(NFI_Expiration=1,IF($A792&lt;VLOOKUP(N$5,NFI,5,0),1,0)*Table_NFI[[#This Row],[Kitchen Set]],Table_NFI[Kitchen Set])</f>
        <v>0</v>
      </c>
      <c r="AF792" s="378">
        <f>IF(NFI_Expiration=1,IF($A792&lt;VLOOKUP(O$5,NFI,5,0),1,0)*Table_NFI[[#This Row],[Clothes Kit]],Table_NFI[Clothes Kit])</f>
        <v>0</v>
      </c>
      <c r="AG792" s="378">
        <f>IF(NFI_Expiration=1,IF($A792&lt;VLOOKUP(P$5,NFI,5,0),1,0)*Table_NFI[[#This Row],[Plastic Bucket]],Table_NFI[Plastic Bucket])</f>
        <v>0</v>
      </c>
      <c r="AH792" s="378">
        <f>IF(NFI_Expiration=1,IF($A792&lt;VLOOKUP(Q$5,NFI,5,0),1,0)*Table_NFI[[#This Row],[Plastic Mat]],Table_NFI[Plastic Mat])*IF(Table_NFI[[#This Row],[Distribution Date]]&gt;"2014-04-01",1,2.5)</f>
        <v>0</v>
      </c>
      <c r="AI792" s="378">
        <f>IF(NFI_Expiration=1,IF($A792&lt;VLOOKUP(R$5,NFI,5,0),1,0)*Table_NFI[[#This Row],[Winter Clothes Adult]],Table_NFI[Winter Clothes Adult])</f>
        <v>0</v>
      </c>
      <c r="AJ792" s="378">
        <f>IF(NFI_Expiration=1,IF($A792&lt;VLOOKUP(S$5,NFI,5,0),1,0)*Table_NFI[[#This Row],[Winter Clothes Children]],Table_NFI[Winter Clothes Children])</f>
        <v>0</v>
      </c>
      <c r="AK792" s="378">
        <f>IF(NFI_Expiration=1,IF($A792&lt;VLOOKUP(T$5,NFI,5,0),1,0)*Table_NFI[[#This Row],[Winter Items Other]],Table_NFI[Winter Items Other])</f>
        <v>0</v>
      </c>
      <c r="AL792" s="378">
        <f>IF(NFI_Expiration=1,IF($A792&lt;VLOOKUP(M$5,NFI,5,0),1,0)*Table_NFI[[#This Row],[Winter Blanket]],Table_NFI[[#This Row],[Winter Blanket]])</f>
        <v>0</v>
      </c>
      <c r="AM792" s="378">
        <f>IF(Table_NFI[[#This Row],[Winter Clothes Adult]]+Table_NFI[[#This Row],[Winter Clothes Children]]+Table_NFI[[#This Row],[Winter Items Other]]+Table_NFI[[#This Row],[Winter Blanket]]&gt;0,1,0)</f>
        <v>0</v>
      </c>
      <c r="AN792" s="418">
        <f>IF(NFI_Expiration=1,IF($A792&lt;VLOOKUP(V$5,NFI,5,0),1,0)*Table_NFI[[#This Row],[Jerry Can]],Table_NFI[Jerry Can])</f>
        <v>0</v>
      </c>
      <c r="AO792" s="579" t="str">
        <f>IFERROR(VLOOKUP(Table_NFI[[#This Row],[Camp Name]],CL,2,0),"")</f>
        <v>MMR001CMP067</v>
      </c>
      <c r="AP792" s="574">
        <f ca="1">IF(Table_NFI[[#This Row],[Pcode]]="","",IF(OFFSET(CampList[Opening Date],MATCH(Table_NFI[[#This Row],[Pcode]],CampList[CP_Pcode],0)-1,0,1,1)&gt;=NFI_Monitor_Date,1,0))</f>
        <v>0</v>
      </c>
      <c r="AQ792" s="579" t="str">
        <f>IFERROR(VLOOKUP(Table_NFI[[#This Row],[Camp Name]],CL,3,0),"")</f>
        <v>Open</v>
      </c>
      <c r="AR792" s="378" t="str">
        <f ca="1">IF(Table_NFI[[#This Row],[Pcode]]="","",OFFSET(CampList[Priority],MATCH(Table_NFI[[#This Row],[Pcode]],CampList[CP_Pcode],0)-1,0,1,1))</f>
        <v>P4</v>
      </c>
      <c r="AS792" s="377">
        <f>IFERROR(Table_NFI[[#This Row],[Kitchen Set]]/VLOOKUP(Table_NFI[[#This Row],[Camp Name]],CL,4,0),"")</f>
        <v>0</v>
      </c>
      <c r="AT792" s="572" t="s">
        <v>1095</v>
      </c>
      <c r="AU792" s="575"/>
    </row>
    <row r="793" spans="1:47" x14ac:dyDescent="0.25">
      <c r="A793" s="381">
        <f t="shared" si="12"/>
        <v>49.4</v>
      </c>
      <c r="B793" s="571">
        <v>41040</v>
      </c>
      <c r="C793" s="572" t="s">
        <v>454</v>
      </c>
      <c r="D793" s="572" t="s">
        <v>461</v>
      </c>
      <c r="E793" s="572" t="s">
        <v>380</v>
      </c>
      <c r="F793" s="374" t="s">
        <v>302</v>
      </c>
      <c r="G793" s="374" t="s">
        <v>306</v>
      </c>
      <c r="H793" s="375"/>
      <c r="I793" s="375"/>
      <c r="J793" s="375"/>
      <c r="K793" s="375">
        <v>38</v>
      </c>
      <c r="L793" s="376">
        <v>23</v>
      </c>
      <c r="M793" s="376">
        <v>38</v>
      </c>
      <c r="N793" s="376">
        <v>23</v>
      </c>
      <c r="O793" s="376">
        <v>23</v>
      </c>
      <c r="P793" s="378">
        <v>23</v>
      </c>
      <c r="Q793" s="378">
        <v>23</v>
      </c>
      <c r="R793" s="378"/>
      <c r="S793" s="378"/>
      <c r="T793" s="378"/>
      <c r="U793" s="378"/>
      <c r="V793" s="533"/>
      <c r="W793" s="378"/>
      <c r="X793" s="378"/>
      <c r="Y793" s="378">
        <f>IF(NFI_Expiration=1,IF($A793&lt;VLOOKUP(H$5,NFI,5,0),1,0)*Table_NFI[[#This Row],[Hygiene Kit]],Table_NFI[Hygiene Kit])</f>
        <v>0</v>
      </c>
      <c r="Z793" s="378">
        <f>IF(NFI_Expiration=1,IF($A793&lt;VLOOKUP(I$5,NFI,5,0),1,0)*Table_NFI[[#This Row],[NFI Core Kit]],Table_NFI[NFI Core Kit])</f>
        <v>0</v>
      </c>
      <c r="AA793" s="378">
        <f>IF(NFI_Expiration=1,IF($A793&lt;VLOOKUP(J$5,NFI,5,0),1,0)*Table_NFI[[#This Row],[Sanitary Kit]],Table_NFI[Sanitary Kit])</f>
        <v>0</v>
      </c>
      <c r="AB793" s="378">
        <f>IF(NFI_Expiration=1,IF($A793&lt;VLOOKUP(K$5,NFI,5,0),1,0)*Table_NFI[[#This Row],[Mosquito net]],Table_NFI[Mosquito net])</f>
        <v>0</v>
      </c>
      <c r="AC793" s="378">
        <f>IF(NFI_Expiration=1,IF($A793&lt;VLOOKUP(L$5,NFI,5,0),1,0)*Table_NFI[[#This Row],[Tarpaulin]],Table_NFI[[#This Row],[Tarpaulin]])</f>
        <v>0</v>
      </c>
      <c r="AD793" s="378">
        <f>IF(NFI_Expiration=1,IF($A793&lt;VLOOKUP(M$5,NFI,5,0),1,0)*Table_NFI[[#This Row],[Blanket]],Table_NFI[[#This Row],[Blanket]])</f>
        <v>0</v>
      </c>
      <c r="AE793" s="378">
        <f>IF(NFI_Expiration=1,IF($A793&lt;VLOOKUP(N$5,NFI,5,0),1,0)*Table_NFI[[#This Row],[Kitchen Set]],Table_NFI[Kitchen Set])</f>
        <v>0</v>
      </c>
      <c r="AF793" s="378">
        <f>IF(NFI_Expiration=1,IF($A793&lt;VLOOKUP(O$5,NFI,5,0),1,0)*Table_NFI[[#This Row],[Clothes Kit]],Table_NFI[Clothes Kit])</f>
        <v>0</v>
      </c>
      <c r="AG793" s="378">
        <f>IF(NFI_Expiration=1,IF($A793&lt;VLOOKUP(P$5,NFI,5,0),1,0)*Table_NFI[[#This Row],[Plastic Bucket]],Table_NFI[Plastic Bucket])</f>
        <v>0</v>
      </c>
      <c r="AH793" s="378">
        <f>IF(NFI_Expiration=1,IF($A793&lt;VLOOKUP(Q$5,NFI,5,0),1,0)*Table_NFI[[#This Row],[Plastic Mat]],Table_NFI[Plastic Mat])*IF(Table_NFI[[#This Row],[Distribution Date]]&gt;"2014-04-01",1,2.5)</f>
        <v>0</v>
      </c>
      <c r="AI793" s="378">
        <f>IF(NFI_Expiration=1,IF($A793&lt;VLOOKUP(R$5,NFI,5,0),1,0)*Table_NFI[[#This Row],[Winter Clothes Adult]],Table_NFI[Winter Clothes Adult])</f>
        <v>0</v>
      </c>
      <c r="AJ793" s="378">
        <f>IF(NFI_Expiration=1,IF($A793&lt;VLOOKUP(S$5,NFI,5,0),1,0)*Table_NFI[[#This Row],[Winter Clothes Children]],Table_NFI[Winter Clothes Children])</f>
        <v>0</v>
      </c>
      <c r="AK793" s="378">
        <f>IF(NFI_Expiration=1,IF($A793&lt;VLOOKUP(T$5,NFI,5,0),1,0)*Table_NFI[[#This Row],[Winter Items Other]],Table_NFI[Winter Items Other])</f>
        <v>0</v>
      </c>
      <c r="AL793" s="378">
        <f>IF(NFI_Expiration=1,IF($A793&lt;VLOOKUP(M$5,NFI,5,0),1,0)*Table_NFI[[#This Row],[Winter Blanket]],Table_NFI[[#This Row],[Winter Blanket]])</f>
        <v>0</v>
      </c>
      <c r="AM793" s="378">
        <f>IF(Table_NFI[[#This Row],[Winter Clothes Adult]]+Table_NFI[[#This Row],[Winter Clothes Children]]+Table_NFI[[#This Row],[Winter Items Other]]+Table_NFI[[#This Row],[Winter Blanket]]&gt;0,1,0)</f>
        <v>0</v>
      </c>
      <c r="AN793" s="418">
        <f>IF(NFI_Expiration=1,IF($A793&lt;VLOOKUP(V$5,NFI,5,0),1,0)*Table_NFI[[#This Row],[Jerry Can]],Table_NFI[Jerry Can])</f>
        <v>0</v>
      </c>
      <c r="AO793" s="579" t="str">
        <f>IFERROR(VLOOKUP(Table_NFI[[#This Row],[Camp Name]],CL,2,0),"")</f>
        <v>MMR001CMP067</v>
      </c>
      <c r="AP793" s="574">
        <f ca="1">IF(Table_NFI[[#This Row],[Pcode]]="","",IF(OFFSET(CampList[Opening Date],MATCH(Table_NFI[[#This Row],[Pcode]],CampList[CP_Pcode],0)-1,0,1,1)&gt;=NFI_Monitor_Date,1,0))</f>
        <v>0</v>
      </c>
      <c r="AQ793" s="579" t="str">
        <f>IFERROR(VLOOKUP(Table_NFI[[#This Row],[Camp Name]],CL,3,0),"")</f>
        <v>Open</v>
      </c>
      <c r="AR793" s="378" t="str">
        <f ca="1">IF(Table_NFI[[#This Row],[Pcode]]="","",OFFSET(CampList[Priority],MATCH(Table_NFI[[#This Row],[Pcode]],CampList[CP_Pcode],0)-1,0,1,1))</f>
        <v>P4</v>
      </c>
      <c r="AS793" s="377">
        <f>IFERROR(Table_NFI[[#This Row],[Kitchen Set]]/VLOOKUP(Table_NFI[[#This Row],[Camp Name]],CL,4,0),"")</f>
        <v>0.26744186046511625</v>
      </c>
      <c r="AT793" s="572" t="s">
        <v>1095</v>
      </c>
      <c r="AU793" s="575"/>
    </row>
    <row r="794" spans="1:47" x14ac:dyDescent="0.25">
      <c r="A794" s="381">
        <f t="shared" si="12"/>
        <v>50.43333333333333</v>
      </c>
      <c r="B794" s="571">
        <v>41009</v>
      </c>
      <c r="C794" s="572" t="s">
        <v>454</v>
      </c>
      <c r="D794" s="572" t="s">
        <v>461</v>
      </c>
      <c r="E794" s="572" t="s">
        <v>380</v>
      </c>
      <c r="F794" s="572" t="s">
        <v>302</v>
      </c>
      <c r="G794" s="374" t="s">
        <v>306</v>
      </c>
      <c r="H794" s="375"/>
      <c r="I794" s="375"/>
      <c r="J794" s="375"/>
      <c r="K794" s="375">
        <v>46</v>
      </c>
      <c r="L794" s="376">
        <v>27</v>
      </c>
      <c r="M794" s="376">
        <v>46</v>
      </c>
      <c r="N794" s="376">
        <v>27</v>
      </c>
      <c r="O794" s="376">
        <v>27</v>
      </c>
      <c r="P794" s="378">
        <v>27</v>
      </c>
      <c r="Q794" s="378">
        <v>27</v>
      </c>
      <c r="R794" s="378"/>
      <c r="S794" s="378"/>
      <c r="T794" s="378"/>
      <c r="U794" s="378"/>
      <c r="V794" s="533"/>
      <c r="W794" s="378"/>
      <c r="X794" s="378"/>
      <c r="Y794" s="378">
        <f>IF(NFI_Expiration=1,IF($A794&lt;VLOOKUP(H$5,NFI,5,0),1,0)*Table_NFI[[#This Row],[Hygiene Kit]],Table_NFI[Hygiene Kit])</f>
        <v>0</v>
      </c>
      <c r="Z794" s="378">
        <f>IF(NFI_Expiration=1,IF($A794&lt;VLOOKUP(I$5,NFI,5,0),1,0)*Table_NFI[[#This Row],[NFI Core Kit]],Table_NFI[NFI Core Kit])</f>
        <v>0</v>
      </c>
      <c r="AA794" s="378">
        <f>IF(NFI_Expiration=1,IF($A794&lt;VLOOKUP(J$5,NFI,5,0),1,0)*Table_NFI[[#This Row],[Sanitary Kit]],Table_NFI[Sanitary Kit])</f>
        <v>0</v>
      </c>
      <c r="AB794" s="378">
        <f>IF(NFI_Expiration=1,IF($A794&lt;VLOOKUP(K$5,NFI,5,0),1,0)*Table_NFI[[#This Row],[Mosquito net]],Table_NFI[Mosquito net])</f>
        <v>0</v>
      </c>
      <c r="AC794" s="378">
        <f>IF(NFI_Expiration=1,IF($A794&lt;VLOOKUP(L$5,NFI,5,0),1,0)*Table_NFI[[#This Row],[Tarpaulin]],Table_NFI[[#This Row],[Tarpaulin]])</f>
        <v>0</v>
      </c>
      <c r="AD794" s="378">
        <f>IF(NFI_Expiration=1,IF($A794&lt;VLOOKUP(M$5,NFI,5,0),1,0)*Table_NFI[[#This Row],[Blanket]],Table_NFI[[#This Row],[Blanket]])</f>
        <v>0</v>
      </c>
      <c r="AE794" s="378">
        <f>IF(NFI_Expiration=1,IF($A794&lt;VLOOKUP(N$5,NFI,5,0),1,0)*Table_NFI[[#This Row],[Kitchen Set]],Table_NFI[Kitchen Set])</f>
        <v>0</v>
      </c>
      <c r="AF794" s="378">
        <f>IF(NFI_Expiration=1,IF($A794&lt;VLOOKUP(O$5,NFI,5,0),1,0)*Table_NFI[[#This Row],[Clothes Kit]],Table_NFI[Clothes Kit])</f>
        <v>0</v>
      </c>
      <c r="AG794" s="378">
        <f>IF(NFI_Expiration=1,IF($A794&lt;VLOOKUP(P$5,NFI,5,0),1,0)*Table_NFI[[#This Row],[Plastic Bucket]],Table_NFI[Plastic Bucket])</f>
        <v>0</v>
      </c>
      <c r="AH794" s="378">
        <f>IF(NFI_Expiration=1,IF($A794&lt;VLOOKUP(Q$5,NFI,5,0),1,0)*Table_NFI[[#This Row],[Plastic Mat]],Table_NFI[Plastic Mat])*IF(Table_NFI[[#This Row],[Distribution Date]]&gt;"2014-04-01",1,2.5)</f>
        <v>0</v>
      </c>
      <c r="AI794" s="378">
        <f>IF(NFI_Expiration=1,IF($A794&lt;VLOOKUP(R$5,NFI,5,0),1,0)*Table_NFI[[#This Row],[Winter Clothes Adult]],Table_NFI[Winter Clothes Adult])</f>
        <v>0</v>
      </c>
      <c r="AJ794" s="378">
        <f>IF(NFI_Expiration=1,IF($A794&lt;VLOOKUP(S$5,NFI,5,0),1,0)*Table_NFI[[#This Row],[Winter Clothes Children]],Table_NFI[Winter Clothes Children])</f>
        <v>0</v>
      </c>
      <c r="AK794" s="378">
        <f>IF(NFI_Expiration=1,IF($A794&lt;VLOOKUP(T$5,NFI,5,0),1,0)*Table_NFI[[#This Row],[Winter Items Other]],Table_NFI[Winter Items Other])</f>
        <v>0</v>
      </c>
      <c r="AL794" s="378">
        <f>IF(NFI_Expiration=1,IF($A794&lt;VLOOKUP(M$5,NFI,5,0),1,0)*Table_NFI[[#This Row],[Winter Blanket]],Table_NFI[[#This Row],[Winter Blanket]])</f>
        <v>0</v>
      </c>
      <c r="AM794" s="378">
        <f>IF(Table_NFI[[#This Row],[Winter Clothes Adult]]+Table_NFI[[#This Row],[Winter Clothes Children]]+Table_NFI[[#This Row],[Winter Items Other]]+Table_NFI[[#This Row],[Winter Blanket]]&gt;0,1,0)</f>
        <v>0</v>
      </c>
      <c r="AN794" s="418">
        <f>IF(NFI_Expiration=1,IF($A794&lt;VLOOKUP(V$5,NFI,5,0),1,0)*Table_NFI[[#This Row],[Jerry Can]],Table_NFI[Jerry Can])</f>
        <v>0</v>
      </c>
      <c r="AO794" s="579" t="str">
        <f>IFERROR(VLOOKUP(Table_NFI[[#This Row],[Camp Name]],CL,2,0),"")</f>
        <v>MMR001CMP067</v>
      </c>
      <c r="AP794" s="574">
        <f ca="1">IF(Table_NFI[[#This Row],[Pcode]]="","",IF(OFFSET(CampList[Opening Date],MATCH(Table_NFI[[#This Row],[Pcode]],CampList[CP_Pcode],0)-1,0,1,1)&gt;=NFI_Monitor_Date,1,0))</f>
        <v>0</v>
      </c>
      <c r="AQ794" s="579" t="str">
        <f>IFERROR(VLOOKUP(Table_NFI[[#This Row],[Camp Name]],CL,3,0),"")</f>
        <v>Open</v>
      </c>
      <c r="AR794" s="378" t="str">
        <f ca="1">IF(Table_NFI[[#This Row],[Pcode]]="","",OFFSET(CampList[Priority],MATCH(Table_NFI[[#This Row],[Pcode]],CampList[CP_Pcode],0)-1,0,1,1))</f>
        <v>P4</v>
      </c>
      <c r="AS794" s="377">
        <f>IFERROR(Table_NFI[[#This Row],[Kitchen Set]]/VLOOKUP(Table_NFI[[#This Row],[Camp Name]],CL,4,0),"")</f>
        <v>0.31395348837209303</v>
      </c>
      <c r="AT794" s="572" t="s">
        <v>1095</v>
      </c>
      <c r="AU794" s="575"/>
    </row>
    <row r="795" spans="1:47" x14ac:dyDescent="0.25">
      <c r="A795" s="381">
        <f t="shared" si="12"/>
        <v>6.3</v>
      </c>
      <c r="B795" s="571">
        <v>42333</v>
      </c>
      <c r="C795" s="572" t="s">
        <v>454</v>
      </c>
      <c r="D795" s="572" t="s">
        <v>462</v>
      </c>
      <c r="E795" s="572" t="s">
        <v>380</v>
      </c>
      <c r="F795" s="572" t="s">
        <v>302</v>
      </c>
      <c r="G795" s="572" t="s">
        <v>308</v>
      </c>
      <c r="H795" s="375"/>
      <c r="I795" s="378"/>
      <c r="J795" s="378"/>
      <c r="K795" s="378"/>
      <c r="L795" s="376">
        <v>4</v>
      </c>
      <c r="M795" s="376">
        <v>12</v>
      </c>
      <c r="N795" s="376">
        <v>3</v>
      </c>
      <c r="O795" s="376"/>
      <c r="P795" s="378">
        <v>4</v>
      </c>
      <c r="Q795" s="378">
        <v>14</v>
      </c>
      <c r="R795" s="378"/>
      <c r="S795" s="378"/>
      <c r="T795" s="378"/>
      <c r="U795" s="378"/>
      <c r="V795" s="533">
        <v>4</v>
      </c>
      <c r="W795" s="378"/>
      <c r="X795" s="378"/>
      <c r="Y795" s="378">
        <f>IF(NFI_Expiration=1,IF($A795&lt;VLOOKUP(H$5,NFI,5,0),1,0)*Table_NFI[[#This Row],[Hygiene Kit]],Table_NFI[Hygiene Kit])</f>
        <v>0</v>
      </c>
      <c r="Z795" s="378">
        <f>IF(NFI_Expiration=1,IF($A795&lt;VLOOKUP(I$5,NFI,5,0),1,0)*Table_NFI[[#This Row],[NFI Core Kit]],Table_NFI[NFI Core Kit])</f>
        <v>0</v>
      </c>
      <c r="AA795" s="378">
        <f>IF(NFI_Expiration=1,IF($A795&lt;VLOOKUP(J$5,NFI,5,0),1,0)*Table_NFI[[#This Row],[Sanitary Kit]],Table_NFI[Sanitary Kit])</f>
        <v>0</v>
      </c>
      <c r="AB795" s="378">
        <f>IF(NFI_Expiration=1,IF($A795&lt;VLOOKUP(K$5,NFI,5,0),1,0)*Table_NFI[[#This Row],[Mosquito net]],Table_NFI[Mosquito net])</f>
        <v>0</v>
      </c>
      <c r="AC795" s="378">
        <f>IF(NFI_Expiration=1,IF($A795&lt;VLOOKUP(L$5,NFI,5,0),1,0)*Table_NFI[[#This Row],[Tarpaulin]],Table_NFI[[#This Row],[Tarpaulin]])</f>
        <v>4</v>
      </c>
      <c r="AD795" s="378">
        <f>IF(NFI_Expiration=1,IF($A795&lt;VLOOKUP(M$5,NFI,5,0),1,0)*Table_NFI[[#This Row],[Blanket]],Table_NFI[[#This Row],[Blanket]])</f>
        <v>12</v>
      </c>
      <c r="AE795" s="378">
        <f>IF(NFI_Expiration=1,IF($A795&lt;VLOOKUP(N$5,NFI,5,0),1,0)*Table_NFI[[#This Row],[Kitchen Set]],Table_NFI[Kitchen Set])</f>
        <v>3</v>
      </c>
      <c r="AF795" s="378">
        <f>IF(NFI_Expiration=1,IF($A795&lt;VLOOKUP(O$5,NFI,5,0),1,0)*Table_NFI[[#This Row],[Clothes Kit]],Table_NFI[Clothes Kit])</f>
        <v>0</v>
      </c>
      <c r="AG795" s="378">
        <f>IF(NFI_Expiration=1,IF($A795&lt;VLOOKUP(P$5,NFI,5,0),1,0)*Table_NFI[[#This Row],[Plastic Bucket]],Table_NFI[Plastic Bucket])</f>
        <v>4</v>
      </c>
      <c r="AH795" s="378">
        <f>IF(NFI_Expiration=1,IF($A795&lt;VLOOKUP(Q$5,NFI,5,0),1,0)*Table_NFI[[#This Row],[Plastic Mat]],Table_NFI[Plastic Mat])*IF(Table_NFI[[#This Row],[Distribution Date]]&gt;"2014-04-01",1,2.5)</f>
        <v>35</v>
      </c>
      <c r="AI795" s="378">
        <f>IF(NFI_Expiration=1,IF($A795&lt;VLOOKUP(R$5,NFI,5,0),1,0)*Table_NFI[[#This Row],[Winter Clothes Adult]],Table_NFI[Winter Clothes Adult])</f>
        <v>0</v>
      </c>
      <c r="AJ795" s="378">
        <f>IF(NFI_Expiration=1,IF($A795&lt;VLOOKUP(S$5,NFI,5,0),1,0)*Table_NFI[[#This Row],[Winter Clothes Children]],Table_NFI[Winter Clothes Children])</f>
        <v>0</v>
      </c>
      <c r="AK795" s="378">
        <f>IF(NFI_Expiration=1,IF($A795&lt;VLOOKUP(T$5,NFI,5,0),1,0)*Table_NFI[[#This Row],[Winter Items Other]],Table_NFI[Winter Items Other])</f>
        <v>0</v>
      </c>
      <c r="AL795" s="378">
        <f>IF(NFI_Expiration=1,IF($A795&lt;VLOOKUP(M$5,NFI,5,0),1,0)*Table_NFI[[#This Row],[Winter Blanket]],Table_NFI[[#This Row],[Winter Blanket]])</f>
        <v>0</v>
      </c>
      <c r="AM795" s="378">
        <f>IF(Table_NFI[[#This Row],[Winter Clothes Adult]]+Table_NFI[[#This Row],[Winter Clothes Children]]+Table_NFI[[#This Row],[Winter Items Other]]+Table_NFI[[#This Row],[Winter Blanket]]&gt;0,1,0)</f>
        <v>0</v>
      </c>
      <c r="AN795" s="418">
        <f>IF(NFI_Expiration=1,IF($A795&lt;VLOOKUP(V$5,NFI,5,0),1,0)*Table_NFI[[#This Row],[Jerry Can]],Table_NFI[Jerry Can])</f>
        <v>4</v>
      </c>
      <c r="AO795" s="579" t="str">
        <f>IFERROR(VLOOKUP(Table_NFI[[#This Row],[Camp Name]],CL,2,0),"")</f>
        <v>MMR001CMP068</v>
      </c>
      <c r="AP795" s="574">
        <f ca="1">IF(Table_NFI[[#This Row],[Pcode]]="","",IF(OFFSET(CampList[Opening Date],MATCH(Table_NFI[[#This Row],[Pcode]],CampList[CP_Pcode],0)-1,0,1,1)&gt;=NFI_Monitor_Date,1,0))</f>
        <v>0</v>
      </c>
      <c r="AQ795" s="579" t="str">
        <f>IFERROR(VLOOKUP(Table_NFI[[#This Row],[Camp Name]],CL,3,0),"")</f>
        <v>Open</v>
      </c>
      <c r="AR795" s="378" t="str">
        <f ca="1">IF(Table_NFI[[#This Row],[Pcode]]="","",OFFSET(CampList[Priority],MATCH(Table_NFI[[#This Row],[Pcode]],CampList[CP_Pcode],0)-1,0,1,1))</f>
        <v>P4</v>
      </c>
      <c r="AS795" s="377">
        <f>IFERROR(Table_NFI[[#This Row],[Kitchen Set]]/VLOOKUP(Table_NFI[[#This Row],[Camp Name]],CL,4,0),"")</f>
        <v>7.3170731707317069E-2</v>
      </c>
      <c r="AT795" s="572" t="s">
        <v>1095</v>
      </c>
      <c r="AU795" s="601"/>
    </row>
    <row r="796" spans="1:47" x14ac:dyDescent="0.25">
      <c r="A796" s="381">
        <f t="shared" si="12"/>
        <v>23.9</v>
      </c>
      <c r="B796" s="571">
        <v>41805</v>
      </c>
      <c r="C796" s="572" t="s">
        <v>1107</v>
      </c>
      <c r="D796" s="572" t="s">
        <v>903</v>
      </c>
      <c r="E796" s="572" t="s">
        <v>380</v>
      </c>
      <c r="F796" s="572" t="s">
        <v>302</v>
      </c>
      <c r="G796" s="572" t="s">
        <v>308</v>
      </c>
      <c r="H796" s="375"/>
      <c r="I796" s="375"/>
      <c r="J796" s="375"/>
      <c r="K796" s="375"/>
      <c r="L796" s="376"/>
      <c r="M796" s="376"/>
      <c r="N796" s="376"/>
      <c r="O796" s="376"/>
      <c r="P796" s="378"/>
      <c r="Q796" s="378"/>
      <c r="R796" s="378"/>
      <c r="S796" s="378"/>
      <c r="T796" s="378"/>
      <c r="U796" s="378">
        <v>112</v>
      </c>
      <c r="V796" s="533"/>
      <c r="W796" s="378"/>
      <c r="X796" s="378"/>
      <c r="Y796" s="378">
        <f>IF(NFI_Expiration=1,IF($A796&lt;VLOOKUP(H$5,NFI,5,0),1,0)*Table_NFI[[#This Row],[Hygiene Kit]],Table_NFI[Hygiene Kit])</f>
        <v>0</v>
      </c>
      <c r="Z796" s="378">
        <f>IF(NFI_Expiration=1,IF($A796&lt;VLOOKUP(I$5,NFI,5,0),1,0)*Table_NFI[[#This Row],[NFI Core Kit]],Table_NFI[NFI Core Kit])</f>
        <v>0</v>
      </c>
      <c r="AA796" s="378">
        <f>IF(NFI_Expiration=1,IF($A796&lt;VLOOKUP(J$5,NFI,5,0),1,0)*Table_NFI[[#This Row],[Sanitary Kit]],Table_NFI[Sanitary Kit])</f>
        <v>0</v>
      </c>
      <c r="AB796" s="378">
        <f>IF(NFI_Expiration=1,IF($A796&lt;VLOOKUP(K$5,NFI,5,0),1,0)*Table_NFI[[#This Row],[Mosquito net]],Table_NFI[Mosquito net])</f>
        <v>0</v>
      </c>
      <c r="AC796" s="378">
        <f>IF(NFI_Expiration=1,IF($A796&lt;VLOOKUP(L$5,NFI,5,0),1,0)*Table_NFI[[#This Row],[Tarpaulin]],Table_NFI[[#This Row],[Tarpaulin]])</f>
        <v>0</v>
      </c>
      <c r="AD796" s="378">
        <f>IF(NFI_Expiration=1,IF($A796&lt;VLOOKUP(M$5,NFI,5,0),1,0)*Table_NFI[[#This Row],[Blanket]],Table_NFI[[#This Row],[Blanket]])</f>
        <v>0</v>
      </c>
      <c r="AE796" s="378">
        <f>IF(NFI_Expiration=1,IF($A796&lt;VLOOKUP(N$5,NFI,5,0),1,0)*Table_NFI[[#This Row],[Kitchen Set]],Table_NFI[Kitchen Set])</f>
        <v>0</v>
      </c>
      <c r="AF796" s="378">
        <f>IF(NFI_Expiration=1,IF($A796&lt;VLOOKUP(O$5,NFI,5,0),1,0)*Table_NFI[[#This Row],[Clothes Kit]],Table_NFI[Clothes Kit])</f>
        <v>0</v>
      </c>
      <c r="AG796" s="378">
        <f>IF(NFI_Expiration=1,IF($A796&lt;VLOOKUP(P$5,NFI,5,0),1,0)*Table_NFI[[#This Row],[Plastic Bucket]],Table_NFI[Plastic Bucket])</f>
        <v>0</v>
      </c>
      <c r="AH796" s="378">
        <f>IF(NFI_Expiration=1,IF($A796&lt;VLOOKUP(Q$5,NFI,5,0),1,0)*Table_NFI[[#This Row],[Plastic Mat]],Table_NFI[Plastic Mat])*IF(Table_NFI[[#This Row],[Distribution Date]]&gt;"2014-04-01",1,2.5)</f>
        <v>0</v>
      </c>
      <c r="AI796" s="378">
        <f>IF(NFI_Expiration=1,IF($A796&lt;VLOOKUP(R$5,NFI,5,0),1,0)*Table_NFI[[#This Row],[Winter Clothes Adult]],Table_NFI[Winter Clothes Adult])</f>
        <v>0</v>
      </c>
      <c r="AJ796" s="378">
        <f>IF(NFI_Expiration=1,IF($A796&lt;VLOOKUP(S$5,NFI,5,0),1,0)*Table_NFI[[#This Row],[Winter Clothes Children]],Table_NFI[Winter Clothes Children])</f>
        <v>0</v>
      </c>
      <c r="AK796" s="378">
        <f>IF(NFI_Expiration=1,IF($A796&lt;VLOOKUP(T$5,NFI,5,0),1,0)*Table_NFI[[#This Row],[Winter Items Other]],Table_NFI[Winter Items Other])</f>
        <v>0</v>
      </c>
      <c r="AL796" s="378">
        <f>IF(NFI_Expiration=1,IF($A796&lt;VLOOKUP(M$5,NFI,5,0),1,0)*Table_NFI[[#This Row],[Winter Blanket]],Table_NFI[[#This Row],[Winter Blanket]])</f>
        <v>0</v>
      </c>
      <c r="AM796" s="378">
        <f>IF(Table_NFI[[#This Row],[Winter Clothes Adult]]+Table_NFI[[#This Row],[Winter Clothes Children]]+Table_NFI[[#This Row],[Winter Items Other]]+Table_NFI[[#This Row],[Winter Blanket]]&gt;0,1,0)</f>
        <v>1</v>
      </c>
      <c r="AN796" s="418">
        <f>IF(NFI_Expiration=1,IF($A796&lt;VLOOKUP(V$5,NFI,5,0),1,0)*Table_NFI[[#This Row],[Jerry Can]],Table_NFI[Jerry Can])</f>
        <v>0</v>
      </c>
      <c r="AO796" s="579" t="str">
        <f>IFERROR(VLOOKUP(Table_NFI[[#This Row],[Camp Name]],CL,2,0),"")</f>
        <v>MMR001CMP068</v>
      </c>
      <c r="AP796" s="574">
        <f ca="1">IF(Table_NFI[[#This Row],[Pcode]]="","",IF(OFFSET(CampList[Opening Date],MATCH(Table_NFI[[#This Row],[Pcode]],CampList[CP_Pcode],0)-1,0,1,1)&gt;=NFI_Monitor_Date,1,0))</f>
        <v>0</v>
      </c>
      <c r="AQ796" s="579" t="str">
        <f>IFERROR(VLOOKUP(Table_NFI[[#This Row],[Camp Name]],CL,3,0),"")</f>
        <v>Open</v>
      </c>
      <c r="AR796" s="378" t="str">
        <f ca="1">IF(Table_NFI[[#This Row],[Pcode]]="","",OFFSET(CampList[Priority],MATCH(Table_NFI[[#This Row],[Pcode]],CampList[CP_Pcode],0)-1,0,1,1))</f>
        <v>P4</v>
      </c>
      <c r="AS796" s="377">
        <f>IFERROR(Table_NFI[[#This Row],[Kitchen Set]]/VLOOKUP(Table_NFI[[#This Row],[Camp Name]],CL,4,0),"")</f>
        <v>0</v>
      </c>
      <c r="AT796" s="572"/>
      <c r="AU796" s="575"/>
    </row>
    <row r="797" spans="1:47" x14ac:dyDescent="0.25">
      <c r="A797" s="381">
        <f t="shared" si="12"/>
        <v>30.466666666666665</v>
      </c>
      <c r="B797" s="571">
        <v>41608</v>
      </c>
      <c r="C797" s="572" t="s">
        <v>1100</v>
      </c>
      <c r="D797" s="573" t="s">
        <v>947</v>
      </c>
      <c r="E797" s="572" t="s">
        <v>380</v>
      </c>
      <c r="F797" s="374" t="s">
        <v>302</v>
      </c>
      <c r="G797" s="374" t="s">
        <v>308</v>
      </c>
      <c r="H797" s="375"/>
      <c r="I797" s="375"/>
      <c r="J797" s="375"/>
      <c r="K797" s="375"/>
      <c r="L797" s="376"/>
      <c r="M797" s="376">
        <v>142</v>
      </c>
      <c r="N797" s="376"/>
      <c r="O797" s="376"/>
      <c r="P797" s="378"/>
      <c r="Q797" s="378"/>
      <c r="R797" s="378">
        <v>182</v>
      </c>
      <c r="S797" s="378">
        <v>60</v>
      </c>
      <c r="T797" s="378">
        <v>0</v>
      </c>
      <c r="U797" s="378"/>
      <c r="V797" s="533"/>
      <c r="W797" s="378"/>
      <c r="X797" s="378"/>
      <c r="Y797" s="378">
        <f>IF(NFI_Expiration=1,IF($A797&lt;VLOOKUP(H$5,NFI,5,0),1,0)*Table_NFI[[#This Row],[Hygiene Kit]],Table_NFI[Hygiene Kit])</f>
        <v>0</v>
      </c>
      <c r="Z797" s="378">
        <f>IF(NFI_Expiration=1,IF($A797&lt;VLOOKUP(I$5,NFI,5,0),1,0)*Table_NFI[[#This Row],[NFI Core Kit]],Table_NFI[NFI Core Kit])</f>
        <v>0</v>
      </c>
      <c r="AA797" s="378">
        <f>IF(NFI_Expiration=1,IF($A797&lt;VLOOKUP(J$5,NFI,5,0),1,0)*Table_NFI[[#This Row],[Sanitary Kit]],Table_NFI[Sanitary Kit])</f>
        <v>0</v>
      </c>
      <c r="AB797" s="378">
        <f>IF(NFI_Expiration=1,IF($A797&lt;VLOOKUP(K$5,NFI,5,0),1,0)*Table_NFI[[#This Row],[Mosquito net]],Table_NFI[Mosquito net])</f>
        <v>0</v>
      </c>
      <c r="AC797" s="378">
        <f>IF(NFI_Expiration=1,IF($A797&lt;VLOOKUP(L$5,NFI,5,0),1,0)*Table_NFI[[#This Row],[Tarpaulin]],Table_NFI[[#This Row],[Tarpaulin]])</f>
        <v>0</v>
      </c>
      <c r="AD797" s="378">
        <f>IF(NFI_Expiration=1,IF($A797&lt;VLOOKUP(M$5,NFI,5,0),1,0)*Table_NFI[[#This Row],[Blanket]],Table_NFI[[#This Row],[Blanket]])</f>
        <v>0</v>
      </c>
      <c r="AE797" s="378">
        <f>IF(NFI_Expiration=1,IF($A797&lt;VLOOKUP(N$5,NFI,5,0),1,0)*Table_NFI[[#This Row],[Kitchen Set]],Table_NFI[Kitchen Set])</f>
        <v>0</v>
      </c>
      <c r="AF797" s="378">
        <f>IF(NFI_Expiration=1,IF($A797&lt;VLOOKUP(O$5,NFI,5,0),1,0)*Table_NFI[[#This Row],[Clothes Kit]],Table_NFI[Clothes Kit])</f>
        <v>0</v>
      </c>
      <c r="AG797" s="378">
        <f>IF(NFI_Expiration=1,IF($A797&lt;VLOOKUP(P$5,NFI,5,0),1,0)*Table_NFI[[#This Row],[Plastic Bucket]],Table_NFI[Plastic Bucket])</f>
        <v>0</v>
      </c>
      <c r="AH797" s="378">
        <f>IF(NFI_Expiration=1,IF($A797&lt;VLOOKUP(Q$5,NFI,5,0),1,0)*Table_NFI[[#This Row],[Plastic Mat]],Table_NFI[Plastic Mat])*IF(Table_NFI[[#This Row],[Distribution Date]]&gt;"2014-04-01",1,2.5)</f>
        <v>0</v>
      </c>
      <c r="AI797" s="378">
        <f>IF(NFI_Expiration=1,IF($A797&lt;VLOOKUP(R$5,NFI,5,0),1,0)*Table_NFI[[#This Row],[Winter Clothes Adult]],Table_NFI[Winter Clothes Adult])</f>
        <v>0</v>
      </c>
      <c r="AJ797" s="378">
        <f>IF(NFI_Expiration=1,IF($A797&lt;VLOOKUP(S$5,NFI,5,0),1,0)*Table_NFI[[#This Row],[Winter Clothes Children]],Table_NFI[Winter Clothes Children])</f>
        <v>0</v>
      </c>
      <c r="AK797" s="378">
        <f>IF(NFI_Expiration=1,IF($A797&lt;VLOOKUP(T$5,NFI,5,0),1,0)*Table_NFI[[#This Row],[Winter Items Other]],Table_NFI[Winter Items Other])</f>
        <v>0</v>
      </c>
      <c r="AL797" s="378">
        <f>IF(NFI_Expiration=1,IF($A797&lt;VLOOKUP(M$5,NFI,5,0),1,0)*Table_NFI[[#This Row],[Winter Blanket]],Table_NFI[[#This Row],[Winter Blanket]])</f>
        <v>0</v>
      </c>
      <c r="AM797" s="378">
        <f>IF(Table_NFI[[#This Row],[Winter Clothes Adult]]+Table_NFI[[#This Row],[Winter Clothes Children]]+Table_NFI[[#This Row],[Winter Items Other]]+Table_NFI[[#This Row],[Winter Blanket]]&gt;0,1,0)</f>
        <v>1</v>
      </c>
      <c r="AN797" s="418">
        <f>IF(NFI_Expiration=1,IF($A797&lt;VLOOKUP(V$5,NFI,5,0),1,0)*Table_NFI[[#This Row],[Jerry Can]],Table_NFI[Jerry Can])</f>
        <v>0</v>
      </c>
      <c r="AO797" s="579" t="str">
        <f>IFERROR(VLOOKUP(Table_NFI[[#This Row],[Camp Name]],CL,2,0),"")</f>
        <v>MMR001CMP068</v>
      </c>
      <c r="AP797" s="574">
        <f ca="1">IF(Table_NFI[[#This Row],[Pcode]]="","",IF(OFFSET(CampList[Opening Date],MATCH(Table_NFI[[#This Row],[Pcode]],CampList[CP_Pcode],0)-1,0,1,1)&gt;=NFI_Monitor_Date,1,0))</f>
        <v>0</v>
      </c>
      <c r="AQ797" s="579" t="str">
        <f>IFERROR(VLOOKUP(Table_NFI[[#This Row],[Camp Name]],CL,3,0),"")</f>
        <v>Open</v>
      </c>
      <c r="AR797" s="378" t="str">
        <f ca="1">IF(Table_NFI[[#This Row],[Pcode]]="","",OFFSET(CampList[Priority],MATCH(Table_NFI[[#This Row],[Pcode]],CampList[CP_Pcode],0)-1,0,1,1))</f>
        <v>P4</v>
      </c>
      <c r="AS797" s="377">
        <f>IFERROR(Table_NFI[[#This Row],[Kitchen Set]]/VLOOKUP(Table_NFI[[#This Row],[Camp Name]],CL,4,0),"")</f>
        <v>0</v>
      </c>
      <c r="AT797" s="572" t="s">
        <v>1095</v>
      </c>
      <c r="AU797" s="575"/>
    </row>
    <row r="798" spans="1:47" x14ac:dyDescent="0.25">
      <c r="A798" s="381">
        <f t="shared" si="12"/>
        <v>30.466666666666665</v>
      </c>
      <c r="B798" s="571">
        <v>41608</v>
      </c>
      <c r="C798" s="572" t="s">
        <v>908</v>
      </c>
      <c r="D798" s="572"/>
      <c r="E798" s="572" t="s">
        <v>380</v>
      </c>
      <c r="F798" s="374" t="s">
        <v>302</v>
      </c>
      <c r="G798" s="374" t="s">
        <v>308</v>
      </c>
      <c r="H798" s="375"/>
      <c r="I798" s="375"/>
      <c r="J798" s="375"/>
      <c r="K798" s="375"/>
      <c r="L798" s="376"/>
      <c r="M798" s="376"/>
      <c r="N798" s="376"/>
      <c r="O798" s="376"/>
      <c r="P798" s="378"/>
      <c r="Q798" s="378">
        <v>126</v>
      </c>
      <c r="R798" s="378"/>
      <c r="S798" s="378"/>
      <c r="T798" s="378"/>
      <c r="U798" s="378"/>
      <c r="V798" s="533"/>
      <c r="W798" s="378"/>
      <c r="X798" s="378"/>
      <c r="Y798" s="378">
        <f>IF(NFI_Expiration=1,IF($A798&lt;VLOOKUP(H$5,NFI,5,0),1,0)*Table_NFI[[#This Row],[Hygiene Kit]],Table_NFI[Hygiene Kit])</f>
        <v>0</v>
      </c>
      <c r="Z798" s="378">
        <f>IF(NFI_Expiration=1,IF($A798&lt;VLOOKUP(I$5,NFI,5,0),1,0)*Table_NFI[[#This Row],[NFI Core Kit]],Table_NFI[NFI Core Kit])</f>
        <v>0</v>
      </c>
      <c r="AA798" s="378">
        <f>IF(NFI_Expiration=1,IF($A798&lt;VLOOKUP(J$5,NFI,5,0),1,0)*Table_NFI[[#This Row],[Sanitary Kit]],Table_NFI[Sanitary Kit])</f>
        <v>0</v>
      </c>
      <c r="AB798" s="378">
        <f>IF(NFI_Expiration=1,IF($A798&lt;VLOOKUP(K$5,NFI,5,0),1,0)*Table_NFI[[#This Row],[Mosquito net]],Table_NFI[Mosquito net])</f>
        <v>0</v>
      </c>
      <c r="AC798" s="378">
        <f>IF(NFI_Expiration=1,IF($A798&lt;VLOOKUP(L$5,NFI,5,0),1,0)*Table_NFI[[#This Row],[Tarpaulin]],Table_NFI[[#This Row],[Tarpaulin]])</f>
        <v>0</v>
      </c>
      <c r="AD798" s="378">
        <f>IF(NFI_Expiration=1,IF($A798&lt;VLOOKUP(M$5,NFI,5,0),1,0)*Table_NFI[[#This Row],[Blanket]],Table_NFI[[#This Row],[Blanket]])</f>
        <v>0</v>
      </c>
      <c r="AE798" s="378">
        <f>IF(NFI_Expiration=1,IF($A798&lt;VLOOKUP(N$5,NFI,5,0),1,0)*Table_NFI[[#This Row],[Kitchen Set]],Table_NFI[Kitchen Set])</f>
        <v>0</v>
      </c>
      <c r="AF798" s="378">
        <f>IF(NFI_Expiration=1,IF($A798&lt;VLOOKUP(O$5,NFI,5,0),1,0)*Table_NFI[[#This Row],[Clothes Kit]],Table_NFI[Clothes Kit])</f>
        <v>0</v>
      </c>
      <c r="AG798" s="378">
        <f>IF(NFI_Expiration=1,IF($A798&lt;VLOOKUP(P$5,NFI,5,0),1,0)*Table_NFI[[#This Row],[Plastic Bucket]],Table_NFI[Plastic Bucket])</f>
        <v>0</v>
      </c>
      <c r="AH798" s="378">
        <f>IF(NFI_Expiration=1,IF($A798&lt;VLOOKUP(Q$5,NFI,5,0),1,0)*Table_NFI[[#This Row],[Plastic Mat]],Table_NFI[Plastic Mat])*IF(Table_NFI[[#This Row],[Distribution Date]]&gt;"2014-04-01",1,2.5)</f>
        <v>0</v>
      </c>
      <c r="AI798" s="378">
        <f>IF(NFI_Expiration=1,IF($A798&lt;VLOOKUP(R$5,NFI,5,0),1,0)*Table_NFI[[#This Row],[Winter Clothes Adult]],Table_NFI[Winter Clothes Adult])</f>
        <v>0</v>
      </c>
      <c r="AJ798" s="378">
        <f>IF(NFI_Expiration=1,IF($A798&lt;VLOOKUP(S$5,NFI,5,0),1,0)*Table_NFI[[#This Row],[Winter Clothes Children]],Table_NFI[Winter Clothes Children])</f>
        <v>0</v>
      </c>
      <c r="AK798" s="378">
        <f>IF(NFI_Expiration=1,IF($A798&lt;VLOOKUP(T$5,NFI,5,0),1,0)*Table_NFI[[#This Row],[Winter Items Other]],Table_NFI[Winter Items Other])</f>
        <v>0</v>
      </c>
      <c r="AL798" s="378">
        <f>IF(NFI_Expiration=1,IF($A798&lt;VLOOKUP(M$5,NFI,5,0),1,0)*Table_NFI[[#This Row],[Winter Blanket]],Table_NFI[[#This Row],[Winter Blanket]])</f>
        <v>0</v>
      </c>
      <c r="AM798" s="378">
        <f>IF(Table_NFI[[#This Row],[Winter Clothes Adult]]+Table_NFI[[#This Row],[Winter Clothes Children]]+Table_NFI[[#This Row],[Winter Items Other]]+Table_NFI[[#This Row],[Winter Blanket]]&gt;0,1,0)</f>
        <v>0</v>
      </c>
      <c r="AN798" s="418">
        <f>IF(NFI_Expiration=1,IF($A798&lt;VLOOKUP(V$5,NFI,5,0),1,0)*Table_NFI[[#This Row],[Jerry Can]],Table_NFI[Jerry Can])</f>
        <v>0</v>
      </c>
      <c r="AO798" s="579" t="str">
        <f>IFERROR(VLOOKUP(Table_NFI[[#This Row],[Camp Name]],CL,2,0),"")</f>
        <v>MMR001CMP068</v>
      </c>
      <c r="AP798" s="574">
        <f ca="1">IF(Table_NFI[[#This Row],[Pcode]]="","",IF(OFFSET(CampList[Opening Date],MATCH(Table_NFI[[#This Row],[Pcode]],CampList[CP_Pcode],0)-1,0,1,1)&gt;=NFI_Monitor_Date,1,0))</f>
        <v>0</v>
      </c>
      <c r="AQ798" s="579" t="str">
        <f>IFERROR(VLOOKUP(Table_NFI[[#This Row],[Camp Name]],CL,3,0),"")</f>
        <v>Open</v>
      </c>
      <c r="AR798" s="378" t="str">
        <f ca="1">IF(Table_NFI[[#This Row],[Pcode]]="","",OFFSET(CampList[Priority],MATCH(Table_NFI[[#This Row],[Pcode]],CampList[CP_Pcode],0)-1,0,1,1))</f>
        <v>P4</v>
      </c>
      <c r="AS798" s="377">
        <f>IFERROR(Table_NFI[[#This Row],[Kitchen Set]]/VLOOKUP(Table_NFI[[#This Row],[Camp Name]],CL,4,0),"")</f>
        <v>0</v>
      </c>
      <c r="AT798" s="572" t="s">
        <v>1095</v>
      </c>
      <c r="AU798" s="575"/>
    </row>
    <row r="799" spans="1:47" x14ac:dyDescent="0.25">
      <c r="A799" s="381">
        <f t="shared" si="12"/>
        <v>40.633333333333333</v>
      </c>
      <c r="B799" s="571">
        <v>41303</v>
      </c>
      <c r="C799" s="572" t="s">
        <v>908</v>
      </c>
      <c r="D799" s="573" t="s">
        <v>908</v>
      </c>
      <c r="E799" s="572" t="s">
        <v>380</v>
      </c>
      <c r="F799" s="374" t="s">
        <v>302</v>
      </c>
      <c r="G799" s="374" t="s">
        <v>308</v>
      </c>
      <c r="H799" s="375">
        <v>177</v>
      </c>
      <c r="I799" s="375"/>
      <c r="J799" s="375">
        <v>240</v>
      </c>
      <c r="K799" s="375"/>
      <c r="L799" s="376"/>
      <c r="M799" s="376"/>
      <c r="N799" s="376"/>
      <c r="O799" s="376"/>
      <c r="P799" s="378">
        <v>0</v>
      </c>
      <c r="Q799" s="378">
        <v>0</v>
      </c>
      <c r="R799" s="378"/>
      <c r="S799" s="378"/>
      <c r="T799" s="378"/>
      <c r="U799" s="378"/>
      <c r="V799" s="533"/>
      <c r="W799" s="378"/>
      <c r="X799" s="378"/>
      <c r="Y799" s="378">
        <f>IF(NFI_Expiration=1,IF($A799&lt;VLOOKUP(H$5,NFI,5,0),1,0)*Table_NFI[[#This Row],[Hygiene Kit]],Table_NFI[Hygiene Kit])</f>
        <v>0</v>
      </c>
      <c r="Z799" s="378">
        <f>IF(NFI_Expiration=1,IF($A799&lt;VLOOKUP(I$5,NFI,5,0),1,0)*Table_NFI[[#This Row],[NFI Core Kit]],Table_NFI[NFI Core Kit])</f>
        <v>0</v>
      </c>
      <c r="AA799" s="378">
        <f>IF(NFI_Expiration=1,IF($A799&lt;VLOOKUP(J$5,NFI,5,0),1,0)*Table_NFI[[#This Row],[Sanitary Kit]],Table_NFI[Sanitary Kit])</f>
        <v>0</v>
      </c>
      <c r="AB799" s="378">
        <f>IF(NFI_Expiration=1,IF($A799&lt;VLOOKUP(K$5,NFI,5,0),1,0)*Table_NFI[[#This Row],[Mosquito net]],Table_NFI[Mosquito net])</f>
        <v>0</v>
      </c>
      <c r="AC799" s="378">
        <f>IF(NFI_Expiration=1,IF($A799&lt;VLOOKUP(L$5,NFI,5,0),1,0)*Table_NFI[[#This Row],[Tarpaulin]],Table_NFI[[#This Row],[Tarpaulin]])</f>
        <v>0</v>
      </c>
      <c r="AD799" s="378">
        <f>IF(NFI_Expiration=1,IF($A799&lt;VLOOKUP(M$5,NFI,5,0),1,0)*Table_NFI[[#This Row],[Blanket]],Table_NFI[[#This Row],[Blanket]])</f>
        <v>0</v>
      </c>
      <c r="AE799" s="378">
        <f>IF(NFI_Expiration=1,IF($A799&lt;VLOOKUP(N$5,NFI,5,0),1,0)*Table_NFI[[#This Row],[Kitchen Set]],Table_NFI[Kitchen Set])</f>
        <v>0</v>
      </c>
      <c r="AF799" s="378">
        <f>IF(NFI_Expiration=1,IF($A799&lt;VLOOKUP(O$5,NFI,5,0),1,0)*Table_NFI[[#This Row],[Clothes Kit]],Table_NFI[Clothes Kit])</f>
        <v>0</v>
      </c>
      <c r="AG799" s="378">
        <f>IF(NFI_Expiration=1,IF($A799&lt;VLOOKUP(P$5,NFI,5,0),1,0)*Table_NFI[[#This Row],[Plastic Bucket]],Table_NFI[Plastic Bucket])</f>
        <v>0</v>
      </c>
      <c r="AH799" s="378">
        <f>IF(NFI_Expiration=1,IF($A799&lt;VLOOKUP(Q$5,NFI,5,0),1,0)*Table_NFI[[#This Row],[Plastic Mat]],Table_NFI[Plastic Mat])*IF(Table_NFI[[#This Row],[Distribution Date]]&gt;"2014-04-01",1,2.5)</f>
        <v>0</v>
      </c>
      <c r="AI799" s="378">
        <f>IF(NFI_Expiration=1,IF($A799&lt;VLOOKUP(R$5,NFI,5,0),1,0)*Table_NFI[[#This Row],[Winter Clothes Adult]],Table_NFI[Winter Clothes Adult])</f>
        <v>0</v>
      </c>
      <c r="AJ799" s="378">
        <f>IF(NFI_Expiration=1,IF($A799&lt;VLOOKUP(S$5,NFI,5,0),1,0)*Table_NFI[[#This Row],[Winter Clothes Children]],Table_NFI[Winter Clothes Children])</f>
        <v>0</v>
      </c>
      <c r="AK799" s="378">
        <f>IF(NFI_Expiration=1,IF($A799&lt;VLOOKUP(T$5,NFI,5,0),1,0)*Table_NFI[[#This Row],[Winter Items Other]],Table_NFI[Winter Items Other])</f>
        <v>0</v>
      </c>
      <c r="AL799" s="378">
        <f>IF(NFI_Expiration=1,IF($A799&lt;VLOOKUP(M$5,NFI,5,0),1,0)*Table_NFI[[#This Row],[Winter Blanket]],Table_NFI[[#This Row],[Winter Blanket]])</f>
        <v>0</v>
      </c>
      <c r="AM799" s="378">
        <f>IF(Table_NFI[[#This Row],[Winter Clothes Adult]]+Table_NFI[[#This Row],[Winter Clothes Children]]+Table_NFI[[#This Row],[Winter Items Other]]+Table_NFI[[#This Row],[Winter Blanket]]&gt;0,1,0)</f>
        <v>0</v>
      </c>
      <c r="AN799" s="418">
        <f>IF(NFI_Expiration=1,IF($A799&lt;VLOOKUP(V$5,NFI,5,0),1,0)*Table_NFI[[#This Row],[Jerry Can]],Table_NFI[Jerry Can])</f>
        <v>0</v>
      </c>
      <c r="AO799" s="579" t="str">
        <f>IFERROR(VLOOKUP(Table_NFI[[#This Row],[Camp Name]],CL,2,0),"")</f>
        <v>MMR001CMP068</v>
      </c>
      <c r="AP799" s="574">
        <f ca="1">IF(Table_NFI[[#This Row],[Pcode]]="","",IF(OFFSET(CampList[Opening Date],MATCH(Table_NFI[[#This Row],[Pcode]],CampList[CP_Pcode],0)-1,0,1,1)&gt;=NFI_Monitor_Date,1,0))</f>
        <v>0</v>
      </c>
      <c r="AQ799" s="579" t="str">
        <f>IFERROR(VLOOKUP(Table_NFI[[#This Row],[Camp Name]],CL,3,0),"")</f>
        <v>Open</v>
      </c>
      <c r="AR799" s="378" t="str">
        <f ca="1">IF(Table_NFI[[#This Row],[Pcode]]="","",OFFSET(CampList[Priority],MATCH(Table_NFI[[#This Row],[Pcode]],CampList[CP_Pcode],0)-1,0,1,1))</f>
        <v>P4</v>
      </c>
      <c r="AS799" s="377">
        <f>IFERROR(Table_NFI[[#This Row],[Kitchen Set]]/VLOOKUP(Table_NFI[[#This Row],[Camp Name]],CL,4,0),"")</f>
        <v>0</v>
      </c>
      <c r="AT799" s="572" t="s">
        <v>1095</v>
      </c>
      <c r="AU799" s="575"/>
    </row>
    <row r="800" spans="1:47" x14ac:dyDescent="0.25">
      <c r="A800" s="381">
        <f t="shared" si="12"/>
        <v>49.4</v>
      </c>
      <c r="B800" s="571">
        <v>41040</v>
      </c>
      <c r="C800" s="572" t="s">
        <v>454</v>
      </c>
      <c r="D800" s="572" t="s">
        <v>461</v>
      </c>
      <c r="E800" s="572" t="s">
        <v>380</v>
      </c>
      <c r="F800" s="572" t="s">
        <v>302</v>
      </c>
      <c r="G800" s="374" t="s">
        <v>308</v>
      </c>
      <c r="H800" s="375"/>
      <c r="I800" s="375"/>
      <c r="J800" s="375"/>
      <c r="K800" s="375">
        <v>37</v>
      </c>
      <c r="L800" s="376">
        <v>22</v>
      </c>
      <c r="M800" s="376">
        <v>37</v>
      </c>
      <c r="N800" s="376">
        <v>22</v>
      </c>
      <c r="O800" s="376">
        <v>22</v>
      </c>
      <c r="P800" s="378">
        <v>22</v>
      </c>
      <c r="Q800" s="378">
        <v>22</v>
      </c>
      <c r="R800" s="378"/>
      <c r="S800" s="378"/>
      <c r="T800" s="378"/>
      <c r="U800" s="378"/>
      <c r="V800" s="533"/>
      <c r="W800" s="378"/>
      <c r="X800" s="378"/>
      <c r="Y800" s="378">
        <f>IF(NFI_Expiration=1,IF($A800&lt;VLOOKUP(H$5,NFI,5,0),1,0)*Table_NFI[[#This Row],[Hygiene Kit]],Table_NFI[Hygiene Kit])</f>
        <v>0</v>
      </c>
      <c r="Z800" s="378">
        <f>IF(NFI_Expiration=1,IF($A800&lt;VLOOKUP(I$5,NFI,5,0),1,0)*Table_NFI[[#This Row],[NFI Core Kit]],Table_NFI[NFI Core Kit])</f>
        <v>0</v>
      </c>
      <c r="AA800" s="378">
        <f>IF(NFI_Expiration=1,IF($A800&lt;VLOOKUP(J$5,NFI,5,0),1,0)*Table_NFI[[#This Row],[Sanitary Kit]],Table_NFI[Sanitary Kit])</f>
        <v>0</v>
      </c>
      <c r="AB800" s="378">
        <f>IF(NFI_Expiration=1,IF($A800&lt;VLOOKUP(K$5,NFI,5,0),1,0)*Table_NFI[[#This Row],[Mosquito net]],Table_NFI[Mosquito net])</f>
        <v>0</v>
      </c>
      <c r="AC800" s="378">
        <f>IF(NFI_Expiration=1,IF($A800&lt;VLOOKUP(L$5,NFI,5,0),1,0)*Table_NFI[[#This Row],[Tarpaulin]],Table_NFI[[#This Row],[Tarpaulin]])</f>
        <v>0</v>
      </c>
      <c r="AD800" s="378">
        <f>IF(NFI_Expiration=1,IF($A800&lt;VLOOKUP(M$5,NFI,5,0),1,0)*Table_NFI[[#This Row],[Blanket]],Table_NFI[[#This Row],[Blanket]])</f>
        <v>0</v>
      </c>
      <c r="AE800" s="378">
        <f>IF(NFI_Expiration=1,IF($A800&lt;VLOOKUP(N$5,NFI,5,0),1,0)*Table_NFI[[#This Row],[Kitchen Set]],Table_NFI[Kitchen Set])</f>
        <v>0</v>
      </c>
      <c r="AF800" s="378">
        <f>IF(NFI_Expiration=1,IF($A800&lt;VLOOKUP(O$5,NFI,5,0),1,0)*Table_NFI[[#This Row],[Clothes Kit]],Table_NFI[Clothes Kit])</f>
        <v>0</v>
      </c>
      <c r="AG800" s="378">
        <f>IF(NFI_Expiration=1,IF($A800&lt;VLOOKUP(P$5,NFI,5,0),1,0)*Table_NFI[[#This Row],[Plastic Bucket]],Table_NFI[Plastic Bucket])</f>
        <v>0</v>
      </c>
      <c r="AH800" s="378">
        <f>IF(NFI_Expiration=1,IF($A800&lt;VLOOKUP(Q$5,NFI,5,0),1,0)*Table_NFI[[#This Row],[Plastic Mat]],Table_NFI[Plastic Mat])*IF(Table_NFI[[#This Row],[Distribution Date]]&gt;"2014-04-01",1,2.5)</f>
        <v>0</v>
      </c>
      <c r="AI800" s="378">
        <f>IF(NFI_Expiration=1,IF($A800&lt;VLOOKUP(R$5,NFI,5,0),1,0)*Table_NFI[[#This Row],[Winter Clothes Adult]],Table_NFI[Winter Clothes Adult])</f>
        <v>0</v>
      </c>
      <c r="AJ800" s="378">
        <f>IF(NFI_Expiration=1,IF($A800&lt;VLOOKUP(S$5,NFI,5,0),1,0)*Table_NFI[[#This Row],[Winter Clothes Children]],Table_NFI[Winter Clothes Children])</f>
        <v>0</v>
      </c>
      <c r="AK800" s="378">
        <f>IF(NFI_Expiration=1,IF($A800&lt;VLOOKUP(T$5,NFI,5,0),1,0)*Table_NFI[[#This Row],[Winter Items Other]],Table_NFI[Winter Items Other])</f>
        <v>0</v>
      </c>
      <c r="AL800" s="378">
        <f>IF(NFI_Expiration=1,IF($A800&lt;VLOOKUP(M$5,NFI,5,0),1,0)*Table_NFI[[#This Row],[Winter Blanket]],Table_NFI[[#This Row],[Winter Blanket]])</f>
        <v>0</v>
      </c>
      <c r="AM800" s="378">
        <f>IF(Table_NFI[[#This Row],[Winter Clothes Adult]]+Table_NFI[[#This Row],[Winter Clothes Children]]+Table_NFI[[#This Row],[Winter Items Other]]+Table_NFI[[#This Row],[Winter Blanket]]&gt;0,1,0)</f>
        <v>0</v>
      </c>
      <c r="AN800" s="418">
        <f>IF(NFI_Expiration=1,IF($A800&lt;VLOOKUP(V$5,NFI,5,0),1,0)*Table_NFI[[#This Row],[Jerry Can]],Table_NFI[Jerry Can])</f>
        <v>0</v>
      </c>
      <c r="AO800" s="579" t="str">
        <f>IFERROR(VLOOKUP(Table_NFI[[#This Row],[Camp Name]],CL,2,0),"")</f>
        <v>MMR001CMP068</v>
      </c>
      <c r="AP800" s="574">
        <f ca="1">IF(Table_NFI[[#This Row],[Pcode]]="","",IF(OFFSET(CampList[Opening Date],MATCH(Table_NFI[[#This Row],[Pcode]],CampList[CP_Pcode],0)-1,0,1,1)&gt;=NFI_Monitor_Date,1,0))</f>
        <v>0</v>
      </c>
      <c r="AQ800" s="579" t="str">
        <f>IFERROR(VLOOKUP(Table_NFI[[#This Row],[Camp Name]],CL,3,0),"")</f>
        <v>Open</v>
      </c>
      <c r="AR800" s="378" t="str">
        <f ca="1">IF(Table_NFI[[#This Row],[Pcode]]="","",OFFSET(CampList[Priority],MATCH(Table_NFI[[#This Row],[Pcode]],CampList[CP_Pcode],0)-1,0,1,1))</f>
        <v>P4</v>
      </c>
      <c r="AS800" s="377">
        <f>IFERROR(Table_NFI[[#This Row],[Kitchen Set]]/VLOOKUP(Table_NFI[[#This Row],[Camp Name]],CL,4,0),"")</f>
        <v>0.53658536585365857</v>
      </c>
      <c r="AT800" s="572" t="s">
        <v>1095</v>
      </c>
      <c r="AU800" s="575"/>
    </row>
    <row r="801" spans="1:47" x14ac:dyDescent="0.25">
      <c r="A801" s="381">
        <f t="shared" si="12"/>
        <v>50.43333333333333</v>
      </c>
      <c r="B801" s="571">
        <v>41009</v>
      </c>
      <c r="C801" s="572" t="s">
        <v>454</v>
      </c>
      <c r="D801" s="572" t="s">
        <v>461</v>
      </c>
      <c r="E801" s="572" t="s">
        <v>380</v>
      </c>
      <c r="F801" s="374" t="s">
        <v>302</v>
      </c>
      <c r="G801" s="374" t="s">
        <v>308</v>
      </c>
      <c r="H801" s="375"/>
      <c r="I801" s="375"/>
      <c r="J801" s="375"/>
      <c r="K801" s="375">
        <v>43</v>
      </c>
      <c r="L801" s="376">
        <v>25</v>
      </c>
      <c r="M801" s="376">
        <v>43</v>
      </c>
      <c r="N801" s="376">
        <v>25</v>
      </c>
      <c r="O801" s="376">
        <v>25</v>
      </c>
      <c r="P801" s="378">
        <v>25</v>
      </c>
      <c r="Q801" s="378">
        <v>25</v>
      </c>
      <c r="R801" s="378"/>
      <c r="S801" s="378"/>
      <c r="T801" s="378"/>
      <c r="U801" s="378"/>
      <c r="V801" s="533"/>
      <c r="W801" s="378"/>
      <c r="X801" s="378"/>
      <c r="Y801" s="378">
        <f>IF(NFI_Expiration=1,IF($A801&lt;VLOOKUP(H$5,NFI,5,0),1,0)*Table_NFI[[#This Row],[Hygiene Kit]],Table_NFI[Hygiene Kit])</f>
        <v>0</v>
      </c>
      <c r="Z801" s="378">
        <f>IF(NFI_Expiration=1,IF($A801&lt;VLOOKUP(I$5,NFI,5,0),1,0)*Table_NFI[[#This Row],[NFI Core Kit]],Table_NFI[NFI Core Kit])</f>
        <v>0</v>
      </c>
      <c r="AA801" s="378">
        <f>IF(NFI_Expiration=1,IF($A801&lt;VLOOKUP(J$5,NFI,5,0),1,0)*Table_NFI[[#This Row],[Sanitary Kit]],Table_NFI[Sanitary Kit])</f>
        <v>0</v>
      </c>
      <c r="AB801" s="378">
        <f>IF(NFI_Expiration=1,IF($A801&lt;VLOOKUP(K$5,NFI,5,0),1,0)*Table_NFI[[#This Row],[Mosquito net]],Table_NFI[Mosquito net])</f>
        <v>0</v>
      </c>
      <c r="AC801" s="378">
        <f>IF(NFI_Expiration=1,IF($A801&lt;VLOOKUP(L$5,NFI,5,0),1,0)*Table_NFI[[#This Row],[Tarpaulin]],Table_NFI[[#This Row],[Tarpaulin]])</f>
        <v>0</v>
      </c>
      <c r="AD801" s="378">
        <f>IF(NFI_Expiration=1,IF($A801&lt;VLOOKUP(M$5,NFI,5,0),1,0)*Table_NFI[[#This Row],[Blanket]],Table_NFI[[#This Row],[Blanket]])</f>
        <v>0</v>
      </c>
      <c r="AE801" s="378">
        <f>IF(NFI_Expiration=1,IF($A801&lt;VLOOKUP(N$5,NFI,5,0),1,0)*Table_NFI[[#This Row],[Kitchen Set]],Table_NFI[Kitchen Set])</f>
        <v>0</v>
      </c>
      <c r="AF801" s="378">
        <f>IF(NFI_Expiration=1,IF($A801&lt;VLOOKUP(O$5,NFI,5,0),1,0)*Table_NFI[[#This Row],[Clothes Kit]],Table_NFI[Clothes Kit])</f>
        <v>0</v>
      </c>
      <c r="AG801" s="378">
        <f>IF(NFI_Expiration=1,IF($A801&lt;VLOOKUP(P$5,NFI,5,0),1,0)*Table_NFI[[#This Row],[Plastic Bucket]],Table_NFI[Plastic Bucket])</f>
        <v>0</v>
      </c>
      <c r="AH801" s="378">
        <f>IF(NFI_Expiration=1,IF($A801&lt;VLOOKUP(Q$5,NFI,5,0),1,0)*Table_NFI[[#This Row],[Plastic Mat]],Table_NFI[Plastic Mat])*IF(Table_NFI[[#This Row],[Distribution Date]]&gt;"2014-04-01",1,2.5)</f>
        <v>0</v>
      </c>
      <c r="AI801" s="378">
        <f>IF(NFI_Expiration=1,IF($A801&lt;VLOOKUP(R$5,NFI,5,0),1,0)*Table_NFI[[#This Row],[Winter Clothes Adult]],Table_NFI[Winter Clothes Adult])</f>
        <v>0</v>
      </c>
      <c r="AJ801" s="378">
        <f>IF(NFI_Expiration=1,IF($A801&lt;VLOOKUP(S$5,NFI,5,0),1,0)*Table_NFI[[#This Row],[Winter Clothes Children]],Table_NFI[Winter Clothes Children])</f>
        <v>0</v>
      </c>
      <c r="AK801" s="378">
        <f>IF(NFI_Expiration=1,IF($A801&lt;VLOOKUP(T$5,NFI,5,0),1,0)*Table_NFI[[#This Row],[Winter Items Other]],Table_NFI[Winter Items Other])</f>
        <v>0</v>
      </c>
      <c r="AL801" s="378">
        <f>IF(NFI_Expiration=1,IF($A801&lt;VLOOKUP(M$5,NFI,5,0),1,0)*Table_NFI[[#This Row],[Winter Blanket]],Table_NFI[[#This Row],[Winter Blanket]])</f>
        <v>0</v>
      </c>
      <c r="AM801" s="378">
        <f>IF(Table_NFI[[#This Row],[Winter Clothes Adult]]+Table_NFI[[#This Row],[Winter Clothes Children]]+Table_NFI[[#This Row],[Winter Items Other]]+Table_NFI[[#This Row],[Winter Blanket]]&gt;0,1,0)</f>
        <v>0</v>
      </c>
      <c r="AN801" s="418">
        <f>IF(NFI_Expiration=1,IF($A801&lt;VLOOKUP(V$5,NFI,5,0),1,0)*Table_NFI[[#This Row],[Jerry Can]],Table_NFI[Jerry Can])</f>
        <v>0</v>
      </c>
      <c r="AO801" s="579" t="str">
        <f>IFERROR(VLOOKUP(Table_NFI[[#This Row],[Camp Name]],CL,2,0),"")</f>
        <v>MMR001CMP068</v>
      </c>
      <c r="AP801" s="574">
        <f ca="1">IF(Table_NFI[[#This Row],[Pcode]]="","",IF(OFFSET(CampList[Opening Date],MATCH(Table_NFI[[#This Row],[Pcode]],CampList[CP_Pcode],0)-1,0,1,1)&gt;=NFI_Monitor_Date,1,0))</f>
        <v>0</v>
      </c>
      <c r="AQ801" s="579" t="str">
        <f>IFERROR(VLOOKUP(Table_NFI[[#This Row],[Camp Name]],CL,3,0),"")</f>
        <v>Open</v>
      </c>
      <c r="AR801" s="378" t="str">
        <f ca="1">IF(Table_NFI[[#This Row],[Pcode]]="","",OFFSET(CampList[Priority],MATCH(Table_NFI[[#This Row],[Pcode]],CampList[CP_Pcode],0)-1,0,1,1))</f>
        <v>P4</v>
      </c>
      <c r="AS801" s="377">
        <f>IFERROR(Table_NFI[[#This Row],[Kitchen Set]]/VLOOKUP(Table_NFI[[#This Row],[Camp Name]],CL,4,0),"")</f>
        <v>0.6097560975609756</v>
      </c>
      <c r="AT801" s="572" t="s">
        <v>1095</v>
      </c>
      <c r="AU801" s="575"/>
    </row>
    <row r="802" spans="1:47" x14ac:dyDescent="0.25">
      <c r="A802" s="381">
        <f t="shared" si="12"/>
        <v>25.033333333333335</v>
      </c>
      <c r="B802" s="571">
        <v>41771</v>
      </c>
      <c r="C802" s="572" t="s">
        <v>1107</v>
      </c>
      <c r="D802" s="572" t="s">
        <v>903</v>
      </c>
      <c r="E802" s="572" t="s">
        <v>380</v>
      </c>
      <c r="F802" s="572" t="s">
        <v>237</v>
      </c>
      <c r="G802" s="572" t="s">
        <v>281</v>
      </c>
      <c r="H802" s="375"/>
      <c r="I802" s="375"/>
      <c r="J802" s="375"/>
      <c r="K802" s="375"/>
      <c r="L802" s="376"/>
      <c r="M802" s="376"/>
      <c r="N802" s="376"/>
      <c r="O802" s="376"/>
      <c r="P802" s="378"/>
      <c r="Q802" s="378"/>
      <c r="R802" s="378"/>
      <c r="S802" s="378"/>
      <c r="T802" s="378"/>
      <c r="U802" s="378">
        <v>168</v>
      </c>
      <c r="V802" s="533"/>
      <c r="W802" s="378"/>
      <c r="X802" s="378"/>
      <c r="Y802" s="378">
        <f>IF(NFI_Expiration=1,IF($A802&lt;VLOOKUP(H$5,NFI,5,0),1,0)*Table_NFI[[#This Row],[Hygiene Kit]],Table_NFI[Hygiene Kit])</f>
        <v>0</v>
      </c>
      <c r="Z802" s="378">
        <f>IF(NFI_Expiration=1,IF($A802&lt;VLOOKUP(I$5,NFI,5,0),1,0)*Table_NFI[[#This Row],[NFI Core Kit]],Table_NFI[NFI Core Kit])</f>
        <v>0</v>
      </c>
      <c r="AA802" s="378">
        <f>IF(NFI_Expiration=1,IF($A802&lt;VLOOKUP(J$5,NFI,5,0),1,0)*Table_NFI[[#This Row],[Sanitary Kit]],Table_NFI[Sanitary Kit])</f>
        <v>0</v>
      </c>
      <c r="AB802" s="378">
        <f>IF(NFI_Expiration=1,IF($A802&lt;VLOOKUP(K$5,NFI,5,0),1,0)*Table_NFI[[#This Row],[Mosquito net]],Table_NFI[Mosquito net])</f>
        <v>0</v>
      </c>
      <c r="AC802" s="378">
        <f>IF(NFI_Expiration=1,IF($A802&lt;VLOOKUP(L$5,NFI,5,0),1,0)*Table_NFI[[#This Row],[Tarpaulin]],Table_NFI[[#This Row],[Tarpaulin]])</f>
        <v>0</v>
      </c>
      <c r="AD802" s="378">
        <f>IF(NFI_Expiration=1,IF($A802&lt;VLOOKUP(M$5,NFI,5,0),1,0)*Table_NFI[[#This Row],[Blanket]],Table_NFI[[#This Row],[Blanket]])</f>
        <v>0</v>
      </c>
      <c r="AE802" s="378">
        <f>IF(NFI_Expiration=1,IF($A802&lt;VLOOKUP(N$5,NFI,5,0),1,0)*Table_NFI[[#This Row],[Kitchen Set]],Table_NFI[Kitchen Set])</f>
        <v>0</v>
      </c>
      <c r="AF802" s="378">
        <f>IF(NFI_Expiration=1,IF($A802&lt;VLOOKUP(O$5,NFI,5,0),1,0)*Table_NFI[[#This Row],[Clothes Kit]],Table_NFI[Clothes Kit])</f>
        <v>0</v>
      </c>
      <c r="AG802" s="378">
        <f>IF(NFI_Expiration=1,IF($A802&lt;VLOOKUP(P$5,NFI,5,0),1,0)*Table_NFI[[#This Row],[Plastic Bucket]],Table_NFI[Plastic Bucket])</f>
        <v>0</v>
      </c>
      <c r="AH802" s="378">
        <f>IF(NFI_Expiration=1,IF($A802&lt;VLOOKUP(Q$5,NFI,5,0),1,0)*Table_NFI[[#This Row],[Plastic Mat]],Table_NFI[Plastic Mat])*IF(Table_NFI[[#This Row],[Distribution Date]]&gt;"2014-04-01",1,2.5)</f>
        <v>0</v>
      </c>
      <c r="AI802" s="378">
        <f>IF(NFI_Expiration=1,IF($A802&lt;VLOOKUP(R$5,NFI,5,0),1,0)*Table_NFI[[#This Row],[Winter Clothes Adult]],Table_NFI[Winter Clothes Adult])</f>
        <v>0</v>
      </c>
      <c r="AJ802" s="378">
        <f>IF(NFI_Expiration=1,IF($A802&lt;VLOOKUP(S$5,NFI,5,0),1,0)*Table_NFI[[#This Row],[Winter Clothes Children]],Table_NFI[Winter Clothes Children])</f>
        <v>0</v>
      </c>
      <c r="AK802" s="378">
        <f>IF(NFI_Expiration=1,IF($A802&lt;VLOOKUP(T$5,NFI,5,0),1,0)*Table_NFI[[#This Row],[Winter Items Other]],Table_NFI[Winter Items Other])</f>
        <v>0</v>
      </c>
      <c r="AL802" s="378">
        <f>IF(NFI_Expiration=1,IF($A802&lt;VLOOKUP(M$5,NFI,5,0),1,0)*Table_NFI[[#This Row],[Winter Blanket]],Table_NFI[[#This Row],[Winter Blanket]])</f>
        <v>0</v>
      </c>
      <c r="AM802" s="378">
        <f>IF(Table_NFI[[#This Row],[Winter Clothes Adult]]+Table_NFI[[#This Row],[Winter Clothes Children]]+Table_NFI[[#This Row],[Winter Items Other]]+Table_NFI[[#This Row],[Winter Blanket]]&gt;0,1,0)</f>
        <v>1</v>
      </c>
      <c r="AN802" s="418">
        <f>IF(NFI_Expiration=1,IF($A802&lt;VLOOKUP(V$5,NFI,5,0),1,0)*Table_NFI[[#This Row],[Jerry Can]],Table_NFI[Jerry Can])</f>
        <v>0</v>
      </c>
      <c r="AO802" s="579" t="str">
        <f>IFERROR(VLOOKUP(Table_NFI[[#This Row],[Camp Name]],CL,2,0),"")</f>
        <v>MMR001CMP009</v>
      </c>
      <c r="AP802" s="574">
        <f ca="1">IF(Table_NFI[[#This Row],[Pcode]]="","",IF(OFFSET(CampList[Opening Date],MATCH(Table_NFI[[#This Row],[Pcode]],CampList[CP_Pcode],0)-1,0,1,1)&gt;=NFI_Monitor_Date,1,0))</f>
        <v>0</v>
      </c>
      <c r="AQ802" s="579" t="str">
        <f>IFERROR(VLOOKUP(Table_NFI[[#This Row],[Camp Name]],CL,3,0),"")</f>
        <v>Open</v>
      </c>
      <c r="AR802" s="378" t="str">
        <f ca="1">IF(Table_NFI[[#This Row],[Pcode]]="","",OFFSET(CampList[Priority],MATCH(Table_NFI[[#This Row],[Pcode]],CampList[CP_Pcode],0)-1,0,1,1))</f>
        <v>P4</v>
      </c>
      <c r="AS802" s="377">
        <f>IFERROR(Table_NFI[[#This Row],[Kitchen Set]]/VLOOKUP(Table_NFI[[#This Row],[Camp Name]],CL,4,0),"")</f>
        <v>0</v>
      </c>
      <c r="AT802" s="572"/>
      <c r="AU802" s="575"/>
    </row>
    <row r="803" spans="1:47" x14ac:dyDescent="0.25">
      <c r="A803" s="381">
        <f t="shared" si="12"/>
        <v>42.033333333333331</v>
      </c>
      <c r="B803" s="571">
        <v>41261</v>
      </c>
      <c r="C803" s="572" t="s">
        <v>454</v>
      </c>
      <c r="D803" s="573" t="s">
        <v>454</v>
      </c>
      <c r="E803" s="572" t="s">
        <v>380</v>
      </c>
      <c r="F803" s="374" t="s">
        <v>237</v>
      </c>
      <c r="G803" s="374" t="s">
        <v>281</v>
      </c>
      <c r="H803" s="375"/>
      <c r="I803" s="375"/>
      <c r="J803" s="375"/>
      <c r="K803" s="375">
        <v>30</v>
      </c>
      <c r="L803" s="376">
        <v>20</v>
      </c>
      <c r="M803" s="376">
        <v>30</v>
      </c>
      <c r="N803" s="376">
        <v>20</v>
      </c>
      <c r="O803" s="376">
        <v>20</v>
      </c>
      <c r="P803" s="378">
        <v>20</v>
      </c>
      <c r="Q803" s="378">
        <v>20</v>
      </c>
      <c r="R803" s="378"/>
      <c r="S803" s="378"/>
      <c r="T803" s="378"/>
      <c r="U803" s="378"/>
      <c r="V803" s="533"/>
      <c r="W803" s="378"/>
      <c r="X803" s="378"/>
      <c r="Y803" s="378">
        <f>IF(NFI_Expiration=1,IF($A803&lt;VLOOKUP(H$5,NFI,5,0),1,0)*Table_NFI[[#This Row],[Hygiene Kit]],Table_NFI[Hygiene Kit])</f>
        <v>0</v>
      </c>
      <c r="Z803" s="378">
        <f>IF(NFI_Expiration=1,IF($A803&lt;VLOOKUP(I$5,NFI,5,0),1,0)*Table_NFI[[#This Row],[NFI Core Kit]],Table_NFI[NFI Core Kit])</f>
        <v>0</v>
      </c>
      <c r="AA803" s="378">
        <f>IF(NFI_Expiration=1,IF($A803&lt;VLOOKUP(J$5,NFI,5,0),1,0)*Table_NFI[[#This Row],[Sanitary Kit]],Table_NFI[Sanitary Kit])</f>
        <v>0</v>
      </c>
      <c r="AB803" s="378">
        <f>IF(NFI_Expiration=1,IF($A803&lt;VLOOKUP(K$5,NFI,5,0),1,0)*Table_NFI[[#This Row],[Mosquito net]],Table_NFI[Mosquito net])</f>
        <v>0</v>
      </c>
      <c r="AC803" s="378">
        <f>IF(NFI_Expiration=1,IF($A803&lt;VLOOKUP(L$5,NFI,5,0),1,0)*Table_NFI[[#This Row],[Tarpaulin]],Table_NFI[[#This Row],[Tarpaulin]])</f>
        <v>0</v>
      </c>
      <c r="AD803" s="378">
        <f>IF(NFI_Expiration=1,IF($A803&lt;VLOOKUP(M$5,NFI,5,0),1,0)*Table_NFI[[#This Row],[Blanket]],Table_NFI[[#This Row],[Blanket]])</f>
        <v>0</v>
      </c>
      <c r="AE803" s="378">
        <f>IF(NFI_Expiration=1,IF($A803&lt;VLOOKUP(N$5,NFI,5,0),1,0)*Table_NFI[[#This Row],[Kitchen Set]],Table_NFI[Kitchen Set])</f>
        <v>0</v>
      </c>
      <c r="AF803" s="378">
        <f>IF(NFI_Expiration=1,IF($A803&lt;VLOOKUP(O$5,NFI,5,0),1,0)*Table_NFI[[#This Row],[Clothes Kit]],Table_NFI[Clothes Kit])</f>
        <v>0</v>
      </c>
      <c r="AG803" s="378">
        <f>IF(NFI_Expiration=1,IF($A803&lt;VLOOKUP(P$5,NFI,5,0),1,0)*Table_NFI[[#This Row],[Plastic Bucket]],Table_NFI[Plastic Bucket])</f>
        <v>0</v>
      </c>
      <c r="AH803" s="378">
        <f>IF(NFI_Expiration=1,IF($A803&lt;VLOOKUP(Q$5,NFI,5,0),1,0)*Table_NFI[[#This Row],[Plastic Mat]],Table_NFI[Plastic Mat])*IF(Table_NFI[[#This Row],[Distribution Date]]&gt;"2014-04-01",1,2.5)</f>
        <v>0</v>
      </c>
      <c r="AI803" s="378">
        <f>IF(NFI_Expiration=1,IF($A803&lt;VLOOKUP(R$5,NFI,5,0),1,0)*Table_NFI[[#This Row],[Winter Clothes Adult]],Table_NFI[Winter Clothes Adult])</f>
        <v>0</v>
      </c>
      <c r="AJ803" s="378">
        <f>IF(NFI_Expiration=1,IF($A803&lt;VLOOKUP(S$5,NFI,5,0),1,0)*Table_NFI[[#This Row],[Winter Clothes Children]],Table_NFI[Winter Clothes Children])</f>
        <v>0</v>
      </c>
      <c r="AK803" s="378">
        <f>IF(NFI_Expiration=1,IF($A803&lt;VLOOKUP(T$5,NFI,5,0),1,0)*Table_NFI[[#This Row],[Winter Items Other]],Table_NFI[Winter Items Other])</f>
        <v>0</v>
      </c>
      <c r="AL803" s="378">
        <f>IF(NFI_Expiration=1,IF($A803&lt;VLOOKUP(M$5,NFI,5,0),1,0)*Table_NFI[[#This Row],[Winter Blanket]],Table_NFI[[#This Row],[Winter Blanket]])</f>
        <v>0</v>
      </c>
      <c r="AM803" s="378">
        <f>IF(Table_NFI[[#This Row],[Winter Clothes Adult]]+Table_NFI[[#This Row],[Winter Clothes Children]]+Table_NFI[[#This Row],[Winter Items Other]]+Table_NFI[[#This Row],[Winter Blanket]]&gt;0,1,0)</f>
        <v>0</v>
      </c>
      <c r="AN803" s="418">
        <f>IF(NFI_Expiration=1,IF($A803&lt;VLOOKUP(V$5,NFI,5,0),1,0)*Table_NFI[[#This Row],[Jerry Can]],Table_NFI[Jerry Can])</f>
        <v>0</v>
      </c>
      <c r="AO803" s="579" t="str">
        <f>IFERROR(VLOOKUP(Table_NFI[[#This Row],[Camp Name]],CL,2,0),"")</f>
        <v>MMR001CMP009</v>
      </c>
      <c r="AP803" s="574">
        <f ca="1">IF(Table_NFI[[#This Row],[Pcode]]="","",IF(OFFSET(CampList[Opening Date],MATCH(Table_NFI[[#This Row],[Pcode]],CampList[CP_Pcode],0)-1,0,1,1)&gt;=NFI_Monitor_Date,1,0))</f>
        <v>0</v>
      </c>
      <c r="AQ803" s="579" t="str">
        <f>IFERROR(VLOOKUP(Table_NFI[[#This Row],[Camp Name]],CL,3,0),"")</f>
        <v>Open</v>
      </c>
      <c r="AR803" s="378" t="str">
        <f ca="1">IF(Table_NFI[[#This Row],[Pcode]]="","",OFFSET(CampList[Priority],MATCH(Table_NFI[[#This Row],[Pcode]],CampList[CP_Pcode],0)-1,0,1,1))</f>
        <v>P4</v>
      </c>
      <c r="AS803" s="377">
        <f>IFERROR(Table_NFI[[#This Row],[Kitchen Set]]/VLOOKUP(Table_NFI[[#This Row],[Camp Name]],CL,4,0),"")</f>
        <v>0.21978021978021978</v>
      </c>
      <c r="AT803" s="572" t="s">
        <v>1095</v>
      </c>
      <c r="AU803" s="575"/>
    </row>
    <row r="804" spans="1:47" x14ac:dyDescent="0.25">
      <c r="A804" s="381">
        <f t="shared" si="12"/>
        <v>48.93333333333333</v>
      </c>
      <c r="B804" s="571">
        <v>41054</v>
      </c>
      <c r="C804" s="572" t="s">
        <v>454</v>
      </c>
      <c r="D804" s="573" t="s">
        <v>454</v>
      </c>
      <c r="E804" s="572" t="s">
        <v>380</v>
      </c>
      <c r="F804" s="374" t="s">
        <v>237</v>
      </c>
      <c r="G804" s="374" t="s">
        <v>281</v>
      </c>
      <c r="H804" s="375"/>
      <c r="I804" s="375"/>
      <c r="J804" s="375"/>
      <c r="K804" s="375">
        <v>0</v>
      </c>
      <c r="L804" s="376">
        <v>25</v>
      </c>
      <c r="M804" s="376">
        <v>0</v>
      </c>
      <c r="N804" s="376">
        <v>0</v>
      </c>
      <c r="O804" s="376">
        <v>0</v>
      </c>
      <c r="P804" s="378"/>
      <c r="Q804" s="378"/>
      <c r="R804" s="378"/>
      <c r="S804" s="378"/>
      <c r="T804" s="378"/>
      <c r="U804" s="378"/>
      <c r="V804" s="533"/>
      <c r="W804" s="378"/>
      <c r="X804" s="378"/>
      <c r="Y804" s="378">
        <f>IF(NFI_Expiration=1,IF($A804&lt;VLOOKUP(H$5,NFI,5,0),1,0)*Table_NFI[[#This Row],[Hygiene Kit]],Table_NFI[Hygiene Kit])</f>
        <v>0</v>
      </c>
      <c r="Z804" s="378">
        <f>IF(NFI_Expiration=1,IF($A804&lt;VLOOKUP(I$5,NFI,5,0),1,0)*Table_NFI[[#This Row],[NFI Core Kit]],Table_NFI[NFI Core Kit])</f>
        <v>0</v>
      </c>
      <c r="AA804" s="378">
        <f>IF(NFI_Expiration=1,IF($A804&lt;VLOOKUP(J$5,NFI,5,0),1,0)*Table_NFI[[#This Row],[Sanitary Kit]],Table_NFI[Sanitary Kit])</f>
        <v>0</v>
      </c>
      <c r="AB804" s="378">
        <f>IF(NFI_Expiration=1,IF($A804&lt;VLOOKUP(K$5,NFI,5,0),1,0)*Table_NFI[[#This Row],[Mosquito net]],Table_NFI[Mosquito net])</f>
        <v>0</v>
      </c>
      <c r="AC804" s="378">
        <f>IF(NFI_Expiration=1,IF($A804&lt;VLOOKUP(L$5,NFI,5,0),1,0)*Table_NFI[[#This Row],[Tarpaulin]],Table_NFI[[#This Row],[Tarpaulin]])</f>
        <v>0</v>
      </c>
      <c r="AD804" s="378">
        <f>IF(NFI_Expiration=1,IF($A804&lt;VLOOKUP(M$5,NFI,5,0),1,0)*Table_NFI[[#This Row],[Blanket]],Table_NFI[[#This Row],[Blanket]])</f>
        <v>0</v>
      </c>
      <c r="AE804" s="378">
        <f>IF(NFI_Expiration=1,IF($A804&lt;VLOOKUP(N$5,NFI,5,0),1,0)*Table_NFI[[#This Row],[Kitchen Set]],Table_NFI[Kitchen Set])</f>
        <v>0</v>
      </c>
      <c r="AF804" s="378">
        <f>IF(NFI_Expiration=1,IF($A804&lt;VLOOKUP(O$5,NFI,5,0),1,0)*Table_NFI[[#This Row],[Clothes Kit]],Table_NFI[Clothes Kit])</f>
        <v>0</v>
      </c>
      <c r="AG804" s="378">
        <f>IF(NFI_Expiration=1,IF($A804&lt;VLOOKUP(P$5,NFI,5,0),1,0)*Table_NFI[[#This Row],[Plastic Bucket]],Table_NFI[Plastic Bucket])</f>
        <v>0</v>
      </c>
      <c r="AH804" s="378">
        <f>IF(NFI_Expiration=1,IF($A804&lt;VLOOKUP(Q$5,NFI,5,0),1,0)*Table_NFI[[#This Row],[Plastic Mat]],Table_NFI[Plastic Mat])*IF(Table_NFI[[#This Row],[Distribution Date]]&gt;"2014-04-01",1,2.5)</f>
        <v>0</v>
      </c>
      <c r="AI804" s="378">
        <f>IF(NFI_Expiration=1,IF($A804&lt;VLOOKUP(R$5,NFI,5,0),1,0)*Table_NFI[[#This Row],[Winter Clothes Adult]],Table_NFI[Winter Clothes Adult])</f>
        <v>0</v>
      </c>
      <c r="AJ804" s="378">
        <f>IF(NFI_Expiration=1,IF($A804&lt;VLOOKUP(S$5,NFI,5,0),1,0)*Table_NFI[[#This Row],[Winter Clothes Children]],Table_NFI[Winter Clothes Children])</f>
        <v>0</v>
      </c>
      <c r="AK804" s="378">
        <f>IF(NFI_Expiration=1,IF($A804&lt;VLOOKUP(T$5,NFI,5,0),1,0)*Table_NFI[[#This Row],[Winter Items Other]],Table_NFI[Winter Items Other])</f>
        <v>0</v>
      </c>
      <c r="AL804" s="378">
        <f>IF(NFI_Expiration=1,IF($A804&lt;VLOOKUP(M$5,NFI,5,0),1,0)*Table_NFI[[#This Row],[Winter Blanket]],Table_NFI[[#This Row],[Winter Blanket]])</f>
        <v>0</v>
      </c>
      <c r="AM804" s="378">
        <f>IF(Table_NFI[[#This Row],[Winter Clothes Adult]]+Table_NFI[[#This Row],[Winter Clothes Children]]+Table_NFI[[#This Row],[Winter Items Other]]+Table_NFI[[#This Row],[Winter Blanket]]&gt;0,1,0)</f>
        <v>0</v>
      </c>
      <c r="AN804" s="418">
        <f>IF(NFI_Expiration=1,IF($A804&lt;VLOOKUP(V$5,NFI,5,0),1,0)*Table_NFI[[#This Row],[Jerry Can]],Table_NFI[Jerry Can])</f>
        <v>0</v>
      </c>
      <c r="AO804" s="579" t="str">
        <f>IFERROR(VLOOKUP(Table_NFI[[#This Row],[Camp Name]],CL,2,0),"")</f>
        <v>MMR001CMP009</v>
      </c>
      <c r="AP804" s="574">
        <f ca="1">IF(Table_NFI[[#This Row],[Pcode]]="","",IF(OFFSET(CampList[Opening Date],MATCH(Table_NFI[[#This Row],[Pcode]],CampList[CP_Pcode],0)-1,0,1,1)&gt;=NFI_Monitor_Date,1,0))</f>
        <v>0</v>
      </c>
      <c r="AQ804" s="579" t="str">
        <f>IFERROR(VLOOKUP(Table_NFI[[#This Row],[Camp Name]],CL,3,0),"")</f>
        <v>Open</v>
      </c>
      <c r="AR804" s="378" t="str">
        <f ca="1">IF(Table_NFI[[#This Row],[Pcode]]="","",OFFSET(CampList[Priority],MATCH(Table_NFI[[#This Row],[Pcode]],CampList[CP_Pcode],0)-1,0,1,1))</f>
        <v>P4</v>
      </c>
      <c r="AS804" s="377">
        <f>IFERROR(Table_NFI[[#This Row],[Kitchen Set]]/VLOOKUP(Table_NFI[[#This Row],[Camp Name]],CL,4,0),"")</f>
        <v>0</v>
      </c>
      <c r="AT804" s="572" t="s">
        <v>1095</v>
      </c>
      <c r="AU804" s="575"/>
    </row>
    <row r="805" spans="1:47" x14ac:dyDescent="0.25">
      <c r="A805" s="381">
        <f t="shared" si="12"/>
        <v>54.7</v>
      </c>
      <c r="B805" s="571">
        <v>40881</v>
      </c>
      <c r="C805" s="572" t="s">
        <v>454</v>
      </c>
      <c r="D805" s="573" t="s">
        <v>462</v>
      </c>
      <c r="E805" s="572" t="s">
        <v>380</v>
      </c>
      <c r="F805" s="374" t="s">
        <v>237</v>
      </c>
      <c r="G805" s="374" t="s">
        <v>281</v>
      </c>
      <c r="H805" s="375"/>
      <c r="I805" s="375"/>
      <c r="J805" s="375"/>
      <c r="K805" s="375">
        <v>52</v>
      </c>
      <c r="L805" s="376">
        <v>27</v>
      </c>
      <c r="M805" s="376">
        <v>52</v>
      </c>
      <c r="N805" s="376">
        <v>27</v>
      </c>
      <c r="O805" s="376">
        <v>27</v>
      </c>
      <c r="P805" s="378">
        <v>27</v>
      </c>
      <c r="Q805" s="378">
        <v>27</v>
      </c>
      <c r="R805" s="378"/>
      <c r="S805" s="378"/>
      <c r="T805" s="378"/>
      <c r="U805" s="378"/>
      <c r="V805" s="533"/>
      <c r="W805" s="378"/>
      <c r="X805" s="378"/>
      <c r="Y805" s="378">
        <f>IF(NFI_Expiration=1,IF($A805&lt;VLOOKUP(H$5,NFI,5,0),1,0)*Table_NFI[[#This Row],[Hygiene Kit]],Table_NFI[Hygiene Kit])</f>
        <v>0</v>
      </c>
      <c r="Z805" s="378">
        <f>IF(NFI_Expiration=1,IF($A805&lt;VLOOKUP(I$5,NFI,5,0),1,0)*Table_NFI[[#This Row],[NFI Core Kit]],Table_NFI[NFI Core Kit])</f>
        <v>0</v>
      </c>
      <c r="AA805" s="378">
        <f>IF(NFI_Expiration=1,IF($A805&lt;VLOOKUP(J$5,NFI,5,0),1,0)*Table_NFI[[#This Row],[Sanitary Kit]],Table_NFI[Sanitary Kit])</f>
        <v>0</v>
      </c>
      <c r="AB805" s="378">
        <f>IF(NFI_Expiration=1,IF($A805&lt;VLOOKUP(K$5,NFI,5,0),1,0)*Table_NFI[[#This Row],[Mosquito net]],Table_NFI[Mosquito net])</f>
        <v>0</v>
      </c>
      <c r="AC805" s="378">
        <f>IF(NFI_Expiration=1,IF($A805&lt;VLOOKUP(L$5,NFI,5,0),1,0)*Table_NFI[[#This Row],[Tarpaulin]],Table_NFI[[#This Row],[Tarpaulin]])</f>
        <v>0</v>
      </c>
      <c r="AD805" s="378">
        <f>IF(NFI_Expiration=1,IF($A805&lt;VLOOKUP(M$5,NFI,5,0),1,0)*Table_NFI[[#This Row],[Blanket]],Table_NFI[[#This Row],[Blanket]])</f>
        <v>0</v>
      </c>
      <c r="AE805" s="378">
        <f>IF(NFI_Expiration=1,IF($A805&lt;VLOOKUP(N$5,NFI,5,0),1,0)*Table_NFI[[#This Row],[Kitchen Set]],Table_NFI[Kitchen Set])</f>
        <v>0</v>
      </c>
      <c r="AF805" s="378">
        <f>IF(NFI_Expiration=1,IF($A805&lt;VLOOKUP(O$5,NFI,5,0),1,0)*Table_NFI[[#This Row],[Clothes Kit]],Table_NFI[Clothes Kit])</f>
        <v>0</v>
      </c>
      <c r="AG805" s="378">
        <f>IF(NFI_Expiration=1,IF($A805&lt;VLOOKUP(P$5,NFI,5,0),1,0)*Table_NFI[[#This Row],[Plastic Bucket]],Table_NFI[Plastic Bucket])</f>
        <v>0</v>
      </c>
      <c r="AH805" s="378">
        <f>IF(NFI_Expiration=1,IF($A805&lt;VLOOKUP(Q$5,NFI,5,0),1,0)*Table_NFI[[#This Row],[Plastic Mat]],Table_NFI[Plastic Mat])*IF(Table_NFI[[#This Row],[Distribution Date]]&gt;"2014-04-01",1,2.5)</f>
        <v>0</v>
      </c>
      <c r="AI805" s="378">
        <f>IF(NFI_Expiration=1,IF($A805&lt;VLOOKUP(R$5,NFI,5,0),1,0)*Table_NFI[[#This Row],[Winter Clothes Adult]],Table_NFI[Winter Clothes Adult])</f>
        <v>0</v>
      </c>
      <c r="AJ805" s="378">
        <f>IF(NFI_Expiration=1,IF($A805&lt;VLOOKUP(S$5,NFI,5,0),1,0)*Table_NFI[[#This Row],[Winter Clothes Children]],Table_NFI[Winter Clothes Children])</f>
        <v>0</v>
      </c>
      <c r="AK805" s="378">
        <f>IF(NFI_Expiration=1,IF($A805&lt;VLOOKUP(T$5,NFI,5,0),1,0)*Table_NFI[[#This Row],[Winter Items Other]],Table_NFI[Winter Items Other])</f>
        <v>0</v>
      </c>
      <c r="AL805" s="378">
        <f>IF(NFI_Expiration=1,IF($A805&lt;VLOOKUP(M$5,NFI,5,0),1,0)*Table_NFI[[#This Row],[Winter Blanket]],Table_NFI[[#This Row],[Winter Blanket]])</f>
        <v>0</v>
      </c>
      <c r="AM805" s="378">
        <f>IF(Table_NFI[[#This Row],[Winter Clothes Adult]]+Table_NFI[[#This Row],[Winter Clothes Children]]+Table_NFI[[#This Row],[Winter Items Other]]+Table_NFI[[#This Row],[Winter Blanket]]&gt;0,1,0)</f>
        <v>0</v>
      </c>
      <c r="AN805" s="418">
        <f>IF(NFI_Expiration=1,IF($A805&lt;VLOOKUP(V$5,NFI,5,0),1,0)*Table_NFI[[#This Row],[Jerry Can]],Table_NFI[Jerry Can])</f>
        <v>0</v>
      </c>
      <c r="AO805" s="579" t="str">
        <f>IFERROR(VLOOKUP(Table_NFI[[#This Row],[Camp Name]],CL,2,0),"")</f>
        <v>MMR001CMP009</v>
      </c>
      <c r="AP805" s="574">
        <f ca="1">IF(Table_NFI[[#This Row],[Pcode]]="","",IF(OFFSET(CampList[Opening Date],MATCH(Table_NFI[[#This Row],[Pcode]],CampList[CP_Pcode],0)-1,0,1,1)&gt;=NFI_Monitor_Date,1,0))</f>
        <v>0</v>
      </c>
      <c r="AQ805" s="579" t="str">
        <f>IFERROR(VLOOKUP(Table_NFI[[#This Row],[Camp Name]],CL,3,0),"")</f>
        <v>Open</v>
      </c>
      <c r="AR805" s="378" t="str">
        <f ca="1">IF(Table_NFI[[#This Row],[Pcode]]="","",OFFSET(CampList[Priority],MATCH(Table_NFI[[#This Row],[Pcode]],CampList[CP_Pcode],0)-1,0,1,1))</f>
        <v>P4</v>
      </c>
      <c r="AS805" s="377">
        <f>IFERROR(Table_NFI[[#This Row],[Kitchen Set]]/VLOOKUP(Table_NFI[[#This Row],[Camp Name]],CL,4,0),"")</f>
        <v>0.2967032967032967</v>
      </c>
      <c r="AT805" s="572" t="s">
        <v>1095</v>
      </c>
      <c r="AU805" s="575"/>
    </row>
    <row r="806" spans="1:47" x14ac:dyDescent="0.25">
      <c r="A806" s="381">
        <f t="shared" si="12"/>
        <v>55.3</v>
      </c>
      <c r="B806" s="571">
        <v>40863</v>
      </c>
      <c r="C806" s="572" t="s">
        <v>454</v>
      </c>
      <c r="D806" s="573" t="s">
        <v>462</v>
      </c>
      <c r="E806" s="572" t="s">
        <v>380</v>
      </c>
      <c r="F806" s="374" t="s">
        <v>237</v>
      </c>
      <c r="G806" s="374" t="s">
        <v>281</v>
      </c>
      <c r="H806" s="375"/>
      <c r="I806" s="375"/>
      <c r="J806" s="375"/>
      <c r="K806" s="375">
        <v>63</v>
      </c>
      <c r="L806" s="376">
        <v>30</v>
      </c>
      <c r="M806" s="376">
        <v>63</v>
      </c>
      <c r="N806" s="376">
        <v>30</v>
      </c>
      <c r="O806" s="376">
        <v>30</v>
      </c>
      <c r="P806" s="378">
        <v>30</v>
      </c>
      <c r="Q806" s="378">
        <v>30</v>
      </c>
      <c r="R806" s="378"/>
      <c r="S806" s="378"/>
      <c r="T806" s="378"/>
      <c r="U806" s="378"/>
      <c r="V806" s="533"/>
      <c r="W806" s="378"/>
      <c r="X806" s="378"/>
      <c r="Y806" s="378">
        <f>IF(NFI_Expiration=1,IF($A806&lt;VLOOKUP(H$5,NFI,5,0),1,0)*Table_NFI[[#This Row],[Hygiene Kit]],Table_NFI[Hygiene Kit])</f>
        <v>0</v>
      </c>
      <c r="Z806" s="378">
        <f>IF(NFI_Expiration=1,IF($A806&lt;VLOOKUP(I$5,NFI,5,0),1,0)*Table_NFI[[#This Row],[NFI Core Kit]],Table_NFI[NFI Core Kit])</f>
        <v>0</v>
      </c>
      <c r="AA806" s="378">
        <f>IF(NFI_Expiration=1,IF($A806&lt;VLOOKUP(J$5,NFI,5,0),1,0)*Table_NFI[[#This Row],[Sanitary Kit]],Table_NFI[Sanitary Kit])</f>
        <v>0</v>
      </c>
      <c r="AB806" s="378">
        <f>IF(NFI_Expiration=1,IF($A806&lt;VLOOKUP(K$5,NFI,5,0),1,0)*Table_NFI[[#This Row],[Mosquito net]],Table_NFI[Mosquito net])</f>
        <v>0</v>
      </c>
      <c r="AC806" s="378">
        <f>IF(NFI_Expiration=1,IF($A806&lt;VLOOKUP(L$5,NFI,5,0),1,0)*Table_NFI[[#This Row],[Tarpaulin]],Table_NFI[[#This Row],[Tarpaulin]])</f>
        <v>0</v>
      </c>
      <c r="AD806" s="378">
        <f>IF(NFI_Expiration=1,IF($A806&lt;VLOOKUP(M$5,NFI,5,0),1,0)*Table_NFI[[#This Row],[Blanket]],Table_NFI[[#This Row],[Blanket]])</f>
        <v>0</v>
      </c>
      <c r="AE806" s="378">
        <f>IF(NFI_Expiration=1,IF($A806&lt;VLOOKUP(N$5,NFI,5,0),1,0)*Table_NFI[[#This Row],[Kitchen Set]],Table_NFI[Kitchen Set])</f>
        <v>0</v>
      </c>
      <c r="AF806" s="378">
        <f>IF(NFI_Expiration=1,IF($A806&lt;VLOOKUP(O$5,NFI,5,0),1,0)*Table_NFI[[#This Row],[Clothes Kit]],Table_NFI[Clothes Kit])</f>
        <v>0</v>
      </c>
      <c r="AG806" s="378">
        <f>IF(NFI_Expiration=1,IF($A806&lt;VLOOKUP(P$5,NFI,5,0),1,0)*Table_NFI[[#This Row],[Plastic Bucket]],Table_NFI[Plastic Bucket])</f>
        <v>0</v>
      </c>
      <c r="AH806" s="378">
        <f>IF(NFI_Expiration=1,IF($A806&lt;VLOOKUP(Q$5,NFI,5,0),1,0)*Table_NFI[[#This Row],[Plastic Mat]],Table_NFI[Plastic Mat])*IF(Table_NFI[[#This Row],[Distribution Date]]&gt;"2014-04-01",1,2.5)</f>
        <v>0</v>
      </c>
      <c r="AI806" s="378">
        <f>IF(NFI_Expiration=1,IF($A806&lt;VLOOKUP(R$5,NFI,5,0),1,0)*Table_NFI[[#This Row],[Winter Clothes Adult]],Table_NFI[Winter Clothes Adult])</f>
        <v>0</v>
      </c>
      <c r="AJ806" s="378">
        <f>IF(NFI_Expiration=1,IF($A806&lt;VLOOKUP(S$5,NFI,5,0),1,0)*Table_NFI[[#This Row],[Winter Clothes Children]],Table_NFI[Winter Clothes Children])</f>
        <v>0</v>
      </c>
      <c r="AK806" s="378">
        <f>IF(NFI_Expiration=1,IF($A806&lt;VLOOKUP(T$5,NFI,5,0),1,0)*Table_NFI[[#This Row],[Winter Items Other]],Table_NFI[Winter Items Other])</f>
        <v>0</v>
      </c>
      <c r="AL806" s="378">
        <f>IF(NFI_Expiration=1,IF($A806&lt;VLOOKUP(M$5,NFI,5,0),1,0)*Table_NFI[[#This Row],[Winter Blanket]],Table_NFI[[#This Row],[Winter Blanket]])</f>
        <v>0</v>
      </c>
      <c r="AM806" s="378">
        <f>IF(Table_NFI[[#This Row],[Winter Clothes Adult]]+Table_NFI[[#This Row],[Winter Clothes Children]]+Table_NFI[[#This Row],[Winter Items Other]]+Table_NFI[[#This Row],[Winter Blanket]]&gt;0,1,0)</f>
        <v>0</v>
      </c>
      <c r="AN806" s="418">
        <f>IF(NFI_Expiration=1,IF($A806&lt;VLOOKUP(V$5,NFI,5,0),1,0)*Table_NFI[[#This Row],[Jerry Can]],Table_NFI[Jerry Can])</f>
        <v>0</v>
      </c>
      <c r="AO806" s="579" t="str">
        <f>IFERROR(VLOOKUP(Table_NFI[[#This Row],[Camp Name]],CL,2,0),"")</f>
        <v>MMR001CMP009</v>
      </c>
      <c r="AP806" s="574">
        <f ca="1">IF(Table_NFI[[#This Row],[Pcode]]="","",IF(OFFSET(CampList[Opening Date],MATCH(Table_NFI[[#This Row],[Pcode]],CampList[CP_Pcode],0)-1,0,1,1)&gt;=NFI_Monitor_Date,1,0))</f>
        <v>0</v>
      </c>
      <c r="AQ806" s="579" t="str">
        <f>IFERROR(VLOOKUP(Table_NFI[[#This Row],[Camp Name]],CL,3,0),"")</f>
        <v>Open</v>
      </c>
      <c r="AR806" s="378" t="str">
        <f ca="1">IF(Table_NFI[[#This Row],[Pcode]]="","",OFFSET(CampList[Priority],MATCH(Table_NFI[[#This Row],[Pcode]],CampList[CP_Pcode],0)-1,0,1,1))</f>
        <v>P4</v>
      </c>
      <c r="AS806" s="377">
        <f>IFERROR(Table_NFI[[#This Row],[Kitchen Set]]/VLOOKUP(Table_NFI[[#This Row],[Camp Name]],CL,4,0),"")</f>
        <v>0.32967032967032966</v>
      </c>
      <c r="AT806" s="572" t="s">
        <v>1095</v>
      </c>
      <c r="AU806" s="575"/>
    </row>
    <row r="807" spans="1:47" x14ac:dyDescent="0.25">
      <c r="A807" s="381">
        <f t="shared" si="12"/>
        <v>55.733333333333334</v>
      </c>
      <c r="B807" s="571">
        <v>40850</v>
      </c>
      <c r="C807" s="572" t="s">
        <v>454</v>
      </c>
      <c r="D807" s="573" t="s">
        <v>508</v>
      </c>
      <c r="E807" s="572" t="s">
        <v>380</v>
      </c>
      <c r="F807" s="374" t="s">
        <v>237</v>
      </c>
      <c r="G807" s="374" t="s">
        <v>281</v>
      </c>
      <c r="H807" s="375"/>
      <c r="I807" s="375"/>
      <c r="J807" s="375"/>
      <c r="K807" s="375">
        <v>18</v>
      </c>
      <c r="L807" s="376">
        <v>8</v>
      </c>
      <c r="M807" s="376">
        <v>18</v>
      </c>
      <c r="N807" s="376">
        <v>8</v>
      </c>
      <c r="O807" s="376">
        <v>8</v>
      </c>
      <c r="P807" s="378">
        <v>8</v>
      </c>
      <c r="Q807" s="378">
        <v>8</v>
      </c>
      <c r="R807" s="378"/>
      <c r="S807" s="378"/>
      <c r="T807" s="378"/>
      <c r="U807" s="378"/>
      <c r="V807" s="533"/>
      <c r="W807" s="378"/>
      <c r="X807" s="378"/>
      <c r="Y807" s="378">
        <f>IF(NFI_Expiration=1,IF($A807&lt;VLOOKUP(H$5,NFI,5,0),1,0)*Table_NFI[[#This Row],[Hygiene Kit]],Table_NFI[Hygiene Kit])</f>
        <v>0</v>
      </c>
      <c r="Z807" s="378">
        <f>IF(NFI_Expiration=1,IF($A807&lt;VLOOKUP(I$5,NFI,5,0),1,0)*Table_NFI[[#This Row],[NFI Core Kit]],Table_NFI[NFI Core Kit])</f>
        <v>0</v>
      </c>
      <c r="AA807" s="378">
        <f>IF(NFI_Expiration=1,IF($A807&lt;VLOOKUP(J$5,NFI,5,0),1,0)*Table_NFI[[#This Row],[Sanitary Kit]],Table_NFI[Sanitary Kit])</f>
        <v>0</v>
      </c>
      <c r="AB807" s="378">
        <f>IF(NFI_Expiration=1,IF($A807&lt;VLOOKUP(K$5,NFI,5,0),1,0)*Table_NFI[[#This Row],[Mosquito net]],Table_NFI[Mosquito net])</f>
        <v>0</v>
      </c>
      <c r="AC807" s="378">
        <f>IF(NFI_Expiration=1,IF($A807&lt;VLOOKUP(L$5,NFI,5,0),1,0)*Table_NFI[[#This Row],[Tarpaulin]],Table_NFI[[#This Row],[Tarpaulin]])</f>
        <v>0</v>
      </c>
      <c r="AD807" s="378">
        <f>IF(NFI_Expiration=1,IF($A807&lt;VLOOKUP(M$5,NFI,5,0),1,0)*Table_NFI[[#This Row],[Blanket]],Table_NFI[[#This Row],[Blanket]])</f>
        <v>0</v>
      </c>
      <c r="AE807" s="378">
        <f>IF(NFI_Expiration=1,IF($A807&lt;VLOOKUP(N$5,NFI,5,0),1,0)*Table_NFI[[#This Row],[Kitchen Set]],Table_NFI[Kitchen Set])</f>
        <v>0</v>
      </c>
      <c r="AF807" s="378">
        <f>IF(NFI_Expiration=1,IF($A807&lt;VLOOKUP(O$5,NFI,5,0),1,0)*Table_NFI[[#This Row],[Clothes Kit]],Table_NFI[Clothes Kit])</f>
        <v>0</v>
      </c>
      <c r="AG807" s="378">
        <f>IF(NFI_Expiration=1,IF($A807&lt;VLOOKUP(P$5,NFI,5,0),1,0)*Table_NFI[[#This Row],[Plastic Bucket]],Table_NFI[Plastic Bucket])</f>
        <v>0</v>
      </c>
      <c r="AH807" s="378">
        <f>IF(NFI_Expiration=1,IF($A807&lt;VLOOKUP(Q$5,NFI,5,0),1,0)*Table_NFI[[#This Row],[Plastic Mat]],Table_NFI[Plastic Mat])*IF(Table_NFI[[#This Row],[Distribution Date]]&gt;"2014-04-01",1,2.5)</f>
        <v>0</v>
      </c>
      <c r="AI807" s="378">
        <f>IF(NFI_Expiration=1,IF($A807&lt;VLOOKUP(R$5,NFI,5,0),1,0)*Table_NFI[[#This Row],[Winter Clothes Adult]],Table_NFI[Winter Clothes Adult])</f>
        <v>0</v>
      </c>
      <c r="AJ807" s="378">
        <f>IF(NFI_Expiration=1,IF($A807&lt;VLOOKUP(S$5,NFI,5,0),1,0)*Table_NFI[[#This Row],[Winter Clothes Children]],Table_NFI[Winter Clothes Children])</f>
        <v>0</v>
      </c>
      <c r="AK807" s="378">
        <f>IF(NFI_Expiration=1,IF($A807&lt;VLOOKUP(T$5,NFI,5,0),1,0)*Table_NFI[[#This Row],[Winter Items Other]],Table_NFI[Winter Items Other])</f>
        <v>0</v>
      </c>
      <c r="AL807" s="378">
        <f>IF(NFI_Expiration=1,IF($A807&lt;VLOOKUP(M$5,NFI,5,0),1,0)*Table_NFI[[#This Row],[Winter Blanket]],Table_NFI[[#This Row],[Winter Blanket]])</f>
        <v>0</v>
      </c>
      <c r="AM807" s="378">
        <f>IF(Table_NFI[[#This Row],[Winter Clothes Adult]]+Table_NFI[[#This Row],[Winter Clothes Children]]+Table_NFI[[#This Row],[Winter Items Other]]+Table_NFI[[#This Row],[Winter Blanket]]&gt;0,1,0)</f>
        <v>0</v>
      </c>
      <c r="AN807" s="418">
        <f>IF(NFI_Expiration=1,IF($A807&lt;VLOOKUP(V$5,NFI,5,0),1,0)*Table_NFI[[#This Row],[Jerry Can]],Table_NFI[Jerry Can])</f>
        <v>0</v>
      </c>
      <c r="AO807" s="579" t="str">
        <f>IFERROR(VLOOKUP(Table_NFI[[#This Row],[Camp Name]],CL,2,0),"")</f>
        <v>MMR001CMP009</v>
      </c>
      <c r="AP807" s="574">
        <f ca="1">IF(Table_NFI[[#This Row],[Pcode]]="","",IF(OFFSET(CampList[Opening Date],MATCH(Table_NFI[[#This Row],[Pcode]],CampList[CP_Pcode],0)-1,0,1,1)&gt;=NFI_Monitor_Date,1,0))</f>
        <v>0</v>
      </c>
      <c r="AQ807" s="579" t="str">
        <f>IFERROR(VLOOKUP(Table_NFI[[#This Row],[Camp Name]],CL,3,0),"")</f>
        <v>Open</v>
      </c>
      <c r="AR807" s="378" t="str">
        <f ca="1">IF(Table_NFI[[#This Row],[Pcode]]="","",OFFSET(CampList[Priority],MATCH(Table_NFI[[#This Row],[Pcode]],CampList[CP_Pcode],0)-1,0,1,1))</f>
        <v>P4</v>
      </c>
      <c r="AS807" s="377">
        <f>IFERROR(Table_NFI[[#This Row],[Kitchen Set]]/VLOOKUP(Table_NFI[[#This Row],[Camp Name]],CL,4,0),"")</f>
        <v>8.7912087912087919E-2</v>
      </c>
      <c r="AT807" s="572" t="s">
        <v>1095</v>
      </c>
      <c r="AU807" s="575"/>
    </row>
    <row r="808" spans="1:47" x14ac:dyDescent="0.25">
      <c r="A808" s="381">
        <f t="shared" si="12"/>
        <v>20.3</v>
      </c>
      <c r="B808" s="571">
        <v>41913</v>
      </c>
      <c r="C808" s="572" t="s">
        <v>454</v>
      </c>
      <c r="D808" s="577" t="s">
        <v>508</v>
      </c>
      <c r="E808" s="577" t="s">
        <v>380</v>
      </c>
      <c r="F808" s="577" t="s">
        <v>180</v>
      </c>
      <c r="G808" s="577" t="s">
        <v>181</v>
      </c>
      <c r="H808" s="376"/>
      <c r="I808" s="376"/>
      <c r="J808" s="376"/>
      <c r="K808" s="376">
        <v>24</v>
      </c>
      <c r="L808" s="376"/>
      <c r="M808" s="376"/>
      <c r="N808" s="376"/>
      <c r="O808" s="376"/>
      <c r="P808" s="378"/>
      <c r="Q808" s="378"/>
      <c r="R808" s="378"/>
      <c r="S808" s="378"/>
      <c r="T808" s="378"/>
      <c r="U808" s="378"/>
      <c r="V808" s="533"/>
      <c r="W808" s="378"/>
      <c r="X808" s="378"/>
      <c r="Y808" s="378">
        <f>IF(NFI_Expiration=1,IF($A808&lt;VLOOKUP(H$5,NFI,5,0),1,0)*Table_NFI[[#This Row],[Hygiene Kit]],Table_NFI[Hygiene Kit])</f>
        <v>0</v>
      </c>
      <c r="Z808" s="378">
        <f>IF(NFI_Expiration=1,IF($A808&lt;VLOOKUP(I$5,NFI,5,0),1,0)*Table_NFI[[#This Row],[NFI Core Kit]],Table_NFI[NFI Core Kit])</f>
        <v>0</v>
      </c>
      <c r="AA808" s="378">
        <f>IF(NFI_Expiration=1,IF($A808&lt;VLOOKUP(J$5,NFI,5,0),1,0)*Table_NFI[[#This Row],[Sanitary Kit]],Table_NFI[Sanitary Kit])</f>
        <v>0</v>
      </c>
      <c r="AB808" s="378">
        <f>IF(NFI_Expiration=1,IF($A808&lt;VLOOKUP(K$5,NFI,5,0),1,0)*Table_NFI[[#This Row],[Mosquito net]],Table_NFI[Mosquito net])</f>
        <v>0</v>
      </c>
      <c r="AC808" s="378">
        <f>IF(NFI_Expiration=1,IF($A808&lt;VLOOKUP(L$5,NFI,5,0),1,0)*Table_NFI[[#This Row],[Tarpaulin]],Table_NFI[[#This Row],[Tarpaulin]])</f>
        <v>0</v>
      </c>
      <c r="AD808" s="378">
        <f>IF(NFI_Expiration=1,IF($A808&lt;VLOOKUP(M$5,NFI,5,0),1,0)*Table_NFI[[#This Row],[Blanket]],Table_NFI[[#This Row],[Blanket]])</f>
        <v>0</v>
      </c>
      <c r="AE808" s="378">
        <f>IF(NFI_Expiration=1,IF($A808&lt;VLOOKUP(N$5,NFI,5,0),1,0)*Table_NFI[[#This Row],[Kitchen Set]],Table_NFI[Kitchen Set])</f>
        <v>0</v>
      </c>
      <c r="AF808" s="378">
        <f>IF(NFI_Expiration=1,IF($A808&lt;VLOOKUP(O$5,NFI,5,0),1,0)*Table_NFI[[#This Row],[Clothes Kit]],Table_NFI[Clothes Kit])</f>
        <v>0</v>
      </c>
      <c r="AG808" s="378">
        <f>IF(NFI_Expiration=1,IF($A808&lt;VLOOKUP(P$5,NFI,5,0),1,0)*Table_NFI[[#This Row],[Plastic Bucket]],Table_NFI[Plastic Bucket])</f>
        <v>0</v>
      </c>
      <c r="AH808" s="378">
        <f>IF(NFI_Expiration=1,IF($A808&lt;VLOOKUP(Q$5,NFI,5,0),1,0)*Table_NFI[[#This Row],[Plastic Mat]],Table_NFI[Plastic Mat])*IF(Table_NFI[[#This Row],[Distribution Date]]&gt;"2014-04-01",1,2.5)</f>
        <v>0</v>
      </c>
      <c r="AI808" s="378">
        <f>IF(NFI_Expiration=1,IF($A808&lt;VLOOKUP(R$5,NFI,5,0),1,0)*Table_NFI[[#This Row],[Winter Clothes Adult]],Table_NFI[Winter Clothes Adult])</f>
        <v>0</v>
      </c>
      <c r="AJ808" s="378">
        <f>IF(NFI_Expiration=1,IF($A808&lt;VLOOKUP(S$5,NFI,5,0),1,0)*Table_NFI[[#This Row],[Winter Clothes Children]],Table_NFI[Winter Clothes Children])</f>
        <v>0</v>
      </c>
      <c r="AK808" s="378">
        <f>IF(NFI_Expiration=1,IF($A808&lt;VLOOKUP(T$5,NFI,5,0),1,0)*Table_NFI[[#This Row],[Winter Items Other]],Table_NFI[Winter Items Other])</f>
        <v>0</v>
      </c>
      <c r="AL808" s="378">
        <f>IF(NFI_Expiration=1,IF($A808&lt;VLOOKUP(M$5,NFI,5,0),1,0)*Table_NFI[[#This Row],[Winter Blanket]],Table_NFI[[#This Row],[Winter Blanket]])</f>
        <v>0</v>
      </c>
      <c r="AM808" s="378">
        <f>IF(Table_NFI[[#This Row],[Winter Clothes Adult]]+Table_NFI[[#This Row],[Winter Clothes Children]]+Table_NFI[[#This Row],[Winter Items Other]]+Table_NFI[[#This Row],[Winter Blanket]]&gt;0,1,0)</f>
        <v>0</v>
      </c>
      <c r="AN808" s="418">
        <f>IF(NFI_Expiration=1,IF($A808&lt;VLOOKUP(V$5,NFI,5,0),1,0)*Table_NFI[[#This Row],[Jerry Can]],Table_NFI[Jerry Can])</f>
        <v>0</v>
      </c>
      <c r="AO808" s="579" t="str">
        <f>IFERROR(VLOOKUP(Table_NFI[[#This Row],[Camp Name]],CL,2,0),"")</f>
        <v>MMR001CMP080</v>
      </c>
      <c r="AP808" s="574">
        <f ca="1">IF(Table_NFI[[#This Row],[Pcode]]="","",IF(OFFSET(CampList[Opening Date],MATCH(Table_NFI[[#This Row],[Pcode]],CampList[CP_Pcode],0)-1,0,1,1)&gt;=NFI_Monitor_Date,1,0))</f>
        <v>0</v>
      </c>
      <c r="AQ808" s="579" t="str">
        <f>IFERROR(VLOOKUP(Table_NFI[[#This Row],[Camp Name]],CL,3,0),"")</f>
        <v>Open</v>
      </c>
      <c r="AR808" s="378" t="str">
        <f ca="1">IF(Table_NFI[[#This Row],[Pcode]]="","",OFFSET(CampList[Priority],MATCH(Table_NFI[[#This Row],[Pcode]],CampList[CP_Pcode],0)-1,0,1,1))</f>
        <v>P4</v>
      </c>
      <c r="AS808" s="377">
        <f>IFERROR(Table_NFI[[#This Row],[Kitchen Set]]/VLOOKUP(Table_NFI[[#This Row],[Camp Name]],CL,4,0),"")</f>
        <v>0</v>
      </c>
      <c r="AT808" s="577"/>
      <c r="AU808" s="580"/>
    </row>
    <row r="809" spans="1:47" x14ac:dyDescent="0.25">
      <c r="A809" s="381">
        <f t="shared" si="12"/>
        <v>24.2</v>
      </c>
      <c r="B809" s="571">
        <v>41796</v>
      </c>
      <c r="C809" s="572" t="s">
        <v>1107</v>
      </c>
      <c r="D809" s="572" t="s">
        <v>903</v>
      </c>
      <c r="E809" s="572" t="s">
        <v>380</v>
      </c>
      <c r="F809" s="572" t="s">
        <v>180</v>
      </c>
      <c r="G809" s="572" t="s">
        <v>181</v>
      </c>
      <c r="H809" s="375"/>
      <c r="I809" s="375"/>
      <c r="J809" s="375"/>
      <c r="K809" s="375"/>
      <c r="L809" s="376"/>
      <c r="M809" s="376"/>
      <c r="N809" s="376"/>
      <c r="O809" s="376"/>
      <c r="P809" s="378"/>
      <c r="Q809" s="378"/>
      <c r="R809" s="378"/>
      <c r="S809" s="378"/>
      <c r="T809" s="378"/>
      <c r="U809" s="378">
        <v>24</v>
      </c>
      <c r="V809" s="533"/>
      <c r="W809" s="378"/>
      <c r="X809" s="378"/>
      <c r="Y809" s="378">
        <f>IF(NFI_Expiration=1,IF($A809&lt;VLOOKUP(H$5,NFI,5,0),1,0)*Table_NFI[[#This Row],[Hygiene Kit]],Table_NFI[Hygiene Kit])</f>
        <v>0</v>
      </c>
      <c r="Z809" s="378">
        <f>IF(NFI_Expiration=1,IF($A809&lt;VLOOKUP(I$5,NFI,5,0),1,0)*Table_NFI[[#This Row],[NFI Core Kit]],Table_NFI[NFI Core Kit])</f>
        <v>0</v>
      </c>
      <c r="AA809" s="378">
        <f>IF(NFI_Expiration=1,IF($A809&lt;VLOOKUP(J$5,NFI,5,0),1,0)*Table_NFI[[#This Row],[Sanitary Kit]],Table_NFI[Sanitary Kit])</f>
        <v>0</v>
      </c>
      <c r="AB809" s="378">
        <f>IF(NFI_Expiration=1,IF($A809&lt;VLOOKUP(K$5,NFI,5,0),1,0)*Table_NFI[[#This Row],[Mosquito net]],Table_NFI[Mosquito net])</f>
        <v>0</v>
      </c>
      <c r="AC809" s="378">
        <f>IF(NFI_Expiration=1,IF($A809&lt;VLOOKUP(L$5,NFI,5,0),1,0)*Table_NFI[[#This Row],[Tarpaulin]],Table_NFI[[#This Row],[Tarpaulin]])</f>
        <v>0</v>
      </c>
      <c r="AD809" s="378">
        <f>IF(NFI_Expiration=1,IF($A809&lt;VLOOKUP(M$5,NFI,5,0),1,0)*Table_NFI[[#This Row],[Blanket]],Table_NFI[[#This Row],[Blanket]])</f>
        <v>0</v>
      </c>
      <c r="AE809" s="378">
        <f>IF(NFI_Expiration=1,IF($A809&lt;VLOOKUP(N$5,NFI,5,0),1,0)*Table_NFI[[#This Row],[Kitchen Set]],Table_NFI[Kitchen Set])</f>
        <v>0</v>
      </c>
      <c r="AF809" s="378">
        <f>IF(NFI_Expiration=1,IF($A809&lt;VLOOKUP(O$5,NFI,5,0),1,0)*Table_NFI[[#This Row],[Clothes Kit]],Table_NFI[Clothes Kit])</f>
        <v>0</v>
      </c>
      <c r="AG809" s="378">
        <f>IF(NFI_Expiration=1,IF($A809&lt;VLOOKUP(P$5,NFI,5,0),1,0)*Table_NFI[[#This Row],[Plastic Bucket]],Table_NFI[Plastic Bucket])</f>
        <v>0</v>
      </c>
      <c r="AH809" s="378">
        <f>IF(NFI_Expiration=1,IF($A809&lt;VLOOKUP(Q$5,NFI,5,0),1,0)*Table_NFI[[#This Row],[Plastic Mat]],Table_NFI[Plastic Mat])*IF(Table_NFI[[#This Row],[Distribution Date]]&gt;"2014-04-01",1,2.5)</f>
        <v>0</v>
      </c>
      <c r="AI809" s="378">
        <f>IF(NFI_Expiration=1,IF($A809&lt;VLOOKUP(R$5,NFI,5,0),1,0)*Table_NFI[[#This Row],[Winter Clothes Adult]],Table_NFI[Winter Clothes Adult])</f>
        <v>0</v>
      </c>
      <c r="AJ809" s="378">
        <f>IF(NFI_Expiration=1,IF($A809&lt;VLOOKUP(S$5,NFI,5,0),1,0)*Table_NFI[[#This Row],[Winter Clothes Children]],Table_NFI[Winter Clothes Children])</f>
        <v>0</v>
      </c>
      <c r="AK809" s="378">
        <f>IF(NFI_Expiration=1,IF($A809&lt;VLOOKUP(T$5,NFI,5,0),1,0)*Table_NFI[[#This Row],[Winter Items Other]],Table_NFI[Winter Items Other])</f>
        <v>0</v>
      </c>
      <c r="AL809" s="378">
        <f>IF(NFI_Expiration=1,IF($A809&lt;VLOOKUP(M$5,NFI,5,0),1,0)*Table_NFI[[#This Row],[Winter Blanket]],Table_NFI[[#This Row],[Winter Blanket]])</f>
        <v>0</v>
      </c>
      <c r="AM809" s="378">
        <f>IF(Table_NFI[[#This Row],[Winter Clothes Adult]]+Table_NFI[[#This Row],[Winter Clothes Children]]+Table_NFI[[#This Row],[Winter Items Other]]+Table_NFI[[#This Row],[Winter Blanket]]&gt;0,1,0)</f>
        <v>1</v>
      </c>
      <c r="AN809" s="418">
        <f>IF(NFI_Expiration=1,IF($A809&lt;VLOOKUP(V$5,NFI,5,0),1,0)*Table_NFI[[#This Row],[Jerry Can]],Table_NFI[Jerry Can])</f>
        <v>0</v>
      </c>
      <c r="AO809" s="579" t="str">
        <f>IFERROR(VLOOKUP(Table_NFI[[#This Row],[Camp Name]],CL,2,0),"")</f>
        <v>MMR001CMP080</v>
      </c>
      <c r="AP809" s="574">
        <f ca="1">IF(Table_NFI[[#This Row],[Pcode]]="","",IF(OFFSET(CampList[Opening Date],MATCH(Table_NFI[[#This Row],[Pcode]],CampList[CP_Pcode],0)-1,0,1,1)&gt;=NFI_Monitor_Date,1,0))</f>
        <v>0</v>
      </c>
      <c r="AQ809" s="579" t="str">
        <f>IFERROR(VLOOKUP(Table_NFI[[#This Row],[Camp Name]],CL,3,0),"")</f>
        <v>Open</v>
      </c>
      <c r="AR809" s="378" t="str">
        <f ca="1">IF(Table_NFI[[#This Row],[Pcode]]="","",OFFSET(CampList[Priority],MATCH(Table_NFI[[#This Row],[Pcode]],CampList[CP_Pcode],0)-1,0,1,1))</f>
        <v>P4</v>
      </c>
      <c r="AS809" s="377">
        <f>IFERROR(Table_NFI[[#This Row],[Kitchen Set]]/VLOOKUP(Table_NFI[[#This Row],[Camp Name]],CL,4,0),"")</f>
        <v>0</v>
      </c>
      <c r="AT809" s="572"/>
      <c r="AU809" s="575"/>
    </row>
    <row r="810" spans="1:47" x14ac:dyDescent="0.25">
      <c r="A810" s="381">
        <f t="shared" si="12"/>
        <v>40.233333333333334</v>
      </c>
      <c r="B810" s="571">
        <v>41315</v>
      </c>
      <c r="C810" s="572" t="s">
        <v>903</v>
      </c>
      <c r="D810" s="573" t="s">
        <v>903</v>
      </c>
      <c r="E810" s="572" t="s">
        <v>380</v>
      </c>
      <c r="F810" s="374" t="s">
        <v>180</v>
      </c>
      <c r="G810" s="374" t="s">
        <v>181</v>
      </c>
      <c r="H810" s="375"/>
      <c r="I810" s="375"/>
      <c r="J810" s="375"/>
      <c r="K810" s="375"/>
      <c r="L810" s="376">
        <v>20</v>
      </c>
      <c r="M810" s="376"/>
      <c r="N810" s="376">
        <v>12</v>
      </c>
      <c r="O810" s="376"/>
      <c r="P810" s="378">
        <v>0</v>
      </c>
      <c r="Q810" s="378">
        <v>0</v>
      </c>
      <c r="R810" s="378"/>
      <c r="S810" s="378"/>
      <c r="T810" s="378"/>
      <c r="U810" s="378"/>
      <c r="V810" s="533"/>
      <c r="W810" s="378"/>
      <c r="X810" s="378"/>
      <c r="Y810" s="378">
        <f>IF(NFI_Expiration=1,IF($A810&lt;VLOOKUP(H$5,NFI,5,0),1,0)*Table_NFI[[#This Row],[Hygiene Kit]],Table_NFI[Hygiene Kit])</f>
        <v>0</v>
      </c>
      <c r="Z810" s="378">
        <f>IF(NFI_Expiration=1,IF($A810&lt;VLOOKUP(I$5,NFI,5,0),1,0)*Table_NFI[[#This Row],[NFI Core Kit]],Table_NFI[NFI Core Kit])</f>
        <v>0</v>
      </c>
      <c r="AA810" s="378">
        <f>IF(NFI_Expiration=1,IF($A810&lt;VLOOKUP(J$5,NFI,5,0),1,0)*Table_NFI[[#This Row],[Sanitary Kit]],Table_NFI[Sanitary Kit])</f>
        <v>0</v>
      </c>
      <c r="AB810" s="378">
        <f>IF(NFI_Expiration=1,IF($A810&lt;VLOOKUP(K$5,NFI,5,0),1,0)*Table_NFI[[#This Row],[Mosquito net]],Table_NFI[Mosquito net])</f>
        <v>0</v>
      </c>
      <c r="AC810" s="378">
        <f>IF(NFI_Expiration=1,IF($A810&lt;VLOOKUP(L$5,NFI,5,0),1,0)*Table_NFI[[#This Row],[Tarpaulin]],Table_NFI[[#This Row],[Tarpaulin]])</f>
        <v>0</v>
      </c>
      <c r="AD810" s="378">
        <f>IF(NFI_Expiration=1,IF($A810&lt;VLOOKUP(M$5,NFI,5,0),1,0)*Table_NFI[[#This Row],[Blanket]],Table_NFI[[#This Row],[Blanket]])</f>
        <v>0</v>
      </c>
      <c r="AE810" s="378">
        <f>IF(NFI_Expiration=1,IF($A810&lt;VLOOKUP(N$5,NFI,5,0),1,0)*Table_NFI[[#This Row],[Kitchen Set]],Table_NFI[Kitchen Set])</f>
        <v>0</v>
      </c>
      <c r="AF810" s="378">
        <f>IF(NFI_Expiration=1,IF($A810&lt;VLOOKUP(O$5,NFI,5,0),1,0)*Table_NFI[[#This Row],[Clothes Kit]],Table_NFI[Clothes Kit])</f>
        <v>0</v>
      </c>
      <c r="AG810" s="378">
        <f>IF(NFI_Expiration=1,IF($A810&lt;VLOOKUP(P$5,NFI,5,0),1,0)*Table_NFI[[#This Row],[Plastic Bucket]],Table_NFI[Plastic Bucket])</f>
        <v>0</v>
      </c>
      <c r="AH810" s="378">
        <f>IF(NFI_Expiration=1,IF($A810&lt;VLOOKUP(Q$5,NFI,5,0),1,0)*Table_NFI[[#This Row],[Plastic Mat]],Table_NFI[Plastic Mat])*IF(Table_NFI[[#This Row],[Distribution Date]]&gt;"2014-04-01",1,2.5)</f>
        <v>0</v>
      </c>
      <c r="AI810" s="378">
        <f>IF(NFI_Expiration=1,IF($A810&lt;VLOOKUP(R$5,NFI,5,0),1,0)*Table_NFI[[#This Row],[Winter Clothes Adult]],Table_NFI[Winter Clothes Adult])</f>
        <v>0</v>
      </c>
      <c r="AJ810" s="378">
        <f>IF(NFI_Expiration=1,IF($A810&lt;VLOOKUP(S$5,NFI,5,0),1,0)*Table_NFI[[#This Row],[Winter Clothes Children]],Table_NFI[Winter Clothes Children])</f>
        <v>0</v>
      </c>
      <c r="AK810" s="378">
        <f>IF(NFI_Expiration=1,IF($A810&lt;VLOOKUP(T$5,NFI,5,0),1,0)*Table_NFI[[#This Row],[Winter Items Other]],Table_NFI[Winter Items Other])</f>
        <v>0</v>
      </c>
      <c r="AL810" s="378">
        <f>IF(NFI_Expiration=1,IF($A810&lt;VLOOKUP(M$5,NFI,5,0),1,0)*Table_NFI[[#This Row],[Winter Blanket]],Table_NFI[[#This Row],[Winter Blanket]])</f>
        <v>0</v>
      </c>
      <c r="AM810" s="378">
        <f>IF(Table_NFI[[#This Row],[Winter Clothes Adult]]+Table_NFI[[#This Row],[Winter Clothes Children]]+Table_NFI[[#This Row],[Winter Items Other]]+Table_NFI[[#This Row],[Winter Blanket]]&gt;0,1,0)</f>
        <v>0</v>
      </c>
      <c r="AN810" s="418">
        <f>IF(NFI_Expiration=1,IF($A810&lt;VLOOKUP(V$5,NFI,5,0),1,0)*Table_NFI[[#This Row],[Jerry Can]],Table_NFI[Jerry Can])</f>
        <v>0</v>
      </c>
      <c r="AO810" s="579" t="str">
        <f>IFERROR(VLOOKUP(Table_NFI[[#This Row],[Camp Name]],CL,2,0),"")</f>
        <v>MMR001CMP080</v>
      </c>
      <c r="AP810" s="574">
        <f ca="1">IF(Table_NFI[[#This Row],[Pcode]]="","",IF(OFFSET(CampList[Opening Date],MATCH(Table_NFI[[#This Row],[Pcode]],CampList[CP_Pcode],0)-1,0,1,1)&gt;=NFI_Monitor_Date,1,0))</f>
        <v>0</v>
      </c>
      <c r="AQ810" s="579" t="str">
        <f>IFERROR(VLOOKUP(Table_NFI[[#This Row],[Camp Name]],CL,3,0),"")</f>
        <v>Open</v>
      </c>
      <c r="AR810" s="378" t="str">
        <f ca="1">IF(Table_NFI[[#This Row],[Pcode]]="","",OFFSET(CampList[Priority],MATCH(Table_NFI[[#This Row],[Pcode]],CampList[CP_Pcode],0)-1,0,1,1))</f>
        <v>P4</v>
      </c>
      <c r="AS810" s="377">
        <f>IFERROR(Table_NFI[[#This Row],[Kitchen Set]]/VLOOKUP(Table_NFI[[#This Row],[Camp Name]],CL,4,0),"")</f>
        <v>1</v>
      </c>
      <c r="AT810" s="572" t="s">
        <v>1095</v>
      </c>
      <c r="AU810" s="575"/>
    </row>
    <row r="811" spans="1:47" x14ac:dyDescent="0.25">
      <c r="A811" s="381">
        <f t="shared" si="12"/>
        <v>46.833333333333336</v>
      </c>
      <c r="B811" s="571">
        <v>41117</v>
      </c>
      <c r="C811" s="572" t="s">
        <v>454</v>
      </c>
      <c r="D811" s="573" t="s">
        <v>454</v>
      </c>
      <c r="E811" s="572" t="s">
        <v>380</v>
      </c>
      <c r="F811" s="374" t="s">
        <v>180</v>
      </c>
      <c r="G811" s="374" t="s">
        <v>181</v>
      </c>
      <c r="H811" s="375"/>
      <c r="I811" s="375"/>
      <c r="J811" s="375"/>
      <c r="K811" s="375">
        <v>0</v>
      </c>
      <c r="L811" s="376">
        <v>8</v>
      </c>
      <c r="M811" s="376">
        <v>0</v>
      </c>
      <c r="N811" s="376">
        <v>8</v>
      </c>
      <c r="O811" s="376">
        <v>8</v>
      </c>
      <c r="P811" s="378">
        <v>8</v>
      </c>
      <c r="Q811" s="378">
        <v>8</v>
      </c>
      <c r="R811" s="378"/>
      <c r="S811" s="378"/>
      <c r="T811" s="378"/>
      <c r="U811" s="378"/>
      <c r="V811" s="533"/>
      <c r="W811" s="378"/>
      <c r="X811" s="378"/>
      <c r="Y811" s="378">
        <f>IF(NFI_Expiration=1,IF($A811&lt;VLOOKUP(H$5,NFI,5,0),1,0)*Table_NFI[[#This Row],[Hygiene Kit]],Table_NFI[Hygiene Kit])</f>
        <v>0</v>
      </c>
      <c r="Z811" s="378">
        <f>IF(NFI_Expiration=1,IF($A811&lt;VLOOKUP(I$5,NFI,5,0),1,0)*Table_NFI[[#This Row],[NFI Core Kit]],Table_NFI[NFI Core Kit])</f>
        <v>0</v>
      </c>
      <c r="AA811" s="378">
        <f>IF(NFI_Expiration=1,IF($A811&lt;VLOOKUP(J$5,NFI,5,0),1,0)*Table_NFI[[#This Row],[Sanitary Kit]],Table_NFI[Sanitary Kit])</f>
        <v>0</v>
      </c>
      <c r="AB811" s="378">
        <f>IF(NFI_Expiration=1,IF($A811&lt;VLOOKUP(K$5,NFI,5,0),1,0)*Table_NFI[[#This Row],[Mosquito net]],Table_NFI[Mosquito net])</f>
        <v>0</v>
      </c>
      <c r="AC811" s="378">
        <f>IF(NFI_Expiration=1,IF($A811&lt;VLOOKUP(L$5,NFI,5,0),1,0)*Table_NFI[[#This Row],[Tarpaulin]],Table_NFI[[#This Row],[Tarpaulin]])</f>
        <v>0</v>
      </c>
      <c r="AD811" s="378">
        <f>IF(NFI_Expiration=1,IF($A811&lt;VLOOKUP(M$5,NFI,5,0),1,0)*Table_NFI[[#This Row],[Blanket]],Table_NFI[[#This Row],[Blanket]])</f>
        <v>0</v>
      </c>
      <c r="AE811" s="378">
        <f>IF(NFI_Expiration=1,IF($A811&lt;VLOOKUP(N$5,NFI,5,0),1,0)*Table_NFI[[#This Row],[Kitchen Set]],Table_NFI[Kitchen Set])</f>
        <v>0</v>
      </c>
      <c r="AF811" s="378">
        <f>IF(NFI_Expiration=1,IF($A811&lt;VLOOKUP(O$5,NFI,5,0),1,0)*Table_NFI[[#This Row],[Clothes Kit]],Table_NFI[Clothes Kit])</f>
        <v>0</v>
      </c>
      <c r="AG811" s="378">
        <f>IF(NFI_Expiration=1,IF($A811&lt;VLOOKUP(P$5,NFI,5,0),1,0)*Table_NFI[[#This Row],[Plastic Bucket]],Table_NFI[Plastic Bucket])</f>
        <v>0</v>
      </c>
      <c r="AH811" s="378">
        <f>IF(NFI_Expiration=1,IF($A811&lt;VLOOKUP(Q$5,NFI,5,0),1,0)*Table_NFI[[#This Row],[Plastic Mat]],Table_NFI[Plastic Mat])*IF(Table_NFI[[#This Row],[Distribution Date]]&gt;"2014-04-01",1,2.5)</f>
        <v>0</v>
      </c>
      <c r="AI811" s="378">
        <f>IF(NFI_Expiration=1,IF($A811&lt;VLOOKUP(R$5,NFI,5,0),1,0)*Table_NFI[[#This Row],[Winter Clothes Adult]],Table_NFI[Winter Clothes Adult])</f>
        <v>0</v>
      </c>
      <c r="AJ811" s="378">
        <f>IF(NFI_Expiration=1,IF($A811&lt;VLOOKUP(S$5,NFI,5,0),1,0)*Table_NFI[[#This Row],[Winter Clothes Children]],Table_NFI[Winter Clothes Children])</f>
        <v>0</v>
      </c>
      <c r="AK811" s="378">
        <f>IF(NFI_Expiration=1,IF($A811&lt;VLOOKUP(T$5,NFI,5,0),1,0)*Table_NFI[[#This Row],[Winter Items Other]],Table_NFI[Winter Items Other])</f>
        <v>0</v>
      </c>
      <c r="AL811" s="378">
        <f>IF(NFI_Expiration=1,IF($A811&lt;VLOOKUP(M$5,NFI,5,0),1,0)*Table_NFI[[#This Row],[Winter Blanket]],Table_NFI[[#This Row],[Winter Blanket]])</f>
        <v>0</v>
      </c>
      <c r="AM811" s="378">
        <f>IF(Table_NFI[[#This Row],[Winter Clothes Adult]]+Table_NFI[[#This Row],[Winter Clothes Children]]+Table_NFI[[#This Row],[Winter Items Other]]+Table_NFI[[#This Row],[Winter Blanket]]&gt;0,1,0)</f>
        <v>0</v>
      </c>
      <c r="AN811" s="418">
        <f>IF(NFI_Expiration=1,IF($A811&lt;VLOOKUP(V$5,NFI,5,0),1,0)*Table_NFI[[#This Row],[Jerry Can]],Table_NFI[Jerry Can])</f>
        <v>0</v>
      </c>
      <c r="AO811" s="579" t="str">
        <f>IFERROR(VLOOKUP(Table_NFI[[#This Row],[Camp Name]],CL,2,0),"")</f>
        <v>MMR001CMP080</v>
      </c>
      <c r="AP811" s="574">
        <f ca="1">IF(Table_NFI[[#This Row],[Pcode]]="","",IF(OFFSET(CampList[Opening Date],MATCH(Table_NFI[[#This Row],[Pcode]],CampList[CP_Pcode],0)-1,0,1,1)&gt;=NFI_Monitor_Date,1,0))</f>
        <v>0</v>
      </c>
      <c r="AQ811" s="579" t="str">
        <f>IFERROR(VLOOKUP(Table_NFI[[#This Row],[Camp Name]],CL,3,0),"")</f>
        <v>Open</v>
      </c>
      <c r="AR811" s="378" t="str">
        <f ca="1">IF(Table_NFI[[#This Row],[Pcode]]="","",OFFSET(CampList[Priority],MATCH(Table_NFI[[#This Row],[Pcode]],CampList[CP_Pcode],0)-1,0,1,1))</f>
        <v>P4</v>
      </c>
      <c r="AS811" s="377">
        <f>IFERROR(Table_NFI[[#This Row],[Kitchen Set]]/VLOOKUP(Table_NFI[[#This Row],[Camp Name]],CL,4,0),"")</f>
        <v>0.66666666666666663</v>
      </c>
      <c r="AT811" s="572" t="s">
        <v>1095</v>
      </c>
      <c r="AU811" s="575"/>
    </row>
    <row r="812" spans="1:47" x14ac:dyDescent="0.25">
      <c r="A812" s="381">
        <f t="shared" si="12"/>
        <v>10.533333333333333</v>
      </c>
      <c r="B812" s="571">
        <v>42206</v>
      </c>
      <c r="C812" s="577" t="s">
        <v>454</v>
      </c>
      <c r="D812" s="577" t="s">
        <v>462</v>
      </c>
      <c r="E812" s="577" t="s">
        <v>380</v>
      </c>
      <c r="F812" s="577" t="s">
        <v>810</v>
      </c>
      <c r="G812" s="577" t="s">
        <v>810</v>
      </c>
      <c r="H812" s="376"/>
      <c r="I812" s="376"/>
      <c r="J812" s="376"/>
      <c r="K812" s="376"/>
      <c r="L812" s="376">
        <v>250</v>
      </c>
      <c r="M812" s="376"/>
      <c r="N812" s="376"/>
      <c r="O812" s="376"/>
      <c r="P812" s="378"/>
      <c r="Q812" s="378"/>
      <c r="R812" s="378"/>
      <c r="S812" s="378"/>
      <c r="T812" s="378"/>
      <c r="U812" s="378"/>
      <c r="V812" s="533"/>
      <c r="W812" s="378"/>
      <c r="X812" s="378"/>
      <c r="Y812" s="378">
        <f>IF(NFI_Expiration=1,IF($A812&lt;VLOOKUP(H$5,NFI,5,0),1,0)*Table_NFI[[#This Row],[Hygiene Kit]],Table_NFI[Hygiene Kit])</f>
        <v>0</v>
      </c>
      <c r="Z812" s="378">
        <f>IF(NFI_Expiration=1,IF($A812&lt;VLOOKUP(I$5,NFI,5,0),1,0)*Table_NFI[[#This Row],[NFI Core Kit]],Table_NFI[NFI Core Kit])</f>
        <v>0</v>
      </c>
      <c r="AA812" s="378">
        <f>IF(NFI_Expiration=1,IF($A812&lt;VLOOKUP(J$5,NFI,5,0),1,0)*Table_NFI[[#This Row],[Sanitary Kit]],Table_NFI[Sanitary Kit])</f>
        <v>0</v>
      </c>
      <c r="AB812" s="378">
        <f>IF(NFI_Expiration=1,IF($A812&lt;VLOOKUP(K$5,NFI,5,0),1,0)*Table_NFI[[#This Row],[Mosquito net]],Table_NFI[Mosquito net])</f>
        <v>0</v>
      </c>
      <c r="AC812" s="378">
        <f>IF(NFI_Expiration=1,IF($A812&lt;VLOOKUP(L$5,NFI,5,0),1,0)*Table_NFI[[#This Row],[Tarpaulin]],Table_NFI[[#This Row],[Tarpaulin]])</f>
        <v>250</v>
      </c>
      <c r="AD812" s="378">
        <f>IF(NFI_Expiration=1,IF($A812&lt;VLOOKUP(M$5,NFI,5,0),1,0)*Table_NFI[[#This Row],[Blanket]],Table_NFI[[#This Row],[Blanket]])</f>
        <v>0</v>
      </c>
      <c r="AE812" s="378">
        <f>IF(NFI_Expiration=1,IF($A812&lt;VLOOKUP(N$5,NFI,5,0),1,0)*Table_NFI[[#This Row],[Kitchen Set]],Table_NFI[Kitchen Set])</f>
        <v>0</v>
      </c>
      <c r="AF812" s="378">
        <f>IF(NFI_Expiration=1,IF($A812&lt;VLOOKUP(O$5,NFI,5,0),1,0)*Table_NFI[[#This Row],[Clothes Kit]],Table_NFI[Clothes Kit])</f>
        <v>0</v>
      </c>
      <c r="AG812" s="378">
        <f>IF(NFI_Expiration=1,IF($A812&lt;VLOOKUP(P$5,NFI,5,0),1,0)*Table_NFI[[#This Row],[Plastic Bucket]],Table_NFI[Plastic Bucket])</f>
        <v>0</v>
      </c>
      <c r="AH812" s="378">
        <f>IF(NFI_Expiration=1,IF($A812&lt;VLOOKUP(Q$5,NFI,5,0),1,0)*Table_NFI[[#This Row],[Plastic Mat]],Table_NFI[Plastic Mat])*IF(Table_NFI[[#This Row],[Distribution Date]]&gt;"2014-04-01",1,2.5)</f>
        <v>0</v>
      </c>
      <c r="AI812" s="378">
        <f>IF(NFI_Expiration=1,IF($A812&lt;VLOOKUP(R$5,NFI,5,0),1,0)*Table_NFI[[#This Row],[Winter Clothes Adult]],Table_NFI[Winter Clothes Adult])</f>
        <v>0</v>
      </c>
      <c r="AJ812" s="378">
        <f>IF(NFI_Expiration=1,IF($A812&lt;VLOOKUP(S$5,NFI,5,0),1,0)*Table_NFI[[#This Row],[Winter Clothes Children]],Table_NFI[Winter Clothes Children])</f>
        <v>0</v>
      </c>
      <c r="AK812" s="378">
        <f>IF(NFI_Expiration=1,IF($A812&lt;VLOOKUP(T$5,NFI,5,0),1,0)*Table_NFI[[#This Row],[Winter Items Other]],Table_NFI[Winter Items Other])</f>
        <v>0</v>
      </c>
      <c r="AL812" s="378">
        <f>IF(NFI_Expiration=1,IF($A812&lt;VLOOKUP(M$5,NFI,5,0),1,0)*Table_NFI[[#This Row],[Winter Blanket]],Table_NFI[[#This Row],[Winter Blanket]])</f>
        <v>0</v>
      </c>
      <c r="AM812" s="378">
        <f>IF(Table_NFI[[#This Row],[Winter Clothes Adult]]+Table_NFI[[#This Row],[Winter Clothes Children]]+Table_NFI[[#This Row],[Winter Items Other]]+Table_NFI[[#This Row],[Winter Blanket]]&gt;0,1,0)</f>
        <v>0</v>
      </c>
      <c r="AN812" s="418">
        <f>IF(NFI_Expiration=1,IF($A812&lt;VLOOKUP(V$5,NFI,5,0),1,0)*Table_NFI[[#This Row],[Jerry Can]],Table_NFI[Jerry Can])</f>
        <v>0</v>
      </c>
      <c r="AO812" s="579" t="str">
        <f>IFERROR(VLOOKUP(Table_NFI[[#This Row],[Camp Name]],CL,2,0),"")</f>
        <v>MMR001CMP206</v>
      </c>
      <c r="AP812" s="574">
        <f ca="1">IF(Table_NFI[[#This Row],[Pcode]]="","",IF(OFFSET(CampList[Opening Date],MATCH(Table_NFI[[#This Row],[Pcode]],CampList[CP_Pcode],0)-1,0,1,1)&gt;=NFI_Monitor_Date,1,0))</f>
        <v>0</v>
      </c>
      <c r="AQ812" s="579" t="str">
        <f>IFERROR(VLOOKUP(Table_NFI[[#This Row],[Camp Name]],CL,3,0),"")</f>
        <v>Open</v>
      </c>
      <c r="AR812" s="378" t="str">
        <f ca="1">IF(Table_NFI[[#This Row],[Pcode]]="","",OFFSET(CampList[Priority],MATCH(Table_NFI[[#This Row],[Pcode]],CampList[CP_Pcode],0)-1,0,1,1))</f>
        <v>P4</v>
      </c>
      <c r="AS812" s="377">
        <f>IFERROR(Table_NFI[[#This Row],[Kitchen Set]]/VLOOKUP(Table_NFI[[#This Row],[Camp Name]],CL,4,0),"")</f>
        <v>0</v>
      </c>
      <c r="AT812" s="572" t="s">
        <v>1095</v>
      </c>
      <c r="AU812" s="580" t="s">
        <v>1330</v>
      </c>
    </row>
    <row r="813" spans="1:47" x14ac:dyDescent="0.25">
      <c r="A813" s="381">
        <f t="shared" si="12"/>
        <v>16.833333333333332</v>
      </c>
      <c r="B813" s="571">
        <v>42017</v>
      </c>
      <c r="C813" s="572" t="s">
        <v>1097</v>
      </c>
      <c r="D813" s="572" t="s">
        <v>903</v>
      </c>
      <c r="E813" s="572" t="s">
        <v>380</v>
      </c>
      <c r="F813" s="572" t="s">
        <v>810</v>
      </c>
      <c r="G813" s="572" t="s">
        <v>810</v>
      </c>
      <c r="H813" s="375"/>
      <c r="I813" s="378"/>
      <c r="J813" s="378"/>
      <c r="K813" s="378"/>
      <c r="L813" s="376"/>
      <c r="M813" s="376"/>
      <c r="N813" s="376"/>
      <c r="O813" s="376"/>
      <c r="P813" s="378"/>
      <c r="Q813" s="378"/>
      <c r="R813" s="378">
        <v>91</v>
      </c>
      <c r="S813" s="378">
        <v>32</v>
      </c>
      <c r="T813" s="378"/>
      <c r="U813" s="378">
        <v>36</v>
      </c>
      <c r="V813" s="533"/>
      <c r="W813" s="378"/>
      <c r="X813" s="378"/>
      <c r="Y813" s="378">
        <f>IF(NFI_Expiration=1,IF($A813&lt;VLOOKUP(H$5,NFI,5,0),1,0)*Table_NFI[[#This Row],[Hygiene Kit]],Table_NFI[Hygiene Kit])</f>
        <v>0</v>
      </c>
      <c r="Z813" s="378">
        <f>IF(NFI_Expiration=1,IF($A813&lt;VLOOKUP(I$5,NFI,5,0),1,0)*Table_NFI[[#This Row],[NFI Core Kit]],Table_NFI[NFI Core Kit])</f>
        <v>0</v>
      </c>
      <c r="AA813" s="378">
        <f>IF(NFI_Expiration=1,IF($A813&lt;VLOOKUP(J$5,NFI,5,0),1,0)*Table_NFI[[#This Row],[Sanitary Kit]],Table_NFI[Sanitary Kit])</f>
        <v>0</v>
      </c>
      <c r="AB813" s="378">
        <f>IF(NFI_Expiration=1,IF($A813&lt;VLOOKUP(K$5,NFI,5,0),1,0)*Table_NFI[[#This Row],[Mosquito net]],Table_NFI[Mosquito net])</f>
        <v>0</v>
      </c>
      <c r="AC813" s="378">
        <f>IF(NFI_Expiration=1,IF($A813&lt;VLOOKUP(L$5,NFI,5,0),1,0)*Table_NFI[[#This Row],[Tarpaulin]],Table_NFI[[#This Row],[Tarpaulin]])</f>
        <v>0</v>
      </c>
      <c r="AD813" s="378">
        <f>IF(NFI_Expiration=1,IF($A813&lt;VLOOKUP(M$5,NFI,5,0),1,0)*Table_NFI[[#This Row],[Blanket]],Table_NFI[[#This Row],[Blanket]])</f>
        <v>0</v>
      </c>
      <c r="AE813" s="378">
        <f>IF(NFI_Expiration=1,IF($A813&lt;VLOOKUP(N$5,NFI,5,0),1,0)*Table_NFI[[#This Row],[Kitchen Set]],Table_NFI[Kitchen Set])</f>
        <v>0</v>
      </c>
      <c r="AF813" s="378">
        <f>IF(NFI_Expiration=1,IF($A813&lt;VLOOKUP(O$5,NFI,5,0),1,0)*Table_NFI[[#This Row],[Clothes Kit]],Table_NFI[Clothes Kit])</f>
        <v>0</v>
      </c>
      <c r="AG813" s="378">
        <f>IF(NFI_Expiration=1,IF($A813&lt;VLOOKUP(P$5,NFI,5,0),1,0)*Table_NFI[[#This Row],[Plastic Bucket]],Table_NFI[Plastic Bucket])</f>
        <v>0</v>
      </c>
      <c r="AH813" s="378">
        <f>IF(NFI_Expiration=1,IF($A813&lt;VLOOKUP(Q$5,NFI,5,0),1,0)*Table_NFI[[#This Row],[Plastic Mat]],Table_NFI[Plastic Mat])*IF(Table_NFI[[#This Row],[Distribution Date]]&gt;"2014-04-01",1,2.5)</f>
        <v>0</v>
      </c>
      <c r="AI813" s="378">
        <f>IF(NFI_Expiration=1,IF($A813&lt;VLOOKUP(R$5,NFI,5,0),1,0)*Table_NFI[[#This Row],[Winter Clothes Adult]],Table_NFI[Winter Clothes Adult])</f>
        <v>0</v>
      </c>
      <c r="AJ813" s="378">
        <f>IF(NFI_Expiration=1,IF($A813&lt;VLOOKUP(S$5,NFI,5,0),1,0)*Table_NFI[[#This Row],[Winter Clothes Children]],Table_NFI[Winter Clothes Children])</f>
        <v>0</v>
      </c>
      <c r="AK813" s="378">
        <f>IF(NFI_Expiration=1,IF($A813&lt;VLOOKUP(T$5,NFI,5,0),1,0)*Table_NFI[[#This Row],[Winter Items Other]],Table_NFI[Winter Items Other])</f>
        <v>0</v>
      </c>
      <c r="AL813" s="378">
        <f>IF(NFI_Expiration=1,IF($A813&lt;VLOOKUP(M$5,NFI,5,0),1,0)*Table_NFI[[#This Row],[Winter Blanket]],Table_NFI[[#This Row],[Winter Blanket]])</f>
        <v>0</v>
      </c>
      <c r="AM813" s="378">
        <f>IF(Table_NFI[[#This Row],[Winter Clothes Adult]]+Table_NFI[[#This Row],[Winter Clothes Children]]+Table_NFI[[#This Row],[Winter Items Other]]+Table_NFI[[#This Row],[Winter Blanket]]&gt;0,1,0)</f>
        <v>1</v>
      </c>
      <c r="AN813" s="418">
        <f>IF(NFI_Expiration=1,IF($A813&lt;VLOOKUP(V$5,NFI,5,0),1,0)*Table_NFI[[#This Row],[Jerry Can]],Table_NFI[Jerry Can])</f>
        <v>0</v>
      </c>
      <c r="AO813" s="579" t="str">
        <f>IFERROR(VLOOKUP(Table_NFI[[#This Row],[Camp Name]],CL,2,0),"")</f>
        <v>MMR001CMP206</v>
      </c>
      <c r="AP813" s="574">
        <f ca="1">IF(Table_NFI[[#This Row],[Pcode]]="","",IF(OFFSET(CampList[Opening Date],MATCH(Table_NFI[[#This Row],[Pcode]],CampList[CP_Pcode],0)-1,0,1,1)&gt;=NFI_Monitor_Date,1,0))</f>
        <v>0</v>
      </c>
      <c r="AQ813" s="579" t="str">
        <f>IFERROR(VLOOKUP(Table_NFI[[#This Row],[Camp Name]],CL,3,0),"")</f>
        <v>Open</v>
      </c>
      <c r="AR813" s="378" t="str">
        <f ca="1">IF(Table_NFI[[#This Row],[Pcode]]="","",OFFSET(CampList[Priority],MATCH(Table_NFI[[#This Row],[Pcode]],CampList[CP_Pcode],0)-1,0,1,1))</f>
        <v>P4</v>
      </c>
      <c r="AS813" s="377">
        <f>IFERROR(Table_NFI[[#This Row],[Kitchen Set]]/VLOOKUP(Table_NFI[[#This Row],[Camp Name]],CL,4,0),"")</f>
        <v>0</v>
      </c>
      <c r="AT813" s="572"/>
      <c r="AU813" s="601"/>
    </row>
    <row r="814" spans="1:47" x14ac:dyDescent="0.25">
      <c r="A814" s="381">
        <f t="shared" si="12"/>
        <v>27.666666666666668</v>
      </c>
      <c r="B814" s="571">
        <v>41692</v>
      </c>
      <c r="C814" s="572" t="s">
        <v>1107</v>
      </c>
      <c r="D814" s="572" t="s">
        <v>903</v>
      </c>
      <c r="E814" s="572" t="s">
        <v>380</v>
      </c>
      <c r="F814" s="572" t="s">
        <v>810</v>
      </c>
      <c r="G814" s="572" t="s">
        <v>810</v>
      </c>
      <c r="H814" s="375"/>
      <c r="I814" s="375"/>
      <c r="J814" s="375"/>
      <c r="K814" s="375"/>
      <c r="L814" s="376"/>
      <c r="M814" s="376"/>
      <c r="N814" s="376"/>
      <c r="O814" s="376"/>
      <c r="P814" s="378"/>
      <c r="Q814" s="378"/>
      <c r="R814" s="378"/>
      <c r="S814" s="378"/>
      <c r="T814" s="378"/>
      <c r="U814" s="378">
        <v>16</v>
      </c>
      <c r="V814" s="533"/>
      <c r="W814" s="378"/>
      <c r="X814" s="378"/>
      <c r="Y814" s="378">
        <f>IF(NFI_Expiration=1,IF($A814&lt;VLOOKUP(H$5,NFI,5,0),1,0)*Table_NFI[[#This Row],[Hygiene Kit]],Table_NFI[Hygiene Kit])</f>
        <v>0</v>
      </c>
      <c r="Z814" s="378">
        <f>IF(NFI_Expiration=1,IF($A814&lt;VLOOKUP(I$5,NFI,5,0),1,0)*Table_NFI[[#This Row],[NFI Core Kit]],Table_NFI[NFI Core Kit])</f>
        <v>0</v>
      </c>
      <c r="AA814" s="378">
        <f>IF(NFI_Expiration=1,IF($A814&lt;VLOOKUP(J$5,NFI,5,0),1,0)*Table_NFI[[#This Row],[Sanitary Kit]],Table_NFI[Sanitary Kit])</f>
        <v>0</v>
      </c>
      <c r="AB814" s="378">
        <f>IF(NFI_Expiration=1,IF($A814&lt;VLOOKUP(K$5,NFI,5,0),1,0)*Table_NFI[[#This Row],[Mosquito net]],Table_NFI[Mosquito net])</f>
        <v>0</v>
      </c>
      <c r="AC814" s="378">
        <f>IF(NFI_Expiration=1,IF($A814&lt;VLOOKUP(L$5,NFI,5,0),1,0)*Table_NFI[[#This Row],[Tarpaulin]],Table_NFI[[#This Row],[Tarpaulin]])</f>
        <v>0</v>
      </c>
      <c r="AD814" s="378">
        <f>IF(NFI_Expiration=1,IF($A814&lt;VLOOKUP(M$5,NFI,5,0),1,0)*Table_NFI[[#This Row],[Blanket]],Table_NFI[[#This Row],[Blanket]])</f>
        <v>0</v>
      </c>
      <c r="AE814" s="378">
        <f>IF(NFI_Expiration=1,IF($A814&lt;VLOOKUP(N$5,NFI,5,0),1,0)*Table_NFI[[#This Row],[Kitchen Set]],Table_NFI[Kitchen Set])</f>
        <v>0</v>
      </c>
      <c r="AF814" s="378">
        <f>IF(NFI_Expiration=1,IF($A814&lt;VLOOKUP(O$5,NFI,5,0),1,0)*Table_NFI[[#This Row],[Clothes Kit]],Table_NFI[Clothes Kit])</f>
        <v>0</v>
      </c>
      <c r="AG814" s="378">
        <f>IF(NFI_Expiration=1,IF($A814&lt;VLOOKUP(P$5,NFI,5,0),1,0)*Table_NFI[[#This Row],[Plastic Bucket]],Table_NFI[Plastic Bucket])</f>
        <v>0</v>
      </c>
      <c r="AH814" s="378">
        <f>IF(NFI_Expiration=1,IF($A814&lt;VLOOKUP(Q$5,NFI,5,0),1,0)*Table_NFI[[#This Row],[Plastic Mat]],Table_NFI[Plastic Mat])*IF(Table_NFI[[#This Row],[Distribution Date]]&gt;"2014-04-01",1,2.5)</f>
        <v>0</v>
      </c>
      <c r="AI814" s="378">
        <f>IF(NFI_Expiration=1,IF($A814&lt;VLOOKUP(R$5,NFI,5,0),1,0)*Table_NFI[[#This Row],[Winter Clothes Adult]],Table_NFI[Winter Clothes Adult])</f>
        <v>0</v>
      </c>
      <c r="AJ814" s="378">
        <f>IF(NFI_Expiration=1,IF($A814&lt;VLOOKUP(S$5,NFI,5,0),1,0)*Table_NFI[[#This Row],[Winter Clothes Children]],Table_NFI[Winter Clothes Children])</f>
        <v>0</v>
      </c>
      <c r="AK814" s="378">
        <f>IF(NFI_Expiration=1,IF($A814&lt;VLOOKUP(T$5,NFI,5,0),1,0)*Table_NFI[[#This Row],[Winter Items Other]],Table_NFI[Winter Items Other])</f>
        <v>0</v>
      </c>
      <c r="AL814" s="378">
        <f>IF(NFI_Expiration=1,IF($A814&lt;VLOOKUP(M$5,NFI,5,0),1,0)*Table_NFI[[#This Row],[Winter Blanket]],Table_NFI[[#This Row],[Winter Blanket]])</f>
        <v>0</v>
      </c>
      <c r="AM814" s="378">
        <f>IF(Table_NFI[[#This Row],[Winter Clothes Adult]]+Table_NFI[[#This Row],[Winter Clothes Children]]+Table_NFI[[#This Row],[Winter Items Other]]+Table_NFI[[#This Row],[Winter Blanket]]&gt;0,1,0)</f>
        <v>1</v>
      </c>
      <c r="AN814" s="418">
        <f>IF(NFI_Expiration=1,IF($A814&lt;VLOOKUP(V$5,NFI,5,0),1,0)*Table_NFI[[#This Row],[Jerry Can]],Table_NFI[Jerry Can])</f>
        <v>0</v>
      </c>
      <c r="AO814" s="579" t="str">
        <f>IFERROR(VLOOKUP(Table_NFI[[#This Row],[Camp Name]],CL,2,0),"")</f>
        <v>MMR001CMP206</v>
      </c>
      <c r="AP814" s="574">
        <f ca="1">IF(Table_NFI[[#This Row],[Pcode]]="","",IF(OFFSET(CampList[Opening Date],MATCH(Table_NFI[[#This Row],[Pcode]],CampList[CP_Pcode],0)-1,0,1,1)&gt;=NFI_Monitor_Date,1,0))</f>
        <v>0</v>
      </c>
      <c r="AQ814" s="579" t="str">
        <f>IFERROR(VLOOKUP(Table_NFI[[#This Row],[Camp Name]],CL,3,0),"")</f>
        <v>Open</v>
      </c>
      <c r="AR814" s="378" t="str">
        <f ca="1">IF(Table_NFI[[#This Row],[Pcode]]="","",OFFSET(CampList[Priority],MATCH(Table_NFI[[#This Row],[Pcode]],CampList[CP_Pcode],0)-1,0,1,1))</f>
        <v>P4</v>
      </c>
      <c r="AS814" s="377">
        <f>IFERROR(Table_NFI[[#This Row],[Kitchen Set]]/VLOOKUP(Table_NFI[[#This Row],[Camp Name]],CL,4,0),"")</f>
        <v>0</v>
      </c>
      <c r="AT814" s="572"/>
      <c r="AU814" s="575"/>
    </row>
    <row r="815" spans="1:47" x14ac:dyDescent="0.25">
      <c r="A815" s="381">
        <f t="shared" si="12"/>
        <v>38.666666666666664</v>
      </c>
      <c r="B815" s="571">
        <v>41362</v>
      </c>
      <c r="C815" s="572" t="s">
        <v>903</v>
      </c>
      <c r="D815" s="572" t="s">
        <v>903</v>
      </c>
      <c r="E815" s="572" t="s">
        <v>380</v>
      </c>
      <c r="F815" s="572" t="s">
        <v>810</v>
      </c>
      <c r="G815" s="374" t="s">
        <v>810</v>
      </c>
      <c r="H815" s="375"/>
      <c r="I815" s="375"/>
      <c r="J815" s="375">
        <v>6</v>
      </c>
      <c r="K815" s="375"/>
      <c r="L815" s="376"/>
      <c r="M815" s="376"/>
      <c r="N815" s="376">
        <v>6</v>
      </c>
      <c r="O815" s="376"/>
      <c r="P815" s="378">
        <v>0</v>
      </c>
      <c r="Q815" s="378">
        <v>0</v>
      </c>
      <c r="R815" s="378"/>
      <c r="S815" s="378"/>
      <c r="T815" s="378"/>
      <c r="U815" s="378"/>
      <c r="V815" s="533"/>
      <c r="W815" s="378"/>
      <c r="X815" s="378"/>
      <c r="Y815" s="378">
        <f>IF(NFI_Expiration=1,IF($A815&lt;VLOOKUP(H$5,NFI,5,0),1,0)*Table_NFI[[#This Row],[Hygiene Kit]],Table_NFI[Hygiene Kit])</f>
        <v>0</v>
      </c>
      <c r="Z815" s="378">
        <f>IF(NFI_Expiration=1,IF($A815&lt;VLOOKUP(I$5,NFI,5,0),1,0)*Table_NFI[[#This Row],[NFI Core Kit]],Table_NFI[NFI Core Kit])</f>
        <v>0</v>
      </c>
      <c r="AA815" s="378">
        <f>IF(NFI_Expiration=1,IF($A815&lt;VLOOKUP(J$5,NFI,5,0),1,0)*Table_NFI[[#This Row],[Sanitary Kit]],Table_NFI[Sanitary Kit])</f>
        <v>0</v>
      </c>
      <c r="AB815" s="378">
        <f>IF(NFI_Expiration=1,IF($A815&lt;VLOOKUP(K$5,NFI,5,0),1,0)*Table_NFI[[#This Row],[Mosquito net]],Table_NFI[Mosquito net])</f>
        <v>0</v>
      </c>
      <c r="AC815" s="378">
        <f>IF(NFI_Expiration=1,IF($A815&lt;VLOOKUP(L$5,NFI,5,0),1,0)*Table_NFI[[#This Row],[Tarpaulin]],Table_NFI[[#This Row],[Tarpaulin]])</f>
        <v>0</v>
      </c>
      <c r="AD815" s="378">
        <f>IF(NFI_Expiration=1,IF($A815&lt;VLOOKUP(M$5,NFI,5,0),1,0)*Table_NFI[[#This Row],[Blanket]],Table_NFI[[#This Row],[Blanket]])</f>
        <v>0</v>
      </c>
      <c r="AE815" s="378">
        <f>IF(NFI_Expiration=1,IF($A815&lt;VLOOKUP(N$5,NFI,5,0),1,0)*Table_NFI[[#This Row],[Kitchen Set]],Table_NFI[Kitchen Set])</f>
        <v>0</v>
      </c>
      <c r="AF815" s="378">
        <f>IF(NFI_Expiration=1,IF($A815&lt;VLOOKUP(O$5,NFI,5,0),1,0)*Table_NFI[[#This Row],[Clothes Kit]],Table_NFI[Clothes Kit])</f>
        <v>0</v>
      </c>
      <c r="AG815" s="378">
        <f>IF(NFI_Expiration=1,IF($A815&lt;VLOOKUP(P$5,NFI,5,0),1,0)*Table_NFI[[#This Row],[Plastic Bucket]],Table_NFI[Plastic Bucket])</f>
        <v>0</v>
      </c>
      <c r="AH815" s="378">
        <f>IF(NFI_Expiration=1,IF($A815&lt;VLOOKUP(Q$5,NFI,5,0),1,0)*Table_NFI[[#This Row],[Plastic Mat]],Table_NFI[Plastic Mat])*IF(Table_NFI[[#This Row],[Distribution Date]]&gt;"2014-04-01",1,2.5)</f>
        <v>0</v>
      </c>
      <c r="AI815" s="378">
        <f>IF(NFI_Expiration=1,IF($A815&lt;VLOOKUP(R$5,NFI,5,0),1,0)*Table_NFI[[#This Row],[Winter Clothes Adult]],Table_NFI[Winter Clothes Adult])</f>
        <v>0</v>
      </c>
      <c r="AJ815" s="378">
        <f>IF(NFI_Expiration=1,IF($A815&lt;VLOOKUP(S$5,NFI,5,0),1,0)*Table_NFI[[#This Row],[Winter Clothes Children]],Table_NFI[Winter Clothes Children])</f>
        <v>0</v>
      </c>
      <c r="AK815" s="378">
        <f>IF(NFI_Expiration=1,IF($A815&lt;VLOOKUP(T$5,NFI,5,0),1,0)*Table_NFI[[#This Row],[Winter Items Other]],Table_NFI[Winter Items Other])</f>
        <v>0</v>
      </c>
      <c r="AL815" s="378">
        <f>IF(NFI_Expiration=1,IF($A815&lt;VLOOKUP(M$5,NFI,5,0),1,0)*Table_NFI[[#This Row],[Winter Blanket]],Table_NFI[[#This Row],[Winter Blanket]])</f>
        <v>0</v>
      </c>
      <c r="AM815" s="378">
        <f>IF(Table_NFI[[#This Row],[Winter Clothes Adult]]+Table_NFI[[#This Row],[Winter Clothes Children]]+Table_NFI[[#This Row],[Winter Items Other]]+Table_NFI[[#This Row],[Winter Blanket]]&gt;0,1,0)</f>
        <v>0</v>
      </c>
      <c r="AN815" s="418">
        <f>IF(NFI_Expiration=1,IF($A815&lt;VLOOKUP(V$5,NFI,5,0),1,0)*Table_NFI[[#This Row],[Jerry Can]],Table_NFI[Jerry Can])</f>
        <v>0</v>
      </c>
      <c r="AO815" s="579" t="str">
        <f>IFERROR(VLOOKUP(Table_NFI[[#This Row],[Camp Name]],CL,2,0),"")</f>
        <v>MMR001CMP206</v>
      </c>
      <c r="AP815" s="574">
        <f ca="1">IF(Table_NFI[[#This Row],[Pcode]]="","",IF(OFFSET(CampList[Opening Date],MATCH(Table_NFI[[#This Row],[Pcode]],CampList[CP_Pcode],0)-1,0,1,1)&gt;=NFI_Monitor_Date,1,0))</f>
        <v>0</v>
      </c>
      <c r="AQ815" s="579" t="str">
        <f>IFERROR(VLOOKUP(Table_NFI[[#This Row],[Camp Name]],CL,3,0),"")</f>
        <v>Open</v>
      </c>
      <c r="AR815" s="378" t="str">
        <f ca="1">IF(Table_NFI[[#This Row],[Pcode]]="","",OFFSET(CampList[Priority],MATCH(Table_NFI[[#This Row],[Pcode]],CampList[CP_Pcode],0)-1,0,1,1))</f>
        <v>P4</v>
      </c>
      <c r="AS815" s="377">
        <f>IFERROR(Table_NFI[[#This Row],[Kitchen Set]]/VLOOKUP(Table_NFI[[#This Row],[Camp Name]],CL,4,0),"")</f>
        <v>1.2</v>
      </c>
      <c r="AT815" s="572" t="s">
        <v>1095</v>
      </c>
      <c r="AU815" s="575"/>
    </row>
    <row r="816" spans="1:47" x14ac:dyDescent="0.25">
      <c r="A816" s="381">
        <f t="shared" si="12"/>
        <v>24.9</v>
      </c>
      <c r="B816" s="571">
        <v>41775</v>
      </c>
      <c r="C816" s="572" t="s">
        <v>454</v>
      </c>
      <c r="D816" s="572" t="s">
        <v>454</v>
      </c>
      <c r="E816" s="572" t="s">
        <v>380</v>
      </c>
      <c r="F816" s="572" t="s">
        <v>5</v>
      </c>
      <c r="G816" s="572" t="s">
        <v>24</v>
      </c>
      <c r="H816" s="375"/>
      <c r="I816" s="375"/>
      <c r="J816" s="375"/>
      <c r="K816" s="375">
        <v>24</v>
      </c>
      <c r="L816" s="376">
        <v>13</v>
      </c>
      <c r="M816" s="376">
        <v>24</v>
      </c>
      <c r="N816" s="376">
        <v>13</v>
      </c>
      <c r="O816" s="376">
        <v>13</v>
      </c>
      <c r="P816" s="378">
        <v>13</v>
      </c>
      <c r="Q816" s="378">
        <v>33</v>
      </c>
      <c r="R816" s="378"/>
      <c r="S816" s="378"/>
      <c r="T816" s="378"/>
      <c r="U816" s="378"/>
      <c r="V816" s="533"/>
      <c r="W816" s="378"/>
      <c r="X816" s="378"/>
      <c r="Y816" s="378">
        <f>IF(NFI_Expiration=1,IF($A816&lt;VLOOKUP(H$5,NFI,5,0),1,0)*Table_NFI[[#This Row],[Hygiene Kit]],Table_NFI[Hygiene Kit])</f>
        <v>0</v>
      </c>
      <c r="Z816" s="378">
        <f>IF(NFI_Expiration=1,IF($A816&lt;VLOOKUP(I$5,NFI,5,0),1,0)*Table_NFI[[#This Row],[NFI Core Kit]],Table_NFI[NFI Core Kit])</f>
        <v>0</v>
      </c>
      <c r="AA816" s="378">
        <f>IF(NFI_Expiration=1,IF($A816&lt;VLOOKUP(J$5,NFI,5,0),1,0)*Table_NFI[[#This Row],[Sanitary Kit]],Table_NFI[Sanitary Kit])</f>
        <v>0</v>
      </c>
      <c r="AB816" s="378">
        <f>IF(NFI_Expiration=1,IF($A816&lt;VLOOKUP(K$5,NFI,5,0),1,0)*Table_NFI[[#This Row],[Mosquito net]],Table_NFI[Mosquito net])</f>
        <v>0</v>
      </c>
      <c r="AC816" s="378">
        <f>IF(NFI_Expiration=1,IF($A816&lt;VLOOKUP(L$5,NFI,5,0),1,0)*Table_NFI[[#This Row],[Tarpaulin]],Table_NFI[[#This Row],[Tarpaulin]])</f>
        <v>0</v>
      </c>
      <c r="AD816" s="378">
        <f>IF(NFI_Expiration=1,IF($A816&lt;VLOOKUP(M$5,NFI,5,0),1,0)*Table_NFI[[#This Row],[Blanket]],Table_NFI[[#This Row],[Blanket]])</f>
        <v>0</v>
      </c>
      <c r="AE816" s="378">
        <f>IF(NFI_Expiration=1,IF($A816&lt;VLOOKUP(N$5,NFI,5,0),1,0)*Table_NFI[[#This Row],[Kitchen Set]],Table_NFI[Kitchen Set])</f>
        <v>0</v>
      </c>
      <c r="AF816" s="378">
        <f>IF(NFI_Expiration=1,IF($A816&lt;VLOOKUP(O$5,NFI,5,0),1,0)*Table_NFI[[#This Row],[Clothes Kit]],Table_NFI[Clothes Kit])</f>
        <v>0</v>
      </c>
      <c r="AG816" s="378">
        <f>IF(NFI_Expiration=1,IF($A816&lt;VLOOKUP(P$5,NFI,5,0),1,0)*Table_NFI[[#This Row],[Plastic Bucket]],Table_NFI[Plastic Bucket])</f>
        <v>0</v>
      </c>
      <c r="AH816" s="378">
        <f>IF(NFI_Expiration=1,IF($A816&lt;VLOOKUP(Q$5,NFI,5,0),1,0)*Table_NFI[[#This Row],[Plastic Mat]],Table_NFI[Plastic Mat])*IF(Table_NFI[[#This Row],[Distribution Date]]&gt;"2014-04-01",1,2.5)</f>
        <v>0</v>
      </c>
      <c r="AI816" s="378">
        <f>IF(NFI_Expiration=1,IF($A816&lt;VLOOKUP(R$5,NFI,5,0),1,0)*Table_NFI[[#This Row],[Winter Clothes Adult]],Table_NFI[Winter Clothes Adult])</f>
        <v>0</v>
      </c>
      <c r="AJ816" s="378">
        <f>IF(NFI_Expiration=1,IF($A816&lt;VLOOKUP(S$5,NFI,5,0),1,0)*Table_NFI[[#This Row],[Winter Clothes Children]],Table_NFI[Winter Clothes Children])</f>
        <v>0</v>
      </c>
      <c r="AK816" s="378">
        <f>IF(NFI_Expiration=1,IF($A816&lt;VLOOKUP(T$5,NFI,5,0),1,0)*Table_NFI[[#This Row],[Winter Items Other]],Table_NFI[Winter Items Other])</f>
        <v>0</v>
      </c>
      <c r="AL816" s="378">
        <f>IF(NFI_Expiration=1,IF($A816&lt;VLOOKUP(M$5,NFI,5,0),1,0)*Table_NFI[[#This Row],[Winter Blanket]],Table_NFI[[#This Row],[Winter Blanket]])</f>
        <v>0</v>
      </c>
      <c r="AM816" s="378">
        <f>IF(Table_NFI[[#This Row],[Winter Clothes Adult]]+Table_NFI[[#This Row],[Winter Clothes Children]]+Table_NFI[[#This Row],[Winter Items Other]]+Table_NFI[[#This Row],[Winter Blanket]]&gt;0,1,0)</f>
        <v>0</v>
      </c>
      <c r="AN816" s="418">
        <f>IF(NFI_Expiration=1,IF($A816&lt;VLOOKUP(V$5,NFI,5,0),1,0)*Table_NFI[[#This Row],[Jerry Can]],Table_NFI[Jerry Can])</f>
        <v>0</v>
      </c>
      <c r="AO816" s="579" t="str">
        <f>IFERROR(VLOOKUP(Table_NFI[[#This Row],[Camp Name]],CL,2,0),"")</f>
        <v>MMR001CMP055</v>
      </c>
      <c r="AP816" s="574">
        <f ca="1">IF(Table_NFI[[#This Row],[Pcode]]="","",IF(OFFSET(CampList[Opening Date],MATCH(Table_NFI[[#This Row],[Pcode]],CampList[CP_Pcode],0)-1,0,1,1)&gt;=NFI_Monitor_Date,1,0))</f>
        <v>0</v>
      </c>
      <c r="AQ816" s="579" t="str">
        <f>IFERROR(VLOOKUP(Table_NFI[[#This Row],[Camp Name]],CL,3,0),"")</f>
        <v>Open</v>
      </c>
      <c r="AR816" s="378" t="str">
        <f ca="1">IF(Table_NFI[[#This Row],[Pcode]]="","",OFFSET(CampList[Priority],MATCH(Table_NFI[[#This Row],[Pcode]],CampList[CP_Pcode],0)-1,0,1,1))</f>
        <v>P4</v>
      </c>
      <c r="AS816" s="377">
        <f>IFERROR(Table_NFI[[#This Row],[Kitchen Set]]/VLOOKUP(Table_NFI[[#This Row],[Camp Name]],CL,4,0),"")</f>
        <v>0.61904761904761907</v>
      </c>
      <c r="AT816" s="572" t="s">
        <v>1095</v>
      </c>
      <c r="AU816" s="575"/>
    </row>
    <row r="817" spans="1:47" x14ac:dyDescent="0.25">
      <c r="A817" s="381">
        <f t="shared" si="12"/>
        <v>24.966666666666665</v>
      </c>
      <c r="B817" s="571">
        <v>41773</v>
      </c>
      <c r="C817" s="572" t="s">
        <v>454</v>
      </c>
      <c r="D817" s="572" t="s">
        <v>454</v>
      </c>
      <c r="E817" s="572" t="s">
        <v>380</v>
      </c>
      <c r="F817" s="572" t="s">
        <v>5</v>
      </c>
      <c r="G817" s="572" t="s">
        <v>24</v>
      </c>
      <c r="H817" s="375"/>
      <c r="I817" s="375"/>
      <c r="J817" s="375">
        <v>17</v>
      </c>
      <c r="K817" s="375">
        <v>108</v>
      </c>
      <c r="L817" s="376">
        <v>36</v>
      </c>
      <c r="M817" s="376">
        <v>108</v>
      </c>
      <c r="N817" s="376">
        <v>36</v>
      </c>
      <c r="O817" s="376">
        <v>36</v>
      </c>
      <c r="P817" s="378">
        <v>36</v>
      </c>
      <c r="Q817" s="378">
        <v>142</v>
      </c>
      <c r="R817" s="378"/>
      <c r="S817" s="378"/>
      <c r="T817" s="378"/>
      <c r="U817" s="378"/>
      <c r="V817" s="533"/>
      <c r="W817" s="378"/>
      <c r="X817" s="378"/>
      <c r="Y817" s="378">
        <f>IF(NFI_Expiration=1,IF($A817&lt;VLOOKUP(H$5,NFI,5,0),1,0)*Table_NFI[[#This Row],[Hygiene Kit]],Table_NFI[Hygiene Kit])</f>
        <v>0</v>
      </c>
      <c r="Z817" s="378">
        <f>IF(NFI_Expiration=1,IF($A817&lt;VLOOKUP(I$5,NFI,5,0),1,0)*Table_NFI[[#This Row],[NFI Core Kit]],Table_NFI[NFI Core Kit])</f>
        <v>0</v>
      </c>
      <c r="AA817" s="378">
        <f>IF(NFI_Expiration=1,IF($A817&lt;VLOOKUP(J$5,NFI,5,0),1,0)*Table_NFI[[#This Row],[Sanitary Kit]],Table_NFI[Sanitary Kit])</f>
        <v>0</v>
      </c>
      <c r="AB817" s="378">
        <f>IF(NFI_Expiration=1,IF($A817&lt;VLOOKUP(K$5,NFI,5,0),1,0)*Table_NFI[[#This Row],[Mosquito net]],Table_NFI[Mosquito net])</f>
        <v>0</v>
      </c>
      <c r="AC817" s="378">
        <f>IF(NFI_Expiration=1,IF($A817&lt;VLOOKUP(L$5,NFI,5,0),1,0)*Table_NFI[[#This Row],[Tarpaulin]],Table_NFI[[#This Row],[Tarpaulin]])</f>
        <v>0</v>
      </c>
      <c r="AD817" s="378">
        <f>IF(NFI_Expiration=1,IF($A817&lt;VLOOKUP(M$5,NFI,5,0),1,0)*Table_NFI[[#This Row],[Blanket]],Table_NFI[[#This Row],[Blanket]])</f>
        <v>0</v>
      </c>
      <c r="AE817" s="378">
        <f>IF(NFI_Expiration=1,IF($A817&lt;VLOOKUP(N$5,NFI,5,0),1,0)*Table_NFI[[#This Row],[Kitchen Set]],Table_NFI[Kitchen Set])</f>
        <v>0</v>
      </c>
      <c r="AF817" s="378">
        <f>IF(NFI_Expiration=1,IF($A817&lt;VLOOKUP(O$5,NFI,5,0),1,0)*Table_NFI[[#This Row],[Clothes Kit]],Table_NFI[Clothes Kit])</f>
        <v>0</v>
      </c>
      <c r="AG817" s="378">
        <f>IF(NFI_Expiration=1,IF($A817&lt;VLOOKUP(P$5,NFI,5,0),1,0)*Table_NFI[[#This Row],[Plastic Bucket]],Table_NFI[Plastic Bucket])</f>
        <v>0</v>
      </c>
      <c r="AH817" s="378">
        <f>IF(NFI_Expiration=1,IF($A817&lt;VLOOKUP(Q$5,NFI,5,0),1,0)*Table_NFI[[#This Row],[Plastic Mat]],Table_NFI[Plastic Mat])*IF(Table_NFI[[#This Row],[Distribution Date]]&gt;"2014-04-01",1,2.5)</f>
        <v>0</v>
      </c>
      <c r="AI817" s="378">
        <f>IF(NFI_Expiration=1,IF($A817&lt;VLOOKUP(R$5,NFI,5,0),1,0)*Table_NFI[[#This Row],[Winter Clothes Adult]],Table_NFI[Winter Clothes Adult])</f>
        <v>0</v>
      </c>
      <c r="AJ817" s="378">
        <f>IF(NFI_Expiration=1,IF($A817&lt;VLOOKUP(S$5,NFI,5,0),1,0)*Table_NFI[[#This Row],[Winter Clothes Children]],Table_NFI[Winter Clothes Children])</f>
        <v>0</v>
      </c>
      <c r="AK817" s="378">
        <f>IF(NFI_Expiration=1,IF($A817&lt;VLOOKUP(T$5,NFI,5,0),1,0)*Table_NFI[[#This Row],[Winter Items Other]],Table_NFI[Winter Items Other])</f>
        <v>0</v>
      </c>
      <c r="AL817" s="378">
        <f>IF(NFI_Expiration=1,IF($A817&lt;VLOOKUP(M$5,NFI,5,0),1,0)*Table_NFI[[#This Row],[Winter Blanket]],Table_NFI[[#This Row],[Winter Blanket]])</f>
        <v>0</v>
      </c>
      <c r="AM817" s="378">
        <f>IF(Table_NFI[[#This Row],[Winter Clothes Adult]]+Table_NFI[[#This Row],[Winter Clothes Children]]+Table_NFI[[#This Row],[Winter Items Other]]+Table_NFI[[#This Row],[Winter Blanket]]&gt;0,1,0)</f>
        <v>0</v>
      </c>
      <c r="AN817" s="418">
        <f>IF(NFI_Expiration=1,IF($A817&lt;VLOOKUP(V$5,NFI,5,0),1,0)*Table_NFI[[#This Row],[Jerry Can]],Table_NFI[Jerry Can])</f>
        <v>0</v>
      </c>
      <c r="AO817" s="579" t="str">
        <f>IFERROR(VLOOKUP(Table_NFI[[#This Row],[Camp Name]],CL,2,0),"")</f>
        <v>MMR001CMP055</v>
      </c>
      <c r="AP817" s="574">
        <f ca="1">IF(Table_NFI[[#This Row],[Pcode]]="","",IF(OFFSET(CampList[Opening Date],MATCH(Table_NFI[[#This Row],[Pcode]],CampList[CP_Pcode],0)-1,0,1,1)&gt;=NFI_Monitor_Date,1,0))</f>
        <v>0</v>
      </c>
      <c r="AQ817" s="579" t="str">
        <f>IFERROR(VLOOKUP(Table_NFI[[#This Row],[Camp Name]],CL,3,0),"")</f>
        <v>Open</v>
      </c>
      <c r="AR817" s="378" t="str">
        <f ca="1">IF(Table_NFI[[#This Row],[Pcode]]="","",OFFSET(CampList[Priority],MATCH(Table_NFI[[#This Row],[Pcode]],CampList[CP_Pcode],0)-1,0,1,1))</f>
        <v>P4</v>
      </c>
      <c r="AS817" s="377">
        <f>IFERROR(Table_NFI[[#This Row],[Kitchen Set]]/VLOOKUP(Table_NFI[[#This Row],[Camp Name]],CL,4,0),"")</f>
        <v>1.7142857142857142</v>
      </c>
      <c r="AT817" s="572" t="s">
        <v>1095</v>
      </c>
      <c r="AU817" s="575"/>
    </row>
    <row r="818" spans="1:47" x14ac:dyDescent="0.25">
      <c r="A818" s="381">
        <f t="shared" si="12"/>
        <v>26.133333333333333</v>
      </c>
      <c r="B818" s="571">
        <v>41738</v>
      </c>
      <c r="C818" s="572" t="s">
        <v>1107</v>
      </c>
      <c r="D818" s="572" t="s">
        <v>903</v>
      </c>
      <c r="E818" s="572" t="s">
        <v>380</v>
      </c>
      <c r="F818" s="572" t="s">
        <v>5</v>
      </c>
      <c r="G818" s="572" t="s">
        <v>24</v>
      </c>
      <c r="H818" s="375"/>
      <c r="I818" s="375"/>
      <c r="J818" s="375"/>
      <c r="K818" s="375"/>
      <c r="L818" s="376"/>
      <c r="M818" s="376"/>
      <c r="N818" s="376"/>
      <c r="O818" s="376"/>
      <c r="P818" s="378"/>
      <c r="Q818" s="378"/>
      <c r="R818" s="378"/>
      <c r="S818" s="378"/>
      <c r="T818" s="378"/>
      <c r="U818" s="378">
        <v>122</v>
      </c>
      <c r="V818" s="533"/>
      <c r="W818" s="378"/>
      <c r="X818" s="378"/>
      <c r="Y818" s="378">
        <f>IF(NFI_Expiration=1,IF($A818&lt;VLOOKUP(H$5,NFI,5,0),1,0)*Table_NFI[[#This Row],[Hygiene Kit]],Table_NFI[Hygiene Kit])</f>
        <v>0</v>
      </c>
      <c r="Z818" s="378">
        <f>IF(NFI_Expiration=1,IF($A818&lt;VLOOKUP(I$5,NFI,5,0),1,0)*Table_NFI[[#This Row],[NFI Core Kit]],Table_NFI[NFI Core Kit])</f>
        <v>0</v>
      </c>
      <c r="AA818" s="378">
        <f>IF(NFI_Expiration=1,IF($A818&lt;VLOOKUP(J$5,NFI,5,0),1,0)*Table_NFI[[#This Row],[Sanitary Kit]],Table_NFI[Sanitary Kit])</f>
        <v>0</v>
      </c>
      <c r="AB818" s="378">
        <f>IF(NFI_Expiration=1,IF($A818&lt;VLOOKUP(K$5,NFI,5,0),1,0)*Table_NFI[[#This Row],[Mosquito net]],Table_NFI[Mosquito net])</f>
        <v>0</v>
      </c>
      <c r="AC818" s="378">
        <f>IF(NFI_Expiration=1,IF($A818&lt;VLOOKUP(L$5,NFI,5,0),1,0)*Table_NFI[[#This Row],[Tarpaulin]],Table_NFI[[#This Row],[Tarpaulin]])</f>
        <v>0</v>
      </c>
      <c r="AD818" s="378">
        <f>IF(NFI_Expiration=1,IF($A818&lt;VLOOKUP(M$5,NFI,5,0),1,0)*Table_NFI[[#This Row],[Blanket]],Table_NFI[[#This Row],[Blanket]])</f>
        <v>0</v>
      </c>
      <c r="AE818" s="378">
        <f>IF(NFI_Expiration=1,IF($A818&lt;VLOOKUP(N$5,NFI,5,0),1,0)*Table_NFI[[#This Row],[Kitchen Set]],Table_NFI[Kitchen Set])</f>
        <v>0</v>
      </c>
      <c r="AF818" s="378">
        <f>IF(NFI_Expiration=1,IF($A818&lt;VLOOKUP(O$5,NFI,5,0),1,0)*Table_NFI[[#This Row],[Clothes Kit]],Table_NFI[Clothes Kit])</f>
        <v>0</v>
      </c>
      <c r="AG818" s="378">
        <f>IF(NFI_Expiration=1,IF($A818&lt;VLOOKUP(P$5,NFI,5,0),1,0)*Table_NFI[[#This Row],[Plastic Bucket]],Table_NFI[Plastic Bucket])</f>
        <v>0</v>
      </c>
      <c r="AH818" s="378">
        <f>IF(NFI_Expiration=1,IF($A818&lt;VLOOKUP(Q$5,NFI,5,0),1,0)*Table_NFI[[#This Row],[Plastic Mat]],Table_NFI[Plastic Mat])*IF(Table_NFI[[#This Row],[Distribution Date]]&gt;"2014-04-01",1,2.5)</f>
        <v>0</v>
      </c>
      <c r="AI818" s="378">
        <f>IF(NFI_Expiration=1,IF($A818&lt;VLOOKUP(R$5,NFI,5,0),1,0)*Table_NFI[[#This Row],[Winter Clothes Adult]],Table_NFI[Winter Clothes Adult])</f>
        <v>0</v>
      </c>
      <c r="AJ818" s="378">
        <f>IF(NFI_Expiration=1,IF($A818&lt;VLOOKUP(S$5,NFI,5,0),1,0)*Table_NFI[[#This Row],[Winter Clothes Children]],Table_NFI[Winter Clothes Children])</f>
        <v>0</v>
      </c>
      <c r="AK818" s="378">
        <f>IF(NFI_Expiration=1,IF($A818&lt;VLOOKUP(T$5,NFI,5,0),1,0)*Table_NFI[[#This Row],[Winter Items Other]],Table_NFI[Winter Items Other])</f>
        <v>0</v>
      </c>
      <c r="AL818" s="378">
        <f>IF(NFI_Expiration=1,IF($A818&lt;VLOOKUP(M$5,NFI,5,0),1,0)*Table_NFI[[#This Row],[Winter Blanket]],Table_NFI[[#This Row],[Winter Blanket]])</f>
        <v>0</v>
      </c>
      <c r="AM818" s="378">
        <f>IF(Table_NFI[[#This Row],[Winter Clothes Adult]]+Table_NFI[[#This Row],[Winter Clothes Children]]+Table_NFI[[#This Row],[Winter Items Other]]+Table_NFI[[#This Row],[Winter Blanket]]&gt;0,1,0)</f>
        <v>1</v>
      </c>
      <c r="AN818" s="418">
        <f>IF(NFI_Expiration=1,IF($A818&lt;VLOOKUP(V$5,NFI,5,0),1,0)*Table_NFI[[#This Row],[Jerry Can]],Table_NFI[Jerry Can])</f>
        <v>0</v>
      </c>
      <c r="AO818" s="579" t="str">
        <f>IFERROR(VLOOKUP(Table_NFI[[#This Row],[Camp Name]],CL,2,0),"")</f>
        <v>MMR001CMP055</v>
      </c>
      <c r="AP818" s="574">
        <f ca="1">IF(Table_NFI[[#This Row],[Pcode]]="","",IF(OFFSET(CampList[Opening Date],MATCH(Table_NFI[[#This Row],[Pcode]],CampList[CP_Pcode],0)-1,0,1,1)&gt;=NFI_Monitor_Date,1,0))</f>
        <v>0</v>
      </c>
      <c r="AQ818" s="579" t="str">
        <f>IFERROR(VLOOKUP(Table_NFI[[#This Row],[Camp Name]],CL,3,0),"")</f>
        <v>Open</v>
      </c>
      <c r="AR818" s="378" t="str">
        <f ca="1">IF(Table_NFI[[#This Row],[Pcode]]="","",OFFSET(CampList[Priority],MATCH(Table_NFI[[#This Row],[Pcode]],CampList[CP_Pcode],0)-1,0,1,1))</f>
        <v>P4</v>
      </c>
      <c r="AS818" s="377">
        <f>IFERROR(Table_NFI[[#This Row],[Kitchen Set]]/VLOOKUP(Table_NFI[[#This Row],[Camp Name]],CL,4,0),"")</f>
        <v>0</v>
      </c>
      <c r="AT818" s="572"/>
      <c r="AU818" s="575"/>
    </row>
    <row r="819" spans="1:47" x14ac:dyDescent="0.25">
      <c r="A819" s="381">
        <f t="shared" si="12"/>
        <v>30.466666666666665</v>
      </c>
      <c r="B819" s="571">
        <v>41608</v>
      </c>
      <c r="C819" s="572" t="s">
        <v>1100</v>
      </c>
      <c r="D819" s="573" t="s">
        <v>947</v>
      </c>
      <c r="E819" s="572" t="s">
        <v>380</v>
      </c>
      <c r="F819" s="374" t="s">
        <v>5</v>
      </c>
      <c r="G819" s="374" t="s">
        <v>24</v>
      </c>
      <c r="H819" s="375"/>
      <c r="I819" s="375"/>
      <c r="J819" s="375"/>
      <c r="K819" s="375"/>
      <c r="L819" s="376"/>
      <c r="M819" s="376">
        <v>135</v>
      </c>
      <c r="N819" s="376"/>
      <c r="O819" s="376"/>
      <c r="P819" s="378"/>
      <c r="Q819" s="378"/>
      <c r="R819" s="378">
        <v>68</v>
      </c>
      <c r="S819" s="378">
        <v>61</v>
      </c>
      <c r="T819" s="378">
        <v>0</v>
      </c>
      <c r="U819" s="378"/>
      <c r="V819" s="533"/>
      <c r="W819" s="378"/>
      <c r="X819" s="378"/>
      <c r="Y819" s="378">
        <f>IF(NFI_Expiration=1,IF($A819&lt;VLOOKUP(H$5,NFI,5,0),1,0)*Table_NFI[[#This Row],[Hygiene Kit]],Table_NFI[Hygiene Kit])</f>
        <v>0</v>
      </c>
      <c r="Z819" s="378">
        <f>IF(NFI_Expiration=1,IF($A819&lt;VLOOKUP(I$5,NFI,5,0),1,0)*Table_NFI[[#This Row],[NFI Core Kit]],Table_NFI[NFI Core Kit])</f>
        <v>0</v>
      </c>
      <c r="AA819" s="378">
        <f>IF(NFI_Expiration=1,IF($A819&lt;VLOOKUP(J$5,NFI,5,0),1,0)*Table_NFI[[#This Row],[Sanitary Kit]],Table_NFI[Sanitary Kit])</f>
        <v>0</v>
      </c>
      <c r="AB819" s="378">
        <f>IF(NFI_Expiration=1,IF($A819&lt;VLOOKUP(K$5,NFI,5,0),1,0)*Table_NFI[[#This Row],[Mosquito net]],Table_NFI[Mosquito net])</f>
        <v>0</v>
      </c>
      <c r="AC819" s="378">
        <f>IF(NFI_Expiration=1,IF($A819&lt;VLOOKUP(L$5,NFI,5,0),1,0)*Table_NFI[[#This Row],[Tarpaulin]],Table_NFI[[#This Row],[Tarpaulin]])</f>
        <v>0</v>
      </c>
      <c r="AD819" s="378">
        <f>IF(NFI_Expiration=1,IF($A819&lt;VLOOKUP(M$5,NFI,5,0),1,0)*Table_NFI[[#This Row],[Blanket]],Table_NFI[[#This Row],[Blanket]])</f>
        <v>0</v>
      </c>
      <c r="AE819" s="378">
        <f>IF(NFI_Expiration=1,IF($A819&lt;VLOOKUP(N$5,NFI,5,0),1,0)*Table_NFI[[#This Row],[Kitchen Set]],Table_NFI[Kitchen Set])</f>
        <v>0</v>
      </c>
      <c r="AF819" s="378">
        <f>IF(NFI_Expiration=1,IF($A819&lt;VLOOKUP(O$5,NFI,5,0),1,0)*Table_NFI[[#This Row],[Clothes Kit]],Table_NFI[Clothes Kit])</f>
        <v>0</v>
      </c>
      <c r="AG819" s="378">
        <f>IF(NFI_Expiration=1,IF($A819&lt;VLOOKUP(P$5,NFI,5,0),1,0)*Table_NFI[[#This Row],[Plastic Bucket]],Table_NFI[Plastic Bucket])</f>
        <v>0</v>
      </c>
      <c r="AH819" s="378">
        <f>IF(NFI_Expiration=1,IF($A819&lt;VLOOKUP(Q$5,NFI,5,0),1,0)*Table_NFI[[#This Row],[Plastic Mat]],Table_NFI[Plastic Mat])*IF(Table_NFI[[#This Row],[Distribution Date]]&gt;"2014-04-01",1,2.5)</f>
        <v>0</v>
      </c>
      <c r="AI819" s="378">
        <f>IF(NFI_Expiration=1,IF($A819&lt;VLOOKUP(R$5,NFI,5,0),1,0)*Table_NFI[[#This Row],[Winter Clothes Adult]],Table_NFI[Winter Clothes Adult])</f>
        <v>0</v>
      </c>
      <c r="AJ819" s="378">
        <f>IF(NFI_Expiration=1,IF($A819&lt;VLOOKUP(S$5,NFI,5,0),1,0)*Table_NFI[[#This Row],[Winter Clothes Children]],Table_NFI[Winter Clothes Children])</f>
        <v>0</v>
      </c>
      <c r="AK819" s="378">
        <f>IF(NFI_Expiration=1,IF($A819&lt;VLOOKUP(T$5,NFI,5,0),1,0)*Table_NFI[[#This Row],[Winter Items Other]],Table_NFI[Winter Items Other])</f>
        <v>0</v>
      </c>
      <c r="AL819" s="378">
        <f>IF(NFI_Expiration=1,IF($A819&lt;VLOOKUP(M$5,NFI,5,0),1,0)*Table_NFI[[#This Row],[Winter Blanket]],Table_NFI[[#This Row],[Winter Blanket]])</f>
        <v>0</v>
      </c>
      <c r="AM819" s="378">
        <f>IF(Table_NFI[[#This Row],[Winter Clothes Adult]]+Table_NFI[[#This Row],[Winter Clothes Children]]+Table_NFI[[#This Row],[Winter Items Other]]+Table_NFI[[#This Row],[Winter Blanket]]&gt;0,1,0)</f>
        <v>1</v>
      </c>
      <c r="AN819" s="418">
        <f>IF(NFI_Expiration=1,IF($A819&lt;VLOOKUP(V$5,NFI,5,0),1,0)*Table_NFI[[#This Row],[Jerry Can]],Table_NFI[Jerry Can])</f>
        <v>0</v>
      </c>
      <c r="AO819" s="579" t="str">
        <f>IFERROR(VLOOKUP(Table_NFI[[#This Row],[Camp Name]],CL,2,0),"")</f>
        <v>MMR001CMP055</v>
      </c>
      <c r="AP819" s="574">
        <f ca="1">IF(Table_NFI[[#This Row],[Pcode]]="","",IF(OFFSET(CampList[Opening Date],MATCH(Table_NFI[[#This Row],[Pcode]],CampList[CP_Pcode],0)-1,0,1,1)&gt;=NFI_Monitor_Date,1,0))</f>
        <v>0</v>
      </c>
      <c r="AQ819" s="579" t="str">
        <f>IFERROR(VLOOKUP(Table_NFI[[#This Row],[Camp Name]],CL,3,0),"")</f>
        <v>Open</v>
      </c>
      <c r="AR819" s="378" t="str">
        <f ca="1">IF(Table_NFI[[#This Row],[Pcode]]="","",OFFSET(CampList[Priority],MATCH(Table_NFI[[#This Row],[Pcode]],CampList[CP_Pcode],0)-1,0,1,1))</f>
        <v>P4</v>
      </c>
      <c r="AS819" s="377">
        <f>IFERROR(Table_NFI[[#This Row],[Kitchen Set]]/VLOOKUP(Table_NFI[[#This Row],[Camp Name]],CL,4,0),"")</f>
        <v>0</v>
      </c>
      <c r="AT819" s="572" t="s">
        <v>1095</v>
      </c>
      <c r="AU819" s="575"/>
    </row>
    <row r="820" spans="1:47" x14ac:dyDescent="0.25">
      <c r="A820" s="381">
        <f t="shared" si="12"/>
        <v>30.466666666666665</v>
      </c>
      <c r="B820" s="571">
        <v>41608</v>
      </c>
      <c r="C820" s="572" t="s">
        <v>908</v>
      </c>
      <c r="D820" s="572"/>
      <c r="E820" s="572" t="s">
        <v>380</v>
      </c>
      <c r="F820" s="374" t="s">
        <v>5</v>
      </c>
      <c r="G820" s="374" t="s">
        <v>24</v>
      </c>
      <c r="H820" s="375"/>
      <c r="I820" s="375"/>
      <c r="J820" s="375"/>
      <c r="K820" s="375"/>
      <c r="L820" s="376"/>
      <c r="M820" s="376"/>
      <c r="N820" s="376"/>
      <c r="O820" s="376"/>
      <c r="P820" s="378"/>
      <c r="Q820" s="378"/>
      <c r="R820" s="378"/>
      <c r="S820" s="378"/>
      <c r="T820" s="378"/>
      <c r="U820" s="378"/>
      <c r="V820" s="533"/>
      <c r="W820" s="378"/>
      <c r="X820" s="378"/>
      <c r="Y820" s="378">
        <f>IF(NFI_Expiration=1,IF($A820&lt;VLOOKUP(H$5,NFI,5,0),1,0)*Table_NFI[[#This Row],[Hygiene Kit]],Table_NFI[Hygiene Kit])</f>
        <v>0</v>
      </c>
      <c r="Z820" s="378">
        <f>IF(NFI_Expiration=1,IF($A820&lt;VLOOKUP(I$5,NFI,5,0),1,0)*Table_NFI[[#This Row],[NFI Core Kit]],Table_NFI[NFI Core Kit])</f>
        <v>0</v>
      </c>
      <c r="AA820" s="378">
        <f>IF(NFI_Expiration=1,IF($A820&lt;VLOOKUP(J$5,NFI,5,0),1,0)*Table_NFI[[#This Row],[Sanitary Kit]],Table_NFI[Sanitary Kit])</f>
        <v>0</v>
      </c>
      <c r="AB820" s="378">
        <f>IF(NFI_Expiration=1,IF($A820&lt;VLOOKUP(K$5,NFI,5,0),1,0)*Table_NFI[[#This Row],[Mosquito net]],Table_NFI[Mosquito net])</f>
        <v>0</v>
      </c>
      <c r="AC820" s="378">
        <f>IF(NFI_Expiration=1,IF($A820&lt;VLOOKUP(L$5,NFI,5,0),1,0)*Table_NFI[[#This Row],[Tarpaulin]],Table_NFI[[#This Row],[Tarpaulin]])</f>
        <v>0</v>
      </c>
      <c r="AD820" s="378">
        <f>IF(NFI_Expiration=1,IF($A820&lt;VLOOKUP(M$5,NFI,5,0),1,0)*Table_NFI[[#This Row],[Blanket]],Table_NFI[[#This Row],[Blanket]])</f>
        <v>0</v>
      </c>
      <c r="AE820" s="378">
        <f>IF(NFI_Expiration=1,IF($A820&lt;VLOOKUP(N$5,NFI,5,0),1,0)*Table_NFI[[#This Row],[Kitchen Set]],Table_NFI[Kitchen Set])</f>
        <v>0</v>
      </c>
      <c r="AF820" s="378">
        <f>IF(NFI_Expiration=1,IF($A820&lt;VLOOKUP(O$5,NFI,5,0),1,0)*Table_NFI[[#This Row],[Clothes Kit]],Table_NFI[Clothes Kit])</f>
        <v>0</v>
      </c>
      <c r="AG820" s="378">
        <f>IF(NFI_Expiration=1,IF($A820&lt;VLOOKUP(P$5,NFI,5,0),1,0)*Table_NFI[[#This Row],[Plastic Bucket]],Table_NFI[Plastic Bucket])</f>
        <v>0</v>
      </c>
      <c r="AH820" s="378">
        <f>IF(NFI_Expiration=1,IF($A820&lt;VLOOKUP(Q$5,NFI,5,0),1,0)*Table_NFI[[#This Row],[Plastic Mat]],Table_NFI[Plastic Mat])*IF(Table_NFI[[#This Row],[Distribution Date]]&gt;"2014-04-01",1,2.5)</f>
        <v>0</v>
      </c>
      <c r="AI820" s="378">
        <f>IF(NFI_Expiration=1,IF($A820&lt;VLOOKUP(R$5,NFI,5,0),1,0)*Table_NFI[[#This Row],[Winter Clothes Adult]],Table_NFI[Winter Clothes Adult])</f>
        <v>0</v>
      </c>
      <c r="AJ820" s="378">
        <f>IF(NFI_Expiration=1,IF($A820&lt;VLOOKUP(S$5,NFI,5,0),1,0)*Table_NFI[[#This Row],[Winter Clothes Children]],Table_NFI[Winter Clothes Children])</f>
        <v>0</v>
      </c>
      <c r="AK820" s="378">
        <f>IF(NFI_Expiration=1,IF($A820&lt;VLOOKUP(T$5,NFI,5,0),1,0)*Table_NFI[[#This Row],[Winter Items Other]],Table_NFI[Winter Items Other])</f>
        <v>0</v>
      </c>
      <c r="AL820" s="378">
        <f>IF(NFI_Expiration=1,IF($A820&lt;VLOOKUP(M$5,NFI,5,0),1,0)*Table_NFI[[#This Row],[Winter Blanket]],Table_NFI[[#This Row],[Winter Blanket]])</f>
        <v>0</v>
      </c>
      <c r="AM820" s="378">
        <f>IF(Table_NFI[[#This Row],[Winter Clothes Adult]]+Table_NFI[[#This Row],[Winter Clothes Children]]+Table_NFI[[#This Row],[Winter Items Other]]+Table_NFI[[#This Row],[Winter Blanket]]&gt;0,1,0)</f>
        <v>0</v>
      </c>
      <c r="AN820" s="418">
        <f>IF(NFI_Expiration=1,IF($A820&lt;VLOOKUP(V$5,NFI,5,0),1,0)*Table_NFI[[#This Row],[Jerry Can]],Table_NFI[Jerry Can])</f>
        <v>0</v>
      </c>
      <c r="AO820" s="579" t="str">
        <f>IFERROR(VLOOKUP(Table_NFI[[#This Row],[Camp Name]],CL,2,0),"")</f>
        <v>MMR001CMP055</v>
      </c>
      <c r="AP820" s="574">
        <f ca="1">IF(Table_NFI[[#This Row],[Pcode]]="","",IF(OFFSET(CampList[Opening Date],MATCH(Table_NFI[[#This Row],[Pcode]],CampList[CP_Pcode],0)-1,0,1,1)&gt;=NFI_Monitor_Date,1,0))</f>
        <v>0</v>
      </c>
      <c r="AQ820" s="579" t="str">
        <f>IFERROR(VLOOKUP(Table_NFI[[#This Row],[Camp Name]],CL,3,0),"")</f>
        <v>Open</v>
      </c>
      <c r="AR820" s="378" t="str">
        <f ca="1">IF(Table_NFI[[#This Row],[Pcode]]="","",OFFSET(CampList[Priority],MATCH(Table_NFI[[#This Row],[Pcode]],CampList[CP_Pcode],0)-1,0,1,1))</f>
        <v>P4</v>
      </c>
      <c r="AS820" s="377">
        <f>IFERROR(Table_NFI[[#This Row],[Kitchen Set]]/VLOOKUP(Table_NFI[[#This Row],[Camp Name]],CL,4,0),"")</f>
        <v>0</v>
      </c>
      <c r="AT820" s="572" t="s">
        <v>1095</v>
      </c>
      <c r="AU820" s="575"/>
    </row>
    <row r="821" spans="1:47" x14ac:dyDescent="0.25">
      <c r="A821" s="381">
        <f t="shared" si="12"/>
        <v>31.233333333333334</v>
      </c>
      <c r="B821" s="571">
        <v>41585</v>
      </c>
      <c r="C821" s="572" t="s">
        <v>908</v>
      </c>
      <c r="D821" s="572" t="s">
        <v>908</v>
      </c>
      <c r="E821" s="572" t="s">
        <v>380</v>
      </c>
      <c r="F821" s="572" t="s">
        <v>5</v>
      </c>
      <c r="G821" s="572" t="s">
        <v>24</v>
      </c>
      <c r="H821" s="375"/>
      <c r="I821" s="375"/>
      <c r="J821" s="375"/>
      <c r="K821" s="375"/>
      <c r="L821" s="376"/>
      <c r="M821" s="376"/>
      <c r="N821" s="376"/>
      <c r="O821" s="376"/>
      <c r="P821" s="378"/>
      <c r="Q821" s="378"/>
      <c r="R821" s="378">
        <v>64</v>
      </c>
      <c r="S821" s="378">
        <v>118</v>
      </c>
      <c r="T821" s="378">
        <v>364</v>
      </c>
      <c r="U821" s="378">
        <v>182</v>
      </c>
      <c r="V821" s="533"/>
      <c r="W821" s="378"/>
      <c r="X821" s="378"/>
      <c r="Y821" s="378">
        <f>IF(NFI_Expiration=1,IF($A821&lt;VLOOKUP(H$5,NFI,5,0),1,0)*Table_NFI[[#This Row],[Hygiene Kit]],Table_NFI[Hygiene Kit])</f>
        <v>0</v>
      </c>
      <c r="Z821" s="378">
        <f>IF(NFI_Expiration=1,IF($A821&lt;VLOOKUP(I$5,NFI,5,0),1,0)*Table_NFI[[#This Row],[NFI Core Kit]],Table_NFI[NFI Core Kit])</f>
        <v>0</v>
      </c>
      <c r="AA821" s="378">
        <f>IF(NFI_Expiration=1,IF($A821&lt;VLOOKUP(J$5,NFI,5,0),1,0)*Table_NFI[[#This Row],[Sanitary Kit]],Table_NFI[Sanitary Kit])</f>
        <v>0</v>
      </c>
      <c r="AB821" s="378">
        <f>IF(NFI_Expiration=1,IF($A821&lt;VLOOKUP(K$5,NFI,5,0),1,0)*Table_NFI[[#This Row],[Mosquito net]],Table_NFI[Mosquito net])</f>
        <v>0</v>
      </c>
      <c r="AC821" s="378">
        <f>IF(NFI_Expiration=1,IF($A821&lt;VLOOKUP(L$5,NFI,5,0),1,0)*Table_NFI[[#This Row],[Tarpaulin]],Table_NFI[[#This Row],[Tarpaulin]])</f>
        <v>0</v>
      </c>
      <c r="AD821" s="378">
        <f>IF(NFI_Expiration=1,IF($A821&lt;VLOOKUP(M$5,NFI,5,0),1,0)*Table_NFI[[#This Row],[Blanket]],Table_NFI[[#This Row],[Blanket]])</f>
        <v>0</v>
      </c>
      <c r="AE821" s="378">
        <f>IF(NFI_Expiration=1,IF($A821&lt;VLOOKUP(N$5,NFI,5,0),1,0)*Table_NFI[[#This Row],[Kitchen Set]],Table_NFI[Kitchen Set])</f>
        <v>0</v>
      </c>
      <c r="AF821" s="378">
        <f>IF(NFI_Expiration=1,IF($A821&lt;VLOOKUP(O$5,NFI,5,0),1,0)*Table_NFI[[#This Row],[Clothes Kit]],Table_NFI[Clothes Kit])</f>
        <v>0</v>
      </c>
      <c r="AG821" s="378">
        <f>IF(NFI_Expiration=1,IF($A821&lt;VLOOKUP(P$5,NFI,5,0),1,0)*Table_NFI[[#This Row],[Plastic Bucket]],Table_NFI[Plastic Bucket])</f>
        <v>0</v>
      </c>
      <c r="AH821" s="378">
        <f>IF(NFI_Expiration=1,IF($A821&lt;VLOOKUP(Q$5,NFI,5,0),1,0)*Table_NFI[[#This Row],[Plastic Mat]],Table_NFI[Plastic Mat])*IF(Table_NFI[[#This Row],[Distribution Date]]&gt;"2014-04-01",1,2.5)</f>
        <v>0</v>
      </c>
      <c r="AI821" s="378">
        <f>IF(NFI_Expiration=1,IF($A821&lt;VLOOKUP(R$5,NFI,5,0),1,0)*Table_NFI[[#This Row],[Winter Clothes Adult]],Table_NFI[Winter Clothes Adult])</f>
        <v>0</v>
      </c>
      <c r="AJ821" s="378">
        <f>IF(NFI_Expiration=1,IF($A821&lt;VLOOKUP(S$5,NFI,5,0),1,0)*Table_NFI[[#This Row],[Winter Clothes Children]],Table_NFI[Winter Clothes Children])</f>
        <v>0</v>
      </c>
      <c r="AK821" s="378">
        <f>IF(NFI_Expiration=1,IF($A821&lt;VLOOKUP(T$5,NFI,5,0),1,0)*Table_NFI[[#This Row],[Winter Items Other]],Table_NFI[Winter Items Other])</f>
        <v>0</v>
      </c>
      <c r="AL821" s="378">
        <f>IF(NFI_Expiration=1,IF($A821&lt;VLOOKUP(M$5,NFI,5,0),1,0)*Table_NFI[[#This Row],[Winter Blanket]],Table_NFI[[#This Row],[Winter Blanket]])</f>
        <v>0</v>
      </c>
      <c r="AM821" s="378">
        <f>IF(Table_NFI[[#This Row],[Winter Clothes Adult]]+Table_NFI[[#This Row],[Winter Clothes Children]]+Table_NFI[[#This Row],[Winter Items Other]]+Table_NFI[[#This Row],[Winter Blanket]]&gt;0,1,0)</f>
        <v>1</v>
      </c>
      <c r="AN821" s="418">
        <f>IF(NFI_Expiration=1,IF($A821&lt;VLOOKUP(V$5,NFI,5,0),1,0)*Table_NFI[[#This Row],[Jerry Can]],Table_NFI[Jerry Can])</f>
        <v>0</v>
      </c>
      <c r="AO821" s="579" t="str">
        <f>IFERROR(VLOOKUP(Table_NFI[[#This Row],[Camp Name]],CL,2,0),"")</f>
        <v>MMR001CMP055</v>
      </c>
      <c r="AP821" s="574">
        <f ca="1">IF(Table_NFI[[#This Row],[Pcode]]="","",IF(OFFSET(CampList[Opening Date],MATCH(Table_NFI[[#This Row],[Pcode]],CampList[CP_Pcode],0)-1,0,1,1)&gt;=NFI_Monitor_Date,1,0))</f>
        <v>0</v>
      </c>
      <c r="AQ821" s="579" t="str">
        <f>IFERROR(VLOOKUP(Table_NFI[[#This Row],[Camp Name]],CL,3,0),"")</f>
        <v>Open</v>
      </c>
      <c r="AR821" s="378" t="str">
        <f ca="1">IF(Table_NFI[[#This Row],[Pcode]]="","",OFFSET(CampList[Priority],MATCH(Table_NFI[[#This Row],[Pcode]],CampList[CP_Pcode],0)-1,0,1,1))</f>
        <v>P4</v>
      </c>
      <c r="AS821" s="377">
        <f>IFERROR(Table_NFI[[#This Row],[Kitchen Set]]/VLOOKUP(Table_NFI[[#This Row],[Camp Name]],CL,4,0),"")</f>
        <v>0</v>
      </c>
      <c r="AT821" s="572"/>
      <c r="AU821" s="575"/>
    </row>
    <row r="822" spans="1:47" x14ac:dyDescent="0.25">
      <c r="A822" s="381">
        <f t="shared" si="12"/>
        <v>47.56666666666667</v>
      </c>
      <c r="B822" s="571">
        <v>41095</v>
      </c>
      <c r="C822" s="572" t="s">
        <v>454</v>
      </c>
      <c r="D822" s="572" t="s">
        <v>454</v>
      </c>
      <c r="E822" s="572" t="s">
        <v>380</v>
      </c>
      <c r="F822" s="374" t="s">
        <v>5</v>
      </c>
      <c r="G822" s="374" t="s">
        <v>24</v>
      </c>
      <c r="H822" s="375"/>
      <c r="I822" s="375"/>
      <c r="J822" s="375"/>
      <c r="K822" s="375">
        <v>36</v>
      </c>
      <c r="L822" s="376">
        <v>14</v>
      </c>
      <c r="M822" s="376">
        <v>36</v>
      </c>
      <c r="N822" s="376">
        <v>14</v>
      </c>
      <c r="O822" s="376">
        <v>14</v>
      </c>
      <c r="P822" s="378">
        <v>14</v>
      </c>
      <c r="Q822" s="378">
        <v>14</v>
      </c>
      <c r="R822" s="378"/>
      <c r="S822" s="378"/>
      <c r="T822" s="378"/>
      <c r="U822" s="378"/>
      <c r="V822" s="533"/>
      <c r="W822" s="378"/>
      <c r="X822" s="378"/>
      <c r="Y822" s="378">
        <f>IF(NFI_Expiration=1,IF($A822&lt;VLOOKUP(H$5,NFI,5,0),1,0)*Table_NFI[[#This Row],[Hygiene Kit]],Table_NFI[Hygiene Kit])</f>
        <v>0</v>
      </c>
      <c r="Z822" s="378">
        <f>IF(NFI_Expiration=1,IF($A822&lt;VLOOKUP(I$5,NFI,5,0),1,0)*Table_NFI[[#This Row],[NFI Core Kit]],Table_NFI[NFI Core Kit])</f>
        <v>0</v>
      </c>
      <c r="AA822" s="378">
        <f>IF(NFI_Expiration=1,IF($A822&lt;VLOOKUP(J$5,NFI,5,0),1,0)*Table_NFI[[#This Row],[Sanitary Kit]],Table_NFI[Sanitary Kit])</f>
        <v>0</v>
      </c>
      <c r="AB822" s="378">
        <f>IF(NFI_Expiration=1,IF($A822&lt;VLOOKUP(K$5,NFI,5,0),1,0)*Table_NFI[[#This Row],[Mosquito net]],Table_NFI[Mosquito net])</f>
        <v>0</v>
      </c>
      <c r="AC822" s="378">
        <f>IF(NFI_Expiration=1,IF($A822&lt;VLOOKUP(L$5,NFI,5,0),1,0)*Table_NFI[[#This Row],[Tarpaulin]],Table_NFI[[#This Row],[Tarpaulin]])</f>
        <v>0</v>
      </c>
      <c r="AD822" s="378">
        <f>IF(NFI_Expiration=1,IF($A822&lt;VLOOKUP(M$5,NFI,5,0),1,0)*Table_NFI[[#This Row],[Blanket]],Table_NFI[[#This Row],[Blanket]])</f>
        <v>0</v>
      </c>
      <c r="AE822" s="378">
        <f>IF(NFI_Expiration=1,IF($A822&lt;VLOOKUP(N$5,NFI,5,0),1,0)*Table_NFI[[#This Row],[Kitchen Set]],Table_NFI[Kitchen Set])</f>
        <v>0</v>
      </c>
      <c r="AF822" s="378">
        <f>IF(NFI_Expiration=1,IF($A822&lt;VLOOKUP(O$5,NFI,5,0),1,0)*Table_NFI[[#This Row],[Clothes Kit]],Table_NFI[Clothes Kit])</f>
        <v>0</v>
      </c>
      <c r="AG822" s="378">
        <f>IF(NFI_Expiration=1,IF($A822&lt;VLOOKUP(P$5,NFI,5,0),1,0)*Table_NFI[[#This Row],[Plastic Bucket]],Table_NFI[Plastic Bucket])</f>
        <v>0</v>
      </c>
      <c r="AH822" s="378">
        <f>IF(NFI_Expiration=1,IF($A822&lt;VLOOKUP(Q$5,NFI,5,0),1,0)*Table_NFI[[#This Row],[Plastic Mat]],Table_NFI[Plastic Mat])*IF(Table_NFI[[#This Row],[Distribution Date]]&gt;"2014-04-01",1,2.5)</f>
        <v>0</v>
      </c>
      <c r="AI822" s="378">
        <f>IF(NFI_Expiration=1,IF($A822&lt;VLOOKUP(R$5,NFI,5,0),1,0)*Table_NFI[[#This Row],[Winter Clothes Adult]],Table_NFI[Winter Clothes Adult])</f>
        <v>0</v>
      </c>
      <c r="AJ822" s="378">
        <f>IF(NFI_Expiration=1,IF($A822&lt;VLOOKUP(S$5,NFI,5,0),1,0)*Table_NFI[[#This Row],[Winter Clothes Children]],Table_NFI[Winter Clothes Children])</f>
        <v>0</v>
      </c>
      <c r="AK822" s="378">
        <f>IF(NFI_Expiration=1,IF($A822&lt;VLOOKUP(T$5,NFI,5,0),1,0)*Table_NFI[[#This Row],[Winter Items Other]],Table_NFI[Winter Items Other])</f>
        <v>0</v>
      </c>
      <c r="AL822" s="378">
        <f>IF(NFI_Expiration=1,IF($A822&lt;VLOOKUP(M$5,NFI,5,0),1,0)*Table_NFI[[#This Row],[Winter Blanket]],Table_NFI[[#This Row],[Winter Blanket]])</f>
        <v>0</v>
      </c>
      <c r="AM822" s="378">
        <f>IF(Table_NFI[[#This Row],[Winter Clothes Adult]]+Table_NFI[[#This Row],[Winter Clothes Children]]+Table_NFI[[#This Row],[Winter Items Other]]+Table_NFI[[#This Row],[Winter Blanket]]&gt;0,1,0)</f>
        <v>0</v>
      </c>
      <c r="AN822" s="418">
        <f>IF(NFI_Expiration=1,IF($A822&lt;VLOOKUP(V$5,NFI,5,0),1,0)*Table_NFI[[#This Row],[Jerry Can]],Table_NFI[Jerry Can])</f>
        <v>0</v>
      </c>
      <c r="AO822" s="579" t="str">
        <f>IFERROR(VLOOKUP(Table_NFI[[#This Row],[Camp Name]],CL,2,0),"")</f>
        <v>MMR001CMP055</v>
      </c>
      <c r="AP822" s="574">
        <f ca="1">IF(Table_NFI[[#This Row],[Pcode]]="","",IF(OFFSET(CampList[Opening Date],MATCH(Table_NFI[[#This Row],[Pcode]],CampList[CP_Pcode],0)-1,0,1,1)&gt;=NFI_Monitor_Date,1,0))</f>
        <v>0</v>
      </c>
      <c r="AQ822" s="579" t="str">
        <f>IFERROR(VLOOKUP(Table_NFI[[#This Row],[Camp Name]],CL,3,0),"")</f>
        <v>Open</v>
      </c>
      <c r="AR822" s="378" t="str">
        <f ca="1">IF(Table_NFI[[#This Row],[Pcode]]="","",OFFSET(CampList[Priority],MATCH(Table_NFI[[#This Row],[Pcode]],CampList[CP_Pcode],0)-1,0,1,1))</f>
        <v>P4</v>
      </c>
      <c r="AS822" s="377">
        <f>IFERROR(Table_NFI[[#This Row],[Kitchen Set]]/VLOOKUP(Table_NFI[[#This Row],[Camp Name]],CL,4,0),"")</f>
        <v>0.66666666666666663</v>
      </c>
      <c r="AT822" s="572" t="s">
        <v>1095</v>
      </c>
      <c r="AU822" s="575"/>
    </row>
    <row r="823" spans="1:47" x14ac:dyDescent="0.25">
      <c r="A823" s="381">
        <f t="shared" si="12"/>
        <v>24.5</v>
      </c>
      <c r="B823" s="571">
        <v>41787</v>
      </c>
      <c r="C823" s="572" t="s">
        <v>1107</v>
      </c>
      <c r="D823" s="572" t="s">
        <v>903</v>
      </c>
      <c r="E823" s="572" t="s">
        <v>380</v>
      </c>
      <c r="F823" s="572" t="s">
        <v>237</v>
      </c>
      <c r="G823" s="572" t="s">
        <v>238</v>
      </c>
      <c r="H823" s="375"/>
      <c r="I823" s="375"/>
      <c r="J823" s="375"/>
      <c r="K823" s="375"/>
      <c r="L823" s="376"/>
      <c r="M823" s="376"/>
      <c r="N823" s="376"/>
      <c r="O823" s="376"/>
      <c r="P823" s="378"/>
      <c r="Q823" s="378"/>
      <c r="R823" s="378"/>
      <c r="S823" s="378"/>
      <c r="T823" s="378"/>
      <c r="U823" s="378">
        <v>120</v>
      </c>
      <c r="V823" s="533"/>
      <c r="W823" s="378"/>
      <c r="X823" s="378"/>
      <c r="Y823" s="378">
        <f>IF(NFI_Expiration=1,IF($A823&lt;VLOOKUP(H$5,NFI,5,0),1,0)*Table_NFI[[#This Row],[Hygiene Kit]],Table_NFI[Hygiene Kit])</f>
        <v>0</v>
      </c>
      <c r="Z823" s="378">
        <f>IF(NFI_Expiration=1,IF($A823&lt;VLOOKUP(I$5,NFI,5,0),1,0)*Table_NFI[[#This Row],[NFI Core Kit]],Table_NFI[NFI Core Kit])</f>
        <v>0</v>
      </c>
      <c r="AA823" s="378">
        <f>IF(NFI_Expiration=1,IF($A823&lt;VLOOKUP(J$5,NFI,5,0),1,0)*Table_NFI[[#This Row],[Sanitary Kit]],Table_NFI[Sanitary Kit])</f>
        <v>0</v>
      </c>
      <c r="AB823" s="378">
        <f>IF(NFI_Expiration=1,IF($A823&lt;VLOOKUP(K$5,NFI,5,0),1,0)*Table_NFI[[#This Row],[Mosquito net]],Table_NFI[Mosquito net])</f>
        <v>0</v>
      </c>
      <c r="AC823" s="378">
        <f>IF(NFI_Expiration=1,IF($A823&lt;VLOOKUP(L$5,NFI,5,0),1,0)*Table_NFI[[#This Row],[Tarpaulin]],Table_NFI[[#This Row],[Tarpaulin]])</f>
        <v>0</v>
      </c>
      <c r="AD823" s="378">
        <f>IF(NFI_Expiration=1,IF($A823&lt;VLOOKUP(M$5,NFI,5,0),1,0)*Table_NFI[[#This Row],[Blanket]],Table_NFI[[#This Row],[Blanket]])</f>
        <v>0</v>
      </c>
      <c r="AE823" s="378">
        <f>IF(NFI_Expiration=1,IF($A823&lt;VLOOKUP(N$5,NFI,5,0),1,0)*Table_NFI[[#This Row],[Kitchen Set]],Table_NFI[Kitchen Set])</f>
        <v>0</v>
      </c>
      <c r="AF823" s="378">
        <f>IF(NFI_Expiration=1,IF($A823&lt;VLOOKUP(O$5,NFI,5,0),1,0)*Table_NFI[[#This Row],[Clothes Kit]],Table_NFI[Clothes Kit])</f>
        <v>0</v>
      </c>
      <c r="AG823" s="378">
        <f>IF(NFI_Expiration=1,IF($A823&lt;VLOOKUP(P$5,NFI,5,0),1,0)*Table_NFI[[#This Row],[Plastic Bucket]],Table_NFI[Plastic Bucket])</f>
        <v>0</v>
      </c>
      <c r="AH823" s="378">
        <f>IF(NFI_Expiration=1,IF($A823&lt;VLOOKUP(Q$5,NFI,5,0),1,0)*Table_NFI[[#This Row],[Plastic Mat]],Table_NFI[Plastic Mat])*IF(Table_NFI[[#This Row],[Distribution Date]]&gt;"2014-04-01",1,2.5)</f>
        <v>0</v>
      </c>
      <c r="AI823" s="378">
        <f>IF(NFI_Expiration=1,IF($A823&lt;VLOOKUP(R$5,NFI,5,0),1,0)*Table_NFI[[#This Row],[Winter Clothes Adult]],Table_NFI[Winter Clothes Adult])</f>
        <v>0</v>
      </c>
      <c r="AJ823" s="378">
        <f>IF(NFI_Expiration=1,IF($A823&lt;VLOOKUP(S$5,NFI,5,0),1,0)*Table_NFI[[#This Row],[Winter Clothes Children]],Table_NFI[Winter Clothes Children])</f>
        <v>0</v>
      </c>
      <c r="AK823" s="378">
        <f>IF(NFI_Expiration=1,IF($A823&lt;VLOOKUP(T$5,NFI,5,0),1,0)*Table_NFI[[#This Row],[Winter Items Other]],Table_NFI[Winter Items Other])</f>
        <v>0</v>
      </c>
      <c r="AL823" s="378">
        <f>IF(NFI_Expiration=1,IF($A823&lt;VLOOKUP(M$5,NFI,5,0),1,0)*Table_NFI[[#This Row],[Winter Blanket]],Table_NFI[[#This Row],[Winter Blanket]])</f>
        <v>0</v>
      </c>
      <c r="AM823" s="378">
        <f>IF(Table_NFI[[#This Row],[Winter Clothes Adult]]+Table_NFI[[#This Row],[Winter Clothes Children]]+Table_NFI[[#This Row],[Winter Items Other]]+Table_NFI[[#This Row],[Winter Blanket]]&gt;0,1,0)</f>
        <v>1</v>
      </c>
      <c r="AN823" s="418">
        <f>IF(NFI_Expiration=1,IF($A823&lt;VLOOKUP(V$5,NFI,5,0),1,0)*Table_NFI[[#This Row],[Jerry Can]],Table_NFI[Jerry Can])</f>
        <v>0</v>
      </c>
      <c r="AO823" s="579" t="str">
        <f>IFERROR(VLOOKUP(Table_NFI[[#This Row],[Camp Name]],CL,2,0),"")</f>
        <v>MMR001CMP001</v>
      </c>
      <c r="AP823" s="574">
        <f ca="1">IF(Table_NFI[[#This Row],[Pcode]]="","",IF(OFFSET(CampList[Opening Date],MATCH(Table_NFI[[#This Row],[Pcode]],CampList[CP_Pcode],0)-1,0,1,1)&gt;=NFI_Monitor_Date,1,0))</f>
        <v>0</v>
      </c>
      <c r="AQ823" s="579" t="str">
        <f>IFERROR(VLOOKUP(Table_NFI[[#This Row],[Camp Name]],CL,3,0),"")</f>
        <v>Open</v>
      </c>
      <c r="AR823" s="378" t="str">
        <f ca="1">IF(Table_NFI[[#This Row],[Pcode]]="","",OFFSET(CampList[Priority],MATCH(Table_NFI[[#This Row],[Pcode]],CampList[CP_Pcode],0)-1,0,1,1))</f>
        <v>P4</v>
      </c>
      <c r="AS823" s="377">
        <f>IFERROR(Table_NFI[[#This Row],[Kitchen Set]]/VLOOKUP(Table_NFI[[#This Row],[Camp Name]],CL,4,0),"")</f>
        <v>0</v>
      </c>
      <c r="AT823" s="572"/>
      <c r="AU823" s="575"/>
    </row>
    <row r="824" spans="1:47" x14ac:dyDescent="0.25">
      <c r="A824" s="381">
        <f t="shared" si="12"/>
        <v>49</v>
      </c>
      <c r="B824" s="571">
        <v>41052</v>
      </c>
      <c r="C824" s="572" t="s">
        <v>454</v>
      </c>
      <c r="D824" s="573" t="s">
        <v>454</v>
      </c>
      <c r="E824" s="572" t="s">
        <v>380</v>
      </c>
      <c r="F824" s="374" t="s">
        <v>237</v>
      </c>
      <c r="G824" s="374" t="s">
        <v>238</v>
      </c>
      <c r="H824" s="375"/>
      <c r="I824" s="375"/>
      <c r="J824" s="375"/>
      <c r="K824" s="375">
        <v>54</v>
      </c>
      <c r="L824" s="376">
        <v>29</v>
      </c>
      <c r="M824" s="376">
        <v>54</v>
      </c>
      <c r="N824" s="376">
        <v>29</v>
      </c>
      <c r="O824" s="376">
        <v>29</v>
      </c>
      <c r="P824" s="378">
        <v>29</v>
      </c>
      <c r="Q824" s="378">
        <v>29</v>
      </c>
      <c r="R824" s="378"/>
      <c r="S824" s="378"/>
      <c r="T824" s="378"/>
      <c r="U824" s="378"/>
      <c r="V824" s="533"/>
      <c r="W824" s="378"/>
      <c r="X824" s="378"/>
      <c r="Y824" s="378">
        <f>IF(NFI_Expiration=1,IF($A824&lt;VLOOKUP(H$5,NFI,5,0),1,0)*Table_NFI[[#This Row],[Hygiene Kit]],Table_NFI[Hygiene Kit])</f>
        <v>0</v>
      </c>
      <c r="Z824" s="378">
        <f>IF(NFI_Expiration=1,IF($A824&lt;VLOOKUP(I$5,NFI,5,0),1,0)*Table_NFI[[#This Row],[NFI Core Kit]],Table_NFI[NFI Core Kit])</f>
        <v>0</v>
      </c>
      <c r="AA824" s="378">
        <f>IF(NFI_Expiration=1,IF($A824&lt;VLOOKUP(J$5,NFI,5,0),1,0)*Table_NFI[[#This Row],[Sanitary Kit]],Table_NFI[Sanitary Kit])</f>
        <v>0</v>
      </c>
      <c r="AB824" s="378">
        <f>IF(NFI_Expiration=1,IF($A824&lt;VLOOKUP(K$5,NFI,5,0),1,0)*Table_NFI[[#This Row],[Mosquito net]],Table_NFI[Mosquito net])</f>
        <v>0</v>
      </c>
      <c r="AC824" s="378">
        <f>IF(NFI_Expiration=1,IF($A824&lt;VLOOKUP(L$5,NFI,5,0),1,0)*Table_NFI[[#This Row],[Tarpaulin]],Table_NFI[[#This Row],[Tarpaulin]])</f>
        <v>0</v>
      </c>
      <c r="AD824" s="378">
        <f>IF(NFI_Expiration=1,IF($A824&lt;VLOOKUP(M$5,NFI,5,0),1,0)*Table_NFI[[#This Row],[Blanket]],Table_NFI[[#This Row],[Blanket]])</f>
        <v>0</v>
      </c>
      <c r="AE824" s="378">
        <f>IF(NFI_Expiration=1,IF($A824&lt;VLOOKUP(N$5,NFI,5,0),1,0)*Table_NFI[[#This Row],[Kitchen Set]],Table_NFI[Kitchen Set])</f>
        <v>0</v>
      </c>
      <c r="AF824" s="378">
        <f>IF(NFI_Expiration=1,IF($A824&lt;VLOOKUP(O$5,NFI,5,0),1,0)*Table_NFI[[#This Row],[Clothes Kit]],Table_NFI[Clothes Kit])</f>
        <v>0</v>
      </c>
      <c r="AG824" s="378">
        <f>IF(NFI_Expiration=1,IF($A824&lt;VLOOKUP(P$5,NFI,5,0),1,0)*Table_NFI[[#This Row],[Plastic Bucket]],Table_NFI[Plastic Bucket])</f>
        <v>0</v>
      </c>
      <c r="AH824" s="378">
        <f>IF(NFI_Expiration=1,IF($A824&lt;VLOOKUP(Q$5,NFI,5,0),1,0)*Table_NFI[[#This Row],[Plastic Mat]],Table_NFI[Plastic Mat])*IF(Table_NFI[[#This Row],[Distribution Date]]&gt;"2014-04-01",1,2.5)</f>
        <v>0</v>
      </c>
      <c r="AI824" s="378">
        <f>IF(NFI_Expiration=1,IF($A824&lt;VLOOKUP(R$5,NFI,5,0),1,0)*Table_NFI[[#This Row],[Winter Clothes Adult]],Table_NFI[Winter Clothes Adult])</f>
        <v>0</v>
      </c>
      <c r="AJ824" s="378">
        <f>IF(NFI_Expiration=1,IF($A824&lt;VLOOKUP(S$5,NFI,5,0),1,0)*Table_NFI[[#This Row],[Winter Clothes Children]],Table_NFI[Winter Clothes Children])</f>
        <v>0</v>
      </c>
      <c r="AK824" s="378">
        <f>IF(NFI_Expiration=1,IF($A824&lt;VLOOKUP(T$5,NFI,5,0),1,0)*Table_NFI[[#This Row],[Winter Items Other]],Table_NFI[Winter Items Other])</f>
        <v>0</v>
      </c>
      <c r="AL824" s="378">
        <f>IF(NFI_Expiration=1,IF($A824&lt;VLOOKUP(M$5,NFI,5,0),1,0)*Table_NFI[[#This Row],[Winter Blanket]],Table_NFI[[#This Row],[Winter Blanket]])</f>
        <v>0</v>
      </c>
      <c r="AM824" s="378">
        <f>IF(Table_NFI[[#This Row],[Winter Clothes Adult]]+Table_NFI[[#This Row],[Winter Clothes Children]]+Table_NFI[[#This Row],[Winter Items Other]]+Table_NFI[[#This Row],[Winter Blanket]]&gt;0,1,0)</f>
        <v>0</v>
      </c>
      <c r="AN824" s="418">
        <f>IF(NFI_Expiration=1,IF($A824&lt;VLOOKUP(V$5,NFI,5,0),1,0)*Table_NFI[[#This Row],[Jerry Can]],Table_NFI[Jerry Can])</f>
        <v>0</v>
      </c>
      <c r="AO824" s="579" t="str">
        <f>IFERROR(VLOOKUP(Table_NFI[[#This Row],[Camp Name]],CL,2,0),"")</f>
        <v>MMR001CMP001</v>
      </c>
      <c r="AP824" s="574">
        <f ca="1">IF(Table_NFI[[#This Row],[Pcode]]="","",IF(OFFSET(CampList[Opening Date],MATCH(Table_NFI[[#This Row],[Pcode]],CampList[CP_Pcode],0)-1,0,1,1)&gt;=NFI_Monitor_Date,1,0))</f>
        <v>0</v>
      </c>
      <c r="AQ824" s="579" t="str">
        <f>IFERROR(VLOOKUP(Table_NFI[[#This Row],[Camp Name]],CL,3,0),"")</f>
        <v>Open</v>
      </c>
      <c r="AR824" s="378" t="str">
        <f ca="1">IF(Table_NFI[[#This Row],[Pcode]]="","",OFFSET(CampList[Priority],MATCH(Table_NFI[[#This Row],[Pcode]],CampList[CP_Pcode],0)-1,0,1,1))</f>
        <v>P4</v>
      </c>
      <c r="AS824" s="377">
        <f>IFERROR(Table_NFI[[#This Row],[Kitchen Set]]/VLOOKUP(Table_NFI[[#This Row],[Camp Name]],CL,4,0),"")</f>
        <v>0.43283582089552236</v>
      </c>
      <c r="AT824" s="572" t="s">
        <v>1095</v>
      </c>
      <c r="AU824" s="575"/>
    </row>
    <row r="825" spans="1:47" x14ac:dyDescent="0.25">
      <c r="A825" s="381">
        <f t="shared" si="12"/>
        <v>55.733333333333334</v>
      </c>
      <c r="B825" s="571">
        <v>40850</v>
      </c>
      <c r="C825" s="572" t="s">
        <v>454</v>
      </c>
      <c r="D825" s="573" t="s">
        <v>462</v>
      </c>
      <c r="E825" s="572" t="s">
        <v>380</v>
      </c>
      <c r="F825" s="374" t="s">
        <v>237</v>
      </c>
      <c r="G825" s="374" t="s">
        <v>238</v>
      </c>
      <c r="H825" s="375"/>
      <c r="I825" s="375"/>
      <c r="J825" s="375"/>
      <c r="K825" s="375">
        <v>73</v>
      </c>
      <c r="L825" s="376">
        <v>34</v>
      </c>
      <c r="M825" s="376">
        <v>73</v>
      </c>
      <c r="N825" s="376">
        <v>34</v>
      </c>
      <c r="O825" s="376">
        <v>34</v>
      </c>
      <c r="P825" s="378">
        <v>34</v>
      </c>
      <c r="Q825" s="378">
        <v>34</v>
      </c>
      <c r="R825" s="378"/>
      <c r="S825" s="378"/>
      <c r="T825" s="378"/>
      <c r="U825" s="378"/>
      <c r="V825" s="533"/>
      <c r="W825" s="378"/>
      <c r="X825" s="378"/>
      <c r="Y825" s="378">
        <f>IF(NFI_Expiration=1,IF($A825&lt;VLOOKUP(H$5,NFI,5,0),1,0)*Table_NFI[[#This Row],[Hygiene Kit]],Table_NFI[Hygiene Kit])</f>
        <v>0</v>
      </c>
      <c r="Z825" s="378">
        <f>IF(NFI_Expiration=1,IF($A825&lt;VLOOKUP(I$5,NFI,5,0),1,0)*Table_NFI[[#This Row],[NFI Core Kit]],Table_NFI[NFI Core Kit])</f>
        <v>0</v>
      </c>
      <c r="AA825" s="378">
        <f>IF(NFI_Expiration=1,IF($A825&lt;VLOOKUP(J$5,NFI,5,0),1,0)*Table_NFI[[#This Row],[Sanitary Kit]],Table_NFI[Sanitary Kit])</f>
        <v>0</v>
      </c>
      <c r="AB825" s="378">
        <f>IF(NFI_Expiration=1,IF($A825&lt;VLOOKUP(K$5,NFI,5,0),1,0)*Table_NFI[[#This Row],[Mosquito net]],Table_NFI[Mosquito net])</f>
        <v>0</v>
      </c>
      <c r="AC825" s="378">
        <f>IF(NFI_Expiration=1,IF($A825&lt;VLOOKUP(L$5,NFI,5,0),1,0)*Table_NFI[[#This Row],[Tarpaulin]],Table_NFI[[#This Row],[Tarpaulin]])</f>
        <v>0</v>
      </c>
      <c r="AD825" s="378">
        <f>IF(NFI_Expiration=1,IF($A825&lt;VLOOKUP(M$5,NFI,5,0),1,0)*Table_NFI[[#This Row],[Blanket]],Table_NFI[[#This Row],[Blanket]])</f>
        <v>0</v>
      </c>
      <c r="AE825" s="378">
        <f>IF(NFI_Expiration=1,IF($A825&lt;VLOOKUP(N$5,NFI,5,0),1,0)*Table_NFI[[#This Row],[Kitchen Set]],Table_NFI[Kitchen Set])</f>
        <v>0</v>
      </c>
      <c r="AF825" s="378">
        <f>IF(NFI_Expiration=1,IF($A825&lt;VLOOKUP(O$5,NFI,5,0),1,0)*Table_NFI[[#This Row],[Clothes Kit]],Table_NFI[Clothes Kit])</f>
        <v>0</v>
      </c>
      <c r="AG825" s="378">
        <f>IF(NFI_Expiration=1,IF($A825&lt;VLOOKUP(P$5,NFI,5,0),1,0)*Table_NFI[[#This Row],[Plastic Bucket]],Table_NFI[Plastic Bucket])</f>
        <v>0</v>
      </c>
      <c r="AH825" s="378">
        <f>IF(NFI_Expiration=1,IF($A825&lt;VLOOKUP(Q$5,NFI,5,0),1,0)*Table_NFI[[#This Row],[Plastic Mat]],Table_NFI[Plastic Mat])*IF(Table_NFI[[#This Row],[Distribution Date]]&gt;"2014-04-01",1,2.5)</f>
        <v>0</v>
      </c>
      <c r="AI825" s="378">
        <f>IF(NFI_Expiration=1,IF($A825&lt;VLOOKUP(R$5,NFI,5,0),1,0)*Table_NFI[[#This Row],[Winter Clothes Adult]],Table_NFI[Winter Clothes Adult])</f>
        <v>0</v>
      </c>
      <c r="AJ825" s="378">
        <f>IF(NFI_Expiration=1,IF($A825&lt;VLOOKUP(S$5,NFI,5,0),1,0)*Table_NFI[[#This Row],[Winter Clothes Children]],Table_NFI[Winter Clothes Children])</f>
        <v>0</v>
      </c>
      <c r="AK825" s="378">
        <f>IF(NFI_Expiration=1,IF($A825&lt;VLOOKUP(T$5,NFI,5,0),1,0)*Table_NFI[[#This Row],[Winter Items Other]],Table_NFI[Winter Items Other])</f>
        <v>0</v>
      </c>
      <c r="AL825" s="378">
        <f>IF(NFI_Expiration=1,IF($A825&lt;VLOOKUP(M$5,NFI,5,0),1,0)*Table_NFI[[#This Row],[Winter Blanket]],Table_NFI[[#This Row],[Winter Blanket]])</f>
        <v>0</v>
      </c>
      <c r="AM825" s="378">
        <f>IF(Table_NFI[[#This Row],[Winter Clothes Adult]]+Table_NFI[[#This Row],[Winter Clothes Children]]+Table_NFI[[#This Row],[Winter Items Other]]+Table_NFI[[#This Row],[Winter Blanket]]&gt;0,1,0)</f>
        <v>0</v>
      </c>
      <c r="AN825" s="418">
        <f>IF(NFI_Expiration=1,IF($A825&lt;VLOOKUP(V$5,NFI,5,0),1,0)*Table_NFI[[#This Row],[Jerry Can]],Table_NFI[Jerry Can])</f>
        <v>0</v>
      </c>
      <c r="AO825" s="579" t="str">
        <f>IFERROR(VLOOKUP(Table_NFI[[#This Row],[Camp Name]],CL,2,0),"")</f>
        <v>MMR001CMP001</v>
      </c>
      <c r="AP825" s="574">
        <f ca="1">IF(Table_NFI[[#This Row],[Pcode]]="","",IF(OFFSET(CampList[Opening Date],MATCH(Table_NFI[[#This Row],[Pcode]],CampList[CP_Pcode],0)-1,0,1,1)&gt;=NFI_Monitor_Date,1,0))</f>
        <v>0</v>
      </c>
      <c r="AQ825" s="579" t="str">
        <f>IFERROR(VLOOKUP(Table_NFI[[#This Row],[Camp Name]],CL,3,0),"")</f>
        <v>Open</v>
      </c>
      <c r="AR825" s="378" t="str">
        <f ca="1">IF(Table_NFI[[#This Row],[Pcode]]="","",OFFSET(CampList[Priority],MATCH(Table_NFI[[#This Row],[Pcode]],CampList[CP_Pcode],0)-1,0,1,1))</f>
        <v>P4</v>
      </c>
      <c r="AS825" s="377">
        <f>IFERROR(Table_NFI[[#This Row],[Kitchen Set]]/VLOOKUP(Table_NFI[[#This Row],[Camp Name]],CL,4,0),"")</f>
        <v>0.5074626865671642</v>
      </c>
      <c r="AT825" s="572" t="s">
        <v>1095</v>
      </c>
      <c r="AU825" s="575"/>
    </row>
    <row r="826" spans="1:47" x14ac:dyDescent="0.25">
      <c r="A826" s="381">
        <f t="shared" si="12"/>
        <v>16.833333333333332</v>
      </c>
      <c r="B826" s="571">
        <v>42017</v>
      </c>
      <c r="C826" s="577" t="s">
        <v>454</v>
      </c>
      <c r="D826" s="577" t="s">
        <v>507</v>
      </c>
      <c r="E826" s="577" t="s">
        <v>380</v>
      </c>
      <c r="F826" s="577" t="s">
        <v>237</v>
      </c>
      <c r="G826" s="577" t="s">
        <v>1248</v>
      </c>
      <c r="H826" s="376"/>
      <c r="I826" s="376"/>
      <c r="J826" s="376"/>
      <c r="K826" s="376"/>
      <c r="L826" s="376">
        <v>2</v>
      </c>
      <c r="M826" s="376"/>
      <c r="N826" s="376"/>
      <c r="O826" s="376"/>
      <c r="P826" s="378"/>
      <c r="Q826" s="378"/>
      <c r="R826" s="378"/>
      <c r="S826" s="378"/>
      <c r="T826" s="378"/>
      <c r="U826" s="378"/>
      <c r="V826" s="533"/>
      <c r="W826" s="378"/>
      <c r="X826" s="378"/>
      <c r="Y826" s="378">
        <f>IF(NFI_Expiration=1,IF($A826&lt;VLOOKUP(H$5,NFI,5,0),1,0)*Table_NFI[[#This Row],[Hygiene Kit]],Table_NFI[Hygiene Kit])</f>
        <v>0</v>
      </c>
      <c r="Z826" s="378">
        <f>IF(NFI_Expiration=1,IF($A826&lt;VLOOKUP(I$5,NFI,5,0),1,0)*Table_NFI[[#This Row],[NFI Core Kit]],Table_NFI[NFI Core Kit])</f>
        <v>0</v>
      </c>
      <c r="AA826" s="378">
        <f>IF(NFI_Expiration=1,IF($A826&lt;VLOOKUP(J$5,NFI,5,0),1,0)*Table_NFI[[#This Row],[Sanitary Kit]],Table_NFI[Sanitary Kit])</f>
        <v>0</v>
      </c>
      <c r="AB826" s="378">
        <f>IF(NFI_Expiration=1,IF($A826&lt;VLOOKUP(K$5,NFI,5,0),1,0)*Table_NFI[[#This Row],[Mosquito net]],Table_NFI[Mosquito net])</f>
        <v>0</v>
      </c>
      <c r="AC826" s="378">
        <f>IF(NFI_Expiration=1,IF($A826&lt;VLOOKUP(L$5,NFI,5,0),1,0)*Table_NFI[[#This Row],[Tarpaulin]],Table_NFI[[#This Row],[Tarpaulin]])</f>
        <v>0</v>
      </c>
      <c r="AD826" s="378">
        <f>IF(NFI_Expiration=1,IF($A826&lt;VLOOKUP(M$5,NFI,5,0),1,0)*Table_NFI[[#This Row],[Blanket]],Table_NFI[[#This Row],[Blanket]])</f>
        <v>0</v>
      </c>
      <c r="AE826" s="378">
        <f>IF(NFI_Expiration=1,IF($A826&lt;VLOOKUP(N$5,NFI,5,0),1,0)*Table_NFI[[#This Row],[Kitchen Set]],Table_NFI[Kitchen Set])</f>
        <v>0</v>
      </c>
      <c r="AF826" s="378">
        <f>IF(NFI_Expiration=1,IF($A826&lt;VLOOKUP(O$5,NFI,5,0),1,0)*Table_NFI[[#This Row],[Clothes Kit]],Table_NFI[Clothes Kit])</f>
        <v>0</v>
      </c>
      <c r="AG826" s="378">
        <f>IF(NFI_Expiration=1,IF($A826&lt;VLOOKUP(P$5,NFI,5,0),1,0)*Table_NFI[[#This Row],[Plastic Bucket]],Table_NFI[Plastic Bucket])</f>
        <v>0</v>
      </c>
      <c r="AH826" s="378">
        <f>IF(NFI_Expiration=1,IF($A826&lt;VLOOKUP(Q$5,NFI,5,0),1,0)*Table_NFI[[#This Row],[Plastic Mat]],Table_NFI[Plastic Mat])*IF(Table_NFI[[#This Row],[Distribution Date]]&gt;"2014-04-01",1,2.5)</f>
        <v>0</v>
      </c>
      <c r="AI826" s="378">
        <f>IF(NFI_Expiration=1,IF($A826&lt;VLOOKUP(R$5,NFI,5,0),1,0)*Table_NFI[[#This Row],[Winter Clothes Adult]],Table_NFI[Winter Clothes Adult])</f>
        <v>0</v>
      </c>
      <c r="AJ826" s="378">
        <f>IF(NFI_Expiration=1,IF($A826&lt;VLOOKUP(S$5,NFI,5,0),1,0)*Table_NFI[[#This Row],[Winter Clothes Children]],Table_NFI[Winter Clothes Children])</f>
        <v>0</v>
      </c>
      <c r="AK826" s="378">
        <f>IF(NFI_Expiration=1,IF($A826&lt;VLOOKUP(T$5,NFI,5,0),1,0)*Table_NFI[[#This Row],[Winter Items Other]],Table_NFI[Winter Items Other])</f>
        <v>0</v>
      </c>
      <c r="AL826" s="378">
        <f>IF(NFI_Expiration=1,IF($A826&lt;VLOOKUP(M$5,NFI,5,0),1,0)*Table_NFI[[#This Row],[Winter Blanket]],Table_NFI[[#This Row],[Winter Blanket]])</f>
        <v>0</v>
      </c>
      <c r="AM826" s="378">
        <f>IF(Table_NFI[[#This Row],[Winter Clothes Adult]]+Table_NFI[[#This Row],[Winter Clothes Children]]+Table_NFI[[#This Row],[Winter Items Other]]+Table_NFI[[#This Row],[Winter Blanket]]&gt;0,1,0)</f>
        <v>0</v>
      </c>
      <c r="AN826" s="418">
        <f>IF(NFI_Expiration=1,IF($A826&lt;VLOOKUP(V$5,NFI,5,0),1,0)*Table_NFI[[#This Row],[Jerry Can]],Table_NFI[Jerry Can])</f>
        <v>0</v>
      </c>
      <c r="AO826" s="579" t="str">
        <f>IFERROR(VLOOKUP(Table_NFI[[#This Row],[Camp Name]],CL,2,0),"")</f>
        <v>MMR001CMP023</v>
      </c>
      <c r="AP826" s="574">
        <f ca="1">IF(Table_NFI[[#This Row],[Pcode]]="","",IF(OFFSET(CampList[Opening Date],MATCH(Table_NFI[[#This Row],[Pcode]],CampList[CP_Pcode],0)-1,0,1,1)&gt;=NFI_Monitor_Date,1,0))</f>
        <v>0</v>
      </c>
      <c r="AQ826" s="579" t="str">
        <f>IFERROR(VLOOKUP(Table_NFI[[#This Row],[Camp Name]],CL,3,0),"")</f>
        <v>Open</v>
      </c>
      <c r="AR826" s="378" t="str">
        <f ca="1">IF(Table_NFI[[#This Row],[Pcode]]="","",OFFSET(CampList[Priority],MATCH(Table_NFI[[#This Row],[Pcode]],CampList[CP_Pcode],0)-1,0,1,1))</f>
        <v>P4</v>
      </c>
      <c r="AS826" s="377">
        <f>IFERROR(Table_NFI[[#This Row],[Kitchen Set]]/VLOOKUP(Table_NFI[[#This Row],[Camp Name]],CL,4,0),"")</f>
        <v>0</v>
      </c>
      <c r="AT826" s="572" t="s">
        <v>1095</v>
      </c>
      <c r="AU826" s="580"/>
    </row>
    <row r="827" spans="1:47" x14ac:dyDescent="0.25">
      <c r="A827" s="381">
        <f t="shared" si="12"/>
        <v>24.5</v>
      </c>
      <c r="B827" s="571">
        <v>41787</v>
      </c>
      <c r="C827" s="572" t="s">
        <v>1107</v>
      </c>
      <c r="D827" s="572" t="s">
        <v>903</v>
      </c>
      <c r="E827" s="572" t="s">
        <v>380</v>
      </c>
      <c r="F827" s="572" t="s">
        <v>237</v>
      </c>
      <c r="G827" s="572" t="s">
        <v>1248</v>
      </c>
      <c r="H827" s="375"/>
      <c r="I827" s="375"/>
      <c r="J827" s="375"/>
      <c r="K827" s="375"/>
      <c r="L827" s="376"/>
      <c r="M827" s="376"/>
      <c r="N827" s="376"/>
      <c r="O827" s="376"/>
      <c r="P827" s="378"/>
      <c r="Q827" s="378"/>
      <c r="R827" s="378"/>
      <c r="S827" s="378"/>
      <c r="T827" s="378"/>
      <c r="U827" s="378">
        <v>138</v>
      </c>
      <c r="V827" s="533"/>
      <c r="W827" s="378"/>
      <c r="X827" s="378"/>
      <c r="Y827" s="378">
        <f>IF(NFI_Expiration=1,IF($A827&lt;VLOOKUP(H$5,NFI,5,0),1,0)*Table_NFI[[#This Row],[Hygiene Kit]],Table_NFI[Hygiene Kit])</f>
        <v>0</v>
      </c>
      <c r="Z827" s="378">
        <f>IF(NFI_Expiration=1,IF($A827&lt;VLOOKUP(I$5,NFI,5,0),1,0)*Table_NFI[[#This Row],[NFI Core Kit]],Table_NFI[NFI Core Kit])</f>
        <v>0</v>
      </c>
      <c r="AA827" s="378">
        <f>IF(NFI_Expiration=1,IF($A827&lt;VLOOKUP(J$5,NFI,5,0),1,0)*Table_NFI[[#This Row],[Sanitary Kit]],Table_NFI[Sanitary Kit])</f>
        <v>0</v>
      </c>
      <c r="AB827" s="378">
        <f>IF(NFI_Expiration=1,IF($A827&lt;VLOOKUP(K$5,NFI,5,0),1,0)*Table_NFI[[#This Row],[Mosquito net]],Table_NFI[Mosquito net])</f>
        <v>0</v>
      </c>
      <c r="AC827" s="378">
        <f>IF(NFI_Expiration=1,IF($A827&lt;VLOOKUP(L$5,NFI,5,0),1,0)*Table_NFI[[#This Row],[Tarpaulin]],Table_NFI[[#This Row],[Tarpaulin]])</f>
        <v>0</v>
      </c>
      <c r="AD827" s="378">
        <f>IF(NFI_Expiration=1,IF($A827&lt;VLOOKUP(M$5,NFI,5,0),1,0)*Table_NFI[[#This Row],[Blanket]],Table_NFI[[#This Row],[Blanket]])</f>
        <v>0</v>
      </c>
      <c r="AE827" s="378">
        <f>IF(NFI_Expiration=1,IF($A827&lt;VLOOKUP(N$5,NFI,5,0),1,0)*Table_NFI[[#This Row],[Kitchen Set]],Table_NFI[Kitchen Set])</f>
        <v>0</v>
      </c>
      <c r="AF827" s="378">
        <f>IF(NFI_Expiration=1,IF($A827&lt;VLOOKUP(O$5,NFI,5,0),1,0)*Table_NFI[[#This Row],[Clothes Kit]],Table_NFI[Clothes Kit])</f>
        <v>0</v>
      </c>
      <c r="AG827" s="378">
        <f>IF(NFI_Expiration=1,IF($A827&lt;VLOOKUP(P$5,NFI,5,0),1,0)*Table_NFI[[#This Row],[Plastic Bucket]],Table_NFI[Plastic Bucket])</f>
        <v>0</v>
      </c>
      <c r="AH827" s="378">
        <f>IF(NFI_Expiration=1,IF($A827&lt;VLOOKUP(Q$5,NFI,5,0),1,0)*Table_NFI[[#This Row],[Plastic Mat]],Table_NFI[Plastic Mat])*IF(Table_NFI[[#This Row],[Distribution Date]]&gt;"2014-04-01",1,2.5)</f>
        <v>0</v>
      </c>
      <c r="AI827" s="378">
        <f>IF(NFI_Expiration=1,IF($A827&lt;VLOOKUP(R$5,NFI,5,0),1,0)*Table_NFI[[#This Row],[Winter Clothes Adult]],Table_NFI[Winter Clothes Adult])</f>
        <v>0</v>
      </c>
      <c r="AJ827" s="378">
        <f>IF(NFI_Expiration=1,IF($A827&lt;VLOOKUP(S$5,NFI,5,0),1,0)*Table_NFI[[#This Row],[Winter Clothes Children]],Table_NFI[Winter Clothes Children])</f>
        <v>0</v>
      </c>
      <c r="AK827" s="378">
        <f>IF(NFI_Expiration=1,IF($A827&lt;VLOOKUP(T$5,NFI,5,0),1,0)*Table_NFI[[#This Row],[Winter Items Other]],Table_NFI[Winter Items Other])</f>
        <v>0</v>
      </c>
      <c r="AL827" s="378">
        <f>IF(NFI_Expiration=1,IF($A827&lt;VLOOKUP(M$5,NFI,5,0),1,0)*Table_NFI[[#This Row],[Winter Blanket]],Table_NFI[[#This Row],[Winter Blanket]])</f>
        <v>0</v>
      </c>
      <c r="AM827" s="378">
        <f>IF(Table_NFI[[#This Row],[Winter Clothes Adult]]+Table_NFI[[#This Row],[Winter Clothes Children]]+Table_NFI[[#This Row],[Winter Items Other]]+Table_NFI[[#This Row],[Winter Blanket]]&gt;0,1,0)</f>
        <v>1</v>
      </c>
      <c r="AN827" s="418">
        <f>IF(NFI_Expiration=1,IF($A827&lt;VLOOKUP(V$5,NFI,5,0),1,0)*Table_NFI[[#This Row],[Jerry Can]],Table_NFI[Jerry Can])</f>
        <v>0</v>
      </c>
      <c r="AO827" s="579" t="str">
        <f>IFERROR(VLOOKUP(Table_NFI[[#This Row],[Camp Name]],CL,2,0),"")</f>
        <v>MMR001CMP023</v>
      </c>
      <c r="AP827" s="574">
        <f ca="1">IF(Table_NFI[[#This Row],[Pcode]]="","",IF(OFFSET(CampList[Opening Date],MATCH(Table_NFI[[#This Row],[Pcode]],CampList[CP_Pcode],0)-1,0,1,1)&gt;=NFI_Monitor_Date,1,0))</f>
        <v>0</v>
      </c>
      <c r="AQ827" s="579" t="str">
        <f>IFERROR(VLOOKUP(Table_NFI[[#This Row],[Camp Name]],CL,3,0),"")</f>
        <v>Open</v>
      </c>
      <c r="AR827" s="378" t="str">
        <f ca="1">IF(Table_NFI[[#This Row],[Pcode]]="","",OFFSET(CampList[Priority],MATCH(Table_NFI[[#This Row],[Pcode]],CampList[CP_Pcode],0)-1,0,1,1))</f>
        <v>P4</v>
      </c>
      <c r="AS827" s="377">
        <f>IFERROR(Table_NFI[[#This Row],[Kitchen Set]]/VLOOKUP(Table_NFI[[#This Row],[Camp Name]],CL,4,0),"")</f>
        <v>0</v>
      </c>
      <c r="AT827" s="572"/>
      <c r="AU827" s="575"/>
    </row>
    <row r="828" spans="1:47" x14ac:dyDescent="0.25">
      <c r="A828" s="381">
        <f t="shared" si="12"/>
        <v>34.766666666666666</v>
      </c>
      <c r="B828" s="571">
        <v>41479</v>
      </c>
      <c r="C828" s="572" t="s">
        <v>454</v>
      </c>
      <c r="D828" s="572" t="s">
        <v>462</v>
      </c>
      <c r="E828" s="572" t="s">
        <v>380</v>
      </c>
      <c r="F828" s="572" t="s">
        <v>237</v>
      </c>
      <c r="G828" s="374" t="s">
        <v>1248</v>
      </c>
      <c r="H828" s="375"/>
      <c r="I828" s="375"/>
      <c r="J828" s="375">
        <v>34</v>
      </c>
      <c r="K828" s="375">
        <v>46</v>
      </c>
      <c r="L828" s="376">
        <v>22</v>
      </c>
      <c r="M828" s="376">
        <v>46</v>
      </c>
      <c r="N828" s="376">
        <v>22</v>
      </c>
      <c r="O828" s="376">
        <v>22</v>
      </c>
      <c r="P828" s="378">
        <v>22</v>
      </c>
      <c r="Q828" s="378">
        <v>22</v>
      </c>
      <c r="R828" s="378"/>
      <c r="S828" s="378"/>
      <c r="T828" s="378"/>
      <c r="U828" s="378"/>
      <c r="V828" s="533"/>
      <c r="W828" s="378"/>
      <c r="X828" s="378"/>
      <c r="Y828" s="378">
        <f>IF(NFI_Expiration=1,IF($A828&lt;VLOOKUP(H$5,NFI,5,0),1,0)*Table_NFI[[#This Row],[Hygiene Kit]],Table_NFI[Hygiene Kit])</f>
        <v>0</v>
      </c>
      <c r="Z828" s="378">
        <f>IF(NFI_Expiration=1,IF($A828&lt;VLOOKUP(I$5,NFI,5,0),1,0)*Table_NFI[[#This Row],[NFI Core Kit]],Table_NFI[NFI Core Kit])</f>
        <v>0</v>
      </c>
      <c r="AA828" s="378">
        <f>IF(NFI_Expiration=1,IF($A828&lt;VLOOKUP(J$5,NFI,5,0),1,0)*Table_NFI[[#This Row],[Sanitary Kit]],Table_NFI[Sanitary Kit])</f>
        <v>0</v>
      </c>
      <c r="AB828" s="378">
        <f>IF(NFI_Expiration=1,IF($A828&lt;VLOOKUP(K$5,NFI,5,0),1,0)*Table_NFI[[#This Row],[Mosquito net]],Table_NFI[Mosquito net])</f>
        <v>0</v>
      </c>
      <c r="AC828" s="378">
        <f>IF(NFI_Expiration=1,IF($A828&lt;VLOOKUP(L$5,NFI,5,0),1,0)*Table_NFI[[#This Row],[Tarpaulin]],Table_NFI[[#This Row],[Tarpaulin]])</f>
        <v>0</v>
      </c>
      <c r="AD828" s="378">
        <f>IF(NFI_Expiration=1,IF($A828&lt;VLOOKUP(M$5,NFI,5,0),1,0)*Table_NFI[[#This Row],[Blanket]],Table_NFI[[#This Row],[Blanket]])</f>
        <v>0</v>
      </c>
      <c r="AE828" s="378">
        <f>IF(NFI_Expiration=1,IF($A828&lt;VLOOKUP(N$5,NFI,5,0),1,0)*Table_NFI[[#This Row],[Kitchen Set]],Table_NFI[Kitchen Set])</f>
        <v>0</v>
      </c>
      <c r="AF828" s="378">
        <f>IF(NFI_Expiration=1,IF($A828&lt;VLOOKUP(O$5,NFI,5,0),1,0)*Table_NFI[[#This Row],[Clothes Kit]],Table_NFI[Clothes Kit])</f>
        <v>0</v>
      </c>
      <c r="AG828" s="378">
        <f>IF(NFI_Expiration=1,IF($A828&lt;VLOOKUP(P$5,NFI,5,0),1,0)*Table_NFI[[#This Row],[Plastic Bucket]],Table_NFI[Plastic Bucket])</f>
        <v>0</v>
      </c>
      <c r="AH828" s="378">
        <f>IF(NFI_Expiration=1,IF($A828&lt;VLOOKUP(Q$5,NFI,5,0),1,0)*Table_NFI[[#This Row],[Plastic Mat]],Table_NFI[Plastic Mat])*IF(Table_NFI[[#This Row],[Distribution Date]]&gt;"2014-04-01",1,2.5)</f>
        <v>0</v>
      </c>
      <c r="AI828" s="378">
        <f>IF(NFI_Expiration=1,IF($A828&lt;VLOOKUP(R$5,NFI,5,0),1,0)*Table_NFI[[#This Row],[Winter Clothes Adult]],Table_NFI[Winter Clothes Adult])</f>
        <v>0</v>
      </c>
      <c r="AJ828" s="378">
        <f>IF(NFI_Expiration=1,IF($A828&lt;VLOOKUP(S$5,NFI,5,0),1,0)*Table_NFI[[#This Row],[Winter Clothes Children]],Table_NFI[Winter Clothes Children])</f>
        <v>0</v>
      </c>
      <c r="AK828" s="378">
        <f>IF(NFI_Expiration=1,IF($A828&lt;VLOOKUP(T$5,NFI,5,0),1,0)*Table_NFI[[#This Row],[Winter Items Other]],Table_NFI[Winter Items Other])</f>
        <v>0</v>
      </c>
      <c r="AL828" s="378">
        <f>IF(NFI_Expiration=1,IF($A828&lt;VLOOKUP(M$5,NFI,5,0),1,0)*Table_NFI[[#This Row],[Winter Blanket]],Table_NFI[[#This Row],[Winter Blanket]])</f>
        <v>0</v>
      </c>
      <c r="AM828" s="378">
        <f>IF(Table_NFI[[#This Row],[Winter Clothes Adult]]+Table_NFI[[#This Row],[Winter Clothes Children]]+Table_NFI[[#This Row],[Winter Items Other]]+Table_NFI[[#This Row],[Winter Blanket]]&gt;0,1,0)</f>
        <v>0</v>
      </c>
      <c r="AN828" s="418">
        <f>IF(NFI_Expiration=1,IF($A828&lt;VLOOKUP(V$5,NFI,5,0),1,0)*Table_NFI[[#This Row],[Jerry Can]],Table_NFI[Jerry Can])</f>
        <v>0</v>
      </c>
      <c r="AO828" s="579" t="str">
        <f>IFERROR(VLOOKUP(Table_NFI[[#This Row],[Camp Name]],CL,2,0),"")</f>
        <v>MMR001CMP023</v>
      </c>
      <c r="AP828" s="574">
        <f ca="1">IF(Table_NFI[[#This Row],[Pcode]]="","",IF(OFFSET(CampList[Opening Date],MATCH(Table_NFI[[#This Row],[Pcode]],CampList[CP_Pcode],0)-1,0,1,1)&gt;=NFI_Monitor_Date,1,0))</f>
        <v>0</v>
      </c>
      <c r="AQ828" s="579" t="str">
        <f>IFERROR(VLOOKUP(Table_NFI[[#This Row],[Camp Name]],CL,3,0),"")</f>
        <v>Open</v>
      </c>
      <c r="AR828" s="378" t="str">
        <f ca="1">IF(Table_NFI[[#This Row],[Pcode]]="","",OFFSET(CampList[Priority],MATCH(Table_NFI[[#This Row],[Pcode]],CampList[CP_Pcode],0)-1,0,1,1))</f>
        <v>P4</v>
      </c>
      <c r="AS828" s="377">
        <f>IFERROR(Table_NFI[[#This Row],[Kitchen Set]]/VLOOKUP(Table_NFI[[#This Row],[Camp Name]],CL,4,0),"")</f>
        <v>0.40740740740740738</v>
      </c>
      <c r="AT828" s="572" t="s">
        <v>1095</v>
      </c>
      <c r="AU828" s="575"/>
    </row>
    <row r="829" spans="1:47" x14ac:dyDescent="0.25">
      <c r="A829" s="381">
        <f t="shared" si="12"/>
        <v>35.033333333333331</v>
      </c>
      <c r="B829" s="571">
        <v>41471</v>
      </c>
      <c r="C829" s="572" t="s">
        <v>454</v>
      </c>
      <c r="D829" s="573" t="s">
        <v>507</v>
      </c>
      <c r="E829" s="572" t="s">
        <v>380</v>
      </c>
      <c r="F829" s="374" t="s">
        <v>237</v>
      </c>
      <c r="G829" s="374" t="s">
        <v>1248</v>
      </c>
      <c r="H829" s="375"/>
      <c r="I829" s="375"/>
      <c r="J829" s="375">
        <v>55</v>
      </c>
      <c r="K829" s="375">
        <v>74</v>
      </c>
      <c r="L829" s="376">
        <v>31</v>
      </c>
      <c r="M829" s="376">
        <v>74</v>
      </c>
      <c r="N829" s="376">
        <v>31</v>
      </c>
      <c r="O829" s="376">
        <v>31</v>
      </c>
      <c r="P829" s="378">
        <v>31</v>
      </c>
      <c r="Q829" s="378">
        <v>31</v>
      </c>
      <c r="R829" s="378"/>
      <c r="S829" s="378"/>
      <c r="T829" s="378"/>
      <c r="U829" s="378"/>
      <c r="V829" s="533"/>
      <c r="W829" s="378"/>
      <c r="X829" s="378"/>
      <c r="Y829" s="378">
        <f>IF(NFI_Expiration=1,IF($A829&lt;VLOOKUP(H$5,NFI,5,0),1,0)*Table_NFI[[#This Row],[Hygiene Kit]],Table_NFI[Hygiene Kit])</f>
        <v>0</v>
      </c>
      <c r="Z829" s="378">
        <f>IF(NFI_Expiration=1,IF($A829&lt;VLOOKUP(I$5,NFI,5,0),1,0)*Table_NFI[[#This Row],[NFI Core Kit]],Table_NFI[NFI Core Kit])</f>
        <v>0</v>
      </c>
      <c r="AA829" s="378">
        <f>IF(NFI_Expiration=1,IF($A829&lt;VLOOKUP(J$5,NFI,5,0),1,0)*Table_NFI[[#This Row],[Sanitary Kit]],Table_NFI[Sanitary Kit])</f>
        <v>0</v>
      </c>
      <c r="AB829" s="378">
        <f>IF(NFI_Expiration=1,IF($A829&lt;VLOOKUP(K$5,NFI,5,0),1,0)*Table_NFI[[#This Row],[Mosquito net]],Table_NFI[Mosquito net])</f>
        <v>0</v>
      </c>
      <c r="AC829" s="378">
        <f>IF(NFI_Expiration=1,IF($A829&lt;VLOOKUP(L$5,NFI,5,0),1,0)*Table_NFI[[#This Row],[Tarpaulin]],Table_NFI[[#This Row],[Tarpaulin]])</f>
        <v>0</v>
      </c>
      <c r="AD829" s="378">
        <f>IF(NFI_Expiration=1,IF($A829&lt;VLOOKUP(M$5,NFI,5,0),1,0)*Table_NFI[[#This Row],[Blanket]],Table_NFI[[#This Row],[Blanket]])</f>
        <v>0</v>
      </c>
      <c r="AE829" s="378">
        <f>IF(NFI_Expiration=1,IF($A829&lt;VLOOKUP(N$5,NFI,5,0),1,0)*Table_NFI[[#This Row],[Kitchen Set]],Table_NFI[Kitchen Set])</f>
        <v>0</v>
      </c>
      <c r="AF829" s="378">
        <f>IF(NFI_Expiration=1,IF($A829&lt;VLOOKUP(O$5,NFI,5,0),1,0)*Table_NFI[[#This Row],[Clothes Kit]],Table_NFI[Clothes Kit])</f>
        <v>0</v>
      </c>
      <c r="AG829" s="378">
        <f>IF(NFI_Expiration=1,IF($A829&lt;VLOOKUP(P$5,NFI,5,0),1,0)*Table_NFI[[#This Row],[Plastic Bucket]],Table_NFI[Plastic Bucket])</f>
        <v>0</v>
      </c>
      <c r="AH829" s="378">
        <f>IF(NFI_Expiration=1,IF($A829&lt;VLOOKUP(Q$5,NFI,5,0),1,0)*Table_NFI[[#This Row],[Plastic Mat]],Table_NFI[Plastic Mat])*IF(Table_NFI[[#This Row],[Distribution Date]]&gt;"2014-04-01",1,2.5)</f>
        <v>0</v>
      </c>
      <c r="AI829" s="378">
        <f>IF(NFI_Expiration=1,IF($A829&lt;VLOOKUP(R$5,NFI,5,0),1,0)*Table_NFI[[#This Row],[Winter Clothes Adult]],Table_NFI[Winter Clothes Adult])</f>
        <v>0</v>
      </c>
      <c r="AJ829" s="378">
        <f>IF(NFI_Expiration=1,IF($A829&lt;VLOOKUP(S$5,NFI,5,0),1,0)*Table_NFI[[#This Row],[Winter Clothes Children]],Table_NFI[Winter Clothes Children])</f>
        <v>0</v>
      </c>
      <c r="AK829" s="378">
        <f>IF(NFI_Expiration=1,IF($A829&lt;VLOOKUP(T$5,NFI,5,0),1,0)*Table_NFI[[#This Row],[Winter Items Other]],Table_NFI[Winter Items Other])</f>
        <v>0</v>
      </c>
      <c r="AL829" s="378">
        <f>IF(NFI_Expiration=1,IF($A829&lt;VLOOKUP(M$5,NFI,5,0),1,0)*Table_NFI[[#This Row],[Winter Blanket]],Table_NFI[[#This Row],[Winter Blanket]])</f>
        <v>0</v>
      </c>
      <c r="AM829" s="378">
        <f>IF(Table_NFI[[#This Row],[Winter Clothes Adult]]+Table_NFI[[#This Row],[Winter Clothes Children]]+Table_NFI[[#This Row],[Winter Items Other]]+Table_NFI[[#This Row],[Winter Blanket]]&gt;0,1,0)</f>
        <v>0</v>
      </c>
      <c r="AN829" s="418">
        <f>IF(NFI_Expiration=1,IF($A829&lt;VLOOKUP(V$5,NFI,5,0),1,0)*Table_NFI[[#This Row],[Jerry Can]],Table_NFI[Jerry Can])</f>
        <v>0</v>
      </c>
      <c r="AO829" s="579" t="str">
        <f>IFERROR(VLOOKUP(Table_NFI[[#This Row],[Camp Name]],CL,2,0),"")</f>
        <v>MMR001CMP023</v>
      </c>
      <c r="AP829" s="574">
        <f ca="1">IF(Table_NFI[[#This Row],[Pcode]]="","",IF(OFFSET(CampList[Opening Date],MATCH(Table_NFI[[#This Row],[Pcode]],CampList[CP_Pcode],0)-1,0,1,1)&gt;=NFI_Monitor_Date,1,0))</f>
        <v>0</v>
      </c>
      <c r="AQ829" s="579" t="str">
        <f>IFERROR(VLOOKUP(Table_NFI[[#This Row],[Camp Name]],CL,3,0),"")</f>
        <v>Open</v>
      </c>
      <c r="AR829" s="378" t="str">
        <f ca="1">IF(Table_NFI[[#This Row],[Pcode]]="","",OFFSET(CampList[Priority],MATCH(Table_NFI[[#This Row],[Pcode]],CampList[CP_Pcode],0)-1,0,1,1))</f>
        <v>P4</v>
      </c>
      <c r="AS829" s="377">
        <f>IFERROR(Table_NFI[[#This Row],[Kitchen Set]]/VLOOKUP(Table_NFI[[#This Row],[Camp Name]],CL,4,0),"")</f>
        <v>0.57407407407407407</v>
      </c>
      <c r="AT829" s="572" t="s">
        <v>1095</v>
      </c>
      <c r="AU829" s="575"/>
    </row>
    <row r="830" spans="1:47" x14ac:dyDescent="0.25">
      <c r="A830" s="381">
        <f t="shared" si="12"/>
        <v>41.6</v>
      </c>
      <c r="B830" s="571">
        <v>41274</v>
      </c>
      <c r="C830" s="572" t="s">
        <v>455</v>
      </c>
      <c r="D830" s="573" t="s">
        <v>455</v>
      </c>
      <c r="E830" s="572" t="s">
        <v>380</v>
      </c>
      <c r="F830" s="374" t="s">
        <v>237</v>
      </c>
      <c r="G830" s="374" t="s">
        <v>1248</v>
      </c>
      <c r="H830" s="375">
        <v>34</v>
      </c>
      <c r="I830" s="375"/>
      <c r="J830" s="375"/>
      <c r="K830" s="375"/>
      <c r="L830" s="376"/>
      <c r="M830" s="376"/>
      <c r="N830" s="376"/>
      <c r="O830" s="376"/>
      <c r="P830" s="378">
        <v>0</v>
      </c>
      <c r="Q830" s="378">
        <v>0</v>
      </c>
      <c r="R830" s="378"/>
      <c r="S830" s="378"/>
      <c r="T830" s="378"/>
      <c r="U830" s="378"/>
      <c r="V830" s="533"/>
      <c r="W830" s="378"/>
      <c r="X830" s="378"/>
      <c r="Y830" s="378">
        <f>IF(NFI_Expiration=1,IF($A830&lt;VLOOKUP(H$5,NFI,5,0),1,0)*Table_NFI[[#This Row],[Hygiene Kit]],Table_NFI[Hygiene Kit])</f>
        <v>0</v>
      </c>
      <c r="Z830" s="378">
        <f>IF(NFI_Expiration=1,IF($A830&lt;VLOOKUP(I$5,NFI,5,0),1,0)*Table_NFI[[#This Row],[NFI Core Kit]],Table_NFI[NFI Core Kit])</f>
        <v>0</v>
      </c>
      <c r="AA830" s="378">
        <f>IF(NFI_Expiration=1,IF($A830&lt;VLOOKUP(J$5,NFI,5,0),1,0)*Table_NFI[[#This Row],[Sanitary Kit]],Table_NFI[Sanitary Kit])</f>
        <v>0</v>
      </c>
      <c r="AB830" s="378">
        <f>IF(NFI_Expiration=1,IF($A830&lt;VLOOKUP(K$5,NFI,5,0),1,0)*Table_NFI[[#This Row],[Mosquito net]],Table_NFI[Mosquito net])</f>
        <v>0</v>
      </c>
      <c r="AC830" s="378">
        <f>IF(NFI_Expiration=1,IF($A830&lt;VLOOKUP(L$5,NFI,5,0),1,0)*Table_NFI[[#This Row],[Tarpaulin]],Table_NFI[[#This Row],[Tarpaulin]])</f>
        <v>0</v>
      </c>
      <c r="AD830" s="378">
        <f>IF(NFI_Expiration=1,IF($A830&lt;VLOOKUP(M$5,NFI,5,0),1,0)*Table_NFI[[#This Row],[Blanket]],Table_NFI[[#This Row],[Blanket]])</f>
        <v>0</v>
      </c>
      <c r="AE830" s="378">
        <f>IF(NFI_Expiration=1,IF($A830&lt;VLOOKUP(N$5,NFI,5,0),1,0)*Table_NFI[[#This Row],[Kitchen Set]],Table_NFI[Kitchen Set])</f>
        <v>0</v>
      </c>
      <c r="AF830" s="378">
        <f>IF(NFI_Expiration=1,IF($A830&lt;VLOOKUP(O$5,NFI,5,0),1,0)*Table_NFI[[#This Row],[Clothes Kit]],Table_NFI[Clothes Kit])</f>
        <v>0</v>
      </c>
      <c r="AG830" s="378">
        <f>IF(NFI_Expiration=1,IF($A830&lt;VLOOKUP(P$5,NFI,5,0),1,0)*Table_NFI[[#This Row],[Plastic Bucket]],Table_NFI[Plastic Bucket])</f>
        <v>0</v>
      </c>
      <c r="AH830" s="378">
        <f>IF(NFI_Expiration=1,IF($A830&lt;VLOOKUP(Q$5,NFI,5,0),1,0)*Table_NFI[[#This Row],[Plastic Mat]],Table_NFI[Plastic Mat])*IF(Table_NFI[[#This Row],[Distribution Date]]&gt;"2014-04-01",1,2.5)</f>
        <v>0</v>
      </c>
      <c r="AI830" s="378">
        <f>IF(NFI_Expiration=1,IF($A830&lt;VLOOKUP(R$5,NFI,5,0),1,0)*Table_NFI[[#This Row],[Winter Clothes Adult]],Table_NFI[Winter Clothes Adult])</f>
        <v>0</v>
      </c>
      <c r="AJ830" s="378">
        <f>IF(NFI_Expiration=1,IF($A830&lt;VLOOKUP(S$5,NFI,5,0),1,0)*Table_NFI[[#This Row],[Winter Clothes Children]],Table_NFI[Winter Clothes Children])</f>
        <v>0</v>
      </c>
      <c r="AK830" s="378">
        <f>IF(NFI_Expiration=1,IF($A830&lt;VLOOKUP(T$5,NFI,5,0),1,0)*Table_NFI[[#This Row],[Winter Items Other]],Table_NFI[Winter Items Other])</f>
        <v>0</v>
      </c>
      <c r="AL830" s="378">
        <f>IF(NFI_Expiration=1,IF($A830&lt;VLOOKUP(M$5,NFI,5,0),1,0)*Table_NFI[[#This Row],[Winter Blanket]],Table_NFI[[#This Row],[Winter Blanket]])</f>
        <v>0</v>
      </c>
      <c r="AM830" s="378">
        <f>IF(Table_NFI[[#This Row],[Winter Clothes Adult]]+Table_NFI[[#This Row],[Winter Clothes Children]]+Table_NFI[[#This Row],[Winter Items Other]]+Table_NFI[[#This Row],[Winter Blanket]]&gt;0,1,0)</f>
        <v>0</v>
      </c>
      <c r="AN830" s="418">
        <f>IF(NFI_Expiration=1,IF($A830&lt;VLOOKUP(V$5,NFI,5,0),1,0)*Table_NFI[[#This Row],[Jerry Can]],Table_NFI[Jerry Can])</f>
        <v>0</v>
      </c>
      <c r="AO830" s="579" t="str">
        <f>IFERROR(VLOOKUP(Table_NFI[[#This Row],[Camp Name]],CL,2,0),"")</f>
        <v>MMR001CMP023</v>
      </c>
      <c r="AP830" s="574">
        <f ca="1">IF(Table_NFI[[#This Row],[Pcode]]="","",IF(OFFSET(CampList[Opening Date],MATCH(Table_NFI[[#This Row],[Pcode]],CampList[CP_Pcode],0)-1,0,1,1)&gt;=NFI_Monitor_Date,1,0))</f>
        <v>0</v>
      </c>
      <c r="AQ830" s="579" t="str">
        <f>IFERROR(VLOOKUP(Table_NFI[[#This Row],[Camp Name]],CL,3,0),"")</f>
        <v>Open</v>
      </c>
      <c r="AR830" s="378" t="str">
        <f ca="1">IF(Table_NFI[[#This Row],[Pcode]]="","",OFFSET(CampList[Priority],MATCH(Table_NFI[[#This Row],[Pcode]],CampList[CP_Pcode],0)-1,0,1,1))</f>
        <v>P4</v>
      </c>
      <c r="AS830" s="377">
        <f>IFERROR(Table_NFI[[#This Row],[Kitchen Set]]/VLOOKUP(Table_NFI[[#This Row],[Camp Name]],CL,4,0),"")</f>
        <v>0</v>
      </c>
      <c r="AT830" s="572" t="s">
        <v>1095</v>
      </c>
      <c r="AU830" s="575"/>
    </row>
    <row r="831" spans="1:47" x14ac:dyDescent="0.25">
      <c r="A831" s="381">
        <f t="shared" si="12"/>
        <v>47.1</v>
      </c>
      <c r="B831" s="571">
        <v>41109</v>
      </c>
      <c r="C831" s="572" t="s">
        <v>454</v>
      </c>
      <c r="D831" s="572" t="s">
        <v>454</v>
      </c>
      <c r="E831" s="572" t="s">
        <v>380</v>
      </c>
      <c r="F831" s="374" t="s">
        <v>237</v>
      </c>
      <c r="G831" s="374" t="s">
        <v>1248</v>
      </c>
      <c r="H831" s="375"/>
      <c r="I831" s="375"/>
      <c r="J831" s="375"/>
      <c r="K831" s="375">
        <v>3</v>
      </c>
      <c r="L831" s="376">
        <v>2</v>
      </c>
      <c r="M831" s="376">
        <v>3</v>
      </c>
      <c r="N831" s="376">
        <v>2</v>
      </c>
      <c r="O831" s="376">
        <v>2</v>
      </c>
      <c r="P831" s="378">
        <v>2</v>
      </c>
      <c r="Q831" s="378">
        <v>2</v>
      </c>
      <c r="R831" s="378"/>
      <c r="S831" s="378"/>
      <c r="T831" s="378"/>
      <c r="U831" s="378"/>
      <c r="V831" s="533"/>
      <c r="W831" s="378"/>
      <c r="X831" s="378"/>
      <c r="Y831" s="378">
        <f>IF(NFI_Expiration=1,IF($A831&lt;VLOOKUP(H$5,NFI,5,0),1,0)*Table_NFI[[#This Row],[Hygiene Kit]],Table_NFI[Hygiene Kit])</f>
        <v>0</v>
      </c>
      <c r="Z831" s="378">
        <f>IF(NFI_Expiration=1,IF($A831&lt;VLOOKUP(I$5,NFI,5,0),1,0)*Table_NFI[[#This Row],[NFI Core Kit]],Table_NFI[NFI Core Kit])</f>
        <v>0</v>
      </c>
      <c r="AA831" s="378">
        <f>IF(NFI_Expiration=1,IF($A831&lt;VLOOKUP(J$5,NFI,5,0),1,0)*Table_NFI[[#This Row],[Sanitary Kit]],Table_NFI[Sanitary Kit])</f>
        <v>0</v>
      </c>
      <c r="AB831" s="378">
        <f>IF(NFI_Expiration=1,IF($A831&lt;VLOOKUP(K$5,NFI,5,0),1,0)*Table_NFI[[#This Row],[Mosquito net]],Table_NFI[Mosquito net])</f>
        <v>0</v>
      </c>
      <c r="AC831" s="378">
        <f>IF(NFI_Expiration=1,IF($A831&lt;VLOOKUP(L$5,NFI,5,0),1,0)*Table_NFI[[#This Row],[Tarpaulin]],Table_NFI[[#This Row],[Tarpaulin]])</f>
        <v>0</v>
      </c>
      <c r="AD831" s="378">
        <f>IF(NFI_Expiration=1,IF($A831&lt;VLOOKUP(M$5,NFI,5,0),1,0)*Table_NFI[[#This Row],[Blanket]],Table_NFI[[#This Row],[Blanket]])</f>
        <v>0</v>
      </c>
      <c r="AE831" s="378">
        <f>IF(NFI_Expiration=1,IF($A831&lt;VLOOKUP(N$5,NFI,5,0),1,0)*Table_NFI[[#This Row],[Kitchen Set]],Table_NFI[Kitchen Set])</f>
        <v>0</v>
      </c>
      <c r="AF831" s="378">
        <f>IF(NFI_Expiration=1,IF($A831&lt;VLOOKUP(O$5,NFI,5,0),1,0)*Table_NFI[[#This Row],[Clothes Kit]],Table_NFI[Clothes Kit])</f>
        <v>0</v>
      </c>
      <c r="AG831" s="378">
        <f>IF(NFI_Expiration=1,IF($A831&lt;VLOOKUP(P$5,NFI,5,0),1,0)*Table_NFI[[#This Row],[Plastic Bucket]],Table_NFI[Plastic Bucket])</f>
        <v>0</v>
      </c>
      <c r="AH831" s="378">
        <f>IF(NFI_Expiration=1,IF($A831&lt;VLOOKUP(Q$5,NFI,5,0),1,0)*Table_NFI[[#This Row],[Plastic Mat]],Table_NFI[Plastic Mat])*IF(Table_NFI[[#This Row],[Distribution Date]]&gt;"2014-04-01",1,2.5)</f>
        <v>0</v>
      </c>
      <c r="AI831" s="378">
        <f>IF(NFI_Expiration=1,IF($A831&lt;VLOOKUP(R$5,NFI,5,0),1,0)*Table_NFI[[#This Row],[Winter Clothes Adult]],Table_NFI[Winter Clothes Adult])</f>
        <v>0</v>
      </c>
      <c r="AJ831" s="378">
        <f>IF(NFI_Expiration=1,IF($A831&lt;VLOOKUP(S$5,NFI,5,0),1,0)*Table_NFI[[#This Row],[Winter Clothes Children]],Table_NFI[Winter Clothes Children])</f>
        <v>0</v>
      </c>
      <c r="AK831" s="378">
        <f>IF(NFI_Expiration=1,IF($A831&lt;VLOOKUP(T$5,NFI,5,0),1,0)*Table_NFI[[#This Row],[Winter Items Other]],Table_NFI[Winter Items Other])</f>
        <v>0</v>
      </c>
      <c r="AL831" s="378">
        <f>IF(NFI_Expiration=1,IF($A831&lt;VLOOKUP(M$5,NFI,5,0),1,0)*Table_NFI[[#This Row],[Winter Blanket]],Table_NFI[[#This Row],[Winter Blanket]])</f>
        <v>0</v>
      </c>
      <c r="AM831" s="378">
        <f>IF(Table_NFI[[#This Row],[Winter Clothes Adult]]+Table_NFI[[#This Row],[Winter Clothes Children]]+Table_NFI[[#This Row],[Winter Items Other]]+Table_NFI[[#This Row],[Winter Blanket]]&gt;0,1,0)</f>
        <v>0</v>
      </c>
      <c r="AN831" s="418">
        <f>IF(NFI_Expiration=1,IF($A831&lt;VLOOKUP(V$5,NFI,5,0),1,0)*Table_NFI[[#This Row],[Jerry Can]],Table_NFI[Jerry Can])</f>
        <v>0</v>
      </c>
      <c r="AO831" s="579" t="str">
        <f>IFERROR(VLOOKUP(Table_NFI[[#This Row],[Camp Name]],CL,2,0),"")</f>
        <v>MMR001CMP023</v>
      </c>
      <c r="AP831" s="574">
        <f ca="1">IF(Table_NFI[[#This Row],[Pcode]]="","",IF(OFFSET(CampList[Opening Date],MATCH(Table_NFI[[#This Row],[Pcode]],CampList[CP_Pcode],0)-1,0,1,1)&gt;=NFI_Monitor_Date,1,0))</f>
        <v>0</v>
      </c>
      <c r="AQ831" s="579" t="str">
        <f>IFERROR(VLOOKUP(Table_NFI[[#This Row],[Camp Name]],CL,3,0),"")</f>
        <v>Open</v>
      </c>
      <c r="AR831" s="378" t="str">
        <f ca="1">IF(Table_NFI[[#This Row],[Pcode]]="","",OFFSET(CampList[Priority],MATCH(Table_NFI[[#This Row],[Pcode]],CampList[CP_Pcode],0)-1,0,1,1))</f>
        <v>P4</v>
      </c>
      <c r="AS831" s="377">
        <f>IFERROR(Table_NFI[[#This Row],[Kitchen Set]]/VLOOKUP(Table_NFI[[#This Row],[Camp Name]],CL,4,0),"")</f>
        <v>3.7037037037037035E-2</v>
      </c>
      <c r="AT831" s="572" t="s">
        <v>1095</v>
      </c>
      <c r="AU831" s="575"/>
    </row>
    <row r="832" spans="1:47" x14ac:dyDescent="0.25">
      <c r="A832" s="381">
        <f t="shared" si="12"/>
        <v>5.7666666666666666</v>
      </c>
      <c r="B832" s="571">
        <v>42349</v>
      </c>
      <c r="C832" s="577" t="s">
        <v>454</v>
      </c>
      <c r="D832" s="577" t="s">
        <v>507</v>
      </c>
      <c r="E832" s="577" t="s">
        <v>380</v>
      </c>
      <c r="F832" s="577" t="s">
        <v>237</v>
      </c>
      <c r="G832" s="577" t="s">
        <v>249</v>
      </c>
      <c r="H832" s="376"/>
      <c r="I832" s="376"/>
      <c r="J832" s="376"/>
      <c r="K832" s="376"/>
      <c r="L832" s="376"/>
      <c r="M832" s="376"/>
      <c r="N832" s="376"/>
      <c r="O832" s="376"/>
      <c r="P832" s="378"/>
      <c r="Q832" s="378"/>
      <c r="R832" s="378"/>
      <c r="S832" s="378"/>
      <c r="T832" s="378"/>
      <c r="U832" s="378">
        <v>11</v>
      </c>
      <c r="V832" s="533"/>
      <c r="W832" s="378"/>
      <c r="X832" s="378"/>
      <c r="Y832" s="378">
        <f>IF(NFI_Expiration=1,IF($A832&lt;VLOOKUP(H$5,NFI,5,0),1,0)*Table_NFI[[#This Row],[Hygiene Kit]],Table_NFI[Hygiene Kit])</f>
        <v>0</v>
      </c>
      <c r="Z832" s="378">
        <f>IF(NFI_Expiration=1,IF($A832&lt;VLOOKUP(I$5,NFI,5,0),1,0)*Table_NFI[[#This Row],[NFI Core Kit]],Table_NFI[NFI Core Kit])</f>
        <v>0</v>
      </c>
      <c r="AA832" s="378">
        <f>IF(NFI_Expiration=1,IF($A832&lt;VLOOKUP(J$5,NFI,5,0),1,0)*Table_NFI[[#This Row],[Sanitary Kit]],Table_NFI[Sanitary Kit])</f>
        <v>0</v>
      </c>
      <c r="AB832" s="378">
        <f>IF(NFI_Expiration=1,IF($A832&lt;VLOOKUP(K$5,NFI,5,0),1,0)*Table_NFI[[#This Row],[Mosquito net]],Table_NFI[Mosquito net])</f>
        <v>0</v>
      </c>
      <c r="AC832" s="378">
        <f>IF(NFI_Expiration=1,IF($A832&lt;VLOOKUP(L$5,NFI,5,0),1,0)*Table_NFI[[#This Row],[Tarpaulin]],Table_NFI[[#This Row],[Tarpaulin]])</f>
        <v>0</v>
      </c>
      <c r="AD832" s="378">
        <f>IF(NFI_Expiration=1,IF($A832&lt;VLOOKUP(M$5,NFI,5,0),1,0)*Table_NFI[[#This Row],[Blanket]],Table_NFI[[#This Row],[Blanket]])</f>
        <v>0</v>
      </c>
      <c r="AE832" s="378">
        <f>IF(NFI_Expiration=1,IF($A832&lt;VLOOKUP(N$5,NFI,5,0),1,0)*Table_NFI[[#This Row],[Kitchen Set]],Table_NFI[Kitchen Set])</f>
        <v>0</v>
      </c>
      <c r="AF832" s="378">
        <f>IF(NFI_Expiration=1,IF($A832&lt;VLOOKUP(O$5,NFI,5,0),1,0)*Table_NFI[[#This Row],[Clothes Kit]],Table_NFI[Clothes Kit])</f>
        <v>0</v>
      </c>
      <c r="AG832" s="378">
        <f>IF(NFI_Expiration=1,IF($A832&lt;VLOOKUP(P$5,NFI,5,0),1,0)*Table_NFI[[#This Row],[Plastic Bucket]],Table_NFI[Plastic Bucket])</f>
        <v>0</v>
      </c>
      <c r="AH832" s="378">
        <f>IF(NFI_Expiration=1,IF($A832&lt;VLOOKUP(Q$5,NFI,5,0),1,0)*Table_NFI[[#This Row],[Plastic Mat]],Table_NFI[Plastic Mat])*IF(Table_NFI[[#This Row],[Distribution Date]]&gt;"2014-04-01",1,2.5)</f>
        <v>0</v>
      </c>
      <c r="AI832" s="378">
        <f>IF(NFI_Expiration=1,IF($A832&lt;VLOOKUP(R$5,NFI,5,0),1,0)*Table_NFI[[#This Row],[Winter Clothes Adult]],Table_NFI[Winter Clothes Adult])</f>
        <v>0</v>
      </c>
      <c r="AJ832" s="378">
        <f>IF(NFI_Expiration=1,IF($A832&lt;VLOOKUP(S$5,NFI,5,0),1,0)*Table_NFI[[#This Row],[Winter Clothes Children]],Table_NFI[Winter Clothes Children])</f>
        <v>0</v>
      </c>
      <c r="AK832" s="378">
        <f>IF(NFI_Expiration=1,IF($A832&lt;VLOOKUP(T$5,NFI,5,0),1,0)*Table_NFI[[#This Row],[Winter Items Other]],Table_NFI[Winter Items Other])</f>
        <v>0</v>
      </c>
      <c r="AL832" s="378">
        <f>IF(NFI_Expiration=1,IF($A832&lt;VLOOKUP(M$5,NFI,5,0),1,0)*Table_NFI[[#This Row],[Winter Blanket]],Table_NFI[[#This Row],[Winter Blanket]])</f>
        <v>11</v>
      </c>
      <c r="AM832" s="378">
        <f>IF(Table_NFI[[#This Row],[Winter Clothes Adult]]+Table_NFI[[#This Row],[Winter Clothes Children]]+Table_NFI[[#This Row],[Winter Items Other]]+Table_NFI[[#This Row],[Winter Blanket]]&gt;0,1,0)</f>
        <v>1</v>
      </c>
      <c r="AN832" s="418">
        <f>IF(NFI_Expiration=1,IF($A832&lt;VLOOKUP(V$5,NFI,5,0),1,0)*Table_NFI[[#This Row],[Jerry Can]],Table_NFI[Jerry Can])</f>
        <v>0</v>
      </c>
      <c r="AO832" s="579" t="str">
        <f>IFERROR(VLOOKUP(Table_NFI[[#This Row],[Camp Name]],CL,2,0),"")</f>
        <v>MMR001CMP004</v>
      </c>
      <c r="AP832" s="574">
        <f ca="1">IF(Table_NFI[[#This Row],[Pcode]]="","",IF(OFFSET(CampList[Opening Date],MATCH(Table_NFI[[#This Row],[Pcode]],CampList[CP_Pcode],0)-1,0,1,1)&gt;=NFI_Monitor_Date,1,0))</f>
        <v>0</v>
      </c>
      <c r="AQ832" s="579" t="str">
        <f>IFERROR(VLOOKUP(Table_NFI[[#This Row],[Camp Name]],CL,3,0),"")</f>
        <v>Open</v>
      </c>
      <c r="AR832" s="378" t="str">
        <f ca="1">IF(Table_NFI[[#This Row],[Pcode]]="","",OFFSET(CampList[Priority],MATCH(Table_NFI[[#This Row],[Pcode]],CampList[CP_Pcode],0)-1,0,1,1))</f>
        <v>P4</v>
      </c>
      <c r="AS832" s="377">
        <f>IFERROR(Table_NFI[[#This Row],[Kitchen Set]]/VLOOKUP(Table_NFI[[#This Row],[Camp Name]],CL,4,0),"")</f>
        <v>0</v>
      </c>
      <c r="AT832" s="572" t="s">
        <v>1095</v>
      </c>
      <c r="AU832" s="580"/>
    </row>
    <row r="833" spans="1:47" x14ac:dyDescent="0.25">
      <c r="A833" s="381">
        <f t="shared" si="12"/>
        <v>9.8333333333333339</v>
      </c>
      <c r="B833" s="571">
        <v>42227</v>
      </c>
      <c r="C833" s="577" t="s">
        <v>454</v>
      </c>
      <c r="D833" s="577" t="s">
        <v>507</v>
      </c>
      <c r="E833" s="577" t="s">
        <v>380</v>
      </c>
      <c r="F833" s="577" t="s">
        <v>237</v>
      </c>
      <c r="G833" s="577" t="s">
        <v>249</v>
      </c>
      <c r="H833" s="376"/>
      <c r="I833" s="376"/>
      <c r="J833" s="376"/>
      <c r="K833" s="376">
        <v>6</v>
      </c>
      <c r="L833" s="376">
        <v>4</v>
      </c>
      <c r="M833" s="376">
        <v>6</v>
      </c>
      <c r="N833" s="376">
        <v>4</v>
      </c>
      <c r="O833" s="376"/>
      <c r="P833" s="378">
        <v>4</v>
      </c>
      <c r="Q833" s="378">
        <v>10</v>
      </c>
      <c r="R833" s="378"/>
      <c r="S833" s="378"/>
      <c r="T833" s="378"/>
      <c r="U833" s="378"/>
      <c r="V833" s="533">
        <v>4</v>
      </c>
      <c r="W833" s="378"/>
      <c r="X833" s="378"/>
      <c r="Y833" s="378">
        <f>IF(NFI_Expiration=1,IF($A833&lt;VLOOKUP(H$5,NFI,5,0),1,0)*Table_NFI[[#This Row],[Hygiene Kit]],Table_NFI[Hygiene Kit])</f>
        <v>0</v>
      </c>
      <c r="Z833" s="378">
        <f>IF(NFI_Expiration=1,IF($A833&lt;VLOOKUP(I$5,NFI,5,0),1,0)*Table_NFI[[#This Row],[NFI Core Kit]],Table_NFI[NFI Core Kit])</f>
        <v>0</v>
      </c>
      <c r="AA833" s="378">
        <f>IF(NFI_Expiration=1,IF($A833&lt;VLOOKUP(J$5,NFI,5,0),1,0)*Table_NFI[[#This Row],[Sanitary Kit]],Table_NFI[Sanitary Kit])</f>
        <v>0</v>
      </c>
      <c r="AB833" s="378">
        <f>IF(NFI_Expiration=1,IF($A833&lt;VLOOKUP(K$5,NFI,5,0),1,0)*Table_NFI[[#This Row],[Mosquito net]],Table_NFI[Mosquito net])</f>
        <v>6</v>
      </c>
      <c r="AC833" s="378">
        <f>IF(NFI_Expiration=1,IF($A833&lt;VLOOKUP(L$5,NFI,5,0),1,0)*Table_NFI[[#This Row],[Tarpaulin]],Table_NFI[[#This Row],[Tarpaulin]])</f>
        <v>4</v>
      </c>
      <c r="AD833" s="378">
        <f>IF(NFI_Expiration=1,IF($A833&lt;VLOOKUP(M$5,NFI,5,0),1,0)*Table_NFI[[#This Row],[Blanket]],Table_NFI[[#This Row],[Blanket]])</f>
        <v>6</v>
      </c>
      <c r="AE833" s="378">
        <f>IF(NFI_Expiration=1,IF($A833&lt;VLOOKUP(N$5,NFI,5,0),1,0)*Table_NFI[[#This Row],[Kitchen Set]],Table_NFI[Kitchen Set])</f>
        <v>4</v>
      </c>
      <c r="AF833" s="378">
        <f>IF(NFI_Expiration=1,IF($A833&lt;VLOOKUP(O$5,NFI,5,0),1,0)*Table_NFI[[#This Row],[Clothes Kit]],Table_NFI[Clothes Kit])</f>
        <v>0</v>
      </c>
      <c r="AG833" s="378">
        <f>IF(NFI_Expiration=1,IF($A833&lt;VLOOKUP(P$5,NFI,5,0),1,0)*Table_NFI[[#This Row],[Plastic Bucket]],Table_NFI[Plastic Bucket])</f>
        <v>4</v>
      </c>
      <c r="AH833" s="378">
        <f>IF(NFI_Expiration=1,IF($A833&lt;VLOOKUP(Q$5,NFI,5,0),1,0)*Table_NFI[[#This Row],[Plastic Mat]],Table_NFI[Plastic Mat])*IF(Table_NFI[[#This Row],[Distribution Date]]&gt;"2014-04-01",1,2.5)</f>
        <v>25</v>
      </c>
      <c r="AI833" s="378">
        <f>IF(NFI_Expiration=1,IF($A833&lt;VLOOKUP(R$5,NFI,5,0),1,0)*Table_NFI[[#This Row],[Winter Clothes Adult]],Table_NFI[Winter Clothes Adult])</f>
        <v>0</v>
      </c>
      <c r="AJ833" s="378">
        <f>IF(NFI_Expiration=1,IF($A833&lt;VLOOKUP(S$5,NFI,5,0),1,0)*Table_NFI[[#This Row],[Winter Clothes Children]],Table_NFI[Winter Clothes Children])</f>
        <v>0</v>
      </c>
      <c r="AK833" s="378">
        <f>IF(NFI_Expiration=1,IF($A833&lt;VLOOKUP(T$5,NFI,5,0),1,0)*Table_NFI[[#This Row],[Winter Items Other]],Table_NFI[Winter Items Other])</f>
        <v>0</v>
      </c>
      <c r="AL833" s="378">
        <f>IF(NFI_Expiration=1,IF($A833&lt;VLOOKUP(M$5,NFI,5,0),1,0)*Table_NFI[[#This Row],[Winter Blanket]],Table_NFI[[#This Row],[Winter Blanket]])</f>
        <v>0</v>
      </c>
      <c r="AM833" s="378">
        <f>IF(Table_NFI[[#This Row],[Winter Clothes Adult]]+Table_NFI[[#This Row],[Winter Clothes Children]]+Table_NFI[[#This Row],[Winter Items Other]]+Table_NFI[[#This Row],[Winter Blanket]]&gt;0,1,0)</f>
        <v>0</v>
      </c>
      <c r="AN833" s="418">
        <f>IF(NFI_Expiration=1,IF($A833&lt;VLOOKUP(V$5,NFI,5,0),1,0)*Table_NFI[[#This Row],[Jerry Can]],Table_NFI[Jerry Can])</f>
        <v>4</v>
      </c>
      <c r="AO833" s="579" t="str">
        <f>IFERROR(VLOOKUP(Table_NFI[[#This Row],[Camp Name]],CL,2,0),"")</f>
        <v>MMR001CMP004</v>
      </c>
      <c r="AP833" s="574">
        <f ca="1">IF(Table_NFI[[#This Row],[Pcode]]="","",IF(OFFSET(CampList[Opening Date],MATCH(Table_NFI[[#This Row],[Pcode]],CampList[CP_Pcode],0)-1,0,1,1)&gt;=NFI_Monitor_Date,1,0))</f>
        <v>0</v>
      </c>
      <c r="AQ833" s="579" t="str">
        <f>IFERROR(VLOOKUP(Table_NFI[[#This Row],[Camp Name]],CL,3,0),"")</f>
        <v>Open</v>
      </c>
      <c r="AR833" s="378" t="str">
        <f ca="1">IF(Table_NFI[[#This Row],[Pcode]]="","",OFFSET(CampList[Priority],MATCH(Table_NFI[[#This Row],[Pcode]],CampList[CP_Pcode],0)-1,0,1,1))</f>
        <v>P4</v>
      </c>
      <c r="AS833" s="377">
        <f>IFERROR(Table_NFI[[#This Row],[Kitchen Set]]/VLOOKUP(Table_NFI[[#This Row],[Camp Name]],CL,4,0),"")</f>
        <v>0.66666666666666663</v>
      </c>
      <c r="AT833" s="572" t="s">
        <v>1095</v>
      </c>
      <c r="AU833" s="580"/>
    </row>
    <row r="834" spans="1:47" x14ac:dyDescent="0.25">
      <c r="A834" s="381">
        <f t="shared" si="12"/>
        <v>20.3</v>
      </c>
      <c r="B834" s="571">
        <v>41913</v>
      </c>
      <c r="C834" s="572" t="s">
        <v>454</v>
      </c>
      <c r="D834" s="577" t="s">
        <v>507</v>
      </c>
      <c r="E834" s="577" t="s">
        <v>380</v>
      </c>
      <c r="F834" s="577" t="s">
        <v>237</v>
      </c>
      <c r="G834" s="577" t="s">
        <v>249</v>
      </c>
      <c r="H834" s="376"/>
      <c r="I834" s="376"/>
      <c r="J834" s="376"/>
      <c r="K834" s="376">
        <v>26</v>
      </c>
      <c r="L834" s="376"/>
      <c r="M834" s="376"/>
      <c r="N834" s="376"/>
      <c r="O834" s="376"/>
      <c r="P834" s="378"/>
      <c r="Q834" s="378"/>
      <c r="R834" s="378"/>
      <c r="S834" s="378"/>
      <c r="T834" s="378"/>
      <c r="U834" s="378"/>
      <c r="V834" s="533"/>
      <c r="W834" s="378"/>
      <c r="X834" s="378"/>
      <c r="Y834" s="378">
        <f>IF(NFI_Expiration=1,IF($A834&lt;VLOOKUP(H$5,NFI,5,0),1,0)*Table_NFI[[#This Row],[Hygiene Kit]],Table_NFI[Hygiene Kit])</f>
        <v>0</v>
      </c>
      <c r="Z834" s="378">
        <f>IF(NFI_Expiration=1,IF($A834&lt;VLOOKUP(I$5,NFI,5,0),1,0)*Table_NFI[[#This Row],[NFI Core Kit]],Table_NFI[NFI Core Kit])</f>
        <v>0</v>
      </c>
      <c r="AA834" s="378">
        <f>IF(NFI_Expiration=1,IF($A834&lt;VLOOKUP(J$5,NFI,5,0),1,0)*Table_NFI[[#This Row],[Sanitary Kit]],Table_NFI[Sanitary Kit])</f>
        <v>0</v>
      </c>
      <c r="AB834" s="378">
        <f>IF(NFI_Expiration=1,IF($A834&lt;VLOOKUP(K$5,NFI,5,0),1,0)*Table_NFI[[#This Row],[Mosquito net]],Table_NFI[Mosquito net])</f>
        <v>0</v>
      </c>
      <c r="AC834" s="378">
        <f>IF(NFI_Expiration=1,IF($A834&lt;VLOOKUP(L$5,NFI,5,0),1,0)*Table_NFI[[#This Row],[Tarpaulin]],Table_NFI[[#This Row],[Tarpaulin]])</f>
        <v>0</v>
      </c>
      <c r="AD834" s="378">
        <f>IF(NFI_Expiration=1,IF($A834&lt;VLOOKUP(M$5,NFI,5,0),1,0)*Table_NFI[[#This Row],[Blanket]],Table_NFI[[#This Row],[Blanket]])</f>
        <v>0</v>
      </c>
      <c r="AE834" s="378">
        <f>IF(NFI_Expiration=1,IF($A834&lt;VLOOKUP(N$5,NFI,5,0),1,0)*Table_NFI[[#This Row],[Kitchen Set]],Table_NFI[Kitchen Set])</f>
        <v>0</v>
      </c>
      <c r="AF834" s="378">
        <f>IF(NFI_Expiration=1,IF($A834&lt;VLOOKUP(O$5,NFI,5,0),1,0)*Table_NFI[[#This Row],[Clothes Kit]],Table_NFI[Clothes Kit])</f>
        <v>0</v>
      </c>
      <c r="AG834" s="378">
        <f>IF(NFI_Expiration=1,IF($A834&lt;VLOOKUP(P$5,NFI,5,0),1,0)*Table_NFI[[#This Row],[Plastic Bucket]],Table_NFI[Plastic Bucket])</f>
        <v>0</v>
      </c>
      <c r="AH834" s="378">
        <f>IF(NFI_Expiration=1,IF($A834&lt;VLOOKUP(Q$5,NFI,5,0),1,0)*Table_NFI[[#This Row],[Plastic Mat]],Table_NFI[Plastic Mat])*IF(Table_NFI[[#This Row],[Distribution Date]]&gt;"2014-04-01",1,2.5)</f>
        <v>0</v>
      </c>
      <c r="AI834" s="378">
        <f>IF(NFI_Expiration=1,IF($A834&lt;VLOOKUP(R$5,NFI,5,0),1,0)*Table_NFI[[#This Row],[Winter Clothes Adult]],Table_NFI[Winter Clothes Adult])</f>
        <v>0</v>
      </c>
      <c r="AJ834" s="378">
        <f>IF(NFI_Expiration=1,IF($A834&lt;VLOOKUP(S$5,NFI,5,0),1,0)*Table_NFI[[#This Row],[Winter Clothes Children]],Table_NFI[Winter Clothes Children])</f>
        <v>0</v>
      </c>
      <c r="AK834" s="378">
        <f>IF(NFI_Expiration=1,IF($A834&lt;VLOOKUP(T$5,NFI,5,0),1,0)*Table_NFI[[#This Row],[Winter Items Other]],Table_NFI[Winter Items Other])</f>
        <v>0</v>
      </c>
      <c r="AL834" s="378">
        <f>IF(NFI_Expiration=1,IF($A834&lt;VLOOKUP(M$5,NFI,5,0),1,0)*Table_NFI[[#This Row],[Winter Blanket]],Table_NFI[[#This Row],[Winter Blanket]])</f>
        <v>0</v>
      </c>
      <c r="AM834" s="378">
        <f>IF(Table_NFI[[#This Row],[Winter Clothes Adult]]+Table_NFI[[#This Row],[Winter Clothes Children]]+Table_NFI[[#This Row],[Winter Items Other]]+Table_NFI[[#This Row],[Winter Blanket]]&gt;0,1,0)</f>
        <v>0</v>
      </c>
      <c r="AN834" s="418">
        <f>IF(NFI_Expiration=1,IF($A834&lt;VLOOKUP(V$5,NFI,5,0),1,0)*Table_NFI[[#This Row],[Jerry Can]],Table_NFI[Jerry Can])</f>
        <v>0</v>
      </c>
      <c r="AO834" s="579" t="str">
        <f>IFERROR(VLOOKUP(Table_NFI[[#This Row],[Camp Name]],CL,2,0),"")</f>
        <v>MMR001CMP004</v>
      </c>
      <c r="AP834" s="574">
        <f ca="1">IF(Table_NFI[[#This Row],[Pcode]]="","",IF(OFFSET(CampList[Opening Date],MATCH(Table_NFI[[#This Row],[Pcode]],CampList[CP_Pcode],0)-1,0,1,1)&gt;=NFI_Monitor_Date,1,0))</f>
        <v>0</v>
      </c>
      <c r="AQ834" s="579" t="str">
        <f>IFERROR(VLOOKUP(Table_NFI[[#This Row],[Camp Name]],CL,3,0),"")</f>
        <v>Open</v>
      </c>
      <c r="AR834" s="378" t="str">
        <f ca="1">IF(Table_NFI[[#This Row],[Pcode]]="","",OFFSET(CampList[Priority],MATCH(Table_NFI[[#This Row],[Pcode]],CampList[CP_Pcode],0)-1,0,1,1))</f>
        <v>P4</v>
      </c>
      <c r="AS834" s="377">
        <f>IFERROR(Table_NFI[[#This Row],[Kitchen Set]]/VLOOKUP(Table_NFI[[#This Row],[Camp Name]],CL,4,0),"")</f>
        <v>0</v>
      </c>
      <c r="AT834" s="577"/>
      <c r="AU834" s="580"/>
    </row>
    <row r="835" spans="1:47" x14ac:dyDescent="0.25">
      <c r="A835" s="381">
        <f t="shared" si="12"/>
        <v>23.733333333333334</v>
      </c>
      <c r="B835" s="571">
        <v>41810</v>
      </c>
      <c r="C835" s="572" t="s">
        <v>1107</v>
      </c>
      <c r="D835" s="572" t="s">
        <v>903</v>
      </c>
      <c r="E835" s="572" t="s">
        <v>380</v>
      </c>
      <c r="F835" s="572" t="s">
        <v>237</v>
      </c>
      <c r="G835" s="572" t="s">
        <v>249</v>
      </c>
      <c r="H835" s="375"/>
      <c r="I835" s="375"/>
      <c r="J835" s="375"/>
      <c r="K835" s="375"/>
      <c r="L835" s="376"/>
      <c r="M835" s="376"/>
      <c r="N835" s="376"/>
      <c r="O835" s="376"/>
      <c r="P835" s="378"/>
      <c r="Q835" s="378"/>
      <c r="R835" s="378"/>
      <c r="S835" s="378"/>
      <c r="T835" s="378"/>
      <c r="U835" s="378">
        <v>16</v>
      </c>
      <c r="V835" s="533"/>
      <c r="W835" s="378"/>
      <c r="X835" s="378"/>
      <c r="Y835" s="378">
        <f>IF(NFI_Expiration=1,IF($A835&lt;VLOOKUP(H$5,NFI,5,0),1,0)*Table_NFI[[#This Row],[Hygiene Kit]],Table_NFI[Hygiene Kit])</f>
        <v>0</v>
      </c>
      <c r="Z835" s="378">
        <f>IF(NFI_Expiration=1,IF($A835&lt;VLOOKUP(I$5,NFI,5,0),1,0)*Table_NFI[[#This Row],[NFI Core Kit]],Table_NFI[NFI Core Kit])</f>
        <v>0</v>
      </c>
      <c r="AA835" s="378">
        <f>IF(NFI_Expiration=1,IF($A835&lt;VLOOKUP(J$5,NFI,5,0),1,0)*Table_NFI[[#This Row],[Sanitary Kit]],Table_NFI[Sanitary Kit])</f>
        <v>0</v>
      </c>
      <c r="AB835" s="378">
        <f>IF(NFI_Expiration=1,IF($A835&lt;VLOOKUP(K$5,NFI,5,0),1,0)*Table_NFI[[#This Row],[Mosquito net]],Table_NFI[Mosquito net])</f>
        <v>0</v>
      </c>
      <c r="AC835" s="378">
        <f>IF(NFI_Expiration=1,IF($A835&lt;VLOOKUP(L$5,NFI,5,0),1,0)*Table_NFI[[#This Row],[Tarpaulin]],Table_NFI[[#This Row],[Tarpaulin]])</f>
        <v>0</v>
      </c>
      <c r="AD835" s="378">
        <f>IF(NFI_Expiration=1,IF($A835&lt;VLOOKUP(M$5,NFI,5,0),1,0)*Table_NFI[[#This Row],[Blanket]],Table_NFI[[#This Row],[Blanket]])</f>
        <v>0</v>
      </c>
      <c r="AE835" s="378">
        <f>IF(NFI_Expiration=1,IF($A835&lt;VLOOKUP(N$5,NFI,5,0),1,0)*Table_NFI[[#This Row],[Kitchen Set]],Table_NFI[Kitchen Set])</f>
        <v>0</v>
      </c>
      <c r="AF835" s="378">
        <f>IF(NFI_Expiration=1,IF($A835&lt;VLOOKUP(O$5,NFI,5,0),1,0)*Table_NFI[[#This Row],[Clothes Kit]],Table_NFI[Clothes Kit])</f>
        <v>0</v>
      </c>
      <c r="AG835" s="378">
        <f>IF(NFI_Expiration=1,IF($A835&lt;VLOOKUP(P$5,NFI,5,0),1,0)*Table_NFI[[#This Row],[Plastic Bucket]],Table_NFI[Plastic Bucket])</f>
        <v>0</v>
      </c>
      <c r="AH835" s="378">
        <f>IF(NFI_Expiration=1,IF($A835&lt;VLOOKUP(Q$5,NFI,5,0),1,0)*Table_NFI[[#This Row],[Plastic Mat]],Table_NFI[Plastic Mat])*IF(Table_NFI[[#This Row],[Distribution Date]]&gt;"2014-04-01",1,2.5)</f>
        <v>0</v>
      </c>
      <c r="AI835" s="378">
        <f>IF(NFI_Expiration=1,IF($A835&lt;VLOOKUP(R$5,NFI,5,0),1,0)*Table_NFI[[#This Row],[Winter Clothes Adult]],Table_NFI[Winter Clothes Adult])</f>
        <v>0</v>
      </c>
      <c r="AJ835" s="378">
        <f>IF(NFI_Expiration=1,IF($A835&lt;VLOOKUP(S$5,NFI,5,0),1,0)*Table_NFI[[#This Row],[Winter Clothes Children]],Table_NFI[Winter Clothes Children])</f>
        <v>0</v>
      </c>
      <c r="AK835" s="378">
        <f>IF(NFI_Expiration=1,IF($A835&lt;VLOOKUP(T$5,NFI,5,0),1,0)*Table_NFI[[#This Row],[Winter Items Other]],Table_NFI[Winter Items Other])</f>
        <v>0</v>
      </c>
      <c r="AL835" s="378">
        <f>IF(NFI_Expiration=1,IF($A835&lt;VLOOKUP(M$5,NFI,5,0),1,0)*Table_NFI[[#This Row],[Winter Blanket]],Table_NFI[[#This Row],[Winter Blanket]])</f>
        <v>0</v>
      </c>
      <c r="AM835" s="378">
        <f>IF(Table_NFI[[#This Row],[Winter Clothes Adult]]+Table_NFI[[#This Row],[Winter Clothes Children]]+Table_NFI[[#This Row],[Winter Items Other]]+Table_NFI[[#This Row],[Winter Blanket]]&gt;0,1,0)</f>
        <v>1</v>
      </c>
      <c r="AN835" s="418">
        <f>IF(NFI_Expiration=1,IF($A835&lt;VLOOKUP(V$5,NFI,5,0),1,0)*Table_NFI[[#This Row],[Jerry Can]],Table_NFI[Jerry Can])</f>
        <v>0</v>
      </c>
      <c r="AO835" s="579" t="str">
        <f>IFERROR(VLOOKUP(Table_NFI[[#This Row],[Camp Name]],CL,2,0),"")</f>
        <v>MMR001CMP004</v>
      </c>
      <c r="AP835" s="574">
        <f ca="1">IF(Table_NFI[[#This Row],[Pcode]]="","",IF(OFFSET(CampList[Opening Date],MATCH(Table_NFI[[#This Row],[Pcode]],CampList[CP_Pcode],0)-1,0,1,1)&gt;=NFI_Monitor_Date,1,0))</f>
        <v>0</v>
      </c>
      <c r="AQ835" s="579" t="str">
        <f>IFERROR(VLOOKUP(Table_NFI[[#This Row],[Camp Name]],CL,3,0),"")</f>
        <v>Open</v>
      </c>
      <c r="AR835" s="378" t="str">
        <f ca="1">IF(Table_NFI[[#This Row],[Pcode]]="","",OFFSET(CampList[Priority],MATCH(Table_NFI[[#This Row],[Pcode]],CampList[CP_Pcode],0)-1,0,1,1))</f>
        <v>P4</v>
      </c>
      <c r="AS835" s="377">
        <f>IFERROR(Table_NFI[[#This Row],[Kitchen Set]]/VLOOKUP(Table_NFI[[#This Row],[Camp Name]],CL,4,0),"")</f>
        <v>0</v>
      </c>
      <c r="AT835" s="572"/>
      <c r="AU835" s="575"/>
    </row>
    <row r="836" spans="1:47" x14ac:dyDescent="0.25">
      <c r="A836" s="381">
        <f t="shared" si="12"/>
        <v>41.6</v>
      </c>
      <c r="B836" s="571">
        <v>41274</v>
      </c>
      <c r="C836" s="572" t="s">
        <v>455</v>
      </c>
      <c r="D836" s="573" t="s">
        <v>455</v>
      </c>
      <c r="E836" s="572" t="s">
        <v>380</v>
      </c>
      <c r="F836" s="374" t="s">
        <v>237</v>
      </c>
      <c r="G836" s="374" t="s">
        <v>249</v>
      </c>
      <c r="H836" s="375">
        <v>14</v>
      </c>
      <c r="I836" s="375"/>
      <c r="J836" s="375"/>
      <c r="K836" s="375"/>
      <c r="L836" s="376"/>
      <c r="M836" s="376"/>
      <c r="N836" s="376"/>
      <c r="O836" s="376"/>
      <c r="P836" s="378">
        <v>0</v>
      </c>
      <c r="Q836" s="378">
        <v>0</v>
      </c>
      <c r="R836" s="378"/>
      <c r="S836" s="378"/>
      <c r="T836" s="378"/>
      <c r="U836" s="378"/>
      <c r="V836" s="533"/>
      <c r="W836" s="378"/>
      <c r="X836" s="378"/>
      <c r="Y836" s="378">
        <f>IF(NFI_Expiration=1,IF($A836&lt;VLOOKUP(H$5,NFI,5,0),1,0)*Table_NFI[[#This Row],[Hygiene Kit]],Table_NFI[Hygiene Kit])</f>
        <v>0</v>
      </c>
      <c r="Z836" s="378">
        <f>IF(NFI_Expiration=1,IF($A836&lt;VLOOKUP(I$5,NFI,5,0),1,0)*Table_NFI[[#This Row],[NFI Core Kit]],Table_NFI[NFI Core Kit])</f>
        <v>0</v>
      </c>
      <c r="AA836" s="378">
        <f>IF(NFI_Expiration=1,IF($A836&lt;VLOOKUP(J$5,NFI,5,0),1,0)*Table_NFI[[#This Row],[Sanitary Kit]],Table_NFI[Sanitary Kit])</f>
        <v>0</v>
      </c>
      <c r="AB836" s="378">
        <f>IF(NFI_Expiration=1,IF($A836&lt;VLOOKUP(K$5,NFI,5,0),1,0)*Table_NFI[[#This Row],[Mosquito net]],Table_NFI[Mosquito net])</f>
        <v>0</v>
      </c>
      <c r="AC836" s="378">
        <f>IF(NFI_Expiration=1,IF($A836&lt;VLOOKUP(L$5,NFI,5,0),1,0)*Table_NFI[[#This Row],[Tarpaulin]],Table_NFI[[#This Row],[Tarpaulin]])</f>
        <v>0</v>
      </c>
      <c r="AD836" s="378">
        <f>IF(NFI_Expiration=1,IF($A836&lt;VLOOKUP(M$5,NFI,5,0),1,0)*Table_NFI[[#This Row],[Blanket]],Table_NFI[[#This Row],[Blanket]])</f>
        <v>0</v>
      </c>
      <c r="AE836" s="378">
        <f>IF(NFI_Expiration=1,IF($A836&lt;VLOOKUP(N$5,NFI,5,0),1,0)*Table_NFI[[#This Row],[Kitchen Set]],Table_NFI[Kitchen Set])</f>
        <v>0</v>
      </c>
      <c r="AF836" s="378">
        <f>IF(NFI_Expiration=1,IF($A836&lt;VLOOKUP(O$5,NFI,5,0),1,0)*Table_NFI[[#This Row],[Clothes Kit]],Table_NFI[Clothes Kit])</f>
        <v>0</v>
      </c>
      <c r="AG836" s="378">
        <f>IF(NFI_Expiration=1,IF($A836&lt;VLOOKUP(P$5,NFI,5,0),1,0)*Table_NFI[[#This Row],[Plastic Bucket]],Table_NFI[Plastic Bucket])</f>
        <v>0</v>
      </c>
      <c r="AH836" s="378">
        <f>IF(NFI_Expiration=1,IF($A836&lt;VLOOKUP(Q$5,NFI,5,0),1,0)*Table_NFI[[#This Row],[Plastic Mat]],Table_NFI[Plastic Mat])*IF(Table_NFI[[#This Row],[Distribution Date]]&gt;"2014-04-01",1,2.5)</f>
        <v>0</v>
      </c>
      <c r="AI836" s="378">
        <f>IF(NFI_Expiration=1,IF($A836&lt;VLOOKUP(R$5,NFI,5,0),1,0)*Table_NFI[[#This Row],[Winter Clothes Adult]],Table_NFI[Winter Clothes Adult])</f>
        <v>0</v>
      </c>
      <c r="AJ836" s="378">
        <f>IF(NFI_Expiration=1,IF($A836&lt;VLOOKUP(S$5,NFI,5,0),1,0)*Table_NFI[[#This Row],[Winter Clothes Children]],Table_NFI[Winter Clothes Children])</f>
        <v>0</v>
      </c>
      <c r="AK836" s="378">
        <f>IF(NFI_Expiration=1,IF($A836&lt;VLOOKUP(T$5,NFI,5,0),1,0)*Table_NFI[[#This Row],[Winter Items Other]],Table_NFI[Winter Items Other])</f>
        <v>0</v>
      </c>
      <c r="AL836" s="378">
        <f>IF(NFI_Expiration=1,IF($A836&lt;VLOOKUP(M$5,NFI,5,0),1,0)*Table_NFI[[#This Row],[Winter Blanket]],Table_NFI[[#This Row],[Winter Blanket]])</f>
        <v>0</v>
      </c>
      <c r="AM836" s="378">
        <f>IF(Table_NFI[[#This Row],[Winter Clothes Adult]]+Table_NFI[[#This Row],[Winter Clothes Children]]+Table_NFI[[#This Row],[Winter Items Other]]+Table_NFI[[#This Row],[Winter Blanket]]&gt;0,1,0)</f>
        <v>0</v>
      </c>
      <c r="AN836" s="418">
        <f>IF(NFI_Expiration=1,IF($A836&lt;VLOOKUP(V$5,NFI,5,0),1,0)*Table_NFI[[#This Row],[Jerry Can]],Table_NFI[Jerry Can])</f>
        <v>0</v>
      </c>
      <c r="AO836" s="579" t="str">
        <f>IFERROR(VLOOKUP(Table_NFI[[#This Row],[Camp Name]],CL,2,0),"")</f>
        <v>MMR001CMP004</v>
      </c>
      <c r="AP836" s="574">
        <f ca="1">IF(Table_NFI[[#This Row],[Pcode]]="","",IF(OFFSET(CampList[Opening Date],MATCH(Table_NFI[[#This Row],[Pcode]],CampList[CP_Pcode],0)-1,0,1,1)&gt;=NFI_Monitor_Date,1,0))</f>
        <v>0</v>
      </c>
      <c r="AQ836" s="579" t="str">
        <f>IFERROR(VLOOKUP(Table_NFI[[#This Row],[Camp Name]],CL,3,0),"")</f>
        <v>Open</v>
      </c>
      <c r="AR836" s="378" t="str">
        <f ca="1">IF(Table_NFI[[#This Row],[Pcode]]="","",OFFSET(CampList[Priority],MATCH(Table_NFI[[#This Row],[Pcode]],CampList[CP_Pcode],0)-1,0,1,1))</f>
        <v>P4</v>
      </c>
      <c r="AS836" s="377">
        <f>IFERROR(Table_NFI[[#This Row],[Kitchen Set]]/VLOOKUP(Table_NFI[[#This Row],[Camp Name]],CL,4,0),"")</f>
        <v>0</v>
      </c>
      <c r="AT836" s="572" t="s">
        <v>1095</v>
      </c>
      <c r="AU836" s="575"/>
    </row>
    <row r="837" spans="1:47" x14ac:dyDescent="0.25">
      <c r="A837" s="381">
        <f t="shared" si="12"/>
        <v>53.7</v>
      </c>
      <c r="B837" s="571">
        <v>40911</v>
      </c>
      <c r="C837" s="572" t="s">
        <v>454</v>
      </c>
      <c r="D837" s="573" t="s">
        <v>508</v>
      </c>
      <c r="E837" s="572" t="s">
        <v>380</v>
      </c>
      <c r="F837" s="374" t="s">
        <v>237</v>
      </c>
      <c r="G837" s="374" t="s">
        <v>249</v>
      </c>
      <c r="H837" s="375"/>
      <c r="I837" s="375"/>
      <c r="J837" s="375"/>
      <c r="K837" s="375">
        <v>0</v>
      </c>
      <c r="L837" s="376">
        <v>0</v>
      </c>
      <c r="M837" s="376">
        <v>0</v>
      </c>
      <c r="N837" s="376">
        <v>0</v>
      </c>
      <c r="O837" s="376">
        <v>8</v>
      </c>
      <c r="P837" s="378">
        <v>8</v>
      </c>
      <c r="Q837" s="378">
        <v>8</v>
      </c>
      <c r="R837" s="378"/>
      <c r="S837" s="378"/>
      <c r="T837" s="378"/>
      <c r="U837" s="378"/>
      <c r="V837" s="533"/>
      <c r="W837" s="378"/>
      <c r="X837" s="378"/>
      <c r="Y837" s="378">
        <f>IF(NFI_Expiration=1,IF($A837&lt;VLOOKUP(H$5,NFI,5,0),1,0)*Table_NFI[[#This Row],[Hygiene Kit]],Table_NFI[Hygiene Kit])</f>
        <v>0</v>
      </c>
      <c r="Z837" s="378">
        <f>IF(NFI_Expiration=1,IF($A837&lt;VLOOKUP(I$5,NFI,5,0),1,0)*Table_NFI[[#This Row],[NFI Core Kit]],Table_NFI[NFI Core Kit])</f>
        <v>0</v>
      </c>
      <c r="AA837" s="378">
        <f>IF(NFI_Expiration=1,IF($A837&lt;VLOOKUP(J$5,NFI,5,0),1,0)*Table_NFI[[#This Row],[Sanitary Kit]],Table_NFI[Sanitary Kit])</f>
        <v>0</v>
      </c>
      <c r="AB837" s="378">
        <f>IF(NFI_Expiration=1,IF($A837&lt;VLOOKUP(K$5,NFI,5,0),1,0)*Table_NFI[[#This Row],[Mosquito net]],Table_NFI[Mosquito net])</f>
        <v>0</v>
      </c>
      <c r="AC837" s="378">
        <f>IF(NFI_Expiration=1,IF($A837&lt;VLOOKUP(L$5,NFI,5,0),1,0)*Table_NFI[[#This Row],[Tarpaulin]],Table_NFI[[#This Row],[Tarpaulin]])</f>
        <v>0</v>
      </c>
      <c r="AD837" s="378">
        <f>IF(NFI_Expiration=1,IF($A837&lt;VLOOKUP(M$5,NFI,5,0),1,0)*Table_NFI[[#This Row],[Blanket]],Table_NFI[[#This Row],[Blanket]])</f>
        <v>0</v>
      </c>
      <c r="AE837" s="378">
        <f>IF(NFI_Expiration=1,IF($A837&lt;VLOOKUP(N$5,NFI,5,0),1,0)*Table_NFI[[#This Row],[Kitchen Set]],Table_NFI[Kitchen Set])</f>
        <v>0</v>
      </c>
      <c r="AF837" s="378">
        <f>IF(NFI_Expiration=1,IF($A837&lt;VLOOKUP(O$5,NFI,5,0),1,0)*Table_NFI[[#This Row],[Clothes Kit]],Table_NFI[Clothes Kit])</f>
        <v>0</v>
      </c>
      <c r="AG837" s="378">
        <f>IF(NFI_Expiration=1,IF($A837&lt;VLOOKUP(P$5,NFI,5,0),1,0)*Table_NFI[[#This Row],[Plastic Bucket]],Table_NFI[Plastic Bucket])</f>
        <v>0</v>
      </c>
      <c r="AH837" s="378">
        <f>IF(NFI_Expiration=1,IF($A837&lt;VLOOKUP(Q$5,NFI,5,0),1,0)*Table_NFI[[#This Row],[Plastic Mat]],Table_NFI[Plastic Mat])*IF(Table_NFI[[#This Row],[Distribution Date]]&gt;"2014-04-01",1,2.5)</f>
        <v>0</v>
      </c>
      <c r="AI837" s="378">
        <f>IF(NFI_Expiration=1,IF($A837&lt;VLOOKUP(R$5,NFI,5,0),1,0)*Table_NFI[[#This Row],[Winter Clothes Adult]],Table_NFI[Winter Clothes Adult])</f>
        <v>0</v>
      </c>
      <c r="AJ837" s="378">
        <f>IF(NFI_Expiration=1,IF($A837&lt;VLOOKUP(S$5,NFI,5,0),1,0)*Table_NFI[[#This Row],[Winter Clothes Children]],Table_NFI[Winter Clothes Children])</f>
        <v>0</v>
      </c>
      <c r="AK837" s="378">
        <f>IF(NFI_Expiration=1,IF($A837&lt;VLOOKUP(T$5,NFI,5,0),1,0)*Table_NFI[[#This Row],[Winter Items Other]],Table_NFI[Winter Items Other])</f>
        <v>0</v>
      </c>
      <c r="AL837" s="378">
        <f>IF(NFI_Expiration=1,IF($A837&lt;VLOOKUP(M$5,NFI,5,0),1,0)*Table_NFI[[#This Row],[Winter Blanket]],Table_NFI[[#This Row],[Winter Blanket]])</f>
        <v>0</v>
      </c>
      <c r="AM837" s="378">
        <f>IF(Table_NFI[[#This Row],[Winter Clothes Adult]]+Table_NFI[[#This Row],[Winter Clothes Children]]+Table_NFI[[#This Row],[Winter Items Other]]+Table_NFI[[#This Row],[Winter Blanket]]&gt;0,1,0)</f>
        <v>0</v>
      </c>
      <c r="AN837" s="418">
        <f>IF(NFI_Expiration=1,IF($A837&lt;VLOOKUP(V$5,NFI,5,0),1,0)*Table_NFI[[#This Row],[Jerry Can]],Table_NFI[Jerry Can])</f>
        <v>0</v>
      </c>
      <c r="AO837" s="579" t="str">
        <f>IFERROR(VLOOKUP(Table_NFI[[#This Row],[Camp Name]],CL,2,0),"")</f>
        <v>MMR001CMP004</v>
      </c>
      <c r="AP837" s="574">
        <f ca="1">IF(Table_NFI[[#This Row],[Pcode]]="","",IF(OFFSET(CampList[Opening Date],MATCH(Table_NFI[[#This Row],[Pcode]],CampList[CP_Pcode],0)-1,0,1,1)&gt;=NFI_Monitor_Date,1,0))</f>
        <v>0</v>
      </c>
      <c r="AQ837" s="579" t="str">
        <f>IFERROR(VLOOKUP(Table_NFI[[#This Row],[Camp Name]],CL,3,0),"")</f>
        <v>Open</v>
      </c>
      <c r="AR837" s="378" t="str">
        <f ca="1">IF(Table_NFI[[#This Row],[Pcode]]="","",OFFSET(CampList[Priority],MATCH(Table_NFI[[#This Row],[Pcode]],CampList[CP_Pcode],0)-1,0,1,1))</f>
        <v>P4</v>
      </c>
      <c r="AS837" s="377">
        <f>IFERROR(Table_NFI[[#This Row],[Kitchen Set]]/VLOOKUP(Table_NFI[[#This Row],[Camp Name]],CL,4,0),"")</f>
        <v>0</v>
      </c>
      <c r="AT837" s="572" t="s">
        <v>1095</v>
      </c>
      <c r="AU837" s="575"/>
    </row>
    <row r="838" spans="1:47" x14ac:dyDescent="0.25">
      <c r="A838" s="381">
        <f t="shared" ref="A838:A901" si="13">IF(ISBLANK(B838),"",(Report_Date-B838)/30)</f>
        <v>55.733333333333334</v>
      </c>
      <c r="B838" s="571">
        <v>40850</v>
      </c>
      <c r="C838" s="572" t="s">
        <v>454</v>
      </c>
      <c r="D838" s="573" t="s">
        <v>508</v>
      </c>
      <c r="E838" s="572" t="s">
        <v>380</v>
      </c>
      <c r="F838" s="374" t="s">
        <v>237</v>
      </c>
      <c r="G838" s="374" t="s">
        <v>249</v>
      </c>
      <c r="H838" s="375"/>
      <c r="I838" s="375"/>
      <c r="J838" s="375"/>
      <c r="K838" s="375">
        <v>18</v>
      </c>
      <c r="L838" s="376">
        <v>8</v>
      </c>
      <c r="M838" s="376">
        <v>18</v>
      </c>
      <c r="N838" s="376">
        <v>8</v>
      </c>
      <c r="O838" s="376">
        <v>8</v>
      </c>
      <c r="P838" s="378">
        <v>8</v>
      </c>
      <c r="Q838" s="378">
        <v>8</v>
      </c>
      <c r="R838" s="378"/>
      <c r="S838" s="378"/>
      <c r="T838" s="378"/>
      <c r="U838" s="378"/>
      <c r="V838" s="533"/>
      <c r="W838" s="378"/>
      <c r="X838" s="378"/>
      <c r="Y838" s="378">
        <f>IF(NFI_Expiration=1,IF($A838&lt;VLOOKUP(H$5,NFI,5,0),1,0)*Table_NFI[[#This Row],[Hygiene Kit]],Table_NFI[Hygiene Kit])</f>
        <v>0</v>
      </c>
      <c r="Z838" s="378">
        <f>IF(NFI_Expiration=1,IF($A838&lt;VLOOKUP(I$5,NFI,5,0),1,0)*Table_NFI[[#This Row],[NFI Core Kit]],Table_NFI[NFI Core Kit])</f>
        <v>0</v>
      </c>
      <c r="AA838" s="378">
        <f>IF(NFI_Expiration=1,IF($A838&lt;VLOOKUP(J$5,NFI,5,0),1,0)*Table_NFI[[#This Row],[Sanitary Kit]],Table_NFI[Sanitary Kit])</f>
        <v>0</v>
      </c>
      <c r="AB838" s="378">
        <f>IF(NFI_Expiration=1,IF($A838&lt;VLOOKUP(K$5,NFI,5,0),1,0)*Table_NFI[[#This Row],[Mosquito net]],Table_NFI[Mosquito net])</f>
        <v>0</v>
      </c>
      <c r="AC838" s="378">
        <f>IF(NFI_Expiration=1,IF($A838&lt;VLOOKUP(L$5,NFI,5,0),1,0)*Table_NFI[[#This Row],[Tarpaulin]],Table_NFI[[#This Row],[Tarpaulin]])</f>
        <v>0</v>
      </c>
      <c r="AD838" s="378">
        <f>IF(NFI_Expiration=1,IF($A838&lt;VLOOKUP(M$5,NFI,5,0),1,0)*Table_NFI[[#This Row],[Blanket]],Table_NFI[[#This Row],[Blanket]])</f>
        <v>0</v>
      </c>
      <c r="AE838" s="378">
        <f>IF(NFI_Expiration=1,IF($A838&lt;VLOOKUP(N$5,NFI,5,0),1,0)*Table_NFI[[#This Row],[Kitchen Set]],Table_NFI[Kitchen Set])</f>
        <v>0</v>
      </c>
      <c r="AF838" s="378">
        <f>IF(NFI_Expiration=1,IF($A838&lt;VLOOKUP(O$5,NFI,5,0),1,0)*Table_NFI[[#This Row],[Clothes Kit]],Table_NFI[Clothes Kit])</f>
        <v>0</v>
      </c>
      <c r="AG838" s="378">
        <f>IF(NFI_Expiration=1,IF($A838&lt;VLOOKUP(P$5,NFI,5,0),1,0)*Table_NFI[[#This Row],[Plastic Bucket]],Table_NFI[Plastic Bucket])</f>
        <v>0</v>
      </c>
      <c r="AH838" s="378">
        <f>IF(NFI_Expiration=1,IF($A838&lt;VLOOKUP(Q$5,NFI,5,0),1,0)*Table_NFI[[#This Row],[Plastic Mat]],Table_NFI[Plastic Mat])*IF(Table_NFI[[#This Row],[Distribution Date]]&gt;"2014-04-01",1,2.5)</f>
        <v>0</v>
      </c>
      <c r="AI838" s="378">
        <f>IF(NFI_Expiration=1,IF($A838&lt;VLOOKUP(R$5,NFI,5,0),1,0)*Table_NFI[[#This Row],[Winter Clothes Adult]],Table_NFI[Winter Clothes Adult])</f>
        <v>0</v>
      </c>
      <c r="AJ838" s="378">
        <f>IF(NFI_Expiration=1,IF($A838&lt;VLOOKUP(S$5,NFI,5,0),1,0)*Table_NFI[[#This Row],[Winter Clothes Children]],Table_NFI[Winter Clothes Children])</f>
        <v>0</v>
      </c>
      <c r="AK838" s="378">
        <f>IF(NFI_Expiration=1,IF($A838&lt;VLOOKUP(T$5,NFI,5,0),1,0)*Table_NFI[[#This Row],[Winter Items Other]],Table_NFI[Winter Items Other])</f>
        <v>0</v>
      </c>
      <c r="AL838" s="378">
        <f>IF(NFI_Expiration=1,IF($A838&lt;VLOOKUP(M$5,NFI,5,0),1,0)*Table_NFI[[#This Row],[Winter Blanket]],Table_NFI[[#This Row],[Winter Blanket]])</f>
        <v>0</v>
      </c>
      <c r="AM838" s="378">
        <f>IF(Table_NFI[[#This Row],[Winter Clothes Adult]]+Table_NFI[[#This Row],[Winter Clothes Children]]+Table_NFI[[#This Row],[Winter Items Other]]+Table_NFI[[#This Row],[Winter Blanket]]&gt;0,1,0)</f>
        <v>0</v>
      </c>
      <c r="AN838" s="418">
        <f>IF(NFI_Expiration=1,IF($A838&lt;VLOOKUP(V$5,NFI,5,0),1,0)*Table_NFI[[#This Row],[Jerry Can]],Table_NFI[Jerry Can])</f>
        <v>0</v>
      </c>
      <c r="AO838" s="579" t="str">
        <f>IFERROR(VLOOKUP(Table_NFI[[#This Row],[Camp Name]],CL,2,0),"")</f>
        <v>MMR001CMP004</v>
      </c>
      <c r="AP838" s="574">
        <f ca="1">IF(Table_NFI[[#This Row],[Pcode]]="","",IF(OFFSET(CampList[Opening Date],MATCH(Table_NFI[[#This Row],[Pcode]],CampList[CP_Pcode],0)-1,0,1,1)&gt;=NFI_Monitor_Date,1,0))</f>
        <v>0</v>
      </c>
      <c r="AQ838" s="579" t="str">
        <f>IFERROR(VLOOKUP(Table_NFI[[#This Row],[Camp Name]],CL,3,0),"")</f>
        <v>Open</v>
      </c>
      <c r="AR838" s="378" t="str">
        <f ca="1">IF(Table_NFI[[#This Row],[Pcode]]="","",OFFSET(CampList[Priority],MATCH(Table_NFI[[#This Row],[Pcode]],CampList[CP_Pcode],0)-1,0,1,1))</f>
        <v>P4</v>
      </c>
      <c r="AS838" s="377">
        <f>IFERROR(Table_NFI[[#This Row],[Kitchen Set]]/VLOOKUP(Table_NFI[[#This Row],[Camp Name]],CL,4,0),"")</f>
        <v>1.3333333333333333</v>
      </c>
      <c r="AT838" s="572" t="s">
        <v>1095</v>
      </c>
      <c r="AU838" s="575"/>
    </row>
    <row r="839" spans="1:47" x14ac:dyDescent="0.25">
      <c r="A839" s="381">
        <f t="shared" si="13"/>
        <v>24.5</v>
      </c>
      <c r="B839" s="571">
        <v>41787</v>
      </c>
      <c r="C839" s="572" t="s">
        <v>1107</v>
      </c>
      <c r="D839" s="572" t="s">
        <v>903</v>
      </c>
      <c r="E839" s="572" t="s">
        <v>380</v>
      </c>
      <c r="F839" s="572" t="s">
        <v>237</v>
      </c>
      <c r="G839" s="572" t="s">
        <v>251</v>
      </c>
      <c r="H839" s="375"/>
      <c r="I839" s="375"/>
      <c r="J839" s="375"/>
      <c r="K839" s="375"/>
      <c r="L839" s="376"/>
      <c r="M839" s="376"/>
      <c r="N839" s="376"/>
      <c r="O839" s="376"/>
      <c r="P839" s="378"/>
      <c r="Q839" s="378"/>
      <c r="R839" s="378"/>
      <c r="S839" s="378"/>
      <c r="T839" s="378"/>
      <c r="U839" s="378">
        <v>58</v>
      </c>
      <c r="V839" s="533"/>
      <c r="W839" s="378"/>
      <c r="X839" s="378"/>
      <c r="Y839" s="378">
        <f>IF(NFI_Expiration=1,IF($A839&lt;VLOOKUP(H$5,NFI,5,0),1,0)*Table_NFI[[#This Row],[Hygiene Kit]],Table_NFI[Hygiene Kit])</f>
        <v>0</v>
      </c>
      <c r="Z839" s="378">
        <f>IF(NFI_Expiration=1,IF($A839&lt;VLOOKUP(I$5,NFI,5,0),1,0)*Table_NFI[[#This Row],[NFI Core Kit]],Table_NFI[NFI Core Kit])</f>
        <v>0</v>
      </c>
      <c r="AA839" s="378">
        <f>IF(NFI_Expiration=1,IF($A839&lt;VLOOKUP(J$5,NFI,5,0),1,0)*Table_NFI[[#This Row],[Sanitary Kit]],Table_NFI[Sanitary Kit])</f>
        <v>0</v>
      </c>
      <c r="AB839" s="378">
        <f>IF(NFI_Expiration=1,IF($A839&lt;VLOOKUP(K$5,NFI,5,0),1,0)*Table_NFI[[#This Row],[Mosquito net]],Table_NFI[Mosquito net])</f>
        <v>0</v>
      </c>
      <c r="AC839" s="378">
        <f>IF(NFI_Expiration=1,IF($A839&lt;VLOOKUP(L$5,NFI,5,0),1,0)*Table_NFI[[#This Row],[Tarpaulin]],Table_NFI[[#This Row],[Tarpaulin]])</f>
        <v>0</v>
      </c>
      <c r="AD839" s="378">
        <f>IF(NFI_Expiration=1,IF($A839&lt;VLOOKUP(M$5,NFI,5,0),1,0)*Table_NFI[[#This Row],[Blanket]],Table_NFI[[#This Row],[Blanket]])</f>
        <v>0</v>
      </c>
      <c r="AE839" s="378">
        <f>IF(NFI_Expiration=1,IF($A839&lt;VLOOKUP(N$5,NFI,5,0),1,0)*Table_NFI[[#This Row],[Kitchen Set]],Table_NFI[Kitchen Set])</f>
        <v>0</v>
      </c>
      <c r="AF839" s="378">
        <f>IF(NFI_Expiration=1,IF($A839&lt;VLOOKUP(O$5,NFI,5,0),1,0)*Table_NFI[[#This Row],[Clothes Kit]],Table_NFI[Clothes Kit])</f>
        <v>0</v>
      </c>
      <c r="AG839" s="378">
        <f>IF(NFI_Expiration=1,IF($A839&lt;VLOOKUP(P$5,NFI,5,0),1,0)*Table_NFI[[#This Row],[Plastic Bucket]],Table_NFI[Plastic Bucket])</f>
        <v>0</v>
      </c>
      <c r="AH839" s="378">
        <f>IF(NFI_Expiration=1,IF($A839&lt;VLOOKUP(Q$5,NFI,5,0),1,0)*Table_NFI[[#This Row],[Plastic Mat]],Table_NFI[Plastic Mat])*IF(Table_NFI[[#This Row],[Distribution Date]]&gt;"2014-04-01",1,2.5)</f>
        <v>0</v>
      </c>
      <c r="AI839" s="378">
        <f>IF(NFI_Expiration=1,IF($A839&lt;VLOOKUP(R$5,NFI,5,0),1,0)*Table_NFI[[#This Row],[Winter Clothes Adult]],Table_NFI[Winter Clothes Adult])</f>
        <v>0</v>
      </c>
      <c r="AJ839" s="378">
        <f>IF(NFI_Expiration=1,IF($A839&lt;VLOOKUP(S$5,NFI,5,0),1,0)*Table_NFI[[#This Row],[Winter Clothes Children]],Table_NFI[Winter Clothes Children])</f>
        <v>0</v>
      </c>
      <c r="AK839" s="378">
        <f>IF(NFI_Expiration=1,IF($A839&lt;VLOOKUP(T$5,NFI,5,0),1,0)*Table_NFI[[#This Row],[Winter Items Other]],Table_NFI[Winter Items Other])</f>
        <v>0</v>
      </c>
      <c r="AL839" s="378">
        <f>IF(NFI_Expiration=1,IF($A839&lt;VLOOKUP(M$5,NFI,5,0),1,0)*Table_NFI[[#This Row],[Winter Blanket]],Table_NFI[[#This Row],[Winter Blanket]])</f>
        <v>0</v>
      </c>
      <c r="AM839" s="378">
        <f>IF(Table_NFI[[#This Row],[Winter Clothes Adult]]+Table_NFI[[#This Row],[Winter Clothes Children]]+Table_NFI[[#This Row],[Winter Items Other]]+Table_NFI[[#This Row],[Winter Blanket]]&gt;0,1,0)</f>
        <v>1</v>
      </c>
      <c r="AN839" s="418">
        <f>IF(NFI_Expiration=1,IF($A839&lt;VLOOKUP(V$5,NFI,5,0),1,0)*Table_NFI[[#This Row],[Jerry Can]],Table_NFI[Jerry Can])</f>
        <v>0</v>
      </c>
      <c r="AO839" s="579" t="str">
        <f>IFERROR(VLOOKUP(Table_NFI[[#This Row],[Camp Name]],CL,2,0),"")</f>
        <v>MMR001CMP003</v>
      </c>
      <c r="AP839" s="574">
        <f ca="1">IF(Table_NFI[[#This Row],[Pcode]]="","",IF(OFFSET(CampList[Opening Date],MATCH(Table_NFI[[#This Row],[Pcode]],CampList[CP_Pcode],0)-1,0,1,1)&gt;=NFI_Monitor_Date,1,0))</f>
        <v>0</v>
      </c>
      <c r="AQ839" s="579" t="str">
        <f>IFERROR(VLOOKUP(Table_NFI[[#This Row],[Camp Name]],CL,3,0),"")</f>
        <v>Open</v>
      </c>
      <c r="AR839" s="378" t="str">
        <f ca="1">IF(Table_NFI[[#This Row],[Pcode]]="","",OFFSET(CampList[Priority],MATCH(Table_NFI[[#This Row],[Pcode]],CampList[CP_Pcode],0)-1,0,1,1))</f>
        <v>P4</v>
      </c>
      <c r="AS839" s="377">
        <f>IFERROR(Table_NFI[[#This Row],[Kitchen Set]]/VLOOKUP(Table_NFI[[#This Row],[Camp Name]],CL,4,0),"")</f>
        <v>0</v>
      </c>
      <c r="AT839" s="572"/>
      <c r="AU839" s="575"/>
    </row>
    <row r="840" spans="1:47" x14ac:dyDescent="0.25">
      <c r="A840" s="381">
        <f t="shared" si="13"/>
        <v>47.166666666666664</v>
      </c>
      <c r="B840" s="571">
        <v>41107</v>
      </c>
      <c r="C840" s="572" t="s">
        <v>454</v>
      </c>
      <c r="D840" s="573" t="s">
        <v>454</v>
      </c>
      <c r="E840" s="572" t="s">
        <v>380</v>
      </c>
      <c r="F840" s="374" t="s">
        <v>237</v>
      </c>
      <c r="G840" s="374" t="s">
        <v>251</v>
      </c>
      <c r="H840" s="375"/>
      <c r="I840" s="375"/>
      <c r="J840" s="375"/>
      <c r="K840" s="375">
        <v>7</v>
      </c>
      <c r="L840" s="376">
        <v>7</v>
      </c>
      <c r="M840" s="376">
        <v>7</v>
      </c>
      <c r="N840" s="376">
        <v>7</v>
      </c>
      <c r="O840" s="376">
        <v>7</v>
      </c>
      <c r="P840" s="378">
        <v>7</v>
      </c>
      <c r="Q840" s="378">
        <v>7</v>
      </c>
      <c r="R840" s="378"/>
      <c r="S840" s="378"/>
      <c r="T840" s="378"/>
      <c r="U840" s="378"/>
      <c r="V840" s="533"/>
      <c r="W840" s="378"/>
      <c r="X840" s="378"/>
      <c r="Y840" s="378">
        <f>IF(NFI_Expiration=1,IF($A840&lt;VLOOKUP(H$5,NFI,5,0),1,0)*Table_NFI[[#This Row],[Hygiene Kit]],Table_NFI[Hygiene Kit])</f>
        <v>0</v>
      </c>
      <c r="Z840" s="378">
        <f>IF(NFI_Expiration=1,IF($A840&lt;VLOOKUP(I$5,NFI,5,0),1,0)*Table_NFI[[#This Row],[NFI Core Kit]],Table_NFI[NFI Core Kit])</f>
        <v>0</v>
      </c>
      <c r="AA840" s="378">
        <f>IF(NFI_Expiration=1,IF($A840&lt;VLOOKUP(J$5,NFI,5,0),1,0)*Table_NFI[[#This Row],[Sanitary Kit]],Table_NFI[Sanitary Kit])</f>
        <v>0</v>
      </c>
      <c r="AB840" s="378">
        <f>IF(NFI_Expiration=1,IF($A840&lt;VLOOKUP(K$5,NFI,5,0),1,0)*Table_NFI[[#This Row],[Mosquito net]],Table_NFI[Mosquito net])</f>
        <v>0</v>
      </c>
      <c r="AC840" s="378">
        <f>IF(NFI_Expiration=1,IF($A840&lt;VLOOKUP(L$5,NFI,5,0),1,0)*Table_NFI[[#This Row],[Tarpaulin]],Table_NFI[[#This Row],[Tarpaulin]])</f>
        <v>0</v>
      </c>
      <c r="AD840" s="378">
        <f>IF(NFI_Expiration=1,IF($A840&lt;VLOOKUP(M$5,NFI,5,0),1,0)*Table_NFI[[#This Row],[Blanket]],Table_NFI[[#This Row],[Blanket]])</f>
        <v>0</v>
      </c>
      <c r="AE840" s="378">
        <f>IF(NFI_Expiration=1,IF($A840&lt;VLOOKUP(N$5,NFI,5,0),1,0)*Table_NFI[[#This Row],[Kitchen Set]],Table_NFI[Kitchen Set])</f>
        <v>0</v>
      </c>
      <c r="AF840" s="378">
        <f>IF(NFI_Expiration=1,IF($A840&lt;VLOOKUP(O$5,NFI,5,0),1,0)*Table_NFI[[#This Row],[Clothes Kit]],Table_NFI[Clothes Kit])</f>
        <v>0</v>
      </c>
      <c r="AG840" s="378">
        <f>IF(NFI_Expiration=1,IF($A840&lt;VLOOKUP(P$5,NFI,5,0),1,0)*Table_NFI[[#This Row],[Plastic Bucket]],Table_NFI[Plastic Bucket])</f>
        <v>0</v>
      </c>
      <c r="AH840" s="378">
        <f>IF(NFI_Expiration=1,IF($A840&lt;VLOOKUP(Q$5,NFI,5,0),1,0)*Table_NFI[[#This Row],[Plastic Mat]],Table_NFI[Plastic Mat])*IF(Table_NFI[[#This Row],[Distribution Date]]&gt;"2014-04-01",1,2.5)</f>
        <v>0</v>
      </c>
      <c r="AI840" s="378">
        <f>IF(NFI_Expiration=1,IF($A840&lt;VLOOKUP(R$5,NFI,5,0),1,0)*Table_NFI[[#This Row],[Winter Clothes Adult]],Table_NFI[Winter Clothes Adult])</f>
        <v>0</v>
      </c>
      <c r="AJ840" s="378">
        <f>IF(NFI_Expiration=1,IF($A840&lt;VLOOKUP(S$5,NFI,5,0),1,0)*Table_NFI[[#This Row],[Winter Clothes Children]],Table_NFI[Winter Clothes Children])</f>
        <v>0</v>
      </c>
      <c r="AK840" s="378">
        <f>IF(NFI_Expiration=1,IF($A840&lt;VLOOKUP(T$5,NFI,5,0),1,0)*Table_NFI[[#This Row],[Winter Items Other]],Table_NFI[Winter Items Other])</f>
        <v>0</v>
      </c>
      <c r="AL840" s="378">
        <f>IF(NFI_Expiration=1,IF($A840&lt;VLOOKUP(M$5,NFI,5,0),1,0)*Table_NFI[[#This Row],[Winter Blanket]],Table_NFI[[#This Row],[Winter Blanket]])</f>
        <v>0</v>
      </c>
      <c r="AM840" s="378">
        <f>IF(Table_NFI[[#This Row],[Winter Clothes Adult]]+Table_NFI[[#This Row],[Winter Clothes Children]]+Table_NFI[[#This Row],[Winter Items Other]]+Table_NFI[[#This Row],[Winter Blanket]]&gt;0,1,0)</f>
        <v>0</v>
      </c>
      <c r="AN840" s="418">
        <f>IF(NFI_Expiration=1,IF($A840&lt;VLOOKUP(V$5,NFI,5,0),1,0)*Table_NFI[[#This Row],[Jerry Can]],Table_NFI[Jerry Can])</f>
        <v>0</v>
      </c>
      <c r="AO840" s="579" t="str">
        <f>IFERROR(VLOOKUP(Table_NFI[[#This Row],[Camp Name]],CL,2,0),"")</f>
        <v>MMR001CMP003</v>
      </c>
      <c r="AP840" s="574">
        <f ca="1">IF(Table_NFI[[#This Row],[Pcode]]="","",IF(OFFSET(CampList[Opening Date],MATCH(Table_NFI[[#This Row],[Pcode]],CampList[CP_Pcode],0)-1,0,1,1)&gt;=NFI_Monitor_Date,1,0))</f>
        <v>0</v>
      </c>
      <c r="AQ840" s="579" t="str">
        <f>IFERROR(VLOOKUP(Table_NFI[[#This Row],[Camp Name]],CL,3,0),"")</f>
        <v>Open</v>
      </c>
      <c r="AR840" s="378" t="str">
        <f ca="1">IF(Table_NFI[[#This Row],[Pcode]]="","",OFFSET(CampList[Priority],MATCH(Table_NFI[[#This Row],[Pcode]],CampList[CP_Pcode],0)-1,0,1,1))</f>
        <v>P4</v>
      </c>
      <c r="AS840" s="377">
        <f>IFERROR(Table_NFI[[#This Row],[Kitchen Set]]/VLOOKUP(Table_NFI[[#This Row],[Camp Name]],CL,4,0),"")</f>
        <v>0.21875</v>
      </c>
      <c r="AT840" s="572" t="s">
        <v>1095</v>
      </c>
      <c r="AU840" s="575"/>
    </row>
    <row r="841" spans="1:47" x14ac:dyDescent="0.25">
      <c r="A841" s="381">
        <f t="shared" si="13"/>
        <v>55.3</v>
      </c>
      <c r="B841" s="571">
        <v>40863</v>
      </c>
      <c r="C841" s="572" t="s">
        <v>454</v>
      </c>
      <c r="D841" s="572" t="s">
        <v>462</v>
      </c>
      <c r="E841" s="572" t="s">
        <v>380</v>
      </c>
      <c r="F841" s="374" t="s">
        <v>237</v>
      </c>
      <c r="G841" s="374" t="s">
        <v>251</v>
      </c>
      <c r="H841" s="375"/>
      <c r="I841" s="375"/>
      <c r="J841" s="375"/>
      <c r="K841" s="375">
        <v>53</v>
      </c>
      <c r="L841" s="376">
        <v>31</v>
      </c>
      <c r="M841" s="376">
        <v>53</v>
      </c>
      <c r="N841" s="376">
        <v>31</v>
      </c>
      <c r="O841" s="376">
        <v>31</v>
      </c>
      <c r="P841" s="378">
        <v>31</v>
      </c>
      <c r="Q841" s="378">
        <v>31</v>
      </c>
      <c r="R841" s="378"/>
      <c r="S841" s="378"/>
      <c r="T841" s="378"/>
      <c r="U841" s="378"/>
      <c r="V841" s="533"/>
      <c r="W841" s="378"/>
      <c r="X841" s="378"/>
      <c r="Y841" s="378">
        <f>IF(NFI_Expiration=1,IF($A841&lt;VLOOKUP(H$5,NFI,5,0),1,0)*Table_NFI[[#This Row],[Hygiene Kit]],Table_NFI[Hygiene Kit])</f>
        <v>0</v>
      </c>
      <c r="Z841" s="378">
        <f>IF(NFI_Expiration=1,IF($A841&lt;VLOOKUP(I$5,NFI,5,0),1,0)*Table_NFI[[#This Row],[NFI Core Kit]],Table_NFI[NFI Core Kit])</f>
        <v>0</v>
      </c>
      <c r="AA841" s="378">
        <f>IF(NFI_Expiration=1,IF($A841&lt;VLOOKUP(J$5,NFI,5,0),1,0)*Table_NFI[[#This Row],[Sanitary Kit]],Table_NFI[Sanitary Kit])</f>
        <v>0</v>
      </c>
      <c r="AB841" s="378">
        <f>IF(NFI_Expiration=1,IF($A841&lt;VLOOKUP(K$5,NFI,5,0),1,0)*Table_NFI[[#This Row],[Mosquito net]],Table_NFI[Mosquito net])</f>
        <v>0</v>
      </c>
      <c r="AC841" s="378">
        <f>IF(NFI_Expiration=1,IF($A841&lt;VLOOKUP(L$5,NFI,5,0),1,0)*Table_NFI[[#This Row],[Tarpaulin]],Table_NFI[[#This Row],[Tarpaulin]])</f>
        <v>0</v>
      </c>
      <c r="AD841" s="378">
        <f>IF(NFI_Expiration=1,IF($A841&lt;VLOOKUP(M$5,NFI,5,0),1,0)*Table_NFI[[#This Row],[Blanket]],Table_NFI[[#This Row],[Blanket]])</f>
        <v>0</v>
      </c>
      <c r="AE841" s="378">
        <f>IF(NFI_Expiration=1,IF($A841&lt;VLOOKUP(N$5,NFI,5,0),1,0)*Table_NFI[[#This Row],[Kitchen Set]],Table_NFI[Kitchen Set])</f>
        <v>0</v>
      </c>
      <c r="AF841" s="378">
        <f>IF(NFI_Expiration=1,IF($A841&lt;VLOOKUP(O$5,NFI,5,0),1,0)*Table_NFI[[#This Row],[Clothes Kit]],Table_NFI[Clothes Kit])</f>
        <v>0</v>
      </c>
      <c r="AG841" s="378">
        <f>IF(NFI_Expiration=1,IF($A841&lt;VLOOKUP(P$5,NFI,5,0),1,0)*Table_NFI[[#This Row],[Plastic Bucket]],Table_NFI[Plastic Bucket])</f>
        <v>0</v>
      </c>
      <c r="AH841" s="378">
        <f>IF(NFI_Expiration=1,IF($A841&lt;VLOOKUP(Q$5,NFI,5,0),1,0)*Table_NFI[[#This Row],[Plastic Mat]],Table_NFI[Plastic Mat])*IF(Table_NFI[[#This Row],[Distribution Date]]&gt;"2014-04-01",1,2.5)</f>
        <v>0</v>
      </c>
      <c r="AI841" s="378">
        <f>IF(NFI_Expiration=1,IF($A841&lt;VLOOKUP(R$5,NFI,5,0),1,0)*Table_NFI[[#This Row],[Winter Clothes Adult]],Table_NFI[Winter Clothes Adult])</f>
        <v>0</v>
      </c>
      <c r="AJ841" s="378">
        <f>IF(NFI_Expiration=1,IF($A841&lt;VLOOKUP(S$5,NFI,5,0),1,0)*Table_NFI[[#This Row],[Winter Clothes Children]],Table_NFI[Winter Clothes Children])</f>
        <v>0</v>
      </c>
      <c r="AK841" s="378">
        <f>IF(NFI_Expiration=1,IF($A841&lt;VLOOKUP(T$5,NFI,5,0),1,0)*Table_NFI[[#This Row],[Winter Items Other]],Table_NFI[Winter Items Other])</f>
        <v>0</v>
      </c>
      <c r="AL841" s="378">
        <f>IF(NFI_Expiration=1,IF($A841&lt;VLOOKUP(M$5,NFI,5,0),1,0)*Table_NFI[[#This Row],[Winter Blanket]],Table_NFI[[#This Row],[Winter Blanket]])</f>
        <v>0</v>
      </c>
      <c r="AM841" s="378">
        <f>IF(Table_NFI[[#This Row],[Winter Clothes Adult]]+Table_NFI[[#This Row],[Winter Clothes Children]]+Table_NFI[[#This Row],[Winter Items Other]]+Table_NFI[[#This Row],[Winter Blanket]]&gt;0,1,0)</f>
        <v>0</v>
      </c>
      <c r="AN841" s="418">
        <f>IF(NFI_Expiration=1,IF($A841&lt;VLOOKUP(V$5,NFI,5,0),1,0)*Table_NFI[[#This Row],[Jerry Can]],Table_NFI[Jerry Can])</f>
        <v>0</v>
      </c>
      <c r="AO841" s="579" t="str">
        <f>IFERROR(VLOOKUP(Table_NFI[[#This Row],[Camp Name]],CL,2,0),"")</f>
        <v>MMR001CMP003</v>
      </c>
      <c r="AP841" s="574">
        <f ca="1">IF(Table_NFI[[#This Row],[Pcode]]="","",IF(OFFSET(CampList[Opening Date],MATCH(Table_NFI[[#This Row],[Pcode]],CampList[CP_Pcode],0)-1,0,1,1)&gt;=NFI_Monitor_Date,1,0))</f>
        <v>0</v>
      </c>
      <c r="AQ841" s="579" t="str">
        <f>IFERROR(VLOOKUP(Table_NFI[[#This Row],[Camp Name]],CL,3,0),"")</f>
        <v>Open</v>
      </c>
      <c r="AR841" s="378" t="str">
        <f ca="1">IF(Table_NFI[[#This Row],[Pcode]]="","",OFFSET(CampList[Priority],MATCH(Table_NFI[[#This Row],[Pcode]],CampList[CP_Pcode],0)-1,0,1,1))</f>
        <v>P4</v>
      </c>
      <c r="AS841" s="377">
        <f>IFERROR(Table_NFI[[#This Row],[Kitchen Set]]/VLOOKUP(Table_NFI[[#This Row],[Camp Name]],CL,4,0),"")</f>
        <v>0.96875</v>
      </c>
      <c r="AT841" s="572" t="s">
        <v>1095</v>
      </c>
      <c r="AU841" s="575"/>
    </row>
    <row r="842" spans="1:47" x14ac:dyDescent="0.25">
      <c r="A842" s="381">
        <f t="shared" si="13"/>
        <v>23.633333333333333</v>
      </c>
      <c r="B842" s="571">
        <v>41813</v>
      </c>
      <c r="C842" s="572" t="s">
        <v>1107</v>
      </c>
      <c r="D842" s="572" t="s">
        <v>903</v>
      </c>
      <c r="E842" s="572" t="s">
        <v>380</v>
      </c>
      <c r="F842" s="572" t="s">
        <v>237</v>
      </c>
      <c r="G842" s="572" t="s">
        <v>275</v>
      </c>
      <c r="H842" s="375"/>
      <c r="I842" s="375"/>
      <c r="J842" s="375"/>
      <c r="K842" s="375"/>
      <c r="L842" s="376"/>
      <c r="M842" s="376"/>
      <c r="N842" s="376"/>
      <c r="O842" s="376"/>
      <c r="P842" s="378"/>
      <c r="Q842" s="378"/>
      <c r="R842" s="378"/>
      <c r="S842" s="378"/>
      <c r="T842" s="378"/>
      <c r="U842" s="378">
        <v>88</v>
      </c>
      <c r="V842" s="533"/>
      <c r="W842" s="378"/>
      <c r="X842" s="378"/>
      <c r="Y842" s="378">
        <f>IF(NFI_Expiration=1,IF($A842&lt;VLOOKUP(H$5,NFI,5,0),1,0)*Table_NFI[[#This Row],[Hygiene Kit]],Table_NFI[Hygiene Kit])</f>
        <v>0</v>
      </c>
      <c r="Z842" s="378">
        <f>IF(NFI_Expiration=1,IF($A842&lt;VLOOKUP(I$5,NFI,5,0),1,0)*Table_NFI[[#This Row],[NFI Core Kit]],Table_NFI[NFI Core Kit])</f>
        <v>0</v>
      </c>
      <c r="AA842" s="378">
        <f>IF(NFI_Expiration=1,IF($A842&lt;VLOOKUP(J$5,NFI,5,0),1,0)*Table_NFI[[#This Row],[Sanitary Kit]],Table_NFI[Sanitary Kit])</f>
        <v>0</v>
      </c>
      <c r="AB842" s="378">
        <f>IF(NFI_Expiration=1,IF($A842&lt;VLOOKUP(K$5,NFI,5,0),1,0)*Table_NFI[[#This Row],[Mosquito net]],Table_NFI[Mosquito net])</f>
        <v>0</v>
      </c>
      <c r="AC842" s="378">
        <f>IF(NFI_Expiration=1,IF($A842&lt;VLOOKUP(L$5,NFI,5,0),1,0)*Table_NFI[[#This Row],[Tarpaulin]],Table_NFI[[#This Row],[Tarpaulin]])</f>
        <v>0</v>
      </c>
      <c r="AD842" s="378">
        <f>IF(NFI_Expiration=1,IF($A842&lt;VLOOKUP(M$5,NFI,5,0),1,0)*Table_NFI[[#This Row],[Blanket]],Table_NFI[[#This Row],[Blanket]])</f>
        <v>0</v>
      </c>
      <c r="AE842" s="378">
        <f>IF(NFI_Expiration=1,IF($A842&lt;VLOOKUP(N$5,NFI,5,0),1,0)*Table_NFI[[#This Row],[Kitchen Set]],Table_NFI[Kitchen Set])</f>
        <v>0</v>
      </c>
      <c r="AF842" s="378">
        <f>IF(NFI_Expiration=1,IF($A842&lt;VLOOKUP(O$5,NFI,5,0),1,0)*Table_NFI[[#This Row],[Clothes Kit]],Table_NFI[Clothes Kit])</f>
        <v>0</v>
      </c>
      <c r="AG842" s="378">
        <f>IF(NFI_Expiration=1,IF($A842&lt;VLOOKUP(P$5,NFI,5,0),1,0)*Table_NFI[[#This Row],[Plastic Bucket]],Table_NFI[Plastic Bucket])</f>
        <v>0</v>
      </c>
      <c r="AH842" s="378">
        <f>IF(NFI_Expiration=1,IF($A842&lt;VLOOKUP(Q$5,NFI,5,0),1,0)*Table_NFI[[#This Row],[Plastic Mat]],Table_NFI[Plastic Mat])*IF(Table_NFI[[#This Row],[Distribution Date]]&gt;"2014-04-01",1,2.5)</f>
        <v>0</v>
      </c>
      <c r="AI842" s="378">
        <f>IF(NFI_Expiration=1,IF($A842&lt;VLOOKUP(R$5,NFI,5,0),1,0)*Table_NFI[[#This Row],[Winter Clothes Adult]],Table_NFI[Winter Clothes Adult])</f>
        <v>0</v>
      </c>
      <c r="AJ842" s="378">
        <f>IF(NFI_Expiration=1,IF($A842&lt;VLOOKUP(S$5,NFI,5,0),1,0)*Table_NFI[[#This Row],[Winter Clothes Children]],Table_NFI[Winter Clothes Children])</f>
        <v>0</v>
      </c>
      <c r="AK842" s="378">
        <f>IF(NFI_Expiration=1,IF($A842&lt;VLOOKUP(T$5,NFI,5,0),1,0)*Table_NFI[[#This Row],[Winter Items Other]],Table_NFI[Winter Items Other])</f>
        <v>0</v>
      </c>
      <c r="AL842" s="378">
        <f>IF(NFI_Expiration=1,IF($A842&lt;VLOOKUP(M$5,NFI,5,0),1,0)*Table_NFI[[#This Row],[Winter Blanket]],Table_NFI[[#This Row],[Winter Blanket]])</f>
        <v>0</v>
      </c>
      <c r="AM842" s="378">
        <f>IF(Table_NFI[[#This Row],[Winter Clothes Adult]]+Table_NFI[[#This Row],[Winter Clothes Children]]+Table_NFI[[#This Row],[Winter Items Other]]+Table_NFI[[#This Row],[Winter Blanket]]&gt;0,1,0)</f>
        <v>1</v>
      </c>
      <c r="AN842" s="418">
        <f>IF(NFI_Expiration=1,IF($A842&lt;VLOOKUP(V$5,NFI,5,0),1,0)*Table_NFI[[#This Row],[Jerry Can]],Table_NFI[Jerry Can])</f>
        <v>0</v>
      </c>
      <c r="AO842" s="579" t="str">
        <f>IFERROR(VLOOKUP(Table_NFI[[#This Row],[Camp Name]],CL,2,0),"")</f>
        <v>MMR001CMP005</v>
      </c>
      <c r="AP842" s="574">
        <f ca="1">IF(Table_NFI[[#This Row],[Pcode]]="","",IF(OFFSET(CampList[Opening Date],MATCH(Table_NFI[[#This Row],[Pcode]],CampList[CP_Pcode],0)-1,0,1,1)&gt;=NFI_Monitor_Date,1,0))</f>
        <v>0</v>
      </c>
      <c r="AQ842" s="579" t="str">
        <f>IFERROR(VLOOKUP(Table_NFI[[#This Row],[Camp Name]],CL,3,0),"")</f>
        <v>Open</v>
      </c>
      <c r="AR842" s="378" t="str">
        <f ca="1">IF(Table_NFI[[#This Row],[Pcode]]="","",OFFSET(CampList[Priority],MATCH(Table_NFI[[#This Row],[Pcode]],CampList[CP_Pcode],0)-1,0,1,1))</f>
        <v>P4</v>
      </c>
      <c r="AS842" s="377">
        <f>IFERROR(Table_NFI[[#This Row],[Kitchen Set]]/VLOOKUP(Table_NFI[[#This Row],[Camp Name]],CL,4,0),"")</f>
        <v>0</v>
      </c>
      <c r="AT842" s="572"/>
      <c r="AU842" s="575"/>
    </row>
    <row r="843" spans="1:47" s="576" customFormat="1" x14ac:dyDescent="0.25">
      <c r="A843" s="381">
        <f t="shared" si="13"/>
        <v>46.966666666666669</v>
      </c>
      <c r="B843" s="571">
        <v>41113</v>
      </c>
      <c r="C843" s="572" t="s">
        <v>454</v>
      </c>
      <c r="D843" s="572" t="s">
        <v>454</v>
      </c>
      <c r="E843" s="572" t="s">
        <v>380</v>
      </c>
      <c r="F843" s="374" t="s">
        <v>237</v>
      </c>
      <c r="G843" s="374" t="s">
        <v>275</v>
      </c>
      <c r="H843" s="375"/>
      <c r="I843" s="375"/>
      <c r="J843" s="375"/>
      <c r="K843" s="375">
        <v>24</v>
      </c>
      <c r="L843" s="376">
        <v>8</v>
      </c>
      <c r="M843" s="376">
        <v>24</v>
      </c>
      <c r="N843" s="376">
        <v>8</v>
      </c>
      <c r="O843" s="376">
        <v>13</v>
      </c>
      <c r="P843" s="378">
        <v>13</v>
      </c>
      <c r="Q843" s="378">
        <v>13</v>
      </c>
      <c r="R843" s="378"/>
      <c r="S843" s="378"/>
      <c r="T843" s="378"/>
      <c r="U843" s="378"/>
      <c r="V843" s="533"/>
      <c r="W843" s="378"/>
      <c r="X843" s="378"/>
      <c r="Y843" s="378">
        <f>IF(NFI_Expiration=1,IF($A843&lt;VLOOKUP(H$5,NFI,5,0),1,0)*Table_NFI[[#This Row],[Hygiene Kit]],Table_NFI[Hygiene Kit])</f>
        <v>0</v>
      </c>
      <c r="Z843" s="378">
        <f>IF(NFI_Expiration=1,IF($A843&lt;VLOOKUP(I$5,NFI,5,0),1,0)*Table_NFI[[#This Row],[NFI Core Kit]],Table_NFI[NFI Core Kit])</f>
        <v>0</v>
      </c>
      <c r="AA843" s="378">
        <f>IF(NFI_Expiration=1,IF($A843&lt;VLOOKUP(J$5,NFI,5,0),1,0)*Table_NFI[[#This Row],[Sanitary Kit]],Table_NFI[Sanitary Kit])</f>
        <v>0</v>
      </c>
      <c r="AB843" s="378">
        <f>IF(NFI_Expiration=1,IF($A843&lt;VLOOKUP(K$5,NFI,5,0),1,0)*Table_NFI[[#This Row],[Mosquito net]],Table_NFI[Mosquito net])</f>
        <v>0</v>
      </c>
      <c r="AC843" s="378">
        <f>IF(NFI_Expiration=1,IF($A843&lt;VLOOKUP(L$5,NFI,5,0),1,0)*Table_NFI[[#This Row],[Tarpaulin]],Table_NFI[[#This Row],[Tarpaulin]])</f>
        <v>0</v>
      </c>
      <c r="AD843" s="378">
        <f>IF(NFI_Expiration=1,IF($A843&lt;VLOOKUP(M$5,NFI,5,0),1,0)*Table_NFI[[#This Row],[Blanket]],Table_NFI[[#This Row],[Blanket]])</f>
        <v>0</v>
      </c>
      <c r="AE843" s="378">
        <f>IF(NFI_Expiration=1,IF($A843&lt;VLOOKUP(N$5,NFI,5,0),1,0)*Table_NFI[[#This Row],[Kitchen Set]],Table_NFI[Kitchen Set])</f>
        <v>0</v>
      </c>
      <c r="AF843" s="378">
        <f>IF(NFI_Expiration=1,IF($A843&lt;VLOOKUP(O$5,NFI,5,0),1,0)*Table_NFI[[#This Row],[Clothes Kit]],Table_NFI[Clothes Kit])</f>
        <v>0</v>
      </c>
      <c r="AG843" s="378">
        <f>IF(NFI_Expiration=1,IF($A843&lt;VLOOKUP(P$5,NFI,5,0),1,0)*Table_NFI[[#This Row],[Plastic Bucket]],Table_NFI[Plastic Bucket])</f>
        <v>0</v>
      </c>
      <c r="AH843" s="378">
        <f>IF(NFI_Expiration=1,IF($A843&lt;VLOOKUP(Q$5,NFI,5,0),1,0)*Table_NFI[[#This Row],[Plastic Mat]],Table_NFI[Plastic Mat])*IF(Table_NFI[[#This Row],[Distribution Date]]&gt;"2014-04-01",1,2.5)</f>
        <v>0</v>
      </c>
      <c r="AI843" s="378">
        <f>IF(NFI_Expiration=1,IF($A843&lt;VLOOKUP(R$5,NFI,5,0),1,0)*Table_NFI[[#This Row],[Winter Clothes Adult]],Table_NFI[Winter Clothes Adult])</f>
        <v>0</v>
      </c>
      <c r="AJ843" s="378">
        <f>IF(NFI_Expiration=1,IF($A843&lt;VLOOKUP(S$5,NFI,5,0),1,0)*Table_NFI[[#This Row],[Winter Clothes Children]],Table_NFI[Winter Clothes Children])</f>
        <v>0</v>
      </c>
      <c r="AK843" s="378">
        <f>IF(NFI_Expiration=1,IF($A843&lt;VLOOKUP(T$5,NFI,5,0),1,0)*Table_NFI[[#This Row],[Winter Items Other]],Table_NFI[Winter Items Other])</f>
        <v>0</v>
      </c>
      <c r="AL843" s="378">
        <f>IF(NFI_Expiration=1,IF($A843&lt;VLOOKUP(M$5,NFI,5,0),1,0)*Table_NFI[[#This Row],[Winter Blanket]],Table_NFI[[#This Row],[Winter Blanket]])</f>
        <v>0</v>
      </c>
      <c r="AM843" s="378">
        <f>IF(Table_NFI[[#This Row],[Winter Clothes Adult]]+Table_NFI[[#This Row],[Winter Clothes Children]]+Table_NFI[[#This Row],[Winter Items Other]]+Table_NFI[[#This Row],[Winter Blanket]]&gt;0,1,0)</f>
        <v>0</v>
      </c>
      <c r="AN843" s="418">
        <f>IF(NFI_Expiration=1,IF($A843&lt;VLOOKUP(V$5,NFI,5,0),1,0)*Table_NFI[[#This Row],[Jerry Can]],Table_NFI[Jerry Can])</f>
        <v>0</v>
      </c>
      <c r="AO843" s="579" t="str">
        <f>IFERROR(VLOOKUP(Table_NFI[[#This Row],[Camp Name]],CL,2,0),"")</f>
        <v>MMR001CMP005</v>
      </c>
      <c r="AP843" s="574">
        <f ca="1">IF(Table_NFI[[#This Row],[Pcode]]="","",IF(OFFSET(CampList[Opening Date],MATCH(Table_NFI[[#This Row],[Pcode]],CampList[CP_Pcode],0)-1,0,1,1)&gt;=NFI_Monitor_Date,1,0))</f>
        <v>0</v>
      </c>
      <c r="AQ843" s="579" t="str">
        <f>IFERROR(VLOOKUP(Table_NFI[[#This Row],[Camp Name]],CL,3,0),"")</f>
        <v>Open</v>
      </c>
      <c r="AR843" s="378" t="str">
        <f ca="1">IF(Table_NFI[[#This Row],[Pcode]]="","",OFFSET(CampList[Priority],MATCH(Table_NFI[[#This Row],[Pcode]],CampList[CP_Pcode],0)-1,0,1,1))</f>
        <v>P4</v>
      </c>
      <c r="AS843" s="377">
        <f>IFERROR(Table_NFI[[#This Row],[Kitchen Set]]/VLOOKUP(Table_NFI[[#This Row],[Camp Name]],CL,4,0),"")</f>
        <v>0.18604651162790697</v>
      </c>
      <c r="AT843" s="572" t="s">
        <v>1095</v>
      </c>
      <c r="AU843" s="575"/>
    </row>
    <row r="844" spans="1:47" s="576" customFormat="1" x14ac:dyDescent="0.25">
      <c r="A844" s="381">
        <f t="shared" si="13"/>
        <v>54.466666666666669</v>
      </c>
      <c r="B844" s="571">
        <v>40888</v>
      </c>
      <c r="C844" s="572" t="s">
        <v>454</v>
      </c>
      <c r="D844" s="573" t="s">
        <v>462</v>
      </c>
      <c r="E844" s="572" t="s">
        <v>380</v>
      </c>
      <c r="F844" s="374" t="s">
        <v>237</v>
      </c>
      <c r="G844" s="374" t="s">
        <v>275</v>
      </c>
      <c r="H844" s="375"/>
      <c r="I844" s="375"/>
      <c r="J844" s="375"/>
      <c r="K844" s="375">
        <v>3</v>
      </c>
      <c r="L844" s="376">
        <v>2</v>
      </c>
      <c r="M844" s="376">
        <v>3</v>
      </c>
      <c r="N844" s="376">
        <v>2</v>
      </c>
      <c r="O844" s="376">
        <v>2</v>
      </c>
      <c r="P844" s="378">
        <v>2</v>
      </c>
      <c r="Q844" s="378">
        <v>2</v>
      </c>
      <c r="R844" s="378"/>
      <c r="S844" s="378"/>
      <c r="T844" s="378"/>
      <c r="U844" s="378"/>
      <c r="V844" s="533"/>
      <c r="W844" s="378"/>
      <c r="X844" s="378"/>
      <c r="Y844" s="378">
        <f>IF(NFI_Expiration=1,IF($A844&lt;VLOOKUP(H$5,NFI,5,0),1,0)*Table_NFI[[#This Row],[Hygiene Kit]],Table_NFI[Hygiene Kit])</f>
        <v>0</v>
      </c>
      <c r="Z844" s="378">
        <f>IF(NFI_Expiration=1,IF($A844&lt;VLOOKUP(I$5,NFI,5,0),1,0)*Table_NFI[[#This Row],[NFI Core Kit]],Table_NFI[NFI Core Kit])</f>
        <v>0</v>
      </c>
      <c r="AA844" s="378">
        <f>IF(NFI_Expiration=1,IF($A844&lt;VLOOKUP(J$5,NFI,5,0),1,0)*Table_NFI[[#This Row],[Sanitary Kit]],Table_NFI[Sanitary Kit])</f>
        <v>0</v>
      </c>
      <c r="AB844" s="378">
        <f>IF(NFI_Expiration=1,IF($A844&lt;VLOOKUP(K$5,NFI,5,0),1,0)*Table_NFI[[#This Row],[Mosquito net]],Table_NFI[Mosquito net])</f>
        <v>0</v>
      </c>
      <c r="AC844" s="378">
        <f>IF(NFI_Expiration=1,IF($A844&lt;VLOOKUP(L$5,NFI,5,0),1,0)*Table_NFI[[#This Row],[Tarpaulin]],Table_NFI[[#This Row],[Tarpaulin]])</f>
        <v>0</v>
      </c>
      <c r="AD844" s="378">
        <f>IF(NFI_Expiration=1,IF($A844&lt;VLOOKUP(M$5,NFI,5,0),1,0)*Table_NFI[[#This Row],[Blanket]],Table_NFI[[#This Row],[Blanket]])</f>
        <v>0</v>
      </c>
      <c r="AE844" s="378">
        <f>IF(NFI_Expiration=1,IF($A844&lt;VLOOKUP(N$5,NFI,5,0),1,0)*Table_NFI[[#This Row],[Kitchen Set]],Table_NFI[Kitchen Set])</f>
        <v>0</v>
      </c>
      <c r="AF844" s="378">
        <f>IF(NFI_Expiration=1,IF($A844&lt;VLOOKUP(O$5,NFI,5,0),1,0)*Table_NFI[[#This Row],[Clothes Kit]],Table_NFI[Clothes Kit])</f>
        <v>0</v>
      </c>
      <c r="AG844" s="378">
        <f>IF(NFI_Expiration=1,IF($A844&lt;VLOOKUP(P$5,NFI,5,0),1,0)*Table_NFI[[#This Row],[Plastic Bucket]],Table_NFI[Plastic Bucket])</f>
        <v>0</v>
      </c>
      <c r="AH844" s="378">
        <f>IF(NFI_Expiration=1,IF($A844&lt;VLOOKUP(Q$5,NFI,5,0),1,0)*Table_NFI[[#This Row],[Plastic Mat]],Table_NFI[Plastic Mat])*IF(Table_NFI[[#This Row],[Distribution Date]]&gt;"2014-04-01",1,2.5)</f>
        <v>0</v>
      </c>
      <c r="AI844" s="378">
        <f>IF(NFI_Expiration=1,IF($A844&lt;VLOOKUP(R$5,NFI,5,0),1,0)*Table_NFI[[#This Row],[Winter Clothes Adult]],Table_NFI[Winter Clothes Adult])</f>
        <v>0</v>
      </c>
      <c r="AJ844" s="378">
        <f>IF(NFI_Expiration=1,IF($A844&lt;VLOOKUP(S$5,NFI,5,0),1,0)*Table_NFI[[#This Row],[Winter Clothes Children]],Table_NFI[Winter Clothes Children])</f>
        <v>0</v>
      </c>
      <c r="AK844" s="378">
        <f>IF(NFI_Expiration=1,IF($A844&lt;VLOOKUP(T$5,NFI,5,0),1,0)*Table_NFI[[#This Row],[Winter Items Other]],Table_NFI[Winter Items Other])</f>
        <v>0</v>
      </c>
      <c r="AL844" s="378">
        <f>IF(NFI_Expiration=1,IF($A844&lt;VLOOKUP(M$5,NFI,5,0),1,0)*Table_NFI[[#This Row],[Winter Blanket]],Table_NFI[[#This Row],[Winter Blanket]])</f>
        <v>0</v>
      </c>
      <c r="AM844" s="378">
        <f>IF(Table_NFI[[#This Row],[Winter Clothes Adult]]+Table_NFI[[#This Row],[Winter Clothes Children]]+Table_NFI[[#This Row],[Winter Items Other]]+Table_NFI[[#This Row],[Winter Blanket]]&gt;0,1,0)</f>
        <v>0</v>
      </c>
      <c r="AN844" s="418">
        <f>IF(NFI_Expiration=1,IF($A844&lt;VLOOKUP(V$5,NFI,5,0),1,0)*Table_NFI[[#This Row],[Jerry Can]],Table_NFI[Jerry Can])</f>
        <v>0</v>
      </c>
      <c r="AO844" s="579" t="str">
        <f>IFERROR(VLOOKUP(Table_NFI[[#This Row],[Camp Name]],CL,2,0),"")</f>
        <v>MMR001CMP005</v>
      </c>
      <c r="AP844" s="574">
        <f ca="1">IF(Table_NFI[[#This Row],[Pcode]]="","",IF(OFFSET(CampList[Opening Date],MATCH(Table_NFI[[#This Row],[Pcode]],CampList[CP_Pcode],0)-1,0,1,1)&gt;=NFI_Monitor_Date,1,0))</f>
        <v>0</v>
      </c>
      <c r="AQ844" s="579" t="str">
        <f>IFERROR(VLOOKUP(Table_NFI[[#This Row],[Camp Name]],CL,3,0),"")</f>
        <v>Open</v>
      </c>
      <c r="AR844" s="378" t="str">
        <f ca="1">IF(Table_NFI[[#This Row],[Pcode]]="","",OFFSET(CampList[Priority],MATCH(Table_NFI[[#This Row],[Pcode]],CampList[CP_Pcode],0)-1,0,1,1))</f>
        <v>P4</v>
      </c>
      <c r="AS844" s="377">
        <f>IFERROR(Table_NFI[[#This Row],[Kitchen Set]]/VLOOKUP(Table_NFI[[#This Row],[Camp Name]],CL,4,0),"")</f>
        <v>4.6511627906976744E-2</v>
      </c>
      <c r="AT844" s="572" t="s">
        <v>1095</v>
      </c>
      <c r="AU844" s="575"/>
    </row>
    <row r="845" spans="1:47" s="576" customFormat="1" x14ac:dyDescent="0.25">
      <c r="A845" s="381">
        <f t="shared" si="13"/>
        <v>55.333333333333336</v>
      </c>
      <c r="B845" s="571">
        <v>40862</v>
      </c>
      <c r="C845" s="572" t="s">
        <v>454</v>
      </c>
      <c r="D845" s="573" t="s">
        <v>462</v>
      </c>
      <c r="E845" s="572" t="s">
        <v>380</v>
      </c>
      <c r="F845" s="374" t="s">
        <v>237</v>
      </c>
      <c r="G845" s="374" t="s">
        <v>275</v>
      </c>
      <c r="H845" s="375"/>
      <c r="I845" s="375"/>
      <c r="J845" s="375"/>
      <c r="K845" s="375">
        <v>30</v>
      </c>
      <c r="L845" s="376">
        <v>17</v>
      </c>
      <c r="M845" s="376">
        <v>30</v>
      </c>
      <c r="N845" s="376">
        <v>17</v>
      </c>
      <c r="O845" s="376">
        <v>17</v>
      </c>
      <c r="P845" s="378">
        <v>17</v>
      </c>
      <c r="Q845" s="378">
        <v>17</v>
      </c>
      <c r="R845" s="378"/>
      <c r="S845" s="378"/>
      <c r="T845" s="378"/>
      <c r="U845" s="378"/>
      <c r="V845" s="533"/>
      <c r="W845" s="378"/>
      <c r="X845" s="378"/>
      <c r="Y845" s="378">
        <f>IF(NFI_Expiration=1,IF($A845&lt;VLOOKUP(H$5,NFI,5,0),1,0)*Table_NFI[[#This Row],[Hygiene Kit]],Table_NFI[Hygiene Kit])</f>
        <v>0</v>
      </c>
      <c r="Z845" s="378">
        <f>IF(NFI_Expiration=1,IF($A845&lt;VLOOKUP(I$5,NFI,5,0),1,0)*Table_NFI[[#This Row],[NFI Core Kit]],Table_NFI[NFI Core Kit])</f>
        <v>0</v>
      </c>
      <c r="AA845" s="378">
        <f>IF(NFI_Expiration=1,IF($A845&lt;VLOOKUP(J$5,NFI,5,0),1,0)*Table_NFI[[#This Row],[Sanitary Kit]],Table_NFI[Sanitary Kit])</f>
        <v>0</v>
      </c>
      <c r="AB845" s="378">
        <f>IF(NFI_Expiration=1,IF($A845&lt;VLOOKUP(K$5,NFI,5,0),1,0)*Table_NFI[[#This Row],[Mosquito net]],Table_NFI[Mosquito net])</f>
        <v>0</v>
      </c>
      <c r="AC845" s="378">
        <f>IF(NFI_Expiration=1,IF($A845&lt;VLOOKUP(L$5,NFI,5,0),1,0)*Table_NFI[[#This Row],[Tarpaulin]],Table_NFI[[#This Row],[Tarpaulin]])</f>
        <v>0</v>
      </c>
      <c r="AD845" s="378">
        <f>IF(NFI_Expiration=1,IF($A845&lt;VLOOKUP(M$5,NFI,5,0),1,0)*Table_NFI[[#This Row],[Blanket]],Table_NFI[[#This Row],[Blanket]])</f>
        <v>0</v>
      </c>
      <c r="AE845" s="378">
        <f>IF(NFI_Expiration=1,IF($A845&lt;VLOOKUP(N$5,NFI,5,0),1,0)*Table_NFI[[#This Row],[Kitchen Set]],Table_NFI[Kitchen Set])</f>
        <v>0</v>
      </c>
      <c r="AF845" s="378">
        <f>IF(NFI_Expiration=1,IF($A845&lt;VLOOKUP(O$5,NFI,5,0),1,0)*Table_NFI[[#This Row],[Clothes Kit]],Table_NFI[Clothes Kit])</f>
        <v>0</v>
      </c>
      <c r="AG845" s="378">
        <f>IF(NFI_Expiration=1,IF($A845&lt;VLOOKUP(P$5,NFI,5,0),1,0)*Table_NFI[[#This Row],[Plastic Bucket]],Table_NFI[Plastic Bucket])</f>
        <v>0</v>
      </c>
      <c r="AH845" s="378">
        <f>IF(NFI_Expiration=1,IF($A845&lt;VLOOKUP(Q$5,NFI,5,0),1,0)*Table_NFI[[#This Row],[Plastic Mat]],Table_NFI[Plastic Mat])*IF(Table_NFI[[#This Row],[Distribution Date]]&gt;"2014-04-01",1,2.5)</f>
        <v>0</v>
      </c>
      <c r="AI845" s="378">
        <f>IF(NFI_Expiration=1,IF($A845&lt;VLOOKUP(R$5,NFI,5,0),1,0)*Table_NFI[[#This Row],[Winter Clothes Adult]],Table_NFI[Winter Clothes Adult])</f>
        <v>0</v>
      </c>
      <c r="AJ845" s="378">
        <f>IF(NFI_Expiration=1,IF($A845&lt;VLOOKUP(S$5,NFI,5,0),1,0)*Table_NFI[[#This Row],[Winter Clothes Children]],Table_NFI[Winter Clothes Children])</f>
        <v>0</v>
      </c>
      <c r="AK845" s="378">
        <f>IF(NFI_Expiration=1,IF($A845&lt;VLOOKUP(T$5,NFI,5,0),1,0)*Table_NFI[[#This Row],[Winter Items Other]],Table_NFI[Winter Items Other])</f>
        <v>0</v>
      </c>
      <c r="AL845" s="378">
        <f>IF(NFI_Expiration=1,IF($A845&lt;VLOOKUP(M$5,NFI,5,0),1,0)*Table_NFI[[#This Row],[Winter Blanket]],Table_NFI[[#This Row],[Winter Blanket]])</f>
        <v>0</v>
      </c>
      <c r="AM845" s="378">
        <f>IF(Table_NFI[[#This Row],[Winter Clothes Adult]]+Table_NFI[[#This Row],[Winter Clothes Children]]+Table_NFI[[#This Row],[Winter Items Other]]+Table_NFI[[#This Row],[Winter Blanket]]&gt;0,1,0)</f>
        <v>0</v>
      </c>
      <c r="AN845" s="418">
        <f>IF(NFI_Expiration=1,IF($A845&lt;VLOOKUP(V$5,NFI,5,0),1,0)*Table_NFI[[#This Row],[Jerry Can]],Table_NFI[Jerry Can])</f>
        <v>0</v>
      </c>
      <c r="AO845" s="579" t="str">
        <f>IFERROR(VLOOKUP(Table_NFI[[#This Row],[Camp Name]],CL,2,0),"")</f>
        <v>MMR001CMP005</v>
      </c>
      <c r="AP845" s="574">
        <f ca="1">IF(Table_NFI[[#This Row],[Pcode]]="","",IF(OFFSET(CampList[Opening Date],MATCH(Table_NFI[[#This Row],[Pcode]],CampList[CP_Pcode],0)-1,0,1,1)&gt;=NFI_Monitor_Date,1,0))</f>
        <v>0</v>
      </c>
      <c r="AQ845" s="579" t="str">
        <f>IFERROR(VLOOKUP(Table_NFI[[#This Row],[Camp Name]],CL,3,0),"")</f>
        <v>Open</v>
      </c>
      <c r="AR845" s="378" t="str">
        <f ca="1">IF(Table_NFI[[#This Row],[Pcode]]="","",OFFSET(CampList[Priority],MATCH(Table_NFI[[#This Row],[Pcode]],CampList[CP_Pcode],0)-1,0,1,1))</f>
        <v>P4</v>
      </c>
      <c r="AS845" s="377">
        <f>IFERROR(Table_NFI[[#This Row],[Kitchen Set]]/VLOOKUP(Table_NFI[[#This Row],[Camp Name]],CL,4,0),"")</f>
        <v>0.39534883720930231</v>
      </c>
      <c r="AT845" s="572" t="s">
        <v>1095</v>
      </c>
      <c r="AU845" s="575"/>
    </row>
    <row r="846" spans="1:47" s="576" customFormat="1" x14ac:dyDescent="0.25">
      <c r="A846" s="381">
        <f t="shared" si="13"/>
        <v>20.3</v>
      </c>
      <c r="B846" s="571">
        <v>41913</v>
      </c>
      <c r="C846" s="572" t="s">
        <v>454</v>
      </c>
      <c r="D846" s="577" t="s">
        <v>507</v>
      </c>
      <c r="E846" s="577" t="s">
        <v>380</v>
      </c>
      <c r="F846" s="577" t="s">
        <v>310</v>
      </c>
      <c r="G846" s="577" t="s">
        <v>349</v>
      </c>
      <c r="H846" s="376"/>
      <c r="I846" s="376"/>
      <c r="J846" s="376"/>
      <c r="K846" s="376">
        <v>144</v>
      </c>
      <c r="L846" s="376"/>
      <c r="M846" s="376"/>
      <c r="N846" s="376"/>
      <c r="O846" s="376"/>
      <c r="P846" s="378"/>
      <c r="Q846" s="378"/>
      <c r="R846" s="378"/>
      <c r="S846" s="378"/>
      <c r="T846" s="378"/>
      <c r="U846" s="378"/>
      <c r="V846" s="533"/>
      <c r="W846" s="378"/>
      <c r="X846" s="378"/>
      <c r="Y846" s="378">
        <f>IF(NFI_Expiration=1,IF($A846&lt;VLOOKUP(H$5,NFI,5,0),1,0)*Table_NFI[[#This Row],[Hygiene Kit]],Table_NFI[Hygiene Kit])</f>
        <v>0</v>
      </c>
      <c r="Z846" s="378">
        <f>IF(NFI_Expiration=1,IF($A846&lt;VLOOKUP(I$5,NFI,5,0),1,0)*Table_NFI[[#This Row],[NFI Core Kit]],Table_NFI[NFI Core Kit])</f>
        <v>0</v>
      </c>
      <c r="AA846" s="378">
        <f>IF(NFI_Expiration=1,IF($A846&lt;VLOOKUP(J$5,NFI,5,0),1,0)*Table_NFI[[#This Row],[Sanitary Kit]],Table_NFI[Sanitary Kit])</f>
        <v>0</v>
      </c>
      <c r="AB846" s="378">
        <f>IF(NFI_Expiration=1,IF($A846&lt;VLOOKUP(K$5,NFI,5,0),1,0)*Table_NFI[[#This Row],[Mosquito net]],Table_NFI[Mosquito net])</f>
        <v>0</v>
      </c>
      <c r="AC846" s="378">
        <f>IF(NFI_Expiration=1,IF($A846&lt;VLOOKUP(L$5,NFI,5,0),1,0)*Table_NFI[[#This Row],[Tarpaulin]],Table_NFI[[#This Row],[Tarpaulin]])</f>
        <v>0</v>
      </c>
      <c r="AD846" s="378">
        <f>IF(NFI_Expiration=1,IF($A846&lt;VLOOKUP(M$5,NFI,5,0),1,0)*Table_NFI[[#This Row],[Blanket]],Table_NFI[[#This Row],[Blanket]])</f>
        <v>0</v>
      </c>
      <c r="AE846" s="378">
        <f>IF(NFI_Expiration=1,IF($A846&lt;VLOOKUP(N$5,NFI,5,0),1,0)*Table_NFI[[#This Row],[Kitchen Set]],Table_NFI[Kitchen Set])</f>
        <v>0</v>
      </c>
      <c r="AF846" s="378">
        <f>IF(NFI_Expiration=1,IF($A846&lt;VLOOKUP(O$5,NFI,5,0),1,0)*Table_NFI[[#This Row],[Clothes Kit]],Table_NFI[Clothes Kit])</f>
        <v>0</v>
      </c>
      <c r="AG846" s="378">
        <f>IF(NFI_Expiration=1,IF($A846&lt;VLOOKUP(P$5,NFI,5,0),1,0)*Table_NFI[[#This Row],[Plastic Bucket]],Table_NFI[Plastic Bucket])</f>
        <v>0</v>
      </c>
      <c r="AH846" s="378">
        <f>IF(NFI_Expiration=1,IF($A846&lt;VLOOKUP(Q$5,NFI,5,0),1,0)*Table_NFI[[#This Row],[Plastic Mat]],Table_NFI[Plastic Mat])*IF(Table_NFI[[#This Row],[Distribution Date]]&gt;"2014-04-01",1,2.5)</f>
        <v>0</v>
      </c>
      <c r="AI846" s="378">
        <f>IF(NFI_Expiration=1,IF($A846&lt;VLOOKUP(R$5,NFI,5,0),1,0)*Table_NFI[[#This Row],[Winter Clothes Adult]],Table_NFI[Winter Clothes Adult])</f>
        <v>0</v>
      </c>
      <c r="AJ846" s="378">
        <f>IF(NFI_Expiration=1,IF($A846&lt;VLOOKUP(S$5,NFI,5,0),1,0)*Table_NFI[[#This Row],[Winter Clothes Children]],Table_NFI[Winter Clothes Children])</f>
        <v>0</v>
      </c>
      <c r="AK846" s="378">
        <f>IF(NFI_Expiration=1,IF($A846&lt;VLOOKUP(T$5,NFI,5,0),1,0)*Table_NFI[[#This Row],[Winter Items Other]],Table_NFI[Winter Items Other])</f>
        <v>0</v>
      </c>
      <c r="AL846" s="378">
        <f>IF(NFI_Expiration=1,IF($A846&lt;VLOOKUP(M$5,NFI,5,0),1,0)*Table_NFI[[#This Row],[Winter Blanket]],Table_NFI[[#This Row],[Winter Blanket]])</f>
        <v>0</v>
      </c>
      <c r="AM846" s="378">
        <f>IF(Table_NFI[[#This Row],[Winter Clothes Adult]]+Table_NFI[[#This Row],[Winter Clothes Children]]+Table_NFI[[#This Row],[Winter Items Other]]+Table_NFI[[#This Row],[Winter Blanket]]&gt;0,1,0)</f>
        <v>0</v>
      </c>
      <c r="AN846" s="418">
        <f>IF(NFI_Expiration=1,IF($A846&lt;VLOOKUP(V$5,NFI,5,0),1,0)*Table_NFI[[#This Row],[Jerry Can]],Table_NFI[Jerry Can])</f>
        <v>0</v>
      </c>
      <c r="AO846" s="579" t="str">
        <f>IFERROR(VLOOKUP(Table_NFI[[#This Row],[Camp Name]],CL,2,0),"")</f>
        <v>MMR001CMP037</v>
      </c>
      <c r="AP846" s="574">
        <f ca="1">IF(Table_NFI[[#This Row],[Pcode]]="","",IF(OFFSET(CampList[Opening Date],MATCH(Table_NFI[[#This Row],[Pcode]],CampList[CP_Pcode],0)-1,0,1,1)&gt;=NFI_Monitor_Date,1,0))</f>
        <v>0</v>
      </c>
      <c r="AQ846" s="579" t="str">
        <f>IFERROR(VLOOKUP(Table_NFI[[#This Row],[Camp Name]],CL,3,0),"")</f>
        <v>Open</v>
      </c>
      <c r="AR846" s="378" t="str">
        <f ca="1">IF(Table_NFI[[#This Row],[Pcode]]="","",OFFSET(CampList[Priority],MATCH(Table_NFI[[#This Row],[Pcode]],CampList[CP_Pcode],0)-1,0,1,1))</f>
        <v>P4</v>
      </c>
      <c r="AS846" s="377">
        <f>IFERROR(Table_NFI[[#This Row],[Kitchen Set]]/VLOOKUP(Table_NFI[[#This Row],[Camp Name]],CL,4,0),"")</f>
        <v>0</v>
      </c>
      <c r="AT846" s="577"/>
      <c r="AU846" s="580"/>
    </row>
    <row r="847" spans="1:47" s="576" customFormat="1" x14ac:dyDescent="0.25">
      <c r="A847" s="381">
        <f t="shared" si="13"/>
        <v>24.533333333333335</v>
      </c>
      <c r="B847" s="571">
        <v>41786</v>
      </c>
      <c r="C847" s="572" t="s">
        <v>454</v>
      </c>
      <c r="D847" s="572" t="s">
        <v>507</v>
      </c>
      <c r="E847" s="572" t="s">
        <v>380</v>
      </c>
      <c r="F847" s="572" t="s">
        <v>310</v>
      </c>
      <c r="G847" s="572" t="s">
        <v>349</v>
      </c>
      <c r="H847" s="375"/>
      <c r="I847" s="375"/>
      <c r="J847" s="375">
        <v>18</v>
      </c>
      <c r="K847" s="375">
        <v>9</v>
      </c>
      <c r="L847" s="376">
        <v>18</v>
      </c>
      <c r="M847" s="376">
        <v>9</v>
      </c>
      <c r="N847" s="376"/>
      <c r="O847" s="376">
        <v>9</v>
      </c>
      <c r="P847" s="378">
        <v>45</v>
      </c>
      <c r="Q847" s="378"/>
      <c r="R847" s="378"/>
      <c r="S847" s="378"/>
      <c r="T847" s="378"/>
      <c r="U847" s="378"/>
      <c r="V847" s="533"/>
      <c r="W847" s="378"/>
      <c r="X847" s="378"/>
      <c r="Y847" s="378">
        <f>IF(NFI_Expiration=1,IF($A847&lt;VLOOKUP(H$5,NFI,5,0),1,0)*Table_NFI[[#This Row],[Hygiene Kit]],Table_NFI[Hygiene Kit])</f>
        <v>0</v>
      </c>
      <c r="Z847" s="378">
        <f>IF(NFI_Expiration=1,IF($A847&lt;VLOOKUP(I$5,NFI,5,0),1,0)*Table_NFI[[#This Row],[NFI Core Kit]],Table_NFI[NFI Core Kit])</f>
        <v>0</v>
      </c>
      <c r="AA847" s="378">
        <f>IF(NFI_Expiration=1,IF($A847&lt;VLOOKUP(J$5,NFI,5,0),1,0)*Table_NFI[[#This Row],[Sanitary Kit]],Table_NFI[Sanitary Kit])</f>
        <v>0</v>
      </c>
      <c r="AB847" s="378">
        <f>IF(NFI_Expiration=1,IF($A847&lt;VLOOKUP(K$5,NFI,5,0),1,0)*Table_NFI[[#This Row],[Mosquito net]],Table_NFI[Mosquito net])</f>
        <v>0</v>
      </c>
      <c r="AC847" s="378">
        <f>IF(NFI_Expiration=1,IF($A847&lt;VLOOKUP(L$5,NFI,5,0),1,0)*Table_NFI[[#This Row],[Tarpaulin]],Table_NFI[[#This Row],[Tarpaulin]])</f>
        <v>0</v>
      </c>
      <c r="AD847" s="378">
        <f>IF(NFI_Expiration=1,IF($A847&lt;VLOOKUP(M$5,NFI,5,0),1,0)*Table_NFI[[#This Row],[Blanket]],Table_NFI[[#This Row],[Blanket]])</f>
        <v>0</v>
      </c>
      <c r="AE847" s="378">
        <f>IF(NFI_Expiration=1,IF($A847&lt;VLOOKUP(N$5,NFI,5,0),1,0)*Table_NFI[[#This Row],[Kitchen Set]],Table_NFI[Kitchen Set])</f>
        <v>0</v>
      </c>
      <c r="AF847" s="378">
        <f>IF(NFI_Expiration=1,IF($A847&lt;VLOOKUP(O$5,NFI,5,0),1,0)*Table_NFI[[#This Row],[Clothes Kit]],Table_NFI[Clothes Kit])</f>
        <v>0</v>
      </c>
      <c r="AG847" s="378">
        <f>IF(NFI_Expiration=1,IF($A847&lt;VLOOKUP(P$5,NFI,5,0),1,0)*Table_NFI[[#This Row],[Plastic Bucket]],Table_NFI[Plastic Bucket])</f>
        <v>0</v>
      </c>
      <c r="AH847" s="378">
        <f>IF(NFI_Expiration=1,IF($A847&lt;VLOOKUP(Q$5,NFI,5,0),1,0)*Table_NFI[[#This Row],[Plastic Mat]],Table_NFI[Plastic Mat])*IF(Table_NFI[[#This Row],[Distribution Date]]&gt;"2014-04-01",1,2.5)</f>
        <v>0</v>
      </c>
      <c r="AI847" s="378">
        <f>IF(NFI_Expiration=1,IF($A847&lt;VLOOKUP(R$5,NFI,5,0),1,0)*Table_NFI[[#This Row],[Winter Clothes Adult]],Table_NFI[Winter Clothes Adult])</f>
        <v>0</v>
      </c>
      <c r="AJ847" s="378">
        <f>IF(NFI_Expiration=1,IF($A847&lt;VLOOKUP(S$5,NFI,5,0),1,0)*Table_NFI[[#This Row],[Winter Clothes Children]],Table_NFI[Winter Clothes Children])</f>
        <v>0</v>
      </c>
      <c r="AK847" s="378">
        <f>IF(NFI_Expiration=1,IF($A847&lt;VLOOKUP(T$5,NFI,5,0),1,0)*Table_NFI[[#This Row],[Winter Items Other]],Table_NFI[Winter Items Other])</f>
        <v>0</v>
      </c>
      <c r="AL847" s="378">
        <f>IF(NFI_Expiration=1,IF($A847&lt;VLOOKUP(M$5,NFI,5,0),1,0)*Table_NFI[[#This Row],[Winter Blanket]],Table_NFI[[#This Row],[Winter Blanket]])</f>
        <v>0</v>
      </c>
      <c r="AM847" s="378">
        <f>IF(Table_NFI[[#This Row],[Winter Clothes Adult]]+Table_NFI[[#This Row],[Winter Clothes Children]]+Table_NFI[[#This Row],[Winter Items Other]]+Table_NFI[[#This Row],[Winter Blanket]]&gt;0,1,0)</f>
        <v>0</v>
      </c>
      <c r="AN847" s="418">
        <f>IF(NFI_Expiration=1,IF($A847&lt;VLOOKUP(V$5,NFI,5,0),1,0)*Table_NFI[[#This Row],[Jerry Can]],Table_NFI[Jerry Can])</f>
        <v>0</v>
      </c>
      <c r="AO847" s="579" t="str">
        <f>IFERROR(VLOOKUP(Table_NFI[[#This Row],[Camp Name]],CL,2,0),"")</f>
        <v>MMR001CMP037</v>
      </c>
      <c r="AP847" s="574">
        <f ca="1">IF(Table_NFI[[#This Row],[Pcode]]="","",IF(OFFSET(CampList[Opening Date],MATCH(Table_NFI[[#This Row],[Pcode]],CampList[CP_Pcode],0)-1,0,1,1)&gt;=NFI_Monitor_Date,1,0))</f>
        <v>0</v>
      </c>
      <c r="AQ847" s="579" t="str">
        <f>IFERROR(VLOOKUP(Table_NFI[[#This Row],[Camp Name]],CL,3,0),"")</f>
        <v>Open</v>
      </c>
      <c r="AR847" s="378" t="str">
        <f ca="1">IF(Table_NFI[[#This Row],[Pcode]]="","",OFFSET(CampList[Priority],MATCH(Table_NFI[[#This Row],[Pcode]],CampList[CP_Pcode],0)-1,0,1,1))</f>
        <v>P4</v>
      </c>
      <c r="AS847" s="377">
        <f>IFERROR(Table_NFI[[#This Row],[Kitchen Set]]/VLOOKUP(Table_NFI[[#This Row],[Camp Name]],CL,4,0),"")</f>
        <v>0</v>
      </c>
      <c r="AT847" s="572"/>
      <c r="AU847" s="575"/>
    </row>
    <row r="848" spans="1:47" s="576" customFormat="1" x14ac:dyDescent="0.25">
      <c r="A848" s="381">
        <f t="shared" si="13"/>
        <v>24.733333333333334</v>
      </c>
      <c r="B848" s="571">
        <v>41780</v>
      </c>
      <c r="C848" s="572" t="s">
        <v>1107</v>
      </c>
      <c r="D848" s="572" t="s">
        <v>903</v>
      </c>
      <c r="E848" s="572" t="s">
        <v>380</v>
      </c>
      <c r="F848" s="572" t="s">
        <v>310</v>
      </c>
      <c r="G848" s="572" t="s">
        <v>349</v>
      </c>
      <c r="H848" s="375"/>
      <c r="I848" s="375"/>
      <c r="J848" s="375"/>
      <c r="K848" s="375"/>
      <c r="L848" s="376"/>
      <c r="M848" s="376"/>
      <c r="N848" s="376"/>
      <c r="O848" s="376"/>
      <c r="P848" s="378"/>
      <c r="Q848" s="378"/>
      <c r="R848" s="378"/>
      <c r="S848" s="378"/>
      <c r="T848" s="378"/>
      <c r="U848" s="378">
        <v>136</v>
      </c>
      <c r="V848" s="533"/>
      <c r="W848" s="378"/>
      <c r="X848" s="378"/>
      <c r="Y848" s="378">
        <f>IF(NFI_Expiration=1,IF($A848&lt;VLOOKUP(H$5,NFI,5,0),1,0)*Table_NFI[[#This Row],[Hygiene Kit]],Table_NFI[Hygiene Kit])</f>
        <v>0</v>
      </c>
      <c r="Z848" s="378">
        <f>IF(NFI_Expiration=1,IF($A848&lt;VLOOKUP(I$5,NFI,5,0),1,0)*Table_NFI[[#This Row],[NFI Core Kit]],Table_NFI[NFI Core Kit])</f>
        <v>0</v>
      </c>
      <c r="AA848" s="378">
        <f>IF(NFI_Expiration=1,IF($A848&lt;VLOOKUP(J$5,NFI,5,0),1,0)*Table_NFI[[#This Row],[Sanitary Kit]],Table_NFI[Sanitary Kit])</f>
        <v>0</v>
      </c>
      <c r="AB848" s="378">
        <f>IF(NFI_Expiration=1,IF($A848&lt;VLOOKUP(K$5,NFI,5,0),1,0)*Table_NFI[[#This Row],[Mosquito net]],Table_NFI[Mosquito net])</f>
        <v>0</v>
      </c>
      <c r="AC848" s="378">
        <f>IF(NFI_Expiration=1,IF($A848&lt;VLOOKUP(L$5,NFI,5,0),1,0)*Table_NFI[[#This Row],[Tarpaulin]],Table_NFI[[#This Row],[Tarpaulin]])</f>
        <v>0</v>
      </c>
      <c r="AD848" s="378">
        <f>IF(NFI_Expiration=1,IF($A848&lt;VLOOKUP(M$5,NFI,5,0),1,0)*Table_NFI[[#This Row],[Blanket]],Table_NFI[[#This Row],[Blanket]])</f>
        <v>0</v>
      </c>
      <c r="AE848" s="378">
        <f>IF(NFI_Expiration=1,IF($A848&lt;VLOOKUP(N$5,NFI,5,0),1,0)*Table_NFI[[#This Row],[Kitchen Set]],Table_NFI[Kitchen Set])</f>
        <v>0</v>
      </c>
      <c r="AF848" s="378">
        <f>IF(NFI_Expiration=1,IF($A848&lt;VLOOKUP(O$5,NFI,5,0),1,0)*Table_NFI[[#This Row],[Clothes Kit]],Table_NFI[Clothes Kit])</f>
        <v>0</v>
      </c>
      <c r="AG848" s="378">
        <f>IF(NFI_Expiration=1,IF($A848&lt;VLOOKUP(P$5,NFI,5,0),1,0)*Table_NFI[[#This Row],[Plastic Bucket]],Table_NFI[Plastic Bucket])</f>
        <v>0</v>
      </c>
      <c r="AH848" s="378">
        <f>IF(NFI_Expiration=1,IF($A848&lt;VLOOKUP(Q$5,NFI,5,0),1,0)*Table_NFI[[#This Row],[Plastic Mat]],Table_NFI[Plastic Mat])*IF(Table_NFI[[#This Row],[Distribution Date]]&gt;"2014-04-01",1,2.5)</f>
        <v>0</v>
      </c>
      <c r="AI848" s="378">
        <f>IF(NFI_Expiration=1,IF($A848&lt;VLOOKUP(R$5,NFI,5,0),1,0)*Table_NFI[[#This Row],[Winter Clothes Adult]],Table_NFI[Winter Clothes Adult])</f>
        <v>0</v>
      </c>
      <c r="AJ848" s="378">
        <f>IF(NFI_Expiration=1,IF($A848&lt;VLOOKUP(S$5,NFI,5,0),1,0)*Table_NFI[[#This Row],[Winter Clothes Children]],Table_NFI[Winter Clothes Children])</f>
        <v>0</v>
      </c>
      <c r="AK848" s="378">
        <f>IF(NFI_Expiration=1,IF($A848&lt;VLOOKUP(T$5,NFI,5,0),1,0)*Table_NFI[[#This Row],[Winter Items Other]],Table_NFI[Winter Items Other])</f>
        <v>0</v>
      </c>
      <c r="AL848" s="378">
        <f>IF(NFI_Expiration=1,IF($A848&lt;VLOOKUP(M$5,NFI,5,0),1,0)*Table_NFI[[#This Row],[Winter Blanket]],Table_NFI[[#This Row],[Winter Blanket]])</f>
        <v>0</v>
      </c>
      <c r="AM848" s="378">
        <f>IF(Table_NFI[[#This Row],[Winter Clothes Adult]]+Table_NFI[[#This Row],[Winter Clothes Children]]+Table_NFI[[#This Row],[Winter Items Other]]+Table_NFI[[#This Row],[Winter Blanket]]&gt;0,1,0)</f>
        <v>1</v>
      </c>
      <c r="AN848" s="418">
        <f>IF(NFI_Expiration=1,IF($A848&lt;VLOOKUP(V$5,NFI,5,0),1,0)*Table_NFI[[#This Row],[Jerry Can]],Table_NFI[Jerry Can])</f>
        <v>0</v>
      </c>
      <c r="AO848" s="579" t="str">
        <f>IFERROR(VLOOKUP(Table_NFI[[#This Row],[Camp Name]],CL,2,0),"")</f>
        <v>MMR001CMP037</v>
      </c>
      <c r="AP848" s="574">
        <f ca="1">IF(Table_NFI[[#This Row],[Pcode]]="","",IF(OFFSET(CampList[Opening Date],MATCH(Table_NFI[[#This Row],[Pcode]],CampList[CP_Pcode],0)-1,0,1,1)&gt;=NFI_Monitor_Date,1,0))</f>
        <v>0</v>
      </c>
      <c r="AQ848" s="579" t="str">
        <f>IFERROR(VLOOKUP(Table_NFI[[#This Row],[Camp Name]],CL,3,0),"")</f>
        <v>Open</v>
      </c>
      <c r="AR848" s="378" t="str">
        <f ca="1">IF(Table_NFI[[#This Row],[Pcode]]="","",OFFSET(CampList[Priority],MATCH(Table_NFI[[#This Row],[Pcode]],CampList[CP_Pcode],0)-1,0,1,1))</f>
        <v>P4</v>
      </c>
      <c r="AS848" s="377">
        <f>IFERROR(Table_NFI[[#This Row],[Kitchen Set]]/VLOOKUP(Table_NFI[[#This Row],[Camp Name]],CL,4,0),"")</f>
        <v>0</v>
      </c>
      <c r="AT848" s="572"/>
      <c r="AU848" s="575"/>
    </row>
    <row r="849" spans="1:47" s="576" customFormat="1" x14ac:dyDescent="0.25">
      <c r="A849" s="381">
        <f t="shared" si="13"/>
        <v>29.766666666666666</v>
      </c>
      <c r="B849" s="571">
        <v>41629</v>
      </c>
      <c r="C849" s="572" t="s">
        <v>908</v>
      </c>
      <c r="D849" s="572" t="s">
        <v>462</v>
      </c>
      <c r="E849" s="572" t="s">
        <v>380</v>
      </c>
      <c r="F849" s="572" t="s">
        <v>310</v>
      </c>
      <c r="G849" s="572" t="s">
        <v>349</v>
      </c>
      <c r="H849" s="375"/>
      <c r="I849" s="375"/>
      <c r="J849" s="375"/>
      <c r="K849" s="375"/>
      <c r="L849" s="376"/>
      <c r="M849" s="376"/>
      <c r="N849" s="376"/>
      <c r="O849" s="376"/>
      <c r="P849" s="378"/>
      <c r="Q849" s="378"/>
      <c r="R849" s="378">
        <v>75</v>
      </c>
      <c r="S849" s="378">
        <v>139</v>
      </c>
      <c r="T849" s="378">
        <v>428</v>
      </c>
      <c r="U849" s="378">
        <v>214</v>
      </c>
      <c r="V849" s="533"/>
      <c r="W849" s="378"/>
      <c r="X849" s="378"/>
      <c r="Y849" s="378">
        <f>IF(NFI_Expiration=1,IF($A849&lt;VLOOKUP(H$5,NFI,5,0),1,0)*Table_NFI[[#This Row],[Hygiene Kit]],Table_NFI[Hygiene Kit])</f>
        <v>0</v>
      </c>
      <c r="Z849" s="378">
        <f>IF(NFI_Expiration=1,IF($A849&lt;VLOOKUP(I$5,NFI,5,0),1,0)*Table_NFI[[#This Row],[NFI Core Kit]],Table_NFI[NFI Core Kit])</f>
        <v>0</v>
      </c>
      <c r="AA849" s="378">
        <f>IF(NFI_Expiration=1,IF($A849&lt;VLOOKUP(J$5,NFI,5,0),1,0)*Table_NFI[[#This Row],[Sanitary Kit]],Table_NFI[Sanitary Kit])</f>
        <v>0</v>
      </c>
      <c r="AB849" s="378">
        <f>IF(NFI_Expiration=1,IF($A849&lt;VLOOKUP(K$5,NFI,5,0),1,0)*Table_NFI[[#This Row],[Mosquito net]],Table_NFI[Mosquito net])</f>
        <v>0</v>
      </c>
      <c r="AC849" s="378">
        <f>IF(NFI_Expiration=1,IF($A849&lt;VLOOKUP(L$5,NFI,5,0),1,0)*Table_NFI[[#This Row],[Tarpaulin]],Table_NFI[[#This Row],[Tarpaulin]])</f>
        <v>0</v>
      </c>
      <c r="AD849" s="378">
        <f>IF(NFI_Expiration=1,IF($A849&lt;VLOOKUP(M$5,NFI,5,0),1,0)*Table_NFI[[#This Row],[Blanket]],Table_NFI[[#This Row],[Blanket]])</f>
        <v>0</v>
      </c>
      <c r="AE849" s="378">
        <f>IF(NFI_Expiration=1,IF($A849&lt;VLOOKUP(N$5,NFI,5,0),1,0)*Table_NFI[[#This Row],[Kitchen Set]],Table_NFI[Kitchen Set])</f>
        <v>0</v>
      </c>
      <c r="AF849" s="378">
        <f>IF(NFI_Expiration=1,IF($A849&lt;VLOOKUP(O$5,NFI,5,0),1,0)*Table_NFI[[#This Row],[Clothes Kit]],Table_NFI[Clothes Kit])</f>
        <v>0</v>
      </c>
      <c r="AG849" s="378">
        <f>IF(NFI_Expiration=1,IF($A849&lt;VLOOKUP(P$5,NFI,5,0),1,0)*Table_NFI[[#This Row],[Plastic Bucket]],Table_NFI[Plastic Bucket])</f>
        <v>0</v>
      </c>
      <c r="AH849" s="378">
        <f>IF(NFI_Expiration=1,IF($A849&lt;VLOOKUP(Q$5,NFI,5,0),1,0)*Table_NFI[[#This Row],[Plastic Mat]],Table_NFI[Plastic Mat])*IF(Table_NFI[[#This Row],[Distribution Date]]&gt;"2014-04-01",1,2.5)</f>
        <v>0</v>
      </c>
      <c r="AI849" s="378">
        <f>IF(NFI_Expiration=1,IF($A849&lt;VLOOKUP(R$5,NFI,5,0),1,0)*Table_NFI[[#This Row],[Winter Clothes Adult]],Table_NFI[Winter Clothes Adult])</f>
        <v>0</v>
      </c>
      <c r="AJ849" s="378">
        <f>IF(NFI_Expiration=1,IF($A849&lt;VLOOKUP(S$5,NFI,5,0),1,0)*Table_NFI[[#This Row],[Winter Clothes Children]],Table_NFI[Winter Clothes Children])</f>
        <v>0</v>
      </c>
      <c r="AK849" s="378">
        <f>IF(NFI_Expiration=1,IF($A849&lt;VLOOKUP(T$5,NFI,5,0),1,0)*Table_NFI[[#This Row],[Winter Items Other]],Table_NFI[Winter Items Other])</f>
        <v>0</v>
      </c>
      <c r="AL849" s="378">
        <f>IF(NFI_Expiration=1,IF($A849&lt;VLOOKUP(M$5,NFI,5,0),1,0)*Table_NFI[[#This Row],[Winter Blanket]],Table_NFI[[#This Row],[Winter Blanket]])</f>
        <v>0</v>
      </c>
      <c r="AM849" s="378">
        <f>IF(Table_NFI[[#This Row],[Winter Clothes Adult]]+Table_NFI[[#This Row],[Winter Clothes Children]]+Table_NFI[[#This Row],[Winter Items Other]]+Table_NFI[[#This Row],[Winter Blanket]]&gt;0,1,0)</f>
        <v>1</v>
      </c>
      <c r="AN849" s="418">
        <f>IF(NFI_Expiration=1,IF($A849&lt;VLOOKUP(V$5,NFI,5,0),1,0)*Table_NFI[[#This Row],[Jerry Can]],Table_NFI[Jerry Can])</f>
        <v>0</v>
      </c>
      <c r="AO849" s="579" t="str">
        <f>IFERROR(VLOOKUP(Table_NFI[[#This Row],[Camp Name]],CL,2,0),"")</f>
        <v>MMR001CMP037</v>
      </c>
      <c r="AP849" s="574">
        <f ca="1">IF(Table_NFI[[#This Row],[Pcode]]="","",IF(OFFSET(CampList[Opening Date],MATCH(Table_NFI[[#This Row],[Pcode]],CampList[CP_Pcode],0)-1,0,1,1)&gt;=NFI_Monitor_Date,1,0))</f>
        <v>0</v>
      </c>
      <c r="AQ849" s="579" t="str">
        <f>IFERROR(VLOOKUP(Table_NFI[[#This Row],[Camp Name]],CL,3,0),"")</f>
        <v>Open</v>
      </c>
      <c r="AR849" s="378" t="str">
        <f ca="1">IF(Table_NFI[[#This Row],[Pcode]]="","",OFFSET(CampList[Priority],MATCH(Table_NFI[[#This Row],[Pcode]],CampList[CP_Pcode],0)-1,0,1,1))</f>
        <v>P4</v>
      </c>
      <c r="AS849" s="377">
        <f>IFERROR(Table_NFI[[#This Row],[Kitchen Set]]/VLOOKUP(Table_NFI[[#This Row],[Camp Name]],CL,4,0),"")</f>
        <v>0</v>
      </c>
      <c r="AT849" s="572"/>
      <c r="AU849" s="575"/>
    </row>
    <row r="850" spans="1:47" s="576" customFormat="1" x14ac:dyDescent="0.25">
      <c r="A850" s="381">
        <f t="shared" si="13"/>
        <v>30.466666666666665</v>
      </c>
      <c r="B850" s="571">
        <v>41608</v>
      </c>
      <c r="C850" s="572" t="s">
        <v>908</v>
      </c>
      <c r="D850" s="572" t="s">
        <v>462</v>
      </c>
      <c r="E850" s="572" t="s">
        <v>380</v>
      </c>
      <c r="F850" s="374" t="s">
        <v>310</v>
      </c>
      <c r="G850" s="374" t="s">
        <v>349</v>
      </c>
      <c r="H850" s="375"/>
      <c r="I850" s="375"/>
      <c r="J850" s="375"/>
      <c r="K850" s="375"/>
      <c r="L850" s="376"/>
      <c r="M850" s="376"/>
      <c r="N850" s="376"/>
      <c r="O850" s="376"/>
      <c r="P850" s="378"/>
      <c r="Q850" s="378"/>
      <c r="R850" s="378"/>
      <c r="S850" s="378"/>
      <c r="T850" s="378"/>
      <c r="U850" s="378"/>
      <c r="V850" s="533"/>
      <c r="W850" s="378"/>
      <c r="X850" s="378"/>
      <c r="Y850" s="378">
        <f>IF(NFI_Expiration=1,IF($A850&lt;VLOOKUP(H$5,NFI,5,0),1,0)*Table_NFI[[#This Row],[Hygiene Kit]],Table_NFI[Hygiene Kit])</f>
        <v>0</v>
      </c>
      <c r="Z850" s="378">
        <f>IF(NFI_Expiration=1,IF($A850&lt;VLOOKUP(I$5,NFI,5,0),1,0)*Table_NFI[[#This Row],[NFI Core Kit]],Table_NFI[NFI Core Kit])</f>
        <v>0</v>
      </c>
      <c r="AA850" s="378">
        <f>IF(NFI_Expiration=1,IF($A850&lt;VLOOKUP(J$5,NFI,5,0),1,0)*Table_NFI[[#This Row],[Sanitary Kit]],Table_NFI[Sanitary Kit])</f>
        <v>0</v>
      </c>
      <c r="AB850" s="378">
        <f>IF(NFI_Expiration=1,IF($A850&lt;VLOOKUP(K$5,NFI,5,0),1,0)*Table_NFI[[#This Row],[Mosquito net]],Table_NFI[Mosquito net])</f>
        <v>0</v>
      </c>
      <c r="AC850" s="378">
        <f>IF(NFI_Expiration=1,IF($A850&lt;VLOOKUP(L$5,NFI,5,0),1,0)*Table_NFI[[#This Row],[Tarpaulin]],Table_NFI[[#This Row],[Tarpaulin]])</f>
        <v>0</v>
      </c>
      <c r="AD850" s="378">
        <f>IF(NFI_Expiration=1,IF($A850&lt;VLOOKUP(M$5,NFI,5,0),1,0)*Table_NFI[[#This Row],[Blanket]],Table_NFI[[#This Row],[Blanket]])</f>
        <v>0</v>
      </c>
      <c r="AE850" s="378">
        <f>IF(NFI_Expiration=1,IF($A850&lt;VLOOKUP(N$5,NFI,5,0),1,0)*Table_NFI[[#This Row],[Kitchen Set]],Table_NFI[Kitchen Set])</f>
        <v>0</v>
      </c>
      <c r="AF850" s="378">
        <f>IF(NFI_Expiration=1,IF($A850&lt;VLOOKUP(O$5,NFI,5,0),1,0)*Table_NFI[[#This Row],[Clothes Kit]],Table_NFI[Clothes Kit])</f>
        <v>0</v>
      </c>
      <c r="AG850" s="378">
        <f>IF(NFI_Expiration=1,IF($A850&lt;VLOOKUP(P$5,NFI,5,0),1,0)*Table_NFI[[#This Row],[Plastic Bucket]],Table_NFI[Plastic Bucket])</f>
        <v>0</v>
      </c>
      <c r="AH850" s="378">
        <f>IF(NFI_Expiration=1,IF($A850&lt;VLOOKUP(Q$5,NFI,5,0),1,0)*Table_NFI[[#This Row],[Plastic Mat]],Table_NFI[Plastic Mat])*IF(Table_NFI[[#This Row],[Distribution Date]]&gt;"2014-04-01",1,2.5)</f>
        <v>0</v>
      </c>
      <c r="AI850" s="378">
        <f>IF(NFI_Expiration=1,IF($A850&lt;VLOOKUP(R$5,NFI,5,0),1,0)*Table_NFI[[#This Row],[Winter Clothes Adult]],Table_NFI[Winter Clothes Adult])</f>
        <v>0</v>
      </c>
      <c r="AJ850" s="378">
        <f>IF(NFI_Expiration=1,IF($A850&lt;VLOOKUP(S$5,NFI,5,0),1,0)*Table_NFI[[#This Row],[Winter Clothes Children]],Table_NFI[Winter Clothes Children])</f>
        <v>0</v>
      </c>
      <c r="AK850" s="378">
        <f>IF(NFI_Expiration=1,IF($A850&lt;VLOOKUP(T$5,NFI,5,0),1,0)*Table_NFI[[#This Row],[Winter Items Other]],Table_NFI[Winter Items Other])</f>
        <v>0</v>
      </c>
      <c r="AL850" s="378">
        <f>IF(NFI_Expiration=1,IF($A850&lt;VLOOKUP(M$5,NFI,5,0),1,0)*Table_NFI[[#This Row],[Winter Blanket]],Table_NFI[[#This Row],[Winter Blanket]])</f>
        <v>0</v>
      </c>
      <c r="AM850" s="378">
        <f>IF(Table_NFI[[#This Row],[Winter Clothes Adult]]+Table_NFI[[#This Row],[Winter Clothes Children]]+Table_NFI[[#This Row],[Winter Items Other]]+Table_NFI[[#This Row],[Winter Blanket]]&gt;0,1,0)</f>
        <v>0</v>
      </c>
      <c r="AN850" s="418">
        <f>IF(NFI_Expiration=1,IF($A850&lt;VLOOKUP(V$5,NFI,5,0),1,0)*Table_NFI[[#This Row],[Jerry Can]],Table_NFI[Jerry Can])</f>
        <v>0</v>
      </c>
      <c r="AO850" s="579" t="str">
        <f>IFERROR(VLOOKUP(Table_NFI[[#This Row],[Camp Name]],CL,2,0),"")</f>
        <v>MMR001CMP037</v>
      </c>
      <c r="AP850" s="574">
        <f ca="1">IF(Table_NFI[[#This Row],[Pcode]]="","",IF(OFFSET(CampList[Opening Date],MATCH(Table_NFI[[#This Row],[Pcode]],CampList[CP_Pcode],0)-1,0,1,1)&gt;=NFI_Monitor_Date,1,0))</f>
        <v>0</v>
      </c>
      <c r="AQ850" s="579" t="str">
        <f>IFERROR(VLOOKUP(Table_NFI[[#This Row],[Camp Name]],CL,3,0),"")</f>
        <v>Open</v>
      </c>
      <c r="AR850" s="378" t="str">
        <f ca="1">IF(Table_NFI[[#This Row],[Pcode]]="","",OFFSET(CampList[Priority],MATCH(Table_NFI[[#This Row],[Pcode]],CampList[CP_Pcode],0)-1,0,1,1))</f>
        <v>P4</v>
      </c>
      <c r="AS850" s="377">
        <f>IFERROR(Table_NFI[[#This Row],[Kitchen Set]]/VLOOKUP(Table_NFI[[#This Row],[Camp Name]],CL,4,0),"")</f>
        <v>0</v>
      </c>
      <c r="AT850" s="572" t="s">
        <v>1095</v>
      </c>
      <c r="AU850" s="575"/>
    </row>
    <row r="851" spans="1:47" x14ac:dyDescent="0.25">
      <c r="A851" s="381">
        <f t="shared" si="13"/>
        <v>40.56666666666667</v>
      </c>
      <c r="B851" s="571">
        <v>41305</v>
      </c>
      <c r="C851" s="572" t="s">
        <v>571</v>
      </c>
      <c r="D851" s="573" t="s">
        <v>571</v>
      </c>
      <c r="E851" s="572" t="s">
        <v>380</v>
      </c>
      <c r="F851" s="374" t="s">
        <v>310</v>
      </c>
      <c r="G851" s="374" t="s">
        <v>349</v>
      </c>
      <c r="H851" s="375"/>
      <c r="I851" s="375"/>
      <c r="J851" s="375"/>
      <c r="K851" s="375"/>
      <c r="L851" s="376"/>
      <c r="M851" s="376">
        <v>122</v>
      </c>
      <c r="N851" s="376"/>
      <c r="O851" s="376"/>
      <c r="P851" s="378">
        <v>0</v>
      </c>
      <c r="Q851" s="378">
        <v>0</v>
      </c>
      <c r="R851" s="378"/>
      <c r="S851" s="378"/>
      <c r="T851" s="378"/>
      <c r="U851" s="378"/>
      <c r="V851" s="533"/>
      <c r="W851" s="378"/>
      <c r="X851" s="378"/>
      <c r="Y851" s="378">
        <f>IF(NFI_Expiration=1,IF($A851&lt;VLOOKUP(H$5,NFI,5,0),1,0)*Table_NFI[[#This Row],[Hygiene Kit]],Table_NFI[Hygiene Kit])</f>
        <v>0</v>
      </c>
      <c r="Z851" s="378">
        <f>IF(NFI_Expiration=1,IF($A851&lt;VLOOKUP(I$5,NFI,5,0),1,0)*Table_NFI[[#This Row],[NFI Core Kit]],Table_NFI[NFI Core Kit])</f>
        <v>0</v>
      </c>
      <c r="AA851" s="378">
        <f>IF(NFI_Expiration=1,IF($A851&lt;VLOOKUP(J$5,NFI,5,0),1,0)*Table_NFI[[#This Row],[Sanitary Kit]],Table_NFI[Sanitary Kit])</f>
        <v>0</v>
      </c>
      <c r="AB851" s="378">
        <f>IF(NFI_Expiration=1,IF($A851&lt;VLOOKUP(K$5,NFI,5,0),1,0)*Table_NFI[[#This Row],[Mosquito net]],Table_NFI[Mosquito net])</f>
        <v>0</v>
      </c>
      <c r="AC851" s="378">
        <f>IF(NFI_Expiration=1,IF($A851&lt;VLOOKUP(L$5,NFI,5,0),1,0)*Table_NFI[[#This Row],[Tarpaulin]],Table_NFI[[#This Row],[Tarpaulin]])</f>
        <v>0</v>
      </c>
      <c r="AD851" s="378">
        <f>IF(NFI_Expiration=1,IF($A851&lt;VLOOKUP(M$5,NFI,5,0),1,0)*Table_NFI[[#This Row],[Blanket]],Table_NFI[[#This Row],[Blanket]])</f>
        <v>0</v>
      </c>
      <c r="AE851" s="378">
        <f>IF(NFI_Expiration=1,IF($A851&lt;VLOOKUP(N$5,NFI,5,0),1,0)*Table_NFI[[#This Row],[Kitchen Set]],Table_NFI[Kitchen Set])</f>
        <v>0</v>
      </c>
      <c r="AF851" s="378">
        <f>IF(NFI_Expiration=1,IF($A851&lt;VLOOKUP(O$5,NFI,5,0),1,0)*Table_NFI[[#This Row],[Clothes Kit]],Table_NFI[Clothes Kit])</f>
        <v>0</v>
      </c>
      <c r="AG851" s="378">
        <f>IF(NFI_Expiration=1,IF($A851&lt;VLOOKUP(P$5,NFI,5,0),1,0)*Table_NFI[[#This Row],[Plastic Bucket]],Table_NFI[Plastic Bucket])</f>
        <v>0</v>
      </c>
      <c r="AH851" s="378">
        <f>IF(NFI_Expiration=1,IF($A851&lt;VLOOKUP(Q$5,NFI,5,0),1,0)*Table_NFI[[#This Row],[Plastic Mat]],Table_NFI[Plastic Mat])*IF(Table_NFI[[#This Row],[Distribution Date]]&gt;"2014-04-01",1,2.5)</f>
        <v>0</v>
      </c>
      <c r="AI851" s="378">
        <f>IF(NFI_Expiration=1,IF($A851&lt;VLOOKUP(R$5,NFI,5,0),1,0)*Table_NFI[[#This Row],[Winter Clothes Adult]],Table_NFI[Winter Clothes Adult])</f>
        <v>0</v>
      </c>
      <c r="AJ851" s="378">
        <f>IF(NFI_Expiration=1,IF($A851&lt;VLOOKUP(S$5,NFI,5,0),1,0)*Table_NFI[[#This Row],[Winter Clothes Children]],Table_NFI[Winter Clothes Children])</f>
        <v>0</v>
      </c>
      <c r="AK851" s="378">
        <f>IF(NFI_Expiration=1,IF($A851&lt;VLOOKUP(T$5,NFI,5,0),1,0)*Table_NFI[[#This Row],[Winter Items Other]],Table_NFI[Winter Items Other])</f>
        <v>0</v>
      </c>
      <c r="AL851" s="378">
        <f>IF(NFI_Expiration=1,IF($A851&lt;VLOOKUP(M$5,NFI,5,0),1,0)*Table_NFI[[#This Row],[Winter Blanket]],Table_NFI[[#This Row],[Winter Blanket]])</f>
        <v>0</v>
      </c>
      <c r="AM851" s="378">
        <f>IF(Table_NFI[[#This Row],[Winter Clothes Adult]]+Table_NFI[[#This Row],[Winter Clothes Children]]+Table_NFI[[#This Row],[Winter Items Other]]+Table_NFI[[#This Row],[Winter Blanket]]&gt;0,1,0)</f>
        <v>0</v>
      </c>
      <c r="AN851" s="418">
        <f>IF(NFI_Expiration=1,IF($A851&lt;VLOOKUP(V$5,NFI,5,0),1,0)*Table_NFI[[#This Row],[Jerry Can]],Table_NFI[Jerry Can])</f>
        <v>0</v>
      </c>
      <c r="AO851" s="579" t="str">
        <f>IFERROR(VLOOKUP(Table_NFI[[#This Row],[Camp Name]],CL,2,0),"")</f>
        <v>MMR001CMP037</v>
      </c>
      <c r="AP851" s="574">
        <f ca="1">IF(Table_NFI[[#This Row],[Pcode]]="","",IF(OFFSET(CampList[Opening Date],MATCH(Table_NFI[[#This Row],[Pcode]],CampList[CP_Pcode],0)-1,0,1,1)&gt;=NFI_Monitor_Date,1,0))</f>
        <v>0</v>
      </c>
      <c r="AQ851" s="579" t="str">
        <f>IFERROR(VLOOKUP(Table_NFI[[#This Row],[Camp Name]],CL,3,0),"")</f>
        <v>Open</v>
      </c>
      <c r="AR851" s="378" t="str">
        <f ca="1">IF(Table_NFI[[#This Row],[Pcode]]="","",OFFSET(CampList[Priority],MATCH(Table_NFI[[#This Row],[Pcode]],CampList[CP_Pcode],0)-1,0,1,1))</f>
        <v>P4</v>
      </c>
      <c r="AS851" s="377">
        <f>IFERROR(Table_NFI[[#This Row],[Kitchen Set]]/VLOOKUP(Table_NFI[[#This Row],[Camp Name]],CL,4,0),"")</f>
        <v>0</v>
      </c>
      <c r="AT851" s="572" t="s">
        <v>1095</v>
      </c>
      <c r="AU851" s="575"/>
    </row>
    <row r="852" spans="1:47" x14ac:dyDescent="0.25">
      <c r="A852" s="381">
        <f t="shared" si="13"/>
        <v>41.6</v>
      </c>
      <c r="B852" s="571">
        <v>41274</v>
      </c>
      <c r="C852" s="572" t="s">
        <v>455</v>
      </c>
      <c r="D852" s="572" t="s">
        <v>455</v>
      </c>
      <c r="E852" s="572" t="s">
        <v>380</v>
      </c>
      <c r="F852" s="374" t="s">
        <v>310</v>
      </c>
      <c r="G852" s="374" t="s">
        <v>349</v>
      </c>
      <c r="H852" s="375">
        <v>68</v>
      </c>
      <c r="I852" s="375"/>
      <c r="J852" s="375"/>
      <c r="K852" s="375"/>
      <c r="L852" s="376"/>
      <c r="M852" s="376"/>
      <c r="N852" s="376"/>
      <c r="O852" s="376"/>
      <c r="P852" s="378">
        <v>0</v>
      </c>
      <c r="Q852" s="378">
        <v>0</v>
      </c>
      <c r="R852" s="378"/>
      <c r="S852" s="378"/>
      <c r="T852" s="378"/>
      <c r="U852" s="378"/>
      <c r="V852" s="533"/>
      <c r="W852" s="378"/>
      <c r="X852" s="378"/>
      <c r="Y852" s="378">
        <f>IF(NFI_Expiration=1,IF($A852&lt;VLOOKUP(H$5,NFI,5,0),1,0)*Table_NFI[[#This Row],[Hygiene Kit]],Table_NFI[Hygiene Kit])</f>
        <v>0</v>
      </c>
      <c r="Z852" s="378">
        <f>IF(NFI_Expiration=1,IF($A852&lt;VLOOKUP(I$5,NFI,5,0),1,0)*Table_NFI[[#This Row],[NFI Core Kit]],Table_NFI[NFI Core Kit])</f>
        <v>0</v>
      </c>
      <c r="AA852" s="378">
        <f>IF(NFI_Expiration=1,IF($A852&lt;VLOOKUP(J$5,NFI,5,0),1,0)*Table_NFI[[#This Row],[Sanitary Kit]],Table_NFI[Sanitary Kit])</f>
        <v>0</v>
      </c>
      <c r="AB852" s="378">
        <f>IF(NFI_Expiration=1,IF($A852&lt;VLOOKUP(K$5,NFI,5,0),1,0)*Table_NFI[[#This Row],[Mosquito net]],Table_NFI[Mosquito net])</f>
        <v>0</v>
      </c>
      <c r="AC852" s="378">
        <f>IF(NFI_Expiration=1,IF($A852&lt;VLOOKUP(L$5,NFI,5,0),1,0)*Table_NFI[[#This Row],[Tarpaulin]],Table_NFI[[#This Row],[Tarpaulin]])</f>
        <v>0</v>
      </c>
      <c r="AD852" s="378">
        <f>IF(NFI_Expiration=1,IF($A852&lt;VLOOKUP(M$5,NFI,5,0),1,0)*Table_NFI[[#This Row],[Blanket]],Table_NFI[[#This Row],[Blanket]])</f>
        <v>0</v>
      </c>
      <c r="AE852" s="378">
        <f>IF(NFI_Expiration=1,IF($A852&lt;VLOOKUP(N$5,NFI,5,0),1,0)*Table_NFI[[#This Row],[Kitchen Set]],Table_NFI[Kitchen Set])</f>
        <v>0</v>
      </c>
      <c r="AF852" s="378">
        <f>IF(NFI_Expiration=1,IF($A852&lt;VLOOKUP(O$5,NFI,5,0),1,0)*Table_NFI[[#This Row],[Clothes Kit]],Table_NFI[Clothes Kit])</f>
        <v>0</v>
      </c>
      <c r="AG852" s="378">
        <f>IF(NFI_Expiration=1,IF($A852&lt;VLOOKUP(P$5,NFI,5,0),1,0)*Table_NFI[[#This Row],[Plastic Bucket]],Table_NFI[Plastic Bucket])</f>
        <v>0</v>
      </c>
      <c r="AH852" s="378">
        <f>IF(NFI_Expiration=1,IF($A852&lt;VLOOKUP(Q$5,NFI,5,0),1,0)*Table_NFI[[#This Row],[Plastic Mat]],Table_NFI[Plastic Mat])*IF(Table_NFI[[#This Row],[Distribution Date]]&gt;"2014-04-01",1,2.5)</f>
        <v>0</v>
      </c>
      <c r="AI852" s="378">
        <f>IF(NFI_Expiration=1,IF($A852&lt;VLOOKUP(R$5,NFI,5,0),1,0)*Table_NFI[[#This Row],[Winter Clothes Adult]],Table_NFI[Winter Clothes Adult])</f>
        <v>0</v>
      </c>
      <c r="AJ852" s="378">
        <f>IF(NFI_Expiration=1,IF($A852&lt;VLOOKUP(S$5,NFI,5,0),1,0)*Table_NFI[[#This Row],[Winter Clothes Children]],Table_NFI[Winter Clothes Children])</f>
        <v>0</v>
      </c>
      <c r="AK852" s="378">
        <f>IF(NFI_Expiration=1,IF($A852&lt;VLOOKUP(T$5,NFI,5,0),1,0)*Table_NFI[[#This Row],[Winter Items Other]],Table_NFI[Winter Items Other])</f>
        <v>0</v>
      </c>
      <c r="AL852" s="378">
        <f>IF(NFI_Expiration=1,IF($A852&lt;VLOOKUP(M$5,NFI,5,0),1,0)*Table_NFI[[#This Row],[Winter Blanket]],Table_NFI[[#This Row],[Winter Blanket]])</f>
        <v>0</v>
      </c>
      <c r="AM852" s="378">
        <f>IF(Table_NFI[[#This Row],[Winter Clothes Adult]]+Table_NFI[[#This Row],[Winter Clothes Children]]+Table_NFI[[#This Row],[Winter Items Other]]+Table_NFI[[#This Row],[Winter Blanket]]&gt;0,1,0)</f>
        <v>0</v>
      </c>
      <c r="AN852" s="418">
        <f>IF(NFI_Expiration=1,IF($A852&lt;VLOOKUP(V$5,NFI,5,0),1,0)*Table_NFI[[#This Row],[Jerry Can]],Table_NFI[Jerry Can])</f>
        <v>0</v>
      </c>
      <c r="AO852" s="579" t="str">
        <f>IFERROR(VLOOKUP(Table_NFI[[#This Row],[Camp Name]],CL,2,0),"")</f>
        <v>MMR001CMP037</v>
      </c>
      <c r="AP852" s="574">
        <f ca="1">IF(Table_NFI[[#This Row],[Pcode]]="","",IF(OFFSET(CampList[Opening Date],MATCH(Table_NFI[[#This Row],[Pcode]],CampList[CP_Pcode],0)-1,0,1,1)&gt;=NFI_Monitor_Date,1,0))</f>
        <v>0</v>
      </c>
      <c r="AQ852" s="579" t="str">
        <f>IFERROR(VLOOKUP(Table_NFI[[#This Row],[Camp Name]],CL,3,0),"")</f>
        <v>Open</v>
      </c>
      <c r="AR852" s="378" t="str">
        <f ca="1">IF(Table_NFI[[#This Row],[Pcode]]="","",OFFSET(CampList[Priority],MATCH(Table_NFI[[#This Row],[Pcode]],CampList[CP_Pcode],0)-1,0,1,1))</f>
        <v>P4</v>
      </c>
      <c r="AS852" s="377">
        <f>IFERROR(Table_NFI[[#This Row],[Kitchen Set]]/VLOOKUP(Table_NFI[[#This Row],[Camp Name]],CL,4,0),"")</f>
        <v>0</v>
      </c>
      <c r="AT852" s="572" t="s">
        <v>1095</v>
      </c>
      <c r="AU852" s="575"/>
    </row>
    <row r="853" spans="1:47" s="576" customFormat="1" ht="14.45" customHeight="1" x14ac:dyDescent="0.25">
      <c r="A853" s="381">
        <f t="shared" si="13"/>
        <v>47.3</v>
      </c>
      <c r="B853" s="571">
        <v>41103</v>
      </c>
      <c r="C853" s="572" t="s">
        <v>454</v>
      </c>
      <c r="D853" s="572" t="s">
        <v>454</v>
      </c>
      <c r="E853" s="572" t="s">
        <v>380</v>
      </c>
      <c r="F853" s="374" t="s">
        <v>310</v>
      </c>
      <c r="G853" s="374" t="s">
        <v>349</v>
      </c>
      <c r="H853" s="375"/>
      <c r="I853" s="375"/>
      <c r="J853" s="375"/>
      <c r="K853" s="375">
        <v>8</v>
      </c>
      <c r="L853" s="376">
        <v>8</v>
      </c>
      <c r="M853" s="376">
        <v>8</v>
      </c>
      <c r="N853" s="376">
        <v>8</v>
      </c>
      <c r="O853" s="376">
        <v>8</v>
      </c>
      <c r="P853" s="378">
        <v>8</v>
      </c>
      <c r="Q853" s="378">
        <v>8</v>
      </c>
      <c r="R853" s="378"/>
      <c r="S853" s="378"/>
      <c r="T853" s="378"/>
      <c r="U853" s="378"/>
      <c r="V853" s="533"/>
      <c r="W853" s="378"/>
      <c r="X853" s="378"/>
      <c r="Y853" s="378">
        <f>IF(NFI_Expiration=1,IF($A853&lt;VLOOKUP(H$5,NFI,5,0),1,0)*Table_NFI[[#This Row],[Hygiene Kit]],Table_NFI[Hygiene Kit])</f>
        <v>0</v>
      </c>
      <c r="Z853" s="378">
        <f>IF(NFI_Expiration=1,IF($A853&lt;VLOOKUP(I$5,NFI,5,0),1,0)*Table_NFI[[#This Row],[NFI Core Kit]],Table_NFI[NFI Core Kit])</f>
        <v>0</v>
      </c>
      <c r="AA853" s="378">
        <f>IF(NFI_Expiration=1,IF($A853&lt;VLOOKUP(J$5,NFI,5,0),1,0)*Table_NFI[[#This Row],[Sanitary Kit]],Table_NFI[Sanitary Kit])</f>
        <v>0</v>
      </c>
      <c r="AB853" s="378">
        <f>IF(NFI_Expiration=1,IF($A853&lt;VLOOKUP(K$5,NFI,5,0),1,0)*Table_NFI[[#This Row],[Mosquito net]],Table_NFI[Mosquito net])</f>
        <v>0</v>
      </c>
      <c r="AC853" s="378">
        <f>IF(NFI_Expiration=1,IF($A853&lt;VLOOKUP(L$5,NFI,5,0),1,0)*Table_NFI[[#This Row],[Tarpaulin]],Table_NFI[[#This Row],[Tarpaulin]])</f>
        <v>0</v>
      </c>
      <c r="AD853" s="378">
        <f>IF(NFI_Expiration=1,IF($A853&lt;VLOOKUP(M$5,NFI,5,0),1,0)*Table_NFI[[#This Row],[Blanket]],Table_NFI[[#This Row],[Blanket]])</f>
        <v>0</v>
      </c>
      <c r="AE853" s="378">
        <f>IF(NFI_Expiration=1,IF($A853&lt;VLOOKUP(N$5,NFI,5,0),1,0)*Table_NFI[[#This Row],[Kitchen Set]],Table_NFI[Kitchen Set])</f>
        <v>0</v>
      </c>
      <c r="AF853" s="378">
        <f>IF(NFI_Expiration=1,IF($A853&lt;VLOOKUP(O$5,NFI,5,0),1,0)*Table_NFI[[#This Row],[Clothes Kit]],Table_NFI[Clothes Kit])</f>
        <v>0</v>
      </c>
      <c r="AG853" s="378">
        <f>IF(NFI_Expiration=1,IF($A853&lt;VLOOKUP(P$5,NFI,5,0),1,0)*Table_NFI[[#This Row],[Plastic Bucket]],Table_NFI[Plastic Bucket])</f>
        <v>0</v>
      </c>
      <c r="AH853" s="378">
        <f>IF(NFI_Expiration=1,IF($A853&lt;VLOOKUP(Q$5,NFI,5,0),1,0)*Table_NFI[[#This Row],[Plastic Mat]],Table_NFI[Plastic Mat])*IF(Table_NFI[[#This Row],[Distribution Date]]&gt;"2014-04-01",1,2.5)</f>
        <v>0</v>
      </c>
      <c r="AI853" s="378">
        <f>IF(NFI_Expiration=1,IF($A853&lt;VLOOKUP(R$5,NFI,5,0),1,0)*Table_NFI[[#This Row],[Winter Clothes Adult]],Table_NFI[Winter Clothes Adult])</f>
        <v>0</v>
      </c>
      <c r="AJ853" s="378">
        <f>IF(NFI_Expiration=1,IF($A853&lt;VLOOKUP(S$5,NFI,5,0),1,0)*Table_NFI[[#This Row],[Winter Clothes Children]],Table_NFI[Winter Clothes Children])</f>
        <v>0</v>
      </c>
      <c r="AK853" s="378">
        <f>IF(NFI_Expiration=1,IF($A853&lt;VLOOKUP(T$5,NFI,5,0),1,0)*Table_NFI[[#This Row],[Winter Items Other]],Table_NFI[Winter Items Other])</f>
        <v>0</v>
      </c>
      <c r="AL853" s="378">
        <f>IF(NFI_Expiration=1,IF($A853&lt;VLOOKUP(M$5,NFI,5,0),1,0)*Table_NFI[[#This Row],[Winter Blanket]],Table_NFI[[#This Row],[Winter Blanket]])</f>
        <v>0</v>
      </c>
      <c r="AM853" s="378">
        <f>IF(Table_NFI[[#This Row],[Winter Clothes Adult]]+Table_NFI[[#This Row],[Winter Clothes Children]]+Table_NFI[[#This Row],[Winter Items Other]]+Table_NFI[[#This Row],[Winter Blanket]]&gt;0,1,0)</f>
        <v>0</v>
      </c>
      <c r="AN853" s="418">
        <f>IF(NFI_Expiration=1,IF($A853&lt;VLOOKUP(V$5,NFI,5,0),1,0)*Table_NFI[[#This Row],[Jerry Can]],Table_NFI[Jerry Can])</f>
        <v>0</v>
      </c>
      <c r="AO853" s="579" t="str">
        <f>IFERROR(VLOOKUP(Table_NFI[[#This Row],[Camp Name]],CL,2,0),"")</f>
        <v>MMR001CMP037</v>
      </c>
      <c r="AP853" s="574">
        <f ca="1">IF(Table_NFI[[#This Row],[Pcode]]="","",IF(OFFSET(CampList[Opening Date],MATCH(Table_NFI[[#This Row],[Pcode]],CampList[CP_Pcode],0)-1,0,1,1)&gt;=NFI_Monitor_Date,1,0))</f>
        <v>0</v>
      </c>
      <c r="AQ853" s="579" t="str">
        <f>IFERROR(VLOOKUP(Table_NFI[[#This Row],[Camp Name]],CL,3,0),"")</f>
        <v>Open</v>
      </c>
      <c r="AR853" s="378" t="str">
        <f ca="1">IF(Table_NFI[[#This Row],[Pcode]]="","",OFFSET(CampList[Priority],MATCH(Table_NFI[[#This Row],[Pcode]],CampList[CP_Pcode],0)-1,0,1,1))</f>
        <v>P4</v>
      </c>
      <c r="AS853" s="377">
        <f>IFERROR(Table_NFI[[#This Row],[Kitchen Set]]/VLOOKUP(Table_NFI[[#This Row],[Camp Name]],CL,4,0),"")</f>
        <v>0.18181818181818182</v>
      </c>
      <c r="AT853" s="572" t="s">
        <v>1095</v>
      </c>
      <c r="AU853" s="575"/>
    </row>
    <row r="854" spans="1:47" s="576" customFormat="1" ht="14.45" customHeight="1" x14ac:dyDescent="0.25">
      <c r="A854" s="381">
        <f t="shared" si="13"/>
        <v>48.1</v>
      </c>
      <c r="B854" s="571">
        <v>41079</v>
      </c>
      <c r="C854" s="572" t="s">
        <v>454</v>
      </c>
      <c r="D854" s="573" t="s">
        <v>454</v>
      </c>
      <c r="E854" s="572" t="s">
        <v>380</v>
      </c>
      <c r="F854" s="374" t="s">
        <v>310</v>
      </c>
      <c r="G854" s="374" t="s">
        <v>349</v>
      </c>
      <c r="H854" s="375"/>
      <c r="I854" s="375"/>
      <c r="J854" s="375"/>
      <c r="K854" s="375">
        <v>31</v>
      </c>
      <c r="L854" s="376">
        <v>15</v>
      </c>
      <c r="M854" s="376">
        <v>31</v>
      </c>
      <c r="N854" s="376">
        <v>15</v>
      </c>
      <c r="O854" s="376">
        <v>15</v>
      </c>
      <c r="P854" s="378">
        <v>15</v>
      </c>
      <c r="Q854" s="378">
        <v>15</v>
      </c>
      <c r="R854" s="378"/>
      <c r="S854" s="378"/>
      <c r="T854" s="378"/>
      <c r="U854" s="378"/>
      <c r="V854" s="533"/>
      <c r="W854" s="378"/>
      <c r="X854" s="378"/>
      <c r="Y854" s="378">
        <f>IF(NFI_Expiration=1,IF($A854&lt;VLOOKUP(H$5,NFI,5,0),1,0)*Table_NFI[[#This Row],[Hygiene Kit]],Table_NFI[Hygiene Kit])</f>
        <v>0</v>
      </c>
      <c r="Z854" s="378">
        <f>IF(NFI_Expiration=1,IF($A854&lt;VLOOKUP(I$5,NFI,5,0),1,0)*Table_NFI[[#This Row],[NFI Core Kit]],Table_NFI[NFI Core Kit])</f>
        <v>0</v>
      </c>
      <c r="AA854" s="378">
        <f>IF(NFI_Expiration=1,IF($A854&lt;VLOOKUP(J$5,NFI,5,0),1,0)*Table_NFI[[#This Row],[Sanitary Kit]],Table_NFI[Sanitary Kit])</f>
        <v>0</v>
      </c>
      <c r="AB854" s="378">
        <f>IF(NFI_Expiration=1,IF($A854&lt;VLOOKUP(K$5,NFI,5,0),1,0)*Table_NFI[[#This Row],[Mosquito net]],Table_NFI[Mosquito net])</f>
        <v>0</v>
      </c>
      <c r="AC854" s="378">
        <f>IF(NFI_Expiration=1,IF($A854&lt;VLOOKUP(L$5,NFI,5,0),1,0)*Table_NFI[[#This Row],[Tarpaulin]],Table_NFI[[#This Row],[Tarpaulin]])</f>
        <v>0</v>
      </c>
      <c r="AD854" s="378">
        <f>IF(NFI_Expiration=1,IF($A854&lt;VLOOKUP(M$5,NFI,5,0),1,0)*Table_NFI[[#This Row],[Blanket]],Table_NFI[[#This Row],[Blanket]])</f>
        <v>0</v>
      </c>
      <c r="AE854" s="378">
        <f>IF(NFI_Expiration=1,IF($A854&lt;VLOOKUP(N$5,NFI,5,0),1,0)*Table_NFI[[#This Row],[Kitchen Set]],Table_NFI[Kitchen Set])</f>
        <v>0</v>
      </c>
      <c r="AF854" s="378">
        <f>IF(NFI_Expiration=1,IF($A854&lt;VLOOKUP(O$5,NFI,5,0),1,0)*Table_NFI[[#This Row],[Clothes Kit]],Table_NFI[Clothes Kit])</f>
        <v>0</v>
      </c>
      <c r="AG854" s="378">
        <f>IF(NFI_Expiration=1,IF($A854&lt;VLOOKUP(P$5,NFI,5,0),1,0)*Table_NFI[[#This Row],[Plastic Bucket]],Table_NFI[Plastic Bucket])</f>
        <v>0</v>
      </c>
      <c r="AH854" s="378">
        <f>IF(NFI_Expiration=1,IF($A854&lt;VLOOKUP(Q$5,NFI,5,0),1,0)*Table_NFI[[#This Row],[Plastic Mat]],Table_NFI[Plastic Mat])*IF(Table_NFI[[#This Row],[Distribution Date]]&gt;"2014-04-01",1,2.5)</f>
        <v>0</v>
      </c>
      <c r="AI854" s="378">
        <f>IF(NFI_Expiration=1,IF($A854&lt;VLOOKUP(R$5,NFI,5,0),1,0)*Table_NFI[[#This Row],[Winter Clothes Adult]],Table_NFI[Winter Clothes Adult])</f>
        <v>0</v>
      </c>
      <c r="AJ854" s="378">
        <f>IF(NFI_Expiration=1,IF($A854&lt;VLOOKUP(S$5,NFI,5,0),1,0)*Table_NFI[[#This Row],[Winter Clothes Children]],Table_NFI[Winter Clothes Children])</f>
        <v>0</v>
      </c>
      <c r="AK854" s="378">
        <f>IF(NFI_Expiration=1,IF($A854&lt;VLOOKUP(T$5,NFI,5,0),1,0)*Table_NFI[[#This Row],[Winter Items Other]],Table_NFI[Winter Items Other])</f>
        <v>0</v>
      </c>
      <c r="AL854" s="378">
        <f>IF(NFI_Expiration=1,IF($A854&lt;VLOOKUP(M$5,NFI,5,0),1,0)*Table_NFI[[#This Row],[Winter Blanket]],Table_NFI[[#This Row],[Winter Blanket]])</f>
        <v>0</v>
      </c>
      <c r="AM854" s="378">
        <f>IF(Table_NFI[[#This Row],[Winter Clothes Adult]]+Table_NFI[[#This Row],[Winter Clothes Children]]+Table_NFI[[#This Row],[Winter Items Other]]+Table_NFI[[#This Row],[Winter Blanket]]&gt;0,1,0)</f>
        <v>0</v>
      </c>
      <c r="AN854" s="418">
        <f>IF(NFI_Expiration=1,IF($A854&lt;VLOOKUP(V$5,NFI,5,0),1,0)*Table_NFI[[#This Row],[Jerry Can]],Table_NFI[Jerry Can])</f>
        <v>0</v>
      </c>
      <c r="AO854" s="579" t="str">
        <f>IFERROR(VLOOKUP(Table_NFI[[#This Row],[Camp Name]],CL,2,0),"")</f>
        <v>MMR001CMP037</v>
      </c>
      <c r="AP854" s="574">
        <f ca="1">IF(Table_NFI[[#This Row],[Pcode]]="","",IF(OFFSET(CampList[Opening Date],MATCH(Table_NFI[[#This Row],[Pcode]],CampList[CP_Pcode],0)-1,0,1,1)&gt;=NFI_Monitor_Date,1,0))</f>
        <v>0</v>
      </c>
      <c r="AQ854" s="579" t="str">
        <f>IFERROR(VLOOKUP(Table_NFI[[#This Row],[Camp Name]],CL,3,0),"")</f>
        <v>Open</v>
      </c>
      <c r="AR854" s="378" t="str">
        <f ca="1">IF(Table_NFI[[#This Row],[Pcode]]="","",OFFSET(CampList[Priority],MATCH(Table_NFI[[#This Row],[Pcode]],CampList[CP_Pcode],0)-1,0,1,1))</f>
        <v>P4</v>
      </c>
      <c r="AS854" s="377">
        <f>IFERROR(Table_NFI[[#This Row],[Kitchen Set]]/VLOOKUP(Table_NFI[[#This Row],[Camp Name]],CL,4,0),"")</f>
        <v>0.34090909090909088</v>
      </c>
      <c r="AT854" s="572" t="s">
        <v>1095</v>
      </c>
      <c r="AU854" s="575"/>
    </row>
    <row r="855" spans="1:47" s="130" customFormat="1" ht="14.45" customHeight="1" x14ac:dyDescent="0.25">
      <c r="A855" s="381">
        <f t="shared" si="13"/>
        <v>51.56666666666667</v>
      </c>
      <c r="B855" s="571">
        <v>40975</v>
      </c>
      <c r="C855" s="572" t="s">
        <v>454</v>
      </c>
      <c r="D855" s="572" t="s">
        <v>454</v>
      </c>
      <c r="E855" s="572" t="s">
        <v>380</v>
      </c>
      <c r="F855" s="572" t="s">
        <v>310</v>
      </c>
      <c r="G855" s="374" t="s">
        <v>349</v>
      </c>
      <c r="H855" s="375"/>
      <c r="I855" s="375"/>
      <c r="J855" s="375"/>
      <c r="K855" s="375">
        <v>38</v>
      </c>
      <c r="L855" s="376">
        <v>18</v>
      </c>
      <c r="M855" s="376">
        <v>38</v>
      </c>
      <c r="N855" s="376">
        <v>17</v>
      </c>
      <c r="O855" s="376">
        <v>18</v>
      </c>
      <c r="P855" s="378">
        <v>18</v>
      </c>
      <c r="Q855" s="378">
        <v>18</v>
      </c>
      <c r="R855" s="378"/>
      <c r="S855" s="378"/>
      <c r="T855" s="378"/>
      <c r="U855" s="378"/>
      <c r="V855" s="533"/>
      <c r="W855" s="378"/>
      <c r="X855" s="378"/>
      <c r="Y855" s="378">
        <f>IF(NFI_Expiration=1,IF($A855&lt;VLOOKUP(H$5,NFI,5,0),1,0)*Table_NFI[[#This Row],[Hygiene Kit]],Table_NFI[Hygiene Kit])</f>
        <v>0</v>
      </c>
      <c r="Z855" s="378">
        <f>IF(NFI_Expiration=1,IF($A855&lt;VLOOKUP(I$5,NFI,5,0),1,0)*Table_NFI[[#This Row],[NFI Core Kit]],Table_NFI[NFI Core Kit])</f>
        <v>0</v>
      </c>
      <c r="AA855" s="378">
        <f>IF(NFI_Expiration=1,IF($A855&lt;VLOOKUP(J$5,NFI,5,0),1,0)*Table_NFI[[#This Row],[Sanitary Kit]],Table_NFI[Sanitary Kit])</f>
        <v>0</v>
      </c>
      <c r="AB855" s="378">
        <f>IF(NFI_Expiration=1,IF($A855&lt;VLOOKUP(K$5,NFI,5,0),1,0)*Table_NFI[[#This Row],[Mosquito net]],Table_NFI[Mosquito net])</f>
        <v>0</v>
      </c>
      <c r="AC855" s="378">
        <f>IF(NFI_Expiration=1,IF($A855&lt;VLOOKUP(L$5,NFI,5,0),1,0)*Table_NFI[[#This Row],[Tarpaulin]],Table_NFI[[#This Row],[Tarpaulin]])</f>
        <v>0</v>
      </c>
      <c r="AD855" s="378">
        <f>IF(NFI_Expiration=1,IF($A855&lt;VLOOKUP(M$5,NFI,5,0),1,0)*Table_NFI[[#This Row],[Blanket]],Table_NFI[[#This Row],[Blanket]])</f>
        <v>0</v>
      </c>
      <c r="AE855" s="378">
        <f>IF(NFI_Expiration=1,IF($A855&lt;VLOOKUP(N$5,NFI,5,0),1,0)*Table_NFI[[#This Row],[Kitchen Set]],Table_NFI[Kitchen Set])</f>
        <v>0</v>
      </c>
      <c r="AF855" s="378">
        <f>IF(NFI_Expiration=1,IF($A855&lt;VLOOKUP(O$5,NFI,5,0),1,0)*Table_NFI[[#This Row],[Clothes Kit]],Table_NFI[Clothes Kit])</f>
        <v>0</v>
      </c>
      <c r="AG855" s="378">
        <f>IF(NFI_Expiration=1,IF($A855&lt;VLOOKUP(P$5,NFI,5,0),1,0)*Table_NFI[[#This Row],[Plastic Bucket]],Table_NFI[Plastic Bucket])</f>
        <v>0</v>
      </c>
      <c r="AH855" s="378">
        <f>IF(NFI_Expiration=1,IF($A855&lt;VLOOKUP(Q$5,NFI,5,0),1,0)*Table_NFI[[#This Row],[Plastic Mat]],Table_NFI[Plastic Mat])*IF(Table_NFI[[#This Row],[Distribution Date]]&gt;"2014-04-01",1,2.5)</f>
        <v>0</v>
      </c>
      <c r="AI855" s="378">
        <f>IF(NFI_Expiration=1,IF($A855&lt;VLOOKUP(R$5,NFI,5,0),1,0)*Table_NFI[[#This Row],[Winter Clothes Adult]],Table_NFI[Winter Clothes Adult])</f>
        <v>0</v>
      </c>
      <c r="AJ855" s="378">
        <f>IF(NFI_Expiration=1,IF($A855&lt;VLOOKUP(S$5,NFI,5,0),1,0)*Table_NFI[[#This Row],[Winter Clothes Children]],Table_NFI[Winter Clothes Children])</f>
        <v>0</v>
      </c>
      <c r="AK855" s="378">
        <f>IF(NFI_Expiration=1,IF($A855&lt;VLOOKUP(T$5,NFI,5,0),1,0)*Table_NFI[[#This Row],[Winter Items Other]],Table_NFI[Winter Items Other])</f>
        <v>0</v>
      </c>
      <c r="AL855" s="378">
        <f>IF(NFI_Expiration=1,IF($A855&lt;VLOOKUP(M$5,NFI,5,0),1,0)*Table_NFI[[#This Row],[Winter Blanket]],Table_NFI[[#This Row],[Winter Blanket]])</f>
        <v>0</v>
      </c>
      <c r="AM855" s="378">
        <f>IF(Table_NFI[[#This Row],[Winter Clothes Adult]]+Table_NFI[[#This Row],[Winter Clothes Children]]+Table_NFI[[#This Row],[Winter Items Other]]+Table_NFI[[#This Row],[Winter Blanket]]&gt;0,1,0)</f>
        <v>0</v>
      </c>
      <c r="AN855" s="418">
        <f>IF(NFI_Expiration=1,IF($A855&lt;VLOOKUP(V$5,NFI,5,0),1,0)*Table_NFI[[#This Row],[Jerry Can]],Table_NFI[Jerry Can])</f>
        <v>0</v>
      </c>
      <c r="AO855" s="579" t="str">
        <f>IFERROR(VLOOKUP(Table_NFI[[#This Row],[Camp Name]],CL,2,0),"")</f>
        <v>MMR001CMP037</v>
      </c>
      <c r="AP855" s="574">
        <f ca="1">IF(Table_NFI[[#This Row],[Pcode]]="","",IF(OFFSET(CampList[Opening Date],MATCH(Table_NFI[[#This Row],[Pcode]],CampList[CP_Pcode],0)-1,0,1,1)&gt;=NFI_Monitor_Date,1,0))</f>
        <v>0</v>
      </c>
      <c r="AQ855" s="579" t="str">
        <f>IFERROR(VLOOKUP(Table_NFI[[#This Row],[Camp Name]],CL,3,0),"")</f>
        <v>Open</v>
      </c>
      <c r="AR855" s="378" t="str">
        <f ca="1">IF(Table_NFI[[#This Row],[Pcode]]="","",OFFSET(CampList[Priority],MATCH(Table_NFI[[#This Row],[Pcode]],CampList[CP_Pcode],0)-1,0,1,1))</f>
        <v>P4</v>
      </c>
      <c r="AS855" s="377">
        <f>IFERROR(Table_NFI[[#This Row],[Kitchen Set]]/VLOOKUP(Table_NFI[[#This Row],[Camp Name]],CL,4,0),"")</f>
        <v>0.38636363636363635</v>
      </c>
      <c r="AT855" s="572" t="s">
        <v>1095</v>
      </c>
      <c r="AU855" s="575"/>
    </row>
    <row r="856" spans="1:47" s="130" customFormat="1" ht="14.45" customHeight="1" x14ac:dyDescent="0.25">
      <c r="A856" s="381">
        <f t="shared" si="13"/>
        <v>53.6</v>
      </c>
      <c r="B856" s="571">
        <v>40914</v>
      </c>
      <c r="C856" s="572" t="s">
        <v>454</v>
      </c>
      <c r="D856" s="573" t="s">
        <v>454</v>
      </c>
      <c r="E856" s="572" t="s">
        <v>380</v>
      </c>
      <c r="F856" s="374" t="s">
        <v>310</v>
      </c>
      <c r="G856" s="374" t="s">
        <v>349</v>
      </c>
      <c r="H856" s="375"/>
      <c r="I856" s="375"/>
      <c r="J856" s="375"/>
      <c r="K856" s="375">
        <v>29</v>
      </c>
      <c r="L856" s="376">
        <v>0</v>
      </c>
      <c r="M856" s="376">
        <v>29</v>
      </c>
      <c r="N856" s="376">
        <v>15</v>
      </c>
      <c r="O856" s="376">
        <v>15</v>
      </c>
      <c r="P856" s="378">
        <v>15</v>
      </c>
      <c r="Q856" s="378">
        <v>15</v>
      </c>
      <c r="R856" s="378"/>
      <c r="S856" s="378"/>
      <c r="T856" s="378"/>
      <c r="U856" s="378"/>
      <c r="V856" s="533"/>
      <c r="W856" s="378"/>
      <c r="X856" s="378"/>
      <c r="Y856" s="378">
        <f>IF(NFI_Expiration=1,IF($A856&lt;VLOOKUP(H$5,NFI,5,0),1,0)*Table_NFI[[#This Row],[Hygiene Kit]],Table_NFI[Hygiene Kit])</f>
        <v>0</v>
      </c>
      <c r="Z856" s="378">
        <f>IF(NFI_Expiration=1,IF($A856&lt;VLOOKUP(I$5,NFI,5,0),1,0)*Table_NFI[[#This Row],[NFI Core Kit]],Table_NFI[NFI Core Kit])</f>
        <v>0</v>
      </c>
      <c r="AA856" s="378">
        <f>IF(NFI_Expiration=1,IF($A856&lt;VLOOKUP(J$5,NFI,5,0),1,0)*Table_NFI[[#This Row],[Sanitary Kit]],Table_NFI[Sanitary Kit])</f>
        <v>0</v>
      </c>
      <c r="AB856" s="378">
        <f>IF(NFI_Expiration=1,IF($A856&lt;VLOOKUP(K$5,NFI,5,0),1,0)*Table_NFI[[#This Row],[Mosquito net]],Table_NFI[Mosquito net])</f>
        <v>0</v>
      </c>
      <c r="AC856" s="378">
        <f>IF(NFI_Expiration=1,IF($A856&lt;VLOOKUP(L$5,NFI,5,0),1,0)*Table_NFI[[#This Row],[Tarpaulin]],Table_NFI[[#This Row],[Tarpaulin]])</f>
        <v>0</v>
      </c>
      <c r="AD856" s="378">
        <f>IF(NFI_Expiration=1,IF($A856&lt;VLOOKUP(M$5,NFI,5,0),1,0)*Table_NFI[[#This Row],[Blanket]],Table_NFI[[#This Row],[Blanket]])</f>
        <v>0</v>
      </c>
      <c r="AE856" s="378">
        <f>IF(NFI_Expiration=1,IF($A856&lt;VLOOKUP(N$5,NFI,5,0),1,0)*Table_NFI[[#This Row],[Kitchen Set]],Table_NFI[Kitchen Set])</f>
        <v>0</v>
      </c>
      <c r="AF856" s="378">
        <f>IF(NFI_Expiration=1,IF($A856&lt;VLOOKUP(O$5,NFI,5,0),1,0)*Table_NFI[[#This Row],[Clothes Kit]],Table_NFI[Clothes Kit])</f>
        <v>0</v>
      </c>
      <c r="AG856" s="378">
        <f>IF(NFI_Expiration=1,IF($A856&lt;VLOOKUP(P$5,NFI,5,0),1,0)*Table_NFI[[#This Row],[Plastic Bucket]],Table_NFI[Plastic Bucket])</f>
        <v>0</v>
      </c>
      <c r="AH856" s="378">
        <f>IF(NFI_Expiration=1,IF($A856&lt;VLOOKUP(Q$5,NFI,5,0),1,0)*Table_NFI[[#This Row],[Plastic Mat]],Table_NFI[Plastic Mat])*IF(Table_NFI[[#This Row],[Distribution Date]]&gt;"2014-04-01",1,2.5)</f>
        <v>0</v>
      </c>
      <c r="AI856" s="378">
        <f>IF(NFI_Expiration=1,IF($A856&lt;VLOOKUP(R$5,NFI,5,0),1,0)*Table_NFI[[#This Row],[Winter Clothes Adult]],Table_NFI[Winter Clothes Adult])</f>
        <v>0</v>
      </c>
      <c r="AJ856" s="378">
        <f>IF(NFI_Expiration=1,IF($A856&lt;VLOOKUP(S$5,NFI,5,0),1,0)*Table_NFI[[#This Row],[Winter Clothes Children]],Table_NFI[Winter Clothes Children])</f>
        <v>0</v>
      </c>
      <c r="AK856" s="378">
        <f>IF(NFI_Expiration=1,IF($A856&lt;VLOOKUP(T$5,NFI,5,0),1,0)*Table_NFI[[#This Row],[Winter Items Other]],Table_NFI[Winter Items Other])</f>
        <v>0</v>
      </c>
      <c r="AL856" s="378">
        <f>IF(NFI_Expiration=1,IF($A856&lt;VLOOKUP(M$5,NFI,5,0),1,0)*Table_NFI[[#This Row],[Winter Blanket]],Table_NFI[[#This Row],[Winter Blanket]])</f>
        <v>0</v>
      </c>
      <c r="AM856" s="378">
        <f>IF(Table_NFI[[#This Row],[Winter Clothes Adult]]+Table_NFI[[#This Row],[Winter Clothes Children]]+Table_NFI[[#This Row],[Winter Items Other]]+Table_NFI[[#This Row],[Winter Blanket]]&gt;0,1,0)</f>
        <v>0</v>
      </c>
      <c r="AN856" s="418">
        <f>IF(NFI_Expiration=1,IF($A856&lt;VLOOKUP(V$5,NFI,5,0),1,0)*Table_NFI[[#This Row],[Jerry Can]],Table_NFI[Jerry Can])</f>
        <v>0</v>
      </c>
      <c r="AO856" s="579" t="str">
        <f>IFERROR(VLOOKUP(Table_NFI[[#This Row],[Camp Name]],CL,2,0),"")</f>
        <v>MMR001CMP037</v>
      </c>
      <c r="AP856" s="574">
        <f ca="1">IF(Table_NFI[[#This Row],[Pcode]]="","",IF(OFFSET(CampList[Opening Date],MATCH(Table_NFI[[#This Row],[Pcode]],CampList[CP_Pcode],0)-1,0,1,1)&gt;=NFI_Monitor_Date,1,0))</f>
        <v>0</v>
      </c>
      <c r="AQ856" s="579" t="str">
        <f>IFERROR(VLOOKUP(Table_NFI[[#This Row],[Camp Name]],CL,3,0),"")</f>
        <v>Open</v>
      </c>
      <c r="AR856" s="378" t="str">
        <f ca="1">IF(Table_NFI[[#This Row],[Pcode]]="","",OFFSET(CampList[Priority],MATCH(Table_NFI[[#This Row],[Pcode]],CampList[CP_Pcode],0)-1,0,1,1))</f>
        <v>P4</v>
      </c>
      <c r="AS856" s="377">
        <f>IFERROR(Table_NFI[[#This Row],[Kitchen Set]]/VLOOKUP(Table_NFI[[#This Row],[Camp Name]],CL,4,0),"")</f>
        <v>0.34090909090909088</v>
      </c>
      <c r="AT856" s="572" t="s">
        <v>1095</v>
      </c>
      <c r="AU856" s="575"/>
    </row>
    <row r="857" spans="1:47" s="130" customFormat="1" ht="14.45" customHeight="1" x14ac:dyDescent="0.25">
      <c r="A857" s="381">
        <f t="shared" si="13"/>
        <v>53.6</v>
      </c>
      <c r="B857" s="571">
        <v>40914</v>
      </c>
      <c r="C857" s="572" t="s">
        <v>454</v>
      </c>
      <c r="D857" s="573" t="s">
        <v>454</v>
      </c>
      <c r="E857" s="572" t="s">
        <v>380</v>
      </c>
      <c r="F857" s="374" t="s">
        <v>310</v>
      </c>
      <c r="G857" s="374" t="s">
        <v>349</v>
      </c>
      <c r="H857" s="375"/>
      <c r="I857" s="375"/>
      <c r="J857" s="375"/>
      <c r="K857" s="375">
        <v>59</v>
      </c>
      <c r="L857" s="376">
        <v>30</v>
      </c>
      <c r="M857" s="376">
        <v>59</v>
      </c>
      <c r="N857" s="376">
        <v>30</v>
      </c>
      <c r="O857" s="376">
        <v>30</v>
      </c>
      <c r="P857" s="378">
        <v>30</v>
      </c>
      <c r="Q857" s="378">
        <v>30</v>
      </c>
      <c r="R857" s="378"/>
      <c r="S857" s="378"/>
      <c r="T857" s="378"/>
      <c r="U857" s="378"/>
      <c r="V857" s="533"/>
      <c r="W857" s="378"/>
      <c r="X857" s="378"/>
      <c r="Y857" s="378">
        <f>IF(NFI_Expiration=1,IF($A857&lt;VLOOKUP(H$5,NFI,5,0),1,0)*Table_NFI[[#This Row],[Hygiene Kit]],Table_NFI[Hygiene Kit])</f>
        <v>0</v>
      </c>
      <c r="Z857" s="378">
        <f>IF(NFI_Expiration=1,IF($A857&lt;VLOOKUP(I$5,NFI,5,0),1,0)*Table_NFI[[#This Row],[NFI Core Kit]],Table_NFI[NFI Core Kit])</f>
        <v>0</v>
      </c>
      <c r="AA857" s="378">
        <f>IF(NFI_Expiration=1,IF($A857&lt;VLOOKUP(J$5,NFI,5,0),1,0)*Table_NFI[[#This Row],[Sanitary Kit]],Table_NFI[Sanitary Kit])</f>
        <v>0</v>
      </c>
      <c r="AB857" s="378">
        <f>IF(NFI_Expiration=1,IF($A857&lt;VLOOKUP(K$5,NFI,5,0),1,0)*Table_NFI[[#This Row],[Mosquito net]],Table_NFI[Mosquito net])</f>
        <v>0</v>
      </c>
      <c r="AC857" s="378">
        <f>IF(NFI_Expiration=1,IF($A857&lt;VLOOKUP(L$5,NFI,5,0),1,0)*Table_NFI[[#This Row],[Tarpaulin]],Table_NFI[[#This Row],[Tarpaulin]])</f>
        <v>0</v>
      </c>
      <c r="AD857" s="378">
        <f>IF(NFI_Expiration=1,IF($A857&lt;VLOOKUP(M$5,NFI,5,0),1,0)*Table_NFI[[#This Row],[Blanket]],Table_NFI[[#This Row],[Blanket]])</f>
        <v>0</v>
      </c>
      <c r="AE857" s="378">
        <f>IF(NFI_Expiration=1,IF($A857&lt;VLOOKUP(N$5,NFI,5,0),1,0)*Table_NFI[[#This Row],[Kitchen Set]],Table_NFI[Kitchen Set])</f>
        <v>0</v>
      </c>
      <c r="AF857" s="378">
        <f>IF(NFI_Expiration=1,IF($A857&lt;VLOOKUP(O$5,NFI,5,0),1,0)*Table_NFI[[#This Row],[Clothes Kit]],Table_NFI[Clothes Kit])</f>
        <v>0</v>
      </c>
      <c r="AG857" s="378">
        <f>IF(NFI_Expiration=1,IF($A857&lt;VLOOKUP(P$5,NFI,5,0),1,0)*Table_NFI[[#This Row],[Plastic Bucket]],Table_NFI[Plastic Bucket])</f>
        <v>0</v>
      </c>
      <c r="AH857" s="378">
        <f>IF(NFI_Expiration=1,IF($A857&lt;VLOOKUP(Q$5,NFI,5,0),1,0)*Table_NFI[[#This Row],[Plastic Mat]],Table_NFI[Plastic Mat])*IF(Table_NFI[[#This Row],[Distribution Date]]&gt;"2014-04-01",1,2.5)</f>
        <v>0</v>
      </c>
      <c r="AI857" s="378">
        <f>IF(NFI_Expiration=1,IF($A857&lt;VLOOKUP(R$5,NFI,5,0),1,0)*Table_NFI[[#This Row],[Winter Clothes Adult]],Table_NFI[Winter Clothes Adult])</f>
        <v>0</v>
      </c>
      <c r="AJ857" s="378">
        <f>IF(NFI_Expiration=1,IF($A857&lt;VLOOKUP(S$5,NFI,5,0),1,0)*Table_NFI[[#This Row],[Winter Clothes Children]],Table_NFI[Winter Clothes Children])</f>
        <v>0</v>
      </c>
      <c r="AK857" s="378">
        <f>IF(NFI_Expiration=1,IF($A857&lt;VLOOKUP(T$5,NFI,5,0),1,0)*Table_NFI[[#This Row],[Winter Items Other]],Table_NFI[Winter Items Other])</f>
        <v>0</v>
      </c>
      <c r="AL857" s="378">
        <f>IF(NFI_Expiration=1,IF($A857&lt;VLOOKUP(M$5,NFI,5,0),1,0)*Table_NFI[[#This Row],[Winter Blanket]],Table_NFI[[#This Row],[Winter Blanket]])</f>
        <v>0</v>
      </c>
      <c r="AM857" s="378">
        <f>IF(Table_NFI[[#This Row],[Winter Clothes Adult]]+Table_NFI[[#This Row],[Winter Clothes Children]]+Table_NFI[[#This Row],[Winter Items Other]]+Table_NFI[[#This Row],[Winter Blanket]]&gt;0,1,0)</f>
        <v>0</v>
      </c>
      <c r="AN857" s="418">
        <f>IF(NFI_Expiration=1,IF($A857&lt;VLOOKUP(V$5,NFI,5,0),1,0)*Table_NFI[[#This Row],[Jerry Can]],Table_NFI[Jerry Can])</f>
        <v>0</v>
      </c>
      <c r="AO857" s="579" t="str">
        <f>IFERROR(VLOOKUP(Table_NFI[[#This Row],[Camp Name]],CL,2,0),"")</f>
        <v>MMR001CMP037</v>
      </c>
      <c r="AP857" s="574">
        <f ca="1">IF(Table_NFI[[#This Row],[Pcode]]="","",IF(OFFSET(CampList[Opening Date],MATCH(Table_NFI[[#This Row],[Pcode]],CampList[CP_Pcode],0)-1,0,1,1)&gt;=NFI_Monitor_Date,1,0))</f>
        <v>0</v>
      </c>
      <c r="AQ857" s="579" t="str">
        <f>IFERROR(VLOOKUP(Table_NFI[[#This Row],[Camp Name]],CL,3,0),"")</f>
        <v>Open</v>
      </c>
      <c r="AR857" s="378" t="str">
        <f ca="1">IF(Table_NFI[[#This Row],[Pcode]]="","",OFFSET(CampList[Priority],MATCH(Table_NFI[[#This Row],[Pcode]],CampList[CP_Pcode],0)-1,0,1,1))</f>
        <v>P4</v>
      </c>
      <c r="AS857" s="377">
        <f>IFERROR(Table_NFI[[#This Row],[Kitchen Set]]/VLOOKUP(Table_NFI[[#This Row],[Camp Name]],CL,4,0),"")</f>
        <v>0.68181818181818177</v>
      </c>
      <c r="AT857" s="572" t="s">
        <v>1095</v>
      </c>
      <c r="AU857" s="575"/>
    </row>
    <row r="858" spans="1:47" s="130" customFormat="1" ht="14.45" customHeight="1" x14ac:dyDescent="0.25">
      <c r="A858" s="381">
        <f t="shared" si="13"/>
        <v>30.833333333333332</v>
      </c>
      <c r="B858" s="571">
        <v>41597</v>
      </c>
      <c r="C858" s="573" t="s">
        <v>454</v>
      </c>
      <c r="D858" s="573" t="s">
        <v>454</v>
      </c>
      <c r="E858" s="572" t="s">
        <v>380</v>
      </c>
      <c r="F858" s="572" t="s">
        <v>5</v>
      </c>
      <c r="G858" s="374" t="s">
        <v>871</v>
      </c>
      <c r="H858" s="375"/>
      <c r="I858" s="375"/>
      <c r="J858" s="375"/>
      <c r="K858" s="375">
        <v>13</v>
      </c>
      <c r="L858" s="376">
        <v>9</v>
      </c>
      <c r="M858" s="376">
        <v>13</v>
      </c>
      <c r="N858" s="376">
        <v>9</v>
      </c>
      <c r="O858" s="376">
        <v>9</v>
      </c>
      <c r="P858" s="378"/>
      <c r="Q858" s="378"/>
      <c r="R858" s="378"/>
      <c r="S858" s="378"/>
      <c r="T858" s="378"/>
      <c r="U858" s="378"/>
      <c r="V858" s="533"/>
      <c r="W858" s="378"/>
      <c r="X858" s="378"/>
      <c r="Y858" s="378">
        <f>IF(NFI_Expiration=1,IF($A858&lt;VLOOKUP(H$5,NFI,5,0),1,0)*Table_NFI[[#This Row],[Hygiene Kit]],Table_NFI[Hygiene Kit])</f>
        <v>0</v>
      </c>
      <c r="Z858" s="378">
        <f>IF(NFI_Expiration=1,IF($A858&lt;VLOOKUP(I$5,NFI,5,0),1,0)*Table_NFI[[#This Row],[NFI Core Kit]],Table_NFI[NFI Core Kit])</f>
        <v>0</v>
      </c>
      <c r="AA858" s="378">
        <f>IF(NFI_Expiration=1,IF($A858&lt;VLOOKUP(J$5,NFI,5,0),1,0)*Table_NFI[[#This Row],[Sanitary Kit]],Table_NFI[Sanitary Kit])</f>
        <v>0</v>
      </c>
      <c r="AB858" s="378">
        <f>IF(NFI_Expiration=1,IF($A858&lt;VLOOKUP(K$5,NFI,5,0),1,0)*Table_NFI[[#This Row],[Mosquito net]],Table_NFI[Mosquito net])</f>
        <v>0</v>
      </c>
      <c r="AC858" s="378">
        <f>IF(NFI_Expiration=1,IF($A858&lt;VLOOKUP(L$5,NFI,5,0),1,0)*Table_NFI[[#This Row],[Tarpaulin]],Table_NFI[[#This Row],[Tarpaulin]])</f>
        <v>0</v>
      </c>
      <c r="AD858" s="378">
        <f>IF(NFI_Expiration=1,IF($A858&lt;VLOOKUP(M$5,NFI,5,0),1,0)*Table_NFI[[#This Row],[Blanket]],Table_NFI[[#This Row],[Blanket]])</f>
        <v>0</v>
      </c>
      <c r="AE858" s="378">
        <f>IF(NFI_Expiration=1,IF($A858&lt;VLOOKUP(N$5,NFI,5,0),1,0)*Table_NFI[[#This Row],[Kitchen Set]],Table_NFI[Kitchen Set])</f>
        <v>0</v>
      </c>
      <c r="AF858" s="378">
        <f>IF(NFI_Expiration=1,IF($A858&lt;VLOOKUP(O$5,NFI,5,0),1,0)*Table_NFI[[#This Row],[Clothes Kit]],Table_NFI[Clothes Kit])</f>
        <v>0</v>
      </c>
      <c r="AG858" s="378">
        <f>IF(NFI_Expiration=1,IF($A858&lt;VLOOKUP(P$5,NFI,5,0),1,0)*Table_NFI[[#This Row],[Plastic Bucket]],Table_NFI[Plastic Bucket])</f>
        <v>0</v>
      </c>
      <c r="AH858" s="378">
        <f>IF(NFI_Expiration=1,IF($A858&lt;VLOOKUP(Q$5,NFI,5,0),1,0)*Table_NFI[[#This Row],[Plastic Mat]],Table_NFI[Plastic Mat])*IF(Table_NFI[[#This Row],[Distribution Date]]&gt;"2014-04-01",1,2.5)</f>
        <v>0</v>
      </c>
      <c r="AI858" s="378">
        <f>IF(NFI_Expiration=1,IF($A858&lt;VLOOKUP(R$5,NFI,5,0),1,0)*Table_NFI[[#This Row],[Winter Clothes Adult]],Table_NFI[Winter Clothes Adult])</f>
        <v>0</v>
      </c>
      <c r="AJ858" s="378">
        <f>IF(NFI_Expiration=1,IF($A858&lt;VLOOKUP(S$5,NFI,5,0),1,0)*Table_NFI[[#This Row],[Winter Clothes Children]],Table_NFI[Winter Clothes Children])</f>
        <v>0</v>
      </c>
      <c r="AK858" s="378">
        <f>IF(NFI_Expiration=1,IF($A858&lt;VLOOKUP(T$5,NFI,5,0),1,0)*Table_NFI[[#This Row],[Winter Items Other]],Table_NFI[Winter Items Other])</f>
        <v>0</v>
      </c>
      <c r="AL858" s="378">
        <f>IF(NFI_Expiration=1,IF($A858&lt;VLOOKUP(M$5,NFI,5,0),1,0)*Table_NFI[[#This Row],[Winter Blanket]],Table_NFI[[#This Row],[Winter Blanket]])</f>
        <v>0</v>
      </c>
      <c r="AM858" s="378">
        <f>IF(Table_NFI[[#This Row],[Winter Clothes Adult]]+Table_NFI[[#This Row],[Winter Clothes Children]]+Table_NFI[[#This Row],[Winter Items Other]]+Table_NFI[[#This Row],[Winter Blanket]]&gt;0,1,0)</f>
        <v>0</v>
      </c>
      <c r="AN858" s="418">
        <f>IF(NFI_Expiration=1,IF($A858&lt;VLOOKUP(V$5,NFI,5,0),1,0)*Table_NFI[[#This Row],[Jerry Can]],Table_NFI[Jerry Can])</f>
        <v>0</v>
      </c>
      <c r="AO858" s="579" t="str">
        <f>IFERROR(VLOOKUP(Table_NFI[[#This Row],[Camp Name]],CL,2,0),"")</f>
        <v>MMR001CMP211</v>
      </c>
      <c r="AP858" s="574">
        <f ca="1">IF(Table_NFI[[#This Row],[Pcode]]="","",IF(OFFSET(CampList[Opening Date],MATCH(Table_NFI[[#This Row],[Pcode]],CampList[CP_Pcode],0)-1,0,1,1)&gt;=NFI_Monitor_Date,1,0))</f>
        <v>0</v>
      </c>
      <c r="AQ858" s="579" t="str">
        <f>IFERROR(VLOOKUP(Table_NFI[[#This Row],[Camp Name]],CL,3,0),"")</f>
        <v>Closed</v>
      </c>
      <c r="AR858" s="378" t="str">
        <f ca="1">IF(Table_NFI[[#This Row],[Pcode]]="","",OFFSET(CampList[Priority],MATCH(Table_NFI[[#This Row],[Pcode]],CampList[CP_Pcode],0)-1,0,1,1))</f>
        <v/>
      </c>
      <c r="AS858" s="377" t="str">
        <f>IFERROR(Table_NFI[[#This Row],[Kitchen Set]]/VLOOKUP(Table_NFI[[#This Row],[Camp Name]],CL,4,0),"")</f>
        <v/>
      </c>
      <c r="AT858" s="572" t="s">
        <v>1095</v>
      </c>
      <c r="AU858" s="575"/>
    </row>
    <row r="859" spans="1:47" s="130" customFormat="1" ht="14.45" customHeight="1" x14ac:dyDescent="0.25">
      <c r="A859" s="381">
        <f t="shared" si="13"/>
        <v>18.966666666666665</v>
      </c>
      <c r="B859" s="571">
        <v>41953</v>
      </c>
      <c r="C859" s="572" t="s">
        <v>1097</v>
      </c>
      <c r="D859" s="572" t="s">
        <v>903</v>
      </c>
      <c r="E859" s="572" t="s">
        <v>380</v>
      </c>
      <c r="F859" s="572" t="s">
        <v>300</v>
      </c>
      <c r="G859" s="572" t="s">
        <v>301</v>
      </c>
      <c r="H859" s="375"/>
      <c r="I859" s="375"/>
      <c r="J859" s="375"/>
      <c r="K859" s="375"/>
      <c r="L859" s="376"/>
      <c r="M859" s="376"/>
      <c r="N859" s="376"/>
      <c r="O859" s="376"/>
      <c r="P859" s="378"/>
      <c r="Q859" s="378"/>
      <c r="R859" s="378">
        <v>72</v>
      </c>
      <c r="S859" s="378">
        <v>11</v>
      </c>
      <c r="T859" s="378"/>
      <c r="U859" s="378"/>
      <c r="V859" s="533"/>
      <c r="W859" s="378"/>
      <c r="X859" s="378"/>
      <c r="Y859" s="378">
        <f>IF(NFI_Expiration=1,IF($A859&lt;VLOOKUP(H$5,NFI,5,0),1,0)*Table_NFI[[#This Row],[Hygiene Kit]],Table_NFI[Hygiene Kit])</f>
        <v>0</v>
      </c>
      <c r="Z859" s="378">
        <f>IF(NFI_Expiration=1,IF($A859&lt;VLOOKUP(I$5,NFI,5,0),1,0)*Table_NFI[[#This Row],[NFI Core Kit]],Table_NFI[NFI Core Kit])</f>
        <v>0</v>
      </c>
      <c r="AA859" s="378">
        <f>IF(NFI_Expiration=1,IF($A859&lt;VLOOKUP(J$5,NFI,5,0),1,0)*Table_NFI[[#This Row],[Sanitary Kit]],Table_NFI[Sanitary Kit])</f>
        <v>0</v>
      </c>
      <c r="AB859" s="378">
        <f>IF(NFI_Expiration=1,IF($A859&lt;VLOOKUP(K$5,NFI,5,0),1,0)*Table_NFI[[#This Row],[Mosquito net]],Table_NFI[Mosquito net])</f>
        <v>0</v>
      </c>
      <c r="AC859" s="378">
        <f>IF(NFI_Expiration=1,IF($A859&lt;VLOOKUP(L$5,NFI,5,0),1,0)*Table_NFI[[#This Row],[Tarpaulin]],Table_NFI[[#This Row],[Tarpaulin]])</f>
        <v>0</v>
      </c>
      <c r="AD859" s="378">
        <f>IF(NFI_Expiration=1,IF($A859&lt;VLOOKUP(M$5,NFI,5,0),1,0)*Table_NFI[[#This Row],[Blanket]],Table_NFI[[#This Row],[Blanket]])</f>
        <v>0</v>
      </c>
      <c r="AE859" s="378">
        <f>IF(NFI_Expiration=1,IF($A859&lt;VLOOKUP(N$5,NFI,5,0),1,0)*Table_NFI[[#This Row],[Kitchen Set]],Table_NFI[Kitchen Set])</f>
        <v>0</v>
      </c>
      <c r="AF859" s="378">
        <f>IF(NFI_Expiration=1,IF($A859&lt;VLOOKUP(O$5,NFI,5,0),1,0)*Table_NFI[[#This Row],[Clothes Kit]],Table_NFI[Clothes Kit])</f>
        <v>0</v>
      </c>
      <c r="AG859" s="378">
        <f>IF(NFI_Expiration=1,IF($A859&lt;VLOOKUP(P$5,NFI,5,0),1,0)*Table_NFI[[#This Row],[Plastic Bucket]],Table_NFI[Plastic Bucket])</f>
        <v>0</v>
      </c>
      <c r="AH859" s="378">
        <f>IF(NFI_Expiration=1,IF($A859&lt;VLOOKUP(Q$5,NFI,5,0),1,0)*Table_NFI[[#This Row],[Plastic Mat]],Table_NFI[Plastic Mat])*IF(Table_NFI[[#This Row],[Distribution Date]]&gt;"2014-04-01",1,2.5)</f>
        <v>0</v>
      </c>
      <c r="AI859" s="378">
        <f>IF(NFI_Expiration=1,IF($A859&lt;VLOOKUP(R$5,NFI,5,0),1,0)*Table_NFI[[#This Row],[Winter Clothes Adult]],Table_NFI[Winter Clothes Adult])</f>
        <v>0</v>
      </c>
      <c r="AJ859" s="378">
        <f>IF(NFI_Expiration=1,IF($A859&lt;VLOOKUP(S$5,NFI,5,0),1,0)*Table_NFI[[#This Row],[Winter Clothes Children]],Table_NFI[Winter Clothes Children])</f>
        <v>0</v>
      </c>
      <c r="AK859" s="378">
        <f>IF(NFI_Expiration=1,IF($A859&lt;VLOOKUP(T$5,NFI,5,0),1,0)*Table_NFI[[#This Row],[Winter Items Other]],Table_NFI[Winter Items Other])</f>
        <v>0</v>
      </c>
      <c r="AL859" s="378">
        <f>IF(NFI_Expiration=1,IF($A859&lt;VLOOKUP(M$5,NFI,5,0),1,0)*Table_NFI[[#This Row],[Winter Blanket]],Table_NFI[[#This Row],[Winter Blanket]])</f>
        <v>0</v>
      </c>
      <c r="AM859" s="378">
        <f>IF(Table_NFI[[#This Row],[Winter Clothes Adult]]+Table_NFI[[#This Row],[Winter Clothes Children]]+Table_NFI[[#This Row],[Winter Items Other]]+Table_NFI[[#This Row],[Winter Blanket]]&gt;0,1,0)</f>
        <v>1</v>
      </c>
      <c r="AN859" s="418">
        <f>IF(NFI_Expiration=1,IF($A859&lt;VLOOKUP(V$5,NFI,5,0),1,0)*Table_NFI[[#This Row],[Jerry Can]],Table_NFI[Jerry Can])</f>
        <v>0</v>
      </c>
      <c r="AO859" s="579" t="str">
        <f>IFERROR(VLOOKUP(Table_NFI[[#This Row],[Camp Name]],CL,2,0),"")</f>
        <v>MMR001CMP075</v>
      </c>
      <c r="AP859" s="574">
        <f ca="1">IF(Table_NFI[[#This Row],[Pcode]]="","",IF(OFFSET(CampList[Opening Date],MATCH(Table_NFI[[#This Row],[Pcode]],CampList[CP_Pcode],0)-1,0,1,1)&gt;=NFI_Monitor_Date,1,0))</f>
        <v>0</v>
      </c>
      <c r="AQ859" s="579" t="str">
        <f>IFERROR(VLOOKUP(Table_NFI[[#This Row],[Camp Name]],CL,3,0),"")</f>
        <v>Open</v>
      </c>
      <c r="AR859" s="378" t="str">
        <f ca="1">IF(Table_NFI[[#This Row],[Pcode]]="","",OFFSET(CampList[Priority],MATCH(Table_NFI[[#This Row],[Pcode]],CampList[CP_Pcode],0)-1,0,1,1))</f>
        <v>P3</v>
      </c>
      <c r="AS859" s="377">
        <f>IFERROR(Table_NFI[[#This Row],[Kitchen Set]]/VLOOKUP(Table_NFI[[#This Row],[Camp Name]],CL,4,0),"")</f>
        <v>0</v>
      </c>
      <c r="AT859" s="572"/>
      <c r="AU859" s="575"/>
    </row>
    <row r="860" spans="1:47" s="130" customFormat="1" ht="14.45" customHeight="1" x14ac:dyDescent="0.25">
      <c r="A860" s="381">
        <f t="shared" si="13"/>
        <v>28.766666666666666</v>
      </c>
      <c r="B860" s="571">
        <v>41659</v>
      </c>
      <c r="C860" s="572" t="s">
        <v>1097</v>
      </c>
      <c r="D860" s="572" t="s">
        <v>903</v>
      </c>
      <c r="E860" s="572" t="s">
        <v>380</v>
      </c>
      <c r="F860" s="572" t="s">
        <v>300</v>
      </c>
      <c r="G860" s="572" t="s">
        <v>301</v>
      </c>
      <c r="H860" s="375"/>
      <c r="I860" s="375"/>
      <c r="J860" s="375"/>
      <c r="K860" s="375">
        <v>18</v>
      </c>
      <c r="L860" s="376">
        <v>36</v>
      </c>
      <c r="M860" s="376">
        <v>36</v>
      </c>
      <c r="N860" s="376">
        <v>18</v>
      </c>
      <c r="O860" s="376"/>
      <c r="P860" s="378"/>
      <c r="Q860" s="378"/>
      <c r="R860" s="378">
        <v>53</v>
      </c>
      <c r="S860" s="378">
        <v>42</v>
      </c>
      <c r="T860" s="378"/>
      <c r="U860" s="378"/>
      <c r="V860" s="533"/>
      <c r="W860" s="378"/>
      <c r="X860" s="378"/>
      <c r="Y860" s="378">
        <f>IF(NFI_Expiration=1,IF($A860&lt;VLOOKUP(H$5,NFI,5,0),1,0)*Table_NFI[[#This Row],[Hygiene Kit]],Table_NFI[Hygiene Kit])</f>
        <v>0</v>
      </c>
      <c r="Z860" s="378">
        <f>IF(NFI_Expiration=1,IF($A860&lt;VLOOKUP(I$5,NFI,5,0),1,0)*Table_NFI[[#This Row],[NFI Core Kit]],Table_NFI[NFI Core Kit])</f>
        <v>0</v>
      </c>
      <c r="AA860" s="378">
        <f>IF(NFI_Expiration=1,IF($A860&lt;VLOOKUP(J$5,NFI,5,0),1,0)*Table_NFI[[#This Row],[Sanitary Kit]],Table_NFI[Sanitary Kit])</f>
        <v>0</v>
      </c>
      <c r="AB860" s="378">
        <f>IF(NFI_Expiration=1,IF($A860&lt;VLOOKUP(K$5,NFI,5,0),1,0)*Table_NFI[[#This Row],[Mosquito net]],Table_NFI[Mosquito net])</f>
        <v>0</v>
      </c>
      <c r="AC860" s="378">
        <f>IF(NFI_Expiration=1,IF($A860&lt;VLOOKUP(L$5,NFI,5,0),1,0)*Table_NFI[[#This Row],[Tarpaulin]],Table_NFI[[#This Row],[Tarpaulin]])</f>
        <v>0</v>
      </c>
      <c r="AD860" s="378">
        <f>IF(NFI_Expiration=1,IF($A860&lt;VLOOKUP(M$5,NFI,5,0),1,0)*Table_NFI[[#This Row],[Blanket]],Table_NFI[[#This Row],[Blanket]])</f>
        <v>0</v>
      </c>
      <c r="AE860" s="378">
        <f>IF(NFI_Expiration=1,IF($A860&lt;VLOOKUP(N$5,NFI,5,0),1,0)*Table_NFI[[#This Row],[Kitchen Set]],Table_NFI[Kitchen Set])</f>
        <v>0</v>
      </c>
      <c r="AF860" s="378">
        <f>IF(NFI_Expiration=1,IF($A860&lt;VLOOKUP(O$5,NFI,5,0),1,0)*Table_NFI[[#This Row],[Clothes Kit]],Table_NFI[Clothes Kit])</f>
        <v>0</v>
      </c>
      <c r="AG860" s="378">
        <f>IF(NFI_Expiration=1,IF($A860&lt;VLOOKUP(P$5,NFI,5,0),1,0)*Table_NFI[[#This Row],[Plastic Bucket]],Table_NFI[Plastic Bucket])</f>
        <v>0</v>
      </c>
      <c r="AH860" s="378">
        <f>IF(NFI_Expiration=1,IF($A860&lt;VLOOKUP(Q$5,NFI,5,0),1,0)*Table_NFI[[#This Row],[Plastic Mat]],Table_NFI[Plastic Mat])*IF(Table_NFI[[#This Row],[Distribution Date]]&gt;"2014-04-01",1,2.5)</f>
        <v>0</v>
      </c>
      <c r="AI860" s="378">
        <f>IF(NFI_Expiration=1,IF($A860&lt;VLOOKUP(R$5,NFI,5,0),1,0)*Table_NFI[[#This Row],[Winter Clothes Adult]],Table_NFI[Winter Clothes Adult])</f>
        <v>0</v>
      </c>
      <c r="AJ860" s="378">
        <f>IF(NFI_Expiration=1,IF($A860&lt;VLOOKUP(S$5,NFI,5,0),1,0)*Table_NFI[[#This Row],[Winter Clothes Children]],Table_NFI[Winter Clothes Children])</f>
        <v>0</v>
      </c>
      <c r="AK860" s="378">
        <f>IF(NFI_Expiration=1,IF($A860&lt;VLOOKUP(T$5,NFI,5,0),1,0)*Table_NFI[[#This Row],[Winter Items Other]],Table_NFI[Winter Items Other])</f>
        <v>0</v>
      </c>
      <c r="AL860" s="378">
        <f>IF(NFI_Expiration=1,IF($A860&lt;VLOOKUP(M$5,NFI,5,0),1,0)*Table_NFI[[#This Row],[Winter Blanket]],Table_NFI[[#This Row],[Winter Blanket]])</f>
        <v>0</v>
      </c>
      <c r="AM860" s="378">
        <f>IF(Table_NFI[[#This Row],[Winter Clothes Adult]]+Table_NFI[[#This Row],[Winter Clothes Children]]+Table_NFI[[#This Row],[Winter Items Other]]+Table_NFI[[#This Row],[Winter Blanket]]&gt;0,1,0)</f>
        <v>1</v>
      </c>
      <c r="AN860" s="418">
        <f>IF(NFI_Expiration=1,IF($A860&lt;VLOOKUP(V$5,NFI,5,0),1,0)*Table_NFI[[#This Row],[Jerry Can]],Table_NFI[Jerry Can])</f>
        <v>0</v>
      </c>
      <c r="AO860" s="579" t="str">
        <f>IFERROR(VLOOKUP(Table_NFI[[#This Row],[Camp Name]],CL,2,0),"")</f>
        <v>MMR001CMP075</v>
      </c>
      <c r="AP860" s="574">
        <f ca="1">IF(Table_NFI[[#This Row],[Pcode]]="","",IF(OFFSET(CampList[Opening Date],MATCH(Table_NFI[[#This Row],[Pcode]],CampList[CP_Pcode],0)-1,0,1,1)&gt;=NFI_Monitor_Date,1,0))</f>
        <v>0</v>
      </c>
      <c r="AQ860" s="579" t="str">
        <f>IFERROR(VLOOKUP(Table_NFI[[#This Row],[Camp Name]],CL,3,0),"")</f>
        <v>Open</v>
      </c>
      <c r="AR860" s="378" t="str">
        <f ca="1">IF(Table_NFI[[#This Row],[Pcode]]="","",OFFSET(CampList[Priority],MATCH(Table_NFI[[#This Row],[Pcode]],CampList[CP_Pcode],0)-1,0,1,1))</f>
        <v>P3</v>
      </c>
      <c r="AS860" s="377">
        <f>IFERROR(Table_NFI[[#This Row],[Kitchen Set]]/VLOOKUP(Table_NFI[[#This Row],[Camp Name]],CL,4,0),"")</f>
        <v>1.2857142857142858</v>
      </c>
      <c r="AT860" s="572"/>
      <c r="AU860" s="575"/>
    </row>
    <row r="861" spans="1:47" s="130" customFormat="1" ht="14.45" customHeight="1" x14ac:dyDescent="0.25">
      <c r="A861" s="381">
        <f t="shared" si="13"/>
        <v>20.3</v>
      </c>
      <c r="B861" s="571">
        <v>41913</v>
      </c>
      <c r="C861" s="572" t="s">
        <v>454</v>
      </c>
      <c r="D861" s="577" t="s">
        <v>507</v>
      </c>
      <c r="E861" s="577" t="s">
        <v>380</v>
      </c>
      <c r="F861" s="577" t="s">
        <v>310</v>
      </c>
      <c r="G861" s="577" t="s">
        <v>316</v>
      </c>
      <c r="H861" s="376"/>
      <c r="I861" s="376"/>
      <c r="J861" s="376"/>
      <c r="K861" s="376">
        <v>150</v>
      </c>
      <c r="L861" s="376"/>
      <c r="M861" s="376"/>
      <c r="N861" s="376"/>
      <c r="O861" s="376"/>
      <c r="P861" s="378"/>
      <c r="Q861" s="378"/>
      <c r="R861" s="378"/>
      <c r="S861" s="378"/>
      <c r="T861" s="378"/>
      <c r="U861" s="378"/>
      <c r="V861" s="533"/>
      <c r="W861" s="378"/>
      <c r="X861" s="378"/>
      <c r="Y861" s="378">
        <f>IF(NFI_Expiration=1,IF($A861&lt;VLOOKUP(H$5,NFI,5,0),1,0)*Table_NFI[[#This Row],[Hygiene Kit]],Table_NFI[Hygiene Kit])</f>
        <v>0</v>
      </c>
      <c r="Z861" s="378">
        <f>IF(NFI_Expiration=1,IF($A861&lt;VLOOKUP(I$5,NFI,5,0),1,0)*Table_NFI[[#This Row],[NFI Core Kit]],Table_NFI[NFI Core Kit])</f>
        <v>0</v>
      </c>
      <c r="AA861" s="378">
        <f>IF(NFI_Expiration=1,IF($A861&lt;VLOOKUP(J$5,NFI,5,0),1,0)*Table_NFI[[#This Row],[Sanitary Kit]],Table_NFI[Sanitary Kit])</f>
        <v>0</v>
      </c>
      <c r="AB861" s="378">
        <f>IF(NFI_Expiration=1,IF($A861&lt;VLOOKUP(K$5,NFI,5,0),1,0)*Table_NFI[[#This Row],[Mosquito net]],Table_NFI[Mosquito net])</f>
        <v>0</v>
      </c>
      <c r="AC861" s="378">
        <f>IF(NFI_Expiration=1,IF($A861&lt;VLOOKUP(L$5,NFI,5,0),1,0)*Table_NFI[[#This Row],[Tarpaulin]],Table_NFI[[#This Row],[Tarpaulin]])</f>
        <v>0</v>
      </c>
      <c r="AD861" s="378">
        <f>IF(NFI_Expiration=1,IF($A861&lt;VLOOKUP(M$5,NFI,5,0),1,0)*Table_NFI[[#This Row],[Blanket]],Table_NFI[[#This Row],[Blanket]])</f>
        <v>0</v>
      </c>
      <c r="AE861" s="378">
        <f>IF(NFI_Expiration=1,IF($A861&lt;VLOOKUP(N$5,NFI,5,0),1,0)*Table_NFI[[#This Row],[Kitchen Set]],Table_NFI[Kitchen Set])</f>
        <v>0</v>
      </c>
      <c r="AF861" s="378">
        <f>IF(NFI_Expiration=1,IF($A861&lt;VLOOKUP(O$5,NFI,5,0),1,0)*Table_NFI[[#This Row],[Clothes Kit]],Table_NFI[Clothes Kit])</f>
        <v>0</v>
      </c>
      <c r="AG861" s="378">
        <f>IF(NFI_Expiration=1,IF($A861&lt;VLOOKUP(P$5,NFI,5,0),1,0)*Table_NFI[[#This Row],[Plastic Bucket]],Table_NFI[Plastic Bucket])</f>
        <v>0</v>
      </c>
      <c r="AH861" s="378">
        <f>IF(NFI_Expiration=1,IF($A861&lt;VLOOKUP(Q$5,NFI,5,0),1,0)*Table_NFI[[#This Row],[Plastic Mat]],Table_NFI[Plastic Mat])*IF(Table_NFI[[#This Row],[Distribution Date]]&gt;"2014-04-01",1,2.5)</f>
        <v>0</v>
      </c>
      <c r="AI861" s="378">
        <f>IF(NFI_Expiration=1,IF($A861&lt;VLOOKUP(R$5,NFI,5,0),1,0)*Table_NFI[[#This Row],[Winter Clothes Adult]],Table_NFI[Winter Clothes Adult])</f>
        <v>0</v>
      </c>
      <c r="AJ861" s="378">
        <f>IF(NFI_Expiration=1,IF($A861&lt;VLOOKUP(S$5,NFI,5,0),1,0)*Table_NFI[[#This Row],[Winter Clothes Children]],Table_NFI[Winter Clothes Children])</f>
        <v>0</v>
      </c>
      <c r="AK861" s="378">
        <f>IF(NFI_Expiration=1,IF($A861&lt;VLOOKUP(T$5,NFI,5,0),1,0)*Table_NFI[[#This Row],[Winter Items Other]],Table_NFI[Winter Items Other])</f>
        <v>0</v>
      </c>
      <c r="AL861" s="378">
        <f>IF(NFI_Expiration=1,IF($A861&lt;VLOOKUP(M$5,NFI,5,0),1,0)*Table_NFI[[#This Row],[Winter Blanket]],Table_NFI[[#This Row],[Winter Blanket]])</f>
        <v>0</v>
      </c>
      <c r="AM861" s="378">
        <f>IF(Table_NFI[[#This Row],[Winter Clothes Adult]]+Table_NFI[[#This Row],[Winter Clothes Children]]+Table_NFI[[#This Row],[Winter Items Other]]+Table_NFI[[#This Row],[Winter Blanket]]&gt;0,1,0)</f>
        <v>0</v>
      </c>
      <c r="AN861" s="418">
        <f>IF(NFI_Expiration=1,IF($A861&lt;VLOOKUP(V$5,NFI,5,0),1,0)*Table_NFI[[#This Row],[Jerry Can]],Table_NFI[Jerry Can])</f>
        <v>0</v>
      </c>
      <c r="AO861" s="579" t="str">
        <f>IFERROR(VLOOKUP(Table_NFI[[#This Row],[Camp Name]],CL,2,0),"")</f>
        <v>MMR001CMP038</v>
      </c>
      <c r="AP861" s="574">
        <f ca="1">IF(Table_NFI[[#This Row],[Pcode]]="","",IF(OFFSET(CampList[Opening Date],MATCH(Table_NFI[[#This Row],[Pcode]],CampList[CP_Pcode],0)-1,0,1,1)&gt;=NFI_Monitor_Date,1,0))</f>
        <v>0</v>
      </c>
      <c r="AQ861" s="579" t="str">
        <f>IFERROR(VLOOKUP(Table_NFI[[#This Row],[Camp Name]],CL,3,0),"")</f>
        <v>Open</v>
      </c>
      <c r="AR861" s="378" t="str">
        <f ca="1">IF(Table_NFI[[#This Row],[Pcode]]="","",OFFSET(CampList[Priority],MATCH(Table_NFI[[#This Row],[Pcode]],CampList[CP_Pcode],0)-1,0,1,1))</f>
        <v>P4</v>
      </c>
      <c r="AS861" s="377">
        <f>IFERROR(Table_NFI[[#This Row],[Kitchen Set]]/VLOOKUP(Table_NFI[[#This Row],[Camp Name]],CL,4,0),"")</f>
        <v>0</v>
      </c>
      <c r="AT861" s="577"/>
      <c r="AU861" s="580"/>
    </row>
    <row r="862" spans="1:47" s="130" customFormat="1" ht="14.45" customHeight="1" x14ac:dyDescent="0.25">
      <c r="A862" s="381">
        <f t="shared" si="13"/>
        <v>23.233333333333334</v>
      </c>
      <c r="B862" s="571">
        <v>41825</v>
      </c>
      <c r="C862" s="572" t="s">
        <v>1107</v>
      </c>
      <c r="D862" s="572" t="s">
        <v>903</v>
      </c>
      <c r="E862" s="572" t="s">
        <v>380</v>
      </c>
      <c r="F862" s="572" t="s">
        <v>310</v>
      </c>
      <c r="G862" s="572" t="s">
        <v>316</v>
      </c>
      <c r="H862" s="375"/>
      <c r="I862" s="375"/>
      <c r="J862" s="375"/>
      <c r="K862" s="375"/>
      <c r="L862" s="376"/>
      <c r="M862" s="376"/>
      <c r="N862" s="376"/>
      <c r="O862" s="376"/>
      <c r="P862" s="378"/>
      <c r="Q862" s="378"/>
      <c r="R862" s="378"/>
      <c r="S862" s="378"/>
      <c r="T862" s="378"/>
      <c r="U862" s="378">
        <v>124</v>
      </c>
      <c r="V862" s="533"/>
      <c r="W862" s="378"/>
      <c r="X862" s="378"/>
      <c r="Y862" s="378">
        <f>IF(NFI_Expiration=1,IF($A862&lt;VLOOKUP(H$5,NFI,5,0),1,0)*Table_NFI[[#This Row],[Hygiene Kit]],Table_NFI[Hygiene Kit])</f>
        <v>0</v>
      </c>
      <c r="Z862" s="378">
        <f>IF(NFI_Expiration=1,IF($A862&lt;VLOOKUP(I$5,NFI,5,0),1,0)*Table_NFI[[#This Row],[NFI Core Kit]],Table_NFI[NFI Core Kit])</f>
        <v>0</v>
      </c>
      <c r="AA862" s="378">
        <f>IF(NFI_Expiration=1,IF($A862&lt;VLOOKUP(J$5,NFI,5,0),1,0)*Table_NFI[[#This Row],[Sanitary Kit]],Table_NFI[Sanitary Kit])</f>
        <v>0</v>
      </c>
      <c r="AB862" s="378">
        <f>IF(NFI_Expiration=1,IF($A862&lt;VLOOKUP(K$5,NFI,5,0),1,0)*Table_NFI[[#This Row],[Mosquito net]],Table_NFI[Mosquito net])</f>
        <v>0</v>
      </c>
      <c r="AC862" s="378">
        <f>IF(NFI_Expiration=1,IF($A862&lt;VLOOKUP(L$5,NFI,5,0),1,0)*Table_NFI[[#This Row],[Tarpaulin]],Table_NFI[[#This Row],[Tarpaulin]])</f>
        <v>0</v>
      </c>
      <c r="AD862" s="378">
        <f>IF(NFI_Expiration=1,IF($A862&lt;VLOOKUP(M$5,NFI,5,0),1,0)*Table_NFI[[#This Row],[Blanket]],Table_NFI[[#This Row],[Blanket]])</f>
        <v>0</v>
      </c>
      <c r="AE862" s="378">
        <f>IF(NFI_Expiration=1,IF($A862&lt;VLOOKUP(N$5,NFI,5,0),1,0)*Table_NFI[[#This Row],[Kitchen Set]],Table_NFI[Kitchen Set])</f>
        <v>0</v>
      </c>
      <c r="AF862" s="378">
        <f>IF(NFI_Expiration=1,IF($A862&lt;VLOOKUP(O$5,NFI,5,0),1,0)*Table_NFI[[#This Row],[Clothes Kit]],Table_NFI[Clothes Kit])</f>
        <v>0</v>
      </c>
      <c r="AG862" s="378">
        <f>IF(NFI_Expiration=1,IF($A862&lt;VLOOKUP(P$5,NFI,5,0),1,0)*Table_NFI[[#This Row],[Plastic Bucket]],Table_NFI[Plastic Bucket])</f>
        <v>0</v>
      </c>
      <c r="AH862" s="378">
        <f>IF(NFI_Expiration=1,IF($A862&lt;VLOOKUP(Q$5,NFI,5,0),1,0)*Table_NFI[[#This Row],[Plastic Mat]],Table_NFI[Plastic Mat])*IF(Table_NFI[[#This Row],[Distribution Date]]&gt;"2014-04-01",1,2.5)</f>
        <v>0</v>
      </c>
      <c r="AI862" s="378">
        <f>IF(NFI_Expiration=1,IF($A862&lt;VLOOKUP(R$5,NFI,5,0),1,0)*Table_NFI[[#This Row],[Winter Clothes Adult]],Table_NFI[Winter Clothes Adult])</f>
        <v>0</v>
      </c>
      <c r="AJ862" s="378">
        <f>IF(NFI_Expiration=1,IF($A862&lt;VLOOKUP(S$5,NFI,5,0),1,0)*Table_NFI[[#This Row],[Winter Clothes Children]],Table_NFI[Winter Clothes Children])</f>
        <v>0</v>
      </c>
      <c r="AK862" s="378">
        <f>IF(NFI_Expiration=1,IF($A862&lt;VLOOKUP(T$5,NFI,5,0),1,0)*Table_NFI[[#This Row],[Winter Items Other]],Table_NFI[Winter Items Other])</f>
        <v>0</v>
      </c>
      <c r="AL862" s="378">
        <f>IF(NFI_Expiration=1,IF($A862&lt;VLOOKUP(M$5,NFI,5,0),1,0)*Table_NFI[[#This Row],[Winter Blanket]],Table_NFI[[#This Row],[Winter Blanket]])</f>
        <v>0</v>
      </c>
      <c r="AM862" s="378">
        <f>IF(Table_NFI[[#This Row],[Winter Clothes Adult]]+Table_NFI[[#This Row],[Winter Clothes Children]]+Table_NFI[[#This Row],[Winter Items Other]]+Table_NFI[[#This Row],[Winter Blanket]]&gt;0,1,0)</f>
        <v>1</v>
      </c>
      <c r="AN862" s="418">
        <f>IF(NFI_Expiration=1,IF($A862&lt;VLOOKUP(V$5,NFI,5,0),1,0)*Table_NFI[[#This Row],[Jerry Can]],Table_NFI[Jerry Can])</f>
        <v>0</v>
      </c>
      <c r="AO862" s="579" t="str">
        <f>IFERROR(VLOOKUP(Table_NFI[[#This Row],[Camp Name]],CL,2,0),"")</f>
        <v>MMR001CMP038</v>
      </c>
      <c r="AP862" s="574">
        <f ca="1">IF(Table_NFI[[#This Row],[Pcode]]="","",IF(OFFSET(CampList[Opening Date],MATCH(Table_NFI[[#This Row],[Pcode]],CampList[CP_Pcode],0)-1,0,1,1)&gt;=NFI_Monitor_Date,1,0))</f>
        <v>0</v>
      </c>
      <c r="AQ862" s="579" t="str">
        <f>IFERROR(VLOOKUP(Table_NFI[[#This Row],[Camp Name]],CL,3,0),"")</f>
        <v>Open</v>
      </c>
      <c r="AR862" s="378" t="str">
        <f ca="1">IF(Table_NFI[[#This Row],[Pcode]]="","",OFFSET(CampList[Priority],MATCH(Table_NFI[[#This Row],[Pcode]],CampList[CP_Pcode],0)-1,0,1,1))</f>
        <v>P4</v>
      </c>
      <c r="AS862" s="377">
        <f>IFERROR(Table_NFI[[#This Row],[Kitchen Set]]/VLOOKUP(Table_NFI[[#This Row],[Camp Name]],CL,4,0),"")</f>
        <v>0</v>
      </c>
      <c r="AT862" s="572"/>
      <c r="AU862" s="575"/>
    </row>
    <row r="863" spans="1:47" s="130" customFormat="1" ht="14.45" customHeight="1" x14ac:dyDescent="0.25">
      <c r="A863" s="381">
        <f t="shared" si="13"/>
        <v>29.933333333333334</v>
      </c>
      <c r="B863" s="571">
        <v>41624</v>
      </c>
      <c r="C863" s="572" t="s">
        <v>908</v>
      </c>
      <c r="D863" s="572" t="s">
        <v>462</v>
      </c>
      <c r="E863" s="572" t="s">
        <v>380</v>
      </c>
      <c r="F863" s="572" t="s">
        <v>310</v>
      </c>
      <c r="G863" s="572" t="s">
        <v>316</v>
      </c>
      <c r="H863" s="375"/>
      <c r="I863" s="375"/>
      <c r="J863" s="375"/>
      <c r="K863" s="375"/>
      <c r="L863" s="376"/>
      <c r="M863" s="376"/>
      <c r="N863" s="376"/>
      <c r="O863" s="376"/>
      <c r="P863" s="378"/>
      <c r="Q863" s="378"/>
      <c r="R863" s="378">
        <v>77</v>
      </c>
      <c r="S863" s="378">
        <v>153</v>
      </c>
      <c r="T863" s="378">
        <v>460</v>
      </c>
      <c r="U863" s="378">
        <v>230</v>
      </c>
      <c r="V863" s="533"/>
      <c r="W863" s="378"/>
      <c r="X863" s="378"/>
      <c r="Y863" s="378">
        <f>IF(NFI_Expiration=1,IF($A863&lt;VLOOKUP(H$5,NFI,5,0),1,0)*Table_NFI[[#This Row],[Hygiene Kit]],Table_NFI[Hygiene Kit])</f>
        <v>0</v>
      </c>
      <c r="Z863" s="378">
        <f>IF(NFI_Expiration=1,IF($A863&lt;VLOOKUP(I$5,NFI,5,0),1,0)*Table_NFI[[#This Row],[NFI Core Kit]],Table_NFI[NFI Core Kit])</f>
        <v>0</v>
      </c>
      <c r="AA863" s="378">
        <f>IF(NFI_Expiration=1,IF($A863&lt;VLOOKUP(J$5,NFI,5,0),1,0)*Table_NFI[[#This Row],[Sanitary Kit]],Table_NFI[Sanitary Kit])</f>
        <v>0</v>
      </c>
      <c r="AB863" s="378">
        <f>IF(NFI_Expiration=1,IF($A863&lt;VLOOKUP(K$5,NFI,5,0),1,0)*Table_NFI[[#This Row],[Mosquito net]],Table_NFI[Mosquito net])</f>
        <v>0</v>
      </c>
      <c r="AC863" s="378">
        <f>IF(NFI_Expiration=1,IF($A863&lt;VLOOKUP(L$5,NFI,5,0),1,0)*Table_NFI[[#This Row],[Tarpaulin]],Table_NFI[[#This Row],[Tarpaulin]])</f>
        <v>0</v>
      </c>
      <c r="AD863" s="378">
        <f>IF(NFI_Expiration=1,IF($A863&lt;VLOOKUP(M$5,NFI,5,0),1,0)*Table_NFI[[#This Row],[Blanket]],Table_NFI[[#This Row],[Blanket]])</f>
        <v>0</v>
      </c>
      <c r="AE863" s="378">
        <f>IF(NFI_Expiration=1,IF($A863&lt;VLOOKUP(N$5,NFI,5,0),1,0)*Table_NFI[[#This Row],[Kitchen Set]],Table_NFI[Kitchen Set])</f>
        <v>0</v>
      </c>
      <c r="AF863" s="378">
        <f>IF(NFI_Expiration=1,IF($A863&lt;VLOOKUP(O$5,NFI,5,0),1,0)*Table_NFI[[#This Row],[Clothes Kit]],Table_NFI[Clothes Kit])</f>
        <v>0</v>
      </c>
      <c r="AG863" s="378">
        <f>IF(NFI_Expiration=1,IF($A863&lt;VLOOKUP(P$5,NFI,5,0),1,0)*Table_NFI[[#This Row],[Plastic Bucket]],Table_NFI[Plastic Bucket])</f>
        <v>0</v>
      </c>
      <c r="AH863" s="378">
        <f>IF(NFI_Expiration=1,IF($A863&lt;VLOOKUP(Q$5,NFI,5,0),1,0)*Table_NFI[[#This Row],[Plastic Mat]],Table_NFI[Plastic Mat])*IF(Table_NFI[[#This Row],[Distribution Date]]&gt;"2014-04-01",1,2.5)</f>
        <v>0</v>
      </c>
      <c r="AI863" s="378">
        <f>IF(NFI_Expiration=1,IF($A863&lt;VLOOKUP(R$5,NFI,5,0),1,0)*Table_NFI[[#This Row],[Winter Clothes Adult]],Table_NFI[Winter Clothes Adult])</f>
        <v>0</v>
      </c>
      <c r="AJ863" s="378">
        <f>IF(NFI_Expiration=1,IF($A863&lt;VLOOKUP(S$5,NFI,5,0),1,0)*Table_NFI[[#This Row],[Winter Clothes Children]],Table_NFI[Winter Clothes Children])</f>
        <v>0</v>
      </c>
      <c r="AK863" s="378">
        <f>IF(NFI_Expiration=1,IF($A863&lt;VLOOKUP(T$5,NFI,5,0),1,0)*Table_NFI[[#This Row],[Winter Items Other]],Table_NFI[Winter Items Other])</f>
        <v>0</v>
      </c>
      <c r="AL863" s="378">
        <f>IF(NFI_Expiration=1,IF($A863&lt;VLOOKUP(M$5,NFI,5,0),1,0)*Table_NFI[[#This Row],[Winter Blanket]],Table_NFI[[#This Row],[Winter Blanket]])</f>
        <v>0</v>
      </c>
      <c r="AM863" s="378">
        <f>IF(Table_NFI[[#This Row],[Winter Clothes Adult]]+Table_NFI[[#This Row],[Winter Clothes Children]]+Table_NFI[[#This Row],[Winter Items Other]]+Table_NFI[[#This Row],[Winter Blanket]]&gt;0,1,0)</f>
        <v>1</v>
      </c>
      <c r="AN863" s="418">
        <f>IF(NFI_Expiration=1,IF($A863&lt;VLOOKUP(V$5,NFI,5,0),1,0)*Table_NFI[[#This Row],[Jerry Can]],Table_NFI[Jerry Can])</f>
        <v>0</v>
      </c>
      <c r="AO863" s="579" t="str">
        <f>IFERROR(VLOOKUP(Table_NFI[[#This Row],[Camp Name]],CL,2,0),"")</f>
        <v>MMR001CMP038</v>
      </c>
      <c r="AP863" s="574">
        <f ca="1">IF(Table_NFI[[#This Row],[Pcode]]="","",IF(OFFSET(CampList[Opening Date],MATCH(Table_NFI[[#This Row],[Pcode]],CampList[CP_Pcode],0)-1,0,1,1)&gt;=NFI_Monitor_Date,1,0))</f>
        <v>0</v>
      </c>
      <c r="AQ863" s="579" t="str">
        <f>IFERROR(VLOOKUP(Table_NFI[[#This Row],[Camp Name]],CL,3,0),"")</f>
        <v>Open</v>
      </c>
      <c r="AR863" s="378" t="str">
        <f ca="1">IF(Table_NFI[[#This Row],[Pcode]]="","",OFFSET(CampList[Priority],MATCH(Table_NFI[[#This Row],[Pcode]],CampList[CP_Pcode],0)-1,0,1,1))</f>
        <v>P4</v>
      </c>
      <c r="AS863" s="377">
        <f>IFERROR(Table_NFI[[#This Row],[Kitchen Set]]/VLOOKUP(Table_NFI[[#This Row],[Camp Name]],CL,4,0),"")</f>
        <v>0</v>
      </c>
      <c r="AT863" s="572"/>
      <c r="AU863" s="575"/>
    </row>
    <row r="864" spans="1:47" s="130" customFormat="1" ht="14.45" customHeight="1" x14ac:dyDescent="0.25">
      <c r="A864" s="381">
        <f t="shared" si="13"/>
        <v>30.466666666666665</v>
      </c>
      <c r="B864" s="571">
        <v>41608</v>
      </c>
      <c r="C864" s="572" t="s">
        <v>908</v>
      </c>
      <c r="D864" s="572" t="s">
        <v>462</v>
      </c>
      <c r="E864" s="572" t="s">
        <v>380</v>
      </c>
      <c r="F864" s="374" t="s">
        <v>310</v>
      </c>
      <c r="G864" s="374" t="s">
        <v>316</v>
      </c>
      <c r="H864" s="375"/>
      <c r="I864" s="375"/>
      <c r="J864" s="375"/>
      <c r="K864" s="375"/>
      <c r="L864" s="376"/>
      <c r="M864" s="376"/>
      <c r="N864" s="376"/>
      <c r="O864" s="376"/>
      <c r="P864" s="378"/>
      <c r="Q864" s="378"/>
      <c r="R864" s="378"/>
      <c r="S864" s="378"/>
      <c r="T864" s="378"/>
      <c r="U864" s="378"/>
      <c r="V864" s="533"/>
      <c r="W864" s="378"/>
      <c r="X864" s="378"/>
      <c r="Y864" s="378">
        <f>IF(NFI_Expiration=1,IF($A864&lt;VLOOKUP(H$5,NFI,5,0),1,0)*Table_NFI[[#This Row],[Hygiene Kit]],Table_NFI[Hygiene Kit])</f>
        <v>0</v>
      </c>
      <c r="Z864" s="378">
        <f>IF(NFI_Expiration=1,IF($A864&lt;VLOOKUP(I$5,NFI,5,0),1,0)*Table_NFI[[#This Row],[NFI Core Kit]],Table_NFI[NFI Core Kit])</f>
        <v>0</v>
      </c>
      <c r="AA864" s="378">
        <f>IF(NFI_Expiration=1,IF($A864&lt;VLOOKUP(J$5,NFI,5,0),1,0)*Table_NFI[[#This Row],[Sanitary Kit]],Table_NFI[Sanitary Kit])</f>
        <v>0</v>
      </c>
      <c r="AB864" s="378">
        <f>IF(NFI_Expiration=1,IF($A864&lt;VLOOKUP(K$5,NFI,5,0),1,0)*Table_NFI[[#This Row],[Mosquito net]],Table_NFI[Mosquito net])</f>
        <v>0</v>
      </c>
      <c r="AC864" s="378">
        <f>IF(NFI_Expiration=1,IF($A864&lt;VLOOKUP(L$5,NFI,5,0),1,0)*Table_NFI[[#This Row],[Tarpaulin]],Table_NFI[[#This Row],[Tarpaulin]])</f>
        <v>0</v>
      </c>
      <c r="AD864" s="378">
        <f>IF(NFI_Expiration=1,IF($A864&lt;VLOOKUP(M$5,NFI,5,0),1,0)*Table_NFI[[#This Row],[Blanket]],Table_NFI[[#This Row],[Blanket]])</f>
        <v>0</v>
      </c>
      <c r="AE864" s="378">
        <f>IF(NFI_Expiration=1,IF($A864&lt;VLOOKUP(N$5,NFI,5,0),1,0)*Table_NFI[[#This Row],[Kitchen Set]],Table_NFI[Kitchen Set])</f>
        <v>0</v>
      </c>
      <c r="AF864" s="378">
        <f>IF(NFI_Expiration=1,IF($A864&lt;VLOOKUP(O$5,NFI,5,0),1,0)*Table_NFI[[#This Row],[Clothes Kit]],Table_NFI[Clothes Kit])</f>
        <v>0</v>
      </c>
      <c r="AG864" s="378">
        <f>IF(NFI_Expiration=1,IF($A864&lt;VLOOKUP(P$5,NFI,5,0),1,0)*Table_NFI[[#This Row],[Plastic Bucket]],Table_NFI[Plastic Bucket])</f>
        <v>0</v>
      </c>
      <c r="AH864" s="378">
        <f>IF(NFI_Expiration=1,IF($A864&lt;VLOOKUP(Q$5,NFI,5,0),1,0)*Table_NFI[[#This Row],[Plastic Mat]],Table_NFI[Plastic Mat])*IF(Table_NFI[[#This Row],[Distribution Date]]&gt;"2014-04-01",1,2.5)</f>
        <v>0</v>
      </c>
      <c r="AI864" s="378">
        <f>IF(NFI_Expiration=1,IF($A864&lt;VLOOKUP(R$5,NFI,5,0),1,0)*Table_NFI[[#This Row],[Winter Clothes Adult]],Table_NFI[Winter Clothes Adult])</f>
        <v>0</v>
      </c>
      <c r="AJ864" s="378">
        <f>IF(NFI_Expiration=1,IF($A864&lt;VLOOKUP(S$5,NFI,5,0),1,0)*Table_NFI[[#This Row],[Winter Clothes Children]],Table_NFI[Winter Clothes Children])</f>
        <v>0</v>
      </c>
      <c r="AK864" s="378">
        <f>IF(NFI_Expiration=1,IF($A864&lt;VLOOKUP(T$5,NFI,5,0),1,0)*Table_NFI[[#This Row],[Winter Items Other]],Table_NFI[Winter Items Other])</f>
        <v>0</v>
      </c>
      <c r="AL864" s="378">
        <f>IF(NFI_Expiration=1,IF($A864&lt;VLOOKUP(M$5,NFI,5,0),1,0)*Table_NFI[[#This Row],[Winter Blanket]],Table_NFI[[#This Row],[Winter Blanket]])</f>
        <v>0</v>
      </c>
      <c r="AM864" s="378">
        <f>IF(Table_NFI[[#This Row],[Winter Clothes Adult]]+Table_NFI[[#This Row],[Winter Clothes Children]]+Table_NFI[[#This Row],[Winter Items Other]]+Table_NFI[[#This Row],[Winter Blanket]]&gt;0,1,0)</f>
        <v>0</v>
      </c>
      <c r="AN864" s="418">
        <f>IF(NFI_Expiration=1,IF($A864&lt;VLOOKUP(V$5,NFI,5,0),1,0)*Table_NFI[[#This Row],[Jerry Can]],Table_NFI[Jerry Can])</f>
        <v>0</v>
      </c>
      <c r="AO864" s="579" t="str">
        <f>IFERROR(VLOOKUP(Table_NFI[[#This Row],[Camp Name]],CL,2,0),"")</f>
        <v>MMR001CMP038</v>
      </c>
      <c r="AP864" s="574">
        <f ca="1">IF(Table_NFI[[#This Row],[Pcode]]="","",IF(OFFSET(CampList[Opening Date],MATCH(Table_NFI[[#This Row],[Pcode]],CampList[CP_Pcode],0)-1,0,1,1)&gt;=NFI_Monitor_Date,1,0))</f>
        <v>0</v>
      </c>
      <c r="AQ864" s="579" t="str">
        <f>IFERROR(VLOOKUP(Table_NFI[[#This Row],[Camp Name]],CL,3,0),"")</f>
        <v>Open</v>
      </c>
      <c r="AR864" s="378" t="str">
        <f ca="1">IF(Table_NFI[[#This Row],[Pcode]]="","",OFFSET(CampList[Priority],MATCH(Table_NFI[[#This Row],[Pcode]],CampList[CP_Pcode],0)-1,0,1,1))</f>
        <v>P4</v>
      </c>
      <c r="AS864" s="377">
        <f>IFERROR(Table_NFI[[#This Row],[Kitchen Set]]/VLOOKUP(Table_NFI[[#This Row],[Camp Name]],CL,4,0),"")</f>
        <v>0</v>
      </c>
      <c r="AT864" s="572" t="s">
        <v>1095</v>
      </c>
      <c r="AU864" s="575"/>
    </row>
    <row r="865" spans="1:47" s="130" customFormat="1" ht="14.45" customHeight="1" x14ac:dyDescent="0.25">
      <c r="A865" s="381">
        <f t="shared" si="13"/>
        <v>34.766666666666666</v>
      </c>
      <c r="B865" s="571">
        <v>41479</v>
      </c>
      <c r="C865" s="572" t="s">
        <v>454</v>
      </c>
      <c r="D865" s="572" t="s">
        <v>507</v>
      </c>
      <c r="E865" s="572" t="s">
        <v>380</v>
      </c>
      <c r="F865" s="374" t="s">
        <v>310</v>
      </c>
      <c r="G865" s="374" t="s">
        <v>316</v>
      </c>
      <c r="H865" s="375"/>
      <c r="I865" s="375"/>
      <c r="J865" s="375">
        <v>22</v>
      </c>
      <c r="K865" s="375">
        <v>32</v>
      </c>
      <c r="L865" s="378">
        <v>15</v>
      </c>
      <c r="M865" s="378">
        <v>32</v>
      </c>
      <c r="N865" s="378">
        <v>15</v>
      </c>
      <c r="O865" s="378">
        <v>15</v>
      </c>
      <c r="P865" s="378">
        <v>15</v>
      </c>
      <c r="Q865" s="378">
        <v>15</v>
      </c>
      <c r="R865" s="378"/>
      <c r="S865" s="378"/>
      <c r="T865" s="378"/>
      <c r="U865" s="378"/>
      <c r="V865" s="533"/>
      <c r="W865" s="378"/>
      <c r="X865" s="378"/>
      <c r="Y865" s="378">
        <f>IF(NFI_Expiration=1,IF($A865&lt;VLOOKUP(H$5,NFI,5,0),1,0)*Table_NFI[[#This Row],[Hygiene Kit]],Table_NFI[Hygiene Kit])</f>
        <v>0</v>
      </c>
      <c r="Z865" s="378">
        <f>IF(NFI_Expiration=1,IF($A865&lt;VLOOKUP(I$5,NFI,5,0),1,0)*Table_NFI[[#This Row],[NFI Core Kit]],Table_NFI[NFI Core Kit])</f>
        <v>0</v>
      </c>
      <c r="AA865" s="378">
        <f>IF(NFI_Expiration=1,IF($A865&lt;VLOOKUP(J$5,NFI,5,0),1,0)*Table_NFI[[#This Row],[Sanitary Kit]],Table_NFI[Sanitary Kit])</f>
        <v>0</v>
      </c>
      <c r="AB865" s="378">
        <f>IF(NFI_Expiration=1,IF($A865&lt;VLOOKUP(K$5,NFI,5,0),1,0)*Table_NFI[[#This Row],[Mosquito net]],Table_NFI[Mosquito net])</f>
        <v>0</v>
      </c>
      <c r="AC865" s="378">
        <f>IF(NFI_Expiration=1,IF($A865&lt;VLOOKUP(L$5,NFI,5,0),1,0)*Table_NFI[[#This Row],[Tarpaulin]],Table_NFI[[#This Row],[Tarpaulin]])</f>
        <v>0</v>
      </c>
      <c r="AD865" s="378">
        <f>IF(NFI_Expiration=1,IF($A865&lt;VLOOKUP(M$5,NFI,5,0),1,0)*Table_NFI[[#This Row],[Blanket]],Table_NFI[[#This Row],[Blanket]])</f>
        <v>0</v>
      </c>
      <c r="AE865" s="378">
        <f>IF(NFI_Expiration=1,IF($A865&lt;VLOOKUP(N$5,NFI,5,0),1,0)*Table_NFI[[#This Row],[Kitchen Set]],Table_NFI[Kitchen Set])</f>
        <v>0</v>
      </c>
      <c r="AF865" s="378">
        <f>IF(NFI_Expiration=1,IF($A865&lt;VLOOKUP(O$5,NFI,5,0),1,0)*Table_NFI[[#This Row],[Clothes Kit]],Table_NFI[Clothes Kit])</f>
        <v>0</v>
      </c>
      <c r="AG865" s="378">
        <f>IF(NFI_Expiration=1,IF($A865&lt;VLOOKUP(P$5,NFI,5,0),1,0)*Table_NFI[[#This Row],[Plastic Bucket]],Table_NFI[Plastic Bucket])</f>
        <v>0</v>
      </c>
      <c r="AH865" s="378">
        <f>IF(NFI_Expiration=1,IF($A865&lt;VLOOKUP(Q$5,NFI,5,0),1,0)*Table_NFI[[#This Row],[Plastic Mat]],Table_NFI[Plastic Mat])*IF(Table_NFI[[#This Row],[Distribution Date]]&gt;"2014-04-01",1,2.5)</f>
        <v>0</v>
      </c>
      <c r="AI865" s="378">
        <f>IF(NFI_Expiration=1,IF($A865&lt;VLOOKUP(R$5,NFI,5,0),1,0)*Table_NFI[[#This Row],[Winter Clothes Adult]],Table_NFI[Winter Clothes Adult])</f>
        <v>0</v>
      </c>
      <c r="AJ865" s="378">
        <f>IF(NFI_Expiration=1,IF($A865&lt;VLOOKUP(S$5,NFI,5,0),1,0)*Table_NFI[[#This Row],[Winter Clothes Children]],Table_NFI[Winter Clothes Children])</f>
        <v>0</v>
      </c>
      <c r="AK865" s="378">
        <f>IF(NFI_Expiration=1,IF($A865&lt;VLOOKUP(T$5,NFI,5,0),1,0)*Table_NFI[[#This Row],[Winter Items Other]],Table_NFI[Winter Items Other])</f>
        <v>0</v>
      </c>
      <c r="AL865" s="378">
        <f>IF(NFI_Expiration=1,IF($A865&lt;VLOOKUP(M$5,NFI,5,0),1,0)*Table_NFI[[#This Row],[Winter Blanket]],Table_NFI[[#This Row],[Winter Blanket]])</f>
        <v>0</v>
      </c>
      <c r="AM865" s="378">
        <f>IF(Table_NFI[[#This Row],[Winter Clothes Adult]]+Table_NFI[[#This Row],[Winter Clothes Children]]+Table_NFI[[#This Row],[Winter Items Other]]+Table_NFI[[#This Row],[Winter Blanket]]&gt;0,1,0)</f>
        <v>0</v>
      </c>
      <c r="AN865" s="418">
        <f>IF(NFI_Expiration=1,IF($A865&lt;VLOOKUP(V$5,NFI,5,0),1,0)*Table_NFI[[#This Row],[Jerry Can]],Table_NFI[Jerry Can])</f>
        <v>0</v>
      </c>
      <c r="AO865" s="579" t="str">
        <f>IFERROR(VLOOKUP(Table_NFI[[#This Row],[Camp Name]],CL,2,0),"")</f>
        <v>MMR001CMP038</v>
      </c>
      <c r="AP865" s="574">
        <f ca="1">IF(Table_NFI[[#This Row],[Pcode]]="","",IF(OFFSET(CampList[Opening Date],MATCH(Table_NFI[[#This Row],[Pcode]],CampList[CP_Pcode],0)-1,0,1,1)&gt;=NFI_Monitor_Date,1,0))</f>
        <v>0</v>
      </c>
      <c r="AQ865" s="579" t="str">
        <f>IFERROR(VLOOKUP(Table_NFI[[#This Row],[Camp Name]],CL,3,0),"")</f>
        <v>Open</v>
      </c>
      <c r="AR865" s="378" t="str">
        <f ca="1">IF(Table_NFI[[#This Row],[Pcode]]="","",OFFSET(CampList[Priority],MATCH(Table_NFI[[#This Row],[Pcode]],CampList[CP_Pcode],0)-1,0,1,1))</f>
        <v>P4</v>
      </c>
      <c r="AS865" s="377">
        <f>IFERROR(Table_NFI[[#This Row],[Kitchen Set]]/VLOOKUP(Table_NFI[[#This Row],[Camp Name]],CL,4,0),"")</f>
        <v>0.21428571428571427</v>
      </c>
      <c r="AT865" s="572" t="s">
        <v>1095</v>
      </c>
      <c r="AU865" s="575"/>
    </row>
    <row r="866" spans="1:47" s="130" customFormat="1" ht="14.45" customHeight="1" x14ac:dyDescent="0.25">
      <c r="A866" s="381">
        <f t="shared" si="13"/>
        <v>38.5</v>
      </c>
      <c r="B866" s="571">
        <v>41367</v>
      </c>
      <c r="C866" s="572" t="s">
        <v>454</v>
      </c>
      <c r="D866" s="573" t="s">
        <v>454</v>
      </c>
      <c r="E866" s="572" t="s">
        <v>380</v>
      </c>
      <c r="F866" s="374" t="s">
        <v>310</v>
      </c>
      <c r="G866" s="374" t="s">
        <v>316</v>
      </c>
      <c r="H866" s="375"/>
      <c r="I866" s="375"/>
      <c r="J866" s="375">
        <v>4</v>
      </c>
      <c r="K866" s="375">
        <v>7</v>
      </c>
      <c r="L866" s="376">
        <v>3</v>
      </c>
      <c r="M866" s="376">
        <v>7</v>
      </c>
      <c r="N866" s="376">
        <v>3</v>
      </c>
      <c r="O866" s="376">
        <v>3</v>
      </c>
      <c r="P866" s="378">
        <v>3</v>
      </c>
      <c r="Q866" s="378">
        <v>3</v>
      </c>
      <c r="R866" s="378"/>
      <c r="S866" s="378"/>
      <c r="T866" s="378"/>
      <c r="U866" s="378"/>
      <c r="V866" s="533"/>
      <c r="W866" s="378"/>
      <c r="X866" s="378"/>
      <c r="Y866" s="378">
        <f>IF(NFI_Expiration=1,IF($A866&lt;VLOOKUP(H$5,NFI,5,0),1,0)*Table_NFI[[#This Row],[Hygiene Kit]],Table_NFI[Hygiene Kit])</f>
        <v>0</v>
      </c>
      <c r="Z866" s="378">
        <f>IF(NFI_Expiration=1,IF($A866&lt;VLOOKUP(I$5,NFI,5,0),1,0)*Table_NFI[[#This Row],[NFI Core Kit]],Table_NFI[NFI Core Kit])</f>
        <v>0</v>
      </c>
      <c r="AA866" s="378">
        <f>IF(NFI_Expiration=1,IF($A866&lt;VLOOKUP(J$5,NFI,5,0),1,0)*Table_NFI[[#This Row],[Sanitary Kit]],Table_NFI[Sanitary Kit])</f>
        <v>0</v>
      </c>
      <c r="AB866" s="378">
        <f>IF(NFI_Expiration=1,IF($A866&lt;VLOOKUP(K$5,NFI,5,0),1,0)*Table_NFI[[#This Row],[Mosquito net]],Table_NFI[Mosquito net])</f>
        <v>0</v>
      </c>
      <c r="AC866" s="378">
        <f>IF(NFI_Expiration=1,IF($A866&lt;VLOOKUP(L$5,NFI,5,0),1,0)*Table_NFI[[#This Row],[Tarpaulin]],Table_NFI[[#This Row],[Tarpaulin]])</f>
        <v>0</v>
      </c>
      <c r="AD866" s="378">
        <f>IF(NFI_Expiration=1,IF($A866&lt;VLOOKUP(M$5,NFI,5,0),1,0)*Table_NFI[[#This Row],[Blanket]],Table_NFI[[#This Row],[Blanket]])</f>
        <v>0</v>
      </c>
      <c r="AE866" s="378">
        <f>IF(NFI_Expiration=1,IF($A866&lt;VLOOKUP(N$5,NFI,5,0),1,0)*Table_NFI[[#This Row],[Kitchen Set]],Table_NFI[Kitchen Set])</f>
        <v>0</v>
      </c>
      <c r="AF866" s="378">
        <f>IF(NFI_Expiration=1,IF($A866&lt;VLOOKUP(O$5,NFI,5,0),1,0)*Table_NFI[[#This Row],[Clothes Kit]],Table_NFI[Clothes Kit])</f>
        <v>0</v>
      </c>
      <c r="AG866" s="378">
        <f>IF(NFI_Expiration=1,IF($A866&lt;VLOOKUP(P$5,NFI,5,0),1,0)*Table_NFI[[#This Row],[Plastic Bucket]],Table_NFI[Plastic Bucket])</f>
        <v>0</v>
      </c>
      <c r="AH866" s="378">
        <f>IF(NFI_Expiration=1,IF($A866&lt;VLOOKUP(Q$5,NFI,5,0),1,0)*Table_NFI[[#This Row],[Plastic Mat]],Table_NFI[Plastic Mat])*IF(Table_NFI[[#This Row],[Distribution Date]]&gt;"2014-04-01",1,2.5)</f>
        <v>0</v>
      </c>
      <c r="AI866" s="378">
        <f>IF(NFI_Expiration=1,IF($A866&lt;VLOOKUP(R$5,NFI,5,0),1,0)*Table_NFI[[#This Row],[Winter Clothes Adult]],Table_NFI[Winter Clothes Adult])</f>
        <v>0</v>
      </c>
      <c r="AJ866" s="378">
        <f>IF(NFI_Expiration=1,IF($A866&lt;VLOOKUP(S$5,NFI,5,0),1,0)*Table_NFI[[#This Row],[Winter Clothes Children]],Table_NFI[Winter Clothes Children])</f>
        <v>0</v>
      </c>
      <c r="AK866" s="378">
        <f>IF(NFI_Expiration=1,IF($A866&lt;VLOOKUP(T$5,NFI,5,0),1,0)*Table_NFI[[#This Row],[Winter Items Other]],Table_NFI[Winter Items Other])</f>
        <v>0</v>
      </c>
      <c r="AL866" s="378">
        <f>IF(NFI_Expiration=1,IF($A866&lt;VLOOKUP(M$5,NFI,5,0),1,0)*Table_NFI[[#This Row],[Winter Blanket]],Table_NFI[[#This Row],[Winter Blanket]])</f>
        <v>0</v>
      </c>
      <c r="AM866" s="378">
        <f>IF(Table_NFI[[#This Row],[Winter Clothes Adult]]+Table_NFI[[#This Row],[Winter Clothes Children]]+Table_NFI[[#This Row],[Winter Items Other]]+Table_NFI[[#This Row],[Winter Blanket]]&gt;0,1,0)</f>
        <v>0</v>
      </c>
      <c r="AN866" s="418">
        <f>IF(NFI_Expiration=1,IF($A866&lt;VLOOKUP(V$5,NFI,5,0),1,0)*Table_NFI[[#This Row],[Jerry Can]],Table_NFI[Jerry Can])</f>
        <v>0</v>
      </c>
      <c r="AO866" s="579" t="str">
        <f>IFERROR(VLOOKUP(Table_NFI[[#This Row],[Camp Name]],CL,2,0),"")</f>
        <v>MMR001CMP038</v>
      </c>
      <c r="AP866" s="574">
        <f ca="1">IF(Table_NFI[[#This Row],[Pcode]]="","",IF(OFFSET(CampList[Opening Date],MATCH(Table_NFI[[#This Row],[Pcode]],CampList[CP_Pcode],0)-1,0,1,1)&gt;=NFI_Monitor_Date,1,0))</f>
        <v>0</v>
      </c>
      <c r="AQ866" s="579" t="str">
        <f>IFERROR(VLOOKUP(Table_NFI[[#This Row],[Camp Name]],CL,3,0),"")</f>
        <v>Open</v>
      </c>
      <c r="AR866" s="378" t="str">
        <f ca="1">IF(Table_NFI[[#This Row],[Pcode]]="","",OFFSET(CampList[Priority],MATCH(Table_NFI[[#This Row],[Pcode]],CampList[CP_Pcode],0)-1,0,1,1))</f>
        <v>P4</v>
      </c>
      <c r="AS866" s="377">
        <f>IFERROR(Table_NFI[[#This Row],[Kitchen Set]]/VLOOKUP(Table_NFI[[#This Row],[Camp Name]],CL,4,0),"")</f>
        <v>4.2857142857142858E-2</v>
      </c>
      <c r="AT866" s="572" t="s">
        <v>1095</v>
      </c>
      <c r="AU866" s="575"/>
    </row>
    <row r="867" spans="1:47" s="576" customFormat="1" ht="14.45" customHeight="1" x14ac:dyDescent="0.25">
      <c r="A867" s="381">
        <f t="shared" si="13"/>
        <v>40.56666666666667</v>
      </c>
      <c r="B867" s="571">
        <v>41305</v>
      </c>
      <c r="C867" s="572" t="s">
        <v>571</v>
      </c>
      <c r="D867" s="573" t="s">
        <v>571</v>
      </c>
      <c r="E867" s="572" t="s">
        <v>380</v>
      </c>
      <c r="F867" s="374" t="s">
        <v>310</v>
      </c>
      <c r="G867" s="374" t="s">
        <v>316</v>
      </c>
      <c r="H867" s="375"/>
      <c r="I867" s="375"/>
      <c r="J867" s="375"/>
      <c r="K867" s="375"/>
      <c r="L867" s="376"/>
      <c r="M867" s="376">
        <v>104</v>
      </c>
      <c r="N867" s="376"/>
      <c r="O867" s="376"/>
      <c r="P867" s="378">
        <v>0</v>
      </c>
      <c r="Q867" s="378">
        <v>0</v>
      </c>
      <c r="R867" s="378"/>
      <c r="S867" s="378"/>
      <c r="T867" s="378"/>
      <c r="U867" s="378"/>
      <c r="V867" s="533"/>
      <c r="W867" s="378"/>
      <c r="X867" s="378"/>
      <c r="Y867" s="378">
        <f>IF(NFI_Expiration=1,IF($A867&lt;VLOOKUP(H$5,NFI,5,0),1,0)*Table_NFI[[#This Row],[Hygiene Kit]],Table_NFI[Hygiene Kit])</f>
        <v>0</v>
      </c>
      <c r="Z867" s="378">
        <f>IF(NFI_Expiration=1,IF($A867&lt;VLOOKUP(I$5,NFI,5,0),1,0)*Table_NFI[[#This Row],[NFI Core Kit]],Table_NFI[NFI Core Kit])</f>
        <v>0</v>
      </c>
      <c r="AA867" s="378">
        <f>IF(NFI_Expiration=1,IF($A867&lt;VLOOKUP(J$5,NFI,5,0),1,0)*Table_NFI[[#This Row],[Sanitary Kit]],Table_NFI[Sanitary Kit])</f>
        <v>0</v>
      </c>
      <c r="AB867" s="378">
        <f>IF(NFI_Expiration=1,IF($A867&lt;VLOOKUP(K$5,NFI,5,0),1,0)*Table_NFI[[#This Row],[Mosquito net]],Table_NFI[Mosquito net])</f>
        <v>0</v>
      </c>
      <c r="AC867" s="378">
        <f>IF(NFI_Expiration=1,IF($A867&lt;VLOOKUP(L$5,NFI,5,0),1,0)*Table_NFI[[#This Row],[Tarpaulin]],Table_NFI[[#This Row],[Tarpaulin]])</f>
        <v>0</v>
      </c>
      <c r="AD867" s="378">
        <f>IF(NFI_Expiration=1,IF($A867&lt;VLOOKUP(M$5,NFI,5,0),1,0)*Table_NFI[[#This Row],[Blanket]],Table_NFI[[#This Row],[Blanket]])</f>
        <v>0</v>
      </c>
      <c r="AE867" s="378">
        <f>IF(NFI_Expiration=1,IF($A867&lt;VLOOKUP(N$5,NFI,5,0),1,0)*Table_NFI[[#This Row],[Kitchen Set]],Table_NFI[Kitchen Set])</f>
        <v>0</v>
      </c>
      <c r="AF867" s="378">
        <f>IF(NFI_Expiration=1,IF($A867&lt;VLOOKUP(O$5,NFI,5,0),1,0)*Table_NFI[[#This Row],[Clothes Kit]],Table_NFI[Clothes Kit])</f>
        <v>0</v>
      </c>
      <c r="AG867" s="378">
        <f>IF(NFI_Expiration=1,IF($A867&lt;VLOOKUP(P$5,NFI,5,0),1,0)*Table_NFI[[#This Row],[Plastic Bucket]],Table_NFI[Plastic Bucket])</f>
        <v>0</v>
      </c>
      <c r="AH867" s="378">
        <f>IF(NFI_Expiration=1,IF($A867&lt;VLOOKUP(Q$5,NFI,5,0),1,0)*Table_NFI[[#This Row],[Plastic Mat]],Table_NFI[Plastic Mat])*IF(Table_NFI[[#This Row],[Distribution Date]]&gt;"2014-04-01",1,2.5)</f>
        <v>0</v>
      </c>
      <c r="AI867" s="378">
        <f>IF(NFI_Expiration=1,IF($A867&lt;VLOOKUP(R$5,NFI,5,0),1,0)*Table_NFI[[#This Row],[Winter Clothes Adult]],Table_NFI[Winter Clothes Adult])</f>
        <v>0</v>
      </c>
      <c r="AJ867" s="378">
        <f>IF(NFI_Expiration=1,IF($A867&lt;VLOOKUP(S$5,NFI,5,0),1,0)*Table_NFI[[#This Row],[Winter Clothes Children]],Table_NFI[Winter Clothes Children])</f>
        <v>0</v>
      </c>
      <c r="AK867" s="378">
        <f>IF(NFI_Expiration=1,IF($A867&lt;VLOOKUP(T$5,NFI,5,0),1,0)*Table_NFI[[#This Row],[Winter Items Other]],Table_NFI[Winter Items Other])</f>
        <v>0</v>
      </c>
      <c r="AL867" s="378">
        <f>IF(NFI_Expiration=1,IF($A867&lt;VLOOKUP(M$5,NFI,5,0),1,0)*Table_NFI[[#This Row],[Winter Blanket]],Table_NFI[[#This Row],[Winter Blanket]])</f>
        <v>0</v>
      </c>
      <c r="AM867" s="378">
        <f>IF(Table_NFI[[#This Row],[Winter Clothes Adult]]+Table_NFI[[#This Row],[Winter Clothes Children]]+Table_NFI[[#This Row],[Winter Items Other]]+Table_NFI[[#This Row],[Winter Blanket]]&gt;0,1,0)</f>
        <v>0</v>
      </c>
      <c r="AN867" s="418">
        <f>IF(NFI_Expiration=1,IF($A867&lt;VLOOKUP(V$5,NFI,5,0),1,0)*Table_NFI[[#This Row],[Jerry Can]],Table_NFI[Jerry Can])</f>
        <v>0</v>
      </c>
      <c r="AO867" s="579" t="str">
        <f>IFERROR(VLOOKUP(Table_NFI[[#This Row],[Camp Name]],CL,2,0),"")</f>
        <v>MMR001CMP038</v>
      </c>
      <c r="AP867" s="574">
        <f ca="1">IF(Table_NFI[[#This Row],[Pcode]]="","",IF(OFFSET(CampList[Opening Date],MATCH(Table_NFI[[#This Row],[Pcode]],CampList[CP_Pcode],0)-1,0,1,1)&gt;=NFI_Monitor_Date,1,0))</f>
        <v>0</v>
      </c>
      <c r="AQ867" s="579" t="str">
        <f>IFERROR(VLOOKUP(Table_NFI[[#This Row],[Camp Name]],CL,3,0),"")</f>
        <v>Open</v>
      </c>
      <c r="AR867" s="378" t="str">
        <f ca="1">IF(Table_NFI[[#This Row],[Pcode]]="","",OFFSET(CampList[Priority],MATCH(Table_NFI[[#This Row],[Pcode]],CampList[CP_Pcode],0)-1,0,1,1))</f>
        <v>P4</v>
      </c>
      <c r="AS867" s="377">
        <f>IFERROR(Table_NFI[[#This Row],[Kitchen Set]]/VLOOKUP(Table_NFI[[#This Row],[Camp Name]],CL,4,0),"")</f>
        <v>0</v>
      </c>
      <c r="AT867" s="572" t="s">
        <v>1095</v>
      </c>
      <c r="AU867" s="575"/>
    </row>
    <row r="868" spans="1:47" s="576" customFormat="1" ht="14.45" customHeight="1" x14ac:dyDescent="0.25">
      <c r="A868" s="381">
        <f t="shared" si="13"/>
        <v>41.6</v>
      </c>
      <c r="B868" s="571">
        <v>41274</v>
      </c>
      <c r="C868" s="572" t="s">
        <v>455</v>
      </c>
      <c r="D868" s="572" t="s">
        <v>455</v>
      </c>
      <c r="E868" s="572" t="s">
        <v>380</v>
      </c>
      <c r="F868" s="374" t="s">
        <v>310</v>
      </c>
      <c r="G868" s="374" t="s">
        <v>316</v>
      </c>
      <c r="H868" s="375">
        <v>56</v>
      </c>
      <c r="I868" s="375"/>
      <c r="J868" s="375"/>
      <c r="K868" s="375"/>
      <c r="L868" s="376"/>
      <c r="M868" s="376"/>
      <c r="N868" s="376"/>
      <c r="O868" s="376"/>
      <c r="P868" s="378">
        <v>0</v>
      </c>
      <c r="Q868" s="378">
        <v>0</v>
      </c>
      <c r="R868" s="378"/>
      <c r="S868" s="378"/>
      <c r="T868" s="378"/>
      <c r="U868" s="378"/>
      <c r="V868" s="533"/>
      <c r="W868" s="378"/>
      <c r="X868" s="378"/>
      <c r="Y868" s="378">
        <f>IF(NFI_Expiration=1,IF($A868&lt;VLOOKUP(H$5,NFI,5,0),1,0)*Table_NFI[[#This Row],[Hygiene Kit]],Table_NFI[Hygiene Kit])</f>
        <v>0</v>
      </c>
      <c r="Z868" s="378">
        <f>IF(NFI_Expiration=1,IF($A868&lt;VLOOKUP(I$5,NFI,5,0),1,0)*Table_NFI[[#This Row],[NFI Core Kit]],Table_NFI[NFI Core Kit])</f>
        <v>0</v>
      </c>
      <c r="AA868" s="378">
        <f>IF(NFI_Expiration=1,IF($A868&lt;VLOOKUP(J$5,NFI,5,0),1,0)*Table_NFI[[#This Row],[Sanitary Kit]],Table_NFI[Sanitary Kit])</f>
        <v>0</v>
      </c>
      <c r="AB868" s="378">
        <f>IF(NFI_Expiration=1,IF($A868&lt;VLOOKUP(K$5,NFI,5,0),1,0)*Table_NFI[[#This Row],[Mosquito net]],Table_NFI[Mosquito net])</f>
        <v>0</v>
      </c>
      <c r="AC868" s="378">
        <f>IF(NFI_Expiration=1,IF($A868&lt;VLOOKUP(L$5,NFI,5,0),1,0)*Table_NFI[[#This Row],[Tarpaulin]],Table_NFI[[#This Row],[Tarpaulin]])</f>
        <v>0</v>
      </c>
      <c r="AD868" s="378">
        <f>IF(NFI_Expiration=1,IF($A868&lt;VLOOKUP(M$5,NFI,5,0),1,0)*Table_NFI[[#This Row],[Blanket]],Table_NFI[[#This Row],[Blanket]])</f>
        <v>0</v>
      </c>
      <c r="AE868" s="378">
        <f>IF(NFI_Expiration=1,IF($A868&lt;VLOOKUP(N$5,NFI,5,0),1,0)*Table_NFI[[#This Row],[Kitchen Set]],Table_NFI[Kitchen Set])</f>
        <v>0</v>
      </c>
      <c r="AF868" s="378">
        <f>IF(NFI_Expiration=1,IF($A868&lt;VLOOKUP(O$5,NFI,5,0),1,0)*Table_NFI[[#This Row],[Clothes Kit]],Table_NFI[Clothes Kit])</f>
        <v>0</v>
      </c>
      <c r="AG868" s="378">
        <f>IF(NFI_Expiration=1,IF($A868&lt;VLOOKUP(P$5,NFI,5,0),1,0)*Table_NFI[[#This Row],[Plastic Bucket]],Table_NFI[Plastic Bucket])</f>
        <v>0</v>
      </c>
      <c r="AH868" s="378">
        <f>IF(NFI_Expiration=1,IF($A868&lt;VLOOKUP(Q$5,NFI,5,0),1,0)*Table_NFI[[#This Row],[Plastic Mat]],Table_NFI[Plastic Mat])*IF(Table_NFI[[#This Row],[Distribution Date]]&gt;"2014-04-01",1,2.5)</f>
        <v>0</v>
      </c>
      <c r="AI868" s="378">
        <f>IF(NFI_Expiration=1,IF($A868&lt;VLOOKUP(R$5,NFI,5,0),1,0)*Table_NFI[[#This Row],[Winter Clothes Adult]],Table_NFI[Winter Clothes Adult])</f>
        <v>0</v>
      </c>
      <c r="AJ868" s="378">
        <f>IF(NFI_Expiration=1,IF($A868&lt;VLOOKUP(S$5,NFI,5,0),1,0)*Table_NFI[[#This Row],[Winter Clothes Children]],Table_NFI[Winter Clothes Children])</f>
        <v>0</v>
      </c>
      <c r="AK868" s="378">
        <f>IF(NFI_Expiration=1,IF($A868&lt;VLOOKUP(T$5,NFI,5,0),1,0)*Table_NFI[[#This Row],[Winter Items Other]],Table_NFI[Winter Items Other])</f>
        <v>0</v>
      </c>
      <c r="AL868" s="378">
        <f>IF(NFI_Expiration=1,IF($A868&lt;VLOOKUP(M$5,NFI,5,0),1,0)*Table_NFI[[#This Row],[Winter Blanket]],Table_NFI[[#This Row],[Winter Blanket]])</f>
        <v>0</v>
      </c>
      <c r="AM868" s="378">
        <f>IF(Table_NFI[[#This Row],[Winter Clothes Adult]]+Table_NFI[[#This Row],[Winter Clothes Children]]+Table_NFI[[#This Row],[Winter Items Other]]+Table_NFI[[#This Row],[Winter Blanket]]&gt;0,1,0)</f>
        <v>0</v>
      </c>
      <c r="AN868" s="418">
        <f>IF(NFI_Expiration=1,IF($A868&lt;VLOOKUP(V$5,NFI,5,0),1,0)*Table_NFI[[#This Row],[Jerry Can]],Table_NFI[Jerry Can])</f>
        <v>0</v>
      </c>
      <c r="AO868" s="579" t="str">
        <f>IFERROR(VLOOKUP(Table_NFI[[#This Row],[Camp Name]],CL,2,0),"")</f>
        <v>MMR001CMP038</v>
      </c>
      <c r="AP868" s="574">
        <f ca="1">IF(Table_NFI[[#This Row],[Pcode]]="","",IF(OFFSET(CampList[Opening Date],MATCH(Table_NFI[[#This Row],[Pcode]],CampList[CP_Pcode],0)-1,0,1,1)&gt;=NFI_Monitor_Date,1,0))</f>
        <v>0</v>
      </c>
      <c r="AQ868" s="579" t="str">
        <f>IFERROR(VLOOKUP(Table_NFI[[#This Row],[Camp Name]],CL,3,0),"")</f>
        <v>Open</v>
      </c>
      <c r="AR868" s="378" t="str">
        <f ca="1">IF(Table_NFI[[#This Row],[Pcode]]="","",OFFSET(CampList[Priority],MATCH(Table_NFI[[#This Row],[Pcode]],CampList[CP_Pcode],0)-1,0,1,1))</f>
        <v>P4</v>
      </c>
      <c r="AS868" s="377">
        <f>IFERROR(Table_NFI[[#This Row],[Kitchen Set]]/VLOOKUP(Table_NFI[[#This Row],[Camp Name]],CL,4,0),"")</f>
        <v>0</v>
      </c>
      <c r="AT868" s="572" t="s">
        <v>1095</v>
      </c>
      <c r="AU868" s="575"/>
    </row>
    <row r="869" spans="1:47" s="576" customFormat="1" ht="14.45" customHeight="1" x14ac:dyDescent="0.25">
      <c r="A869" s="381">
        <f t="shared" si="13"/>
        <v>45.2</v>
      </c>
      <c r="B869" s="571">
        <v>41166</v>
      </c>
      <c r="C869" s="572" t="s">
        <v>454</v>
      </c>
      <c r="D869" s="572" t="s">
        <v>454</v>
      </c>
      <c r="E869" s="572" t="s">
        <v>380</v>
      </c>
      <c r="F869" s="572" t="s">
        <v>310</v>
      </c>
      <c r="G869" s="374" t="s">
        <v>316</v>
      </c>
      <c r="H869" s="375"/>
      <c r="I869" s="375"/>
      <c r="J869" s="375"/>
      <c r="K869" s="375">
        <v>14</v>
      </c>
      <c r="L869" s="376">
        <v>8</v>
      </c>
      <c r="M869" s="376">
        <v>14</v>
      </c>
      <c r="N869" s="376">
        <v>8</v>
      </c>
      <c r="O869" s="376">
        <v>8</v>
      </c>
      <c r="P869" s="378">
        <v>8</v>
      </c>
      <c r="Q869" s="378">
        <v>8</v>
      </c>
      <c r="R869" s="378"/>
      <c r="S869" s="378"/>
      <c r="T869" s="378"/>
      <c r="U869" s="378"/>
      <c r="V869" s="533"/>
      <c r="W869" s="378"/>
      <c r="X869" s="378"/>
      <c r="Y869" s="378">
        <f>IF(NFI_Expiration=1,IF($A869&lt;VLOOKUP(H$5,NFI,5,0),1,0)*Table_NFI[[#This Row],[Hygiene Kit]],Table_NFI[Hygiene Kit])</f>
        <v>0</v>
      </c>
      <c r="Z869" s="378">
        <f>IF(NFI_Expiration=1,IF($A869&lt;VLOOKUP(I$5,NFI,5,0),1,0)*Table_NFI[[#This Row],[NFI Core Kit]],Table_NFI[NFI Core Kit])</f>
        <v>0</v>
      </c>
      <c r="AA869" s="378">
        <f>IF(NFI_Expiration=1,IF($A869&lt;VLOOKUP(J$5,NFI,5,0),1,0)*Table_NFI[[#This Row],[Sanitary Kit]],Table_NFI[Sanitary Kit])</f>
        <v>0</v>
      </c>
      <c r="AB869" s="378">
        <f>IF(NFI_Expiration=1,IF($A869&lt;VLOOKUP(K$5,NFI,5,0),1,0)*Table_NFI[[#This Row],[Mosquito net]],Table_NFI[Mosquito net])</f>
        <v>0</v>
      </c>
      <c r="AC869" s="378">
        <f>IF(NFI_Expiration=1,IF($A869&lt;VLOOKUP(L$5,NFI,5,0),1,0)*Table_NFI[[#This Row],[Tarpaulin]],Table_NFI[[#This Row],[Tarpaulin]])</f>
        <v>0</v>
      </c>
      <c r="AD869" s="378">
        <f>IF(NFI_Expiration=1,IF($A869&lt;VLOOKUP(M$5,NFI,5,0),1,0)*Table_NFI[[#This Row],[Blanket]],Table_NFI[[#This Row],[Blanket]])</f>
        <v>0</v>
      </c>
      <c r="AE869" s="378">
        <f>IF(NFI_Expiration=1,IF($A869&lt;VLOOKUP(N$5,NFI,5,0),1,0)*Table_NFI[[#This Row],[Kitchen Set]],Table_NFI[Kitchen Set])</f>
        <v>0</v>
      </c>
      <c r="AF869" s="378">
        <f>IF(NFI_Expiration=1,IF($A869&lt;VLOOKUP(O$5,NFI,5,0),1,0)*Table_NFI[[#This Row],[Clothes Kit]],Table_NFI[Clothes Kit])</f>
        <v>0</v>
      </c>
      <c r="AG869" s="378">
        <f>IF(NFI_Expiration=1,IF($A869&lt;VLOOKUP(P$5,NFI,5,0),1,0)*Table_NFI[[#This Row],[Plastic Bucket]],Table_NFI[Plastic Bucket])</f>
        <v>0</v>
      </c>
      <c r="AH869" s="378">
        <f>IF(NFI_Expiration=1,IF($A869&lt;VLOOKUP(Q$5,NFI,5,0),1,0)*Table_NFI[[#This Row],[Plastic Mat]],Table_NFI[Plastic Mat])*IF(Table_NFI[[#This Row],[Distribution Date]]&gt;"2014-04-01",1,2.5)</f>
        <v>0</v>
      </c>
      <c r="AI869" s="378">
        <f>IF(NFI_Expiration=1,IF($A869&lt;VLOOKUP(R$5,NFI,5,0),1,0)*Table_NFI[[#This Row],[Winter Clothes Adult]],Table_NFI[Winter Clothes Adult])</f>
        <v>0</v>
      </c>
      <c r="AJ869" s="378">
        <f>IF(NFI_Expiration=1,IF($A869&lt;VLOOKUP(S$5,NFI,5,0),1,0)*Table_NFI[[#This Row],[Winter Clothes Children]],Table_NFI[Winter Clothes Children])</f>
        <v>0</v>
      </c>
      <c r="AK869" s="378">
        <f>IF(NFI_Expiration=1,IF($A869&lt;VLOOKUP(T$5,NFI,5,0),1,0)*Table_NFI[[#This Row],[Winter Items Other]],Table_NFI[Winter Items Other])</f>
        <v>0</v>
      </c>
      <c r="AL869" s="378">
        <f>IF(NFI_Expiration=1,IF($A869&lt;VLOOKUP(M$5,NFI,5,0),1,0)*Table_NFI[[#This Row],[Winter Blanket]],Table_NFI[[#This Row],[Winter Blanket]])</f>
        <v>0</v>
      </c>
      <c r="AM869" s="378">
        <f>IF(Table_NFI[[#This Row],[Winter Clothes Adult]]+Table_NFI[[#This Row],[Winter Clothes Children]]+Table_NFI[[#This Row],[Winter Items Other]]+Table_NFI[[#This Row],[Winter Blanket]]&gt;0,1,0)</f>
        <v>0</v>
      </c>
      <c r="AN869" s="418">
        <f>IF(NFI_Expiration=1,IF($A869&lt;VLOOKUP(V$5,NFI,5,0),1,0)*Table_NFI[[#This Row],[Jerry Can]],Table_NFI[Jerry Can])</f>
        <v>0</v>
      </c>
      <c r="AO869" s="579" t="str">
        <f>IFERROR(VLOOKUP(Table_NFI[[#This Row],[Camp Name]],CL,2,0),"")</f>
        <v>MMR001CMP038</v>
      </c>
      <c r="AP869" s="574">
        <f ca="1">IF(Table_NFI[[#This Row],[Pcode]]="","",IF(OFFSET(CampList[Opening Date],MATCH(Table_NFI[[#This Row],[Pcode]],CampList[CP_Pcode],0)-1,0,1,1)&gt;=NFI_Monitor_Date,1,0))</f>
        <v>0</v>
      </c>
      <c r="AQ869" s="579" t="str">
        <f>IFERROR(VLOOKUP(Table_NFI[[#This Row],[Camp Name]],CL,3,0),"")</f>
        <v>Open</v>
      </c>
      <c r="AR869" s="378" t="str">
        <f ca="1">IF(Table_NFI[[#This Row],[Pcode]]="","",OFFSET(CampList[Priority],MATCH(Table_NFI[[#This Row],[Pcode]],CampList[CP_Pcode],0)-1,0,1,1))</f>
        <v>P4</v>
      </c>
      <c r="AS869" s="377">
        <f>IFERROR(Table_NFI[[#This Row],[Kitchen Set]]/VLOOKUP(Table_NFI[[#This Row],[Camp Name]],CL,4,0),"")</f>
        <v>0.11428571428571428</v>
      </c>
      <c r="AT869" s="572" t="s">
        <v>1095</v>
      </c>
      <c r="AU869" s="575"/>
    </row>
    <row r="870" spans="1:47" s="130" customFormat="1" ht="14.45" customHeight="1" x14ac:dyDescent="0.25">
      <c r="A870" s="381">
        <f t="shared" si="13"/>
        <v>47.533333333333331</v>
      </c>
      <c r="B870" s="571">
        <v>41096</v>
      </c>
      <c r="C870" s="572" t="s">
        <v>454</v>
      </c>
      <c r="D870" s="572" t="s">
        <v>454</v>
      </c>
      <c r="E870" s="572" t="s">
        <v>380</v>
      </c>
      <c r="F870" s="572" t="s">
        <v>310</v>
      </c>
      <c r="G870" s="374" t="s">
        <v>316</v>
      </c>
      <c r="H870" s="375"/>
      <c r="I870" s="375"/>
      <c r="J870" s="375"/>
      <c r="K870" s="375">
        <v>17</v>
      </c>
      <c r="L870" s="376">
        <v>17</v>
      </c>
      <c r="M870" s="376">
        <v>17</v>
      </c>
      <c r="N870" s="376">
        <v>17</v>
      </c>
      <c r="O870" s="376">
        <v>17</v>
      </c>
      <c r="P870" s="378">
        <v>17</v>
      </c>
      <c r="Q870" s="378">
        <v>17</v>
      </c>
      <c r="R870" s="378"/>
      <c r="S870" s="378"/>
      <c r="T870" s="378"/>
      <c r="U870" s="378"/>
      <c r="V870" s="533"/>
      <c r="W870" s="378"/>
      <c r="X870" s="378"/>
      <c r="Y870" s="378">
        <f>IF(NFI_Expiration=1,IF($A870&lt;VLOOKUP(H$5,NFI,5,0),1,0)*Table_NFI[[#This Row],[Hygiene Kit]],Table_NFI[Hygiene Kit])</f>
        <v>0</v>
      </c>
      <c r="Z870" s="378">
        <f>IF(NFI_Expiration=1,IF($A870&lt;VLOOKUP(I$5,NFI,5,0),1,0)*Table_NFI[[#This Row],[NFI Core Kit]],Table_NFI[NFI Core Kit])</f>
        <v>0</v>
      </c>
      <c r="AA870" s="378">
        <f>IF(NFI_Expiration=1,IF($A870&lt;VLOOKUP(J$5,NFI,5,0),1,0)*Table_NFI[[#This Row],[Sanitary Kit]],Table_NFI[Sanitary Kit])</f>
        <v>0</v>
      </c>
      <c r="AB870" s="378">
        <f>IF(NFI_Expiration=1,IF($A870&lt;VLOOKUP(K$5,NFI,5,0),1,0)*Table_NFI[[#This Row],[Mosquito net]],Table_NFI[Mosquito net])</f>
        <v>0</v>
      </c>
      <c r="AC870" s="378">
        <f>IF(NFI_Expiration=1,IF($A870&lt;VLOOKUP(L$5,NFI,5,0),1,0)*Table_NFI[[#This Row],[Tarpaulin]],Table_NFI[[#This Row],[Tarpaulin]])</f>
        <v>0</v>
      </c>
      <c r="AD870" s="378">
        <f>IF(NFI_Expiration=1,IF($A870&lt;VLOOKUP(M$5,NFI,5,0),1,0)*Table_NFI[[#This Row],[Blanket]],Table_NFI[[#This Row],[Blanket]])</f>
        <v>0</v>
      </c>
      <c r="AE870" s="378">
        <f>IF(NFI_Expiration=1,IF($A870&lt;VLOOKUP(N$5,NFI,5,0),1,0)*Table_NFI[[#This Row],[Kitchen Set]],Table_NFI[Kitchen Set])</f>
        <v>0</v>
      </c>
      <c r="AF870" s="378">
        <f>IF(NFI_Expiration=1,IF($A870&lt;VLOOKUP(O$5,NFI,5,0),1,0)*Table_NFI[[#This Row],[Clothes Kit]],Table_NFI[Clothes Kit])</f>
        <v>0</v>
      </c>
      <c r="AG870" s="378">
        <f>IF(NFI_Expiration=1,IF($A870&lt;VLOOKUP(P$5,NFI,5,0),1,0)*Table_NFI[[#This Row],[Plastic Bucket]],Table_NFI[Plastic Bucket])</f>
        <v>0</v>
      </c>
      <c r="AH870" s="378">
        <f>IF(NFI_Expiration=1,IF($A870&lt;VLOOKUP(Q$5,NFI,5,0),1,0)*Table_NFI[[#This Row],[Plastic Mat]],Table_NFI[Plastic Mat])*IF(Table_NFI[[#This Row],[Distribution Date]]&gt;"2014-04-01",1,2.5)</f>
        <v>0</v>
      </c>
      <c r="AI870" s="378">
        <f>IF(NFI_Expiration=1,IF($A870&lt;VLOOKUP(R$5,NFI,5,0),1,0)*Table_NFI[[#This Row],[Winter Clothes Adult]],Table_NFI[Winter Clothes Adult])</f>
        <v>0</v>
      </c>
      <c r="AJ870" s="378">
        <f>IF(NFI_Expiration=1,IF($A870&lt;VLOOKUP(S$5,NFI,5,0),1,0)*Table_NFI[[#This Row],[Winter Clothes Children]],Table_NFI[Winter Clothes Children])</f>
        <v>0</v>
      </c>
      <c r="AK870" s="378">
        <f>IF(NFI_Expiration=1,IF($A870&lt;VLOOKUP(T$5,NFI,5,0),1,0)*Table_NFI[[#This Row],[Winter Items Other]],Table_NFI[Winter Items Other])</f>
        <v>0</v>
      </c>
      <c r="AL870" s="378">
        <f>IF(NFI_Expiration=1,IF($A870&lt;VLOOKUP(M$5,NFI,5,0),1,0)*Table_NFI[[#This Row],[Winter Blanket]],Table_NFI[[#This Row],[Winter Blanket]])</f>
        <v>0</v>
      </c>
      <c r="AM870" s="378">
        <f>IF(Table_NFI[[#This Row],[Winter Clothes Adult]]+Table_NFI[[#This Row],[Winter Clothes Children]]+Table_NFI[[#This Row],[Winter Items Other]]+Table_NFI[[#This Row],[Winter Blanket]]&gt;0,1,0)</f>
        <v>0</v>
      </c>
      <c r="AN870" s="418">
        <f>IF(NFI_Expiration=1,IF($A870&lt;VLOOKUP(V$5,NFI,5,0),1,0)*Table_NFI[[#This Row],[Jerry Can]],Table_NFI[Jerry Can])</f>
        <v>0</v>
      </c>
      <c r="AO870" s="579" t="str">
        <f>IFERROR(VLOOKUP(Table_NFI[[#This Row],[Camp Name]],CL,2,0),"")</f>
        <v>MMR001CMP038</v>
      </c>
      <c r="AP870" s="574">
        <f ca="1">IF(Table_NFI[[#This Row],[Pcode]]="","",IF(OFFSET(CampList[Opening Date],MATCH(Table_NFI[[#This Row],[Pcode]],CampList[CP_Pcode],0)-1,0,1,1)&gt;=NFI_Monitor_Date,1,0))</f>
        <v>0</v>
      </c>
      <c r="AQ870" s="579" t="str">
        <f>IFERROR(VLOOKUP(Table_NFI[[#This Row],[Camp Name]],CL,3,0),"")</f>
        <v>Open</v>
      </c>
      <c r="AR870" s="378" t="str">
        <f ca="1">IF(Table_NFI[[#This Row],[Pcode]]="","",OFFSET(CampList[Priority],MATCH(Table_NFI[[#This Row],[Pcode]],CampList[CP_Pcode],0)-1,0,1,1))</f>
        <v>P4</v>
      </c>
      <c r="AS870" s="377">
        <f>IFERROR(Table_NFI[[#This Row],[Kitchen Set]]/VLOOKUP(Table_NFI[[#This Row],[Camp Name]],CL,4,0),"")</f>
        <v>0.24285714285714285</v>
      </c>
      <c r="AT870" s="572" t="s">
        <v>1095</v>
      </c>
      <c r="AU870" s="575"/>
    </row>
    <row r="871" spans="1:47" s="130" customFormat="1" ht="14.45" customHeight="1" x14ac:dyDescent="0.25">
      <c r="A871" s="381">
        <f t="shared" si="13"/>
        <v>48.1</v>
      </c>
      <c r="B871" s="571">
        <v>41079</v>
      </c>
      <c r="C871" s="572" t="s">
        <v>454</v>
      </c>
      <c r="D871" s="573" t="s">
        <v>454</v>
      </c>
      <c r="E871" s="572" t="s">
        <v>380</v>
      </c>
      <c r="F871" s="374" t="s">
        <v>310</v>
      </c>
      <c r="G871" s="374" t="s">
        <v>316</v>
      </c>
      <c r="H871" s="375"/>
      <c r="I871" s="375"/>
      <c r="J871" s="375"/>
      <c r="K871" s="375">
        <v>28</v>
      </c>
      <c r="L871" s="376">
        <v>15</v>
      </c>
      <c r="M871" s="376">
        <v>28</v>
      </c>
      <c r="N871" s="376">
        <v>15</v>
      </c>
      <c r="O871" s="376">
        <v>15</v>
      </c>
      <c r="P871" s="378">
        <v>15</v>
      </c>
      <c r="Q871" s="378">
        <v>15</v>
      </c>
      <c r="R871" s="378"/>
      <c r="S871" s="378"/>
      <c r="T871" s="378"/>
      <c r="U871" s="378"/>
      <c r="V871" s="533"/>
      <c r="W871" s="378"/>
      <c r="X871" s="378"/>
      <c r="Y871" s="378">
        <f>IF(NFI_Expiration=1,IF($A871&lt;VLOOKUP(H$5,NFI,5,0),1,0)*Table_NFI[[#This Row],[Hygiene Kit]],Table_NFI[Hygiene Kit])</f>
        <v>0</v>
      </c>
      <c r="Z871" s="378">
        <f>IF(NFI_Expiration=1,IF($A871&lt;VLOOKUP(I$5,NFI,5,0),1,0)*Table_NFI[[#This Row],[NFI Core Kit]],Table_NFI[NFI Core Kit])</f>
        <v>0</v>
      </c>
      <c r="AA871" s="378">
        <f>IF(NFI_Expiration=1,IF($A871&lt;VLOOKUP(J$5,NFI,5,0),1,0)*Table_NFI[[#This Row],[Sanitary Kit]],Table_NFI[Sanitary Kit])</f>
        <v>0</v>
      </c>
      <c r="AB871" s="378">
        <f>IF(NFI_Expiration=1,IF($A871&lt;VLOOKUP(K$5,NFI,5,0),1,0)*Table_NFI[[#This Row],[Mosquito net]],Table_NFI[Mosquito net])</f>
        <v>0</v>
      </c>
      <c r="AC871" s="378">
        <f>IF(NFI_Expiration=1,IF($A871&lt;VLOOKUP(L$5,NFI,5,0),1,0)*Table_NFI[[#This Row],[Tarpaulin]],Table_NFI[[#This Row],[Tarpaulin]])</f>
        <v>0</v>
      </c>
      <c r="AD871" s="378">
        <f>IF(NFI_Expiration=1,IF($A871&lt;VLOOKUP(M$5,NFI,5,0),1,0)*Table_NFI[[#This Row],[Blanket]],Table_NFI[[#This Row],[Blanket]])</f>
        <v>0</v>
      </c>
      <c r="AE871" s="378">
        <f>IF(NFI_Expiration=1,IF($A871&lt;VLOOKUP(N$5,NFI,5,0),1,0)*Table_NFI[[#This Row],[Kitchen Set]],Table_NFI[Kitchen Set])</f>
        <v>0</v>
      </c>
      <c r="AF871" s="378">
        <f>IF(NFI_Expiration=1,IF($A871&lt;VLOOKUP(O$5,NFI,5,0),1,0)*Table_NFI[[#This Row],[Clothes Kit]],Table_NFI[Clothes Kit])</f>
        <v>0</v>
      </c>
      <c r="AG871" s="378">
        <f>IF(NFI_Expiration=1,IF($A871&lt;VLOOKUP(P$5,NFI,5,0),1,0)*Table_NFI[[#This Row],[Plastic Bucket]],Table_NFI[Plastic Bucket])</f>
        <v>0</v>
      </c>
      <c r="AH871" s="378">
        <f>IF(NFI_Expiration=1,IF($A871&lt;VLOOKUP(Q$5,NFI,5,0),1,0)*Table_NFI[[#This Row],[Plastic Mat]],Table_NFI[Plastic Mat])*IF(Table_NFI[[#This Row],[Distribution Date]]&gt;"2014-04-01",1,2.5)</f>
        <v>0</v>
      </c>
      <c r="AI871" s="378">
        <f>IF(NFI_Expiration=1,IF($A871&lt;VLOOKUP(R$5,NFI,5,0),1,0)*Table_NFI[[#This Row],[Winter Clothes Adult]],Table_NFI[Winter Clothes Adult])</f>
        <v>0</v>
      </c>
      <c r="AJ871" s="378">
        <f>IF(NFI_Expiration=1,IF($A871&lt;VLOOKUP(S$5,NFI,5,0),1,0)*Table_NFI[[#This Row],[Winter Clothes Children]],Table_NFI[Winter Clothes Children])</f>
        <v>0</v>
      </c>
      <c r="AK871" s="378">
        <f>IF(NFI_Expiration=1,IF($A871&lt;VLOOKUP(T$5,NFI,5,0),1,0)*Table_NFI[[#This Row],[Winter Items Other]],Table_NFI[Winter Items Other])</f>
        <v>0</v>
      </c>
      <c r="AL871" s="378">
        <f>IF(NFI_Expiration=1,IF($A871&lt;VLOOKUP(M$5,NFI,5,0),1,0)*Table_NFI[[#This Row],[Winter Blanket]],Table_NFI[[#This Row],[Winter Blanket]])</f>
        <v>0</v>
      </c>
      <c r="AM871" s="378">
        <f>IF(Table_NFI[[#This Row],[Winter Clothes Adult]]+Table_NFI[[#This Row],[Winter Clothes Children]]+Table_NFI[[#This Row],[Winter Items Other]]+Table_NFI[[#This Row],[Winter Blanket]]&gt;0,1,0)</f>
        <v>0</v>
      </c>
      <c r="AN871" s="418">
        <f>IF(NFI_Expiration=1,IF($A871&lt;VLOOKUP(V$5,NFI,5,0),1,0)*Table_NFI[[#This Row],[Jerry Can]],Table_NFI[Jerry Can])</f>
        <v>0</v>
      </c>
      <c r="AO871" s="579" t="str">
        <f>IFERROR(VLOOKUP(Table_NFI[[#This Row],[Camp Name]],CL,2,0),"")</f>
        <v>MMR001CMP038</v>
      </c>
      <c r="AP871" s="574">
        <f ca="1">IF(Table_NFI[[#This Row],[Pcode]]="","",IF(OFFSET(CampList[Opening Date],MATCH(Table_NFI[[#This Row],[Pcode]],CampList[CP_Pcode],0)-1,0,1,1)&gt;=NFI_Monitor_Date,1,0))</f>
        <v>0</v>
      </c>
      <c r="AQ871" s="579" t="str">
        <f>IFERROR(VLOOKUP(Table_NFI[[#This Row],[Camp Name]],CL,3,0),"")</f>
        <v>Open</v>
      </c>
      <c r="AR871" s="378" t="str">
        <f ca="1">IF(Table_NFI[[#This Row],[Pcode]]="","",OFFSET(CampList[Priority],MATCH(Table_NFI[[#This Row],[Pcode]],CampList[CP_Pcode],0)-1,0,1,1))</f>
        <v>P4</v>
      </c>
      <c r="AS871" s="377">
        <f>IFERROR(Table_NFI[[#This Row],[Kitchen Set]]/VLOOKUP(Table_NFI[[#This Row],[Camp Name]],CL,4,0),"")</f>
        <v>0.21428571428571427</v>
      </c>
      <c r="AT871" s="572" t="s">
        <v>1095</v>
      </c>
      <c r="AU871" s="575"/>
    </row>
    <row r="872" spans="1:47" s="576" customFormat="1" ht="14.45" customHeight="1" x14ac:dyDescent="0.25">
      <c r="A872" s="381">
        <f t="shared" si="13"/>
        <v>53.6</v>
      </c>
      <c r="B872" s="571">
        <v>40914</v>
      </c>
      <c r="C872" s="572" t="s">
        <v>454</v>
      </c>
      <c r="D872" s="573" t="s">
        <v>454</v>
      </c>
      <c r="E872" s="572" t="s">
        <v>380</v>
      </c>
      <c r="F872" s="374" t="s">
        <v>310</v>
      </c>
      <c r="G872" s="374" t="s">
        <v>316</v>
      </c>
      <c r="H872" s="375"/>
      <c r="I872" s="375"/>
      <c r="J872" s="375"/>
      <c r="K872" s="375">
        <v>29</v>
      </c>
      <c r="L872" s="376">
        <v>14</v>
      </c>
      <c r="M872" s="376">
        <v>29</v>
      </c>
      <c r="N872" s="376">
        <v>14</v>
      </c>
      <c r="O872" s="376">
        <v>14</v>
      </c>
      <c r="P872" s="378">
        <v>14</v>
      </c>
      <c r="Q872" s="378">
        <v>14</v>
      </c>
      <c r="R872" s="378"/>
      <c r="S872" s="378"/>
      <c r="T872" s="378"/>
      <c r="U872" s="378"/>
      <c r="V872" s="533"/>
      <c r="W872" s="378"/>
      <c r="X872" s="378"/>
      <c r="Y872" s="378">
        <f>IF(NFI_Expiration=1,IF($A872&lt;VLOOKUP(H$5,NFI,5,0),1,0)*Table_NFI[[#This Row],[Hygiene Kit]],Table_NFI[Hygiene Kit])</f>
        <v>0</v>
      </c>
      <c r="Z872" s="378">
        <f>IF(NFI_Expiration=1,IF($A872&lt;VLOOKUP(I$5,NFI,5,0),1,0)*Table_NFI[[#This Row],[NFI Core Kit]],Table_NFI[NFI Core Kit])</f>
        <v>0</v>
      </c>
      <c r="AA872" s="378">
        <f>IF(NFI_Expiration=1,IF($A872&lt;VLOOKUP(J$5,NFI,5,0),1,0)*Table_NFI[[#This Row],[Sanitary Kit]],Table_NFI[Sanitary Kit])</f>
        <v>0</v>
      </c>
      <c r="AB872" s="378">
        <f>IF(NFI_Expiration=1,IF($A872&lt;VLOOKUP(K$5,NFI,5,0),1,0)*Table_NFI[[#This Row],[Mosquito net]],Table_NFI[Mosquito net])</f>
        <v>0</v>
      </c>
      <c r="AC872" s="378">
        <f>IF(NFI_Expiration=1,IF($A872&lt;VLOOKUP(L$5,NFI,5,0),1,0)*Table_NFI[[#This Row],[Tarpaulin]],Table_NFI[[#This Row],[Tarpaulin]])</f>
        <v>0</v>
      </c>
      <c r="AD872" s="378">
        <f>IF(NFI_Expiration=1,IF($A872&lt;VLOOKUP(M$5,NFI,5,0),1,0)*Table_NFI[[#This Row],[Blanket]],Table_NFI[[#This Row],[Blanket]])</f>
        <v>0</v>
      </c>
      <c r="AE872" s="378">
        <f>IF(NFI_Expiration=1,IF($A872&lt;VLOOKUP(N$5,NFI,5,0),1,0)*Table_NFI[[#This Row],[Kitchen Set]],Table_NFI[Kitchen Set])</f>
        <v>0</v>
      </c>
      <c r="AF872" s="378">
        <f>IF(NFI_Expiration=1,IF($A872&lt;VLOOKUP(O$5,NFI,5,0),1,0)*Table_NFI[[#This Row],[Clothes Kit]],Table_NFI[Clothes Kit])</f>
        <v>0</v>
      </c>
      <c r="AG872" s="378">
        <f>IF(NFI_Expiration=1,IF($A872&lt;VLOOKUP(P$5,NFI,5,0),1,0)*Table_NFI[[#This Row],[Plastic Bucket]],Table_NFI[Plastic Bucket])</f>
        <v>0</v>
      </c>
      <c r="AH872" s="378">
        <f>IF(NFI_Expiration=1,IF($A872&lt;VLOOKUP(Q$5,NFI,5,0),1,0)*Table_NFI[[#This Row],[Plastic Mat]],Table_NFI[Plastic Mat])*IF(Table_NFI[[#This Row],[Distribution Date]]&gt;"2014-04-01",1,2.5)</f>
        <v>0</v>
      </c>
      <c r="AI872" s="378">
        <f>IF(NFI_Expiration=1,IF($A872&lt;VLOOKUP(R$5,NFI,5,0),1,0)*Table_NFI[[#This Row],[Winter Clothes Adult]],Table_NFI[Winter Clothes Adult])</f>
        <v>0</v>
      </c>
      <c r="AJ872" s="378">
        <f>IF(NFI_Expiration=1,IF($A872&lt;VLOOKUP(S$5,NFI,5,0),1,0)*Table_NFI[[#This Row],[Winter Clothes Children]],Table_NFI[Winter Clothes Children])</f>
        <v>0</v>
      </c>
      <c r="AK872" s="378">
        <f>IF(NFI_Expiration=1,IF($A872&lt;VLOOKUP(T$5,NFI,5,0),1,0)*Table_NFI[[#This Row],[Winter Items Other]],Table_NFI[Winter Items Other])</f>
        <v>0</v>
      </c>
      <c r="AL872" s="378">
        <f>IF(NFI_Expiration=1,IF($A872&lt;VLOOKUP(M$5,NFI,5,0),1,0)*Table_NFI[[#This Row],[Winter Blanket]],Table_NFI[[#This Row],[Winter Blanket]])</f>
        <v>0</v>
      </c>
      <c r="AM872" s="378">
        <f>IF(Table_NFI[[#This Row],[Winter Clothes Adult]]+Table_NFI[[#This Row],[Winter Clothes Children]]+Table_NFI[[#This Row],[Winter Items Other]]+Table_NFI[[#This Row],[Winter Blanket]]&gt;0,1,0)</f>
        <v>0</v>
      </c>
      <c r="AN872" s="418">
        <f>IF(NFI_Expiration=1,IF($A872&lt;VLOOKUP(V$5,NFI,5,0),1,0)*Table_NFI[[#This Row],[Jerry Can]],Table_NFI[Jerry Can])</f>
        <v>0</v>
      </c>
      <c r="AO872" s="579" t="str">
        <f>IFERROR(VLOOKUP(Table_NFI[[#This Row],[Camp Name]],CL,2,0),"")</f>
        <v>MMR001CMP038</v>
      </c>
      <c r="AP872" s="574">
        <f ca="1">IF(Table_NFI[[#This Row],[Pcode]]="","",IF(OFFSET(CampList[Opening Date],MATCH(Table_NFI[[#This Row],[Pcode]],CampList[CP_Pcode],0)-1,0,1,1)&gt;=NFI_Monitor_Date,1,0))</f>
        <v>0</v>
      </c>
      <c r="AQ872" s="579" t="str">
        <f>IFERROR(VLOOKUP(Table_NFI[[#This Row],[Camp Name]],CL,3,0),"")</f>
        <v>Open</v>
      </c>
      <c r="AR872" s="378" t="str">
        <f ca="1">IF(Table_NFI[[#This Row],[Pcode]]="","",OFFSET(CampList[Priority],MATCH(Table_NFI[[#This Row],[Pcode]],CampList[CP_Pcode],0)-1,0,1,1))</f>
        <v>P4</v>
      </c>
      <c r="AS872" s="377">
        <f>IFERROR(Table_NFI[[#This Row],[Kitchen Set]]/VLOOKUP(Table_NFI[[#This Row],[Camp Name]],CL,4,0),"")</f>
        <v>0.2</v>
      </c>
      <c r="AT872" s="572" t="s">
        <v>1095</v>
      </c>
      <c r="AU872" s="575"/>
    </row>
    <row r="873" spans="1:47" s="576" customFormat="1" ht="14.45" customHeight="1" x14ac:dyDescent="0.25">
      <c r="A873" s="381">
        <f t="shared" si="13"/>
        <v>40.56666666666667</v>
      </c>
      <c r="B873" s="571">
        <v>41305</v>
      </c>
      <c r="C873" s="572" t="s">
        <v>571</v>
      </c>
      <c r="D873" s="573" t="s">
        <v>571</v>
      </c>
      <c r="E873" s="572" t="s">
        <v>380</v>
      </c>
      <c r="F873" s="572" t="s">
        <v>310</v>
      </c>
      <c r="G873" s="374" t="s">
        <v>311</v>
      </c>
      <c r="H873" s="375"/>
      <c r="I873" s="375"/>
      <c r="J873" s="375"/>
      <c r="K873" s="375"/>
      <c r="L873" s="376"/>
      <c r="M873" s="376">
        <v>224</v>
      </c>
      <c r="N873" s="376"/>
      <c r="O873" s="376"/>
      <c r="P873" s="378">
        <v>0</v>
      </c>
      <c r="Q873" s="378">
        <v>0</v>
      </c>
      <c r="R873" s="378"/>
      <c r="S873" s="378"/>
      <c r="T873" s="378"/>
      <c r="U873" s="378"/>
      <c r="V873" s="533"/>
      <c r="W873" s="378"/>
      <c r="X873" s="378"/>
      <c r="Y873" s="378">
        <f>IF(NFI_Expiration=1,IF($A873&lt;VLOOKUP(H$5,NFI,5,0),1,0)*Table_NFI[[#This Row],[Hygiene Kit]],Table_NFI[Hygiene Kit])</f>
        <v>0</v>
      </c>
      <c r="Z873" s="378">
        <f>IF(NFI_Expiration=1,IF($A873&lt;VLOOKUP(I$5,NFI,5,0),1,0)*Table_NFI[[#This Row],[NFI Core Kit]],Table_NFI[NFI Core Kit])</f>
        <v>0</v>
      </c>
      <c r="AA873" s="378">
        <f>IF(NFI_Expiration=1,IF($A873&lt;VLOOKUP(J$5,NFI,5,0),1,0)*Table_NFI[[#This Row],[Sanitary Kit]],Table_NFI[Sanitary Kit])</f>
        <v>0</v>
      </c>
      <c r="AB873" s="378">
        <f>IF(NFI_Expiration=1,IF($A873&lt;VLOOKUP(K$5,NFI,5,0),1,0)*Table_NFI[[#This Row],[Mosquito net]],Table_NFI[Mosquito net])</f>
        <v>0</v>
      </c>
      <c r="AC873" s="378">
        <f>IF(NFI_Expiration=1,IF($A873&lt;VLOOKUP(L$5,NFI,5,0),1,0)*Table_NFI[[#This Row],[Tarpaulin]],Table_NFI[[#This Row],[Tarpaulin]])</f>
        <v>0</v>
      </c>
      <c r="AD873" s="378">
        <f>IF(NFI_Expiration=1,IF($A873&lt;VLOOKUP(M$5,NFI,5,0),1,0)*Table_NFI[[#This Row],[Blanket]],Table_NFI[[#This Row],[Blanket]])</f>
        <v>0</v>
      </c>
      <c r="AE873" s="378">
        <f>IF(NFI_Expiration=1,IF($A873&lt;VLOOKUP(N$5,NFI,5,0),1,0)*Table_NFI[[#This Row],[Kitchen Set]],Table_NFI[Kitchen Set])</f>
        <v>0</v>
      </c>
      <c r="AF873" s="378">
        <f>IF(NFI_Expiration=1,IF($A873&lt;VLOOKUP(O$5,NFI,5,0),1,0)*Table_NFI[[#This Row],[Clothes Kit]],Table_NFI[Clothes Kit])</f>
        <v>0</v>
      </c>
      <c r="AG873" s="378">
        <f>IF(NFI_Expiration=1,IF($A873&lt;VLOOKUP(P$5,NFI,5,0),1,0)*Table_NFI[[#This Row],[Plastic Bucket]],Table_NFI[Plastic Bucket])</f>
        <v>0</v>
      </c>
      <c r="AH873" s="378">
        <f>IF(NFI_Expiration=1,IF($A873&lt;VLOOKUP(Q$5,NFI,5,0),1,0)*Table_NFI[[#This Row],[Plastic Mat]],Table_NFI[Plastic Mat])*IF(Table_NFI[[#This Row],[Distribution Date]]&gt;"2014-04-01",1,2.5)</f>
        <v>0</v>
      </c>
      <c r="AI873" s="378">
        <f>IF(NFI_Expiration=1,IF($A873&lt;VLOOKUP(R$5,NFI,5,0),1,0)*Table_NFI[[#This Row],[Winter Clothes Adult]],Table_NFI[Winter Clothes Adult])</f>
        <v>0</v>
      </c>
      <c r="AJ873" s="378">
        <f>IF(NFI_Expiration=1,IF($A873&lt;VLOOKUP(S$5,NFI,5,0),1,0)*Table_NFI[[#This Row],[Winter Clothes Children]],Table_NFI[Winter Clothes Children])</f>
        <v>0</v>
      </c>
      <c r="AK873" s="378">
        <f>IF(NFI_Expiration=1,IF($A873&lt;VLOOKUP(T$5,NFI,5,0),1,0)*Table_NFI[[#This Row],[Winter Items Other]],Table_NFI[Winter Items Other])</f>
        <v>0</v>
      </c>
      <c r="AL873" s="378">
        <f>IF(NFI_Expiration=1,IF($A873&lt;VLOOKUP(M$5,NFI,5,0),1,0)*Table_NFI[[#This Row],[Winter Blanket]],Table_NFI[[#This Row],[Winter Blanket]])</f>
        <v>0</v>
      </c>
      <c r="AM873" s="378">
        <f>IF(Table_NFI[[#This Row],[Winter Clothes Adult]]+Table_NFI[[#This Row],[Winter Clothes Children]]+Table_NFI[[#This Row],[Winter Items Other]]+Table_NFI[[#This Row],[Winter Blanket]]&gt;0,1,0)</f>
        <v>0</v>
      </c>
      <c r="AN873" s="418">
        <f>IF(NFI_Expiration=1,IF($A873&lt;VLOOKUP(V$5,NFI,5,0),1,0)*Table_NFI[[#This Row],[Jerry Can]],Table_NFI[Jerry Can])</f>
        <v>0</v>
      </c>
      <c r="AO873" s="579" t="str">
        <f>IFERROR(VLOOKUP(Table_NFI[[#This Row],[Camp Name]],CL,2,0),"")</f>
        <v>MMR001CMP036</v>
      </c>
      <c r="AP873" s="574">
        <f ca="1">IF(Table_NFI[[#This Row],[Pcode]]="","",IF(OFFSET(CampList[Opening Date],MATCH(Table_NFI[[#This Row],[Pcode]],CampList[CP_Pcode],0)-1,0,1,1)&gt;=NFI_Monitor_Date,1,0))</f>
        <v>0</v>
      </c>
      <c r="AQ873" s="579" t="str">
        <f>IFERROR(VLOOKUP(Table_NFI[[#This Row],[Camp Name]],CL,3,0),"")</f>
        <v>Closed</v>
      </c>
      <c r="AR873" s="378" t="str">
        <f ca="1">IF(Table_NFI[[#This Row],[Pcode]]="","",OFFSET(CampList[Priority],MATCH(Table_NFI[[#This Row],[Pcode]],CampList[CP_Pcode],0)-1,0,1,1))</f>
        <v>P4</v>
      </c>
      <c r="AS873" s="377" t="str">
        <f>IFERROR(Table_NFI[[#This Row],[Kitchen Set]]/VLOOKUP(Table_NFI[[#This Row],[Camp Name]],CL,4,0),"")</f>
        <v/>
      </c>
      <c r="AT873" s="572" t="s">
        <v>1095</v>
      </c>
      <c r="AU873" s="575"/>
    </row>
    <row r="874" spans="1:47" s="576" customFormat="1" ht="14.45" customHeight="1" x14ac:dyDescent="0.25">
      <c r="A874" s="381">
        <f t="shared" si="13"/>
        <v>47.3</v>
      </c>
      <c r="B874" s="571">
        <v>41103</v>
      </c>
      <c r="C874" s="572" t="s">
        <v>454</v>
      </c>
      <c r="D874" s="573" t="s">
        <v>454</v>
      </c>
      <c r="E874" s="572" t="s">
        <v>380</v>
      </c>
      <c r="F874" s="374" t="s">
        <v>310</v>
      </c>
      <c r="G874" s="374" t="s">
        <v>311</v>
      </c>
      <c r="H874" s="375"/>
      <c r="I874" s="375"/>
      <c r="J874" s="375"/>
      <c r="K874" s="375">
        <v>2</v>
      </c>
      <c r="L874" s="376">
        <v>2</v>
      </c>
      <c r="M874" s="376">
        <v>2</v>
      </c>
      <c r="N874" s="376">
        <v>2</v>
      </c>
      <c r="O874" s="376">
        <v>2</v>
      </c>
      <c r="P874" s="378">
        <v>2</v>
      </c>
      <c r="Q874" s="378">
        <v>2</v>
      </c>
      <c r="R874" s="378"/>
      <c r="S874" s="378"/>
      <c r="T874" s="378"/>
      <c r="U874" s="378"/>
      <c r="V874" s="533"/>
      <c r="W874" s="378"/>
      <c r="X874" s="378"/>
      <c r="Y874" s="378">
        <f>IF(NFI_Expiration=1,IF($A874&lt;VLOOKUP(H$5,NFI,5,0),1,0)*Table_NFI[[#This Row],[Hygiene Kit]],Table_NFI[Hygiene Kit])</f>
        <v>0</v>
      </c>
      <c r="Z874" s="378">
        <f>IF(NFI_Expiration=1,IF($A874&lt;VLOOKUP(I$5,NFI,5,0),1,0)*Table_NFI[[#This Row],[NFI Core Kit]],Table_NFI[NFI Core Kit])</f>
        <v>0</v>
      </c>
      <c r="AA874" s="378">
        <f>IF(NFI_Expiration=1,IF($A874&lt;VLOOKUP(J$5,NFI,5,0),1,0)*Table_NFI[[#This Row],[Sanitary Kit]],Table_NFI[Sanitary Kit])</f>
        <v>0</v>
      </c>
      <c r="AB874" s="378">
        <f>IF(NFI_Expiration=1,IF($A874&lt;VLOOKUP(K$5,NFI,5,0),1,0)*Table_NFI[[#This Row],[Mosquito net]],Table_NFI[Mosquito net])</f>
        <v>0</v>
      </c>
      <c r="AC874" s="378">
        <f>IF(NFI_Expiration=1,IF($A874&lt;VLOOKUP(L$5,NFI,5,0),1,0)*Table_NFI[[#This Row],[Tarpaulin]],Table_NFI[[#This Row],[Tarpaulin]])</f>
        <v>0</v>
      </c>
      <c r="AD874" s="378">
        <f>IF(NFI_Expiration=1,IF($A874&lt;VLOOKUP(M$5,NFI,5,0),1,0)*Table_NFI[[#This Row],[Blanket]],Table_NFI[[#This Row],[Blanket]])</f>
        <v>0</v>
      </c>
      <c r="AE874" s="378">
        <f>IF(NFI_Expiration=1,IF($A874&lt;VLOOKUP(N$5,NFI,5,0),1,0)*Table_NFI[[#This Row],[Kitchen Set]],Table_NFI[Kitchen Set])</f>
        <v>0</v>
      </c>
      <c r="AF874" s="378">
        <f>IF(NFI_Expiration=1,IF($A874&lt;VLOOKUP(O$5,NFI,5,0),1,0)*Table_NFI[[#This Row],[Clothes Kit]],Table_NFI[Clothes Kit])</f>
        <v>0</v>
      </c>
      <c r="AG874" s="378">
        <f>IF(NFI_Expiration=1,IF($A874&lt;VLOOKUP(P$5,NFI,5,0),1,0)*Table_NFI[[#This Row],[Plastic Bucket]],Table_NFI[Plastic Bucket])</f>
        <v>0</v>
      </c>
      <c r="AH874" s="378">
        <f>IF(NFI_Expiration=1,IF($A874&lt;VLOOKUP(Q$5,NFI,5,0),1,0)*Table_NFI[[#This Row],[Plastic Mat]],Table_NFI[Plastic Mat])*IF(Table_NFI[[#This Row],[Distribution Date]]&gt;"2014-04-01",1,2.5)</f>
        <v>0</v>
      </c>
      <c r="AI874" s="378">
        <f>IF(NFI_Expiration=1,IF($A874&lt;VLOOKUP(R$5,NFI,5,0),1,0)*Table_NFI[[#This Row],[Winter Clothes Adult]],Table_NFI[Winter Clothes Adult])</f>
        <v>0</v>
      </c>
      <c r="AJ874" s="378">
        <f>IF(NFI_Expiration=1,IF($A874&lt;VLOOKUP(S$5,NFI,5,0),1,0)*Table_NFI[[#This Row],[Winter Clothes Children]],Table_NFI[Winter Clothes Children])</f>
        <v>0</v>
      </c>
      <c r="AK874" s="378">
        <f>IF(NFI_Expiration=1,IF($A874&lt;VLOOKUP(T$5,NFI,5,0),1,0)*Table_NFI[[#This Row],[Winter Items Other]],Table_NFI[Winter Items Other])</f>
        <v>0</v>
      </c>
      <c r="AL874" s="378">
        <f>IF(NFI_Expiration=1,IF($A874&lt;VLOOKUP(M$5,NFI,5,0),1,0)*Table_NFI[[#This Row],[Winter Blanket]],Table_NFI[[#This Row],[Winter Blanket]])</f>
        <v>0</v>
      </c>
      <c r="AM874" s="378">
        <f>IF(Table_NFI[[#This Row],[Winter Clothes Adult]]+Table_NFI[[#This Row],[Winter Clothes Children]]+Table_NFI[[#This Row],[Winter Items Other]]+Table_NFI[[#This Row],[Winter Blanket]]&gt;0,1,0)</f>
        <v>0</v>
      </c>
      <c r="AN874" s="418">
        <f>IF(NFI_Expiration=1,IF($A874&lt;VLOOKUP(V$5,NFI,5,0),1,0)*Table_NFI[[#This Row],[Jerry Can]],Table_NFI[Jerry Can])</f>
        <v>0</v>
      </c>
      <c r="AO874" s="579" t="str">
        <f>IFERROR(VLOOKUP(Table_NFI[[#This Row],[Camp Name]],CL,2,0),"")</f>
        <v>MMR001CMP036</v>
      </c>
      <c r="AP874" s="574">
        <f ca="1">IF(Table_NFI[[#This Row],[Pcode]]="","",IF(OFFSET(CampList[Opening Date],MATCH(Table_NFI[[#This Row],[Pcode]],CampList[CP_Pcode],0)-1,0,1,1)&gt;=NFI_Monitor_Date,1,0))</f>
        <v>0</v>
      </c>
      <c r="AQ874" s="579" t="str">
        <f>IFERROR(VLOOKUP(Table_NFI[[#This Row],[Camp Name]],CL,3,0),"")</f>
        <v>Closed</v>
      </c>
      <c r="AR874" s="378" t="str">
        <f ca="1">IF(Table_NFI[[#This Row],[Pcode]]="","",OFFSET(CampList[Priority],MATCH(Table_NFI[[#This Row],[Pcode]],CampList[CP_Pcode],0)-1,0,1,1))</f>
        <v>P4</v>
      </c>
      <c r="AS874" s="377" t="str">
        <f>IFERROR(Table_NFI[[#This Row],[Kitchen Set]]/VLOOKUP(Table_NFI[[#This Row],[Camp Name]],CL,4,0),"")</f>
        <v/>
      </c>
      <c r="AT874" s="572" t="s">
        <v>1095</v>
      </c>
      <c r="AU874" s="575"/>
    </row>
    <row r="875" spans="1:47" s="576" customFormat="1" ht="14.45" customHeight="1" x14ac:dyDescent="0.25">
      <c r="A875" s="381">
        <f t="shared" si="13"/>
        <v>48.06666666666667</v>
      </c>
      <c r="B875" s="571">
        <v>41080</v>
      </c>
      <c r="C875" s="572" t="s">
        <v>454</v>
      </c>
      <c r="D875" s="573" t="s">
        <v>454</v>
      </c>
      <c r="E875" s="572" t="s">
        <v>380</v>
      </c>
      <c r="F875" s="374" t="s">
        <v>310</v>
      </c>
      <c r="G875" s="374" t="s">
        <v>311</v>
      </c>
      <c r="H875" s="375"/>
      <c r="I875" s="375"/>
      <c r="J875" s="375"/>
      <c r="K875" s="375">
        <v>141</v>
      </c>
      <c r="L875" s="376">
        <v>81</v>
      </c>
      <c r="M875" s="376">
        <v>148</v>
      </c>
      <c r="N875" s="376">
        <v>84</v>
      </c>
      <c r="O875" s="376">
        <v>78</v>
      </c>
      <c r="P875" s="378">
        <v>78</v>
      </c>
      <c r="Q875" s="378">
        <v>78</v>
      </c>
      <c r="R875" s="378"/>
      <c r="S875" s="378"/>
      <c r="T875" s="378"/>
      <c r="U875" s="378"/>
      <c r="V875" s="533"/>
      <c r="W875" s="378"/>
      <c r="X875" s="378"/>
      <c r="Y875" s="378">
        <f>IF(NFI_Expiration=1,IF($A875&lt;VLOOKUP(H$5,NFI,5,0),1,0)*Table_NFI[[#This Row],[Hygiene Kit]],Table_NFI[Hygiene Kit])</f>
        <v>0</v>
      </c>
      <c r="Z875" s="378">
        <f>IF(NFI_Expiration=1,IF($A875&lt;VLOOKUP(I$5,NFI,5,0),1,0)*Table_NFI[[#This Row],[NFI Core Kit]],Table_NFI[NFI Core Kit])</f>
        <v>0</v>
      </c>
      <c r="AA875" s="378">
        <f>IF(NFI_Expiration=1,IF($A875&lt;VLOOKUP(J$5,NFI,5,0),1,0)*Table_NFI[[#This Row],[Sanitary Kit]],Table_NFI[Sanitary Kit])</f>
        <v>0</v>
      </c>
      <c r="AB875" s="378">
        <f>IF(NFI_Expiration=1,IF($A875&lt;VLOOKUP(K$5,NFI,5,0),1,0)*Table_NFI[[#This Row],[Mosquito net]],Table_NFI[Mosquito net])</f>
        <v>0</v>
      </c>
      <c r="AC875" s="378">
        <f>IF(NFI_Expiration=1,IF($A875&lt;VLOOKUP(L$5,NFI,5,0),1,0)*Table_NFI[[#This Row],[Tarpaulin]],Table_NFI[[#This Row],[Tarpaulin]])</f>
        <v>0</v>
      </c>
      <c r="AD875" s="378">
        <f>IF(NFI_Expiration=1,IF($A875&lt;VLOOKUP(M$5,NFI,5,0),1,0)*Table_NFI[[#This Row],[Blanket]],Table_NFI[[#This Row],[Blanket]])</f>
        <v>0</v>
      </c>
      <c r="AE875" s="378">
        <f>IF(NFI_Expiration=1,IF($A875&lt;VLOOKUP(N$5,NFI,5,0),1,0)*Table_NFI[[#This Row],[Kitchen Set]],Table_NFI[Kitchen Set])</f>
        <v>0</v>
      </c>
      <c r="AF875" s="378">
        <f>IF(NFI_Expiration=1,IF($A875&lt;VLOOKUP(O$5,NFI,5,0),1,0)*Table_NFI[[#This Row],[Clothes Kit]],Table_NFI[Clothes Kit])</f>
        <v>0</v>
      </c>
      <c r="AG875" s="378">
        <f>IF(NFI_Expiration=1,IF($A875&lt;VLOOKUP(P$5,NFI,5,0),1,0)*Table_NFI[[#This Row],[Plastic Bucket]],Table_NFI[Plastic Bucket])</f>
        <v>0</v>
      </c>
      <c r="AH875" s="378">
        <f>IF(NFI_Expiration=1,IF($A875&lt;VLOOKUP(Q$5,NFI,5,0),1,0)*Table_NFI[[#This Row],[Plastic Mat]],Table_NFI[Plastic Mat])*IF(Table_NFI[[#This Row],[Distribution Date]]&gt;"2014-04-01",1,2.5)</f>
        <v>0</v>
      </c>
      <c r="AI875" s="378">
        <f>IF(NFI_Expiration=1,IF($A875&lt;VLOOKUP(R$5,NFI,5,0),1,0)*Table_NFI[[#This Row],[Winter Clothes Adult]],Table_NFI[Winter Clothes Adult])</f>
        <v>0</v>
      </c>
      <c r="AJ875" s="378">
        <f>IF(NFI_Expiration=1,IF($A875&lt;VLOOKUP(S$5,NFI,5,0),1,0)*Table_NFI[[#This Row],[Winter Clothes Children]],Table_NFI[Winter Clothes Children])</f>
        <v>0</v>
      </c>
      <c r="AK875" s="378">
        <f>IF(NFI_Expiration=1,IF($A875&lt;VLOOKUP(T$5,NFI,5,0),1,0)*Table_NFI[[#This Row],[Winter Items Other]],Table_NFI[Winter Items Other])</f>
        <v>0</v>
      </c>
      <c r="AL875" s="378">
        <f>IF(NFI_Expiration=1,IF($A875&lt;VLOOKUP(M$5,NFI,5,0),1,0)*Table_NFI[[#This Row],[Winter Blanket]],Table_NFI[[#This Row],[Winter Blanket]])</f>
        <v>0</v>
      </c>
      <c r="AM875" s="378">
        <f>IF(Table_NFI[[#This Row],[Winter Clothes Adult]]+Table_NFI[[#This Row],[Winter Clothes Children]]+Table_NFI[[#This Row],[Winter Items Other]]+Table_NFI[[#This Row],[Winter Blanket]]&gt;0,1,0)</f>
        <v>0</v>
      </c>
      <c r="AN875" s="418">
        <f>IF(NFI_Expiration=1,IF($A875&lt;VLOOKUP(V$5,NFI,5,0),1,0)*Table_NFI[[#This Row],[Jerry Can]],Table_NFI[Jerry Can])</f>
        <v>0</v>
      </c>
      <c r="AO875" s="579" t="str">
        <f>IFERROR(VLOOKUP(Table_NFI[[#This Row],[Camp Name]],CL,2,0),"")</f>
        <v>MMR001CMP036</v>
      </c>
      <c r="AP875" s="574">
        <f ca="1">IF(Table_NFI[[#This Row],[Pcode]]="","",IF(OFFSET(CampList[Opening Date],MATCH(Table_NFI[[#This Row],[Pcode]],CampList[CP_Pcode],0)-1,0,1,1)&gt;=NFI_Monitor_Date,1,0))</f>
        <v>0</v>
      </c>
      <c r="AQ875" s="579" t="str">
        <f>IFERROR(VLOOKUP(Table_NFI[[#This Row],[Camp Name]],CL,3,0),"")</f>
        <v>Closed</v>
      </c>
      <c r="AR875" s="378" t="str">
        <f ca="1">IF(Table_NFI[[#This Row],[Pcode]]="","",OFFSET(CampList[Priority],MATCH(Table_NFI[[#This Row],[Pcode]],CampList[CP_Pcode],0)-1,0,1,1))</f>
        <v>P4</v>
      </c>
      <c r="AS875" s="377" t="str">
        <f>IFERROR(Table_NFI[[#This Row],[Kitchen Set]]/VLOOKUP(Table_NFI[[#This Row],[Camp Name]],CL,4,0),"")</f>
        <v/>
      </c>
      <c r="AT875" s="572" t="s">
        <v>1095</v>
      </c>
      <c r="AU875" s="575"/>
    </row>
    <row r="876" spans="1:47" s="576" customFormat="1" ht="15" customHeight="1" x14ac:dyDescent="0.25">
      <c r="A876" s="381">
        <f t="shared" si="13"/>
        <v>49.466666666666669</v>
      </c>
      <c r="B876" s="571">
        <v>41038</v>
      </c>
      <c r="C876" s="572" t="s">
        <v>454</v>
      </c>
      <c r="D876" s="573" t="s">
        <v>454</v>
      </c>
      <c r="E876" s="572" t="s">
        <v>380</v>
      </c>
      <c r="F876" s="374" t="s">
        <v>310</v>
      </c>
      <c r="G876" s="374" t="s">
        <v>311</v>
      </c>
      <c r="H876" s="375"/>
      <c r="I876" s="375"/>
      <c r="J876" s="375"/>
      <c r="K876" s="375">
        <v>161</v>
      </c>
      <c r="L876" s="376">
        <v>83</v>
      </c>
      <c r="M876" s="376">
        <v>161</v>
      </c>
      <c r="N876" s="376">
        <v>83</v>
      </c>
      <c r="O876" s="376">
        <v>83</v>
      </c>
      <c r="P876" s="378">
        <v>83</v>
      </c>
      <c r="Q876" s="378">
        <v>83</v>
      </c>
      <c r="R876" s="378"/>
      <c r="S876" s="378"/>
      <c r="T876" s="378"/>
      <c r="U876" s="378"/>
      <c r="V876" s="533"/>
      <c r="W876" s="378"/>
      <c r="X876" s="378"/>
      <c r="Y876" s="378">
        <f>IF(NFI_Expiration=1,IF($A876&lt;VLOOKUP(H$5,NFI,5,0),1,0)*Table_NFI[[#This Row],[Hygiene Kit]],Table_NFI[Hygiene Kit])</f>
        <v>0</v>
      </c>
      <c r="Z876" s="378">
        <f>IF(NFI_Expiration=1,IF($A876&lt;VLOOKUP(I$5,NFI,5,0),1,0)*Table_NFI[[#This Row],[NFI Core Kit]],Table_NFI[NFI Core Kit])</f>
        <v>0</v>
      </c>
      <c r="AA876" s="378">
        <f>IF(NFI_Expiration=1,IF($A876&lt;VLOOKUP(J$5,NFI,5,0),1,0)*Table_NFI[[#This Row],[Sanitary Kit]],Table_NFI[Sanitary Kit])</f>
        <v>0</v>
      </c>
      <c r="AB876" s="378">
        <f>IF(NFI_Expiration=1,IF($A876&lt;VLOOKUP(K$5,NFI,5,0),1,0)*Table_NFI[[#This Row],[Mosquito net]],Table_NFI[Mosquito net])</f>
        <v>0</v>
      </c>
      <c r="AC876" s="378">
        <f>IF(NFI_Expiration=1,IF($A876&lt;VLOOKUP(L$5,NFI,5,0),1,0)*Table_NFI[[#This Row],[Tarpaulin]],Table_NFI[[#This Row],[Tarpaulin]])</f>
        <v>0</v>
      </c>
      <c r="AD876" s="378">
        <f>IF(NFI_Expiration=1,IF($A876&lt;VLOOKUP(M$5,NFI,5,0),1,0)*Table_NFI[[#This Row],[Blanket]],Table_NFI[[#This Row],[Blanket]])</f>
        <v>0</v>
      </c>
      <c r="AE876" s="378">
        <f>IF(NFI_Expiration=1,IF($A876&lt;VLOOKUP(N$5,NFI,5,0),1,0)*Table_NFI[[#This Row],[Kitchen Set]],Table_NFI[Kitchen Set])</f>
        <v>0</v>
      </c>
      <c r="AF876" s="378">
        <f>IF(NFI_Expiration=1,IF($A876&lt;VLOOKUP(O$5,NFI,5,0),1,0)*Table_NFI[[#This Row],[Clothes Kit]],Table_NFI[Clothes Kit])</f>
        <v>0</v>
      </c>
      <c r="AG876" s="378">
        <f>IF(NFI_Expiration=1,IF($A876&lt;VLOOKUP(P$5,NFI,5,0),1,0)*Table_NFI[[#This Row],[Plastic Bucket]],Table_NFI[Plastic Bucket])</f>
        <v>0</v>
      </c>
      <c r="AH876" s="378">
        <f>IF(NFI_Expiration=1,IF($A876&lt;VLOOKUP(Q$5,NFI,5,0),1,0)*Table_NFI[[#This Row],[Plastic Mat]],Table_NFI[Plastic Mat])*IF(Table_NFI[[#This Row],[Distribution Date]]&gt;"2014-04-01",1,2.5)</f>
        <v>0</v>
      </c>
      <c r="AI876" s="378">
        <f>IF(NFI_Expiration=1,IF($A876&lt;VLOOKUP(R$5,NFI,5,0),1,0)*Table_NFI[[#This Row],[Winter Clothes Adult]],Table_NFI[Winter Clothes Adult])</f>
        <v>0</v>
      </c>
      <c r="AJ876" s="378">
        <f>IF(NFI_Expiration=1,IF($A876&lt;VLOOKUP(S$5,NFI,5,0),1,0)*Table_NFI[[#This Row],[Winter Clothes Children]],Table_NFI[Winter Clothes Children])</f>
        <v>0</v>
      </c>
      <c r="AK876" s="378">
        <f>IF(NFI_Expiration=1,IF($A876&lt;VLOOKUP(T$5,NFI,5,0),1,0)*Table_NFI[[#This Row],[Winter Items Other]],Table_NFI[Winter Items Other])</f>
        <v>0</v>
      </c>
      <c r="AL876" s="378">
        <f>IF(NFI_Expiration=1,IF($A876&lt;VLOOKUP(M$5,NFI,5,0),1,0)*Table_NFI[[#This Row],[Winter Blanket]],Table_NFI[[#This Row],[Winter Blanket]])</f>
        <v>0</v>
      </c>
      <c r="AM876" s="378">
        <f>IF(Table_NFI[[#This Row],[Winter Clothes Adult]]+Table_NFI[[#This Row],[Winter Clothes Children]]+Table_NFI[[#This Row],[Winter Items Other]]+Table_NFI[[#This Row],[Winter Blanket]]&gt;0,1,0)</f>
        <v>0</v>
      </c>
      <c r="AN876" s="418">
        <f>IF(NFI_Expiration=1,IF($A876&lt;VLOOKUP(V$5,NFI,5,0),1,0)*Table_NFI[[#This Row],[Jerry Can]],Table_NFI[Jerry Can])</f>
        <v>0</v>
      </c>
      <c r="AO876" s="579" t="str">
        <f>IFERROR(VLOOKUP(Table_NFI[[#This Row],[Camp Name]],CL,2,0),"")</f>
        <v>MMR001CMP036</v>
      </c>
      <c r="AP876" s="574">
        <f ca="1">IF(Table_NFI[[#This Row],[Pcode]]="","",IF(OFFSET(CampList[Opening Date],MATCH(Table_NFI[[#This Row],[Pcode]],CampList[CP_Pcode],0)-1,0,1,1)&gt;=NFI_Monitor_Date,1,0))</f>
        <v>0</v>
      </c>
      <c r="AQ876" s="579" t="str">
        <f>IFERROR(VLOOKUP(Table_NFI[[#This Row],[Camp Name]],CL,3,0),"")</f>
        <v>Closed</v>
      </c>
      <c r="AR876" s="378" t="str">
        <f ca="1">IF(Table_NFI[[#This Row],[Pcode]]="","",OFFSET(CampList[Priority],MATCH(Table_NFI[[#This Row],[Pcode]],CampList[CP_Pcode],0)-1,0,1,1))</f>
        <v>P4</v>
      </c>
      <c r="AS876" s="377" t="str">
        <f>IFERROR(Table_NFI[[#This Row],[Kitchen Set]]/VLOOKUP(Table_NFI[[#This Row],[Camp Name]],CL,4,0),"")</f>
        <v/>
      </c>
      <c r="AT876" s="572" t="s">
        <v>1095</v>
      </c>
      <c r="AU876" s="575"/>
    </row>
    <row r="877" spans="1:47" s="576" customFormat="1" x14ac:dyDescent="0.25">
      <c r="A877" s="381">
        <f t="shared" si="13"/>
        <v>37.06666666666667</v>
      </c>
      <c r="B877" s="571">
        <v>41410</v>
      </c>
      <c r="C877" s="572" t="s">
        <v>904</v>
      </c>
      <c r="D877" s="573" t="s">
        <v>508</v>
      </c>
      <c r="E877" s="572" t="s">
        <v>380</v>
      </c>
      <c r="F877" s="374" t="s">
        <v>529</v>
      </c>
      <c r="G877" s="374" t="s">
        <v>64</v>
      </c>
      <c r="H877" s="375">
        <v>103</v>
      </c>
      <c r="I877" s="375"/>
      <c r="J877" s="375"/>
      <c r="K877" s="375"/>
      <c r="L877" s="376"/>
      <c r="M877" s="376"/>
      <c r="N877" s="376"/>
      <c r="O877" s="376"/>
      <c r="P877" s="378"/>
      <c r="Q877" s="378"/>
      <c r="R877" s="378"/>
      <c r="S877" s="378"/>
      <c r="T877" s="378"/>
      <c r="U877" s="378"/>
      <c r="V877" s="533"/>
      <c r="W877" s="378"/>
      <c r="X877" s="378"/>
      <c r="Y877" s="378">
        <f>IF(NFI_Expiration=1,IF($A877&lt;VLOOKUP(H$5,NFI,5,0),1,0)*Table_NFI[[#This Row],[Hygiene Kit]],Table_NFI[Hygiene Kit])</f>
        <v>0</v>
      </c>
      <c r="Z877" s="378">
        <f>IF(NFI_Expiration=1,IF($A877&lt;VLOOKUP(I$5,NFI,5,0),1,0)*Table_NFI[[#This Row],[NFI Core Kit]],Table_NFI[NFI Core Kit])</f>
        <v>0</v>
      </c>
      <c r="AA877" s="378">
        <f>IF(NFI_Expiration=1,IF($A877&lt;VLOOKUP(J$5,NFI,5,0),1,0)*Table_NFI[[#This Row],[Sanitary Kit]],Table_NFI[Sanitary Kit])</f>
        <v>0</v>
      </c>
      <c r="AB877" s="378">
        <f>IF(NFI_Expiration=1,IF($A877&lt;VLOOKUP(K$5,NFI,5,0),1,0)*Table_NFI[[#This Row],[Mosquito net]],Table_NFI[Mosquito net])</f>
        <v>0</v>
      </c>
      <c r="AC877" s="378">
        <f>IF(NFI_Expiration=1,IF($A877&lt;VLOOKUP(L$5,NFI,5,0),1,0)*Table_NFI[[#This Row],[Tarpaulin]],Table_NFI[[#This Row],[Tarpaulin]])</f>
        <v>0</v>
      </c>
      <c r="AD877" s="378">
        <f>IF(NFI_Expiration=1,IF($A877&lt;VLOOKUP(M$5,NFI,5,0),1,0)*Table_NFI[[#This Row],[Blanket]],Table_NFI[[#This Row],[Blanket]])</f>
        <v>0</v>
      </c>
      <c r="AE877" s="378">
        <f>IF(NFI_Expiration=1,IF($A877&lt;VLOOKUP(N$5,NFI,5,0),1,0)*Table_NFI[[#This Row],[Kitchen Set]],Table_NFI[Kitchen Set])</f>
        <v>0</v>
      </c>
      <c r="AF877" s="378">
        <f>IF(NFI_Expiration=1,IF($A877&lt;VLOOKUP(O$5,NFI,5,0),1,0)*Table_NFI[[#This Row],[Clothes Kit]],Table_NFI[Clothes Kit])</f>
        <v>0</v>
      </c>
      <c r="AG877" s="378">
        <f>IF(NFI_Expiration=1,IF($A877&lt;VLOOKUP(P$5,NFI,5,0),1,0)*Table_NFI[[#This Row],[Plastic Bucket]],Table_NFI[Plastic Bucket])</f>
        <v>0</v>
      </c>
      <c r="AH877" s="378">
        <f>IF(NFI_Expiration=1,IF($A877&lt;VLOOKUP(Q$5,NFI,5,0),1,0)*Table_NFI[[#This Row],[Plastic Mat]],Table_NFI[Plastic Mat])*IF(Table_NFI[[#This Row],[Distribution Date]]&gt;"2014-04-01",1,2.5)</f>
        <v>0</v>
      </c>
      <c r="AI877" s="378">
        <f>IF(NFI_Expiration=1,IF($A877&lt;VLOOKUP(R$5,NFI,5,0),1,0)*Table_NFI[[#This Row],[Winter Clothes Adult]],Table_NFI[Winter Clothes Adult])</f>
        <v>0</v>
      </c>
      <c r="AJ877" s="378">
        <f>IF(NFI_Expiration=1,IF($A877&lt;VLOOKUP(S$5,NFI,5,0),1,0)*Table_NFI[[#This Row],[Winter Clothes Children]],Table_NFI[Winter Clothes Children])</f>
        <v>0</v>
      </c>
      <c r="AK877" s="378">
        <f>IF(NFI_Expiration=1,IF($A877&lt;VLOOKUP(T$5,NFI,5,0),1,0)*Table_NFI[[#This Row],[Winter Items Other]],Table_NFI[Winter Items Other])</f>
        <v>0</v>
      </c>
      <c r="AL877" s="378">
        <f>IF(NFI_Expiration=1,IF($A877&lt;VLOOKUP(M$5,NFI,5,0),1,0)*Table_NFI[[#This Row],[Winter Blanket]],Table_NFI[[#This Row],[Winter Blanket]])</f>
        <v>0</v>
      </c>
      <c r="AM877" s="378">
        <f>IF(Table_NFI[[#This Row],[Winter Clothes Adult]]+Table_NFI[[#This Row],[Winter Clothes Children]]+Table_NFI[[#This Row],[Winter Items Other]]+Table_NFI[[#This Row],[Winter Blanket]]&gt;0,1,0)</f>
        <v>0</v>
      </c>
      <c r="AN877" s="418">
        <f>IF(NFI_Expiration=1,IF($A877&lt;VLOOKUP(V$5,NFI,5,0),1,0)*Table_NFI[[#This Row],[Jerry Can]],Table_NFI[Jerry Can])</f>
        <v>0</v>
      </c>
      <c r="AO877" s="579" t="str">
        <f>IFERROR(VLOOKUP(Table_NFI[[#This Row],[Camp Name]],CL,2,0),"")</f>
        <v>MMR001CMP185</v>
      </c>
      <c r="AP877" s="574">
        <f ca="1">IF(Table_NFI[[#This Row],[Pcode]]="","",IF(OFFSET(CampList[Opening Date],MATCH(Table_NFI[[#This Row],[Pcode]],CampList[CP_Pcode],0)-1,0,1,1)&gt;=NFI_Monitor_Date,1,0))</f>
        <v>0</v>
      </c>
      <c r="AQ877" s="579" t="str">
        <f>IFERROR(VLOOKUP(Table_NFI[[#This Row],[Camp Name]],CL,3,0),"")</f>
        <v>Closed</v>
      </c>
      <c r="AR877" s="378" t="str">
        <f ca="1">IF(Table_NFI[[#This Row],[Pcode]]="","",OFFSET(CampList[Priority],MATCH(Table_NFI[[#This Row],[Pcode]],CampList[CP_Pcode],0)-1,0,1,1))</f>
        <v/>
      </c>
      <c r="AS877" s="377" t="str">
        <f>IFERROR(Table_NFI[[#This Row],[Kitchen Set]]/VLOOKUP(Table_NFI[[#This Row],[Camp Name]],CL,4,0),"")</f>
        <v/>
      </c>
      <c r="AT877" s="572" t="s">
        <v>1095</v>
      </c>
      <c r="AU877" s="575"/>
    </row>
    <row r="878" spans="1:47" s="576" customFormat="1" x14ac:dyDescent="0.25">
      <c r="A878" s="381">
        <f t="shared" si="13"/>
        <v>16.833333333333332</v>
      </c>
      <c r="B878" s="571">
        <v>42017</v>
      </c>
      <c r="C878" s="572" t="s">
        <v>1097</v>
      </c>
      <c r="D878" s="572" t="s">
        <v>903</v>
      </c>
      <c r="E878" s="572" t="s">
        <v>380</v>
      </c>
      <c r="F878" s="572" t="s">
        <v>529</v>
      </c>
      <c r="G878" s="572" t="s">
        <v>126</v>
      </c>
      <c r="H878" s="375"/>
      <c r="I878" s="378"/>
      <c r="J878" s="378"/>
      <c r="K878" s="378"/>
      <c r="L878" s="376"/>
      <c r="M878" s="376"/>
      <c r="N878" s="376"/>
      <c r="O878" s="376"/>
      <c r="P878" s="378"/>
      <c r="Q878" s="378"/>
      <c r="R878" s="378">
        <v>94</v>
      </c>
      <c r="S878" s="378">
        <v>58</v>
      </c>
      <c r="T878" s="378"/>
      <c r="U878" s="378"/>
      <c r="V878" s="533"/>
      <c r="W878" s="378"/>
      <c r="X878" s="378"/>
      <c r="Y878" s="378">
        <f>IF(NFI_Expiration=1,IF($A878&lt;VLOOKUP(H$5,NFI,5,0),1,0)*Table_NFI[[#This Row],[Hygiene Kit]],Table_NFI[Hygiene Kit])</f>
        <v>0</v>
      </c>
      <c r="Z878" s="378">
        <f>IF(NFI_Expiration=1,IF($A878&lt;VLOOKUP(I$5,NFI,5,0),1,0)*Table_NFI[[#This Row],[NFI Core Kit]],Table_NFI[NFI Core Kit])</f>
        <v>0</v>
      </c>
      <c r="AA878" s="378">
        <f>IF(NFI_Expiration=1,IF($A878&lt;VLOOKUP(J$5,NFI,5,0),1,0)*Table_NFI[[#This Row],[Sanitary Kit]],Table_NFI[Sanitary Kit])</f>
        <v>0</v>
      </c>
      <c r="AB878" s="378">
        <f>IF(NFI_Expiration=1,IF($A878&lt;VLOOKUP(K$5,NFI,5,0),1,0)*Table_NFI[[#This Row],[Mosquito net]],Table_NFI[Mosquito net])</f>
        <v>0</v>
      </c>
      <c r="AC878" s="378">
        <f>IF(NFI_Expiration=1,IF($A878&lt;VLOOKUP(L$5,NFI,5,0),1,0)*Table_NFI[[#This Row],[Tarpaulin]],Table_NFI[[#This Row],[Tarpaulin]])</f>
        <v>0</v>
      </c>
      <c r="AD878" s="378">
        <f>IF(NFI_Expiration=1,IF($A878&lt;VLOOKUP(M$5,NFI,5,0),1,0)*Table_NFI[[#This Row],[Blanket]],Table_NFI[[#This Row],[Blanket]])</f>
        <v>0</v>
      </c>
      <c r="AE878" s="378">
        <f>IF(NFI_Expiration=1,IF($A878&lt;VLOOKUP(N$5,NFI,5,0),1,0)*Table_NFI[[#This Row],[Kitchen Set]],Table_NFI[Kitchen Set])</f>
        <v>0</v>
      </c>
      <c r="AF878" s="378">
        <f>IF(NFI_Expiration=1,IF($A878&lt;VLOOKUP(O$5,NFI,5,0),1,0)*Table_NFI[[#This Row],[Clothes Kit]],Table_NFI[Clothes Kit])</f>
        <v>0</v>
      </c>
      <c r="AG878" s="378">
        <f>IF(NFI_Expiration=1,IF($A878&lt;VLOOKUP(P$5,NFI,5,0),1,0)*Table_NFI[[#This Row],[Plastic Bucket]],Table_NFI[Plastic Bucket])</f>
        <v>0</v>
      </c>
      <c r="AH878" s="378">
        <f>IF(NFI_Expiration=1,IF($A878&lt;VLOOKUP(Q$5,NFI,5,0),1,0)*Table_NFI[[#This Row],[Plastic Mat]],Table_NFI[Plastic Mat])*IF(Table_NFI[[#This Row],[Distribution Date]]&gt;"2014-04-01",1,2.5)</f>
        <v>0</v>
      </c>
      <c r="AI878" s="378">
        <f>IF(NFI_Expiration=1,IF($A878&lt;VLOOKUP(R$5,NFI,5,0),1,0)*Table_NFI[[#This Row],[Winter Clothes Adult]],Table_NFI[Winter Clothes Adult])</f>
        <v>0</v>
      </c>
      <c r="AJ878" s="378">
        <f>IF(NFI_Expiration=1,IF($A878&lt;VLOOKUP(S$5,NFI,5,0),1,0)*Table_NFI[[#This Row],[Winter Clothes Children]],Table_NFI[Winter Clothes Children])</f>
        <v>0</v>
      </c>
      <c r="AK878" s="378">
        <f>IF(NFI_Expiration=1,IF($A878&lt;VLOOKUP(T$5,NFI,5,0),1,0)*Table_NFI[[#This Row],[Winter Items Other]],Table_NFI[Winter Items Other])</f>
        <v>0</v>
      </c>
      <c r="AL878" s="378">
        <f>IF(NFI_Expiration=1,IF($A878&lt;VLOOKUP(M$5,NFI,5,0),1,0)*Table_NFI[[#This Row],[Winter Blanket]],Table_NFI[[#This Row],[Winter Blanket]])</f>
        <v>0</v>
      </c>
      <c r="AM878" s="378">
        <f>IF(Table_NFI[[#This Row],[Winter Clothes Adult]]+Table_NFI[[#This Row],[Winter Clothes Children]]+Table_NFI[[#This Row],[Winter Items Other]]+Table_NFI[[#This Row],[Winter Blanket]]&gt;0,1,0)</f>
        <v>1</v>
      </c>
      <c r="AN878" s="418">
        <f>IF(NFI_Expiration=1,IF($A878&lt;VLOOKUP(V$5,NFI,5,0),1,0)*Table_NFI[[#This Row],[Jerry Can]],Table_NFI[Jerry Can])</f>
        <v>0</v>
      </c>
      <c r="AO878" s="579" t="str">
        <f>IFERROR(VLOOKUP(Table_NFI[[#This Row],[Camp Name]],CL,2,0),"")</f>
        <v>MMR001CMP184</v>
      </c>
      <c r="AP878" s="574">
        <f ca="1">IF(Table_NFI[[#This Row],[Pcode]]="","",IF(OFFSET(CampList[Opening Date],MATCH(Table_NFI[[#This Row],[Pcode]],CampList[CP_Pcode],0)-1,0,1,1)&gt;=NFI_Monitor_Date,1,0))</f>
        <v>0</v>
      </c>
      <c r="AQ878" s="579" t="str">
        <f>IFERROR(VLOOKUP(Table_NFI[[#This Row],[Camp Name]],CL,3,0),"")</f>
        <v>Open</v>
      </c>
      <c r="AR878" s="378" t="str">
        <f ca="1">IF(Table_NFI[[#This Row],[Pcode]]="","",OFFSET(CampList[Priority],MATCH(Table_NFI[[#This Row],[Pcode]],CampList[CP_Pcode],0)-1,0,1,1))</f>
        <v>P4</v>
      </c>
      <c r="AS878" s="377">
        <f>IFERROR(Table_NFI[[#This Row],[Kitchen Set]]/VLOOKUP(Table_NFI[[#This Row],[Camp Name]],CL,4,0),"")</f>
        <v>0</v>
      </c>
      <c r="AT878" s="572"/>
      <c r="AU878" s="601"/>
    </row>
    <row r="879" spans="1:47" s="576" customFormat="1" x14ac:dyDescent="0.25">
      <c r="A879" s="381">
        <f t="shared" si="13"/>
        <v>19.3</v>
      </c>
      <c r="B879" s="571">
        <v>41943</v>
      </c>
      <c r="C879" s="572" t="s">
        <v>454</v>
      </c>
      <c r="D879" s="572"/>
      <c r="E879" s="572" t="s">
        <v>380</v>
      </c>
      <c r="F879" s="572" t="s">
        <v>529</v>
      </c>
      <c r="G879" s="572" t="s">
        <v>126</v>
      </c>
      <c r="H879" s="375"/>
      <c r="I879" s="375"/>
      <c r="J879" s="375">
        <v>38</v>
      </c>
      <c r="K879" s="375">
        <v>76</v>
      </c>
      <c r="L879" s="376">
        <v>38</v>
      </c>
      <c r="M879" s="376">
        <v>76</v>
      </c>
      <c r="N879" s="376">
        <v>38</v>
      </c>
      <c r="O879" s="376"/>
      <c r="P879" s="378">
        <v>38</v>
      </c>
      <c r="Q879" s="378">
        <v>190</v>
      </c>
      <c r="R879" s="378"/>
      <c r="S879" s="378"/>
      <c r="T879" s="378"/>
      <c r="U879" s="378"/>
      <c r="V879" s="533"/>
      <c r="W879" s="378"/>
      <c r="X879" s="378"/>
      <c r="Y879" s="378">
        <f>IF(NFI_Expiration=1,IF($A879&lt;VLOOKUP(H$5,NFI,5,0),1,0)*Table_NFI[[#This Row],[Hygiene Kit]],Table_NFI[Hygiene Kit])</f>
        <v>0</v>
      </c>
      <c r="Z879" s="378">
        <f>IF(NFI_Expiration=1,IF($A879&lt;VLOOKUP(I$5,NFI,5,0),1,0)*Table_NFI[[#This Row],[NFI Core Kit]],Table_NFI[NFI Core Kit])</f>
        <v>0</v>
      </c>
      <c r="AA879" s="378">
        <f>IF(NFI_Expiration=1,IF($A879&lt;VLOOKUP(J$5,NFI,5,0),1,0)*Table_NFI[[#This Row],[Sanitary Kit]],Table_NFI[Sanitary Kit])</f>
        <v>0</v>
      </c>
      <c r="AB879" s="378">
        <f>IF(NFI_Expiration=1,IF($A879&lt;VLOOKUP(K$5,NFI,5,0),1,0)*Table_NFI[[#This Row],[Mosquito net]],Table_NFI[Mosquito net])</f>
        <v>0</v>
      </c>
      <c r="AC879" s="378">
        <f>IF(NFI_Expiration=1,IF($A879&lt;VLOOKUP(L$5,NFI,5,0),1,0)*Table_NFI[[#This Row],[Tarpaulin]],Table_NFI[[#This Row],[Tarpaulin]])</f>
        <v>0</v>
      </c>
      <c r="AD879" s="378">
        <f>IF(NFI_Expiration=1,IF($A879&lt;VLOOKUP(M$5,NFI,5,0),1,0)*Table_NFI[[#This Row],[Blanket]],Table_NFI[[#This Row],[Blanket]])</f>
        <v>0</v>
      </c>
      <c r="AE879" s="378">
        <f>IF(NFI_Expiration=1,IF($A879&lt;VLOOKUP(N$5,NFI,5,0),1,0)*Table_NFI[[#This Row],[Kitchen Set]],Table_NFI[Kitchen Set])</f>
        <v>0</v>
      </c>
      <c r="AF879" s="378">
        <f>IF(NFI_Expiration=1,IF($A879&lt;VLOOKUP(O$5,NFI,5,0),1,0)*Table_NFI[[#This Row],[Clothes Kit]],Table_NFI[Clothes Kit])</f>
        <v>0</v>
      </c>
      <c r="AG879" s="378">
        <f>IF(NFI_Expiration=1,IF($A879&lt;VLOOKUP(P$5,NFI,5,0),1,0)*Table_NFI[[#This Row],[Plastic Bucket]],Table_NFI[Plastic Bucket])</f>
        <v>0</v>
      </c>
      <c r="AH879" s="378">
        <f>IF(NFI_Expiration=1,IF($A879&lt;VLOOKUP(Q$5,NFI,5,0),1,0)*Table_NFI[[#This Row],[Plastic Mat]],Table_NFI[Plastic Mat])*IF(Table_NFI[[#This Row],[Distribution Date]]&gt;"2014-04-01",1,2.5)</f>
        <v>0</v>
      </c>
      <c r="AI879" s="378">
        <f>IF(NFI_Expiration=1,IF($A879&lt;VLOOKUP(R$5,NFI,5,0),1,0)*Table_NFI[[#This Row],[Winter Clothes Adult]],Table_NFI[Winter Clothes Adult])</f>
        <v>0</v>
      </c>
      <c r="AJ879" s="378">
        <f>IF(NFI_Expiration=1,IF($A879&lt;VLOOKUP(S$5,NFI,5,0),1,0)*Table_NFI[[#This Row],[Winter Clothes Children]],Table_NFI[Winter Clothes Children])</f>
        <v>0</v>
      </c>
      <c r="AK879" s="378">
        <f>IF(NFI_Expiration=1,IF($A879&lt;VLOOKUP(T$5,NFI,5,0),1,0)*Table_NFI[[#This Row],[Winter Items Other]],Table_NFI[Winter Items Other])</f>
        <v>0</v>
      </c>
      <c r="AL879" s="378">
        <f>IF(NFI_Expiration=1,IF($A879&lt;VLOOKUP(M$5,NFI,5,0),1,0)*Table_NFI[[#This Row],[Winter Blanket]],Table_NFI[[#This Row],[Winter Blanket]])</f>
        <v>0</v>
      </c>
      <c r="AM879" s="378">
        <f>IF(Table_NFI[[#This Row],[Winter Clothes Adult]]+Table_NFI[[#This Row],[Winter Clothes Children]]+Table_NFI[[#This Row],[Winter Items Other]]+Table_NFI[[#This Row],[Winter Blanket]]&gt;0,1,0)</f>
        <v>0</v>
      </c>
      <c r="AN879" s="418">
        <f>IF(NFI_Expiration=1,IF($A879&lt;VLOOKUP(V$5,NFI,5,0),1,0)*Table_NFI[[#This Row],[Jerry Can]],Table_NFI[Jerry Can])</f>
        <v>0</v>
      </c>
      <c r="AO879" s="579" t="str">
        <f>IFERROR(VLOOKUP(Table_NFI[[#This Row],[Camp Name]],CL,2,0),"")</f>
        <v>MMR001CMP184</v>
      </c>
      <c r="AP879" s="574">
        <f ca="1">IF(Table_NFI[[#This Row],[Pcode]]="","",IF(OFFSET(CampList[Opening Date],MATCH(Table_NFI[[#This Row],[Pcode]],CampList[CP_Pcode],0)-1,0,1,1)&gt;=NFI_Monitor_Date,1,0))</f>
        <v>0</v>
      </c>
      <c r="AQ879" s="579" t="str">
        <f>IFERROR(VLOOKUP(Table_NFI[[#This Row],[Camp Name]],CL,3,0),"")</f>
        <v>Open</v>
      </c>
      <c r="AR879" s="378" t="str">
        <f ca="1">IF(Table_NFI[[#This Row],[Pcode]]="","",OFFSET(CampList[Priority],MATCH(Table_NFI[[#This Row],[Pcode]],CampList[CP_Pcode],0)-1,0,1,1))</f>
        <v>P4</v>
      </c>
      <c r="AS879" s="377">
        <f>IFERROR(Table_NFI[[#This Row],[Kitchen Set]]/VLOOKUP(Table_NFI[[#This Row],[Camp Name]],CL,4,0),"")</f>
        <v>1.0857142857142856</v>
      </c>
      <c r="AT879" s="572"/>
      <c r="AU879" s="575"/>
    </row>
    <row r="880" spans="1:47" s="576" customFormat="1" ht="14.45" customHeight="1" x14ac:dyDescent="0.25">
      <c r="A880" s="381">
        <f t="shared" si="13"/>
        <v>38.966666666666669</v>
      </c>
      <c r="B880" s="571">
        <v>41353</v>
      </c>
      <c r="C880" s="572" t="s">
        <v>454</v>
      </c>
      <c r="D880" s="573" t="s">
        <v>454</v>
      </c>
      <c r="E880" s="572" t="s">
        <v>380</v>
      </c>
      <c r="F880" s="374" t="s">
        <v>529</v>
      </c>
      <c r="G880" s="374" t="s">
        <v>126</v>
      </c>
      <c r="H880" s="375"/>
      <c r="I880" s="375"/>
      <c r="J880" s="375">
        <v>124</v>
      </c>
      <c r="K880" s="375">
        <v>117</v>
      </c>
      <c r="L880" s="376">
        <v>121</v>
      </c>
      <c r="M880" s="376">
        <v>227</v>
      </c>
      <c r="N880" s="376">
        <v>122</v>
      </c>
      <c r="O880" s="376">
        <v>263</v>
      </c>
      <c r="P880" s="378">
        <v>263</v>
      </c>
      <c r="Q880" s="378">
        <v>263</v>
      </c>
      <c r="R880" s="378"/>
      <c r="S880" s="378"/>
      <c r="T880" s="378"/>
      <c r="U880" s="378"/>
      <c r="V880" s="533"/>
      <c r="W880" s="378"/>
      <c r="X880" s="378"/>
      <c r="Y880" s="378">
        <f>IF(NFI_Expiration=1,IF($A880&lt;VLOOKUP(H$5,NFI,5,0),1,0)*Table_NFI[[#This Row],[Hygiene Kit]],Table_NFI[Hygiene Kit])</f>
        <v>0</v>
      </c>
      <c r="Z880" s="378">
        <f>IF(NFI_Expiration=1,IF($A880&lt;VLOOKUP(I$5,NFI,5,0),1,0)*Table_NFI[[#This Row],[NFI Core Kit]],Table_NFI[NFI Core Kit])</f>
        <v>0</v>
      </c>
      <c r="AA880" s="378">
        <f>IF(NFI_Expiration=1,IF($A880&lt;VLOOKUP(J$5,NFI,5,0),1,0)*Table_NFI[[#This Row],[Sanitary Kit]],Table_NFI[Sanitary Kit])</f>
        <v>0</v>
      </c>
      <c r="AB880" s="378">
        <f>IF(NFI_Expiration=1,IF($A880&lt;VLOOKUP(K$5,NFI,5,0),1,0)*Table_NFI[[#This Row],[Mosquito net]],Table_NFI[Mosquito net])</f>
        <v>0</v>
      </c>
      <c r="AC880" s="378">
        <f>IF(NFI_Expiration=1,IF($A880&lt;VLOOKUP(L$5,NFI,5,0),1,0)*Table_NFI[[#This Row],[Tarpaulin]],Table_NFI[[#This Row],[Tarpaulin]])</f>
        <v>0</v>
      </c>
      <c r="AD880" s="378">
        <f>IF(NFI_Expiration=1,IF($A880&lt;VLOOKUP(M$5,NFI,5,0),1,0)*Table_NFI[[#This Row],[Blanket]],Table_NFI[[#This Row],[Blanket]])</f>
        <v>0</v>
      </c>
      <c r="AE880" s="378">
        <f>IF(NFI_Expiration=1,IF($A880&lt;VLOOKUP(N$5,NFI,5,0),1,0)*Table_NFI[[#This Row],[Kitchen Set]],Table_NFI[Kitchen Set])</f>
        <v>0</v>
      </c>
      <c r="AF880" s="378">
        <f>IF(NFI_Expiration=1,IF($A880&lt;VLOOKUP(O$5,NFI,5,0),1,0)*Table_NFI[[#This Row],[Clothes Kit]],Table_NFI[Clothes Kit])</f>
        <v>0</v>
      </c>
      <c r="AG880" s="378">
        <f>IF(NFI_Expiration=1,IF($A880&lt;VLOOKUP(P$5,NFI,5,0),1,0)*Table_NFI[[#This Row],[Plastic Bucket]],Table_NFI[Plastic Bucket])</f>
        <v>0</v>
      </c>
      <c r="AH880" s="378">
        <f>IF(NFI_Expiration=1,IF($A880&lt;VLOOKUP(Q$5,NFI,5,0),1,0)*Table_NFI[[#This Row],[Plastic Mat]],Table_NFI[Plastic Mat])*IF(Table_NFI[[#This Row],[Distribution Date]]&gt;"2014-04-01",1,2.5)</f>
        <v>0</v>
      </c>
      <c r="AI880" s="378">
        <f>IF(NFI_Expiration=1,IF($A880&lt;VLOOKUP(R$5,NFI,5,0),1,0)*Table_NFI[[#This Row],[Winter Clothes Adult]],Table_NFI[Winter Clothes Adult])</f>
        <v>0</v>
      </c>
      <c r="AJ880" s="378">
        <f>IF(NFI_Expiration=1,IF($A880&lt;VLOOKUP(S$5,NFI,5,0),1,0)*Table_NFI[[#This Row],[Winter Clothes Children]],Table_NFI[Winter Clothes Children])</f>
        <v>0</v>
      </c>
      <c r="AK880" s="378">
        <f>IF(NFI_Expiration=1,IF($A880&lt;VLOOKUP(T$5,NFI,5,0),1,0)*Table_NFI[[#This Row],[Winter Items Other]],Table_NFI[Winter Items Other])</f>
        <v>0</v>
      </c>
      <c r="AL880" s="378">
        <f>IF(NFI_Expiration=1,IF($A880&lt;VLOOKUP(M$5,NFI,5,0),1,0)*Table_NFI[[#This Row],[Winter Blanket]],Table_NFI[[#This Row],[Winter Blanket]])</f>
        <v>0</v>
      </c>
      <c r="AM880" s="378">
        <f>IF(Table_NFI[[#This Row],[Winter Clothes Adult]]+Table_NFI[[#This Row],[Winter Clothes Children]]+Table_NFI[[#This Row],[Winter Items Other]]+Table_NFI[[#This Row],[Winter Blanket]]&gt;0,1,0)</f>
        <v>0</v>
      </c>
      <c r="AN880" s="418">
        <f>IF(NFI_Expiration=1,IF($A880&lt;VLOOKUP(V$5,NFI,5,0),1,0)*Table_NFI[[#This Row],[Jerry Can]],Table_NFI[Jerry Can])</f>
        <v>0</v>
      </c>
      <c r="AO880" s="579" t="str">
        <f>IFERROR(VLOOKUP(Table_NFI[[#This Row],[Camp Name]],CL,2,0),"")</f>
        <v>MMR001CMP184</v>
      </c>
      <c r="AP880" s="574">
        <f ca="1">IF(Table_NFI[[#This Row],[Pcode]]="","",IF(OFFSET(CampList[Opening Date],MATCH(Table_NFI[[#This Row],[Pcode]],CampList[CP_Pcode],0)-1,0,1,1)&gt;=NFI_Monitor_Date,1,0))</f>
        <v>0</v>
      </c>
      <c r="AQ880" s="579" t="str">
        <f>IFERROR(VLOOKUP(Table_NFI[[#This Row],[Camp Name]],CL,3,0),"")</f>
        <v>Open</v>
      </c>
      <c r="AR880" s="378" t="str">
        <f ca="1">IF(Table_NFI[[#This Row],[Pcode]]="","",OFFSET(CampList[Priority],MATCH(Table_NFI[[#This Row],[Pcode]],CampList[CP_Pcode],0)-1,0,1,1))</f>
        <v>P4</v>
      </c>
      <c r="AS880" s="377">
        <f>IFERROR(Table_NFI[[#This Row],[Kitchen Set]]/VLOOKUP(Table_NFI[[#This Row],[Camp Name]],CL,4,0),"")</f>
        <v>3.4857142857142858</v>
      </c>
      <c r="AT880" s="572" t="s">
        <v>1095</v>
      </c>
      <c r="AU880" s="575"/>
    </row>
    <row r="881" spans="1:47" s="576" customFormat="1" x14ac:dyDescent="0.25">
      <c r="A881" s="381">
        <f t="shared" si="13"/>
        <v>15.7</v>
      </c>
      <c r="B881" s="571">
        <v>42051</v>
      </c>
      <c r="C881" s="577" t="s">
        <v>454</v>
      </c>
      <c r="D881" s="577" t="s">
        <v>508</v>
      </c>
      <c r="E881" s="577" t="s">
        <v>380</v>
      </c>
      <c r="F881" s="577" t="s">
        <v>310</v>
      </c>
      <c r="G881" s="577" t="s">
        <v>353</v>
      </c>
      <c r="H881" s="376"/>
      <c r="I881" s="376"/>
      <c r="J881" s="376"/>
      <c r="K881" s="376"/>
      <c r="L881" s="376"/>
      <c r="M881" s="376"/>
      <c r="N881" s="376"/>
      <c r="O881" s="376"/>
      <c r="P881" s="378"/>
      <c r="Q881" s="378"/>
      <c r="R881" s="378">
        <v>1620</v>
      </c>
      <c r="S881" s="378">
        <v>2207</v>
      </c>
      <c r="T881" s="378"/>
      <c r="U881" s="378">
        <v>1760</v>
      </c>
      <c r="V881" s="533"/>
      <c r="W881" s="378"/>
      <c r="X881" s="378"/>
      <c r="Y881" s="378">
        <f>IF(NFI_Expiration=1,IF($A881&lt;VLOOKUP(H$5,NFI,5,0),1,0)*Table_NFI[[#This Row],[Hygiene Kit]],Table_NFI[Hygiene Kit])</f>
        <v>0</v>
      </c>
      <c r="Z881" s="378">
        <f>IF(NFI_Expiration=1,IF($A881&lt;VLOOKUP(I$5,NFI,5,0),1,0)*Table_NFI[[#This Row],[NFI Core Kit]],Table_NFI[NFI Core Kit])</f>
        <v>0</v>
      </c>
      <c r="AA881" s="378">
        <f>IF(NFI_Expiration=1,IF($A881&lt;VLOOKUP(J$5,NFI,5,0),1,0)*Table_NFI[[#This Row],[Sanitary Kit]],Table_NFI[Sanitary Kit])</f>
        <v>0</v>
      </c>
      <c r="AB881" s="378">
        <f>IF(NFI_Expiration=1,IF($A881&lt;VLOOKUP(K$5,NFI,5,0),1,0)*Table_NFI[[#This Row],[Mosquito net]],Table_NFI[Mosquito net])</f>
        <v>0</v>
      </c>
      <c r="AC881" s="378">
        <f>IF(NFI_Expiration=1,IF($A881&lt;VLOOKUP(L$5,NFI,5,0),1,0)*Table_NFI[[#This Row],[Tarpaulin]],Table_NFI[[#This Row],[Tarpaulin]])</f>
        <v>0</v>
      </c>
      <c r="AD881" s="378">
        <f>IF(NFI_Expiration=1,IF($A881&lt;VLOOKUP(M$5,NFI,5,0),1,0)*Table_NFI[[#This Row],[Blanket]],Table_NFI[[#This Row],[Blanket]])</f>
        <v>0</v>
      </c>
      <c r="AE881" s="378">
        <f>IF(NFI_Expiration=1,IF($A881&lt;VLOOKUP(N$5,NFI,5,0),1,0)*Table_NFI[[#This Row],[Kitchen Set]],Table_NFI[Kitchen Set])</f>
        <v>0</v>
      </c>
      <c r="AF881" s="378">
        <f>IF(NFI_Expiration=1,IF($A881&lt;VLOOKUP(O$5,NFI,5,0),1,0)*Table_NFI[[#This Row],[Clothes Kit]],Table_NFI[Clothes Kit])</f>
        <v>0</v>
      </c>
      <c r="AG881" s="378">
        <f>IF(NFI_Expiration=1,IF($A881&lt;VLOOKUP(P$5,NFI,5,0),1,0)*Table_NFI[[#This Row],[Plastic Bucket]],Table_NFI[Plastic Bucket])</f>
        <v>0</v>
      </c>
      <c r="AH881" s="378">
        <f>IF(NFI_Expiration=1,IF($A881&lt;VLOOKUP(Q$5,NFI,5,0),1,0)*Table_NFI[[#This Row],[Plastic Mat]],Table_NFI[Plastic Mat])*IF(Table_NFI[[#This Row],[Distribution Date]]&gt;"2014-04-01",1,2.5)</f>
        <v>0</v>
      </c>
      <c r="AI881" s="378">
        <f>IF(NFI_Expiration=1,IF($A881&lt;VLOOKUP(R$5,NFI,5,0),1,0)*Table_NFI[[#This Row],[Winter Clothes Adult]],Table_NFI[Winter Clothes Adult])</f>
        <v>0</v>
      </c>
      <c r="AJ881" s="378">
        <f>IF(NFI_Expiration=1,IF($A881&lt;VLOOKUP(S$5,NFI,5,0),1,0)*Table_NFI[[#This Row],[Winter Clothes Children]],Table_NFI[Winter Clothes Children])</f>
        <v>0</v>
      </c>
      <c r="AK881" s="378">
        <f>IF(NFI_Expiration=1,IF($A881&lt;VLOOKUP(T$5,NFI,5,0),1,0)*Table_NFI[[#This Row],[Winter Items Other]],Table_NFI[Winter Items Other])</f>
        <v>0</v>
      </c>
      <c r="AL881" s="378">
        <f>IF(NFI_Expiration=1,IF($A881&lt;VLOOKUP(M$5,NFI,5,0),1,0)*Table_NFI[[#This Row],[Winter Blanket]],Table_NFI[[#This Row],[Winter Blanket]])</f>
        <v>0</v>
      </c>
      <c r="AM881" s="378">
        <f>IF(Table_NFI[[#This Row],[Winter Clothes Adult]]+Table_NFI[[#This Row],[Winter Clothes Children]]+Table_NFI[[#This Row],[Winter Items Other]]+Table_NFI[[#This Row],[Winter Blanket]]&gt;0,1,0)</f>
        <v>1</v>
      </c>
      <c r="AN881" s="418">
        <f>IF(NFI_Expiration=1,IF($A881&lt;VLOOKUP(V$5,NFI,5,0),1,0)*Table_NFI[[#This Row],[Jerry Can]],Table_NFI[Jerry Can])</f>
        <v>0</v>
      </c>
      <c r="AO881" s="579" t="str">
        <f>IFERROR(VLOOKUP(Table_NFI[[#This Row],[Camp Name]],CL,2,0),"")</f>
        <v>MMR001CMP116</v>
      </c>
      <c r="AP881" s="574">
        <f ca="1">IF(Table_NFI[[#This Row],[Pcode]]="","",IF(OFFSET(CampList[Opening Date],MATCH(Table_NFI[[#This Row],[Pcode]],CampList[CP_Pcode],0)-1,0,1,1)&gt;=NFI_Monitor_Date,1,0))</f>
        <v>0</v>
      </c>
      <c r="AQ881" s="579" t="str">
        <f>IFERROR(VLOOKUP(Table_NFI[[#This Row],[Camp Name]],CL,3,0),"")</f>
        <v>Open</v>
      </c>
      <c r="AR881" s="378" t="str">
        <f ca="1">IF(Table_NFI[[#This Row],[Pcode]]="","",OFFSET(CampList[Priority],MATCH(Table_NFI[[#This Row],[Pcode]],CampList[CP_Pcode],0)-1,0,1,1))</f>
        <v>P4</v>
      </c>
      <c r="AS881" s="377">
        <f>IFERROR(Table_NFI[[#This Row],[Kitchen Set]]/VLOOKUP(Table_NFI[[#This Row],[Camp Name]],CL,4,0),"")</f>
        <v>0</v>
      </c>
      <c r="AT881" s="572" t="s">
        <v>1095</v>
      </c>
      <c r="AU881" s="580"/>
    </row>
    <row r="882" spans="1:47" s="130" customFormat="1" x14ac:dyDescent="0.25">
      <c r="A882" s="381">
        <f t="shared" si="13"/>
        <v>22.433333333333334</v>
      </c>
      <c r="B882" s="571">
        <v>41849</v>
      </c>
      <c r="C882" s="572" t="s">
        <v>454</v>
      </c>
      <c r="D882" s="572"/>
      <c r="E882" s="572" t="s">
        <v>380</v>
      </c>
      <c r="F882" s="572" t="s">
        <v>310</v>
      </c>
      <c r="G882" s="572" t="s">
        <v>353</v>
      </c>
      <c r="H882" s="375"/>
      <c r="I882" s="375"/>
      <c r="J882" s="375"/>
      <c r="K882" s="375">
        <v>46</v>
      </c>
      <c r="L882" s="376">
        <v>46</v>
      </c>
      <c r="M882" s="376">
        <v>46</v>
      </c>
      <c r="N882" s="376">
        <v>16</v>
      </c>
      <c r="O882" s="376"/>
      <c r="P882" s="378">
        <v>16</v>
      </c>
      <c r="Q882" s="378">
        <v>142</v>
      </c>
      <c r="R882" s="378"/>
      <c r="S882" s="378"/>
      <c r="T882" s="378"/>
      <c r="U882" s="378"/>
      <c r="V882" s="533"/>
      <c r="W882" s="378"/>
      <c r="X882" s="378"/>
      <c r="Y882" s="378">
        <f>IF(NFI_Expiration=1,IF($A882&lt;VLOOKUP(H$5,NFI,5,0),1,0)*Table_NFI[[#This Row],[Hygiene Kit]],Table_NFI[Hygiene Kit])</f>
        <v>0</v>
      </c>
      <c r="Z882" s="378">
        <f>IF(NFI_Expiration=1,IF($A882&lt;VLOOKUP(I$5,NFI,5,0),1,0)*Table_NFI[[#This Row],[NFI Core Kit]],Table_NFI[NFI Core Kit])</f>
        <v>0</v>
      </c>
      <c r="AA882" s="378">
        <f>IF(NFI_Expiration=1,IF($A882&lt;VLOOKUP(J$5,NFI,5,0),1,0)*Table_NFI[[#This Row],[Sanitary Kit]],Table_NFI[Sanitary Kit])</f>
        <v>0</v>
      </c>
      <c r="AB882" s="378">
        <f>IF(NFI_Expiration=1,IF($A882&lt;VLOOKUP(K$5,NFI,5,0),1,0)*Table_NFI[[#This Row],[Mosquito net]],Table_NFI[Mosquito net])</f>
        <v>0</v>
      </c>
      <c r="AC882" s="378">
        <f>IF(NFI_Expiration=1,IF($A882&lt;VLOOKUP(L$5,NFI,5,0),1,0)*Table_NFI[[#This Row],[Tarpaulin]],Table_NFI[[#This Row],[Tarpaulin]])</f>
        <v>0</v>
      </c>
      <c r="AD882" s="378">
        <f>IF(NFI_Expiration=1,IF($A882&lt;VLOOKUP(M$5,NFI,5,0),1,0)*Table_NFI[[#This Row],[Blanket]],Table_NFI[[#This Row],[Blanket]])</f>
        <v>0</v>
      </c>
      <c r="AE882" s="378">
        <f>IF(NFI_Expiration=1,IF($A882&lt;VLOOKUP(N$5,NFI,5,0),1,0)*Table_NFI[[#This Row],[Kitchen Set]],Table_NFI[Kitchen Set])</f>
        <v>0</v>
      </c>
      <c r="AF882" s="378">
        <f>IF(NFI_Expiration=1,IF($A882&lt;VLOOKUP(O$5,NFI,5,0),1,0)*Table_NFI[[#This Row],[Clothes Kit]],Table_NFI[Clothes Kit])</f>
        <v>0</v>
      </c>
      <c r="AG882" s="378">
        <f>IF(NFI_Expiration=1,IF($A882&lt;VLOOKUP(P$5,NFI,5,0),1,0)*Table_NFI[[#This Row],[Plastic Bucket]],Table_NFI[Plastic Bucket])</f>
        <v>0</v>
      </c>
      <c r="AH882" s="378">
        <f>IF(NFI_Expiration=1,IF($A882&lt;VLOOKUP(Q$5,NFI,5,0),1,0)*Table_NFI[[#This Row],[Plastic Mat]],Table_NFI[Plastic Mat])*IF(Table_NFI[[#This Row],[Distribution Date]]&gt;"2014-04-01",1,2.5)</f>
        <v>0</v>
      </c>
      <c r="AI882" s="378">
        <f>IF(NFI_Expiration=1,IF($A882&lt;VLOOKUP(R$5,NFI,5,0),1,0)*Table_NFI[[#This Row],[Winter Clothes Adult]],Table_NFI[Winter Clothes Adult])</f>
        <v>0</v>
      </c>
      <c r="AJ882" s="378">
        <f>IF(NFI_Expiration=1,IF($A882&lt;VLOOKUP(S$5,NFI,5,0),1,0)*Table_NFI[[#This Row],[Winter Clothes Children]],Table_NFI[Winter Clothes Children])</f>
        <v>0</v>
      </c>
      <c r="AK882" s="378">
        <f>IF(NFI_Expiration=1,IF($A882&lt;VLOOKUP(T$5,NFI,5,0),1,0)*Table_NFI[[#This Row],[Winter Items Other]],Table_NFI[Winter Items Other])</f>
        <v>0</v>
      </c>
      <c r="AL882" s="378">
        <f>IF(NFI_Expiration=1,IF($A882&lt;VLOOKUP(M$5,NFI,5,0),1,0)*Table_NFI[[#This Row],[Winter Blanket]],Table_NFI[[#This Row],[Winter Blanket]])</f>
        <v>0</v>
      </c>
      <c r="AM882" s="378">
        <f>IF(Table_NFI[[#This Row],[Winter Clothes Adult]]+Table_NFI[[#This Row],[Winter Clothes Children]]+Table_NFI[[#This Row],[Winter Items Other]]+Table_NFI[[#This Row],[Winter Blanket]]&gt;0,1,0)</f>
        <v>0</v>
      </c>
      <c r="AN882" s="418">
        <f>IF(NFI_Expiration=1,IF($A882&lt;VLOOKUP(V$5,NFI,5,0),1,0)*Table_NFI[[#This Row],[Jerry Can]],Table_NFI[Jerry Can])</f>
        <v>0</v>
      </c>
      <c r="AO882" s="579" t="str">
        <f>IFERROR(VLOOKUP(Table_NFI[[#This Row],[Camp Name]],CL,2,0),"")</f>
        <v>MMR001CMP116</v>
      </c>
      <c r="AP882" s="574">
        <f ca="1">IF(Table_NFI[[#This Row],[Pcode]]="","",IF(OFFSET(CampList[Opening Date],MATCH(Table_NFI[[#This Row],[Pcode]],CampList[CP_Pcode],0)-1,0,1,1)&gt;=NFI_Monitor_Date,1,0))</f>
        <v>0</v>
      </c>
      <c r="AQ882" s="579" t="str">
        <f>IFERROR(VLOOKUP(Table_NFI[[#This Row],[Camp Name]],CL,3,0),"")</f>
        <v>Open</v>
      </c>
      <c r="AR882" s="378" t="str">
        <f ca="1">IF(Table_NFI[[#This Row],[Pcode]]="","",OFFSET(CampList[Priority],MATCH(Table_NFI[[#This Row],[Pcode]],CampList[CP_Pcode],0)-1,0,1,1))</f>
        <v>P4</v>
      </c>
      <c r="AS882" s="377">
        <f>IFERROR(Table_NFI[[#This Row],[Kitchen Set]]/VLOOKUP(Table_NFI[[#This Row],[Camp Name]],CL,4,0),"")</f>
        <v>1.1816838995568686E-2</v>
      </c>
      <c r="AT882" s="572"/>
      <c r="AU882" s="575"/>
    </row>
    <row r="883" spans="1:47" s="576" customFormat="1" ht="14.45" customHeight="1" x14ac:dyDescent="0.25">
      <c r="A883" s="381">
        <f t="shared" si="13"/>
        <v>30.466666666666665</v>
      </c>
      <c r="B883" s="571">
        <v>41608</v>
      </c>
      <c r="C883" s="572" t="s">
        <v>908</v>
      </c>
      <c r="D883" s="572" t="s">
        <v>462</v>
      </c>
      <c r="E883" s="572" t="s">
        <v>380</v>
      </c>
      <c r="F883" s="374" t="s">
        <v>310</v>
      </c>
      <c r="G883" s="374" t="s">
        <v>353</v>
      </c>
      <c r="H883" s="375"/>
      <c r="I883" s="375"/>
      <c r="J883" s="375"/>
      <c r="K883" s="375"/>
      <c r="L883" s="376"/>
      <c r="M883" s="376"/>
      <c r="N883" s="376"/>
      <c r="O883" s="376"/>
      <c r="P883" s="378"/>
      <c r="Q883" s="378">
        <v>1851</v>
      </c>
      <c r="R883" s="378"/>
      <c r="S883" s="378"/>
      <c r="T883" s="378"/>
      <c r="U883" s="378"/>
      <c r="V883" s="533"/>
      <c r="W883" s="378"/>
      <c r="X883" s="378"/>
      <c r="Y883" s="378">
        <f>IF(NFI_Expiration=1,IF($A883&lt;VLOOKUP(H$5,NFI,5,0),1,0)*Table_NFI[[#This Row],[Hygiene Kit]],Table_NFI[Hygiene Kit])</f>
        <v>0</v>
      </c>
      <c r="Z883" s="378">
        <f>IF(NFI_Expiration=1,IF($A883&lt;VLOOKUP(I$5,NFI,5,0),1,0)*Table_NFI[[#This Row],[NFI Core Kit]],Table_NFI[NFI Core Kit])</f>
        <v>0</v>
      </c>
      <c r="AA883" s="378">
        <f>IF(NFI_Expiration=1,IF($A883&lt;VLOOKUP(J$5,NFI,5,0),1,0)*Table_NFI[[#This Row],[Sanitary Kit]],Table_NFI[Sanitary Kit])</f>
        <v>0</v>
      </c>
      <c r="AB883" s="378">
        <f>IF(NFI_Expiration=1,IF($A883&lt;VLOOKUP(K$5,NFI,5,0),1,0)*Table_NFI[[#This Row],[Mosquito net]],Table_NFI[Mosquito net])</f>
        <v>0</v>
      </c>
      <c r="AC883" s="378">
        <f>IF(NFI_Expiration=1,IF($A883&lt;VLOOKUP(L$5,NFI,5,0),1,0)*Table_NFI[[#This Row],[Tarpaulin]],Table_NFI[[#This Row],[Tarpaulin]])</f>
        <v>0</v>
      </c>
      <c r="AD883" s="378">
        <f>IF(NFI_Expiration=1,IF($A883&lt;VLOOKUP(M$5,NFI,5,0),1,0)*Table_NFI[[#This Row],[Blanket]],Table_NFI[[#This Row],[Blanket]])</f>
        <v>0</v>
      </c>
      <c r="AE883" s="378">
        <f>IF(NFI_Expiration=1,IF($A883&lt;VLOOKUP(N$5,NFI,5,0),1,0)*Table_NFI[[#This Row],[Kitchen Set]],Table_NFI[Kitchen Set])</f>
        <v>0</v>
      </c>
      <c r="AF883" s="378">
        <f>IF(NFI_Expiration=1,IF($A883&lt;VLOOKUP(O$5,NFI,5,0),1,0)*Table_NFI[[#This Row],[Clothes Kit]],Table_NFI[Clothes Kit])</f>
        <v>0</v>
      </c>
      <c r="AG883" s="378">
        <f>IF(NFI_Expiration=1,IF($A883&lt;VLOOKUP(P$5,NFI,5,0),1,0)*Table_NFI[[#This Row],[Plastic Bucket]],Table_NFI[Plastic Bucket])</f>
        <v>0</v>
      </c>
      <c r="AH883" s="378">
        <f>IF(NFI_Expiration=1,IF($A883&lt;VLOOKUP(Q$5,NFI,5,0),1,0)*Table_NFI[[#This Row],[Plastic Mat]],Table_NFI[Plastic Mat])*IF(Table_NFI[[#This Row],[Distribution Date]]&gt;"2014-04-01",1,2.5)</f>
        <v>0</v>
      </c>
      <c r="AI883" s="378">
        <f>IF(NFI_Expiration=1,IF($A883&lt;VLOOKUP(R$5,NFI,5,0),1,0)*Table_NFI[[#This Row],[Winter Clothes Adult]],Table_NFI[Winter Clothes Adult])</f>
        <v>0</v>
      </c>
      <c r="AJ883" s="378">
        <f>IF(NFI_Expiration=1,IF($A883&lt;VLOOKUP(S$5,NFI,5,0),1,0)*Table_NFI[[#This Row],[Winter Clothes Children]],Table_NFI[Winter Clothes Children])</f>
        <v>0</v>
      </c>
      <c r="AK883" s="378">
        <f>IF(NFI_Expiration=1,IF($A883&lt;VLOOKUP(T$5,NFI,5,0),1,0)*Table_NFI[[#This Row],[Winter Items Other]],Table_NFI[Winter Items Other])</f>
        <v>0</v>
      </c>
      <c r="AL883" s="378">
        <f>IF(NFI_Expiration=1,IF($A883&lt;VLOOKUP(M$5,NFI,5,0),1,0)*Table_NFI[[#This Row],[Winter Blanket]],Table_NFI[[#This Row],[Winter Blanket]])</f>
        <v>0</v>
      </c>
      <c r="AM883" s="378">
        <f>IF(Table_NFI[[#This Row],[Winter Clothes Adult]]+Table_NFI[[#This Row],[Winter Clothes Children]]+Table_NFI[[#This Row],[Winter Items Other]]+Table_NFI[[#This Row],[Winter Blanket]]&gt;0,1,0)</f>
        <v>0</v>
      </c>
      <c r="AN883" s="418">
        <f>IF(NFI_Expiration=1,IF($A883&lt;VLOOKUP(V$5,NFI,5,0),1,0)*Table_NFI[[#This Row],[Jerry Can]],Table_NFI[Jerry Can])</f>
        <v>0</v>
      </c>
      <c r="AO883" s="579" t="str">
        <f>IFERROR(VLOOKUP(Table_NFI[[#This Row],[Camp Name]],CL,2,0),"")</f>
        <v>MMR001CMP116</v>
      </c>
      <c r="AP883" s="574">
        <f ca="1">IF(Table_NFI[[#This Row],[Pcode]]="","",IF(OFFSET(CampList[Opening Date],MATCH(Table_NFI[[#This Row],[Pcode]],CampList[CP_Pcode],0)-1,0,1,1)&gt;=NFI_Monitor_Date,1,0))</f>
        <v>0</v>
      </c>
      <c r="AQ883" s="579" t="str">
        <f>IFERROR(VLOOKUP(Table_NFI[[#This Row],[Camp Name]],CL,3,0),"")</f>
        <v>Open</v>
      </c>
      <c r="AR883" s="378" t="str">
        <f ca="1">IF(Table_NFI[[#This Row],[Pcode]]="","",OFFSET(CampList[Priority],MATCH(Table_NFI[[#This Row],[Pcode]],CampList[CP_Pcode],0)-1,0,1,1))</f>
        <v>P4</v>
      </c>
      <c r="AS883" s="377">
        <f>IFERROR(Table_NFI[[#This Row],[Kitchen Set]]/VLOOKUP(Table_NFI[[#This Row],[Camp Name]],CL,4,0),"")</f>
        <v>0</v>
      </c>
      <c r="AT883" s="572" t="s">
        <v>1095</v>
      </c>
      <c r="AU883" s="575"/>
    </row>
    <row r="884" spans="1:47" s="576" customFormat="1" ht="14.45" customHeight="1" x14ac:dyDescent="0.25">
      <c r="A884" s="381">
        <f t="shared" si="13"/>
        <v>32.9</v>
      </c>
      <c r="B884" s="571">
        <v>41535</v>
      </c>
      <c r="C884" s="572" t="s">
        <v>454</v>
      </c>
      <c r="D884" s="572" t="s">
        <v>454</v>
      </c>
      <c r="E884" s="572" t="s">
        <v>380</v>
      </c>
      <c r="F884" s="374" t="s">
        <v>310</v>
      </c>
      <c r="G884" s="374" t="s">
        <v>353</v>
      </c>
      <c r="H884" s="375"/>
      <c r="I884" s="375"/>
      <c r="J884" s="375">
        <v>1520</v>
      </c>
      <c r="K884" s="375">
        <v>1520</v>
      </c>
      <c r="L884" s="376">
        <v>760</v>
      </c>
      <c r="M884" s="376">
        <v>1520</v>
      </c>
      <c r="N884" s="376">
        <v>760</v>
      </c>
      <c r="O884" s="376">
        <v>760</v>
      </c>
      <c r="P884" s="378"/>
      <c r="Q884" s="378"/>
      <c r="R884" s="378"/>
      <c r="S884" s="378"/>
      <c r="T884" s="378"/>
      <c r="U884" s="378"/>
      <c r="V884" s="533"/>
      <c r="W884" s="378"/>
      <c r="X884" s="378"/>
      <c r="Y884" s="378">
        <f>IF(NFI_Expiration=1,IF($A884&lt;VLOOKUP(H$5,NFI,5,0),1,0)*Table_NFI[[#This Row],[Hygiene Kit]],Table_NFI[Hygiene Kit])</f>
        <v>0</v>
      </c>
      <c r="Z884" s="378">
        <f>IF(NFI_Expiration=1,IF($A884&lt;VLOOKUP(I$5,NFI,5,0),1,0)*Table_NFI[[#This Row],[NFI Core Kit]],Table_NFI[NFI Core Kit])</f>
        <v>0</v>
      </c>
      <c r="AA884" s="378">
        <f>IF(NFI_Expiration=1,IF($A884&lt;VLOOKUP(J$5,NFI,5,0),1,0)*Table_NFI[[#This Row],[Sanitary Kit]],Table_NFI[Sanitary Kit])</f>
        <v>0</v>
      </c>
      <c r="AB884" s="378">
        <f>IF(NFI_Expiration=1,IF($A884&lt;VLOOKUP(K$5,NFI,5,0),1,0)*Table_NFI[[#This Row],[Mosquito net]],Table_NFI[Mosquito net])</f>
        <v>0</v>
      </c>
      <c r="AC884" s="378">
        <f>IF(NFI_Expiration=1,IF($A884&lt;VLOOKUP(L$5,NFI,5,0),1,0)*Table_NFI[[#This Row],[Tarpaulin]],Table_NFI[[#This Row],[Tarpaulin]])</f>
        <v>0</v>
      </c>
      <c r="AD884" s="378">
        <f>IF(NFI_Expiration=1,IF($A884&lt;VLOOKUP(M$5,NFI,5,0),1,0)*Table_NFI[[#This Row],[Blanket]],Table_NFI[[#This Row],[Blanket]])</f>
        <v>0</v>
      </c>
      <c r="AE884" s="378">
        <f>IF(NFI_Expiration=1,IF($A884&lt;VLOOKUP(N$5,NFI,5,0),1,0)*Table_NFI[[#This Row],[Kitchen Set]],Table_NFI[Kitchen Set])</f>
        <v>0</v>
      </c>
      <c r="AF884" s="378">
        <f>IF(NFI_Expiration=1,IF($A884&lt;VLOOKUP(O$5,NFI,5,0),1,0)*Table_NFI[[#This Row],[Clothes Kit]],Table_NFI[Clothes Kit])</f>
        <v>0</v>
      </c>
      <c r="AG884" s="378">
        <f>IF(NFI_Expiration=1,IF($A884&lt;VLOOKUP(P$5,NFI,5,0),1,0)*Table_NFI[[#This Row],[Plastic Bucket]],Table_NFI[Plastic Bucket])</f>
        <v>0</v>
      </c>
      <c r="AH884" s="378">
        <f>IF(NFI_Expiration=1,IF($A884&lt;VLOOKUP(Q$5,NFI,5,0),1,0)*Table_NFI[[#This Row],[Plastic Mat]],Table_NFI[Plastic Mat])*IF(Table_NFI[[#This Row],[Distribution Date]]&gt;"2014-04-01",1,2.5)</f>
        <v>0</v>
      </c>
      <c r="AI884" s="378">
        <f>IF(NFI_Expiration=1,IF($A884&lt;VLOOKUP(R$5,NFI,5,0),1,0)*Table_NFI[[#This Row],[Winter Clothes Adult]],Table_NFI[Winter Clothes Adult])</f>
        <v>0</v>
      </c>
      <c r="AJ884" s="378">
        <f>IF(NFI_Expiration=1,IF($A884&lt;VLOOKUP(S$5,NFI,5,0),1,0)*Table_NFI[[#This Row],[Winter Clothes Children]],Table_NFI[Winter Clothes Children])</f>
        <v>0</v>
      </c>
      <c r="AK884" s="378">
        <f>IF(NFI_Expiration=1,IF($A884&lt;VLOOKUP(T$5,NFI,5,0),1,0)*Table_NFI[[#This Row],[Winter Items Other]],Table_NFI[Winter Items Other])</f>
        <v>0</v>
      </c>
      <c r="AL884" s="378">
        <f>IF(NFI_Expiration=1,IF($A884&lt;VLOOKUP(M$5,NFI,5,0),1,0)*Table_NFI[[#This Row],[Winter Blanket]],Table_NFI[[#This Row],[Winter Blanket]])</f>
        <v>0</v>
      </c>
      <c r="AM884" s="378">
        <f>IF(Table_NFI[[#This Row],[Winter Clothes Adult]]+Table_NFI[[#This Row],[Winter Clothes Children]]+Table_NFI[[#This Row],[Winter Items Other]]+Table_NFI[[#This Row],[Winter Blanket]]&gt;0,1,0)</f>
        <v>0</v>
      </c>
      <c r="AN884" s="418">
        <f>IF(NFI_Expiration=1,IF($A884&lt;VLOOKUP(V$5,NFI,5,0),1,0)*Table_NFI[[#This Row],[Jerry Can]],Table_NFI[Jerry Can])</f>
        <v>0</v>
      </c>
      <c r="AO884" s="579" t="str">
        <f>IFERROR(VLOOKUP(Table_NFI[[#This Row],[Camp Name]],CL,2,0),"")</f>
        <v>MMR001CMP116</v>
      </c>
      <c r="AP884" s="574">
        <f ca="1">IF(Table_NFI[[#This Row],[Pcode]]="","",IF(OFFSET(CampList[Opening Date],MATCH(Table_NFI[[#This Row],[Pcode]],CampList[CP_Pcode],0)-1,0,1,1)&gt;=NFI_Monitor_Date,1,0))</f>
        <v>0</v>
      </c>
      <c r="AQ884" s="579" t="str">
        <f>IFERROR(VLOOKUP(Table_NFI[[#This Row],[Camp Name]],CL,3,0),"")</f>
        <v>Open</v>
      </c>
      <c r="AR884" s="378" t="str">
        <f ca="1">IF(Table_NFI[[#This Row],[Pcode]]="","",OFFSET(CampList[Priority],MATCH(Table_NFI[[#This Row],[Pcode]],CampList[CP_Pcode],0)-1,0,1,1))</f>
        <v>P4</v>
      </c>
      <c r="AS884" s="377">
        <f>IFERROR(Table_NFI[[#This Row],[Kitchen Set]]/VLOOKUP(Table_NFI[[#This Row],[Camp Name]],CL,4,0),"")</f>
        <v>0.56129985228951251</v>
      </c>
      <c r="AT884" s="572" t="s">
        <v>1095</v>
      </c>
      <c r="AU884" s="575"/>
    </row>
    <row r="885" spans="1:47" s="576" customFormat="1" ht="14.45" customHeight="1" x14ac:dyDescent="0.25">
      <c r="A885" s="381">
        <f t="shared" si="13"/>
        <v>42.3</v>
      </c>
      <c r="B885" s="571">
        <v>41253</v>
      </c>
      <c r="C885" s="572" t="s">
        <v>908</v>
      </c>
      <c r="D885" s="573" t="s">
        <v>908</v>
      </c>
      <c r="E885" s="572" t="s">
        <v>380</v>
      </c>
      <c r="F885" s="374" t="s">
        <v>310</v>
      </c>
      <c r="G885" s="374" t="s">
        <v>353</v>
      </c>
      <c r="H885" s="375">
        <v>4285</v>
      </c>
      <c r="I885" s="380"/>
      <c r="J885" s="373">
        <v>4055</v>
      </c>
      <c r="K885" s="373"/>
      <c r="L885" s="373"/>
      <c r="M885" s="373"/>
      <c r="N885" s="373"/>
      <c r="O885" s="373"/>
      <c r="P885" s="378">
        <v>0</v>
      </c>
      <c r="Q885" s="378">
        <v>0</v>
      </c>
      <c r="R885" s="378"/>
      <c r="S885" s="378"/>
      <c r="T885" s="378"/>
      <c r="U885" s="378"/>
      <c r="V885" s="533"/>
      <c r="W885" s="378"/>
      <c r="X885" s="378"/>
      <c r="Y885" s="378">
        <f>IF(NFI_Expiration=1,IF($A885&lt;VLOOKUP(H$5,NFI,5,0),1,0)*Table_NFI[[#This Row],[Hygiene Kit]],Table_NFI[Hygiene Kit])</f>
        <v>0</v>
      </c>
      <c r="Z885" s="378">
        <f>IF(NFI_Expiration=1,IF($A885&lt;VLOOKUP(I$5,NFI,5,0),1,0)*Table_NFI[[#This Row],[NFI Core Kit]],Table_NFI[NFI Core Kit])</f>
        <v>0</v>
      </c>
      <c r="AA885" s="378">
        <f>IF(NFI_Expiration=1,IF($A885&lt;VLOOKUP(J$5,NFI,5,0),1,0)*Table_NFI[[#This Row],[Sanitary Kit]],Table_NFI[Sanitary Kit])</f>
        <v>0</v>
      </c>
      <c r="AB885" s="378">
        <f>IF(NFI_Expiration=1,IF($A885&lt;VLOOKUP(K$5,NFI,5,0),1,0)*Table_NFI[[#This Row],[Mosquito net]],Table_NFI[Mosquito net])</f>
        <v>0</v>
      </c>
      <c r="AC885" s="378">
        <f>IF(NFI_Expiration=1,IF($A885&lt;VLOOKUP(L$5,NFI,5,0),1,0)*Table_NFI[[#This Row],[Tarpaulin]],Table_NFI[[#This Row],[Tarpaulin]])</f>
        <v>0</v>
      </c>
      <c r="AD885" s="378">
        <f>IF(NFI_Expiration=1,IF($A885&lt;VLOOKUP(M$5,NFI,5,0),1,0)*Table_NFI[[#This Row],[Blanket]],Table_NFI[[#This Row],[Blanket]])</f>
        <v>0</v>
      </c>
      <c r="AE885" s="378">
        <f>IF(NFI_Expiration=1,IF($A885&lt;VLOOKUP(N$5,NFI,5,0),1,0)*Table_NFI[[#This Row],[Kitchen Set]],Table_NFI[Kitchen Set])</f>
        <v>0</v>
      </c>
      <c r="AF885" s="378">
        <f>IF(NFI_Expiration=1,IF($A885&lt;VLOOKUP(O$5,NFI,5,0),1,0)*Table_NFI[[#This Row],[Clothes Kit]],Table_NFI[Clothes Kit])</f>
        <v>0</v>
      </c>
      <c r="AG885" s="378">
        <f>IF(NFI_Expiration=1,IF($A885&lt;VLOOKUP(P$5,NFI,5,0),1,0)*Table_NFI[[#This Row],[Plastic Bucket]],Table_NFI[Plastic Bucket])</f>
        <v>0</v>
      </c>
      <c r="AH885" s="378">
        <f>IF(NFI_Expiration=1,IF($A885&lt;VLOOKUP(Q$5,NFI,5,0),1,0)*Table_NFI[[#This Row],[Plastic Mat]],Table_NFI[Plastic Mat])*IF(Table_NFI[[#This Row],[Distribution Date]]&gt;"2014-04-01",1,2.5)</f>
        <v>0</v>
      </c>
      <c r="AI885" s="378">
        <f>IF(NFI_Expiration=1,IF($A885&lt;VLOOKUP(R$5,NFI,5,0),1,0)*Table_NFI[[#This Row],[Winter Clothes Adult]],Table_NFI[Winter Clothes Adult])</f>
        <v>0</v>
      </c>
      <c r="AJ885" s="378">
        <f>IF(NFI_Expiration=1,IF($A885&lt;VLOOKUP(S$5,NFI,5,0),1,0)*Table_NFI[[#This Row],[Winter Clothes Children]],Table_NFI[Winter Clothes Children])</f>
        <v>0</v>
      </c>
      <c r="AK885" s="378">
        <f>IF(NFI_Expiration=1,IF($A885&lt;VLOOKUP(T$5,NFI,5,0),1,0)*Table_NFI[[#This Row],[Winter Items Other]],Table_NFI[Winter Items Other])</f>
        <v>0</v>
      </c>
      <c r="AL885" s="378">
        <f>IF(NFI_Expiration=1,IF($A885&lt;VLOOKUP(M$5,NFI,5,0),1,0)*Table_NFI[[#This Row],[Winter Blanket]],Table_NFI[[#This Row],[Winter Blanket]])</f>
        <v>0</v>
      </c>
      <c r="AM885" s="378">
        <f>IF(Table_NFI[[#This Row],[Winter Clothes Adult]]+Table_NFI[[#This Row],[Winter Clothes Children]]+Table_NFI[[#This Row],[Winter Items Other]]+Table_NFI[[#This Row],[Winter Blanket]]&gt;0,1,0)</f>
        <v>0</v>
      </c>
      <c r="AN885" s="418">
        <f>IF(NFI_Expiration=1,IF($A885&lt;VLOOKUP(V$5,NFI,5,0),1,0)*Table_NFI[[#This Row],[Jerry Can]],Table_NFI[Jerry Can])</f>
        <v>0</v>
      </c>
      <c r="AO885" s="579" t="str">
        <f>IFERROR(VLOOKUP(Table_NFI[[#This Row],[Camp Name]],CL,2,0),"")</f>
        <v>MMR001CMP116</v>
      </c>
      <c r="AP885" s="574">
        <f ca="1">IF(Table_NFI[[#This Row],[Pcode]]="","",IF(OFFSET(CampList[Opening Date],MATCH(Table_NFI[[#This Row],[Pcode]],CampList[CP_Pcode],0)-1,0,1,1)&gt;=NFI_Monitor_Date,1,0))</f>
        <v>0</v>
      </c>
      <c r="AQ885" s="579" t="str">
        <f>IFERROR(VLOOKUP(Table_NFI[[#This Row],[Camp Name]],CL,3,0),"")</f>
        <v>Open</v>
      </c>
      <c r="AR885" s="378" t="str">
        <f ca="1">IF(Table_NFI[[#This Row],[Pcode]]="","",OFFSET(CampList[Priority],MATCH(Table_NFI[[#This Row],[Pcode]],CampList[CP_Pcode],0)-1,0,1,1))</f>
        <v>P4</v>
      </c>
      <c r="AS885" s="377">
        <f>IFERROR(Table_NFI[[#This Row],[Kitchen Set]]/VLOOKUP(Table_NFI[[#This Row],[Camp Name]],CL,4,0),"")</f>
        <v>0</v>
      </c>
      <c r="AT885" s="572" t="s">
        <v>1095</v>
      </c>
      <c r="AU885" s="575"/>
    </row>
    <row r="886" spans="1:47" s="576" customFormat="1" ht="14.45" customHeight="1" x14ac:dyDescent="0.25">
      <c r="A886" s="381">
        <f t="shared" si="13"/>
        <v>39.733333333333334</v>
      </c>
      <c r="B886" s="571">
        <v>41330</v>
      </c>
      <c r="C886" s="572" t="s">
        <v>454</v>
      </c>
      <c r="D886" s="573" t="s">
        <v>907</v>
      </c>
      <c r="E886" s="572" t="s">
        <v>380</v>
      </c>
      <c r="F886" s="374" t="s">
        <v>27</v>
      </c>
      <c r="G886" s="374" t="s">
        <v>37</v>
      </c>
      <c r="H886" s="375"/>
      <c r="I886" s="375"/>
      <c r="J886" s="375">
        <v>12</v>
      </c>
      <c r="K886" s="375">
        <v>18</v>
      </c>
      <c r="L886" s="376">
        <v>8</v>
      </c>
      <c r="M886" s="376">
        <v>18</v>
      </c>
      <c r="N886" s="376">
        <v>8</v>
      </c>
      <c r="O886" s="376">
        <v>8</v>
      </c>
      <c r="P886" s="378">
        <v>8</v>
      </c>
      <c r="Q886" s="378">
        <v>8</v>
      </c>
      <c r="R886" s="378"/>
      <c r="S886" s="378"/>
      <c r="T886" s="378"/>
      <c r="U886" s="378"/>
      <c r="V886" s="533"/>
      <c r="W886" s="378"/>
      <c r="X886" s="378"/>
      <c r="Y886" s="378">
        <f>IF(NFI_Expiration=1,IF($A886&lt;VLOOKUP(H$5,NFI,5,0),1,0)*Table_NFI[[#This Row],[Hygiene Kit]],Table_NFI[Hygiene Kit])</f>
        <v>0</v>
      </c>
      <c r="Z886" s="378">
        <f>IF(NFI_Expiration=1,IF($A886&lt;VLOOKUP(I$5,NFI,5,0),1,0)*Table_NFI[[#This Row],[NFI Core Kit]],Table_NFI[NFI Core Kit])</f>
        <v>0</v>
      </c>
      <c r="AA886" s="378">
        <f>IF(NFI_Expiration=1,IF($A886&lt;VLOOKUP(J$5,NFI,5,0),1,0)*Table_NFI[[#This Row],[Sanitary Kit]],Table_NFI[Sanitary Kit])</f>
        <v>0</v>
      </c>
      <c r="AB886" s="378">
        <f>IF(NFI_Expiration=1,IF($A886&lt;VLOOKUP(K$5,NFI,5,0),1,0)*Table_NFI[[#This Row],[Mosquito net]],Table_NFI[Mosquito net])</f>
        <v>0</v>
      </c>
      <c r="AC886" s="378">
        <f>IF(NFI_Expiration=1,IF($A886&lt;VLOOKUP(L$5,NFI,5,0),1,0)*Table_NFI[[#This Row],[Tarpaulin]],Table_NFI[[#This Row],[Tarpaulin]])</f>
        <v>0</v>
      </c>
      <c r="AD886" s="378">
        <f>IF(NFI_Expiration=1,IF($A886&lt;VLOOKUP(M$5,NFI,5,0),1,0)*Table_NFI[[#This Row],[Blanket]],Table_NFI[[#This Row],[Blanket]])</f>
        <v>0</v>
      </c>
      <c r="AE886" s="378">
        <f>IF(NFI_Expiration=1,IF($A886&lt;VLOOKUP(N$5,NFI,5,0),1,0)*Table_NFI[[#This Row],[Kitchen Set]],Table_NFI[Kitchen Set])</f>
        <v>0</v>
      </c>
      <c r="AF886" s="378">
        <f>IF(NFI_Expiration=1,IF($A886&lt;VLOOKUP(O$5,NFI,5,0),1,0)*Table_NFI[[#This Row],[Clothes Kit]],Table_NFI[Clothes Kit])</f>
        <v>0</v>
      </c>
      <c r="AG886" s="378">
        <f>IF(NFI_Expiration=1,IF($A886&lt;VLOOKUP(P$5,NFI,5,0),1,0)*Table_NFI[[#This Row],[Plastic Bucket]],Table_NFI[Plastic Bucket])</f>
        <v>0</v>
      </c>
      <c r="AH886" s="378">
        <f>IF(NFI_Expiration=1,IF($A886&lt;VLOOKUP(Q$5,NFI,5,0),1,0)*Table_NFI[[#This Row],[Plastic Mat]],Table_NFI[Plastic Mat])*IF(Table_NFI[[#This Row],[Distribution Date]]&gt;"2014-04-01",1,2.5)</f>
        <v>0</v>
      </c>
      <c r="AI886" s="378">
        <f>IF(NFI_Expiration=1,IF($A886&lt;VLOOKUP(R$5,NFI,5,0),1,0)*Table_NFI[[#This Row],[Winter Clothes Adult]],Table_NFI[Winter Clothes Adult])</f>
        <v>0</v>
      </c>
      <c r="AJ886" s="378">
        <f>IF(NFI_Expiration=1,IF($A886&lt;VLOOKUP(S$5,NFI,5,0),1,0)*Table_NFI[[#This Row],[Winter Clothes Children]],Table_NFI[Winter Clothes Children])</f>
        <v>0</v>
      </c>
      <c r="AK886" s="378">
        <f>IF(NFI_Expiration=1,IF($A886&lt;VLOOKUP(T$5,NFI,5,0),1,0)*Table_NFI[[#This Row],[Winter Items Other]],Table_NFI[Winter Items Other])</f>
        <v>0</v>
      </c>
      <c r="AL886" s="378">
        <f>IF(NFI_Expiration=1,IF($A886&lt;VLOOKUP(M$5,NFI,5,0),1,0)*Table_NFI[[#This Row],[Winter Blanket]],Table_NFI[[#This Row],[Winter Blanket]])</f>
        <v>0</v>
      </c>
      <c r="AM886" s="378">
        <f>IF(Table_NFI[[#This Row],[Winter Clothes Adult]]+Table_NFI[[#This Row],[Winter Clothes Children]]+Table_NFI[[#This Row],[Winter Items Other]]+Table_NFI[[#This Row],[Winter Blanket]]&gt;0,1,0)</f>
        <v>0</v>
      </c>
      <c r="AN886" s="418">
        <f>IF(NFI_Expiration=1,IF($A886&lt;VLOOKUP(V$5,NFI,5,0),1,0)*Table_NFI[[#This Row],[Jerry Can]],Table_NFI[Jerry Can])</f>
        <v>0</v>
      </c>
      <c r="AO886" s="579" t="str">
        <f>IFERROR(VLOOKUP(Table_NFI[[#This Row],[Camp Name]],CL,2,0),"")</f>
        <v>MMR001CMP044</v>
      </c>
      <c r="AP886" s="574">
        <f ca="1">IF(Table_NFI[[#This Row],[Pcode]]="","",IF(OFFSET(CampList[Opening Date],MATCH(Table_NFI[[#This Row],[Pcode]],CampList[CP_Pcode],0)-1,0,1,1)&gt;=NFI_Monitor_Date,1,0))</f>
        <v>0</v>
      </c>
      <c r="AQ886" s="579" t="str">
        <f>IFERROR(VLOOKUP(Table_NFI[[#This Row],[Camp Name]],CL,3,0),"")</f>
        <v>Closed</v>
      </c>
      <c r="AR886" s="378" t="str">
        <f ca="1">IF(Table_NFI[[#This Row],[Pcode]]="","",OFFSET(CampList[Priority],MATCH(Table_NFI[[#This Row],[Pcode]],CampList[CP_Pcode],0)-1,0,1,1))</f>
        <v/>
      </c>
      <c r="AS886" s="377" t="str">
        <f>IFERROR(Table_NFI[[#This Row],[Kitchen Set]]/VLOOKUP(Table_NFI[[#This Row],[Camp Name]],CL,4,0),"")</f>
        <v/>
      </c>
      <c r="AT886" s="572" t="s">
        <v>1095</v>
      </c>
      <c r="AU886" s="575"/>
    </row>
    <row r="887" spans="1:47" s="576" customFormat="1" ht="13.9" customHeight="1" x14ac:dyDescent="0.25">
      <c r="A887" s="381">
        <f t="shared" si="13"/>
        <v>44.666666666666664</v>
      </c>
      <c r="B887" s="571">
        <v>41182</v>
      </c>
      <c r="C887" s="572" t="s">
        <v>454</v>
      </c>
      <c r="D887" s="572" t="s">
        <v>907</v>
      </c>
      <c r="E887" s="572" t="s">
        <v>380</v>
      </c>
      <c r="F887" s="572" t="s">
        <v>27</v>
      </c>
      <c r="G887" s="374" t="s">
        <v>37</v>
      </c>
      <c r="H887" s="375"/>
      <c r="I887" s="375"/>
      <c r="J887" s="375"/>
      <c r="K887" s="375">
        <v>34</v>
      </c>
      <c r="L887" s="376">
        <v>12</v>
      </c>
      <c r="M887" s="376">
        <v>34</v>
      </c>
      <c r="N887" s="376">
        <v>12</v>
      </c>
      <c r="O887" s="376">
        <v>12</v>
      </c>
      <c r="P887" s="378">
        <v>12</v>
      </c>
      <c r="Q887" s="378">
        <v>12</v>
      </c>
      <c r="R887" s="378"/>
      <c r="S887" s="378"/>
      <c r="T887" s="378"/>
      <c r="U887" s="378"/>
      <c r="V887" s="533"/>
      <c r="W887" s="378"/>
      <c r="X887" s="378"/>
      <c r="Y887" s="378">
        <f>IF(NFI_Expiration=1,IF($A887&lt;VLOOKUP(H$5,NFI,5,0),1,0)*Table_NFI[[#This Row],[Hygiene Kit]],Table_NFI[Hygiene Kit])</f>
        <v>0</v>
      </c>
      <c r="Z887" s="378">
        <f>IF(NFI_Expiration=1,IF($A887&lt;VLOOKUP(I$5,NFI,5,0),1,0)*Table_NFI[[#This Row],[NFI Core Kit]],Table_NFI[NFI Core Kit])</f>
        <v>0</v>
      </c>
      <c r="AA887" s="378">
        <f>IF(NFI_Expiration=1,IF($A887&lt;VLOOKUP(J$5,NFI,5,0),1,0)*Table_NFI[[#This Row],[Sanitary Kit]],Table_NFI[Sanitary Kit])</f>
        <v>0</v>
      </c>
      <c r="AB887" s="378">
        <f>IF(NFI_Expiration=1,IF($A887&lt;VLOOKUP(K$5,NFI,5,0),1,0)*Table_NFI[[#This Row],[Mosquito net]],Table_NFI[Mosquito net])</f>
        <v>0</v>
      </c>
      <c r="AC887" s="378">
        <f>IF(NFI_Expiration=1,IF($A887&lt;VLOOKUP(L$5,NFI,5,0),1,0)*Table_NFI[[#This Row],[Tarpaulin]],Table_NFI[[#This Row],[Tarpaulin]])</f>
        <v>0</v>
      </c>
      <c r="AD887" s="378">
        <f>IF(NFI_Expiration=1,IF($A887&lt;VLOOKUP(M$5,NFI,5,0),1,0)*Table_NFI[[#This Row],[Blanket]],Table_NFI[[#This Row],[Blanket]])</f>
        <v>0</v>
      </c>
      <c r="AE887" s="378">
        <f>IF(NFI_Expiration=1,IF($A887&lt;VLOOKUP(N$5,NFI,5,0),1,0)*Table_NFI[[#This Row],[Kitchen Set]],Table_NFI[Kitchen Set])</f>
        <v>0</v>
      </c>
      <c r="AF887" s="378">
        <f>IF(NFI_Expiration=1,IF($A887&lt;VLOOKUP(O$5,NFI,5,0),1,0)*Table_NFI[[#This Row],[Clothes Kit]],Table_NFI[Clothes Kit])</f>
        <v>0</v>
      </c>
      <c r="AG887" s="378">
        <f>IF(NFI_Expiration=1,IF($A887&lt;VLOOKUP(P$5,NFI,5,0),1,0)*Table_NFI[[#This Row],[Plastic Bucket]],Table_NFI[Plastic Bucket])</f>
        <v>0</v>
      </c>
      <c r="AH887" s="378">
        <f>IF(NFI_Expiration=1,IF($A887&lt;VLOOKUP(Q$5,NFI,5,0),1,0)*Table_NFI[[#This Row],[Plastic Mat]],Table_NFI[Plastic Mat])*IF(Table_NFI[[#This Row],[Distribution Date]]&gt;"2014-04-01",1,2.5)</f>
        <v>0</v>
      </c>
      <c r="AI887" s="378">
        <f>IF(NFI_Expiration=1,IF($A887&lt;VLOOKUP(R$5,NFI,5,0),1,0)*Table_NFI[[#This Row],[Winter Clothes Adult]],Table_NFI[Winter Clothes Adult])</f>
        <v>0</v>
      </c>
      <c r="AJ887" s="378">
        <f>IF(NFI_Expiration=1,IF($A887&lt;VLOOKUP(S$5,NFI,5,0),1,0)*Table_NFI[[#This Row],[Winter Clothes Children]],Table_NFI[Winter Clothes Children])</f>
        <v>0</v>
      </c>
      <c r="AK887" s="378">
        <f>IF(NFI_Expiration=1,IF($A887&lt;VLOOKUP(T$5,NFI,5,0),1,0)*Table_NFI[[#This Row],[Winter Items Other]],Table_NFI[Winter Items Other])</f>
        <v>0</v>
      </c>
      <c r="AL887" s="378">
        <f>IF(NFI_Expiration=1,IF($A887&lt;VLOOKUP(M$5,NFI,5,0),1,0)*Table_NFI[[#This Row],[Winter Blanket]],Table_NFI[[#This Row],[Winter Blanket]])</f>
        <v>0</v>
      </c>
      <c r="AM887" s="378">
        <f>IF(Table_NFI[[#This Row],[Winter Clothes Adult]]+Table_NFI[[#This Row],[Winter Clothes Children]]+Table_NFI[[#This Row],[Winter Items Other]]+Table_NFI[[#This Row],[Winter Blanket]]&gt;0,1,0)</f>
        <v>0</v>
      </c>
      <c r="AN887" s="418">
        <f>IF(NFI_Expiration=1,IF($A887&lt;VLOOKUP(V$5,NFI,5,0),1,0)*Table_NFI[[#This Row],[Jerry Can]],Table_NFI[Jerry Can])</f>
        <v>0</v>
      </c>
      <c r="AO887" s="579" t="str">
        <f>IFERROR(VLOOKUP(Table_NFI[[#This Row],[Camp Name]],CL,2,0),"")</f>
        <v>MMR001CMP044</v>
      </c>
      <c r="AP887" s="574">
        <f ca="1">IF(Table_NFI[[#This Row],[Pcode]]="","",IF(OFFSET(CampList[Opening Date],MATCH(Table_NFI[[#This Row],[Pcode]],CampList[CP_Pcode],0)-1,0,1,1)&gt;=NFI_Monitor_Date,1,0))</f>
        <v>0</v>
      </c>
      <c r="AQ887" s="579" t="str">
        <f>IFERROR(VLOOKUP(Table_NFI[[#This Row],[Camp Name]],CL,3,0),"")</f>
        <v>Closed</v>
      </c>
      <c r="AR887" s="378" t="str">
        <f ca="1">IF(Table_NFI[[#This Row],[Pcode]]="","",OFFSET(CampList[Priority],MATCH(Table_NFI[[#This Row],[Pcode]],CampList[CP_Pcode],0)-1,0,1,1))</f>
        <v/>
      </c>
      <c r="AS887" s="377" t="str">
        <f>IFERROR(Table_NFI[[#This Row],[Kitchen Set]]/VLOOKUP(Table_NFI[[#This Row],[Camp Name]],CL,4,0),"")</f>
        <v/>
      </c>
      <c r="AT887" s="572" t="s">
        <v>1095</v>
      </c>
      <c r="AU887" s="575"/>
    </row>
    <row r="888" spans="1:47" s="576" customFormat="1" ht="14.45" customHeight="1" x14ac:dyDescent="0.25">
      <c r="A888" s="381">
        <f t="shared" si="13"/>
        <v>38.966666666666669</v>
      </c>
      <c r="B888" s="571">
        <v>41353</v>
      </c>
      <c r="C888" s="572" t="s">
        <v>454</v>
      </c>
      <c r="D888" s="573" t="s">
        <v>454</v>
      </c>
      <c r="E888" s="572" t="s">
        <v>380</v>
      </c>
      <c r="F888" s="374" t="s">
        <v>529</v>
      </c>
      <c r="G888" s="374" t="s">
        <v>74</v>
      </c>
      <c r="H888" s="375"/>
      <c r="I888" s="375"/>
      <c r="J888" s="375">
        <v>34</v>
      </c>
      <c r="K888" s="375">
        <v>26</v>
      </c>
      <c r="L888" s="376">
        <v>26</v>
      </c>
      <c r="M888" s="376">
        <v>60</v>
      </c>
      <c r="N888" s="376">
        <v>26</v>
      </c>
      <c r="O888" s="376">
        <v>60</v>
      </c>
      <c r="P888" s="378">
        <v>60</v>
      </c>
      <c r="Q888" s="378">
        <v>60</v>
      </c>
      <c r="R888" s="378"/>
      <c r="S888" s="378"/>
      <c r="T888" s="378"/>
      <c r="U888" s="378"/>
      <c r="V888" s="533"/>
      <c r="W888" s="378"/>
      <c r="X888" s="378"/>
      <c r="Y888" s="378">
        <f>IF(NFI_Expiration=1,IF($A888&lt;VLOOKUP(H$5,NFI,5,0),1,0)*Table_NFI[[#This Row],[Hygiene Kit]],Table_NFI[Hygiene Kit])</f>
        <v>0</v>
      </c>
      <c r="Z888" s="378">
        <f>IF(NFI_Expiration=1,IF($A888&lt;VLOOKUP(I$5,NFI,5,0),1,0)*Table_NFI[[#This Row],[NFI Core Kit]],Table_NFI[NFI Core Kit])</f>
        <v>0</v>
      </c>
      <c r="AA888" s="378">
        <f>IF(NFI_Expiration=1,IF($A888&lt;VLOOKUP(J$5,NFI,5,0),1,0)*Table_NFI[[#This Row],[Sanitary Kit]],Table_NFI[Sanitary Kit])</f>
        <v>0</v>
      </c>
      <c r="AB888" s="378">
        <f>IF(NFI_Expiration=1,IF($A888&lt;VLOOKUP(K$5,NFI,5,0),1,0)*Table_NFI[[#This Row],[Mosquito net]],Table_NFI[Mosquito net])</f>
        <v>0</v>
      </c>
      <c r="AC888" s="378">
        <f>IF(NFI_Expiration=1,IF($A888&lt;VLOOKUP(L$5,NFI,5,0),1,0)*Table_NFI[[#This Row],[Tarpaulin]],Table_NFI[[#This Row],[Tarpaulin]])</f>
        <v>0</v>
      </c>
      <c r="AD888" s="378">
        <f>IF(NFI_Expiration=1,IF($A888&lt;VLOOKUP(M$5,NFI,5,0),1,0)*Table_NFI[[#This Row],[Blanket]],Table_NFI[[#This Row],[Blanket]])</f>
        <v>0</v>
      </c>
      <c r="AE888" s="378">
        <f>IF(NFI_Expiration=1,IF($A888&lt;VLOOKUP(N$5,NFI,5,0),1,0)*Table_NFI[[#This Row],[Kitchen Set]],Table_NFI[Kitchen Set])</f>
        <v>0</v>
      </c>
      <c r="AF888" s="378">
        <f>IF(NFI_Expiration=1,IF($A888&lt;VLOOKUP(O$5,NFI,5,0),1,0)*Table_NFI[[#This Row],[Clothes Kit]],Table_NFI[Clothes Kit])</f>
        <v>0</v>
      </c>
      <c r="AG888" s="378">
        <f>IF(NFI_Expiration=1,IF($A888&lt;VLOOKUP(P$5,NFI,5,0),1,0)*Table_NFI[[#This Row],[Plastic Bucket]],Table_NFI[Plastic Bucket])</f>
        <v>0</v>
      </c>
      <c r="AH888" s="378">
        <f>IF(NFI_Expiration=1,IF($A888&lt;VLOOKUP(Q$5,NFI,5,0),1,0)*Table_NFI[[#This Row],[Plastic Mat]],Table_NFI[Plastic Mat])*IF(Table_NFI[[#This Row],[Distribution Date]]&gt;"2014-04-01",1,2.5)</f>
        <v>0</v>
      </c>
      <c r="AI888" s="378">
        <f>IF(NFI_Expiration=1,IF($A888&lt;VLOOKUP(R$5,NFI,5,0),1,0)*Table_NFI[[#This Row],[Winter Clothes Adult]],Table_NFI[Winter Clothes Adult])</f>
        <v>0</v>
      </c>
      <c r="AJ888" s="378">
        <f>IF(NFI_Expiration=1,IF($A888&lt;VLOOKUP(S$5,NFI,5,0),1,0)*Table_NFI[[#This Row],[Winter Clothes Children]],Table_NFI[Winter Clothes Children])</f>
        <v>0</v>
      </c>
      <c r="AK888" s="378">
        <f>IF(NFI_Expiration=1,IF($A888&lt;VLOOKUP(T$5,NFI,5,0),1,0)*Table_NFI[[#This Row],[Winter Items Other]],Table_NFI[Winter Items Other])</f>
        <v>0</v>
      </c>
      <c r="AL888" s="378">
        <f>IF(NFI_Expiration=1,IF($A888&lt;VLOOKUP(M$5,NFI,5,0),1,0)*Table_NFI[[#This Row],[Winter Blanket]],Table_NFI[[#This Row],[Winter Blanket]])</f>
        <v>0</v>
      </c>
      <c r="AM888" s="378">
        <f>IF(Table_NFI[[#This Row],[Winter Clothes Adult]]+Table_NFI[[#This Row],[Winter Clothes Children]]+Table_NFI[[#This Row],[Winter Items Other]]+Table_NFI[[#This Row],[Winter Blanket]]&gt;0,1,0)</f>
        <v>0</v>
      </c>
      <c r="AN888" s="418">
        <f>IF(NFI_Expiration=1,IF($A888&lt;VLOOKUP(V$5,NFI,5,0),1,0)*Table_NFI[[#This Row],[Jerry Can]],Table_NFI[Jerry Can])</f>
        <v>0</v>
      </c>
      <c r="AO888" s="579" t="str">
        <f>IFERROR(VLOOKUP(Table_NFI[[#This Row],[Camp Name]],CL,2,0),"")</f>
        <v>MMR001CMP175</v>
      </c>
      <c r="AP888" s="574">
        <f ca="1">IF(Table_NFI[[#This Row],[Pcode]]="","",IF(OFFSET(CampList[Opening Date],MATCH(Table_NFI[[#This Row],[Pcode]],CampList[CP_Pcode],0)-1,0,1,1)&gt;=NFI_Monitor_Date,1,0))</f>
        <v>0</v>
      </c>
      <c r="AQ888" s="579" t="str">
        <f>IFERROR(VLOOKUP(Table_NFI[[#This Row],[Camp Name]],CL,3,0),"")</f>
        <v>Closed</v>
      </c>
      <c r="AR888" s="378" t="str">
        <f ca="1">IF(Table_NFI[[#This Row],[Pcode]]="","",OFFSET(CampList[Priority],MATCH(Table_NFI[[#This Row],[Pcode]],CampList[CP_Pcode],0)-1,0,1,1))</f>
        <v/>
      </c>
      <c r="AS888" s="377" t="str">
        <f>IFERROR(Table_NFI[[#This Row],[Kitchen Set]]/VLOOKUP(Table_NFI[[#This Row],[Camp Name]],CL,4,0),"")</f>
        <v/>
      </c>
      <c r="AT888" s="572" t="s">
        <v>1095</v>
      </c>
      <c r="AU888" s="575"/>
    </row>
    <row r="889" spans="1:47" s="576" customFormat="1" ht="15" customHeight="1" x14ac:dyDescent="0.25">
      <c r="A889" s="381">
        <f t="shared" si="13"/>
        <v>39.93333333333333</v>
      </c>
      <c r="B889" s="571">
        <v>41324</v>
      </c>
      <c r="C889" s="572" t="s">
        <v>454</v>
      </c>
      <c r="D889" s="573" t="s">
        <v>454</v>
      </c>
      <c r="E889" s="572" t="s">
        <v>380</v>
      </c>
      <c r="F889" s="374" t="s">
        <v>529</v>
      </c>
      <c r="G889" s="374" t="s">
        <v>74</v>
      </c>
      <c r="H889" s="375"/>
      <c r="I889" s="375"/>
      <c r="J889" s="375">
        <v>2</v>
      </c>
      <c r="K889" s="375">
        <v>3</v>
      </c>
      <c r="L889" s="376">
        <v>2</v>
      </c>
      <c r="M889" s="376">
        <v>7</v>
      </c>
      <c r="N889" s="376">
        <v>2</v>
      </c>
      <c r="O889" s="376">
        <v>2</v>
      </c>
      <c r="P889" s="378">
        <v>2</v>
      </c>
      <c r="Q889" s="378">
        <v>2</v>
      </c>
      <c r="R889" s="378"/>
      <c r="S889" s="378"/>
      <c r="T889" s="378"/>
      <c r="U889" s="378"/>
      <c r="V889" s="533"/>
      <c r="W889" s="378"/>
      <c r="X889" s="378"/>
      <c r="Y889" s="378">
        <f>IF(NFI_Expiration=1,IF($A889&lt;VLOOKUP(H$5,NFI,5,0),1,0)*Table_NFI[[#This Row],[Hygiene Kit]],Table_NFI[Hygiene Kit])</f>
        <v>0</v>
      </c>
      <c r="Z889" s="378">
        <f>IF(NFI_Expiration=1,IF($A889&lt;VLOOKUP(I$5,NFI,5,0),1,0)*Table_NFI[[#This Row],[NFI Core Kit]],Table_NFI[NFI Core Kit])</f>
        <v>0</v>
      </c>
      <c r="AA889" s="378">
        <f>IF(NFI_Expiration=1,IF($A889&lt;VLOOKUP(J$5,NFI,5,0),1,0)*Table_NFI[[#This Row],[Sanitary Kit]],Table_NFI[Sanitary Kit])</f>
        <v>0</v>
      </c>
      <c r="AB889" s="378">
        <f>IF(NFI_Expiration=1,IF($A889&lt;VLOOKUP(K$5,NFI,5,0),1,0)*Table_NFI[[#This Row],[Mosquito net]],Table_NFI[Mosquito net])</f>
        <v>0</v>
      </c>
      <c r="AC889" s="378">
        <f>IF(NFI_Expiration=1,IF($A889&lt;VLOOKUP(L$5,NFI,5,0),1,0)*Table_NFI[[#This Row],[Tarpaulin]],Table_NFI[[#This Row],[Tarpaulin]])</f>
        <v>0</v>
      </c>
      <c r="AD889" s="378">
        <f>IF(NFI_Expiration=1,IF($A889&lt;VLOOKUP(M$5,NFI,5,0),1,0)*Table_NFI[[#This Row],[Blanket]],Table_NFI[[#This Row],[Blanket]])</f>
        <v>0</v>
      </c>
      <c r="AE889" s="378">
        <f>IF(NFI_Expiration=1,IF($A889&lt;VLOOKUP(N$5,NFI,5,0),1,0)*Table_NFI[[#This Row],[Kitchen Set]],Table_NFI[Kitchen Set])</f>
        <v>0</v>
      </c>
      <c r="AF889" s="378">
        <f>IF(NFI_Expiration=1,IF($A889&lt;VLOOKUP(O$5,NFI,5,0),1,0)*Table_NFI[[#This Row],[Clothes Kit]],Table_NFI[Clothes Kit])</f>
        <v>0</v>
      </c>
      <c r="AG889" s="378">
        <f>IF(NFI_Expiration=1,IF($A889&lt;VLOOKUP(P$5,NFI,5,0),1,0)*Table_NFI[[#This Row],[Plastic Bucket]],Table_NFI[Plastic Bucket])</f>
        <v>0</v>
      </c>
      <c r="AH889" s="378">
        <f>IF(NFI_Expiration=1,IF($A889&lt;VLOOKUP(Q$5,NFI,5,0),1,0)*Table_NFI[[#This Row],[Plastic Mat]],Table_NFI[Plastic Mat])*IF(Table_NFI[[#This Row],[Distribution Date]]&gt;"2014-04-01",1,2.5)</f>
        <v>0</v>
      </c>
      <c r="AI889" s="378">
        <f>IF(NFI_Expiration=1,IF($A889&lt;VLOOKUP(R$5,NFI,5,0),1,0)*Table_NFI[[#This Row],[Winter Clothes Adult]],Table_NFI[Winter Clothes Adult])</f>
        <v>0</v>
      </c>
      <c r="AJ889" s="378">
        <f>IF(NFI_Expiration=1,IF($A889&lt;VLOOKUP(S$5,NFI,5,0),1,0)*Table_NFI[[#This Row],[Winter Clothes Children]],Table_NFI[Winter Clothes Children])</f>
        <v>0</v>
      </c>
      <c r="AK889" s="378">
        <f>IF(NFI_Expiration=1,IF($A889&lt;VLOOKUP(T$5,NFI,5,0),1,0)*Table_NFI[[#This Row],[Winter Items Other]],Table_NFI[Winter Items Other])</f>
        <v>0</v>
      </c>
      <c r="AL889" s="378">
        <f>IF(NFI_Expiration=1,IF($A889&lt;VLOOKUP(M$5,NFI,5,0),1,0)*Table_NFI[[#This Row],[Winter Blanket]],Table_NFI[[#This Row],[Winter Blanket]])</f>
        <v>0</v>
      </c>
      <c r="AM889" s="378">
        <f>IF(Table_NFI[[#This Row],[Winter Clothes Adult]]+Table_NFI[[#This Row],[Winter Clothes Children]]+Table_NFI[[#This Row],[Winter Items Other]]+Table_NFI[[#This Row],[Winter Blanket]]&gt;0,1,0)</f>
        <v>0</v>
      </c>
      <c r="AN889" s="418">
        <f>IF(NFI_Expiration=1,IF($A889&lt;VLOOKUP(V$5,NFI,5,0),1,0)*Table_NFI[[#This Row],[Jerry Can]],Table_NFI[Jerry Can])</f>
        <v>0</v>
      </c>
      <c r="AO889" s="579" t="str">
        <f>IFERROR(VLOOKUP(Table_NFI[[#This Row],[Camp Name]],CL,2,0),"")</f>
        <v>MMR001CMP175</v>
      </c>
      <c r="AP889" s="574">
        <f ca="1">IF(Table_NFI[[#This Row],[Pcode]]="","",IF(OFFSET(CampList[Opening Date],MATCH(Table_NFI[[#This Row],[Pcode]],CampList[CP_Pcode],0)-1,0,1,1)&gt;=NFI_Monitor_Date,1,0))</f>
        <v>0</v>
      </c>
      <c r="AQ889" s="579" t="str">
        <f>IFERROR(VLOOKUP(Table_NFI[[#This Row],[Camp Name]],CL,3,0),"")</f>
        <v>Closed</v>
      </c>
      <c r="AR889" s="378" t="str">
        <f ca="1">IF(Table_NFI[[#This Row],[Pcode]]="","",OFFSET(CampList[Priority],MATCH(Table_NFI[[#This Row],[Pcode]],CampList[CP_Pcode],0)-1,0,1,1))</f>
        <v/>
      </c>
      <c r="AS889" s="377" t="str">
        <f>IFERROR(Table_NFI[[#This Row],[Kitchen Set]]/VLOOKUP(Table_NFI[[#This Row],[Camp Name]],CL,4,0),"")</f>
        <v/>
      </c>
      <c r="AT889" s="572" t="s">
        <v>1095</v>
      </c>
      <c r="AU889" s="575"/>
    </row>
    <row r="890" spans="1:47" s="576" customFormat="1" x14ac:dyDescent="0.25">
      <c r="A890" s="381">
        <f t="shared" si="13"/>
        <v>41.6</v>
      </c>
      <c r="B890" s="571">
        <v>41274</v>
      </c>
      <c r="C890" s="572" t="s">
        <v>455</v>
      </c>
      <c r="D890" s="572" t="s">
        <v>455</v>
      </c>
      <c r="E890" s="572" t="s">
        <v>380</v>
      </c>
      <c r="F890" s="374" t="s">
        <v>529</v>
      </c>
      <c r="G890" s="374" t="s">
        <v>74</v>
      </c>
      <c r="H890" s="375">
        <v>3</v>
      </c>
      <c r="I890" s="375"/>
      <c r="J890" s="375"/>
      <c r="K890" s="375"/>
      <c r="L890" s="376"/>
      <c r="M890" s="376"/>
      <c r="N890" s="376"/>
      <c r="O890" s="376"/>
      <c r="P890" s="378">
        <v>0</v>
      </c>
      <c r="Q890" s="378">
        <v>0</v>
      </c>
      <c r="R890" s="378"/>
      <c r="S890" s="378"/>
      <c r="T890" s="378"/>
      <c r="U890" s="378"/>
      <c r="V890" s="533"/>
      <c r="W890" s="378"/>
      <c r="X890" s="378"/>
      <c r="Y890" s="378">
        <f>IF(NFI_Expiration=1,IF($A890&lt;VLOOKUP(H$5,NFI,5,0),1,0)*Table_NFI[[#This Row],[Hygiene Kit]],Table_NFI[Hygiene Kit])</f>
        <v>0</v>
      </c>
      <c r="Z890" s="378">
        <f>IF(NFI_Expiration=1,IF($A890&lt;VLOOKUP(I$5,NFI,5,0),1,0)*Table_NFI[[#This Row],[NFI Core Kit]],Table_NFI[NFI Core Kit])</f>
        <v>0</v>
      </c>
      <c r="AA890" s="378">
        <f>IF(NFI_Expiration=1,IF($A890&lt;VLOOKUP(J$5,NFI,5,0),1,0)*Table_NFI[[#This Row],[Sanitary Kit]],Table_NFI[Sanitary Kit])</f>
        <v>0</v>
      </c>
      <c r="AB890" s="378">
        <f>IF(NFI_Expiration=1,IF($A890&lt;VLOOKUP(K$5,NFI,5,0),1,0)*Table_NFI[[#This Row],[Mosquito net]],Table_NFI[Mosquito net])</f>
        <v>0</v>
      </c>
      <c r="AC890" s="378">
        <f>IF(NFI_Expiration=1,IF($A890&lt;VLOOKUP(L$5,NFI,5,0),1,0)*Table_NFI[[#This Row],[Tarpaulin]],Table_NFI[[#This Row],[Tarpaulin]])</f>
        <v>0</v>
      </c>
      <c r="AD890" s="378">
        <f>IF(NFI_Expiration=1,IF($A890&lt;VLOOKUP(M$5,NFI,5,0),1,0)*Table_NFI[[#This Row],[Blanket]],Table_NFI[[#This Row],[Blanket]])</f>
        <v>0</v>
      </c>
      <c r="AE890" s="378">
        <f>IF(NFI_Expiration=1,IF($A890&lt;VLOOKUP(N$5,NFI,5,0),1,0)*Table_NFI[[#This Row],[Kitchen Set]],Table_NFI[Kitchen Set])</f>
        <v>0</v>
      </c>
      <c r="AF890" s="378">
        <f>IF(NFI_Expiration=1,IF($A890&lt;VLOOKUP(O$5,NFI,5,0),1,0)*Table_NFI[[#This Row],[Clothes Kit]],Table_NFI[Clothes Kit])</f>
        <v>0</v>
      </c>
      <c r="AG890" s="378">
        <f>IF(NFI_Expiration=1,IF($A890&lt;VLOOKUP(P$5,NFI,5,0),1,0)*Table_NFI[[#This Row],[Plastic Bucket]],Table_NFI[Plastic Bucket])</f>
        <v>0</v>
      </c>
      <c r="AH890" s="378">
        <f>IF(NFI_Expiration=1,IF($A890&lt;VLOOKUP(Q$5,NFI,5,0),1,0)*Table_NFI[[#This Row],[Plastic Mat]],Table_NFI[Plastic Mat])*IF(Table_NFI[[#This Row],[Distribution Date]]&gt;"2014-04-01",1,2.5)</f>
        <v>0</v>
      </c>
      <c r="AI890" s="378">
        <f>IF(NFI_Expiration=1,IF($A890&lt;VLOOKUP(R$5,NFI,5,0),1,0)*Table_NFI[[#This Row],[Winter Clothes Adult]],Table_NFI[Winter Clothes Adult])</f>
        <v>0</v>
      </c>
      <c r="AJ890" s="378">
        <f>IF(NFI_Expiration=1,IF($A890&lt;VLOOKUP(S$5,NFI,5,0),1,0)*Table_NFI[[#This Row],[Winter Clothes Children]],Table_NFI[Winter Clothes Children])</f>
        <v>0</v>
      </c>
      <c r="AK890" s="378">
        <f>IF(NFI_Expiration=1,IF($A890&lt;VLOOKUP(T$5,NFI,5,0),1,0)*Table_NFI[[#This Row],[Winter Items Other]],Table_NFI[Winter Items Other])</f>
        <v>0</v>
      </c>
      <c r="AL890" s="378">
        <f>IF(NFI_Expiration=1,IF($A890&lt;VLOOKUP(M$5,NFI,5,0),1,0)*Table_NFI[[#This Row],[Winter Blanket]],Table_NFI[[#This Row],[Winter Blanket]])</f>
        <v>0</v>
      </c>
      <c r="AM890" s="378">
        <f>IF(Table_NFI[[#This Row],[Winter Clothes Adult]]+Table_NFI[[#This Row],[Winter Clothes Children]]+Table_NFI[[#This Row],[Winter Items Other]]+Table_NFI[[#This Row],[Winter Blanket]]&gt;0,1,0)</f>
        <v>0</v>
      </c>
      <c r="AN890" s="418">
        <f>IF(NFI_Expiration=1,IF($A890&lt;VLOOKUP(V$5,NFI,5,0),1,0)*Table_NFI[[#This Row],[Jerry Can]],Table_NFI[Jerry Can])</f>
        <v>0</v>
      </c>
      <c r="AO890" s="579" t="str">
        <f>IFERROR(VLOOKUP(Table_NFI[[#This Row],[Camp Name]],CL,2,0),"")</f>
        <v>MMR001CMP175</v>
      </c>
      <c r="AP890" s="574">
        <f ca="1">IF(Table_NFI[[#This Row],[Pcode]]="","",IF(OFFSET(CampList[Opening Date],MATCH(Table_NFI[[#This Row],[Pcode]],CampList[CP_Pcode],0)-1,0,1,1)&gt;=NFI_Monitor_Date,1,0))</f>
        <v>0</v>
      </c>
      <c r="AQ890" s="579" t="str">
        <f>IFERROR(VLOOKUP(Table_NFI[[#This Row],[Camp Name]],CL,3,0),"")</f>
        <v>Closed</v>
      </c>
      <c r="AR890" s="378" t="str">
        <f ca="1">IF(Table_NFI[[#This Row],[Pcode]]="","",OFFSET(CampList[Priority],MATCH(Table_NFI[[#This Row],[Pcode]],CampList[CP_Pcode],0)-1,0,1,1))</f>
        <v/>
      </c>
      <c r="AS890" s="377" t="str">
        <f>IFERROR(Table_NFI[[#This Row],[Kitchen Set]]/VLOOKUP(Table_NFI[[#This Row],[Camp Name]],CL,4,0),"")</f>
        <v/>
      </c>
      <c r="AT890" s="572" t="s">
        <v>1095</v>
      </c>
      <c r="AU890" s="575"/>
    </row>
    <row r="891" spans="1:47" s="576" customFormat="1" ht="14.45" customHeight="1" x14ac:dyDescent="0.25">
      <c r="A891" s="381">
        <f t="shared" si="13"/>
        <v>20.3</v>
      </c>
      <c r="B891" s="571">
        <v>41913</v>
      </c>
      <c r="C891" s="572" t="s">
        <v>454</v>
      </c>
      <c r="D891" s="577" t="s">
        <v>507</v>
      </c>
      <c r="E891" s="577" t="s">
        <v>380</v>
      </c>
      <c r="F891" s="577" t="s">
        <v>237</v>
      </c>
      <c r="G891" s="577" t="s">
        <v>283</v>
      </c>
      <c r="H891" s="376"/>
      <c r="I891" s="376"/>
      <c r="J891" s="376"/>
      <c r="K891" s="376">
        <v>12</v>
      </c>
      <c r="L891" s="376"/>
      <c r="M891" s="376"/>
      <c r="N891" s="376"/>
      <c r="O891" s="376"/>
      <c r="P891" s="378"/>
      <c r="Q891" s="378"/>
      <c r="R891" s="378"/>
      <c r="S891" s="378"/>
      <c r="T891" s="378"/>
      <c r="U891" s="378"/>
      <c r="V891" s="533"/>
      <c r="W891" s="378"/>
      <c r="X891" s="378"/>
      <c r="Y891" s="378">
        <f>IF(NFI_Expiration=1,IF($A891&lt;VLOOKUP(H$5,NFI,5,0),1,0)*Table_NFI[[#This Row],[Hygiene Kit]],Table_NFI[Hygiene Kit])</f>
        <v>0</v>
      </c>
      <c r="Z891" s="378">
        <f>IF(NFI_Expiration=1,IF($A891&lt;VLOOKUP(I$5,NFI,5,0),1,0)*Table_NFI[[#This Row],[NFI Core Kit]],Table_NFI[NFI Core Kit])</f>
        <v>0</v>
      </c>
      <c r="AA891" s="378">
        <f>IF(NFI_Expiration=1,IF($A891&lt;VLOOKUP(J$5,NFI,5,0),1,0)*Table_NFI[[#This Row],[Sanitary Kit]],Table_NFI[Sanitary Kit])</f>
        <v>0</v>
      </c>
      <c r="AB891" s="378">
        <f>IF(NFI_Expiration=1,IF($A891&lt;VLOOKUP(K$5,NFI,5,0),1,0)*Table_NFI[[#This Row],[Mosquito net]],Table_NFI[Mosquito net])</f>
        <v>0</v>
      </c>
      <c r="AC891" s="378">
        <f>IF(NFI_Expiration=1,IF($A891&lt;VLOOKUP(L$5,NFI,5,0),1,0)*Table_NFI[[#This Row],[Tarpaulin]],Table_NFI[[#This Row],[Tarpaulin]])</f>
        <v>0</v>
      </c>
      <c r="AD891" s="378">
        <f>IF(NFI_Expiration=1,IF($A891&lt;VLOOKUP(M$5,NFI,5,0),1,0)*Table_NFI[[#This Row],[Blanket]],Table_NFI[[#This Row],[Blanket]])</f>
        <v>0</v>
      </c>
      <c r="AE891" s="378">
        <f>IF(NFI_Expiration=1,IF($A891&lt;VLOOKUP(N$5,NFI,5,0),1,0)*Table_NFI[[#This Row],[Kitchen Set]],Table_NFI[Kitchen Set])</f>
        <v>0</v>
      </c>
      <c r="AF891" s="378">
        <f>IF(NFI_Expiration=1,IF($A891&lt;VLOOKUP(O$5,NFI,5,0),1,0)*Table_NFI[[#This Row],[Clothes Kit]],Table_NFI[Clothes Kit])</f>
        <v>0</v>
      </c>
      <c r="AG891" s="378">
        <f>IF(NFI_Expiration=1,IF($A891&lt;VLOOKUP(P$5,NFI,5,0),1,0)*Table_NFI[[#This Row],[Plastic Bucket]],Table_NFI[Plastic Bucket])</f>
        <v>0</v>
      </c>
      <c r="AH891" s="378">
        <f>IF(NFI_Expiration=1,IF($A891&lt;VLOOKUP(Q$5,NFI,5,0),1,0)*Table_NFI[[#This Row],[Plastic Mat]],Table_NFI[Plastic Mat])*IF(Table_NFI[[#This Row],[Distribution Date]]&gt;"2014-04-01",1,2.5)</f>
        <v>0</v>
      </c>
      <c r="AI891" s="378">
        <f>IF(NFI_Expiration=1,IF($A891&lt;VLOOKUP(R$5,NFI,5,0),1,0)*Table_NFI[[#This Row],[Winter Clothes Adult]],Table_NFI[Winter Clothes Adult])</f>
        <v>0</v>
      </c>
      <c r="AJ891" s="378">
        <f>IF(NFI_Expiration=1,IF($A891&lt;VLOOKUP(S$5,NFI,5,0),1,0)*Table_NFI[[#This Row],[Winter Clothes Children]],Table_NFI[Winter Clothes Children])</f>
        <v>0</v>
      </c>
      <c r="AK891" s="378">
        <f>IF(NFI_Expiration=1,IF($A891&lt;VLOOKUP(T$5,NFI,5,0),1,0)*Table_NFI[[#This Row],[Winter Items Other]],Table_NFI[Winter Items Other])</f>
        <v>0</v>
      </c>
      <c r="AL891" s="378">
        <f>IF(NFI_Expiration=1,IF($A891&lt;VLOOKUP(M$5,NFI,5,0),1,0)*Table_NFI[[#This Row],[Winter Blanket]],Table_NFI[[#This Row],[Winter Blanket]])</f>
        <v>0</v>
      </c>
      <c r="AM891" s="378">
        <f>IF(Table_NFI[[#This Row],[Winter Clothes Adult]]+Table_NFI[[#This Row],[Winter Clothes Children]]+Table_NFI[[#This Row],[Winter Items Other]]+Table_NFI[[#This Row],[Winter Blanket]]&gt;0,1,0)</f>
        <v>0</v>
      </c>
      <c r="AN891" s="418">
        <f>IF(NFI_Expiration=1,IF($A891&lt;VLOOKUP(V$5,NFI,5,0),1,0)*Table_NFI[[#This Row],[Jerry Can]],Table_NFI[Jerry Can])</f>
        <v>0</v>
      </c>
      <c r="AO891" s="579" t="str">
        <f>IFERROR(VLOOKUP(Table_NFI[[#This Row],[Camp Name]],CL,2,0),"")</f>
        <v>MMR001CMP022</v>
      </c>
      <c r="AP891" s="574">
        <f ca="1">IF(Table_NFI[[#This Row],[Pcode]]="","",IF(OFFSET(CampList[Opening Date],MATCH(Table_NFI[[#This Row],[Pcode]],CampList[CP_Pcode],0)-1,0,1,1)&gt;=NFI_Monitor_Date,1,0))</f>
        <v>0</v>
      </c>
      <c r="AQ891" s="579" t="str">
        <f>IFERROR(VLOOKUP(Table_NFI[[#This Row],[Camp Name]],CL,3,0),"")</f>
        <v>Open</v>
      </c>
      <c r="AR891" s="378" t="str">
        <f ca="1">IF(Table_NFI[[#This Row],[Pcode]]="","",OFFSET(CampList[Priority],MATCH(Table_NFI[[#This Row],[Pcode]],CampList[CP_Pcode],0)-1,0,1,1))</f>
        <v>P4</v>
      </c>
      <c r="AS891" s="377">
        <f>IFERROR(Table_NFI[[#This Row],[Kitchen Set]]/VLOOKUP(Table_NFI[[#This Row],[Camp Name]],CL,4,0),"")</f>
        <v>0</v>
      </c>
      <c r="AT891" s="577"/>
      <c r="AU891" s="580"/>
    </row>
    <row r="892" spans="1:47" s="576" customFormat="1" ht="15" customHeight="1" x14ac:dyDescent="0.25">
      <c r="A892" s="381">
        <f t="shared" si="13"/>
        <v>24.433333333333334</v>
      </c>
      <c r="B892" s="571">
        <v>41789</v>
      </c>
      <c r="C892" s="572" t="s">
        <v>1107</v>
      </c>
      <c r="D892" s="572" t="s">
        <v>903</v>
      </c>
      <c r="E892" s="572" t="s">
        <v>380</v>
      </c>
      <c r="F892" s="572" t="s">
        <v>237</v>
      </c>
      <c r="G892" s="572" t="s">
        <v>283</v>
      </c>
      <c r="H892" s="375"/>
      <c r="I892" s="375"/>
      <c r="J892" s="375"/>
      <c r="K892" s="375"/>
      <c r="L892" s="376"/>
      <c r="M892" s="376"/>
      <c r="N892" s="376"/>
      <c r="O892" s="376"/>
      <c r="P892" s="378"/>
      <c r="Q892" s="378"/>
      <c r="R892" s="378"/>
      <c r="S892" s="378"/>
      <c r="T892" s="378"/>
      <c r="U892" s="378">
        <v>12</v>
      </c>
      <c r="V892" s="533"/>
      <c r="W892" s="378"/>
      <c r="X892" s="378"/>
      <c r="Y892" s="378">
        <f>IF(NFI_Expiration=1,IF($A892&lt;VLOOKUP(H$5,NFI,5,0),1,0)*Table_NFI[[#This Row],[Hygiene Kit]],Table_NFI[Hygiene Kit])</f>
        <v>0</v>
      </c>
      <c r="Z892" s="378">
        <f>IF(NFI_Expiration=1,IF($A892&lt;VLOOKUP(I$5,NFI,5,0),1,0)*Table_NFI[[#This Row],[NFI Core Kit]],Table_NFI[NFI Core Kit])</f>
        <v>0</v>
      </c>
      <c r="AA892" s="378">
        <f>IF(NFI_Expiration=1,IF($A892&lt;VLOOKUP(J$5,NFI,5,0),1,0)*Table_NFI[[#This Row],[Sanitary Kit]],Table_NFI[Sanitary Kit])</f>
        <v>0</v>
      </c>
      <c r="AB892" s="378">
        <f>IF(NFI_Expiration=1,IF($A892&lt;VLOOKUP(K$5,NFI,5,0),1,0)*Table_NFI[[#This Row],[Mosquito net]],Table_NFI[Mosquito net])</f>
        <v>0</v>
      </c>
      <c r="AC892" s="378">
        <f>IF(NFI_Expiration=1,IF($A892&lt;VLOOKUP(L$5,NFI,5,0),1,0)*Table_NFI[[#This Row],[Tarpaulin]],Table_NFI[[#This Row],[Tarpaulin]])</f>
        <v>0</v>
      </c>
      <c r="AD892" s="378">
        <f>IF(NFI_Expiration=1,IF($A892&lt;VLOOKUP(M$5,NFI,5,0),1,0)*Table_NFI[[#This Row],[Blanket]],Table_NFI[[#This Row],[Blanket]])</f>
        <v>0</v>
      </c>
      <c r="AE892" s="378">
        <f>IF(NFI_Expiration=1,IF($A892&lt;VLOOKUP(N$5,NFI,5,0),1,0)*Table_NFI[[#This Row],[Kitchen Set]],Table_NFI[Kitchen Set])</f>
        <v>0</v>
      </c>
      <c r="AF892" s="378">
        <f>IF(NFI_Expiration=1,IF($A892&lt;VLOOKUP(O$5,NFI,5,0),1,0)*Table_NFI[[#This Row],[Clothes Kit]],Table_NFI[Clothes Kit])</f>
        <v>0</v>
      </c>
      <c r="AG892" s="378">
        <f>IF(NFI_Expiration=1,IF($A892&lt;VLOOKUP(P$5,NFI,5,0),1,0)*Table_NFI[[#This Row],[Plastic Bucket]],Table_NFI[Plastic Bucket])</f>
        <v>0</v>
      </c>
      <c r="AH892" s="378">
        <f>IF(NFI_Expiration=1,IF($A892&lt;VLOOKUP(Q$5,NFI,5,0),1,0)*Table_NFI[[#This Row],[Plastic Mat]],Table_NFI[Plastic Mat])*IF(Table_NFI[[#This Row],[Distribution Date]]&gt;"2014-04-01",1,2.5)</f>
        <v>0</v>
      </c>
      <c r="AI892" s="378">
        <f>IF(NFI_Expiration=1,IF($A892&lt;VLOOKUP(R$5,NFI,5,0),1,0)*Table_NFI[[#This Row],[Winter Clothes Adult]],Table_NFI[Winter Clothes Adult])</f>
        <v>0</v>
      </c>
      <c r="AJ892" s="378">
        <f>IF(NFI_Expiration=1,IF($A892&lt;VLOOKUP(S$5,NFI,5,0),1,0)*Table_NFI[[#This Row],[Winter Clothes Children]],Table_NFI[Winter Clothes Children])</f>
        <v>0</v>
      </c>
      <c r="AK892" s="378">
        <f>IF(NFI_Expiration=1,IF($A892&lt;VLOOKUP(T$5,NFI,5,0),1,0)*Table_NFI[[#This Row],[Winter Items Other]],Table_NFI[Winter Items Other])</f>
        <v>0</v>
      </c>
      <c r="AL892" s="378">
        <f>IF(NFI_Expiration=1,IF($A892&lt;VLOOKUP(M$5,NFI,5,0),1,0)*Table_NFI[[#This Row],[Winter Blanket]],Table_NFI[[#This Row],[Winter Blanket]])</f>
        <v>0</v>
      </c>
      <c r="AM892" s="378">
        <f>IF(Table_NFI[[#This Row],[Winter Clothes Adult]]+Table_NFI[[#This Row],[Winter Clothes Children]]+Table_NFI[[#This Row],[Winter Items Other]]+Table_NFI[[#This Row],[Winter Blanket]]&gt;0,1,0)</f>
        <v>1</v>
      </c>
      <c r="AN892" s="418">
        <f>IF(NFI_Expiration=1,IF($A892&lt;VLOOKUP(V$5,NFI,5,0),1,0)*Table_NFI[[#This Row],[Jerry Can]],Table_NFI[Jerry Can])</f>
        <v>0</v>
      </c>
      <c r="AO892" s="579" t="str">
        <f>IFERROR(VLOOKUP(Table_NFI[[#This Row],[Camp Name]],CL,2,0),"")</f>
        <v>MMR001CMP022</v>
      </c>
      <c r="AP892" s="574">
        <f ca="1">IF(Table_NFI[[#This Row],[Pcode]]="","",IF(OFFSET(CampList[Opening Date],MATCH(Table_NFI[[#This Row],[Pcode]],CampList[CP_Pcode],0)-1,0,1,1)&gt;=NFI_Monitor_Date,1,0))</f>
        <v>0</v>
      </c>
      <c r="AQ892" s="579" t="str">
        <f>IFERROR(VLOOKUP(Table_NFI[[#This Row],[Camp Name]],CL,3,0),"")</f>
        <v>Open</v>
      </c>
      <c r="AR892" s="378" t="str">
        <f ca="1">IF(Table_NFI[[#This Row],[Pcode]]="","",OFFSET(CampList[Priority],MATCH(Table_NFI[[#This Row],[Pcode]],CampList[CP_Pcode],0)-1,0,1,1))</f>
        <v>P4</v>
      </c>
      <c r="AS892" s="377">
        <f>IFERROR(Table_NFI[[#This Row],[Kitchen Set]]/VLOOKUP(Table_NFI[[#This Row],[Camp Name]],CL,4,0),"")</f>
        <v>0</v>
      </c>
      <c r="AT892" s="572"/>
      <c r="AU892" s="575"/>
    </row>
    <row r="893" spans="1:47" s="576" customFormat="1" ht="14.45" customHeight="1" x14ac:dyDescent="0.25">
      <c r="A893" s="381">
        <f t="shared" si="13"/>
        <v>41.6</v>
      </c>
      <c r="B893" s="571">
        <v>41274</v>
      </c>
      <c r="C893" s="572" t="s">
        <v>455</v>
      </c>
      <c r="D893" s="572" t="s">
        <v>455</v>
      </c>
      <c r="E893" s="572" t="s">
        <v>380</v>
      </c>
      <c r="F893" s="572" t="s">
        <v>237</v>
      </c>
      <c r="G893" s="374" t="s">
        <v>283</v>
      </c>
      <c r="H893" s="375">
        <v>24</v>
      </c>
      <c r="I893" s="375"/>
      <c r="J893" s="375"/>
      <c r="K893" s="375"/>
      <c r="L893" s="376"/>
      <c r="M893" s="376"/>
      <c r="N893" s="376"/>
      <c r="O893" s="376"/>
      <c r="P893" s="378">
        <v>0</v>
      </c>
      <c r="Q893" s="378">
        <v>0</v>
      </c>
      <c r="R893" s="378"/>
      <c r="S893" s="378"/>
      <c r="T893" s="378"/>
      <c r="U893" s="378"/>
      <c r="V893" s="533"/>
      <c r="W893" s="418"/>
      <c r="X893" s="418"/>
      <c r="Y893" s="378">
        <f>IF(NFI_Expiration=1,IF($A893&lt;VLOOKUP(H$5,NFI,5,0),1,0)*Table_NFI[[#This Row],[Hygiene Kit]],Table_NFI[Hygiene Kit])</f>
        <v>0</v>
      </c>
      <c r="Z893" s="378">
        <f>IF(NFI_Expiration=1,IF($A893&lt;VLOOKUP(I$5,NFI,5,0),1,0)*Table_NFI[[#This Row],[NFI Core Kit]],Table_NFI[NFI Core Kit])</f>
        <v>0</v>
      </c>
      <c r="AA893" s="378">
        <f>IF(NFI_Expiration=1,IF($A893&lt;VLOOKUP(J$5,NFI,5,0),1,0)*Table_NFI[[#This Row],[Sanitary Kit]],Table_NFI[Sanitary Kit])</f>
        <v>0</v>
      </c>
      <c r="AB893" s="378">
        <f>IF(NFI_Expiration=1,IF($A893&lt;VLOOKUP(K$5,NFI,5,0),1,0)*Table_NFI[[#This Row],[Mosquito net]],Table_NFI[Mosquito net])</f>
        <v>0</v>
      </c>
      <c r="AC893" s="378">
        <f>IF(NFI_Expiration=1,IF($A893&lt;VLOOKUP(L$5,NFI,5,0),1,0)*Table_NFI[[#This Row],[Tarpaulin]],Table_NFI[[#This Row],[Tarpaulin]])</f>
        <v>0</v>
      </c>
      <c r="AD893" s="378">
        <f>IF(NFI_Expiration=1,IF($A893&lt;VLOOKUP(M$5,NFI,5,0),1,0)*Table_NFI[[#This Row],[Blanket]],Table_NFI[[#This Row],[Blanket]])</f>
        <v>0</v>
      </c>
      <c r="AE893" s="378">
        <f>IF(NFI_Expiration=1,IF($A893&lt;VLOOKUP(N$5,NFI,5,0),1,0)*Table_NFI[[#This Row],[Kitchen Set]],Table_NFI[Kitchen Set])</f>
        <v>0</v>
      </c>
      <c r="AF893" s="378">
        <f>IF(NFI_Expiration=1,IF($A893&lt;VLOOKUP(O$5,NFI,5,0),1,0)*Table_NFI[[#This Row],[Clothes Kit]],Table_NFI[Clothes Kit])</f>
        <v>0</v>
      </c>
      <c r="AG893" s="378">
        <f>IF(NFI_Expiration=1,IF($A893&lt;VLOOKUP(P$5,NFI,5,0),1,0)*Table_NFI[[#This Row],[Plastic Bucket]],Table_NFI[Plastic Bucket])</f>
        <v>0</v>
      </c>
      <c r="AH893" s="378">
        <f>IF(NFI_Expiration=1,IF($A893&lt;VLOOKUP(Q$5,NFI,5,0),1,0)*Table_NFI[[#This Row],[Plastic Mat]],Table_NFI[Plastic Mat])*IF(Table_NFI[[#This Row],[Distribution Date]]&gt;"2014-04-01",1,2.5)</f>
        <v>0</v>
      </c>
      <c r="AI893" s="378">
        <f>IF(NFI_Expiration=1,IF($A893&lt;VLOOKUP(R$5,NFI,5,0),1,0)*Table_NFI[[#This Row],[Winter Clothes Adult]],Table_NFI[Winter Clothes Adult])</f>
        <v>0</v>
      </c>
      <c r="AJ893" s="378">
        <f>IF(NFI_Expiration=1,IF($A893&lt;VLOOKUP(S$5,NFI,5,0),1,0)*Table_NFI[[#This Row],[Winter Clothes Children]],Table_NFI[Winter Clothes Children])</f>
        <v>0</v>
      </c>
      <c r="AK893" s="378">
        <f>IF(NFI_Expiration=1,IF($A893&lt;VLOOKUP(T$5,NFI,5,0),1,0)*Table_NFI[[#This Row],[Winter Items Other]],Table_NFI[Winter Items Other])</f>
        <v>0</v>
      </c>
      <c r="AL893" s="378">
        <f>IF(NFI_Expiration=1,IF($A893&lt;VLOOKUP(M$5,NFI,5,0),1,0)*Table_NFI[[#This Row],[Winter Blanket]],Table_NFI[[#This Row],[Winter Blanket]])</f>
        <v>0</v>
      </c>
      <c r="AM893" s="378">
        <f>IF(Table_NFI[[#This Row],[Winter Clothes Adult]]+Table_NFI[[#This Row],[Winter Clothes Children]]+Table_NFI[[#This Row],[Winter Items Other]]+Table_NFI[[#This Row],[Winter Blanket]]&gt;0,1,0)</f>
        <v>0</v>
      </c>
      <c r="AN893" s="418">
        <f>IF(NFI_Expiration=1,IF($A893&lt;VLOOKUP(V$5,NFI,5,0),1,0)*Table_NFI[[#This Row],[Jerry Can]],Table_NFI[Jerry Can])</f>
        <v>0</v>
      </c>
      <c r="AO893" s="579" t="str">
        <f>IFERROR(VLOOKUP(Table_NFI[[#This Row],[Camp Name]],CL,2,0),"")</f>
        <v>MMR001CMP022</v>
      </c>
      <c r="AP893" s="574">
        <f ca="1">IF(Table_NFI[[#This Row],[Pcode]]="","",IF(OFFSET(CampList[Opening Date],MATCH(Table_NFI[[#This Row],[Pcode]],CampList[CP_Pcode],0)-1,0,1,1)&gt;=NFI_Monitor_Date,1,0))</f>
        <v>0</v>
      </c>
      <c r="AQ893" s="579" t="str">
        <f>IFERROR(VLOOKUP(Table_NFI[[#This Row],[Camp Name]],CL,3,0),"")</f>
        <v>Open</v>
      </c>
      <c r="AR893" s="378" t="str">
        <f ca="1">IF(Table_NFI[[#This Row],[Pcode]]="","",OFFSET(CampList[Priority],MATCH(Table_NFI[[#This Row],[Pcode]],CampList[CP_Pcode],0)-1,0,1,1))</f>
        <v>P4</v>
      </c>
      <c r="AS893" s="377">
        <f>IFERROR(Table_NFI[[#This Row],[Kitchen Set]]/VLOOKUP(Table_NFI[[#This Row],[Camp Name]],CL,4,0),"")</f>
        <v>0</v>
      </c>
      <c r="AT893" s="572" t="s">
        <v>1095</v>
      </c>
      <c r="AU893" s="575"/>
    </row>
    <row r="894" spans="1:47" s="576" customFormat="1" ht="13.15" customHeight="1" x14ac:dyDescent="0.25">
      <c r="A894" s="381">
        <f t="shared" si="13"/>
        <v>45.8</v>
      </c>
      <c r="B894" s="571">
        <v>41148</v>
      </c>
      <c r="C894" s="572" t="s">
        <v>454</v>
      </c>
      <c r="D894" s="573" t="s">
        <v>454</v>
      </c>
      <c r="E894" s="572" t="s">
        <v>380</v>
      </c>
      <c r="F894" s="374" t="s">
        <v>237</v>
      </c>
      <c r="G894" s="374" t="s">
        <v>283</v>
      </c>
      <c r="H894" s="375"/>
      <c r="I894" s="375"/>
      <c r="J894" s="375"/>
      <c r="K894" s="375">
        <v>10</v>
      </c>
      <c r="L894" s="376">
        <v>5</v>
      </c>
      <c r="M894" s="376">
        <v>10</v>
      </c>
      <c r="N894" s="376">
        <v>5</v>
      </c>
      <c r="O894" s="376">
        <v>5</v>
      </c>
      <c r="P894" s="378">
        <v>5</v>
      </c>
      <c r="Q894" s="378">
        <v>5</v>
      </c>
      <c r="R894" s="378"/>
      <c r="S894" s="378"/>
      <c r="T894" s="378"/>
      <c r="U894" s="378"/>
      <c r="V894" s="533"/>
      <c r="W894" s="418"/>
      <c r="X894" s="418"/>
      <c r="Y894" s="378">
        <f>IF(NFI_Expiration=1,IF($A894&lt;VLOOKUP(H$5,NFI,5,0),1,0)*Table_NFI[[#This Row],[Hygiene Kit]],Table_NFI[Hygiene Kit])</f>
        <v>0</v>
      </c>
      <c r="Z894" s="378">
        <f>IF(NFI_Expiration=1,IF($A894&lt;VLOOKUP(I$5,NFI,5,0),1,0)*Table_NFI[[#This Row],[NFI Core Kit]],Table_NFI[NFI Core Kit])</f>
        <v>0</v>
      </c>
      <c r="AA894" s="378">
        <f>IF(NFI_Expiration=1,IF($A894&lt;VLOOKUP(J$5,NFI,5,0),1,0)*Table_NFI[[#This Row],[Sanitary Kit]],Table_NFI[Sanitary Kit])</f>
        <v>0</v>
      </c>
      <c r="AB894" s="378">
        <f>IF(NFI_Expiration=1,IF($A894&lt;VLOOKUP(K$5,NFI,5,0),1,0)*Table_NFI[[#This Row],[Mosquito net]],Table_NFI[Mosquito net])</f>
        <v>0</v>
      </c>
      <c r="AC894" s="378">
        <f>IF(NFI_Expiration=1,IF($A894&lt;VLOOKUP(L$5,NFI,5,0),1,0)*Table_NFI[[#This Row],[Tarpaulin]],Table_NFI[[#This Row],[Tarpaulin]])</f>
        <v>0</v>
      </c>
      <c r="AD894" s="378">
        <f>IF(NFI_Expiration=1,IF($A894&lt;VLOOKUP(M$5,NFI,5,0),1,0)*Table_NFI[[#This Row],[Blanket]],Table_NFI[[#This Row],[Blanket]])</f>
        <v>0</v>
      </c>
      <c r="AE894" s="378">
        <f>IF(NFI_Expiration=1,IF($A894&lt;VLOOKUP(N$5,NFI,5,0),1,0)*Table_NFI[[#This Row],[Kitchen Set]],Table_NFI[Kitchen Set])</f>
        <v>0</v>
      </c>
      <c r="AF894" s="378">
        <f>IF(NFI_Expiration=1,IF($A894&lt;VLOOKUP(O$5,NFI,5,0),1,0)*Table_NFI[[#This Row],[Clothes Kit]],Table_NFI[Clothes Kit])</f>
        <v>0</v>
      </c>
      <c r="AG894" s="378">
        <f>IF(NFI_Expiration=1,IF($A894&lt;VLOOKUP(P$5,NFI,5,0),1,0)*Table_NFI[[#This Row],[Plastic Bucket]],Table_NFI[Plastic Bucket])</f>
        <v>0</v>
      </c>
      <c r="AH894" s="378">
        <f>IF(NFI_Expiration=1,IF($A894&lt;VLOOKUP(Q$5,NFI,5,0),1,0)*Table_NFI[[#This Row],[Plastic Mat]],Table_NFI[Plastic Mat])*IF(Table_NFI[[#This Row],[Distribution Date]]&gt;"2014-04-01",1,2.5)</f>
        <v>0</v>
      </c>
      <c r="AI894" s="378">
        <f>IF(NFI_Expiration=1,IF($A894&lt;VLOOKUP(R$5,NFI,5,0),1,0)*Table_NFI[[#This Row],[Winter Clothes Adult]],Table_NFI[Winter Clothes Adult])</f>
        <v>0</v>
      </c>
      <c r="AJ894" s="378">
        <f>IF(NFI_Expiration=1,IF($A894&lt;VLOOKUP(S$5,NFI,5,0),1,0)*Table_NFI[[#This Row],[Winter Clothes Children]],Table_NFI[Winter Clothes Children])</f>
        <v>0</v>
      </c>
      <c r="AK894" s="378">
        <f>IF(NFI_Expiration=1,IF($A894&lt;VLOOKUP(T$5,NFI,5,0),1,0)*Table_NFI[[#This Row],[Winter Items Other]],Table_NFI[Winter Items Other])</f>
        <v>0</v>
      </c>
      <c r="AL894" s="378">
        <f>IF(NFI_Expiration=1,IF($A894&lt;VLOOKUP(M$5,NFI,5,0),1,0)*Table_NFI[[#This Row],[Winter Blanket]],Table_NFI[[#This Row],[Winter Blanket]])</f>
        <v>0</v>
      </c>
      <c r="AM894" s="378">
        <f>IF(Table_NFI[[#This Row],[Winter Clothes Adult]]+Table_NFI[[#This Row],[Winter Clothes Children]]+Table_NFI[[#This Row],[Winter Items Other]]+Table_NFI[[#This Row],[Winter Blanket]]&gt;0,1,0)</f>
        <v>0</v>
      </c>
      <c r="AN894" s="418">
        <f>IF(NFI_Expiration=1,IF($A894&lt;VLOOKUP(V$5,NFI,5,0),1,0)*Table_NFI[[#This Row],[Jerry Can]],Table_NFI[Jerry Can])</f>
        <v>0</v>
      </c>
      <c r="AO894" s="579" t="str">
        <f>IFERROR(VLOOKUP(Table_NFI[[#This Row],[Camp Name]],CL,2,0),"")</f>
        <v>MMR001CMP022</v>
      </c>
      <c r="AP894" s="574">
        <f ca="1">IF(Table_NFI[[#This Row],[Pcode]]="","",IF(OFFSET(CampList[Opening Date],MATCH(Table_NFI[[#This Row],[Pcode]],CampList[CP_Pcode],0)-1,0,1,1)&gt;=NFI_Monitor_Date,1,0))</f>
        <v>0</v>
      </c>
      <c r="AQ894" s="579" t="str">
        <f>IFERROR(VLOOKUP(Table_NFI[[#This Row],[Camp Name]],CL,3,0),"")</f>
        <v>Open</v>
      </c>
      <c r="AR894" s="378" t="str">
        <f ca="1">IF(Table_NFI[[#This Row],[Pcode]]="","",OFFSET(CampList[Priority],MATCH(Table_NFI[[#This Row],[Pcode]],CampList[CP_Pcode],0)-1,0,1,1))</f>
        <v>P4</v>
      </c>
      <c r="AS894" s="377">
        <f>IFERROR(Table_NFI[[#This Row],[Kitchen Set]]/VLOOKUP(Table_NFI[[#This Row],[Camp Name]],CL,4,0),"")</f>
        <v>0.7142857142857143</v>
      </c>
      <c r="AT894" s="572" t="s">
        <v>1095</v>
      </c>
      <c r="AU894" s="575"/>
    </row>
    <row r="895" spans="1:47" s="576" customFormat="1" ht="14.45" customHeight="1" x14ac:dyDescent="0.25">
      <c r="A895" s="381">
        <f t="shared" si="13"/>
        <v>46.4</v>
      </c>
      <c r="B895" s="571">
        <v>41130</v>
      </c>
      <c r="C895" s="572" t="s">
        <v>454</v>
      </c>
      <c r="D895" s="572" t="s">
        <v>454</v>
      </c>
      <c r="E895" s="572" t="s">
        <v>380</v>
      </c>
      <c r="F895" s="374" t="s">
        <v>237</v>
      </c>
      <c r="G895" s="374" t="s">
        <v>283</v>
      </c>
      <c r="H895" s="375"/>
      <c r="I895" s="375"/>
      <c r="J895" s="375"/>
      <c r="K895" s="375">
        <v>10</v>
      </c>
      <c r="L895" s="376">
        <v>5</v>
      </c>
      <c r="M895" s="376">
        <v>10</v>
      </c>
      <c r="N895" s="376">
        <v>5</v>
      </c>
      <c r="O895" s="376">
        <v>5</v>
      </c>
      <c r="P895" s="378">
        <v>5</v>
      </c>
      <c r="Q895" s="378">
        <v>5</v>
      </c>
      <c r="R895" s="378"/>
      <c r="S895" s="378"/>
      <c r="T895" s="378"/>
      <c r="U895" s="378"/>
      <c r="V895" s="533"/>
      <c r="W895" s="418"/>
      <c r="X895" s="418"/>
      <c r="Y895" s="378">
        <f>IF(NFI_Expiration=1,IF($A895&lt;VLOOKUP(H$5,NFI,5,0),1,0)*Table_NFI[[#This Row],[Hygiene Kit]],Table_NFI[Hygiene Kit])</f>
        <v>0</v>
      </c>
      <c r="Z895" s="378">
        <f>IF(NFI_Expiration=1,IF($A895&lt;VLOOKUP(I$5,NFI,5,0),1,0)*Table_NFI[[#This Row],[NFI Core Kit]],Table_NFI[NFI Core Kit])</f>
        <v>0</v>
      </c>
      <c r="AA895" s="378">
        <f>IF(NFI_Expiration=1,IF($A895&lt;VLOOKUP(J$5,NFI,5,0),1,0)*Table_NFI[[#This Row],[Sanitary Kit]],Table_NFI[Sanitary Kit])</f>
        <v>0</v>
      </c>
      <c r="AB895" s="378">
        <f>IF(NFI_Expiration=1,IF($A895&lt;VLOOKUP(K$5,NFI,5,0),1,0)*Table_NFI[[#This Row],[Mosquito net]],Table_NFI[Mosquito net])</f>
        <v>0</v>
      </c>
      <c r="AC895" s="378">
        <f>IF(NFI_Expiration=1,IF($A895&lt;VLOOKUP(L$5,NFI,5,0),1,0)*Table_NFI[[#This Row],[Tarpaulin]],Table_NFI[[#This Row],[Tarpaulin]])</f>
        <v>0</v>
      </c>
      <c r="AD895" s="378">
        <f>IF(NFI_Expiration=1,IF($A895&lt;VLOOKUP(M$5,NFI,5,0),1,0)*Table_NFI[[#This Row],[Blanket]],Table_NFI[[#This Row],[Blanket]])</f>
        <v>0</v>
      </c>
      <c r="AE895" s="378">
        <f>IF(NFI_Expiration=1,IF($A895&lt;VLOOKUP(N$5,NFI,5,0),1,0)*Table_NFI[[#This Row],[Kitchen Set]],Table_NFI[Kitchen Set])</f>
        <v>0</v>
      </c>
      <c r="AF895" s="378">
        <f>IF(NFI_Expiration=1,IF($A895&lt;VLOOKUP(O$5,NFI,5,0),1,0)*Table_NFI[[#This Row],[Clothes Kit]],Table_NFI[Clothes Kit])</f>
        <v>0</v>
      </c>
      <c r="AG895" s="378">
        <f>IF(NFI_Expiration=1,IF($A895&lt;VLOOKUP(P$5,NFI,5,0),1,0)*Table_NFI[[#This Row],[Plastic Bucket]],Table_NFI[Plastic Bucket])</f>
        <v>0</v>
      </c>
      <c r="AH895" s="378">
        <f>IF(NFI_Expiration=1,IF($A895&lt;VLOOKUP(Q$5,NFI,5,0),1,0)*Table_NFI[[#This Row],[Plastic Mat]],Table_NFI[Plastic Mat])*IF(Table_NFI[[#This Row],[Distribution Date]]&gt;"2014-04-01",1,2.5)</f>
        <v>0</v>
      </c>
      <c r="AI895" s="378">
        <f>IF(NFI_Expiration=1,IF($A895&lt;VLOOKUP(R$5,NFI,5,0),1,0)*Table_NFI[[#This Row],[Winter Clothes Adult]],Table_NFI[Winter Clothes Adult])</f>
        <v>0</v>
      </c>
      <c r="AJ895" s="378">
        <f>IF(NFI_Expiration=1,IF($A895&lt;VLOOKUP(S$5,NFI,5,0),1,0)*Table_NFI[[#This Row],[Winter Clothes Children]],Table_NFI[Winter Clothes Children])</f>
        <v>0</v>
      </c>
      <c r="AK895" s="378">
        <f>IF(NFI_Expiration=1,IF($A895&lt;VLOOKUP(T$5,NFI,5,0),1,0)*Table_NFI[[#This Row],[Winter Items Other]],Table_NFI[Winter Items Other])</f>
        <v>0</v>
      </c>
      <c r="AL895" s="378">
        <f>IF(NFI_Expiration=1,IF($A895&lt;VLOOKUP(M$5,NFI,5,0),1,0)*Table_NFI[[#This Row],[Winter Blanket]],Table_NFI[[#This Row],[Winter Blanket]])</f>
        <v>0</v>
      </c>
      <c r="AM895" s="378">
        <f>IF(Table_NFI[[#This Row],[Winter Clothes Adult]]+Table_NFI[[#This Row],[Winter Clothes Children]]+Table_NFI[[#This Row],[Winter Items Other]]+Table_NFI[[#This Row],[Winter Blanket]]&gt;0,1,0)</f>
        <v>0</v>
      </c>
      <c r="AN895" s="418">
        <f>IF(NFI_Expiration=1,IF($A895&lt;VLOOKUP(V$5,NFI,5,0),1,0)*Table_NFI[[#This Row],[Jerry Can]],Table_NFI[Jerry Can])</f>
        <v>0</v>
      </c>
      <c r="AO895" s="579" t="str">
        <f>IFERROR(VLOOKUP(Table_NFI[[#This Row],[Camp Name]],CL,2,0),"")</f>
        <v>MMR001CMP022</v>
      </c>
      <c r="AP895" s="574">
        <f ca="1">IF(Table_NFI[[#This Row],[Pcode]]="","",IF(OFFSET(CampList[Opening Date],MATCH(Table_NFI[[#This Row],[Pcode]],CampList[CP_Pcode],0)-1,0,1,1)&gt;=NFI_Monitor_Date,1,0))</f>
        <v>0</v>
      </c>
      <c r="AQ895" s="579" t="str">
        <f>IFERROR(VLOOKUP(Table_NFI[[#This Row],[Camp Name]],CL,3,0),"")</f>
        <v>Open</v>
      </c>
      <c r="AR895" s="378" t="str">
        <f ca="1">IF(Table_NFI[[#This Row],[Pcode]]="","",OFFSET(CampList[Priority],MATCH(Table_NFI[[#This Row],[Pcode]],CampList[CP_Pcode],0)-1,0,1,1))</f>
        <v>P4</v>
      </c>
      <c r="AS895" s="377">
        <f>IFERROR(Table_NFI[[#This Row],[Kitchen Set]]/VLOOKUP(Table_NFI[[#This Row],[Camp Name]],CL,4,0),"")</f>
        <v>0.7142857142857143</v>
      </c>
      <c r="AT895" s="572" t="s">
        <v>1095</v>
      </c>
      <c r="AU895" s="575"/>
    </row>
    <row r="896" spans="1:47" s="585" customFormat="1" ht="17.45" customHeight="1" x14ac:dyDescent="0.25">
      <c r="A896" s="381">
        <f t="shared" si="13"/>
        <v>47.1</v>
      </c>
      <c r="B896" s="571">
        <v>41109</v>
      </c>
      <c r="C896" s="572" t="s">
        <v>454</v>
      </c>
      <c r="D896" s="572" t="s">
        <v>454</v>
      </c>
      <c r="E896" s="572" t="s">
        <v>380</v>
      </c>
      <c r="F896" s="374" t="s">
        <v>237</v>
      </c>
      <c r="G896" s="374" t="s">
        <v>283</v>
      </c>
      <c r="H896" s="375"/>
      <c r="I896" s="375"/>
      <c r="J896" s="375"/>
      <c r="K896" s="375">
        <v>9</v>
      </c>
      <c r="L896" s="376">
        <v>5</v>
      </c>
      <c r="M896" s="376">
        <v>9</v>
      </c>
      <c r="N896" s="376">
        <v>5</v>
      </c>
      <c r="O896" s="376">
        <v>5</v>
      </c>
      <c r="P896" s="378">
        <v>5</v>
      </c>
      <c r="Q896" s="378">
        <v>5</v>
      </c>
      <c r="R896" s="378"/>
      <c r="S896" s="378"/>
      <c r="T896" s="378"/>
      <c r="U896" s="378"/>
      <c r="V896" s="533"/>
      <c r="W896" s="418"/>
      <c r="X896" s="418"/>
      <c r="Y896" s="378">
        <f>IF(NFI_Expiration=1,IF($A896&lt;VLOOKUP(H$5,NFI,5,0),1,0)*Table_NFI[[#This Row],[Hygiene Kit]],Table_NFI[Hygiene Kit])</f>
        <v>0</v>
      </c>
      <c r="Z896" s="378">
        <f>IF(NFI_Expiration=1,IF($A896&lt;VLOOKUP(I$5,NFI,5,0),1,0)*Table_NFI[[#This Row],[NFI Core Kit]],Table_NFI[NFI Core Kit])</f>
        <v>0</v>
      </c>
      <c r="AA896" s="378">
        <f>IF(NFI_Expiration=1,IF($A896&lt;VLOOKUP(J$5,NFI,5,0),1,0)*Table_NFI[[#This Row],[Sanitary Kit]],Table_NFI[Sanitary Kit])</f>
        <v>0</v>
      </c>
      <c r="AB896" s="378">
        <f>IF(NFI_Expiration=1,IF($A896&lt;VLOOKUP(K$5,NFI,5,0),1,0)*Table_NFI[[#This Row],[Mosquito net]],Table_NFI[Mosquito net])</f>
        <v>0</v>
      </c>
      <c r="AC896" s="378">
        <f>IF(NFI_Expiration=1,IF($A896&lt;VLOOKUP(L$5,NFI,5,0),1,0)*Table_NFI[[#This Row],[Tarpaulin]],Table_NFI[[#This Row],[Tarpaulin]])</f>
        <v>0</v>
      </c>
      <c r="AD896" s="378">
        <f>IF(NFI_Expiration=1,IF($A896&lt;VLOOKUP(M$5,NFI,5,0),1,0)*Table_NFI[[#This Row],[Blanket]],Table_NFI[[#This Row],[Blanket]])</f>
        <v>0</v>
      </c>
      <c r="AE896" s="378">
        <f>IF(NFI_Expiration=1,IF($A896&lt;VLOOKUP(N$5,NFI,5,0),1,0)*Table_NFI[[#This Row],[Kitchen Set]],Table_NFI[Kitchen Set])</f>
        <v>0</v>
      </c>
      <c r="AF896" s="378">
        <f>IF(NFI_Expiration=1,IF($A896&lt;VLOOKUP(O$5,NFI,5,0),1,0)*Table_NFI[[#This Row],[Clothes Kit]],Table_NFI[Clothes Kit])</f>
        <v>0</v>
      </c>
      <c r="AG896" s="378">
        <f>IF(NFI_Expiration=1,IF($A896&lt;VLOOKUP(P$5,NFI,5,0),1,0)*Table_NFI[[#This Row],[Plastic Bucket]],Table_NFI[Plastic Bucket])</f>
        <v>0</v>
      </c>
      <c r="AH896" s="378">
        <f>IF(NFI_Expiration=1,IF($A896&lt;VLOOKUP(Q$5,NFI,5,0),1,0)*Table_NFI[[#This Row],[Plastic Mat]],Table_NFI[Plastic Mat])*IF(Table_NFI[[#This Row],[Distribution Date]]&gt;"2014-04-01",1,2.5)</f>
        <v>0</v>
      </c>
      <c r="AI896" s="378">
        <f>IF(NFI_Expiration=1,IF($A896&lt;VLOOKUP(R$5,NFI,5,0),1,0)*Table_NFI[[#This Row],[Winter Clothes Adult]],Table_NFI[Winter Clothes Adult])</f>
        <v>0</v>
      </c>
      <c r="AJ896" s="378">
        <f>IF(NFI_Expiration=1,IF($A896&lt;VLOOKUP(S$5,NFI,5,0),1,0)*Table_NFI[[#This Row],[Winter Clothes Children]],Table_NFI[Winter Clothes Children])</f>
        <v>0</v>
      </c>
      <c r="AK896" s="378">
        <f>IF(NFI_Expiration=1,IF($A896&lt;VLOOKUP(T$5,NFI,5,0),1,0)*Table_NFI[[#This Row],[Winter Items Other]],Table_NFI[Winter Items Other])</f>
        <v>0</v>
      </c>
      <c r="AL896" s="378">
        <f>IF(NFI_Expiration=1,IF($A896&lt;VLOOKUP(M$5,NFI,5,0),1,0)*Table_NFI[[#This Row],[Winter Blanket]],Table_NFI[[#This Row],[Winter Blanket]])</f>
        <v>0</v>
      </c>
      <c r="AM896" s="378">
        <f>IF(Table_NFI[[#This Row],[Winter Clothes Adult]]+Table_NFI[[#This Row],[Winter Clothes Children]]+Table_NFI[[#This Row],[Winter Items Other]]+Table_NFI[[#This Row],[Winter Blanket]]&gt;0,1,0)</f>
        <v>0</v>
      </c>
      <c r="AN896" s="418">
        <f>IF(NFI_Expiration=1,IF($A896&lt;VLOOKUP(V$5,NFI,5,0),1,0)*Table_NFI[[#This Row],[Jerry Can]],Table_NFI[Jerry Can])</f>
        <v>0</v>
      </c>
      <c r="AO896" s="579" t="str">
        <f>IFERROR(VLOOKUP(Table_NFI[[#This Row],[Camp Name]],CL,2,0),"")</f>
        <v>MMR001CMP022</v>
      </c>
      <c r="AP896" s="574">
        <f ca="1">IF(Table_NFI[[#This Row],[Pcode]]="","",IF(OFFSET(CampList[Opening Date],MATCH(Table_NFI[[#This Row],[Pcode]],CampList[CP_Pcode],0)-1,0,1,1)&gt;=NFI_Monitor_Date,1,0))</f>
        <v>0</v>
      </c>
      <c r="AQ896" s="579" t="str">
        <f>IFERROR(VLOOKUP(Table_NFI[[#This Row],[Camp Name]],CL,3,0),"")</f>
        <v>Open</v>
      </c>
      <c r="AR896" s="378" t="str">
        <f ca="1">IF(Table_NFI[[#This Row],[Pcode]]="","",OFFSET(CampList[Priority],MATCH(Table_NFI[[#This Row],[Pcode]],CampList[CP_Pcode],0)-1,0,1,1))</f>
        <v>P4</v>
      </c>
      <c r="AS896" s="377">
        <f>IFERROR(Table_NFI[[#This Row],[Kitchen Set]]/VLOOKUP(Table_NFI[[#This Row],[Camp Name]],CL,4,0),"")</f>
        <v>0.7142857142857143</v>
      </c>
      <c r="AT896" s="572" t="s">
        <v>1095</v>
      </c>
      <c r="AU896" s="575"/>
    </row>
    <row r="897" spans="1:47" s="576" customFormat="1" ht="19.149999999999999" customHeight="1" x14ac:dyDescent="0.25">
      <c r="A897" s="381">
        <f t="shared" si="13"/>
        <v>49.93333333333333</v>
      </c>
      <c r="B897" s="571">
        <v>41024</v>
      </c>
      <c r="C897" s="572" t="s">
        <v>454</v>
      </c>
      <c r="D897" s="572" t="s">
        <v>454</v>
      </c>
      <c r="E897" s="572" t="s">
        <v>380</v>
      </c>
      <c r="F897" s="374" t="s">
        <v>237</v>
      </c>
      <c r="G897" s="374" t="s">
        <v>283</v>
      </c>
      <c r="H897" s="375"/>
      <c r="I897" s="375"/>
      <c r="J897" s="375"/>
      <c r="K897" s="375">
        <v>39</v>
      </c>
      <c r="L897" s="376">
        <v>19</v>
      </c>
      <c r="M897" s="376">
        <v>78</v>
      </c>
      <c r="N897" s="376">
        <v>19</v>
      </c>
      <c r="O897" s="376">
        <v>0</v>
      </c>
      <c r="P897" s="378"/>
      <c r="Q897" s="378"/>
      <c r="R897" s="378"/>
      <c r="S897" s="378"/>
      <c r="T897" s="378"/>
      <c r="U897" s="378"/>
      <c r="V897" s="533"/>
      <c r="W897" s="418"/>
      <c r="X897" s="418"/>
      <c r="Y897" s="378">
        <f>IF(NFI_Expiration=1,IF($A897&lt;VLOOKUP(H$5,NFI,5,0),1,0)*Table_NFI[[#This Row],[Hygiene Kit]],Table_NFI[Hygiene Kit])</f>
        <v>0</v>
      </c>
      <c r="Z897" s="378">
        <f>IF(NFI_Expiration=1,IF($A897&lt;VLOOKUP(I$5,NFI,5,0),1,0)*Table_NFI[[#This Row],[NFI Core Kit]],Table_NFI[NFI Core Kit])</f>
        <v>0</v>
      </c>
      <c r="AA897" s="378">
        <f>IF(NFI_Expiration=1,IF($A897&lt;VLOOKUP(J$5,NFI,5,0),1,0)*Table_NFI[[#This Row],[Sanitary Kit]],Table_NFI[Sanitary Kit])</f>
        <v>0</v>
      </c>
      <c r="AB897" s="378">
        <f>IF(NFI_Expiration=1,IF($A897&lt;VLOOKUP(K$5,NFI,5,0),1,0)*Table_NFI[[#This Row],[Mosquito net]],Table_NFI[Mosquito net])</f>
        <v>0</v>
      </c>
      <c r="AC897" s="378">
        <f>IF(NFI_Expiration=1,IF($A897&lt;VLOOKUP(L$5,NFI,5,0),1,0)*Table_NFI[[#This Row],[Tarpaulin]],Table_NFI[[#This Row],[Tarpaulin]])</f>
        <v>0</v>
      </c>
      <c r="AD897" s="378">
        <f>IF(NFI_Expiration=1,IF($A897&lt;VLOOKUP(M$5,NFI,5,0),1,0)*Table_NFI[[#This Row],[Blanket]],Table_NFI[[#This Row],[Blanket]])</f>
        <v>0</v>
      </c>
      <c r="AE897" s="378">
        <f>IF(NFI_Expiration=1,IF($A897&lt;VLOOKUP(N$5,NFI,5,0),1,0)*Table_NFI[[#This Row],[Kitchen Set]],Table_NFI[Kitchen Set])</f>
        <v>0</v>
      </c>
      <c r="AF897" s="378">
        <f>IF(NFI_Expiration=1,IF($A897&lt;VLOOKUP(O$5,NFI,5,0),1,0)*Table_NFI[[#This Row],[Clothes Kit]],Table_NFI[Clothes Kit])</f>
        <v>0</v>
      </c>
      <c r="AG897" s="378">
        <f>IF(NFI_Expiration=1,IF($A897&lt;VLOOKUP(P$5,NFI,5,0),1,0)*Table_NFI[[#This Row],[Plastic Bucket]],Table_NFI[Plastic Bucket])</f>
        <v>0</v>
      </c>
      <c r="AH897" s="378">
        <f>IF(NFI_Expiration=1,IF($A897&lt;VLOOKUP(Q$5,NFI,5,0),1,0)*Table_NFI[[#This Row],[Plastic Mat]],Table_NFI[Plastic Mat])*IF(Table_NFI[[#This Row],[Distribution Date]]&gt;"2014-04-01",1,2.5)</f>
        <v>0</v>
      </c>
      <c r="AI897" s="378">
        <f>IF(NFI_Expiration=1,IF($A897&lt;VLOOKUP(R$5,NFI,5,0),1,0)*Table_NFI[[#This Row],[Winter Clothes Adult]],Table_NFI[Winter Clothes Adult])</f>
        <v>0</v>
      </c>
      <c r="AJ897" s="378">
        <f>IF(NFI_Expiration=1,IF($A897&lt;VLOOKUP(S$5,NFI,5,0),1,0)*Table_NFI[[#This Row],[Winter Clothes Children]],Table_NFI[Winter Clothes Children])</f>
        <v>0</v>
      </c>
      <c r="AK897" s="378">
        <f>IF(NFI_Expiration=1,IF($A897&lt;VLOOKUP(T$5,NFI,5,0),1,0)*Table_NFI[[#This Row],[Winter Items Other]],Table_NFI[Winter Items Other])</f>
        <v>0</v>
      </c>
      <c r="AL897" s="378">
        <f>IF(NFI_Expiration=1,IF($A897&lt;VLOOKUP(M$5,NFI,5,0),1,0)*Table_NFI[[#This Row],[Winter Blanket]],Table_NFI[[#This Row],[Winter Blanket]])</f>
        <v>0</v>
      </c>
      <c r="AM897" s="378">
        <f>IF(Table_NFI[[#This Row],[Winter Clothes Adult]]+Table_NFI[[#This Row],[Winter Clothes Children]]+Table_NFI[[#This Row],[Winter Items Other]]+Table_NFI[[#This Row],[Winter Blanket]]&gt;0,1,0)</f>
        <v>0</v>
      </c>
      <c r="AN897" s="418">
        <f>IF(NFI_Expiration=1,IF($A897&lt;VLOOKUP(V$5,NFI,5,0),1,0)*Table_NFI[[#This Row],[Jerry Can]],Table_NFI[Jerry Can])</f>
        <v>0</v>
      </c>
      <c r="AO897" s="579" t="str">
        <f>IFERROR(VLOOKUP(Table_NFI[[#This Row],[Camp Name]],CL,2,0),"")</f>
        <v>MMR001CMP022</v>
      </c>
      <c r="AP897" s="574">
        <f ca="1">IF(Table_NFI[[#This Row],[Pcode]]="","",IF(OFFSET(CampList[Opening Date],MATCH(Table_NFI[[#This Row],[Pcode]],CampList[CP_Pcode],0)-1,0,1,1)&gt;=NFI_Monitor_Date,1,0))</f>
        <v>0</v>
      </c>
      <c r="AQ897" s="579" t="str">
        <f>IFERROR(VLOOKUP(Table_NFI[[#This Row],[Camp Name]],CL,3,0),"")</f>
        <v>Open</v>
      </c>
      <c r="AR897" s="378" t="str">
        <f ca="1">IF(Table_NFI[[#This Row],[Pcode]]="","",OFFSET(CampList[Priority],MATCH(Table_NFI[[#This Row],[Pcode]],CampList[CP_Pcode],0)-1,0,1,1))</f>
        <v>P4</v>
      </c>
      <c r="AS897" s="377">
        <f>IFERROR(Table_NFI[[#This Row],[Kitchen Set]]/VLOOKUP(Table_NFI[[#This Row],[Camp Name]],CL,4,0),"")</f>
        <v>2.7142857142857144</v>
      </c>
      <c r="AT897" s="572" t="s">
        <v>1095</v>
      </c>
      <c r="AU897" s="575"/>
    </row>
    <row r="898" spans="1:47" s="576" customFormat="1" ht="13.15" customHeight="1" x14ac:dyDescent="0.25">
      <c r="A898" s="381">
        <f t="shared" si="13"/>
        <v>51.866666666666667</v>
      </c>
      <c r="B898" s="571">
        <v>40966</v>
      </c>
      <c r="C898" s="572" t="s">
        <v>454</v>
      </c>
      <c r="D898" s="573" t="s">
        <v>905</v>
      </c>
      <c r="E898" s="572" t="s">
        <v>380</v>
      </c>
      <c r="F898" s="374" t="s">
        <v>237</v>
      </c>
      <c r="G898" s="374" t="s">
        <v>283</v>
      </c>
      <c r="H898" s="375"/>
      <c r="I898" s="375"/>
      <c r="J898" s="375"/>
      <c r="K898" s="375">
        <v>34</v>
      </c>
      <c r="L898" s="376">
        <v>0</v>
      </c>
      <c r="M898" s="376">
        <v>34</v>
      </c>
      <c r="N898" s="376">
        <v>0</v>
      </c>
      <c r="O898" s="376">
        <v>34</v>
      </c>
      <c r="P898" s="378">
        <v>34</v>
      </c>
      <c r="Q898" s="378">
        <v>34</v>
      </c>
      <c r="R898" s="378"/>
      <c r="S898" s="378"/>
      <c r="T898" s="378"/>
      <c r="U898" s="378"/>
      <c r="V898" s="533"/>
      <c r="W898" s="418"/>
      <c r="X898" s="418"/>
      <c r="Y898" s="378">
        <f>IF(NFI_Expiration=1,IF($A898&lt;VLOOKUP(H$5,NFI,5,0),1,0)*Table_NFI[[#This Row],[Hygiene Kit]],Table_NFI[Hygiene Kit])</f>
        <v>0</v>
      </c>
      <c r="Z898" s="378">
        <f>IF(NFI_Expiration=1,IF($A898&lt;VLOOKUP(I$5,NFI,5,0),1,0)*Table_NFI[[#This Row],[NFI Core Kit]],Table_NFI[NFI Core Kit])</f>
        <v>0</v>
      </c>
      <c r="AA898" s="378">
        <f>IF(NFI_Expiration=1,IF($A898&lt;VLOOKUP(J$5,NFI,5,0),1,0)*Table_NFI[[#This Row],[Sanitary Kit]],Table_NFI[Sanitary Kit])</f>
        <v>0</v>
      </c>
      <c r="AB898" s="378">
        <f>IF(NFI_Expiration=1,IF($A898&lt;VLOOKUP(K$5,NFI,5,0),1,0)*Table_NFI[[#This Row],[Mosquito net]],Table_NFI[Mosquito net])</f>
        <v>0</v>
      </c>
      <c r="AC898" s="378">
        <f>IF(NFI_Expiration=1,IF($A898&lt;VLOOKUP(L$5,NFI,5,0),1,0)*Table_NFI[[#This Row],[Tarpaulin]],Table_NFI[[#This Row],[Tarpaulin]])</f>
        <v>0</v>
      </c>
      <c r="AD898" s="378">
        <f>IF(NFI_Expiration=1,IF($A898&lt;VLOOKUP(M$5,NFI,5,0),1,0)*Table_NFI[[#This Row],[Blanket]],Table_NFI[[#This Row],[Blanket]])</f>
        <v>0</v>
      </c>
      <c r="AE898" s="378">
        <f>IF(NFI_Expiration=1,IF($A898&lt;VLOOKUP(N$5,NFI,5,0),1,0)*Table_NFI[[#This Row],[Kitchen Set]],Table_NFI[Kitchen Set])</f>
        <v>0</v>
      </c>
      <c r="AF898" s="378">
        <f>IF(NFI_Expiration=1,IF($A898&lt;VLOOKUP(O$5,NFI,5,0),1,0)*Table_NFI[[#This Row],[Clothes Kit]],Table_NFI[Clothes Kit])</f>
        <v>0</v>
      </c>
      <c r="AG898" s="378">
        <f>IF(NFI_Expiration=1,IF($A898&lt;VLOOKUP(P$5,NFI,5,0),1,0)*Table_NFI[[#This Row],[Plastic Bucket]],Table_NFI[Plastic Bucket])</f>
        <v>0</v>
      </c>
      <c r="AH898" s="378">
        <f>IF(NFI_Expiration=1,IF($A898&lt;VLOOKUP(Q$5,NFI,5,0),1,0)*Table_NFI[[#This Row],[Plastic Mat]],Table_NFI[Plastic Mat])*IF(Table_NFI[[#This Row],[Distribution Date]]&gt;"2014-04-01",1,2.5)</f>
        <v>0</v>
      </c>
      <c r="AI898" s="378">
        <f>IF(NFI_Expiration=1,IF($A898&lt;VLOOKUP(R$5,NFI,5,0),1,0)*Table_NFI[[#This Row],[Winter Clothes Adult]],Table_NFI[Winter Clothes Adult])</f>
        <v>0</v>
      </c>
      <c r="AJ898" s="378">
        <f>IF(NFI_Expiration=1,IF($A898&lt;VLOOKUP(S$5,NFI,5,0),1,0)*Table_NFI[[#This Row],[Winter Clothes Children]],Table_NFI[Winter Clothes Children])</f>
        <v>0</v>
      </c>
      <c r="AK898" s="378">
        <f>IF(NFI_Expiration=1,IF($A898&lt;VLOOKUP(T$5,NFI,5,0),1,0)*Table_NFI[[#This Row],[Winter Items Other]],Table_NFI[Winter Items Other])</f>
        <v>0</v>
      </c>
      <c r="AL898" s="378">
        <f>IF(NFI_Expiration=1,IF($A898&lt;VLOOKUP(M$5,NFI,5,0),1,0)*Table_NFI[[#This Row],[Winter Blanket]],Table_NFI[[#This Row],[Winter Blanket]])</f>
        <v>0</v>
      </c>
      <c r="AM898" s="378">
        <f>IF(Table_NFI[[#This Row],[Winter Clothes Adult]]+Table_NFI[[#This Row],[Winter Clothes Children]]+Table_NFI[[#This Row],[Winter Items Other]]+Table_NFI[[#This Row],[Winter Blanket]]&gt;0,1,0)</f>
        <v>0</v>
      </c>
      <c r="AN898" s="418">
        <f>IF(NFI_Expiration=1,IF($A898&lt;VLOOKUP(V$5,NFI,5,0),1,0)*Table_NFI[[#This Row],[Jerry Can]],Table_NFI[Jerry Can])</f>
        <v>0</v>
      </c>
      <c r="AO898" s="579" t="str">
        <f>IFERROR(VLOOKUP(Table_NFI[[#This Row],[Camp Name]],CL,2,0),"")</f>
        <v>MMR001CMP022</v>
      </c>
      <c r="AP898" s="574">
        <f ca="1">IF(Table_NFI[[#This Row],[Pcode]]="","",IF(OFFSET(CampList[Opening Date],MATCH(Table_NFI[[#This Row],[Pcode]],CampList[CP_Pcode],0)-1,0,1,1)&gt;=NFI_Monitor_Date,1,0))</f>
        <v>0</v>
      </c>
      <c r="AQ898" s="579" t="str">
        <f>IFERROR(VLOOKUP(Table_NFI[[#This Row],[Camp Name]],CL,3,0),"")</f>
        <v>Open</v>
      </c>
      <c r="AR898" s="378" t="str">
        <f ca="1">IF(Table_NFI[[#This Row],[Pcode]]="","",OFFSET(CampList[Priority],MATCH(Table_NFI[[#This Row],[Pcode]],CampList[CP_Pcode],0)-1,0,1,1))</f>
        <v>P4</v>
      </c>
      <c r="AS898" s="377">
        <f>IFERROR(Table_NFI[[#This Row],[Kitchen Set]]/VLOOKUP(Table_NFI[[#This Row],[Camp Name]],CL,4,0),"")</f>
        <v>0</v>
      </c>
      <c r="AT898" s="572" t="s">
        <v>1095</v>
      </c>
      <c r="AU898" s="575"/>
    </row>
    <row r="899" spans="1:47" s="576" customFormat="1" ht="13.15" customHeight="1" x14ac:dyDescent="0.25">
      <c r="A899" s="381">
        <f t="shared" si="13"/>
        <v>55.233333333333334</v>
      </c>
      <c r="B899" s="571">
        <v>40865</v>
      </c>
      <c r="C899" s="572" t="s">
        <v>454</v>
      </c>
      <c r="D899" s="573" t="s">
        <v>454</v>
      </c>
      <c r="E899" s="572" t="s">
        <v>380</v>
      </c>
      <c r="F899" s="374" t="s">
        <v>237</v>
      </c>
      <c r="G899" s="374" t="s">
        <v>283</v>
      </c>
      <c r="H899" s="375"/>
      <c r="I899" s="375"/>
      <c r="J899" s="375"/>
      <c r="K899" s="375">
        <v>175</v>
      </c>
      <c r="L899" s="376">
        <v>0</v>
      </c>
      <c r="M899" s="376">
        <v>175</v>
      </c>
      <c r="N899" s="376">
        <v>0</v>
      </c>
      <c r="O899" s="376">
        <v>0</v>
      </c>
      <c r="P899" s="378"/>
      <c r="Q899" s="378"/>
      <c r="R899" s="378"/>
      <c r="S899" s="378"/>
      <c r="T899" s="378"/>
      <c r="U899" s="378"/>
      <c r="V899" s="533"/>
      <c r="W899" s="418"/>
      <c r="X899" s="418"/>
      <c r="Y899" s="378">
        <f>IF(NFI_Expiration=1,IF($A899&lt;VLOOKUP(H$5,NFI,5,0),1,0)*Table_NFI[[#This Row],[Hygiene Kit]],Table_NFI[Hygiene Kit])</f>
        <v>0</v>
      </c>
      <c r="Z899" s="378">
        <f>IF(NFI_Expiration=1,IF($A899&lt;VLOOKUP(I$5,NFI,5,0),1,0)*Table_NFI[[#This Row],[NFI Core Kit]],Table_NFI[NFI Core Kit])</f>
        <v>0</v>
      </c>
      <c r="AA899" s="378">
        <f>IF(NFI_Expiration=1,IF($A899&lt;VLOOKUP(J$5,NFI,5,0),1,0)*Table_NFI[[#This Row],[Sanitary Kit]],Table_NFI[Sanitary Kit])</f>
        <v>0</v>
      </c>
      <c r="AB899" s="378">
        <f>IF(NFI_Expiration=1,IF($A899&lt;VLOOKUP(K$5,NFI,5,0),1,0)*Table_NFI[[#This Row],[Mosquito net]],Table_NFI[Mosquito net])</f>
        <v>0</v>
      </c>
      <c r="AC899" s="378">
        <f>IF(NFI_Expiration=1,IF($A899&lt;VLOOKUP(L$5,NFI,5,0),1,0)*Table_NFI[[#This Row],[Tarpaulin]],Table_NFI[[#This Row],[Tarpaulin]])</f>
        <v>0</v>
      </c>
      <c r="AD899" s="378">
        <f>IF(NFI_Expiration=1,IF($A899&lt;VLOOKUP(M$5,NFI,5,0),1,0)*Table_NFI[[#This Row],[Blanket]],Table_NFI[[#This Row],[Blanket]])</f>
        <v>0</v>
      </c>
      <c r="AE899" s="378">
        <f>IF(NFI_Expiration=1,IF($A899&lt;VLOOKUP(N$5,NFI,5,0),1,0)*Table_NFI[[#This Row],[Kitchen Set]],Table_NFI[Kitchen Set])</f>
        <v>0</v>
      </c>
      <c r="AF899" s="378">
        <f>IF(NFI_Expiration=1,IF($A899&lt;VLOOKUP(O$5,NFI,5,0),1,0)*Table_NFI[[#This Row],[Clothes Kit]],Table_NFI[Clothes Kit])</f>
        <v>0</v>
      </c>
      <c r="AG899" s="378">
        <f>IF(NFI_Expiration=1,IF($A899&lt;VLOOKUP(P$5,NFI,5,0),1,0)*Table_NFI[[#This Row],[Plastic Bucket]],Table_NFI[Plastic Bucket])</f>
        <v>0</v>
      </c>
      <c r="AH899" s="378">
        <f>IF(NFI_Expiration=1,IF($A899&lt;VLOOKUP(Q$5,NFI,5,0),1,0)*Table_NFI[[#This Row],[Plastic Mat]],Table_NFI[Plastic Mat])*IF(Table_NFI[[#This Row],[Distribution Date]]&gt;"2014-04-01",1,2.5)</f>
        <v>0</v>
      </c>
      <c r="AI899" s="378">
        <f>IF(NFI_Expiration=1,IF($A899&lt;VLOOKUP(R$5,NFI,5,0),1,0)*Table_NFI[[#This Row],[Winter Clothes Adult]],Table_NFI[Winter Clothes Adult])</f>
        <v>0</v>
      </c>
      <c r="AJ899" s="378">
        <f>IF(NFI_Expiration=1,IF($A899&lt;VLOOKUP(S$5,NFI,5,0),1,0)*Table_NFI[[#This Row],[Winter Clothes Children]],Table_NFI[Winter Clothes Children])</f>
        <v>0</v>
      </c>
      <c r="AK899" s="378">
        <f>IF(NFI_Expiration=1,IF($A899&lt;VLOOKUP(T$5,NFI,5,0),1,0)*Table_NFI[[#This Row],[Winter Items Other]],Table_NFI[Winter Items Other])</f>
        <v>0</v>
      </c>
      <c r="AL899" s="378">
        <f>IF(NFI_Expiration=1,IF($A899&lt;VLOOKUP(M$5,NFI,5,0),1,0)*Table_NFI[[#This Row],[Winter Blanket]],Table_NFI[[#This Row],[Winter Blanket]])</f>
        <v>0</v>
      </c>
      <c r="AM899" s="378">
        <f>IF(Table_NFI[[#This Row],[Winter Clothes Adult]]+Table_NFI[[#This Row],[Winter Clothes Children]]+Table_NFI[[#This Row],[Winter Items Other]]+Table_NFI[[#This Row],[Winter Blanket]]&gt;0,1,0)</f>
        <v>0</v>
      </c>
      <c r="AN899" s="418">
        <f>IF(NFI_Expiration=1,IF($A899&lt;VLOOKUP(V$5,NFI,5,0),1,0)*Table_NFI[[#This Row],[Jerry Can]],Table_NFI[Jerry Can])</f>
        <v>0</v>
      </c>
      <c r="AO899" s="579" t="str">
        <f>IFERROR(VLOOKUP(Table_NFI[[#This Row],[Camp Name]],CL,2,0),"")</f>
        <v>MMR001CMP022</v>
      </c>
      <c r="AP899" s="574">
        <f ca="1">IF(Table_NFI[[#This Row],[Pcode]]="","",IF(OFFSET(CampList[Opening Date],MATCH(Table_NFI[[#This Row],[Pcode]],CampList[CP_Pcode],0)-1,0,1,1)&gt;=NFI_Monitor_Date,1,0))</f>
        <v>0</v>
      </c>
      <c r="AQ899" s="579" t="str">
        <f>IFERROR(VLOOKUP(Table_NFI[[#This Row],[Camp Name]],CL,3,0),"")</f>
        <v>Open</v>
      </c>
      <c r="AR899" s="378" t="str">
        <f ca="1">IF(Table_NFI[[#This Row],[Pcode]]="","",OFFSET(CampList[Priority],MATCH(Table_NFI[[#This Row],[Pcode]],CampList[CP_Pcode],0)-1,0,1,1))</f>
        <v>P4</v>
      </c>
      <c r="AS899" s="377">
        <f>IFERROR(Table_NFI[[#This Row],[Kitchen Set]]/VLOOKUP(Table_NFI[[#This Row],[Camp Name]],CL,4,0),"")</f>
        <v>0</v>
      </c>
      <c r="AT899" s="572" t="s">
        <v>1095</v>
      </c>
      <c r="AU899" s="575"/>
    </row>
    <row r="900" spans="1:47" s="576" customFormat="1" ht="13.15" customHeight="1" x14ac:dyDescent="0.25">
      <c r="A900" s="381">
        <f t="shared" si="13"/>
        <v>26.133333333333333</v>
      </c>
      <c r="B900" s="571">
        <v>41738</v>
      </c>
      <c r="C900" s="572" t="s">
        <v>1107</v>
      </c>
      <c r="D900" s="572" t="s">
        <v>903</v>
      </c>
      <c r="E900" s="572" t="s">
        <v>380</v>
      </c>
      <c r="F900" s="572" t="s">
        <v>5</v>
      </c>
      <c r="G900" s="572" t="s">
        <v>26</v>
      </c>
      <c r="H900" s="375"/>
      <c r="I900" s="375"/>
      <c r="J900" s="375"/>
      <c r="K900" s="375"/>
      <c r="L900" s="376"/>
      <c r="M900" s="376"/>
      <c r="N900" s="376"/>
      <c r="O900" s="376"/>
      <c r="P900" s="378"/>
      <c r="Q900" s="378"/>
      <c r="R900" s="378"/>
      <c r="S900" s="378"/>
      <c r="T900" s="378"/>
      <c r="U900" s="378">
        <v>42</v>
      </c>
      <c r="V900" s="533"/>
      <c r="W900" s="418"/>
      <c r="X900" s="418"/>
      <c r="Y900" s="378">
        <f>IF(NFI_Expiration=1,IF($A900&lt;VLOOKUP(H$5,NFI,5,0),1,0)*Table_NFI[[#This Row],[Hygiene Kit]],Table_NFI[Hygiene Kit])</f>
        <v>0</v>
      </c>
      <c r="Z900" s="378">
        <f>IF(NFI_Expiration=1,IF($A900&lt;VLOOKUP(I$5,NFI,5,0),1,0)*Table_NFI[[#This Row],[NFI Core Kit]],Table_NFI[NFI Core Kit])</f>
        <v>0</v>
      </c>
      <c r="AA900" s="378">
        <f>IF(NFI_Expiration=1,IF($A900&lt;VLOOKUP(J$5,NFI,5,0),1,0)*Table_NFI[[#This Row],[Sanitary Kit]],Table_NFI[Sanitary Kit])</f>
        <v>0</v>
      </c>
      <c r="AB900" s="378">
        <f>IF(NFI_Expiration=1,IF($A900&lt;VLOOKUP(K$5,NFI,5,0),1,0)*Table_NFI[[#This Row],[Mosquito net]],Table_NFI[Mosquito net])</f>
        <v>0</v>
      </c>
      <c r="AC900" s="378">
        <f>IF(NFI_Expiration=1,IF($A900&lt;VLOOKUP(L$5,NFI,5,0),1,0)*Table_NFI[[#This Row],[Tarpaulin]],Table_NFI[[#This Row],[Tarpaulin]])</f>
        <v>0</v>
      </c>
      <c r="AD900" s="378">
        <f>IF(NFI_Expiration=1,IF($A900&lt;VLOOKUP(M$5,NFI,5,0),1,0)*Table_NFI[[#This Row],[Blanket]],Table_NFI[[#This Row],[Blanket]])</f>
        <v>0</v>
      </c>
      <c r="AE900" s="378">
        <f>IF(NFI_Expiration=1,IF($A900&lt;VLOOKUP(N$5,NFI,5,0),1,0)*Table_NFI[[#This Row],[Kitchen Set]],Table_NFI[Kitchen Set])</f>
        <v>0</v>
      </c>
      <c r="AF900" s="378">
        <f>IF(NFI_Expiration=1,IF($A900&lt;VLOOKUP(O$5,NFI,5,0),1,0)*Table_NFI[[#This Row],[Clothes Kit]],Table_NFI[Clothes Kit])</f>
        <v>0</v>
      </c>
      <c r="AG900" s="378">
        <f>IF(NFI_Expiration=1,IF($A900&lt;VLOOKUP(P$5,NFI,5,0),1,0)*Table_NFI[[#This Row],[Plastic Bucket]],Table_NFI[Plastic Bucket])</f>
        <v>0</v>
      </c>
      <c r="AH900" s="378">
        <f>IF(NFI_Expiration=1,IF($A900&lt;VLOOKUP(Q$5,NFI,5,0),1,0)*Table_NFI[[#This Row],[Plastic Mat]],Table_NFI[Plastic Mat])*IF(Table_NFI[[#This Row],[Distribution Date]]&gt;"2014-04-01",1,2.5)</f>
        <v>0</v>
      </c>
      <c r="AI900" s="378">
        <f>IF(NFI_Expiration=1,IF($A900&lt;VLOOKUP(R$5,NFI,5,0),1,0)*Table_NFI[[#This Row],[Winter Clothes Adult]],Table_NFI[Winter Clothes Adult])</f>
        <v>0</v>
      </c>
      <c r="AJ900" s="378">
        <f>IF(NFI_Expiration=1,IF($A900&lt;VLOOKUP(S$5,NFI,5,0),1,0)*Table_NFI[[#This Row],[Winter Clothes Children]],Table_NFI[Winter Clothes Children])</f>
        <v>0</v>
      </c>
      <c r="AK900" s="378">
        <f>IF(NFI_Expiration=1,IF($A900&lt;VLOOKUP(T$5,NFI,5,0),1,0)*Table_NFI[[#This Row],[Winter Items Other]],Table_NFI[Winter Items Other])</f>
        <v>0</v>
      </c>
      <c r="AL900" s="378">
        <f>IF(NFI_Expiration=1,IF($A900&lt;VLOOKUP(M$5,NFI,5,0),1,0)*Table_NFI[[#This Row],[Winter Blanket]],Table_NFI[[#This Row],[Winter Blanket]])</f>
        <v>0</v>
      </c>
      <c r="AM900" s="378">
        <f>IF(Table_NFI[[#This Row],[Winter Clothes Adult]]+Table_NFI[[#This Row],[Winter Clothes Children]]+Table_NFI[[#This Row],[Winter Items Other]]+Table_NFI[[#This Row],[Winter Blanket]]&gt;0,1,0)</f>
        <v>1</v>
      </c>
      <c r="AN900" s="418">
        <f>IF(NFI_Expiration=1,IF($A900&lt;VLOOKUP(V$5,NFI,5,0),1,0)*Table_NFI[[#This Row],[Jerry Can]],Table_NFI[Jerry Can])</f>
        <v>0</v>
      </c>
      <c r="AO900" s="579" t="str">
        <f>IFERROR(VLOOKUP(Table_NFI[[#This Row],[Camp Name]],CL,2,0),"")</f>
        <v>MMR001CMP053</v>
      </c>
      <c r="AP900" s="574">
        <f ca="1">IF(Table_NFI[[#This Row],[Pcode]]="","",IF(OFFSET(CampList[Opening Date],MATCH(Table_NFI[[#This Row],[Pcode]],CampList[CP_Pcode],0)-1,0,1,1)&gt;=NFI_Monitor_Date,1,0))</f>
        <v>0</v>
      </c>
      <c r="AQ900" s="579" t="str">
        <f>IFERROR(VLOOKUP(Table_NFI[[#This Row],[Camp Name]],CL,3,0),"")</f>
        <v>Open</v>
      </c>
      <c r="AR900" s="378" t="str">
        <f ca="1">IF(Table_NFI[[#This Row],[Pcode]]="","",OFFSET(CampList[Priority],MATCH(Table_NFI[[#This Row],[Pcode]],CampList[CP_Pcode],0)-1,0,1,1))</f>
        <v>P4</v>
      </c>
      <c r="AS900" s="377">
        <f>IFERROR(Table_NFI[[#This Row],[Kitchen Set]]/VLOOKUP(Table_NFI[[#This Row],[Camp Name]],CL,4,0),"")</f>
        <v>0</v>
      </c>
      <c r="AT900" s="572"/>
      <c r="AU900" s="575"/>
    </row>
    <row r="901" spans="1:47" s="576" customFormat="1" ht="13.15" customHeight="1" x14ac:dyDescent="0.25">
      <c r="A901" s="381">
        <f t="shared" si="13"/>
        <v>30.466666666666665</v>
      </c>
      <c r="B901" s="571">
        <v>41608</v>
      </c>
      <c r="C901" s="572" t="s">
        <v>1100</v>
      </c>
      <c r="D901" s="573" t="s">
        <v>947</v>
      </c>
      <c r="E901" s="572" t="s">
        <v>380</v>
      </c>
      <c r="F901" s="374" t="s">
        <v>5</v>
      </c>
      <c r="G901" s="374" t="s">
        <v>26</v>
      </c>
      <c r="H901" s="375"/>
      <c r="I901" s="375"/>
      <c r="J901" s="375"/>
      <c r="K901" s="375"/>
      <c r="L901" s="376"/>
      <c r="M901" s="376">
        <v>64</v>
      </c>
      <c r="N901" s="376"/>
      <c r="O901" s="376"/>
      <c r="P901" s="378"/>
      <c r="Q901" s="378"/>
      <c r="R901" s="378">
        <v>58</v>
      </c>
      <c r="S901" s="378">
        <v>52</v>
      </c>
      <c r="T901" s="378">
        <v>0</v>
      </c>
      <c r="U901" s="378"/>
      <c r="V901" s="533"/>
      <c r="W901" s="418"/>
      <c r="X901" s="418"/>
      <c r="Y901" s="378">
        <f>IF(NFI_Expiration=1,IF($A901&lt;VLOOKUP(H$5,NFI,5,0),1,0)*Table_NFI[[#This Row],[Hygiene Kit]],Table_NFI[Hygiene Kit])</f>
        <v>0</v>
      </c>
      <c r="Z901" s="378">
        <f>IF(NFI_Expiration=1,IF($A901&lt;VLOOKUP(I$5,NFI,5,0),1,0)*Table_NFI[[#This Row],[NFI Core Kit]],Table_NFI[NFI Core Kit])</f>
        <v>0</v>
      </c>
      <c r="AA901" s="378">
        <f>IF(NFI_Expiration=1,IF($A901&lt;VLOOKUP(J$5,NFI,5,0),1,0)*Table_NFI[[#This Row],[Sanitary Kit]],Table_NFI[Sanitary Kit])</f>
        <v>0</v>
      </c>
      <c r="AB901" s="378">
        <f>IF(NFI_Expiration=1,IF($A901&lt;VLOOKUP(K$5,NFI,5,0),1,0)*Table_NFI[[#This Row],[Mosquito net]],Table_NFI[Mosquito net])</f>
        <v>0</v>
      </c>
      <c r="AC901" s="378">
        <f>IF(NFI_Expiration=1,IF($A901&lt;VLOOKUP(L$5,NFI,5,0),1,0)*Table_NFI[[#This Row],[Tarpaulin]],Table_NFI[[#This Row],[Tarpaulin]])</f>
        <v>0</v>
      </c>
      <c r="AD901" s="378">
        <f>IF(NFI_Expiration=1,IF($A901&lt;VLOOKUP(M$5,NFI,5,0),1,0)*Table_NFI[[#This Row],[Blanket]],Table_NFI[[#This Row],[Blanket]])</f>
        <v>0</v>
      </c>
      <c r="AE901" s="378">
        <f>IF(NFI_Expiration=1,IF($A901&lt;VLOOKUP(N$5,NFI,5,0),1,0)*Table_NFI[[#This Row],[Kitchen Set]],Table_NFI[Kitchen Set])</f>
        <v>0</v>
      </c>
      <c r="AF901" s="378">
        <f>IF(NFI_Expiration=1,IF($A901&lt;VLOOKUP(O$5,NFI,5,0),1,0)*Table_NFI[[#This Row],[Clothes Kit]],Table_NFI[Clothes Kit])</f>
        <v>0</v>
      </c>
      <c r="AG901" s="378">
        <f>IF(NFI_Expiration=1,IF($A901&lt;VLOOKUP(P$5,NFI,5,0),1,0)*Table_NFI[[#This Row],[Plastic Bucket]],Table_NFI[Plastic Bucket])</f>
        <v>0</v>
      </c>
      <c r="AH901" s="378">
        <f>IF(NFI_Expiration=1,IF($A901&lt;VLOOKUP(Q$5,NFI,5,0),1,0)*Table_NFI[[#This Row],[Plastic Mat]],Table_NFI[Plastic Mat])*IF(Table_NFI[[#This Row],[Distribution Date]]&gt;"2014-04-01",1,2.5)</f>
        <v>0</v>
      </c>
      <c r="AI901" s="378">
        <f>IF(NFI_Expiration=1,IF($A901&lt;VLOOKUP(R$5,NFI,5,0),1,0)*Table_NFI[[#This Row],[Winter Clothes Adult]],Table_NFI[Winter Clothes Adult])</f>
        <v>0</v>
      </c>
      <c r="AJ901" s="378">
        <f>IF(NFI_Expiration=1,IF($A901&lt;VLOOKUP(S$5,NFI,5,0),1,0)*Table_NFI[[#This Row],[Winter Clothes Children]],Table_NFI[Winter Clothes Children])</f>
        <v>0</v>
      </c>
      <c r="AK901" s="378">
        <f>IF(NFI_Expiration=1,IF($A901&lt;VLOOKUP(T$5,NFI,5,0),1,0)*Table_NFI[[#This Row],[Winter Items Other]],Table_NFI[Winter Items Other])</f>
        <v>0</v>
      </c>
      <c r="AL901" s="378">
        <f>IF(NFI_Expiration=1,IF($A901&lt;VLOOKUP(M$5,NFI,5,0),1,0)*Table_NFI[[#This Row],[Winter Blanket]],Table_NFI[[#This Row],[Winter Blanket]])</f>
        <v>0</v>
      </c>
      <c r="AM901" s="378">
        <f>IF(Table_NFI[[#This Row],[Winter Clothes Adult]]+Table_NFI[[#This Row],[Winter Clothes Children]]+Table_NFI[[#This Row],[Winter Items Other]]+Table_NFI[[#This Row],[Winter Blanket]]&gt;0,1,0)</f>
        <v>1</v>
      </c>
      <c r="AN901" s="418">
        <f>IF(NFI_Expiration=1,IF($A901&lt;VLOOKUP(V$5,NFI,5,0),1,0)*Table_NFI[[#This Row],[Jerry Can]],Table_NFI[Jerry Can])</f>
        <v>0</v>
      </c>
      <c r="AO901" s="579" t="str">
        <f>IFERROR(VLOOKUP(Table_NFI[[#This Row],[Camp Name]],CL,2,0),"")</f>
        <v>MMR001CMP053</v>
      </c>
      <c r="AP901" s="574">
        <f ca="1">IF(Table_NFI[[#This Row],[Pcode]]="","",IF(OFFSET(CampList[Opening Date],MATCH(Table_NFI[[#This Row],[Pcode]],CampList[CP_Pcode],0)-1,0,1,1)&gt;=NFI_Monitor_Date,1,0))</f>
        <v>0</v>
      </c>
      <c r="AQ901" s="579" t="str">
        <f>IFERROR(VLOOKUP(Table_NFI[[#This Row],[Camp Name]],CL,3,0),"")</f>
        <v>Open</v>
      </c>
      <c r="AR901" s="378" t="str">
        <f ca="1">IF(Table_NFI[[#This Row],[Pcode]]="","",OFFSET(CampList[Priority],MATCH(Table_NFI[[#This Row],[Pcode]],CampList[CP_Pcode],0)-1,0,1,1))</f>
        <v>P4</v>
      </c>
      <c r="AS901" s="377">
        <f>IFERROR(Table_NFI[[#This Row],[Kitchen Set]]/VLOOKUP(Table_NFI[[#This Row],[Camp Name]],CL,4,0),"")</f>
        <v>0</v>
      </c>
      <c r="AT901" s="572" t="s">
        <v>1095</v>
      </c>
      <c r="AU901" s="575"/>
    </row>
    <row r="902" spans="1:47" s="576" customFormat="1" ht="13.15" customHeight="1" x14ac:dyDescent="0.25">
      <c r="A902" s="381">
        <f t="shared" ref="A902:A965" si="14">IF(ISBLANK(B902),"",(Report_Date-B902)/30)</f>
        <v>30.466666666666665</v>
      </c>
      <c r="B902" s="571">
        <v>41608</v>
      </c>
      <c r="C902" s="572" t="s">
        <v>908</v>
      </c>
      <c r="D902" s="572"/>
      <c r="E902" s="572" t="s">
        <v>380</v>
      </c>
      <c r="F902" s="374" t="s">
        <v>5</v>
      </c>
      <c r="G902" s="374" t="s">
        <v>26</v>
      </c>
      <c r="H902" s="375"/>
      <c r="I902" s="375"/>
      <c r="J902" s="375"/>
      <c r="K902" s="375"/>
      <c r="L902" s="376"/>
      <c r="M902" s="376"/>
      <c r="N902" s="376"/>
      <c r="O902" s="376"/>
      <c r="P902" s="378"/>
      <c r="Q902" s="378">
        <v>99</v>
      </c>
      <c r="R902" s="378"/>
      <c r="S902" s="378"/>
      <c r="T902" s="378"/>
      <c r="U902" s="378"/>
      <c r="V902" s="533"/>
      <c r="W902" s="418"/>
      <c r="X902" s="418"/>
      <c r="Y902" s="378">
        <f>IF(NFI_Expiration=1,IF($A902&lt;VLOOKUP(H$5,NFI,5,0),1,0)*Table_NFI[[#This Row],[Hygiene Kit]],Table_NFI[Hygiene Kit])</f>
        <v>0</v>
      </c>
      <c r="Z902" s="378">
        <f>IF(NFI_Expiration=1,IF($A902&lt;VLOOKUP(I$5,NFI,5,0),1,0)*Table_NFI[[#This Row],[NFI Core Kit]],Table_NFI[NFI Core Kit])</f>
        <v>0</v>
      </c>
      <c r="AA902" s="378">
        <f>IF(NFI_Expiration=1,IF($A902&lt;VLOOKUP(J$5,NFI,5,0),1,0)*Table_NFI[[#This Row],[Sanitary Kit]],Table_NFI[Sanitary Kit])</f>
        <v>0</v>
      </c>
      <c r="AB902" s="378">
        <f>IF(NFI_Expiration=1,IF($A902&lt;VLOOKUP(K$5,NFI,5,0),1,0)*Table_NFI[[#This Row],[Mosquito net]],Table_NFI[Mosquito net])</f>
        <v>0</v>
      </c>
      <c r="AC902" s="378">
        <f>IF(NFI_Expiration=1,IF($A902&lt;VLOOKUP(L$5,NFI,5,0),1,0)*Table_NFI[[#This Row],[Tarpaulin]],Table_NFI[[#This Row],[Tarpaulin]])</f>
        <v>0</v>
      </c>
      <c r="AD902" s="378">
        <f>IF(NFI_Expiration=1,IF($A902&lt;VLOOKUP(M$5,NFI,5,0),1,0)*Table_NFI[[#This Row],[Blanket]],Table_NFI[[#This Row],[Blanket]])</f>
        <v>0</v>
      </c>
      <c r="AE902" s="378">
        <f>IF(NFI_Expiration=1,IF($A902&lt;VLOOKUP(N$5,NFI,5,0),1,0)*Table_NFI[[#This Row],[Kitchen Set]],Table_NFI[Kitchen Set])</f>
        <v>0</v>
      </c>
      <c r="AF902" s="378">
        <f>IF(NFI_Expiration=1,IF($A902&lt;VLOOKUP(O$5,NFI,5,0),1,0)*Table_NFI[[#This Row],[Clothes Kit]],Table_NFI[Clothes Kit])</f>
        <v>0</v>
      </c>
      <c r="AG902" s="378">
        <f>IF(NFI_Expiration=1,IF($A902&lt;VLOOKUP(P$5,NFI,5,0),1,0)*Table_NFI[[#This Row],[Plastic Bucket]],Table_NFI[Plastic Bucket])</f>
        <v>0</v>
      </c>
      <c r="AH902" s="378">
        <f>IF(NFI_Expiration=1,IF($A902&lt;VLOOKUP(Q$5,NFI,5,0),1,0)*Table_NFI[[#This Row],[Plastic Mat]],Table_NFI[Plastic Mat])*IF(Table_NFI[[#This Row],[Distribution Date]]&gt;"2014-04-01",1,2.5)</f>
        <v>0</v>
      </c>
      <c r="AI902" s="378">
        <f>IF(NFI_Expiration=1,IF($A902&lt;VLOOKUP(R$5,NFI,5,0),1,0)*Table_NFI[[#This Row],[Winter Clothes Adult]],Table_NFI[Winter Clothes Adult])</f>
        <v>0</v>
      </c>
      <c r="AJ902" s="378">
        <f>IF(NFI_Expiration=1,IF($A902&lt;VLOOKUP(S$5,NFI,5,0),1,0)*Table_NFI[[#This Row],[Winter Clothes Children]],Table_NFI[Winter Clothes Children])</f>
        <v>0</v>
      </c>
      <c r="AK902" s="378">
        <f>IF(NFI_Expiration=1,IF($A902&lt;VLOOKUP(T$5,NFI,5,0),1,0)*Table_NFI[[#This Row],[Winter Items Other]],Table_NFI[Winter Items Other])</f>
        <v>0</v>
      </c>
      <c r="AL902" s="378">
        <f>IF(NFI_Expiration=1,IF($A902&lt;VLOOKUP(M$5,NFI,5,0),1,0)*Table_NFI[[#This Row],[Winter Blanket]],Table_NFI[[#This Row],[Winter Blanket]])</f>
        <v>0</v>
      </c>
      <c r="AM902" s="378">
        <f>IF(Table_NFI[[#This Row],[Winter Clothes Adult]]+Table_NFI[[#This Row],[Winter Clothes Children]]+Table_NFI[[#This Row],[Winter Items Other]]+Table_NFI[[#This Row],[Winter Blanket]]&gt;0,1,0)</f>
        <v>0</v>
      </c>
      <c r="AN902" s="418">
        <f>IF(NFI_Expiration=1,IF($A902&lt;VLOOKUP(V$5,NFI,5,0),1,0)*Table_NFI[[#This Row],[Jerry Can]],Table_NFI[Jerry Can])</f>
        <v>0</v>
      </c>
      <c r="AO902" s="579" t="str">
        <f>IFERROR(VLOOKUP(Table_NFI[[#This Row],[Camp Name]],CL,2,0),"")</f>
        <v>MMR001CMP053</v>
      </c>
      <c r="AP902" s="574">
        <f ca="1">IF(Table_NFI[[#This Row],[Pcode]]="","",IF(OFFSET(CampList[Opening Date],MATCH(Table_NFI[[#This Row],[Pcode]],CampList[CP_Pcode],0)-1,0,1,1)&gt;=NFI_Monitor_Date,1,0))</f>
        <v>0</v>
      </c>
      <c r="AQ902" s="579" t="str">
        <f>IFERROR(VLOOKUP(Table_NFI[[#This Row],[Camp Name]],CL,3,0),"")</f>
        <v>Open</v>
      </c>
      <c r="AR902" s="378" t="str">
        <f ca="1">IF(Table_NFI[[#This Row],[Pcode]]="","",OFFSET(CampList[Priority],MATCH(Table_NFI[[#This Row],[Pcode]],CampList[CP_Pcode],0)-1,0,1,1))</f>
        <v>P4</v>
      </c>
      <c r="AS902" s="377">
        <f>IFERROR(Table_NFI[[#This Row],[Kitchen Set]]/VLOOKUP(Table_NFI[[#This Row],[Camp Name]],CL,4,0),"")</f>
        <v>0</v>
      </c>
      <c r="AT902" s="572" t="s">
        <v>1095</v>
      </c>
      <c r="AU902" s="575"/>
    </row>
    <row r="903" spans="1:47" s="585" customFormat="1" ht="16.899999999999999" customHeight="1" x14ac:dyDescent="0.25">
      <c r="A903" s="381">
        <f t="shared" si="14"/>
        <v>41.333333333333336</v>
      </c>
      <c r="B903" s="571">
        <v>41282</v>
      </c>
      <c r="C903" s="572" t="s">
        <v>908</v>
      </c>
      <c r="D903" s="572" t="s">
        <v>908</v>
      </c>
      <c r="E903" s="572" t="s">
        <v>380</v>
      </c>
      <c r="F903" s="572" t="s">
        <v>5</v>
      </c>
      <c r="G903" s="374" t="s">
        <v>26</v>
      </c>
      <c r="H903" s="375">
        <v>132</v>
      </c>
      <c r="I903" s="375"/>
      <c r="J903" s="375">
        <v>180</v>
      </c>
      <c r="K903" s="375"/>
      <c r="L903" s="376"/>
      <c r="M903" s="376"/>
      <c r="N903" s="376"/>
      <c r="O903" s="376"/>
      <c r="P903" s="378">
        <v>0</v>
      </c>
      <c r="Q903" s="378">
        <v>0</v>
      </c>
      <c r="R903" s="378"/>
      <c r="S903" s="378"/>
      <c r="T903" s="378"/>
      <c r="U903" s="378"/>
      <c r="V903" s="533"/>
      <c r="W903" s="378"/>
      <c r="X903" s="378"/>
      <c r="Y903" s="378">
        <f>IF(NFI_Expiration=1,IF($A903&lt;VLOOKUP(H$5,NFI,5,0),1,0)*Table_NFI[[#This Row],[Hygiene Kit]],Table_NFI[Hygiene Kit])</f>
        <v>0</v>
      </c>
      <c r="Z903" s="378">
        <f>IF(NFI_Expiration=1,IF($A903&lt;VLOOKUP(I$5,NFI,5,0),1,0)*Table_NFI[[#This Row],[NFI Core Kit]],Table_NFI[NFI Core Kit])</f>
        <v>0</v>
      </c>
      <c r="AA903" s="378">
        <f>IF(NFI_Expiration=1,IF($A903&lt;VLOOKUP(J$5,NFI,5,0),1,0)*Table_NFI[[#This Row],[Sanitary Kit]],Table_NFI[Sanitary Kit])</f>
        <v>0</v>
      </c>
      <c r="AB903" s="378">
        <f>IF(NFI_Expiration=1,IF($A903&lt;VLOOKUP(K$5,NFI,5,0),1,0)*Table_NFI[[#This Row],[Mosquito net]],Table_NFI[Mosquito net])</f>
        <v>0</v>
      </c>
      <c r="AC903" s="378">
        <f>IF(NFI_Expiration=1,IF($A903&lt;VLOOKUP(L$5,NFI,5,0),1,0)*Table_NFI[[#This Row],[Tarpaulin]],Table_NFI[[#This Row],[Tarpaulin]])</f>
        <v>0</v>
      </c>
      <c r="AD903" s="378">
        <f>IF(NFI_Expiration=1,IF($A903&lt;VLOOKUP(M$5,NFI,5,0),1,0)*Table_NFI[[#This Row],[Blanket]],Table_NFI[[#This Row],[Blanket]])</f>
        <v>0</v>
      </c>
      <c r="AE903" s="378">
        <f>IF(NFI_Expiration=1,IF($A903&lt;VLOOKUP(N$5,NFI,5,0),1,0)*Table_NFI[[#This Row],[Kitchen Set]],Table_NFI[Kitchen Set])</f>
        <v>0</v>
      </c>
      <c r="AF903" s="378">
        <f>IF(NFI_Expiration=1,IF($A903&lt;VLOOKUP(O$5,NFI,5,0),1,0)*Table_NFI[[#This Row],[Clothes Kit]],Table_NFI[Clothes Kit])</f>
        <v>0</v>
      </c>
      <c r="AG903" s="378">
        <f>IF(NFI_Expiration=1,IF($A903&lt;VLOOKUP(P$5,NFI,5,0),1,0)*Table_NFI[[#This Row],[Plastic Bucket]],Table_NFI[Plastic Bucket])</f>
        <v>0</v>
      </c>
      <c r="AH903" s="378">
        <f>IF(NFI_Expiration=1,IF($A903&lt;VLOOKUP(Q$5,NFI,5,0),1,0)*Table_NFI[[#This Row],[Plastic Mat]],Table_NFI[Plastic Mat])*IF(Table_NFI[[#This Row],[Distribution Date]]&gt;"2014-04-01",1,2.5)</f>
        <v>0</v>
      </c>
      <c r="AI903" s="378">
        <f>IF(NFI_Expiration=1,IF($A903&lt;VLOOKUP(R$5,NFI,5,0),1,0)*Table_NFI[[#This Row],[Winter Clothes Adult]],Table_NFI[Winter Clothes Adult])</f>
        <v>0</v>
      </c>
      <c r="AJ903" s="378">
        <f>IF(NFI_Expiration=1,IF($A903&lt;VLOOKUP(S$5,NFI,5,0),1,0)*Table_NFI[[#This Row],[Winter Clothes Children]],Table_NFI[Winter Clothes Children])</f>
        <v>0</v>
      </c>
      <c r="AK903" s="378">
        <f>IF(NFI_Expiration=1,IF($A903&lt;VLOOKUP(T$5,NFI,5,0),1,0)*Table_NFI[[#This Row],[Winter Items Other]],Table_NFI[Winter Items Other])</f>
        <v>0</v>
      </c>
      <c r="AL903" s="378">
        <f>IF(NFI_Expiration=1,IF($A903&lt;VLOOKUP(M$5,NFI,5,0),1,0)*Table_NFI[[#This Row],[Winter Blanket]],Table_NFI[[#This Row],[Winter Blanket]])</f>
        <v>0</v>
      </c>
      <c r="AM903" s="378">
        <f>IF(Table_NFI[[#This Row],[Winter Clothes Adult]]+Table_NFI[[#This Row],[Winter Clothes Children]]+Table_NFI[[#This Row],[Winter Items Other]]+Table_NFI[[#This Row],[Winter Blanket]]&gt;0,1,0)</f>
        <v>0</v>
      </c>
      <c r="AN903" s="418">
        <f>IF(NFI_Expiration=1,IF($A903&lt;VLOOKUP(V$5,NFI,5,0),1,0)*Table_NFI[[#This Row],[Jerry Can]],Table_NFI[Jerry Can])</f>
        <v>0</v>
      </c>
      <c r="AO903" s="579" t="str">
        <f>IFERROR(VLOOKUP(Table_NFI[[#This Row],[Camp Name]],CL,2,0),"")</f>
        <v>MMR001CMP053</v>
      </c>
      <c r="AP903" s="574">
        <f ca="1">IF(Table_NFI[[#This Row],[Pcode]]="","",IF(OFFSET(CampList[Opening Date],MATCH(Table_NFI[[#This Row],[Pcode]],CampList[CP_Pcode],0)-1,0,1,1)&gt;=NFI_Monitor_Date,1,0))</f>
        <v>0</v>
      </c>
      <c r="AQ903" s="579" t="str">
        <f>IFERROR(VLOOKUP(Table_NFI[[#This Row],[Camp Name]],CL,3,0),"")</f>
        <v>Open</v>
      </c>
      <c r="AR903" s="378" t="str">
        <f ca="1">IF(Table_NFI[[#This Row],[Pcode]]="","",OFFSET(CampList[Priority],MATCH(Table_NFI[[#This Row],[Pcode]],CampList[CP_Pcode],0)-1,0,1,1))</f>
        <v>P4</v>
      </c>
      <c r="AS903" s="377">
        <f>IFERROR(Table_NFI[[#This Row],[Kitchen Set]]/VLOOKUP(Table_NFI[[#This Row],[Camp Name]],CL,4,0),"")</f>
        <v>0</v>
      </c>
      <c r="AT903" s="572" t="s">
        <v>1095</v>
      </c>
      <c r="AU903" s="575"/>
    </row>
    <row r="904" spans="1:47" s="585" customFormat="1" ht="14.45" customHeight="1" x14ac:dyDescent="0.25">
      <c r="A904" s="381">
        <f t="shared" si="14"/>
        <v>41.93333333333333</v>
      </c>
      <c r="B904" s="571">
        <v>41264</v>
      </c>
      <c r="C904" s="572" t="s">
        <v>454</v>
      </c>
      <c r="D904" s="573" t="s">
        <v>454</v>
      </c>
      <c r="E904" s="572" t="s">
        <v>380</v>
      </c>
      <c r="F904" s="374" t="s">
        <v>5</v>
      </c>
      <c r="G904" s="374" t="s">
        <v>26</v>
      </c>
      <c r="H904" s="375"/>
      <c r="I904" s="375"/>
      <c r="J904" s="375"/>
      <c r="K904" s="375">
        <v>0</v>
      </c>
      <c r="L904" s="376">
        <v>3</v>
      </c>
      <c r="M904" s="376">
        <v>0</v>
      </c>
      <c r="N904" s="376">
        <v>3</v>
      </c>
      <c r="O904" s="376">
        <v>3</v>
      </c>
      <c r="P904" s="378">
        <v>3</v>
      </c>
      <c r="Q904" s="378">
        <v>3</v>
      </c>
      <c r="R904" s="378"/>
      <c r="S904" s="378"/>
      <c r="T904" s="378"/>
      <c r="U904" s="378"/>
      <c r="V904" s="533"/>
      <c r="W904" s="378"/>
      <c r="X904" s="378"/>
      <c r="Y904" s="378">
        <f>IF(NFI_Expiration=1,IF($A904&lt;VLOOKUP(H$5,NFI,5,0),1,0)*Table_NFI[[#This Row],[Hygiene Kit]],Table_NFI[Hygiene Kit])</f>
        <v>0</v>
      </c>
      <c r="Z904" s="378">
        <f>IF(NFI_Expiration=1,IF($A904&lt;VLOOKUP(I$5,NFI,5,0),1,0)*Table_NFI[[#This Row],[NFI Core Kit]],Table_NFI[NFI Core Kit])</f>
        <v>0</v>
      </c>
      <c r="AA904" s="378">
        <f>IF(NFI_Expiration=1,IF($A904&lt;VLOOKUP(J$5,NFI,5,0),1,0)*Table_NFI[[#This Row],[Sanitary Kit]],Table_NFI[Sanitary Kit])</f>
        <v>0</v>
      </c>
      <c r="AB904" s="378">
        <f>IF(NFI_Expiration=1,IF($A904&lt;VLOOKUP(K$5,NFI,5,0),1,0)*Table_NFI[[#This Row],[Mosquito net]],Table_NFI[Mosquito net])</f>
        <v>0</v>
      </c>
      <c r="AC904" s="378">
        <f>IF(NFI_Expiration=1,IF($A904&lt;VLOOKUP(L$5,NFI,5,0),1,0)*Table_NFI[[#This Row],[Tarpaulin]],Table_NFI[[#This Row],[Tarpaulin]])</f>
        <v>0</v>
      </c>
      <c r="AD904" s="378">
        <f>IF(NFI_Expiration=1,IF($A904&lt;VLOOKUP(M$5,NFI,5,0),1,0)*Table_NFI[[#This Row],[Blanket]],Table_NFI[[#This Row],[Blanket]])</f>
        <v>0</v>
      </c>
      <c r="AE904" s="378">
        <f>IF(NFI_Expiration=1,IF($A904&lt;VLOOKUP(N$5,NFI,5,0),1,0)*Table_NFI[[#This Row],[Kitchen Set]],Table_NFI[Kitchen Set])</f>
        <v>0</v>
      </c>
      <c r="AF904" s="378">
        <f>IF(NFI_Expiration=1,IF($A904&lt;VLOOKUP(O$5,NFI,5,0),1,0)*Table_NFI[[#This Row],[Clothes Kit]],Table_NFI[Clothes Kit])</f>
        <v>0</v>
      </c>
      <c r="AG904" s="378">
        <f>IF(NFI_Expiration=1,IF($A904&lt;VLOOKUP(P$5,NFI,5,0),1,0)*Table_NFI[[#This Row],[Plastic Bucket]],Table_NFI[Plastic Bucket])</f>
        <v>0</v>
      </c>
      <c r="AH904" s="378">
        <f>IF(NFI_Expiration=1,IF($A904&lt;VLOOKUP(Q$5,NFI,5,0),1,0)*Table_NFI[[#This Row],[Plastic Mat]],Table_NFI[Plastic Mat])*IF(Table_NFI[[#This Row],[Distribution Date]]&gt;"2014-04-01",1,2.5)</f>
        <v>0</v>
      </c>
      <c r="AI904" s="378">
        <f>IF(NFI_Expiration=1,IF($A904&lt;VLOOKUP(R$5,NFI,5,0),1,0)*Table_NFI[[#This Row],[Winter Clothes Adult]],Table_NFI[Winter Clothes Adult])</f>
        <v>0</v>
      </c>
      <c r="AJ904" s="378">
        <f>IF(NFI_Expiration=1,IF($A904&lt;VLOOKUP(S$5,NFI,5,0),1,0)*Table_NFI[[#This Row],[Winter Clothes Children]],Table_NFI[Winter Clothes Children])</f>
        <v>0</v>
      </c>
      <c r="AK904" s="378">
        <f>IF(NFI_Expiration=1,IF($A904&lt;VLOOKUP(T$5,NFI,5,0),1,0)*Table_NFI[[#This Row],[Winter Items Other]],Table_NFI[Winter Items Other])</f>
        <v>0</v>
      </c>
      <c r="AL904" s="378">
        <f>IF(NFI_Expiration=1,IF($A904&lt;VLOOKUP(M$5,NFI,5,0),1,0)*Table_NFI[[#This Row],[Winter Blanket]],Table_NFI[[#This Row],[Winter Blanket]])</f>
        <v>0</v>
      </c>
      <c r="AM904" s="378">
        <f>IF(Table_NFI[[#This Row],[Winter Clothes Adult]]+Table_NFI[[#This Row],[Winter Clothes Children]]+Table_NFI[[#This Row],[Winter Items Other]]+Table_NFI[[#This Row],[Winter Blanket]]&gt;0,1,0)</f>
        <v>0</v>
      </c>
      <c r="AN904" s="418">
        <f>IF(NFI_Expiration=1,IF($A904&lt;VLOOKUP(V$5,NFI,5,0),1,0)*Table_NFI[[#This Row],[Jerry Can]],Table_NFI[Jerry Can])</f>
        <v>0</v>
      </c>
      <c r="AO904" s="579" t="str">
        <f>IFERROR(VLOOKUP(Table_NFI[[#This Row],[Camp Name]],CL,2,0),"")</f>
        <v>MMR001CMP053</v>
      </c>
      <c r="AP904" s="574">
        <f ca="1">IF(Table_NFI[[#This Row],[Pcode]]="","",IF(OFFSET(CampList[Opening Date],MATCH(Table_NFI[[#This Row],[Pcode]],CampList[CP_Pcode],0)-1,0,1,1)&gt;=NFI_Monitor_Date,1,0))</f>
        <v>0</v>
      </c>
      <c r="AQ904" s="579" t="str">
        <f>IFERROR(VLOOKUP(Table_NFI[[#This Row],[Camp Name]],CL,3,0),"")</f>
        <v>Open</v>
      </c>
      <c r="AR904" s="378" t="str">
        <f ca="1">IF(Table_NFI[[#This Row],[Pcode]]="","",OFFSET(CampList[Priority],MATCH(Table_NFI[[#This Row],[Pcode]],CampList[CP_Pcode],0)-1,0,1,1))</f>
        <v>P4</v>
      </c>
      <c r="AS904" s="377">
        <f>IFERROR(Table_NFI[[#This Row],[Kitchen Set]]/VLOOKUP(Table_NFI[[#This Row],[Camp Name]],CL,4,0),"")</f>
        <v>0.2</v>
      </c>
      <c r="AT904" s="572" t="s">
        <v>1095</v>
      </c>
      <c r="AU904" s="575"/>
    </row>
    <row r="905" spans="1:47" s="585" customFormat="1" ht="16.899999999999999" customHeight="1" x14ac:dyDescent="0.25">
      <c r="A905" s="381">
        <f t="shared" si="14"/>
        <v>16.833333333333332</v>
      </c>
      <c r="B905" s="571">
        <v>42017</v>
      </c>
      <c r="C905" s="572" t="s">
        <v>1097</v>
      </c>
      <c r="D905" s="572" t="s">
        <v>903</v>
      </c>
      <c r="E905" s="572" t="s">
        <v>380</v>
      </c>
      <c r="F905" s="572" t="s">
        <v>529</v>
      </c>
      <c r="G905" s="572" t="s">
        <v>140</v>
      </c>
      <c r="H905" s="375"/>
      <c r="I905" s="378"/>
      <c r="J905" s="378"/>
      <c r="K905" s="378"/>
      <c r="L905" s="376"/>
      <c r="M905" s="376"/>
      <c r="N905" s="376"/>
      <c r="O905" s="376"/>
      <c r="P905" s="378"/>
      <c r="Q905" s="378"/>
      <c r="R905" s="378">
        <v>33</v>
      </c>
      <c r="S905" s="378">
        <v>8</v>
      </c>
      <c r="T905" s="378"/>
      <c r="U905" s="378"/>
      <c r="V905" s="533"/>
      <c r="W905" s="418"/>
      <c r="X905" s="418"/>
      <c r="Y905" s="378">
        <f>IF(NFI_Expiration=1,IF($A905&lt;VLOOKUP(H$5,NFI,5,0),1,0)*Table_NFI[[#This Row],[Hygiene Kit]],Table_NFI[Hygiene Kit])</f>
        <v>0</v>
      </c>
      <c r="Z905" s="378">
        <f>IF(NFI_Expiration=1,IF($A905&lt;VLOOKUP(I$5,NFI,5,0),1,0)*Table_NFI[[#This Row],[NFI Core Kit]],Table_NFI[NFI Core Kit])</f>
        <v>0</v>
      </c>
      <c r="AA905" s="378">
        <f>IF(NFI_Expiration=1,IF($A905&lt;VLOOKUP(J$5,NFI,5,0),1,0)*Table_NFI[[#This Row],[Sanitary Kit]],Table_NFI[Sanitary Kit])</f>
        <v>0</v>
      </c>
      <c r="AB905" s="378">
        <f>IF(NFI_Expiration=1,IF($A905&lt;VLOOKUP(K$5,NFI,5,0),1,0)*Table_NFI[[#This Row],[Mosquito net]],Table_NFI[Mosquito net])</f>
        <v>0</v>
      </c>
      <c r="AC905" s="378">
        <f>IF(NFI_Expiration=1,IF($A905&lt;VLOOKUP(L$5,NFI,5,0),1,0)*Table_NFI[[#This Row],[Tarpaulin]],Table_NFI[[#This Row],[Tarpaulin]])</f>
        <v>0</v>
      </c>
      <c r="AD905" s="378">
        <f>IF(NFI_Expiration=1,IF($A905&lt;VLOOKUP(M$5,NFI,5,0),1,0)*Table_NFI[[#This Row],[Blanket]],Table_NFI[[#This Row],[Blanket]])</f>
        <v>0</v>
      </c>
      <c r="AE905" s="378">
        <f>IF(NFI_Expiration=1,IF($A905&lt;VLOOKUP(N$5,NFI,5,0),1,0)*Table_NFI[[#This Row],[Kitchen Set]],Table_NFI[Kitchen Set])</f>
        <v>0</v>
      </c>
      <c r="AF905" s="378">
        <f>IF(NFI_Expiration=1,IF($A905&lt;VLOOKUP(O$5,NFI,5,0),1,0)*Table_NFI[[#This Row],[Clothes Kit]],Table_NFI[Clothes Kit])</f>
        <v>0</v>
      </c>
      <c r="AG905" s="378">
        <f>IF(NFI_Expiration=1,IF($A905&lt;VLOOKUP(P$5,NFI,5,0),1,0)*Table_NFI[[#This Row],[Plastic Bucket]],Table_NFI[Plastic Bucket])</f>
        <v>0</v>
      </c>
      <c r="AH905" s="378">
        <f>IF(NFI_Expiration=1,IF($A905&lt;VLOOKUP(Q$5,NFI,5,0),1,0)*Table_NFI[[#This Row],[Plastic Mat]],Table_NFI[Plastic Mat])*IF(Table_NFI[[#This Row],[Distribution Date]]&gt;"2014-04-01",1,2.5)</f>
        <v>0</v>
      </c>
      <c r="AI905" s="378">
        <f>IF(NFI_Expiration=1,IF($A905&lt;VLOOKUP(R$5,NFI,5,0),1,0)*Table_NFI[[#This Row],[Winter Clothes Adult]],Table_NFI[Winter Clothes Adult])</f>
        <v>0</v>
      </c>
      <c r="AJ905" s="378">
        <f>IF(NFI_Expiration=1,IF($A905&lt;VLOOKUP(S$5,NFI,5,0),1,0)*Table_NFI[[#This Row],[Winter Clothes Children]],Table_NFI[Winter Clothes Children])</f>
        <v>0</v>
      </c>
      <c r="AK905" s="378">
        <f>IF(NFI_Expiration=1,IF($A905&lt;VLOOKUP(T$5,NFI,5,0),1,0)*Table_NFI[[#This Row],[Winter Items Other]],Table_NFI[Winter Items Other])</f>
        <v>0</v>
      </c>
      <c r="AL905" s="378">
        <f>IF(NFI_Expiration=1,IF($A905&lt;VLOOKUP(M$5,NFI,5,0),1,0)*Table_NFI[[#This Row],[Winter Blanket]],Table_NFI[[#This Row],[Winter Blanket]])</f>
        <v>0</v>
      </c>
      <c r="AM905" s="378">
        <f>IF(Table_NFI[[#This Row],[Winter Clothes Adult]]+Table_NFI[[#This Row],[Winter Clothes Children]]+Table_NFI[[#This Row],[Winter Items Other]]+Table_NFI[[#This Row],[Winter Blanket]]&gt;0,1,0)</f>
        <v>1</v>
      </c>
      <c r="AN905" s="418">
        <f>IF(NFI_Expiration=1,IF($A905&lt;VLOOKUP(V$5,NFI,5,0),1,0)*Table_NFI[[#This Row],[Jerry Can]],Table_NFI[Jerry Can])</f>
        <v>0</v>
      </c>
      <c r="AO905" s="579" t="str">
        <f>IFERROR(VLOOKUP(Table_NFI[[#This Row],[Camp Name]],CL,2,0),"")</f>
        <v>MMR001CMP105</v>
      </c>
      <c r="AP905" s="574">
        <f ca="1">IF(Table_NFI[[#This Row],[Pcode]]="","",IF(OFFSET(CampList[Opening Date],MATCH(Table_NFI[[#This Row],[Pcode]],CampList[CP_Pcode],0)-1,0,1,1)&gt;=NFI_Monitor_Date,1,0))</f>
        <v>0</v>
      </c>
      <c r="AQ905" s="579" t="str">
        <f>IFERROR(VLOOKUP(Table_NFI[[#This Row],[Camp Name]],CL,3,0),"")</f>
        <v>Open</v>
      </c>
      <c r="AR905" s="378" t="str">
        <f ca="1">IF(Table_NFI[[#This Row],[Pcode]]="","",OFFSET(CampList[Priority],MATCH(Table_NFI[[#This Row],[Pcode]],CampList[CP_Pcode],0)-1,0,1,1))</f>
        <v>P4</v>
      </c>
      <c r="AS905" s="377">
        <f>IFERROR(Table_NFI[[#This Row],[Kitchen Set]]/VLOOKUP(Table_NFI[[#This Row],[Camp Name]],CL,4,0),"")</f>
        <v>0</v>
      </c>
      <c r="AT905" s="572"/>
      <c r="AU905" s="601"/>
    </row>
    <row r="906" spans="1:47" s="585" customFormat="1" ht="22.9" customHeight="1" x14ac:dyDescent="0.25">
      <c r="A906" s="381">
        <f t="shared" si="14"/>
        <v>19.3</v>
      </c>
      <c r="B906" s="571">
        <v>41943</v>
      </c>
      <c r="C906" s="572" t="s">
        <v>454</v>
      </c>
      <c r="D906" s="572"/>
      <c r="E906" s="572" t="s">
        <v>380</v>
      </c>
      <c r="F906" s="572" t="s">
        <v>529</v>
      </c>
      <c r="G906" s="572" t="s">
        <v>140</v>
      </c>
      <c r="H906" s="375"/>
      <c r="I906" s="375"/>
      <c r="J906" s="375">
        <v>10</v>
      </c>
      <c r="K906" s="375">
        <v>20</v>
      </c>
      <c r="L906" s="376">
        <v>10</v>
      </c>
      <c r="M906" s="376">
        <v>20</v>
      </c>
      <c r="N906" s="376">
        <v>10</v>
      </c>
      <c r="O906" s="376"/>
      <c r="P906" s="378">
        <v>10</v>
      </c>
      <c r="Q906" s="378">
        <v>50</v>
      </c>
      <c r="R906" s="378"/>
      <c r="S906" s="378"/>
      <c r="T906" s="378"/>
      <c r="U906" s="378"/>
      <c r="V906" s="533"/>
      <c r="W906" s="418"/>
      <c r="X906" s="418"/>
      <c r="Y906" s="378">
        <f>IF(NFI_Expiration=1,IF($A906&lt;VLOOKUP(H$5,NFI,5,0),1,0)*Table_NFI[[#This Row],[Hygiene Kit]],Table_NFI[Hygiene Kit])</f>
        <v>0</v>
      </c>
      <c r="Z906" s="378">
        <f>IF(NFI_Expiration=1,IF($A906&lt;VLOOKUP(I$5,NFI,5,0),1,0)*Table_NFI[[#This Row],[NFI Core Kit]],Table_NFI[NFI Core Kit])</f>
        <v>0</v>
      </c>
      <c r="AA906" s="378">
        <f>IF(NFI_Expiration=1,IF($A906&lt;VLOOKUP(J$5,NFI,5,0),1,0)*Table_NFI[[#This Row],[Sanitary Kit]],Table_NFI[Sanitary Kit])</f>
        <v>0</v>
      </c>
      <c r="AB906" s="378">
        <f>IF(NFI_Expiration=1,IF($A906&lt;VLOOKUP(K$5,NFI,5,0),1,0)*Table_NFI[[#This Row],[Mosquito net]],Table_NFI[Mosquito net])</f>
        <v>0</v>
      </c>
      <c r="AC906" s="378">
        <f>IF(NFI_Expiration=1,IF($A906&lt;VLOOKUP(L$5,NFI,5,0),1,0)*Table_NFI[[#This Row],[Tarpaulin]],Table_NFI[[#This Row],[Tarpaulin]])</f>
        <v>0</v>
      </c>
      <c r="AD906" s="378">
        <f>IF(NFI_Expiration=1,IF($A906&lt;VLOOKUP(M$5,NFI,5,0),1,0)*Table_NFI[[#This Row],[Blanket]],Table_NFI[[#This Row],[Blanket]])</f>
        <v>0</v>
      </c>
      <c r="AE906" s="378">
        <f>IF(NFI_Expiration=1,IF($A906&lt;VLOOKUP(N$5,NFI,5,0),1,0)*Table_NFI[[#This Row],[Kitchen Set]],Table_NFI[Kitchen Set])</f>
        <v>0</v>
      </c>
      <c r="AF906" s="378">
        <f>IF(NFI_Expiration=1,IF($A906&lt;VLOOKUP(O$5,NFI,5,0),1,0)*Table_NFI[[#This Row],[Clothes Kit]],Table_NFI[Clothes Kit])</f>
        <v>0</v>
      </c>
      <c r="AG906" s="378">
        <f>IF(NFI_Expiration=1,IF($A906&lt;VLOOKUP(P$5,NFI,5,0),1,0)*Table_NFI[[#This Row],[Plastic Bucket]],Table_NFI[Plastic Bucket])</f>
        <v>0</v>
      </c>
      <c r="AH906" s="378">
        <f>IF(NFI_Expiration=1,IF($A906&lt;VLOOKUP(Q$5,NFI,5,0),1,0)*Table_NFI[[#This Row],[Plastic Mat]],Table_NFI[Plastic Mat])*IF(Table_NFI[[#This Row],[Distribution Date]]&gt;"2014-04-01",1,2.5)</f>
        <v>0</v>
      </c>
      <c r="AI906" s="378">
        <f>IF(NFI_Expiration=1,IF($A906&lt;VLOOKUP(R$5,NFI,5,0),1,0)*Table_NFI[[#This Row],[Winter Clothes Adult]],Table_NFI[Winter Clothes Adult])</f>
        <v>0</v>
      </c>
      <c r="AJ906" s="378">
        <f>IF(NFI_Expiration=1,IF($A906&lt;VLOOKUP(S$5,NFI,5,0),1,0)*Table_NFI[[#This Row],[Winter Clothes Children]],Table_NFI[Winter Clothes Children])</f>
        <v>0</v>
      </c>
      <c r="AK906" s="378">
        <f>IF(NFI_Expiration=1,IF($A906&lt;VLOOKUP(T$5,NFI,5,0),1,0)*Table_NFI[[#This Row],[Winter Items Other]],Table_NFI[Winter Items Other])</f>
        <v>0</v>
      </c>
      <c r="AL906" s="378">
        <f>IF(NFI_Expiration=1,IF($A906&lt;VLOOKUP(M$5,NFI,5,0),1,0)*Table_NFI[[#This Row],[Winter Blanket]],Table_NFI[[#This Row],[Winter Blanket]])</f>
        <v>0</v>
      </c>
      <c r="AM906" s="378">
        <f>IF(Table_NFI[[#This Row],[Winter Clothes Adult]]+Table_NFI[[#This Row],[Winter Clothes Children]]+Table_NFI[[#This Row],[Winter Items Other]]+Table_NFI[[#This Row],[Winter Blanket]]&gt;0,1,0)</f>
        <v>0</v>
      </c>
      <c r="AN906" s="418">
        <f>IF(NFI_Expiration=1,IF($A906&lt;VLOOKUP(V$5,NFI,5,0),1,0)*Table_NFI[[#This Row],[Jerry Can]],Table_NFI[Jerry Can])</f>
        <v>0</v>
      </c>
      <c r="AO906" s="579" t="str">
        <f>IFERROR(VLOOKUP(Table_NFI[[#This Row],[Camp Name]],CL,2,0),"")</f>
        <v>MMR001CMP105</v>
      </c>
      <c r="AP906" s="574">
        <f ca="1">IF(Table_NFI[[#This Row],[Pcode]]="","",IF(OFFSET(CampList[Opening Date],MATCH(Table_NFI[[#This Row],[Pcode]],CampList[CP_Pcode],0)-1,0,1,1)&gt;=NFI_Monitor_Date,1,0))</f>
        <v>0</v>
      </c>
      <c r="AQ906" s="579" t="str">
        <f>IFERROR(VLOOKUP(Table_NFI[[#This Row],[Camp Name]],CL,3,0),"")</f>
        <v>Open</v>
      </c>
      <c r="AR906" s="378" t="str">
        <f ca="1">IF(Table_NFI[[#This Row],[Pcode]]="","",OFFSET(CampList[Priority],MATCH(Table_NFI[[#This Row],[Pcode]],CampList[CP_Pcode],0)-1,0,1,1))</f>
        <v>P4</v>
      </c>
      <c r="AS906" s="377">
        <f>IFERROR(Table_NFI[[#This Row],[Kitchen Set]]/VLOOKUP(Table_NFI[[#This Row],[Camp Name]],CL,4,0),"")</f>
        <v>0.52631578947368418</v>
      </c>
      <c r="AT906" s="572"/>
      <c r="AU906" s="575"/>
    </row>
    <row r="907" spans="1:47" s="585" customFormat="1" ht="19.149999999999999" customHeight="1" x14ac:dyDescent="0.25">
      <c r="A907" s="381">
        <f t="shared" si="14"/>
        <v>36.866666666666667</v>
      </c>
      <c r="B907" s="571">
        <v>41416</v>
      </c>
      <c r="C907" s="572" t="s">
        <v>454</v>
      </c>
      <c r="D907" s="572" t="s">
        <v>454</v>
      </c>
      <c r="E907" s="572" t="s">
        <v>380</v>
      </c>
      <c r="F907" s="374" t="s">
        <v>529</v>
      </c>
      <c r="G907" s="374" t="s">
        <v>140</v>
      </c>
      <c r="H907" s="375"/>
      <c r="I907" s="375"/>
      <c r="J907" s="375">
        <v>42</v>
      </c>
      <c r="K907" s="375">
        <v>66</v>
      </c>
      <c r="L907" s="376">
        <v>28</v>
      </c>
      <c r="M907" s="376">
        <v>66</v>
      </c>
      <c r="N907" s="376">
        <v>28</v>
      </c>
      <c r="O907" s="376">
        <v>28</v>
      </c>
      <c r="P907" s="378">
        <v>28</v>
      </c>
      <c r="Q907" s="378">
        <v>28</v>
      </c>
      <c r="R907" s="378"/>
      <c r="S907" s="378"/>
      <c r="T907" s="378"/>
      <c r="U907" s="378"/>
      <c r="V907" s="533"/>
      <c r="W907" s="418"/>
      <c r="X907" s="418"/>
      <c r="Y907" s="378">
        <f>IF(NFI_Expiration=1,IF($A907&lt;VLOOKUP(H$5,NFI,5,0),1,0)*Table_NFI[[#This Row],[Hygiene Kit]],Table_NFI[Hygiene Kit])</f>
        <v>0</v>
      </c>
      <c r="Z907" s="378">
        <f>IF(NFI_Expiration=1,IF($A907&lt;VLOOKUP(I$5,NFI,5,0),1,0)*Table_NFI[[#This Row],[NFI Core Kit]],Table_NFI[NFI Core Kit])</f>
        <v>0</v>
      </c>
      <c r="AA907" s="378">
        <f>IF(NFI_Expiration=1,IF($A907&lt;VLOOKUP(J$5,NFI,5,0),1,0)*Table_NFI[[#This Row],[Sanitary Kit]],Table_NFI[Sanitary Kit])</f>
        <v>0</v>
      </c>
      <c r="AB907" s="378">
        <f>IF(NFI_Expiration=1,IF($A907&lt;VLOOKUP(K$5,NFI,5,0),1,0)*Table_NFI[[#This Row],[Mosquito net]],Table_NFI[Mosquito net])</f>
        <v>0</v>
      </c>
      <c r="AC907" s="378">
        <f>IF(NFI_Expiration=1,IF($A907&lt;VLOOKUP(L$5,NFI,5,0),1,0)*Table_NFI[[#This Row],[Tarpaulin]],Table_NFI[[#This Row],[Tarpaulin]])</f>
        <v>0</v>
      </c>
      <c r="AD907" s="378">
        <f>IF(NFI_Expiration=1,IF($A907&lt;VLOOKUP(M$5,NFI,5,0),1,0)*Table_NFI[[#This Row],[Blanket]],Table_NFI[[#This Row],[Blanket]])</f>
        <v>0</v>
      </c>
      <c r="AE907" s="378">
        <f>IF(NFI_Expiration=1,IF($A907&lt;VLOOKUP(N$5,NFI,5,0),1,0)*Table_NFI[[#This Row],[Kitchen Set]],Table_NFI[Kitchen Set])</f>
        <v>0</v>
      </c>
      <c r="AF907" s="378">
        <f>IF(NFI_Expiration=1,IF($A907&lt;VLOOKUP(O$5,NFI,5,0),1,0)*Table_NFI[[#This Row],[Clothes Kit]],Table_NFI[Clothes Kit])</f>
        <v>0</v>
      </c>
      <c r="AG907" s="378">
        <f>IF(NFI_Expiration=1,IF($A907&lt;VLOOKUP(P$5,NFI,5,0),1,0)*Table_NFI[[#This Row],[Plastic Bucket]],Table_NFI[Plastic Bucket])</f>
        <v>0</v>
      </c>
      <c r="AH907" s="378">
        <f>IF(NFI_Expiration=1,IF($A907&lt;VLOOKUP(Q$5,NFI,5,0),1,0)*Table_NFI[[#This Row],[Plastic Mat]],Table_NFI[Plastic Mat])*IF(Table_NFI[[#This Row],[Distribution Date]]&gt;"2014-04-01",1,2.5)</f>
        <v>0</v>
      </c>
      <c r="AI907" s="378">
        <f>IF(NFI_Expiration=1,IF($A907&lt;VLOOKUP(R$5,NFI,5,0),1,0)*Table_NFI[[#This Row],[Winter Clothes Adult]],Table_NFI[Winter Clothes Adult])</f>
        <v>0</v>
      </c>
      <c r="AJ907" s="378">
        <f>IF(NFI_Expiration=1,IF($A907&lt;VLOOKUP(S$5,NFI,5,0),1,0)*Table_NFI[[#This Row],[Winter Clothes Children]],Table_NFI[Winter Clothes Children])</f>
        <v>0</v>
      </c>
      <c r="AK907" s="378">
        <f>IF(NFI_Expiration=1,IF($A907&lt;VLOOKUP(T$5,NFI,5,0),1,0)*Table_NFI[[#This Row],[Winter Items Other]],Table_NFI[Winter Items Other])</f>
        <v>0</v>
      </c>
      <c r="AL907" s="378">
        <f>IF(NFI_Expiration=1,IF($A907&lt;VLOOKUP(M$5,NFI,5,0),1,0)*Table_NFI[[#This Row],[Winter Blanket]],Table_NFI[[#This Row],[Winter Blanket]])</f>
        <v>0</v>
      </c>
      <c r="AM907" s="378">
        <f>IF(Table_NFI[[#This Row],[Winter Clothes Adult]]+Table_NFI[[#This Row],[Winter Clothes Children]]+Table_NFI[[#This Row],[Winter Items Other]]+Table_NFI[[#This Row],[Winter Blanket]]&gt;0,1,0)</f>
        <v>0</v>
      </c>
      <c r="AN907" s="418">
        <f>IF(NFI_Expiration=1,IF($A907&lt;VLOOKUP(V$5,NFI,5,0),1,0)*Table_NFI[[#This Row],[Jerry Can]],Table_NFI[Jerry Can])</f>
        <v>0</v>
      </c>
      <c r="AO907" s="579" t="str">
        <f>IFERROR(VLOOKUP(Table_NFI[[#This Row],[Camp Name]],CL,2,0),"")</f>
        <v>MMR001CMP105</v>
      </c>
      <c r="AP907" s="574">
        <f ca="1">IF(Table_NFI[[#This Row],[Pcode]]="","",IF(OFFSET(CampList[Opening Date],MATCH(Table_NFI[[#This Row],[Pcode]],CampList[CP_Pcode],0)-1,0,1,1)&gt;=NFI_Monitor_Date,1,0))</f>
        <v>0</v>
      </c>
      <c r="AQ907" s="579" t="str">
        <f>IFERROR(VLOOKUP(Table_NFI[[#This Row],[Camp Name]],CL,3,0),"")</f>
        <v>Open</v>
      </c>
      <c r="AR907" s="378" t="str">
        <f ca="1">IF(Table_NFI[[#This Row],[Pcode]]="","",OFFSET(CampList[Priority],MATCH(Table_NFI[[#This Row],[Pcode]],CampList[CP_Pcode],0)-1,0,1,1))</f>
        <v>P4</v>
      </c>
      <c r="AS907" s="377">
        <f>IFERROR(Table_NFI[[#This Row],[Kitchen Set]]/VLOOKUP(Table_NFI[[#This Row],[Camp Name]],CL,4,0),"")</f>
        <v>1.4736842105263157</v>
      </c>
      <c r="AT907" s="572" t="s">
        <v>1095</v>
      </c>
      <c r="AU907" s="575"/>
    </row>
    <row r="908" spans="1:47" s="585" customFormat="1" ht="19.899999999999999" customHeight="1" x14ac:dyDescent="0.25">
      <c r="A908" s="381">
        <f t="shared" si="14"/>
        <v>39.9</v>
      </c>
      <c r="B908" s="571">
        <v>41325</v>
      </c>
      <c r="C908" s="572" t="s">
        <v>454</v>
      </c>
      <c r="D908" s="572" t="s">
        <v>454</v>
      </c>
      <c r="E908" s="572" t="s">
        <v>380</v>
      </c>
      <c r="F908" s="572" t="s">
        <v>529</v>
      </c>
      <c r="G908" s="374" t="s">
        <v>140</v>
      </c>
      <c r="H908" s="375"/>
      <c r="I908" s="375"/>
      <c r="J908" s="375">
        <v>46</v>
      </c>
      <c r="K908" s="375">
        <v>0</v>
      </c>
      <c r="L908" s="376">
        <v>0</v>
      </c>
      <c r="M908" s="376">
        <v>0</v>
      </c>
      <c r="N908" s="376">
        <v>0</v>
      </c>
      <c r="O908" s="376">
        <v>0</v>
      </c>
      <c r="P908" s="378"/>
      <c r="Q908" s="378"/>
      <c r="R908" s="378"/>
      <c r="S908" s="378"/>
      <c r="T908" s="378"/>
      <c r="U908" s="378"/>
      <c r="V908" s="533"/>
      <c r="W908" s="418"/>
      <c r="X908" s="418"/>
      <c r="Y908" s="378">
        <f>IF(NFI_Expiration=1,IF($A908&lt;VLOOKUP(H$5,NFI,5,0),1,0)*Table_NFI[[#This Row],[Hygiene Kit]],Table_NFI[Hygiene Kit])</f>
        <v>0</v>
      </c>
      <c r="Z908" s="378">
        <f>IF(NFI_Expiration=1,IF($A908&lt;VLOOKUP(I$5,NFI,5,0),1,0)*Table_NFI[[#This Row],[NFI Core Kit]],Table_NFI[NFI Core Kit])</f>
        <v>0</v>
      </c>
      <c r="AA908" s="378">
        <f>IF(NFI_Expiration=1,IF($A908&lt;VLOOKUP(J$5,NFI,5,0),1,0)*Table_NFI[[#This Row],[Sanitary Kit]],Table_NFI[Sanitary Kit])</f>
        <v>0</v>
      </c>
      <c r="AB908" s="378">
        <f>IF(NFI_Expiration=1,IF($A908&lt;VLOOKUP(K$5,NFI,5,0),1,0)*Table_NFI[[#This Row],[Mosquito net]],Table_NFI[Mosquito net])</f>
        <v>0</v>
      </c>
      <c r="AC908" s="378">
        <f>IF(NFI_Expiration=1,IF($A908&lt;VLOOKUP(L$5,NFI,5,0),1,0)*Table_NFI[[#This Row],[Tarpaulin]],Table_NFI[[#This Row],[Tarpaulin]])</f>
        <v>0</v>
      </c>
      <c r="AD908" s="378">
        <f>IF(NFI_Expiration=1,IF($A908&lt;VLOOKUP(M$5,NFI,5,0),1,0)*Table_NFI[[#This Row],[Blanket]],Table_NFI[[#This Row],[Blanket]])</f>
        <v>0</v>
      </c>
      <c r="AE908" s="378">
        <f>IF(NFI_Expiration=1,IF($A908&lt;VLOOKUP(N$5,NFI,5,0),1,0)*Table_NFI[[#This Row],[Kitchen Set]],Table_NFI[Kitchen Set])</f>
        <v>0</v>
      </c>
      <c r="AF908" s="378">
        <f>IF(NFI_Expiration=1,IF($A908&lt;VLOOKUP(O$5,NFI,5,0),1,0)*Table_NFI[[#This Row],[Clothes Kit]],Table_NFI[Clothes Kit])</f>
        <v>0</v>
      </c>
      <c r="AG908" s="378">
        <f>IF(NFI_Expiration=1,IF($A908&lt;VLOOKUP(P$5,NFI,5,0),1,0)*Table_NFI[[#This Row],[Plastic Bucket]],Table_NFI[Plastic Bucket])</f>
        <v>0</v>
      </c>
      <c r="AH908" s="378">
        <f>IF(NFI_Expiration=1,IF($A908&lt;VLOOKUP(Q$5,NFI,5,0),1,0)*Table_NFI[[#This Row],[Plastic Mat]],Table_NFI[Plastic Mat])*IF(Table_NFI[[#This Row],[Distribution Date]]&gt;"2014-04-01",1,2.5)</f>
        <v>0</v>
      </c>
      <c r="AI908" s="378">
        <f>IF(NFI_Expiration=1,IF($A908&lt;VLOOKUP(R$5,NFI,5,0),1,0)*Table_NFI[[#This Row],[Winter Clothes Adult]],Table_NFI[Winter Clothes Adult])</f>
        <v>0</v>
      </c>
      <c r="AJ908" s="378">
        <f>IF(NFI_Expiration=1,IF($A908&lt;VLOOKUP(S$5,NFI,5,0),1,0)*Table_NFI[[#This Row],[Winter Clothes Children]],Table_NFI[Winter Clothes Children])</f>
        <v>0</v>
      </c>
      <c r="AK908" s="378">
        <f>IF(NFI_Expiration=1,IF($A908&lt;VLOOKUP(T$5,NFI,5,0),1,0)*Table_NFI[[#This Row],[Winter Items Other]],Table_NFI[Winter Items Other])</f>
        <v>0</v>
      </c>
      <c r="AL908" s="378">
        <f>IF(NFI_Expiration=1,IF($A908&lt;VLOOKUP(M$5,NFI,5,0),1,0)*Table_NFI[[#This Row],[Winter Blanket]],Table_NFI[[#This Row],[Winter Blanket]])</f>
        <v>0</v>
      </c>
      <c r="AM908" s="378">
        <f>IF(Table_NFI[[#This Row],[Winter Clothes Adult]]+Table_NFI[[#This Row],[Winter Clothes Children]]+Table_NFI[[#This Row],[Winter Items Other]]+Table_NFI[[#This Row],[Winter Blanket]]&gt;0,1,0)</f>
        <v>0</v>
      </c>
      <c r="AN908" s="418">
        <f>IF(NFI_Expiration=1,IF($A908&lt;VLOOKUP(V$5,NFI,5,0),1,0)*Table_NFI[[#This Row],[Jerry Can]],Table_NFI[Jerry Can])</f>
        <v>0</v>
      </c>
      <c r="AO908" s="579" t="str">
        <f>IFERROR(VLOOKUP(Table_NFI[[#This Row],[Camp Name]],CL,2,0),"")</f>
        <v>MMR001CMP105</v>
      </c>
      <c r="AP908" s="574">
        <f ca="1">IF(Table_NFI[[#This Row],[Pcode]]="","",IF(OFFSET(CampList[Opening Date],MATCH(Table_NFI[[#This Row],[Pcode]],CampList[CP_Pcode],0)-1,0,1,1)&gt;=NFI_Monitor_Date,1,0))</f>
        <v>0</v>
      </c>
      <c r="AQ908" s="579" t="str">
        <f>IFERROR(VLOOKUP(Table_NFI[[#This Row],[Camp Name]],CL,3,0),"")</f>
        <v>Open</v>
      </c>
      <c r="AR908" s="378" t="str">
        <f ca="1">IF(Table_NFI[[#This Row],[Pcode]]="","",OFFSET(CampList[Priority],MATCH(Table_NFI[[#This Row],[Pcode]],CampList[CP_Pcode],0)-1,0,1,1))</f>
        <v>P4</v>
      </c>
      <c r="AS908" s="377">
        <f>IFERROR(Table_NFI[[#This Row],[Kitchen Set]]/VLOOKUP(Table_NFI[[#This Row],[Camp Name]],CL,4,0),"")</f>
        <v>0</v>
      </c>
      <c r="AT908" s="572" t="s">
        <v>1095</v>
      </c>
      <c r="AU908" s="575"/>
    </row>
    <row r="909" spans="1:47" s="585" customFormat="1" x14ac:dyDescent="0.25">
      <c r="A909" s="381">
        <f t="shared" si="14"/>
        <v>41.6</v>
      </c>
      <c r="B909" s="571">
        <v>41274</v>
      </c>
      <c r="C909" s="572" t="s">
        <v>455</v>
      </c>
      <c r="D909" s="573" t="s">
        <v>455</v>
      </c>
      <c r="E909" s="572" t="s">
        <v>380</v>
      </c>
      <c r="F909" s="374" t="s">
        <v>529</v>
      </c>
      <c r="G909" s="374" t="s">
        <v>140</v>
      </c>
      <c r="H909" s="375">
        <v>42</v>
      </c>
      <c r="I909" s="380"/>
      <c r="J909" s="373"/>
      <c r="K909" s="373"/>
      <c r="L909" s="373"/>
      <c r="M909" s="373"/>
      <c r="N909" s="373"/>
      <c r="O909" s="373"/>
      <c r="P909" s="378">
        <v>0</v>
      </c>
      <c r="Q909" s="378">
        <v>0</v>
      </c>
      <c r="R909" s="378"/>
      <c r="S909" s="378"/>
      <c r="T909" s="378"/>
      <c r="U909" s="378"/>
      <c r="V909" s="533"/>
      <c r="W909" s="418"/>
      <c r="X909" s="418"/>
      <c r="Y909" s="378">
        <f>IF(NFI_Expiration=1,IF($A909&lt;VLOOKUP(H$5,NFI,5,0),1,0)*Table_NFI[[#This Row],[Hygiene Kit]],Table_NFI[Hygiene Kit])</f>
        <v>0</v>
      </c>
      <c r="Z909" s="378">
        <f>IF(NFI_Expiration=1,IF($A909&lt;VLOOKUP(I$5,NFI,5,0),1,0)*Table_NFI[[#This Row],[NFI Core Kit]],Table_NFI[NFI Core Kit])</f>
        <v>0</v>
      </c>
      <c r="AA909" s="378">
        <f>IF(NFI_Expiration=1,IF($A909&lt;VLOOKUP(J$5,NFI,5,0),1,0)*Table_NFI[[#This Row],[Sanitary Kit]],Table_NFI[Sanitary Kit])</f>
        <v>0</v>
      </c>
      <c r="AB909" s="378">
        <f>IF(NFI_Expiration=1,IF($A909&lt;VLOOKUP(K$5,NFI,5,0),1,0)*Table_NFI[[#This Row],[Mosquito net]],Table_NFI[Mosquito net])</f>
        <v>0</v>
      </c>
      <c r="AC909" s="378">
        <f>IF(NFI_Expiration=1,IF($A909&lt;VLOOKUP(L$5,NFI,5,0),1,0)*Table_NFI[[#This Row],[Tarpaulin]],Table_NFI[[#This Row],[Tarpaulin]])</f>
        <v>0</v>
      </c>
      <c r="AD909" s="378">
        <f>IF(NFI_Expiration=1,IF($A909&lt;VLOOKUP(M$5,NFI,5,0),1,0)*Table_NFI[[#This Row],[Blanket]],Table_NFI[[#This Row],[Blanket]])</f>
        <v>0</v>
      </c>
      <c r="AE909" s="378">
        <f>IF(NFI_Expiration=1,IF($A909&lt;VLOOKUP(N$5,NFI,5,0),1,0)*Table_NFI[[#This Row],[Kitchen Set]],Table_NFI[Kitchen Set])</f>
        <v>0</v>
      </c>
      <c r="AF909" s="378">
        <f>IF(NFI_Expiration=1,IF($A909&lt;VLOOKUP(O$5,NFI,5,0),1,0)*Table_NFI[[#This Row],[Clothes Kit]],Table_NFI[Clothes Kit])</f>
        <v>0</v>
      </c>
      <c r="AG909" s="378">
        <f>IF(NFI_Expiration=1,IF($A909&lt;VLOOKUP(P$5,NFI,5,0),1,0)*Table_NFI[[#This Row],[Plastic Bucket]],Table_NFI[Plastic Bucket])</f>
        <v>0</v>
      </c>
      <c r="AH909" s="378">
        <f>IF(NFI_Expiration=1,IF($A909&lt;VLOOKUP(Q$5,NFI,5,0),1,0)*Table_NFI[[#This Row],[Plastic Mat]],Table_NFI[Plastic Mat])*IF(Table_NFI[[#This Row],[Distribution Date]]&gt;"2014-04-01",1,2.5)</f>
        <v>0</v>
      </c>
      <c r="AI909" s="378">
        <f>IF(NFI_Expiration=1,IF($A909&lt;VLOOKUP(R$5,NFI,5,0),1,0)*Table_NFI[[#This Row],[Winter Clothes Adult]],Table_NFI[Winter Clothes Adult])</f>
        <v>0</v>
      </c>
      <c r="AJ909" s="378">
        <f>IF(NFI_Expiration=1,IF($A909&lt;VLOOKUP(S$5,NFI,5,0),1,0)*Table_NFI[[#This Row],[Winter Clothes Children]],Table_NFI[Winter Clothes Children])</f>
        <v>0</v>
      </c>
      <c r="AK909" s="378">
        <f>IF(NFI_Expiration=1,IF($A909&lt;VLOOKUP(T$5,NFI,5,0),1,0)*Table_NFI[[#This Row],[Winter Items Other]],Table_NFI[Winter Items Other])</f>
        <v>0</v>
      </c>
      <c r="AL909" s="378">
        <f>IF(NFI_Expiration=1,IF($A909&lt;VLOOKUP(M$5,NFI,5,0),1,0)*Table_NFI[[#This Row],[Winter Blanket]],Table_NFI[[#This Row],[Winter Blanket]])</f>
        <v>0</v>
      </c>
      <c r="AM909" s="378">
        <f>IF(Table_NFI[[#This Row],[Winter Clothes Adult]]+Table_NFI[[#This Row],[Winter Clothes Children]]+Table_NFI[[#This Row],[Winter Items Other]]+Table_NFI[[#This Row],[Winter Blanket]]&gt;0,1,0)</f>
        <v>0</v>
      </c>
      <c r="AN909" s="418">
        <f>IF(NFI_Expiration=1,IF($A909&lt;VLOOKUP(V$5,NFI,5,0),1,0)*Table_NFI[[#This Row],[Jerry Can]],Table_NFI[Jerry Can])</f>
        <v>0</v>
      </c>
      <c r="AO909" s="579" t="str">
        <f>IFERROR(VLOOKUP(Table_NFI[[#This Row],[Camp Name]],CL,2,0),"")</f>
        <v>MMR001CMP105</v>
      </c>
      <c r="AP909" s="574">
        <f ca="1">IF(Table_NFI[[#This Row],[Pcode]]="","",IF(OFFSET(CampList[Opening Date],MATCH(Table_NFI[[#This Row],[Pcode]],CampList[CP_Pcode],0)-1,0,1,1)&gt;=NFI_Monitor_Date,1,0))</f>
        <v>0</v>
      </c>
      <c r="AQ909" s="579" t="str">
        <f>IFERROR(VLOOKUP(Table_NFI[[#This Row],[Camp Name]],CL,3,0),"")</f>
        <v>Open</v>
      </c>
      <c r="AR909" s="378" t="str">
        <f ca="1">IF(Table_NFI[[#This Row],[Pcode]]="","",OFFSET(CampList[Priority],MATCH(Table_NFI[[#This Row],[Pcode]],CampList[CP_Pcode],0)-1,0,1,1))</f>
        <v>P4</v>
      </c>
      <c r="AS909" s="377">
        <f>IFERROR(Table_NFI[[#This Row],[Kitchen Set]]/VLOOKUP(Table_NFI[[#This Row],[Camp Name]],CL,4,0),"")</f>
        <v>0</v>
      </c>
      <c r="AT909" s="572" t="s">
        <v>1095</v>
      </c>
      <c r="AU909" s="575"/>
    </row>
    <row r="910" spans="1:47" s="585" customFormat="1" ht="15" customHeight="1" x14ac:dyDescent="0.25">
      <c r="A910" s="381">
        <f t="shared" si="14"/>
        <v>17.666666666666668</v>
      </c>
      <c r="B910" s="571">
        <v>41992</v>
      </c>
      <c r="C910" s="572" t="s">
        <v>454</v>
      </c>
      <c r="D910" s="572" t="s">
        <v>462</v>
      </c>
      <c r="E910" s="572" t="s">
        <v>380</v>
      </c>
      <c r="F910" s="572" t="s">
        <v>310</v>
      </c>
      <c r="G910" s="572" t="s">
        <v>1249</v>
      </c>
      <c r="H910" s="375"/>
      <c r="I910" s="375"/>
      <c r="J910" s="375"/>
      <c r="K910" s="375"/>
      <c r="L910" s="376"/>
      <c r="M910" s="376"/>
      <c r="N910" s="376"/>
      <c r="O910" s="376"/>
      <c r="P910" s="378"/>
      <c r="Q910" s="378"/>
      <c r="R910" s="378">
        <v>1292</v>
      </c>
      <c r="S910" s="378">
        <v>1938</v>
      </c>
      <c r="T910" s="378"/>
      <c r="U910" s="378">
        <v>1292</v>
      </c>
      <c r="V910" s="533"/>
      <c r="W910" s="418"/>
      <c r="X910" s="418"/>
      <c r="Y910" s="378">
        <f>IF(NFI_Expiration=1,IF($A910&lt;VLOOKUP(H$5,NFI,5,0),1,0)*Table_NFI[[#This Row],[Hygiene Kit]],Table_NFI[Hygiene Kit])</f>
        <v>0</v>
      </c>
      <c r="Z910" s="378">
        <f>IF(NFI_Expiration=1,IF($A910&lt;VLOOKUP(I$5,NFI,5,0),1,0)*Table_NFI[[#This Row],[NFI Core Kit]],Table_NFI[NFI Core Kit])</f>
        <v>0</v>
      </c>
      <c r="AA910" s="378">
        <f>IF(NFI_Expiration=1,IF($A910&lt;VLOOKUP(J$5,NFI,5,0),1,0)*Table_NFI[[#This Row],[Sanitary Kit]],Table_NFI[Sanitary Kit])</f>
        <v>0</v>
      </c>
      <c r="AB910" s="378">
        <f>IF(NFI_Expiration=1,IF($A910&lt;VLOOKUP(K$5,NFI,5,0),1,0)*Table_NFI[[#This Row],[Mosquito net]],Table_NFI[Mosquito net])</f>
        <v>0</v>
      </c>
      <c r="AC910" s="378">
        <f>IF(NFI_Expiration=1,IF($A910&lt;VLOOKUP(L$5,NFI,5,0),1,0)*Table_NFI[[#This Row],[Tarpaulin]],Table_NFI[[#This Row],[Tarpaulin]])</f>
        <v>0</v>
      </c>
      <c r="AD910" s="378">
        <f>IF(NFI_Expiration=1,IF($A910&lt;VLOOKUP(M$5,NFI,5,0),1,0)*Table_NFI[[#This Row],[Blanket]],Table_NFI[[#This Row],[Blanket]])</f>
        <v>0</v>
      </c>
      <c r="AE910" s="378">
        <f>IF(NFI_Expiration=1,IF($A910&lt;VLOOKUP(N$5,NFI,5,0),1,0)*Table_NFI[[#This Row],[Kitchen Set]],Table_NFI[Kitchen Set])</f>
        <v>0</v>
      </c>
      <c r="AF910" s="378">
        <f>IF(NFI_Expiration=1,IF($A910&lt;VLOOKUP(O$5,NFI,5,0),1,0)*Table_NFI[[#This Row],[Clothes Kit]],Table_NFI[Clothes Kit])</f>
        <v>0</v>
      </c>
      <c r="AG910" s="378">
        <f>IF(NFI_Expiration=1,IF($A910&lt;VLOOKUP(P$5,NFI,5,0),1,0)*Table_NFI[[#This Row],[Plastic Bucket]],Table_NFI[Plastic Bucket])</f>
        <v>0</v>
      </c>
      <c r="AH910" s="378">
        <f>IF(NFI_Expiration=1,IF($A910&lt;VLOOKUP(Q$5,NFI,5,0),1,0)*Table_NFI[[#This Row],[Plastic Mat]],Table_NFI[Plastic Mat])*IF(Table_NFI[[#This Row],[Distribution Date]]&gt;"2014-04-01",1,2.5)</f>
        <v>0</v>
      </c>
      <c r="AI910" s="378">
        <f>IF(NFI_Expiration=1,IF($A910&lt;VLOOKUP(R$5,NFI,5,0),1,0)*Table_NFI[[#This Row],[Winter Clothes Adult]],Table_NFI[Winter Clothes Adult])</f>
        <v>0</v>
      </c>
      <c r="AJ910" s="378">
        <f>IF(NFI_Expiration=1,IF($A910&lt;VLOOKUP(S$5,NFI,5,0),1,0)*Table_NFI[[#This Row],[Winter Clothes Children]],Table_NFI[Winter Clothes Children])</f>
        <v>0</v>
      </c>
      <c r="AK910" s="378">
        <f>IF(NFI_Expiration=1,IF($A910&lt;VLOOKUP(T$5,NFI,5,0),1,0)*Table_NFI[[#This Row],[Winter Items Other]],Table_NFI[Winter Items Other])</f>
        <v>0</v>
      </c>
      <c r="AL910" s="378">
        <f>IF(NFI_Expiration=1,IF($A910&lt;VLOOKUP(M$5,NFI,5,0),1,0)*Table_NFI[[#This Row],[Winter Blanket]],Table_NFI[[#This Row],[Winter Blanket]])</f>
        <v>0</v>
      </c>
      <c r="AM910" s="378">
        <f>IF(Table_NFI[[#This Row],[Winter Clothes Adult]]+Table_NFI[[#This Row],[Winter Clothes Children]]+Table_NFI[[#This Row],[Winter Items Other]]+Table_NFI[[#This Row],[Winter Blanket]]&gt;0,1,0)</f>
        <v>1</v>
      </c>
      <c r="AN910" s="418">
        <f>IF(NFI_Expiration=1,IF($A910&lt;VLOOKUP(V$5,NFI,5,0),1,0)*Table_NFI[[#This Row],[Jerry Can]],Table_NFI[Jerry Can])</f>
        <v>0</v>
      </c>
      <c r="AO910" s="579" t="str">
        <f>IFERROR(VLOOKUP(Table_NFI[[#This Row],[Camp Name]],CL,2,0),"")</f>
        <v>MMR001CMP111</v>
      </c>
      <c r="AP910" s="574">
        <f ca="1">IF(Table_NFI[[#This Row],[Pcode]]="","",IF(OFFSET(CampList[Opening Date],MATCH(Table_NFI[[#This Row],[Pcode]],CampList[CP_Pcode],0)-1,0,1,1)&gt;=NFI_Monitor_Date,1,0))</f>
        <v>0</v>
      </c>
      <c r="AQ910" s="579" t="str">
        <f>IFERROR(VLOOKUP(Table_NFI[[#This Row],[Camp Name]],CL,3,0),"")</f>
        <v>Open</v>
      </c>
      <c r="AR910" s="378" t="str">
        <f ca="1">IF(Table_NFI[[#This Row],[Pcode]]="","",OFFSET(CampList[Priority],MATCH(Table_NFI[[#This Row],[Pcode]],CampList[CP_Pcode],0)-1,0,1,1))</f>
        <v>P2</v>
      </c>
      <c r="AS910" s="377">
        <f>IFERROR(Table_NFI[[#This Row],[Kitchen Set]]/VLOOKUP(Table_NFI[[#This Row],[Camp Name]],CL,4,0),"")</f>
        <v>0</v>
      </c>
      <c r="AT910" s="572"/>
      <c r="AU910" s="575"/>
    </row>
    <row r="911" spans="1:47" s="585" customFormat="1" ht="15.75" customHeight="1" x14ac:dyDescent="0.25">
      <c r="A911" s="381">
        <f t="shared" si="14"/>
        <v>21.3</v>
      </c>
      <c r="B911" s="571">
        <v>41883</v>
      </c>
      <c r="C911" s="577" t="s">
        <v>1039</v>
      </c>
      <c r="D911" s="577"/>
      <c r="E911" s="577" t="s">
        <v>380</v>
      </c>
      <c r="F911" s="577" t="s">
        <v>310</v>
      </c>
      <c r="G911" s="577" t="s">
        <v>1249</v>
      </c>
      <c r="H911" s="376"/>
      <c r="I911" s="376"/>
      <c r="J911" s="376"/>
      <c r="K911" s="376"/>
      <c r="L911" s="376"/>
      <c r="M911" s="376"/>
      <c r="N911" s="376"/>
      <c r="O911" s="376"/>
      <c r="P911" s="378"/>
      <c r="Q911" s="378"/>
      <c r="R911" s="378"/>
      <c r="S911" s="378">
        <v>905</v>
      </c>
      <c r="T911" s="378"/>
      <c r="U911" s="378"/>
      <c r="V911" s="533"/>
      <c r="W911" s="418"/>
      <c r="X911" s="418"/>
      <c r="Y911" s="378">
        <f>IF(NFI_Expiration=1,IF($A911&lt;VLOOKUP(H$5,NFI,5,0),1,0)*Table_NFI[[#This Row],[Hygiene Kit]],Table_NFI[Hygiene Kit])</f>
        <v>0</v>
      </c>
      <c r="Z911" s="378">
        <f>IF(NFI_Expiration=1,IF($A911&lt;VLOOKUP(I$5,NFI,5,0),1,0)*Table_NFI[[#This Row],[NFI Core Kit]],Table_NFI[NFI Core Kit])</f>
        <v>0</v>
      </c>
      <c r="AA911" s="378">
        <f>IF(NFI_Expiration=1,IF($A911&lt;VLOOKUP(J$5,NFI,5,0),1,0)*Table_NFI[[#This Row],[Sanitary Kit]],Table_NFI[Sanitary Kit])</f>
        <v>0</v>
      </c>
      <c r="AB911" s="378">
        <f>IF(NFI_Expiration=1,IF($A911&lt;VLOOKUP(K$5,NFI,5,0),1,0)*Table_NFI[[#This Row],[Mosquito net]],Table_NFI[Mosquito net])</f>
        <v>0</v>
      </c>
      <c r="AC911" s="378">
        <f>IF(NFI_Expiration=1,IF($A911&lt;VLOOKUP(L$5,NFI,5,0),1,0)*Table_NFI[[#This Row],[Tarpaulin]],Table_NFI[[#This Row],[Tarpaulin]])</f>
        <v>0</v>
      </c>
      <c r="AD911" s="378">
        <f>IF(NFI_Expiration=1,IF($A911&lt;VLOOKUP(M$5,NFI,5,0),1,0)*Table_NFI[[#This Row],[Blanket]],Table_NFI[[#This Row],[Blanket]])</f>
        <v>0</v>
      </c>
      <c r="AE911" s="378">
        <f>IF(NFI_Expiration=1,IF($A911&lt;VLOOKUP(N$5,NFI,5,0),1,0)*Table_NFI[[#This Row],[Kitchen Set]],Table_NFI[Kitchen Set])</f>
        <v>0</v>
      </c>
      <c r="AF911" s="378">
        <f>IF(NFI_Expiration=1,IF($A911&lt;VLOOKUP(O$5,NFI,5,0),1,0)*Table_NFI[[#This Row],[Clothes Kit]],Table_NFI[Clothes Kit])</f>
        <v>0</v>
      </c>
      <c r="AG911" s="378">
        <f>IF(NFI_Expiration=1,IF($A911&lt;VLOOKUP(P$5,NFI,5,0),1,0)*Table_NFI[[#This Row],[Plastic Bucket]],Table_NFI[Plastic Bucket])</f>
        <v>0</v>
      </c>
      <c r="AH911" s="378">
        <f>IF(NFI_Expiration=1,IF($A911&lt;VLOOKUP(Q$5,NFI,5,0),1,0)*Table_NFI[[#This Row],[Plastic Mat]],Table_NFI[Plastic Mat])*IF(Table_NFI[[#This Row],[Distribution Date]]&gt;"2014-04-01",1,2.5)</f>
        <v>0</v>
      </c>
      <c r="AI911" s="378">
        <f>IF(NFI_Expiration=1,IF($A911&lt;VLOOKUP(R$5,NFI,5,0),1,0)*Table_NFI[[#This Row],[Winter Clothes Adult]],Table_NFI[Winter Clothes Adult])</f>
        <v>0</v>
      </c>
      <c r="AJ911" s="378">
        <f>IF(NFI_Expiration=1,IF($A911&lt;VLOOKUP(S$5,NFI,5,0),1,0)*Table_NFI[[#This Row],[Winter Clothes Children]],Table_NFI[Winter Clothes Children])</f>
        <v>0</v>
      </c>
      <c r="AK911" s="378">
        <f>IF(NFI_Expiration=1,IF($A911&lt;VLOOKUP(T$5,NFI,5,0),1,0)*Table_NFI[[#This Row],[Winter Items Other]],Table_NFI[Winter Items Other])</f>
        <v>0</v>
      </c>
      <c r="AL911" s="378">
        <f>IF(NFI_Expiration=1,IF($A911&lt;VLOOKUP(M$5,NFI,5,0),1,0)*Table_NFI[[#This Row],[Winter Blanket]],Table_NFI[[#This Row],[Winter Blanket]])</f>
        <v>0</v>
      </c>
      <c r="AM911" s="378">
        <f>IF(Table_NFI[[#This Row],[Winter Clothes Adult]]+Table_NFI[[#This Row],[Winter Clothes Children]]+Table_NFI[[#This Row],[Winter Items Other]]+Table_NFI[[#This Row],[Winter Blanket]]&gt;0,1,0)</f>
        <v>1</v>
      </c>
      <c r="AN911" s="418">
        <f>IF(NFI_Expiration=1,IF($A911&lt;VLOOKUP(V$5,NFI,5,0),1,0)*Table_NFI[[#This Row],[Jerry Can]],Table_NFI[Jerry Can])</f>
        <v>0</v>
      </c>
      <c r="AO911" s="579" t="str">
        <f>IFERROR(VLOOKUP(Table_NFI[[#This Row],[Camp Name]],CL,2,0),"")</f>
        <v>MMR001CMP111</v>
      </c>
      <c r="AP911" s="574">
        <f ca="1">IF(Table_NFI[[#This Row],[Pcode]]="","",IF(OFFSET(CampList[Opening Date],MATCH(Table_NFI[[#This Row],[Pcode]],CampList[CP_Pcode],0)-1,0,1,1)&gt;=NFI_Monitor_Date,1,0))</f>
        <v>0</v>
      </c>
      <c r="AQ911" s="579" t="str">
        <f>IFERROR(VLOOKUP(Table_NFI[[#This Row],[Camp Name]],CL,3,0),"")</f>
        <v>Open</v>
      </c>
      <c r="AR911" s="378" t="str">
        <f ca="1">IF(Table_NFI[[#This Row],[Pcode]]="","",OFFSET(CampList[Priority],MATCH(Table_NFI[[#This Row],[Pcode]],CampList[CP_Pcode],0)-1,0,1,1))</f>
        <v>P2</v>
      </c>
      <c r="AS911" s="377">
        <f>IFERROR(Table_NFI[[#This Row],[Kitchen Set]]/VLOOKUP(Table_NFI[[#This Row],[Camp Name]],CL,4,0),"")</f>
        <v>0</v>
      </c>
      <c r="AT911" s="577"/>
      <c r="AU911" s="580"/>
    </row>
    <row r="912" spans="1:47" s="585" customFormat="1" ht="15.75" customHeight="1" x14ac:dyDescent="0.25">
      <c r="A912" s="381">
        <f t="shared" si="14"/>
        <v>28.6</v>
      </c>
      <c r="B912" s="571">
        <v>41664</v>
      </c>
      <c r="C912" s="572" t="s">
        <v>1039</v>
      </c>
      <c r="D912" s="572" t="s">
        <v>462</v>
      </c>
      <c r="E912" s="572" t="s">
        <v>380</v>
      </c>
      <c r="F912" s="572" t="s">
        <v>310</v>
      </c>
      <c r="G912" s="572" t="s">
        <v>1249</v>
      </c>
      <c r="H912" s="375"/>
      <c r="I912" s="375"/>
      <c r="J912" s="375"/>
      <c r="K912" s="375"/>
      <c r="L912" s="376"/>
      <c r="M912" s="376">
        <v>646</v>
      </c>
      <c r="N912" s="376">
        <v>646</v>
      </c>
      <c r="O912" s="376">
        <v>646</v>
      </c>
      <c r="P912" s="378"/>
      <c r="Q912" s="378">
        <v>646</v>
      </c>
      <c r="R912" s="378"/>
      <c r="S912" s="378"/>
      <c r="T912" s="378"/>
      <c r="U912" s="378"/>
      <c r="V912" s="533"/>
      <c r="W912" s="418"/>
      <c r="X912" s="418"/>
      <c r="Y912" s="378">
        <f>IF(NFI_Expiration=1,IF($A912&lt;VLOOKUP(H$5,NFI,5,0),1,0)*Table_NFI[[#This Row],[Hygiene Kit]],Table_NFI[Hygiene Kit])</f>
        <v>0</v>
      </c>
      <c r="Z912" s="378">
        <f>IF(NFI_Expiration=1,IF($A912&lt;VLOOKUP(I$5,NFI,5,0),1,0)*Table_NFI[[#This Row],[NFI Core Kit]],Table_NFI[NFI Core Kit])</f>
        <v>0</v>
      </c>
      <c r="AA912" s="378">
        <f>IF(NFI_Expiration=1,IF($A912&lt;VLOOKUP(J$5,NFI,5,0),1,0)*Table_NFI[[#This Row],[Sanitary Kit]],Table_NFI[Sanitary Kit])</f>
        <v>0</v>
      </c>
      <c r="AB912" s="378">
        <f>IF(NFI_Expiration=1,IF($A912&lt;VLOOKUP(K$5,NFI,5,0),1,0)*Table_NFI[[#This Row],[Mosquito net]],Table_NFI[Mosquito net])</f>
        <v>0</v>
      </c>
      <c r="AC912" s="378">
        <f>IF(NFI_Expiration=1,IF($A912&lt;VLOOKUP(L$5,NFI,5,0),1,0)*Table_NFI[[#This Row],[Tarpaulin]],Table_NFI[[#This Row],[Tarpaulin]])</f>
        <v>0</v>
      </c>
      <c r="AD912" s="378">
        <f>IF(NFI_Expiration=1,IF($A912&lt;VLOOKUP(M$5,NFI,5,0),1,0)*Table_NFI[[#This Row],[Blanket]],Table_NFI[[#This Row],[Blanket]])</f>
        <v>0</v>
      </c>
      <c r="AE912" s="378">
        <f>IF(NFI_Expiration=1,IF($A912&lt;VLOOKUP(N$5,NFI,5,0),1,0)*Table_NFI[[#This Row],[Kitchen Set]],Table_NFI[Kitchen Set])</f>
        <v>0</v>
      </c>
      <c r="AF912" s="378">
        <f>IF(NFI_Expiration=1,IF($A912&lt;VLOOKUP(O$5,NFI,5,0),1,0)*Table_NFI[[#This Row],[Clothes Kit]],Table_NFI[Clothes Kit])</f>
        <v>0</v>
      </c>
      <c r="AG912" s="378">
        <f>IF(NFI_Expiration=1,IF($A912&lt;VLOOKUP(P$5,NFI,5,0),1,0)*Table_NFI[[#This Row],[Plastic Bucket]],Table_NFI[Plastic Bucket])</f>
        <v>0</v>
      </c>
      <c r="AH912" s="378">
        <f>IF(NFI_Expiration=1,IF($A912&lt;VLOOKUP(Q$5,NFI,5,0),1,0)*Table_NFI[[#This Row],[Plastic Mat]],Table_NFI[Plastic Mat])*IF(Table_NFI[[#This Row],[Distribution Date]]&gt;"2014-04-01",1,2.5)</f>
        <v>0</v>
      </c>
      <c r="AI912" s="378">
        <f>IF(NFI_Expiration=1,IF($A912&lt;VLOOKUP(R$5,NFI,5,0),1,0)*Table_NFI[[#This Row],[Winter Clothes Adult]],Table_NFI[Winter Clothes Adult])</f>
        <v>0</v>
      </c>
      <c r="AJ912" s="378">
        <f>IF(NFI_Expiration=1,IF($A912&lt;VLOOKUP(S$5,NFI,5,0),1,0)*Table_NFI[[#This Row],[Winter Clothes Children]],Table_NFI[Winter Clothes Children])</f>
        <v>0</v>
      </c>
      <c r="AK912" s="378">
        <f>IF(NFI_Expiration=1,IF($A912&lt;VLOOKUP(T$5,NFI,5,0),1,0)*Table_NFI[[#This Row],[Winter Items Other]],Table_NFI[Winter Items Other])</f>
        <v>0</v>
      </c>
      <c r="AL912" s="378">
        <f>IF(NFI_Expiration=1,IF($A912&lt;VLOOKUP(M$5,NFI,5,0),1,0)*Table_NFI[[#This Row],[Winter Blanket]],Table_NFI[[#This Row],[Winter Blanket]])</f>
        <v>0</v>
      </c>
      <c r="AM912" s="378">
        <f>IF(Table_NFI[[#This Row],[Winter Clothes Adult]]+Table_NFI[[#This Row],[Winter Clothes Children]]+Table_NFI[[#This Row],[Winter Items Other]]+Table_NFI[[#This Row],[Winter Blanket]]&gt;0,1,0)</f>
        <v>0</v>
      </c>
      <c r="AN912" s="418">
        <f>IF(NFI_Expiration=1,IF($A912&lt;VLOOKUP(V$5,NFI,5,0),1,0)*Table_NFI[[#This Row],[Jerry Can]],Table_NFI[Jerry Can])</f>
        <v>0</v>
      </c>
      <c r="AO912" s="579" t="str">
        <f>IFERROR(VLOOKUP(Table_NFI[[#This Row],[Camp Name]],CL,2,0),"")</f>
        <v>MMR001CMP111</v>
      </c>
      <c r="AP912" s="574">
        <f ca="1">IF(Table_NFI[[#This Row],[Pcode]]="","",IF(OFFSET(CampList[Opening Date],MATCH(Table_NFI[[#This Row],[Pcode]],CampList[CP_Pcode],0)-1,0,1,1)&gt;=NFI_Monitor_Date,1,0))</f>
        <v>0</v>
      </c>
      <c r="AQ912" s="579" t="str">
        <f>IFERROR(VLOOKUP(Table_NFI[[#This Row],[Camp Name]],CL,3,0),"")</f>
        <v>Open</v>
      </c>
      <c r="AR912" s="378" t="str">
        <f ca="1">IF(Table_NFI[[#This Row],[Pcode]]="","",OFFSET(CampList[Priority],MATCH(Table_NFI[[#This Row],[Pcode]],CampList[CP_Pcode],0)-1,0,1,1))</f>
        <v>P2</v>
      </c>
      <c r="AS912" s="377">
        <f>IFERROR(Table_NFI[[#This Row],[Kitchen Set]]/VLOOKUP(Table_NFI[[#This Row],[Camp Name]],CL,4,0),"")</f>
        <v>1.0555555555555556</v>
      </c>
      <c r="AT912" s="572" t="s">
        <v>1095</v>
      </c>
      <c r="AU912" s="575"/>
    </row>
    <row r="913" spans="1:47" s="585" customFormat="1" ht="15.75" customHeight="1" x14ac:dyDescent="0.25">
      <c r="A913" s="381">
        <f t="shared" si="14"/>
        <v>30.466666666666665</v>
      </c>
      <c r="B913" s="571">
        <v>41608</v>
      </c>
      <c r="C913" s="572" t="s">
        <v>908</v>
      </c>
      <c r="D913" s="572" t="s">
        <v>462</v>
      </c>
      <c r="E913" s="572" t="s">
        <v>380</v>
      </c>
      <c r="F913" s="374" t="s">
        <v>310</v>
      </c>
      <c r="G913" s="374" t="s">
        <v>1249</v>
      </c>
      <c r="H913" s="375"/>
      <c r="I913" s="375"/>
      <c r="J913" s="375"/>
      <c r="K913" s="375"/>
      <c r="L913" s="376"/>
      <c r="M913" s="376"/>
      <c r="N913" s="376"/>
      <c r="O913" s="376"/>
      <c r="P913" s="378"/>
      <c r="Q913" s="378"/>
      <c r="R913" s="378"/>
      <c r="S913" s="378"/>
      <c r="T913" s="378"/>
      <c r="U913" s="378"/>
      <c r="V913" s="533"/>
      <c r="W913" s="418"/>
      <c r="X913" s="418"/>
      <c r="Y913" s="378">
        <f>IF(NFI_Expiration=1,IF($A913&lt;VLOOKUP(H$5,NFI,5,0),1,0)*Table_NFI[[#This Row],[Hygiene Kit]],Table_NFI[Hygiene Kit])</f>
        <v>0</v>
      </c>
      <c r="Z913" s="378">
        <f>IF(NFI_Expiration=1,IF($A913&lt;VLOOKUP(I$5,NFI,5,0),1,0)*Table_NFI[[#This Row],[NFI Core Kit]],Table_NFI[NFI Core Kit])</f>
        <v>0</v>
      </c>
      <c r="AA913" s="378">
        <f>IF(NFI_Expiration=1,IF($A913&lt;VLOOKUP(J$5,NFI,5,0),1,0)*Table_NFI[[#This Row],[Sanitary Kit]],Table_NFI[Sanitary Kit])</f>
        <v>0</v>
      </c>
      <c r="AB913" s="378">
        <f>IF(NFI_Expiration=1,IF($A913&lt;VLOOKUP(K$5,NFI,5,0),1,0)*Table_NFI[[#This Row],[Mosquito net]],Table_NFI[Mosquito net])</f>
        <v>0</v>
      </c>
      <c r="AC913" s="378">
        <f>IF(NFI_Expiration=1,IF($A913&lt;VLOOKUP(L$5,NFI,5,0),1,0)*Table_NFI[[#This Row],[Tarpaulin]],Table_NFI[[#This Row],[Tarpaulin]])</f>
        <v>0</v>
      </c>
      <c r="AD913" s="378">
        <f>IF(NFI_Expiration=1,IF($A913&lt;VLOOKUP(M$5,NFI,5,0),1,0)*Table_NFI[[#This Row],[Blanket]],Table_NFI[[#This Row],[Blanket]])</f>
        <v>0</v>
      </c>
      <c r="AE913" s="378">
        <f>IF(NFI_Expiration=1,IF($A913&lt;VLOOKUP(N$5,NFI,5,0),1,0)*Table_NFI[[#This Row],[Kitchen Set]],Table_NFI[Kitchen Set])</f>
        <v>0</v>
      </c>
      <c r="AF913" s="378">
        <f>IF(NFI_Expiration=1,IF($A913&lt;VLOOKUP(O$5,NFI,5,0),1,0)*Table_NFI[[#This Row],[Clothes Kit]],Table_NFI[Clothes Kit])</f>
        <v>0</v>
      </c>
      <c r="AG913" s="378">
        <f>IF(NFI_Expiration=1,IF($A913&lt;VLOOKUP(P$5,NFI,5,0),1,0)*Table_NFI[[#This Row],[Plastic Bucket]],Table_NFI[Plastic Bucket])</f>
        <v>0</v>
      </c>
      <c r="AH913" s="378">
        <f>IF(NFI_Expiration=1,IF($A913&lt;VLOOKUP(Q$5,NFI,5,0),1,0)*Table_NFI[[#This Row],[Plastic Mat]],Table_NFI[Plastic Mat])*IF(Table_NFI[[#This Row],[Distribution Date]]&gt;"2014-04-01",1,2.5)</f>
        <v>0</v>
      </c>
      <c r="AI913" s="378">
        <f>IF(NFI_Expiration=1,IF($A913&lt;VLOOKUP(R$5,NFI,5,0),1,0)*Table_NFI[[#This Row],[Winter Clothes Adult]],Table_NFI[Winter Clothes Adult])</f>
        <v>0</v>
      </c>
      <c r="AJ913" s="378">
        <f>IF(NFI_Expiration=1,IF($A913&lt;VLOOKUP(S$5,NFI,5,0),1,0)*Table_NFI[[#This Row],[Winter Clothes Children]],Table_NFI[Winter Clothes Children])</f>
        <v>0</v>
      </c>
      <c r="AK913" s="378">
        <f>IF(NFI_Expiration=1,IF($A913&lt;VLOOKUP(T$5,NFI,5,0),1,0)*Table_NFI[[#This Row],[Winter Items Other]],Table_NFI[Winter Items Other])</f>
        <v>0</v>
      </c>
      <c r="AL913" s="378">
        <f>IF(NFI_Expiration=1,IF($A913&lt;VLOOKUP(M$5,NFI,5,0),1,0)*Table_NFI[[#This Row],[Winter Blanket]],Table_NFI[[#This Row],[Winter Blanket]])</f>
        <v>0</v>
      </c>
      <c r="AM913" s="378">
        <f>IF(Table_NFI[[#This Row],[Winter Clothes Adult]]+Table_NFI[[#This Row],[Winter Clothes Children]]+Table_NFI[[#This Row],[Winter Items Other]]+Table_NFI[[#This Row],[Winter Blanket]]&gt;0,1,0)</f>
        <v>0</v>
      </c>
      <c r="AN913" s="418">
        <f>IF(NFI_Expiration=1,IF($A913&lt;VLOOKUP(V$5,NFI,5,0),1,0)*Table_NFI[[#This Row],[Jerry Can]],Table_NFI[Jerry Can])</f>
        <v>0</v>
      </c>
      <c r="AO913" s="579" t="str">
        <f>IFERROR(VLOOKUP(Table_NFI[[#This Row],[Camp Name]],CL,2,0),"")</f>
        <v>MMR001CMP111</v>
      </c>
      <c r="AP913" s="574">
        <f ca="1">IF(Table_NFI[[#This Row],[Pcode]]="","",IF(OFFSET(CampList[Opening Date],MATCH(Table_NFI[[#This Row],[Pcode]],CampList[CP_Pcode],0)-1,0,1,1)&gt;=NFI_Monitor_Date,1,0))</f>
        <v>0</v>
      </c>
      <c r="AQ913" s="579" t="str">
        <f>IFERROR(VLOOKUP(Table_NFI[[#This Row],[Camp Name]],CL,3,0),"")</f>
        <v>Open</v>
      </c>
      <c r="AR913" s="378" t="str">
        <f ca="1">IF(Table_NFI[[#This Row],[Pcode]]="","",OFFSET(CampList[Priority],MATCH(Table_NFI[[#This Row],[Pcode]],CampList[CP_Pcode],0)-1,0,1,1))</f>
        <v>P2</v>
      </c>
      <c r="AS913" s="377">
        <f>IFERROR(Table_NFI[[#This Row],[Kitchen Set]]/VLOOKUP(Table_NFI[[#This Row],[Camp Name]],CL,4,0),"")</f>
        <v>0</v>
      </c>
      <c r="AT913" s="572" t="s">
        <v>1095</v>
      </c>
      <c r="AU913" s="575"/>
    </row>
    <row r="914" spans="1:47" s="585" customFormat="1" ht="15.75" customHeight="1" x14ac:dyDescent="0.25">
      <c r="A914" s="381">
        <f t="shared" si="14"/>
        <v>30.533333333333335</v>
      </c>
      <c r="B914" s="571">
        <v>41606</v>
      </c>
      <c r="C914" s="572" t="s">
        <v>908</v>
      </c>
      <c r="D914" s="572" t="s">
        <v>462</v>
      </c>
      <c r="E914" s="572" t="s">
        <v>380</v>
      </c>
      <c r="F914" s="572" t="s">
        <v>310</v>
      </c>
      <c r="G914" s="572" t="s">
        <v>1249</v>
      </c>
      <c r="H914" s="375"/>
      <c r="I914" s="375"/>
      <c r="J914" s="375"/>
      <c r="K914" s="375"/>
      <c r="L914" s="376"/>
      <c r="M914" s="376"/>
      <c r="N914" s="376"/>
      <c r="O914" s="376"/>
      <c r="P914" s="378"/>
      <c r="Q914" s="378"/>
      <c r="R914" s="378">
        <v>636</v>
      </c>
      <c r="S914" s="378">
        <v>1272</v>
      </c>
      <c r="T914" s="378">
        <v>3816</v>
      </c>
      <c r="U914" s="378">
        <v>1908</v>
      </c>
      <c r="V914" s="533"/>
      <c r="W914" s="418"/>
      <c r="X914" s="418"/>
      <c r="Y914" s="378">
        <f>IF(NFI_Expiration=1,IF($A914&lt;VLOOKUP(H$5,NFI,5,0),1,0)*Table_NFI[[#This Row],[Hygiene Kit]],Table_NFI[Hygiene Kit])</f>
        <v>0</v>
      </c>
      <c r="Z914" s="378">
        <f>IF(NFI_Expiration=1,IF($A914&lt;VLOOKUP(I$5,NFI,5,0),1,0)*Table_NFI[[#This Row],[NFI Core Kit]],Table_NFI[NFI Core Kit])</f>
        <v>0</v>
      </c>
      <c r="AA914" s="378">
        <f>IF(NFI_Expiration=1,IF($A914&lt;VLOOKUP(J$5,NFI,5,0),1,0)*Table_NFI[[#This Row],[Sanitary Kit]],Table_NFI[Sanitary Kit])</f>
        <v>0</v>
      </c>
      <c r="AB914" s="378">
        <f>IF(NFI_Expiration=1,IF($A914&lt;VLOOKUP(K$5,NFI,5,0),1,0)*Table_NFI[[#This Row],[Mosquito net]],Table_NFI[Mosquito net])</f>
        <v>0</v>
      </c>
      <c r="AC914" s="378">
        <f>IF(NFI_Expiration=1,IF($A914&lt;VLOOKUP(L$5,NFI,5,0),1,0)*Table_NFI[[#This Row],[Tarpaulin]],Table_NFI[[#This Row],[Tarpaulin]])</f>
        <v>0</v>
      </c>
      <c r="AD914" s="378">
        <f>IF(NFI_Expiration=1,IF($A914&lt;VLOOKUP(M$5,NFI,5,0),1,0)*Table_NFI[[#This Row],[Blanket]],Table_NFI[[#This Row],[Blanket]])</f>
        <v>0</v>
      </c>
      <c r="AE914" s="378">
        <f>IF(NFI_Expiration=1,IF($A914&lt;VLOOKUP(N$5,NFI,5,0),1,0)*Table_NFI[[#This Row],[Kitchen Set]],Table_NFI[Kitchen Set])</f>
        <v>0</v>
      </c>
      <c r="AF914" s="378">
        <f>IF(NFI_Expiration=1,IF($A914&lt;VLOOKUP(O$5,NFI,5,0),1,0)*Table_NFI[[#This Row],[Clothes Kit]],Table_NFI[Clothes Kit])</f>
        <v>0</v>
      </c>
      <c r="AG914" s="378">
        <f>IF(NFI_Expiration=1,IF($A914&lt;VLOOKUP(P$5,NFI,5,0),1,0)*Table_NFI[[#This Row],[Plastic Bucket]],Table_NFI[Plastic Bucket])</f>
        <v>0</v>
      </c>
      <c r="AH914" s="378">
        <f>IF(NFI_Expiration=1,IF($A914&lt;VLOOKUP(Q$5,NFI,5,0),1,0)*Table_NFI[[#This Row],[Plastic Mat]],Table_NFI[Plastic Mat])*IF(Table_NFI[[#This Row],[Distribution Date]]&gt;"2014-04-01",1,2.5)</f>
        <v>0</v>
      </c>
      <c r="AI914" s="378">
        <f>IF(NFI_Expiration=1,IF($A914&lt;VLOOKUP(R$5,NFI,5,0),1,0)*Table_NFI[[#This Row],[Winter Clothes Adult]],Table_NFI[Winter Clothes Adult])</f>
        <v>0</v>
      </c>
      <c r="AJ914" s="378">
        <f>IF(NFI_Expiration=1,IF($A914&lt;VLOOKUP(S$5,NFI,5,0),1,0)*Table_NFI[[#This Row],[Winter Clothes Children]],Table_NFI[Winter Clothes Children])</f>
        <v>0</v>
      </c>
      <c r="AK914" s="378">
        <f>IF(NFI_Expiration=1,IF($A914&lt;VLOOKUP(T$5,NFI,5,0),1,0)*Table_NFI[[#This Row],[Winter Items Other]],Table_NFI[Winter Items Other])</f>
        <v>0</v>
      </c>
      <c r="AL914" s="378">
        <f>IF(NFI_Expiration=1,IF($A914&lt;VLOOKUP(M$5,NFI,5,0),1,0)*Table_NFI[[#This Row],[Winter Blanket]],Table_NFI[[#This Row],[Winter Blanket]])</f>
        <v>0</v>
      </c>
      <c r="AM914" s="378">
        <f>IF(Table_NFI[[#This Row],[Winter Clothes Adult]]+Table_NFI[[#This Row],[Winter Clothes Children]]+Table_NFI[[#This Row],[Winter Items Other]]+Table_NFI[[#This Row],[Winter Blanket]]&gt;0,1,0)</f>
        <v>1</v>
      </c>
      <c r="AN914" s="418">
        <f>IF(NFI_Expiration=1,IF($A914&lt;VLOOKUP(V$5,NFI,5,0),1,0)*Table_NFI[[#This Row],[Jerry Can]],Table_NFI[Jerry Can])</f>
        <v>0</v>
      </c>
      <c r="AO914" s="579" t="str">
        <f>IFERROR(VLOOKUP(Table_NFI[[#This Row],[Camp Name]],CL,2,0),"")</f>
        <v>MMR001CMP111</v>
      </c>
      <c r="AP914" s="574">
        <f ca="1">IF(Table_NFI[[#This Row],[Pcode]]="","",IF(OFFSET(CampList[Opening Date],MATCH(Table_NFI[[#This Row],[Pcode]],CampList[CP_Pcode],0)-1,0,1,1)&gt;=NFI_Monitor_Date,1,0))</f>
        <v>0</v>
      </c>
      <c r="AQ914" s="579" t="str">
        <f>IFERROR(VLOOKUP(Table_NFI[[#This Row],[Camp Name]],CL,3,0),"")</f>
        <v>Open</v>
      </c>
      <c r="AR914" s="378" t="str">
        <f ca="1">IF(Table_NFI[[#This Row],[Pcode]]="","",OFFSET(CampList[Priority],MATCH(Table_NFI[[#This Row],[Pcode]],CampList[CP_Pcode],0)-1,0,1,1))</f>
        <v>P2</v>
      </c>
      <c r="AS914" s="377">
        <f>IFERROR(Table_NFI[[#This Row],[Kitchen Set]]/VLOOKUP(Table_NFI[[#This Row],[Camp Name]],CL,4,0),"")</f>
        <v>0</v>
      </c>
      <c r="AT914" s="572"/>
      <c r="AU914" s="575"/>
    </row>
    <row r="915" spans="1:47" s="585" customFormat="1" ht="15.75" customHeight="1" x14ac:dyDescent="0.25">
      <c r="A915" s="381">
        <f t="shared" si="14"/>
        <v>54.4</v>
      </c>
      <c r="B915" s="571">
        <v>40890</v>
      </c>
      <c r="C915" s="572" t="s">
        <v>454</v>
      </c>
      <c r="D915" s="573" t="s">
        <v>574</v>
      </c>
      <c r="E915" s="572" t="s">
        <v>380</v>
      </c>
      <c r="F915" s="374" t="s">
        <v>310</v>
      </c>
      <c r="G915" s="374" t="s">
        <v>1249</v>
      </c>
      <c r="H915" s="375"/>
      <c r="I915" s="375"/>
      <c r="J915" s="375"/>
      <c r="K915" s="375">
        <v>250</v>
      </c>
      <c r="L915" s="376">
        <v>125</v>
      </c>
      <c r="M915" s="376">
        <v>250</v>
      </c>
      <c r="N915" s="376">
        <v>125</v>
      </c>
      <c r="O915" s="376">
        <v>125</v>
      </c>
      <c r="P915" s="378">
        <v>125</v>
      </c>
      <c r="Q915" s="378">
        <v>125</v>
      </c>
      <c r="R915" s="378"/>
      <c r="S915" s="378"/>
      <c r="T915" s="378"/>
      <c r="U915" s="378"/>
      <c r="V915" s="533"/>
      <c r="W915" s="418"/>
      <c r="X915" s="418"/>
      <c r="Y915" s="378">
        <f>IF(NFI_Expiration=1,IF($A915&lt;VLOOKUP(H$5,NFI,5,0),1,0)*Table_NFI[[#This Row],[Hygiene Kit]],Table_NFI[Hygiene Kit])</f>
        <v>0</v>
      </c>
      <c r="Z915" s="378">
        <f>IF(NFI_Expiration=1,IF($A915&lt;VLOOKUP(I$5,NFI,5,0),1,0)*Table_NFI[[#This Row],[NFI Core Kit]],Table_NFI[NFI Core Kit])</f>
        <v>0</v>
      </c>
      <c r="AA915" s="378">
        <f>IF(NFI_Expiration=1,IF($A915&lt;VLOOKUP(J$5,NFI,5,0),1,0)*Table_NFI[[#This Row],[Sanitary Kit]],Table_NFI[Sanitary Kit])</f>
        <v>0</v>
      </c>
      <c r="AB915" s="378">
        <f>IF(NFI_Expiration=1,IF($A915&lt;VLOOKUP(K$5,NFI,5,0),1,0)*Table_NFI[[#This Row],[Mosquito net]],Table_NFI[Mosquito net])</f>
        <v>0</v>
      </c>
      <c r="AC915" s="378">
        <f>IF(NFI_Expiration=1,IF($A915&lt;VLOOKUP(L$5,NFI,5,0),1,0)*Table_NFI[[#This Row],[Tarpaulin]],Table_NFI[[#This Row],[Tarpaulin]])</f>
        <v>0</v>
      </c>
      <c r="AD915" s="378">
        <f>IF(NFI_Expiration=1,IF($A915&lt;VLOOKUP(M$5,NFI,5,0),1,0)*Table_NFI[[#This Row],[Blanket]],Table_NFI[[#This Row],[Blanket]])</f>
        <v>0</v>
      </c>
      <c r="AE915" s="378">
        <f>IF(NFI_Expiration=1,IF($A915&lt;VLOOKUP(N$5,NFI,5,0),1,0)*Table_NFI[[#This Row],[Kitchen Set]],Table_NFI[Kitchen Set])</f>
        <v>0</v>
      </c>
      <c r="AF915" s="378">
        <f>IF(NFI_Expiration=1,IF($A915&lt;VLOOKUP(O$5,NFI,5,0),1,0)*Table_NFI[[#This Row],[Clothes Kit]],Table_NFI[Clothes Kit])</f>
        <v>0</v>
      </c>
      <c r="AG915" s="378">
        <f>IF(NFI_Expiration=1,IF($A915&lt;VLOOKUP(P$5,NFI,5,0),1,0)*Table_NFI[[#This Row],[Plastic Bucket]],Table_NFI[Plastic Bucket])</f>
        <v>0</v>
      </c>
      <c r="AH915" s="378">
        <f>IF(NFI_Expiration=1,IF($A915&lt;VLOOKUP(Q$5,NFI,5,0),1,0)*Table_NFI[[#This Row],[Plastic Mat]],Table_NFI[Plastic Mat])*IF(Table_NFI[[#This Row],[Distribution Date]]&gt;"2014-04-01",1,2.5)</f>
        <v>0</v>
      </c>
      <c r="AI915" s="378">
        <f>IF(NFI_Expiration=1,IF($A915&lt;VLOOKUP(R$5,NFI,5,0),1,0)*Table_NFI[[#This Row],[Winter Clothes Adult]],Table_NFI[Winter Clothes Adult])</f>
        <v>0</v>
      </c>
      <c r="AJ915" s="378">
        <f>IF(NFI_Expiration=1,IF($A915&lt;VLOOKUP(S$5,NFI,5,0),1,0)*Table_NFI[[#This Row],[Winter Clothes Children]],Table_NFI[Winter Clothes Children])</f>
        <v>0</v>
      </c>
      <c r="AK915" s="378">
        <f>IF(NFI_Expiration=1,IF($A915&lt;VLOOKUP(T$5,NFI,5,0),1,0)*Table_NFI[[#This Row],[Winter Items Other]],Table_NFI[Winter Items Other])</f>
        <v>0</v>
      </c>
      <c r="AL915" s="378">
        <f>IF(NFI_Expiration=1,IF($A915&lt;VLOOKUP(M$5,NFI,5,0),1,0)*Table_NFI[[#This Row],[Winter Blanket]],Table_NFI[[#This Row],[Winter Blanket]])</f>
        <v>0</v>
      </c>
      <c r="AM915" s="378">
        <f>IF(Table_NFI[[#This Row],[Winter Clothes Adult]]+Table_NFI[[#This Row],[Winter Clothes Children]]+Table_NFI[[#This Row],[Winter Items Other]]+Table_NFI[[#This Row],[Winter Blanket]]&gt;0,1,0)</f>
        <v>0</v>
      </c>
      <c r="AN915" s="418">
        <f>IF(NFI_Expiration=1,IF($A915&lt;VLOOKUP(V$5,NFI,5,0),1,0)*Table_NFI[[#This Row],[Jerry Can]],Table_NFI[Jerry Can])</f>
        <v>0</v>
      </c>
      <c r="AO915" s="579" t="str">
        <f>IFERROR(VLOOKUP(Table_NFI[[#This Row],[Camp Name]],CL,2,0),"")</f>
        <v>MMR001CMP111</v>
      </c>
      <c r="AP915" s="574">
        <f ca="1">IF(Table_NFI[[#This Row],[Pcode]]="","",IF(OFFSET(CampList[Opening Date],MATCH(Table_NFI[[#This Row],[Pcode]],CampList[CP_Pcode],0)-1,0,1,1)&gt;=NFI_Monitor_Date,1,0))</f>
        <v>0</v>
      </c>
      <c r="AQ915" s="579" t="str">
        <f>IFERROR(VLOOKUP(Table_NFI[[#This Row],[Camp Name]],CL,3,0),"")</f>
        <v>Open</v>
      </c>
      <c r="AR915" s="378" t="str">
        <f ca="1">IF(Table_NFI[[#This Row],[Pcode]]="","",OFFSET(CampList[Priority],MATCH(Table_NFI[[#This Row],[Pcode]],CampList[CP_Pcode],0)-1,0,1,1))</f>
        <v>P2</v>
      </c>
      <c r="AS915" s="377">
        <f>IFERROR(Table_NFI[[#This Row],[Kitchen Set]]/VLOOKUP(Table_NFI[[#This Row],[Camp Name]],CL,4,0),"")</f>
        <v>0.20424836601307189</v>
      </c>
      <c r="AT915" s="572" t="s">
        <v>1095</v>
      </c>
      <c r="AU915" s="575"/>
    </row>
    <row r="916" spans="1:47" s="585" customFormat="1" ht="15.75" customHeight="1" x14ac:dyDescent="0.25">
      <c r="A916" s="381">
        <f t="shared" si="14"/>
        <v>38.966666666666669</v>
      </c>
      <c r="B916" s="571">
        <v>41353</v>
      </c>
      <c r="C916" s="572" t="s">
        <v>454</v>
      </c>
      <c r="D916" s="572" t="s">
        <v>454</v>
      </c>
      <c r="E916" s="572" t="s">
        <v>380</v>
      </c>
      <c r="F916" s="374" t="s">
        <v>529</v>
      </c>
      <c r="G916" s="374" t="s">
        <v>516</v>
      </c>
      <c r="H916" s="375"/>
      <c r="I916" s="375"/>
      <c r="J916" s="375">
        <v>6</v>
      </c>
      <c r="K916" s="375">
        <v>0</v>
      </c>
      <c r="L916" s="376">
        <v>0</v>
      </c>
      <c r="M916" s="376">
        <v>11</v>
      </c>
      <c r="N916" s="376">
        <v>0</v>
      </c>
      <c r="O916" s="376">
        <v>0</v>
      </c>
      <c r="P916" s="378"/>
      <c r="Q916" s="378"/>
      <c r="R916" s="378"/>
      <c r="S916" s="378"/>
      <c r="T916" s="378"/>
      <c r="U916" s="378"/>
      <c r="V916" s="533"/>
      <c r="W916" s="418"/>
      <c r="X916" s="418"/>
      <c r="Y916" s="378">
        <f>IF(NFI_Expiration=1,IF($A916&lt;VLOOKUP(H$5,NFI,5,0),1,0)*Table_NFI[[#This Row],[Hygiene Kit]],Table_NFI[Hygiene Kit])</f>
        <v>0</v>
      </c>
      <c r="Z916" s="378">
        <f>IF(NFI_Expiration=1,IF($A916&lt;VLOOKUP(I$5,NFI,5,0),1,0)*Table_NFI[[#This Row],[NFI Core Kit]],Table_NFI[NFI Core Kit])</f>
        <v>0</v>
      </c>
      <c r="AA916" s="378">
        <f>IF(NFI_Expiration=1,IF($A916&lt;VLOOKUP(J$5,NFI,5,0),1,0)*Table_NFI[[#This Row],[Sanitary Kit]],Table_NFI[Sanitary Kit])</f>
        <v>0</v>
      </c>
      <c r="AB916" s="378">
        <f>IF(NFI_Expiration=1,IF($A916&lt;VLOOKUP(K$5,NFI,5,0),1,0)*Table_NFI[[#This Row],[Mosquito net]],Table_NFI[Mosquito net])</f>
        <v>0</v>
      </c>
      <c r="AC916" s="378">
        <f>IF(NFI_Expiration=1,IF($A916&lt;VLOOKUP(L$5,NFI,5,0),1,0)*Table_NFI[[#This Row],[Tarpaulin]],Table_NFI[[#This Row],[Tarpaulin]])</f>
        <v>0</v>
      </c>
      <c r="AD916" s="378">
        <f>IF(NFI_Expiration=1,IF($A916&lt;VLOOKUP(M$5,NFI,5,0),1,0)*Table_NFI[[#This Row],[Blanket]],Table_NFI[[#This Row],[Blanket]])</f>
        <v>0</v>
      </c>
      <c r="AE916" s="378">
        <f>IF(NFI_Expiration=1,IF($A916&lt;VLOOKUP(N$5,NFI,5,0),1,0)*Table_NFI[[#This Row],[Kitchen Set]],Table_NFI[Kitchen Set])</f>
        <v>0</v>
      </c>
      <c r="AF916" s="378">
        <f>IF(NFI_Expiration=1,IF($A916&lt;VLOOKUP(O$5,NFI,5,0),1,0)*Table_NFI[[#This Row],[Clothes Kit]],Table_NFI[Clothes Kit])</f>
        <v>0</v>
      </c>
      <c r="AG916" s="378">
        <f>IF(NFI_Expiration=1,IF($A916&lt;VLOOKUP(P$5,NFI,5,0),1,0)*Table_NFI[[#This Row],[Plastic Bucket]],Table_NFI[Plastic Bucket])</f>
        <v>0</v>
      </c>
      <c r="AH916" s="378">
        <f>IF(NFI_Expiration=1,IF($A916&lt;VLOOKUP(Q$5,NFI,5,0),1,0)*Table_NFI[[#This Row],[Plastic Mat]],Table_NFI[Plastic Mat])*IF(Table_NFI[[#This Row],[Distribution Date]]&gt;"2014-04-01",1,2.5)</f>
        <v>0</v>
      </c>
      <c r="AI916" s="378">
        <f>IF(NFI_Expiration=1,IF($A916&lt;VLOOKUP(R$5,NFI,5,0),1,0)*Table_NFI[[#This Row],[Winter Clothes Adult]],Table_NFI[Winter Clothes Adult])</f>
        <v>0</v>
      </c>
      <c r="AJ916" s="378">
        <f>IF(NFI_Expiration=1,IF($A916&lt;VLOOKUP(S$5,NFI,5,0),1,0)*Table_NFI[[#This Row],[Winter Clothes Children]],Table_NFI[Winter Clothes Children])</f>
        <v>0</v>
      </c>
      <c r="AK916" s="378">
        <f>IF(NFI_Expiration=1,IF($A916&lt;VLOOKUP(T$5,NFI,5,0),1,0)*Table_NFI[[#This Row],[Winter Items Other]],Table_NFI[Winter Items Other])</f>
        <v>0</v>
      </c>
      <c r="AL916" s="378">
        <f>IF(NFI_Expiration=1,IF($A916&lt;VLOOKUP(M$5,NFI,5,0),1,0)*Table_NFI[[#This Row],[Winter Blanket]],Table_NFI[[#This Row],[Winter Blanket]])</f>
        <v>0</v>
      </c>
      <c r="AM916" s="378">
        <f>IF(Table_NFI[[#This Row],[Winter Clothes Adult]]+Table_NFI[[#This Row],[Winter Clothes Children]]+Table_NFI[[#This Row],[Winter Items Other]]+Table_NFI[[#This Row],[Winter Blanket]]&gt;0,1,0)</f>
        <v>0</v>
      </c>
      <c r="AN916" s="418">
        <f>IF(NFI_Expiration=1,IF($A916&lt;VLOOKUP(V$5,NFI,5,0),1,0)*Table_NFI[[#This Row],[Jerry Can]],Table_NFI[Jerry Can])</f>
        <v>0</v>
      </c>
      <c r="AO916" s="579" t="str">
        <f>IFERROR(VLOOKUP(Table_NFI[[#This Row],[Camp Name]],CL,2,0),"")</f>
        <v>MMR001CMP201</v>
      </c>
      <c r="AP916" s="574">
        <f ca="1">IF(Table_NFI[[#This Row],[Pcode]]="","",IF(OFFSET(CampList[Opening Date],MATCH(Table_NFI[[#This Row],[Pcode]],CampList[CP_Pcode],0)-1,0,1,1)&gt;=NFI_Monitor_Date,1,0))</f>
        <v>0</v>
      </c>
      <c r="AQ916" s="579" t="str">
        <f>IFERROR(VLOOKUP(Table_NFI[[#This Row],[Camp Name]],CL,3,0),"")</f>
        <v>Closed</v>
      </c>
      <c r="AR916" s="378" t="str">
        <f ca="1">IF(Table_NFI[[#This Row],[Pcode]]="","",OFFSET(CampList[Priority],MATCH(Table_NFI[[#This Row],[Pcode]],CampList[CP_Pcode],0)-1,0,1,1))</f>
        <v/>
      </c>
      <c r="AS916" s="377" t="str">
        <f>IFERROR(Table_NFI[[#This Row],[Kitchen Set]]/VLOOKUP(Table_NFI[[#This Row],[Camp Name]],CL,4,0),"")</f>
        <v/>
      </c>
      <c r="AT916" s="572" t="s">
        <v>1095</v>
      </c>
      <c r="AU916" s="575"/>
    </row>
    <row r="917" spans="1:47" s="585" customFormat="1" ht="15.75" customHeight="1" x14ac:dyDescent="0.25">
      <c r="A917" s="381">
        <f t="shared" si="14"/>
        <v>39.9</v>
      </c>
      <c r="B917" s="571">
        <v>41325</v>
      </c>
      <c r="C917" s="572" t="s">
        <v>454</v>
      </c>
      <c r="D917" s="573" t="s">
        <v>454</v>
      </c>
      <c r="E917" s="572" t="s">
        <v>380</v>
      </c>
      <c r="F917" s="374" t="s">
        <v>529</v>
      </c>
      <c r="G917" s="374" t="s">
        <v>516</v>
      </c>
      <c r="H917" s="375"/>
      <c r="I917" s="375"/>
      <c r="J917" s="375"/>
      <c r="K917" s="375">
        <v>11</v>
      </c>
      <c r="L917" s="376">
        <v>6</v>
      </c>
      <c r="M917" s="376">
        <v>0</v>
      </c>
      <c r="N917" s="376">
        <v>6</v>
      </c>
      <c r="O917" s="376">
        <v>6</v>
      </c>
      <c r="P917" s="378">
        <v>6</v>
      </c>
      <c r="Q917" s="378">
        <v>6</v>
      </c>
      <c r="R917" s="378"/>
      <c r="S917" s="378"/>
      <c r="T917" s="378"/>
      <c r="U917" s="378"/>
      <c r="V917" s="533"/>
      <c r="W917" s="418"/>
      <c r="X917" s="418"/>
      <c r="Y917" s="378">
        <f>IF(NFI_Expiration=1,IF($A917&lt;VLOOKUP(H$5,NFI,5,0),1,0)*Table_NFI[[#This Row],[Hygiene Kit]],Table_NFI[Hygiene Kit])</f>
        <v>0</v>
      </c>
      <c r="Z917" s="378">
        <f>IF(NFI_Expiration=1,IF($A917&lt;VLOOKUP(I$5,NFI,5,0),1,0)*Table_NFI[[#This Row],[NFI Core Kit]],Table_NFI[NFI Core Kit])</f>
        <v>0</v>
      </c>
      <c r="AA917" s="378">
        <f>IF(NFI_Expiration=1,IF($A917&lt;VLOOKUP(J$5,NFI,5,0),1,0)*Table_NFI[[#This Row],[Sanitary Kit]],Table_NFI[Sanitary Kit])</f>
        <v>0</v>
      </c>
      <c r="AB917" s="378">
        <f>IF(NFI_Expiration=1,IF($A917&lt;VLOOKUP(K$5,NFI,5,0),1,0)*Table_NFI[[#This Row],[Mosquito net]],Table_NFI[Mosquito net])</f>
        <v>0</v>
      </c>
      <c r="AC917" s="378">
        <f>IF(NFI_Expiration=1,IF($A917&lt;VLOOKUP(L$5,NFI,5,0),1,0)*Table_NFI[[#This Row],[Tarpaulin]],Table_NFI[[#This Row],[Tarpaulin]])</f>
        <v>0</v>
      </c>
      <c r="AD917" s="378">
        <f>IF(NFI_Expiration=1,IF($A917&lt;VLOOKUP(M$5,NFI,5,0),1,0)*Table_NFI[[#This Row],[Blanket]],Table_NFI[[#This Row],[Blanket]])</f>
        <v>0</v>
      </c>
      <c r="AE917" s="378">
        <f>IF(NFI_Expiration=1,IF($A917&lt;VLOOKUP(N$5,NFI,5,0),1,0)*Table_NFI[[#This Row],[Kitchen Set]],Table_NFI[Kitchen Set])</f>
        <v>0</v>
      </c>
      <c r="AF917" s="378">
        <f>IF(NFI_Expiration=1,IF($A917&lt;VLOOKUP(O$5,NFI,5,0),1,0)*Table_NFI[[#This Row],[Clothes Kit]],Table_NFI[Clothes Kit])</f>
        <v>0</v>
      </c>
      <c r="AG917" s="378">
        <f>IF(NFI_Expiration=1,IF($A917&lt;VLOOKUP(P$5,NFI,5,0),1,0)*Table_NFI[[#This Row],[Plastic Bucket]],Table_NFI[Plastic Bucket])</f>
        <v>0</v>
      </c>
      <c r="AH917" s="378">
        <f>IF(NFI_Expiration=1,IF($A917&lt;VLOOKUP(Q$5,NFI,5,0),1,0)*Table_NFI[[#This Row],[Plastic Mat]],Table_NFI[Plastic Mat])*IF(Table_NFI[[#This Row],[Distribution Date]]&gt;"2014-04-01",1,2.5)</f>
        <v>0</v>
      </c>
      <c r="AI917" s="378">
        <f>IF(NFI_Expiration=1,IF($A917&lt;VLOOKUP(R$5,NFI,5,0),1,0)*Table_NFI[[#This Row],[Winter Clothes Adult]],Table_NFI[Winter Clothes Adult])</f>
        <v>0</v>
      </c>
      <c r="AJ917" s="378">
        <f>IF(NFI_Expiration=1,IF($A917&lt;VLOOKUP(S$5,NFI,5,0),1,0)*Table_NFI[[#This Row],[Winter Clothes Children]],Table_NFI[Winter Clothes Children])</f>
        <v>0</v>
      </c>
      <c r="AK917" s="378">
        <f>IF(NFI_Expiration=1,IF($A917&lt;VLOOKUP(T$5,NFI,5,0),1,0)*Table_NFI[[#This Row],[Winter Items Other]],Table_NFI[Winter Items Other])</f>
        <v>0</v>
      </c>
      <c r="AL917" s="378">
        <f>IF(NFI_Expiration=1,IF($A917&lt;VLOOKUP(M$5,NFI,5,0),1,0)*Table_NFI[[#This Row],[Winter Blanket]],Table_NFI[[#This Row],[Winter Blanket]])</f>
        <v>0</v>
      </c>
      <c r="AM917" s="378">
        <f>IF(Table_NFI[[#This Row],[Winter Clothes Adult]]+Table_NFI[[#This Row],[Winter Clothes Children]]+Table_NFI[[#This Row],[Winter Items Other]]+Table_NFI[[#This Row],[Winter Blanket]]&gt;0,1,0)</f>
        <v>0</v>
      </c>
      <c r="AN917" s="418">
        <f>IF(NFI_Expiration=1,IF($A917&lt;VLOOKUP(V$5,NFI,5,0),1,0)*Table_NFI[[#This Row],[Jerry Can]],Table_NFI[Jerry Can])</f>
        <v>0</v>
      </c>
      <c r="AO917" s="579" t="str">
        <f>IFERROR(VLOOKUP(Table_NFI[[#This Row],[Camp Name]],CL,2,0),"")</f>
        <v>MMR001CMP201</v>
      </c>
      <c r="AP917" s="574">
        <f ca="1">IF(Table_NFI[[#This Row],[Pcode]]="","",IF(OFFSET(CampList[Opening Date],MATCH(Table_NFI[[#This Row],[Pcode]],CampList[CP_Pcode],0)-1,0,1,1)&gt;=NFI_Monitor_Date,1,0))</f>
        <v>0</v>
      </c>
      <c r="AQ917" s="579" t="str">
        <f>IFERROR(VLOOKUP(Table_NFI[[#This Row],[Camp Name]],CL,3,0),"")</f>
        <v>Closed</v>
      </c>
      <c r="AR917" s="378" t="str">
        <f ca="1">IF(Table_NFI[[#This Row],[Pcode]]="","",OFFSET(CampList[Priority],MATCH(Table_NFI[[#This Row],[Pcode]],CampList[CP_Pcode],0)-1,0,1,1))</f>
        <v/>
      </c>
      <c r="AS917" s="377" t="str">
        <f>IFERROR(Table_NFI[[#This Row],[Kitchen Set]]/VLOOKUP(Table_NFI[[#This Row],[Camp Name]],CL,4,0),"")</f>
        <v/>
      </c>
      <c r="AT917" s="572" t="s">
        <v>1095</v>
      </c>
      <c r="AU917" s="575"/>
    </row>
    <row r="918" spans="1:47" s="585" customFormat="1" ht="15.75" customHeight="1" x14ac:dyDescent="0.25">
      <c r="A918" s="381">
        <f t="shared" si="14"/>
        <v>15.533333333333333</v>
      </c>
      <c r="B918" s="571">
        <v>42056</v>
      </c>
      <c r="C918" s="577" t="s">
        <v>454</v>
      </c>
      <c r="D918" s="577" t="s">
        <v>1266</v>
      </c>
      <c r="E918" s="577" t="s">
        <v>555</v>
      </c>
      <c r="F918" s="577" t="s">
        <v>146</v>
      </c>
      <c r="G918" s="577" t="s">
        <v>373</v>
      </c>
      <c r="H918" s="376"/>
      <c r="I918" s="376">
        <v>54</v>
      </c>
      <c r="J918" s="376">
        <v>36</v>
      </c>
      <c r="K918" s="376">
        <v>108</v>
      </c>
      <c r="L918" s="376">
        <v>54</v>
      </c>
      <c r="M918" s="376">
        <v>108</v>
      </c>
      <c r="N918" s="376">
        <v>54</v>
      </c>
      <c r="O918" s="376">
        <v>54</v>
      </c>
      <c r="P918" s="378">
        <v>54</v>
      </c>
      <c r="Q918" s="378">
        <v>108</v>
      </c>
      <c r="R918" s="378"/>
      <c r="S918" s="378"/>
      <c r="T918" s="378"/>
      <c r="U918" s="378"/>
      <c r="V918" s="533">
        <v>54</v>
      </c>
      <c r="W918" s="418"/>
      <c r="X918" s="418"/>
      <c r="Y918" s="378">
        <f>IF(NFI_Expiration=1,IF($A918&lt;VLOOKUP(H$5,NFI,5,0),1,0)*Table_NFI[[#This Row],[Hygiene Kit]],Table_NFI[Hygiene Kit])</f>
        <v>0</v>
      </c>
      <c r="Z918" s="378">
        <f>IF(NFI_Expiration=1,IF($A918&lt;VLOOKUP(I$5,NFI,5,0),1,0)*Table_NFI[[#This Row],[NFI Core Kit]],Table_NFI[NFI Core Kit])</f>
        <v>0</v>
      </c>
      <c r="AA918" s="378">
        <f>IF(NFI_Expiration=1,IF($A918&lt;VLOOKUP(J$5,NFI,5,0),1,0)*Table_NFI[[#This Row],[Sanitary Kit]],Table_NFI[Sanitary Kit])</f>
        <v>0</v>
      </c>
      <c r="AB918" s="378">
        <f>IF(NFI_Expiration=1,IF($A918&lt;VLOOKUP(K$5,NFI,5,0),1,0)*Table_NFI[[#This Row],[Mosquito net]],Table_NFI[Mosquito net])</f>
        <v>0</v>
      </c>
      <c r="AC918" s="378">
        <f>IF(NFI_Expiration=1,IF($A918&lt;VLOOKUP(L$5,NFI,5,0),1,0)*Table_NFI[[#This Row],[Tarpaulin]],Table_NFI[[#This Row],[Tarpaulin]])</f>
        <v>0</v>
      </c>
      <c r="AD918" s="378">
        <f>IF(NFI_Expiration=1,IF($A918&lt;VLOOKUP(M$5,NFI,5,0),1,0)*Table_NFI[[#This Row],[Blanket]],Table_NFI[[#This Row],[Blanket]])</f>
        <v>0</v>
      </c>
      <c r="AE918" s="378">
        <f>IF(NFI_Expiration=1,IF($A918&lt;VLOOKUP(N$5,NFI,5,0),1,0)*Table_NFI[[#This Row],[Kitchen Set]],Table_NFI[Kitchen Set])</f>
        <v>0</v>
      </c>
      <c r="AF918" s="378">
        <f>IF(NFI_Expiration=1,IF($A918&lt;VLOOKUP(O$5,NFI,5,0),1,0)*Table_NFI[[#This Row],[Clothes Kit]],Table_NFI[Clothes Kit])</f>
        <v>0</v>
      </c>
      <c r="AG918" s="378">
        <f>IF(NFI_Expiration=1,IF($A918&lt;VLOOKUP(P$5,NFI,5,0),1,0)*Table_NFI[[#This Row],[Plastic Bucket]],Table_NFI[Plastic Bucket])</f>
        <v>0</v>
      </c>
      <c r="AH918" s="378">
        <f>IF(NFI_Expiration=1,IF($A918&lt;VLOOKUP(Q$5,NFI,5,0),1,0)*Table_NFI[[#This Row],[Plastic Mat]],Table_NFI[Plastic Mat])*IF(Table_NFI[[#This Row],[Distribution Date]]&gt;"2014-04-01",1,2.5)</f>
        <v>0</v>
      </c>
      <c r="AI918" s="378">
        <f>IF(NFI_Expiration=1,IF($A918&lt;VLOOKUP(R$5,NFI,5,0),1,0)*Table_NFI[[#This Row],[Winter Clothes Adult]],Table_NFI[Winter Clothes Adult])</f>
        <v>0</v>
      </c>
      <c r="AJ918" s="378">
        <f>IF(NFI_Expiration=1,IF($A918&lt;VLOOKUP(S$5,NFI,5,0),1,0)*Table_NFI[[#This Row],[Winter Clothes Children]],Table_NFI[Winter Clothes Children])</f>
        <v>0</v>
      </c>
      <c r="AK918" s="378">
        <f>IF(NFI_Expiration=1,IF($A918&lt;VLOOKUP(T$5,NFI,5,0),1,0)*Table_NFI[[#This Row],[Winter Items Other]],Table_NFI[Winter Items Other])</f>
        <v>0</v>
      </c>
      <c r="AL918" s="378">
        <f>IF(NFI_Expiration=1,IF($A918&lt;VLOOKUP(M$5,NFI,5,0),1,0)*Table_NFI[[#This Row],[Winter Blanket]],Table_NFI[[#This Row],[Winter Blanket]])</f>
        <v>0</v>
      </c>
      <c r="AM918" s="378">
        <f>IF(Table_NFI[[#This Row],[Winter Clothes Adult]]+Table_NFI[[#This Row],[Winter Clothes Children]]+Table_NFI[[#This Row],[Winter Items Other]]+Table_NFI[[#This Row],[Winter Blanket]]&gt;0,1,0)</f>
        <v>0</v>
      </c>
      <c r="AN918" s="418">
        <f>IF(NFI_Expiration=1,IF($A918&lt;VLOOKUP(V$5,NFI,5,0),1,0)*Table_NFI[[#This Row],[Jerry Can]],Table_NFI[Jerry Can])</f>
        <v>0</v>
      </c>
      <c r="AO918" s="579" t="str">
        <f>IFERROR(VLOOKUP(Table_NFI[[#This Row],[Camp Name]],CL,2,0),"")</f>
        <v>MMR015CMP020</v>
      </c>
      <c r="AP918" s="574">
        <f ca="1">IF(Table_NFI[[#This Row],[Pcode]]="","",IF(OFFSET(CampList[Opening Date],MATCH(Table_NFI[[#This Row],[Pcode]],CampList[CP_Pcode],0)-1,0,1,1)&gt;=NFI_Monitor_Date,1,0))</f>
        <v>0</v>
      </c>
      <c r="AQ918" s="579" t="str">
        <f>IFERROR(VLOOKUP(Table_NFI[[#This Row],[Camp Name]],CL,3,0),"")</f>
        <v>Open</v>
      </c>
      <c r="AR918" s="378" t="str">
        <f ca="1">IF(Table_NFI[[#This Row],[Pcode]]="","",OFFSET(CampList[Priority],MATCH(Table_NFI[[#This Row],[Pcode]],CampList[CP_Pcode],0)-1,0,1,1))</f>
        <v>P3</v>
      </c>
      <c r="AS918" s="377">
        <f>IFERROR(Table_NFI[[#This Row],[Kitchen Set]]/VLOOKUP(Table_NFI[[#This Row],[Camp Name]],CL,4,0),"")</f>
        <v>0.26732673267326734</v>
      </c>
      <c r="AT918" s="572" t="s">
        <v>1095</v>
      </c>
      <c r="AU918" s="580"/>
    </row>
    <row r="919" spans="1:47" s="585" customFormat="1" ht="21.75" customHeight="1" x14ac:dyDescent="0.25">
      <c r="A919" s="381">
        <f t="shared" si="14"/>
        <v>2.8333333333333335</v>
      </c>
      <c r="B919" s="571">
        <v>42437</v>
      </c>
      <c r="C919" s="577" t="s">
        <v>454</v>
      </c>
      <c r="D919" s="577" t="s">
        <v>1388</v>
      </c>
      <c r="E919" s="572" t="s">
        <v>555</v>
      </c>
      <c r="F919" s="572" t="s">
        <v>146</v>
      </c>
      <c r="G919" s="577"/>
      <c r="H919" s="376"/>
      <c r="I919" s="376"/>
      <c r="J919" s="376"/>
      <c r="K919" s="376">
        <v>600</v>
      </c>
      <c r="L919" s="376"/>
      <c r="M919" s="376"/>
      <c r="N919" s="376"/>
      <c r="O919" s="376"/>
      <c r="P919" s="378"/>
      <c r="Q919" s="378"/>
      <c r="R919" s="378"/>
      <c r="S919" s="378"/>
      <c r="T919" s="378"/>
      <c r="U919" s="378"/>
      <c r="V919" s="533"/>
      <c r="W919" s="418"/>
      <c r="X919" s="418"/>
      <c r="Y919" s="378">
        <f>IF(NFI_Expiration=1,IF($A919&lt;VLOOKUP(H$5,NFI,5,0),1,0)*Table_NFI[[#This Row],[Hygiene Kit]],Table_NFI[Hygiene Kit])</f>
        <v>0</v>
      </c>
      <c r="Z919" s="378">
        <f>IF(NFI_Expiration=1,IF($A919&lt;VLOOKUP(I$5,NFI,5,0),1,0)*Table_NFI[[#This Row],[NFI Core Kit]],Table_NFI[NFI Core Kit])</f>
        <v>0</v>
      </c>
      <c r="AA919" s="378">
        <f>IF(NFI_Expiration=1,IF($A919&lt;VLOOKUP(J$5,NFI,5,0),1,0)*Table_NFI[[#This Row],[Sanitary Kit]],Table_NFI[Sanitary Kit])</f>
        <v>0</v>
      </c>
      <c r="AB919" s="378">
        <f>IF(NFI_Expiration=1,IF($A919&lt;VLOOKUP(K$5,NFI,5,0),1,0)*Table_NFI[[#This Row],[Mosquito net]],Table_NFI[Mosquito net])</f>
        <v>600</v>
      </c>
      <c r="AC919" s="378">
        <f>IF(NFI_Expiration=1,IF($A919&lt;VLOOKUP(L$5,NFI,5,0),1,0)*Table_NFI[[#This Row],[Tarpaulin]],Table_NFI[[#This Row],[Tarpaulin]])</f>
        <v>0</v>
      </c>
      <c r="AD919" s="378">
        <f>IF(NFI_Expiration=1,IF($A919&lt;VLOOKUP(M$5,NFI,5,0),1,0)*Table_NFI[[#This Row],[Blanket]],Table_NFI[[#This Row],[Blanket]])</f>
        <v>0</v>
      </c>
      <c r="AE919" s="378">
        <f>IF(NFI_Expiration=1,IF($A919&lt;VLOOKUP(N$5,NFI,5,0),1,0)*Table_NFI[[#This Row],[Kitchen Set]],Table_NFI[Kitchen Set])</f>
        <v>0</v>
      </c>
      <c r="AF919" s="378">
        <f>IF(NFI_Expiration=1,IF($A919&lt;VLOOKUP(O$5,NFI,5,0),1,0)*Table_NFI[[#This Row],[Clothes Kit]],Table_NFI[Clothes Kit])</f>
        <v>0</v>
      </c>
      <c r="AG919" s="378">
        <f>IF(NFI_Expiration=1,IF($A919&lt;VLOOKUP(P$5,NFI,5,0),1,0)*Table_NFI[[#This Row],[Plastic Bucket]],Table_NFI[Plastic Bucket])</f>
        <v>0</v>
      </c>
      <c r="AH919" s="378">
        <f>IF(NFI_Expiration=1,IF($A919&lt;VLOOKUP(Q$5,NFI,5,0),1,0)*Table_NFI[[#This Row],[Plastic Mat]],Table_NFI[Plastic Mat])*IF(Table_NFI[[#This Row],[Distribution Date]]&gt;"2014-04-01",1,2.5)</f>
        <v>0</v>
      </c>
      <c r="AI919" s="378">
        <f>IF(NFI_Expiration=1,IF($A919&lt;VLOOKUP(R$5,NFI,5,0),1,0)*Table_NFI[[#This Row],[Winter Clothes Adult]],Table_NFI[Winter Clothes Adult])</f>
        <v>0</v>
      </c>
      <c r="AJ919" s="378">
        <f>IF(NFI_Expiration=1,IF($A919&lt;VLOOKUP(S$5,NFI,5,0),1,0)*Table_NFI[[#This Row],[Winter Clothes Children]],Table_NFI[Winter Clothes Children])</f>
        <v>0</v>
      </c>
      <c r="AK919" s="378">
        <f>IF(NFI_Expiration=1,IF($A919&lt;VLOOKUP(T$5,NFI,5,0),1,0)*Table_NFI[[#This Row],[Winter Items Other]],Table_NFI[Winter Items Other])</f>
        <v>0</v>
      </c>
      <c r="AL919" s="378">
        <f>IF(NFI_Expiration=1,IF($A919&lt;VLOOKUP(M$5,NFI,5,0),1,0)*Table_NFI[[#This Row],[Winter Blanket]],Table_NFI[[#This Row],[Winter Blanket]])</f>
        <v>0</v>
      </c>
      <c r="AM919" s="378">
        <f>IF(Table_NFI[[#This Row],[Winter Clothes Adult]]+Table_NFI[[#This Row],[Winter Clothes Children]]+Table_NFI[[#This Row],[Winter Items Other]]+Table_NFI[[#This Row],[Winter Blanket]]&gt;0,1,0)</f>
        <v>0</v>
      </c>
      <c r="AN919" s="418">
        <f>IF(NFI_Expiration=1,IF($A919&lt;VLOOKUP(V$5,NFI,5,0),1,0)*Table_NFI[[#This Row],[Jerry Can]],Table_NFI[Jerry Can])</f>
        <v>0</v>
      </c>
      <c r="AO919" s="579" t="str">
        <f>IFERROR(VLOOKUP(Table_NFI[[#This Row],[Camp Name]],CL,2,0),"")</f>
        <v/>
      </c>
      <c r="AP919" s="574" t="str">
        <f ca="1">IF(Table_NFI[[#This Row],[Pcode]]="","",IF(OFFSET(CampList[Opening Date],MATCH(Table_NFI[[#This Row],[Pcode]],CampList[CP_Pcode],0)-1,0,1,1)&gt;=NFI_Monitor_Date,1,0))</f>
        <v/>
      </c>
      <c r="AQ919" s="579" t="str">
        <f>IFERROR(VLOOKUP(Table_NFI[[#This Row],[Camp Name]],CL,3,0),"")</f>
        <v/>
      </c>
      <c r="AR919" s="378" t="str">
        <f ca="1">IF(Table_NFI[[#This Row],[Pcode]]="","",OFFSET(CampList[Priority],MATCH(Table_NFI[[#This Row],[Pcode]],CampList[CP_Pcode],0)-1,0,1,1))</f>
        <v/>
      </c>
      <c r="AS919" s="623" t="str">
        <f>IFERROR(Table_NFI[[#This Row],[Kitchen Set]]/VLOOKUP(Table_NFI[[#This Row],[Camp Name]],CL,4,0),"")</f>
        <v/>
      </c>
      <c r="AT919" s="577"/>
      <c r="AU919" s="580" t="s">
        <v>1389</v>
      </c>
    </row>
    <row r="920" spans="1:47" s="585" customFormat="1" ht="23.25" customHeight="1" x14ac:dyDescent="0.25">
      <c r="A920" s="615">
        <f t="shared" si="14"/>
        <v>3.3333333333333335</v>
      </c>
      <c r="B920" s="571">
        <v>42422</v>
      </c>
      <c r="C920" s="572" t="s">
        <v>454</v>
      </c>
      <c r="D920" s="572" t="s">
        <v>462</v>
      </c>
      <c r="E920" s="572" t="s">
        <v>555</v>
      </c>
      <c r="F920" s="572" t="s">
        <v>146</v>
      </c>
      <c r="G920" s="572"/>
      <c r="H920" s="617"/>
      <c r="I920" s="617"/>
      <c r="J920" s="617"/>
      <c r="K920" s="617"/>
      <c r="L920" s="617"/>
      <c r="M920" s="617"/>
      <c r="N920" s="617"/>
      <c r="O920" s="617"/>
      <c r="P920" s="618"/>
      <c r="Q920" s="618"/>
      <c r="R920" s="618"/>
      <c r="S920" s="618"/>
      <c r="T920" s="618"/>
      <c r="U920" s="618"/>
      <c r="V920" s="619"/>
      <c r="W920" s="620"/>
      <c r="X920" s="620">
        <v>71</v>
      </c>
      <c r="Y920" s="618">
        <f>IF(NFI_Expiration=1,IF($A920&lt;VLOOKUP(H$5,NFI,5,0),1,0)*Table_NFI[[#This Row],[Hygiene Kit]],Table_NFI[Hygiene Kit])</f>
        <v>0</v>
      </c>
      <c r="Z920" s="618">
        <f>IF(NFI_Expiration=1,IF($A920&lt;VLOOKUP(I$5,NFI,5,0),1,0)*Table_NFI[[#This Row],[NFI Core Kit]],Table_NFI[NFI Core Kit])</f>
        <v>0</v>
      </c>
      <c r="AA920" s="618">
        <f>IF(NFI_Expiration=1,IF($A920&lt;VLOOKUP(J$5,NFI,5,0),1,0)*Table_NFI[[#This Row],[Sanitary Kit]],Table_NFI[Sanitary Kit])</f>
        <v>0</v>
      </c>
      <c r="AB920" s="618">
        <f>IF(NFI_Expiration=1,IF($A920&lt;VLOOKUP(K$5,NFI,5,0),1,0)*Table_NFI[[#This Row],[Mosquito net]],Table_NFI[Mosquito net])</f>
        <v>0</v>
      </c>
      <c r="AC920" s="618">
        <f>IF(NFI_Expiration=1,IF($A920&lt;VLOOKUP(L$5,NFI,5,0),1,0)*Table_NFI[[#This Row],[Tarpaulin]],Table_NFI[[#This Row],[Tarpaulin]])</f>
        <v>0</v>
      </c>
      <c r="AD920" s="618">
        <f>IF(NFI_Expiration=1,IF($A920&lt;VLOOKUP(M$5,NFI,5,0),1,0)*Table_NFI[[#This Row],[Blanket]],Table_NFI[[#This Row],[Blanket]])</f>
        <v>0</v>
      </c>
      <c r="AE920" s="618">
        <f>IF(NFI_Expiration=1,IF($A920&lt;VLOOKUP(N$5,NFI,5,0),1,0)*Table_NFI[[#This Row],[Kitchen Set]],Table_NFI[Kitchen Set])</f>
        <v>0</v>
      </c>
      <c r="AF920" s="618">
        <f>IF(NFI_Expiration=1,IF($A920&lt;VLOOKUP(O$5,NFI,5,0),1,0)*Table_NFI[[#This Row],[Clothes Kit]],Table_NFI[Clothes Kit])</f>
        <v>0</v>
      </c>
      <c r="AG920" s="618">
        <f>IF(NFI_Expiration=1,IF($A920&lt;VLOOKUP(P$5,NFI,5,0),1,0)*Table_NFI[[#This Row],[Plastic Bucket]],Table_NFI[Plastic Bucket])</f>
        <v>0</v>
      </c>
      <c r="AH920" s="618">
        <f>IF(NFI_Expiration=1,IF($A920&lt;VLOOKUP(Q$5,NFI,5,0),1,0)*Table_NFI[[#This Row],[Plastic Mat]],Table_NFI[Plastic Mat])*IF(Table_NFI[[#This Row],[Distribution Date]]&gt;"2014-04-01",1,2.5)</f>
        <v>0</v>
      </c>
      <c r="AI920" s="618">
        <f>IF(NFI_Expiration=1,IF($A920&lt;VLOOKUP(R$5,NFI,5,0),1,0)*Table_NFI[[#This Row],[Winter Clothes Adult]],Table_NFI[Winter Clothes Adult])</f>
        <v>0</v>
      </c>
      <c r="AJ920" s="618">
        <f>IF(NFI_Expiration=1,IF($A920&lt;VLOOKUP(S$5,NFI,5,0),1,0)*Table_NFI[[#This Row],[Winter Clothes Children]],Table_NFI[Winter Clothes Children])</f>
        <v>0</v>
      </c>
      <c r="AK920" s="618">
        <f>IF(NFI_Expiration=1,IF($A920&lt;VLOOKUP(T$5,NFI,5,0),1,0)*Table_NFI[[#This Row],[Winter Items Other]],Table_NFI[Winter Items Other])</f>
        <v>0</v>
      </c>
      <c r="AL920" s="618">
        <f>IF(NFI_Expiration=1,IF($A920&lt;VLOOKUP(M$5,NFI,5,0),1,0)*Table_NFI[[#This Row],[Winter Blanket]],Table_NFI[[#This Row],[Winter Blanket]])</f>
        <v>0</v>
      </c>
      <c r="AM920" s="618">
        <f>IF(Table_NFI[[#This Row],[Winter Clothes Adult]]+Table_NFI[[#This Row],[Winter Clothes Children]]+Table_NFI[[#This Row],[Winter Items Other]]+Table_NFI[[#This Row],[Winter Blanket]]&gt;0,1,0)</f>
        <v>0</v>
      </c>
      <c r="AN920" s="620">
        <f>IF(NFI_Expiration=1,IF($A920&lt;VLOOKUP(V$5,NFI,5,0),1,0)*Table_NFI[[#This Row],[Jerry Can]],Table_NFI[Jerry Can])</f>
        <v>0</v>
      </c>
      <c r="AO920" s="621" t="str">
        <f>IFERROR(VLOOKUP(Table_NFI[[#This Row],[Camp Name]],CL,2,0),"")</f>
        <v/>
      </c>
      <c r="AP920" s="622" t="str">
        <f ca="1">IF(Table_NFI[[#This Row],[Pcode]]="","",IF(OFFSET(CampList[Opening Date],MATCH(Table_NFI[[#This Row],[Pcode]],CampList[CP_Pcode],0)-1,0,1,1)&gt;=NFI_Monitor_Date,1,0))</f>
        <v/>
      </c>
      <c r="AQ920" s="621" t="str">
        <f>IFERROR(VLOOKUP(Table_NFI[[#This Row],[Camp Name]],CL,3,0),"")</f>
        <v/>
      </c>
      <c r="AR920" s="618" t="str">
        <f ca="1">IF(Table_NFI[[#This Row],[Pcode]]="","",OFFSET(CampList[Priority],MATCH(Table_NFI[[#This Row],[Pcode]],CampList[CP_Pcode],0)-1,0,1,1))</f>
        <v/>
      </c>
      <c r="AS920" s="623" t="str">
        <f>IFERROR(Table_NFI[[#This Row],[Kitchen Set]]/VLOOKUP(Table_NFI[[#This Row],[Camp Name]],CL,4,0),"")</f>
        <v/>
      </c>
      <c r="AT920" s="616"/>
      <c r="AU920" s="627" t="s">
        <v>1401</v>
      </c>
    </row>
    <row r="921" spans="1:47" s="585" customFormat="1" ht="15.75" customHeight="1" x14ac:dyDescent="0.25">
      <c r="A921" s="615">
        <f t="shared" si="14"/>
        <v>4.833333333333333</v>
      </c>
      <c r="B921" s="571">
        <v>42377</v>
      </c>
      <c r="C921" s="577" t="s">
        <v>454</v>
      </c>
      <c r="D921" s="577" t="s">
        <v>462</v>
      </c>
      <c r="E921" s="572" t="s">
        <v>555</v>
      </c>
      <c r="F921" s="572" t="s">
        <v>298</v>
      </c>
      <c r="G921" s="577" t="s">
        <v>823</v>
      </c>
      <c r="H921" s="617"/>
      <c r="I921" s="617"/>
      <c r="J921" s="617"/>
      <c r="K921" s="617">
        <v>35</v>
      </c>
      <c r="L921" s="617"/>
      <c r="M921" s="617">
        <v>35</v>
      </c>
      <c r="N921" s="617">
        <v>18</v>
      </c>
      <c r="O921" s="617"/>
      <c r="P921" s="618">
        <v>18</v>
      </c>
      <c r="Q921" s="618">
        <v>82</v>
      </c>
      <c r="R921" s="618"/>
      <c r="S921" s="618"/>
      <c r="T921" s="618"/>
      <c r="U921" s="618"/>
      <c r="V921" s="620">
        <v>18</v>
      </c>
      <c r="W921" s="620"/>
      <c r="X921" s="620"/>
      <c r="Y921" s="618">
        <f>IF(NFI_Expiration=1,IF($A921&lt;VLOOKUP(H$5,NFI,5,0),1,0)*Table_NFI[[#This Row],[Hygiene Kit]],Table_NFI[Hygiene Kit])</f>
        <v>0</v>
      </c>
      <c r="Z921" s="618">
        <f>IF(NFI_Expiration=1,IF($A921&lt;VLOOKUP(I$5,NFI,5,0),1,0)*Table_NFI[[#This Row],[NFI Core Kit]],Table_NFI[NFI Core Kit])</f>
        <v>0</v>
      </c>
      <c r="AA921" s="618">
        <f>IF(NFI_Expiration=1,IF($A921&lt;VLOOKUP(J$5,NFI,5,0),1,0)*Table_NFI[[#This Row],[Sanitary Kit]],Table_NFI[Sanitary Kit])</f>
        <v>0</v>
      </c>
      <c r="AB921" s="618">
        <f>IF(NFI_Expiration=1,IF($A921&lt;VLOOKUP(K$5,NFI,5,0),1,0)*Table_NFI[[#This Row],[Mosquito net]],Table_NFI[Mosquito net])</f>
        <v>35</v>
      </c>
      <c r="AC921" s="618">
        <f>IF(NFI_Expiration=1,IF($A921&lt;VLOOKUP(L$5,NFI,5,0),1,0)*Table_NFI[[#This Row],[Tarpaulin]],Table_NFI[[#This Row],[Tarpaulin]])</f>
        <v>0</v>
      </c>
      <c r="AD921" s="618">
        <f>IF(NFI_Expiration=1,IF($A921&lt;VLOOKUP(M$5,NFI,5,0),1,0)*Table_NFI[[#This Row],[Blanket]],Table_NFI[[#This Row],[Blanket]])</f>
        <v>35</v>
      </c>
      <c r="AE921" s="618">
        <f>IF(NFI_Expiration=1,IF($A921&lt;VLOOKUP(N$5,NFI,5,0),1,0)*Table_NFI[[#This Row],[Kitchen Set]],Table_NFI[Kitchen Set])</f>
        <v>18</v>
      </c>
      <c r="AF921" s="618">
        <f>IF(NFI_Expiration=1,IF($A921&lt;VLOOKUP(O$5,NFI,5,0),1,0)*Table_NFI[[#This Row],[Clothes Kit]],Table_NFI[Clothes Kit])</f>
        <v>0</v>
      </c>
      <c r="AG921" s="618">
        <f>IF(NFI_Expiration=1,IF($A921&lt;VLOOKUP(P$5,NFI,5,0),1,0)*Table_NFI[[#This Row],[Plastic Bucket]],Table_NFI[Plastic Bucket])</f>
        <v>18</v>
      </c>
      <c r="AH921" s="618">
        <f>IF(NFI_Expiration=1,IF($A921&lt;VLOOKUP(Q$5,NFI,5,0),1,0)*Table_NFI[[#This Row],[Plastic Mat]],Table_NFI[Plastic Mat])*IF(Table_NFI[[#This Row],[Distribution Date]]&gt;"2014-04-01",1,2.5)</f>
        <v>205</v>
      </c>
      <c r="AI921" s="618">
        <f>IF(NFI_Expiration=1,IF($A921&lt;VLOOKUP(R$5,NFI,5,0),1,0)*Table_NFI[[#This Row],[Winter Clothes Adult]],Table_NFI[Winter Clothes Adult])</f>
        <v>0</v>
      </c>
      <c r="AJ921" s="618">
        <f>IF(NFI_Expiration=1,IF($A921&lt;VLOOKUP(S$5,NFI,5,0),1,0)*Table_NFI[[#This Row],[Winter Clothes Children]],Table_NFI[Winter Clothes Children])</f>
        <v>0</v>
      </c>
      <c r="AK921" s="618">
        <f>IF(NFI_Expiration=1,IF($A921&lt;VLOOKUP(T$5,NFI,5,0),1,0)*Table_NFI[[#This Row],[Winter Items Other]],Table_NFI[Winter Items Other])</f>
        <v>0</v>
      </c>
      <c r="AL921" s="618">
        <f>IF(NFI_Expiration=1,IF($A921&lt;VLOOKUP(M$5,NFI,5,0),1,0)*Table_NFI[[#This Row],[Winter Blanket]],Table_NFI[[#This Row],[Winter Blanket]])</f>
        <v>0</v>
      </c>
      <c r="AM921" s="618">
        <f>IF(Table_NFI[[#This Row],[Winter Clothes Adult]]+Table_NFI[[#This Row],[Winter Clothes Children]]+Table_NFI[[#This Row],[Winter Items Other]]+Table_NFI[[#This Row],[Winter Blanket]]&gt;0,1,0)</f>
        <v>0</v>
      </c>
      <c r="AN921" s="620">
        <f>IF(NFI_Expiration=1,IF($A921&lt;VLOOKUP(V$5,NFI,5,0),1,0)*Table_NFI[[#This Row],[Jerry Can]],Table_NFI[Jerry Can])</f>
        <v>18</v>
      </c>
      <c r="AO921" s="621" t="str">
        <f>IFERROR(VLOOKUP(Table_NFI[[#This Row],[Camp Name]],CL,2,0),"")</f>
        <v>MMR015CMP014</v>
      </c>
      <c r="AP921" s="622">
        <f ca="1">IF(Table_NFI[[#This Row],[Pcode]]="","",IF(OFFSET(CampList[Opening Date],MATCH(Table_NFI[[#This Row],[Pcode]],CampList[CP_Pcode],0)-1,0,1,1)&gt;=NFI_Monitor_Date,1,0))</f>
        <v>0</v>
      </c>
      <c r="AQ921" s="621" t="str">
        <f>IFERROR(VLOOKUP(Table_NFI[[#This Row],[Camp Name]],CL,3,0),"")</f>
        <v>Open</v>
      </c>
      <c r="AR921" s="618" t="str">
        <f ca="1">IF(Table_NFI[[#This Row],[Pcode]]="","",OFFSET(CampList[Priority],MATCH(Table_NFI[[#This Row],[Pcode]],CampList[CP_Pcode],0)-1,0,1,1))</f>
        <v>P3</v>
      </c>
      <c r="AS921" s="623">
        <f>IFERROR(Table_NFI[[#This Row],[Kitchen Set]]/VLOOKUP(Table_NFI[[#This Row],[Camp Name]],CL,4,0),"")</f>
        <v>2</v>
      </c>
      <c r="AT921" s="616"/>
      <c r="AU921" s="627"/>
    </row>
    <row r="922" spans="1:47" s="585" customFormat="1" ht="15.75" customHeight="1" x14ac:dyDescent="0.25">
      <c r="A922" s="615">
        <f t="shared" si="14"/>
        <v>3.1666666666666665</v>
      </c>
      <c r="B922" s="571">
        <v>42427</v>
      </c>
      <c r="C922" s="577" t="s">
        <v>454</v>
      </c>
      <c r="D922" s="577" t="s">
        <v>462</v>
      </c>
      <c r="E922" s="572" t="s">
        <v>380</v>
      </c>
      <c r="F922" s="572" t="s">
        <v>310</v>
      </c>
      <c r="G922" s="577" t="s">
        <v>1247</v>
      </c>
      <c r="H922" s="617"/>
      <c r="I922" s="617"/>
      <c r="J922" s="617"/>
      <c r="K922" s="617"/>
      <c r="L922" s="617"/>
      <c r="M922" s="617"/>
      <c r="N922" s="617"/>
      <c r="O922" s="617"/>
      <c r="P922" s="618"/>
      <c r="Q922" s="618"/>
      <c r="R922" s="618"/>
      <c r="S922" s="618">
        <v>670</v>
      </c>
      <c r="T922" s="618"/>
      <c r="U922" s="618"/>
      <c r="V922" s="619"/>
      <c r="W922" s="620"/>
      <c r="X922" s="620"/>
      <c r="Y922" s="618">
        <f>IF(NFI_Expiration=1,IF($A922&lt;VLOOKUP(H$5,NFI,5,0),1,0)*Table_NFI[[#This Row],[Hygiene Kit]],Table_NFI[Hygiene Kit])</f>
        <v>0</v>
      </c>
      <c r="Z922" s="618">
        <f>IF(NFI_Expiration=1,IF($A922&lt;VLOOKUP(I$5,NFI,5,0),1,0)*Table_NFI[[#This Row],[NFI Core Kit]],Table_NFI[NFI Core Kit])</f>
        <v>0</v>
      </c>
      <c r="AA922" s="618">
        <f>IF(NFI_Expiration=1,IF($A922&lt;VLOOKUP(J$5,NFI,5,0),1,0)*Table_NFI[[#This Row],[Sanitary Kit]],Table_NFI[Sanitary Kit])</f>
        <v>0</v>
      </c>
      <c r="AB922" s="618">
        <f>IF(NFI_Expiration=1,IF($A922&lt;VLOOKUP(K$5,NFI,5,0),1,0)*Table_NFI[[#This Row],[Mosquito net]],Table_NFI[Mosquito net])</f>
        <v>0</v>
      </c>
      <c r="AC922" s="618">
        <f>IF(NFI_Expiration=1,IF($A922&lt;VLOOKUP(L$5,NFI,5,0),1,0)*Table_NFI[[#This Row],[Tarpaulin]],Table_NFI[[#This Row],[Tarpaulin]])</f>
        <v>0</v>
      </c>
      <c r="AD922" s="618">
        <f>IF(NFI_Expiration=1,IF($A922&lt;VLOOKUP(M$5,NFI,5,0),1,0)*Table_NFI[[#This Row],[Blanket]],Table_NFI[[#This Row],[Blanket]])</f>
        <v>0</v>
      </c>
      <c r="AE922" s="618">
        <f>IF(NFI_Expiration=1,IF($A922&lt;VLOOKUP(N$5,NFI,5,0),1,0)*Table_NFI[[#This Row],[Kitchen Set]],Table_NFI[Kitchen Set])</f>
        <v>0</v>
      </c>
      <c r="AF922" s="618">
        <f>IF(NFI_Expiration=1,IF($A922&lt;VLOOKUP(O$5,NFI,5,0),1,0)*Table_NFI[[#This Row],[Clothes Kit]],Table_NFI[Clothes Kit])</f>
        <v>0</v>
      </c>
      <c r="AG922" s="618">
        <f>IF(NFI_Expiration=1,IF($A922&lt;VLOOKUP(P$5,NFI,5,0),1,0)*Table_NFI[[#This Row],[Plastic Bucket]],Table_NFI[Plastic Bucket])</f>
        <v>0</v>
      </c>
      <c r="AH922" s="618">
        <f>IF(NFI_Expiration=1,IF($A922&lt;VLOOKUP(Q$5,NFI,5,0),1,0)*Table_NFI[[#This Row],[Plastic Mat]],Table_NFI[Plastic Mat])*IF(Table_NFI[[#This Row],[Distribution Date]]&gt;"2014-04-01",1,2.5)</f>
        <v>0</v>
      </c>
      <c r="AI922" s="618">
        <f>IF(NFI_Expiration=1,IF($A922&lt;VLOOKUP(R$5,NFI,5,0),1,0)*Table_NFI[[#This Row],[Winter Clothes Adult]],Table_NFI[Winter Clothes Adult])</f>
        <v>0</v>
      </c>
      <c r="AJ922" s="618">
        <f>IF(NFI_Expiration=1,IF($A922&lt;VLOOKUP(S$5,NFI,5,0),1,0)*Table_NFI[[#This Row],[Winter Clothes Children]],Table_NFI[Winter Clothes Children])</f>
        <v>670</v>
      </c>
      <c r="AK922" s="618">
        <f>IF(NFI_Expiration=1,IF($A922&lt;VLOOKUP(T$5,NFI,5,0),1,0)*Table_NFI[[#This Row],[Winter Items Other]],Table_NFI[Winter Items Other])</f>
        <v>0</v>
      </c>
      <c r="AL922" s="618">
        <f>IF(NFI_Expiration=1,IF($A922&lt;VLOOKUP(M$5,NFI,5,0),1,0)*Table_NFI[[#This Row],[Winter Blanket]],Table_NFI[[#This Row],[Winter Blanket]])</f>
        <v>0</v>
      </c>
      <c r="AM922" s="618">
        <f>IF(Table_NFI[[#This Row],[Winter Clothes Adult]]+Table_NFI[[#This Row],[Winter Clothes Children]]+Table_NFI[[#This Row],[Winter Items Other]]+Table_NFI[[#This Row],[Winter Blanket]]&gt;0,1,0)</f>
        <v>1</v>
      </c>
      <c r="AN922" s="620">
        <f>IF(NFI_Expiration=1,IF($A922&lt;VLOOKUP(V$5,NFI,5,0),1,0)*Table_NFI[[#This Row],[Jerry Can]],Table_NFI[Jerry Can])</f>
        <v>0</v>
      </c>
      <c r="AO922" s="621" t="str">
        <f>IFERROR(VLOOKUP(Table_NFI[[#This Row],[Camp Name]],CL,2,0),"")</f>
        <v>MMR001CMP120</v>
      </c>
      <c r="AP922" s="622">
        <f ca="1">IF(Table_NFI[[#This Row],[Pcode]]="","",IF(OFFSET(CampList[Opening Date],MATCH(Table_NFI[[#This Row],[Pcode]],CampList[CP_Pcode],0)-1,0,1,1)&gt;=NFI_Monitor_Date,1,0))</f>
        <v>0</v>
      </c>
      <c r="AQ922" s="621" t="str">
        <f>IFERROR(VLOOKUP(Table_NFI[[#This Row],[Camp Name]],CL,3,0),"")</f>
        <v>Open</v>
      </c>
      <c r="AR922" s="618" t="str">
        <f ca="1">IF(Table_NFI[[#This Row],[Pcode]]="","",OFFSET(CampList[Priority],MATCH(Table_NFI[[#This Row],[Pcode]],CampList[CP_Pcode],0)-1,0,1,1))</f>
        <v>P1</v>
      </c>
      <c r="AS922" s="623">
        <f>IFERROR(Table_NFI[[#This Row],[Kitchen Set]]/VLOOKUP(Table_NFI[[#This Row],[Camp Name]],CL,4,0),"")</f>
        <v>0</v>
      </c>
      <c r="AT922" s="616"/>
      <c r="AU922" s="627"/>
    </row>
    <row r="923" spans="1:47" s="585" customFormat="1" ht="15.75" customHeight="1" x14ac:dyDescent="0.25">
      <c r="A923" s="615">
        <f t="shared" si="14"/>
        <v>1.7</v>
      </c>
      <c r="B923" s="571">
        <v>42471</v>
      </c>
      <c r="C923" s="577" t="s">
        <v>454</v>
      </c>
      <c r="D923" s="577" t="s">
        <v>462</v>
      </c>
      <c r="E923" s="572" t="s">
        <v>555</v>
      </c>
      <c r="F923" s="572" t="s">
        <v>289</v>
      </c>
      <c r="G923" s="577" t="s">
        <v>1472</v>
      </c>
      <c r="H923" s="617"/>
      <c r="I923" s="617"/>
      <c r="J923" s="617"/>
      <c r="K923" s="617">
        <v>126</v>
      </c>
      <c r="L923" s="617"/>
      <c r="M923" s="617">
        <v>126</v>
      </c>
      <c r="N923" s="617">
        <v>64</v>
      </c>
      <c r="O923" s="617"/>
      <c r="P923" s="618"/>
      <c r="Q923" s="618">
        <v>122</v>
      </c>
      <c r="R923" s="618"/>
      <c r="S923" s="618"/>
      <c r="T923" s="618"/>
      <c r="U923" s="618"/>
      <c r="V923" s="620">
        <v>64</v>
      </c>
      <c r="W923" s="620"/>
      <c r="X923" s="620"/>
      <c r="Y923" s="618">
        <f>IF(NFI_Expiration=1,IF($A923&lt;VLOOKUP(H$5,NFI,5,0),1,0)*Table_NFI[[#This Row],[Hygiene Kit]],Table_NFI[Hygiene Kit])</f>
        <v>0</v>
      </c>
      <c r="Z923" s="618">
        <f>IF(NFI_Expiration=1,IF($A923&lt;VLOOKUP(I$5,NFI,5,0),1,0)*Table_NFI[[#This Row],[NFI Core Kit]],Table_NFI[NFI Core Kit])</f>
        <v>0</v>
      </c>
      <c r="AA923" s="618">
        <f>IF(NFI_Expiration=1,IF($A923&lt;VLOOKUP(J$5,NFI,5,0),1,0)*Table_NFI[[#This Row],[Sanitary Kit]],Table_NFI[Sanitary Kit])</f>
        <v>0</v>
      </c>
      <c r="AB923" s="618">
        <f>IF(NFI_Expiration=1,IF($A923&lt;VLOOKUP(K$5,NFI,5,0),1,0)*Table_NFI[[#This Row],[Mosquito net]],Table_NFI[Mosquito net])</f>
        <v>126</v>
      </c>
      <c r="AC923" s="618">
        <f>IF(NFI_Expiration=1,IF($A923&lt;VLOOKUP(L$5,NFI,5,0),1,0)*Table_NFI[[#This Row],[Tarpaulin]],Table_NFI[[#This Row],[Tarpaulin]])</f>
        <v>0</v>
      </c>
      <c r="AD923" s="618">
        <f>IF(NFI_Expiration=1,IF($A923&lt;VLOOKUP(M$5,NFI,5,0),1,0)*Table_NFI[[#This Row],[Blanket]],Table_NFI[[#This Row],[Blanket]])</f>
        <v>126</v>
      </c>
      <c r="AE923" s="618">
        <f>IF(NFI_Expiration=1,IF($A923&lt;VLOOKUP(N$5,NFI,5,0),1,0)*Table_NFI[[#This Row],[Kitchen Set]],Table_NFI[Kitchen Set])</f>
        <v>64</v>
      </c>
      <c r="AF923" s="618">
        <f>IF(NFI_Expiration=1,IF($A923&lt;VLOOKUP(O$5,NFI,5,0),1,0)*Table_NFI[[#This Row],[Clothes Kit]],Table_NFI[Clothes Kit])</f>
        <v>0</v>
      </c>
      <c r="AG923" s="618">
        <f>IF(NFI_Expiration=1,IF($A923&lt;VLOOKUP(P$5,NFI,5,0),1,0)*Table_NFI[[#This Row],[Plastic Bucket]],Table_NFI[Plastic Bucket])</f>
        <v>0</v>
      </c>
      <c r="AH923" s="618">
        <f>IF(NFI_Expiration=1,IF($A923&lt;VLOOKUP(Q$5,NFI,5,0),1,0)*Table_NFI[[#This Row],[Plastic Mat]],Table_NFI[Plastic Mat])*IF(Table_NFI[[#This Row],[Distribution Date]]&gt;"2014-04-01",1,2.5)</f>
        <v>305</v>
      </c>
      <c r="AI923" s="618">
        <f>IF(NFI_Expiration=1,IF($A923&lt;VLOOKUP(R$5,NFI,5,0),1,0)*Table_NFI[[#This Row],[Winter Clothes Adult]],Table_NFI[Winter Clothes Adult])</f>
        <v>0</v>
      </c>
      <c r="AJ923" s="618">
        <f>IF(NFI_Expiration=1,IF($A923&lt;VLOOKUP(S$5,NFI,5,0),1,0)*Table_NFI[[#This Row],[Winter Clothes Children]],Table_NFI[Winter Clothes Children])</f>
        <v>0</v>
      </c>
      <c r="AK923" s="618">
        <f>IF(NFI_Expiration=1,IF($A923&lt;VLOOKUP(T$5,NFI,5,0),1,0)*Table_NFI[[#This Row],[Winter Items Other]],Table_NFI[Winter Items Other])</f>
        <v>0</v>
      </c>
      <c r="AL923" s="618">
        <f>IF(NFI_Expiration=1,IF($A923&lt;VLOOKUP(M$5,NFI,5,0),1,0)*Table_NFI[[#This Row],[Winter Blanket]],Table_NFI[[#This Row],[Winter Blanket]])</f>
        <v>0</v>
      </c>
      <c r="AM923" s="618">
        <f>IF(Table_NFI[[#This Row],[Winter Clothes Adult]]+Table_NFI[[#This Row],[Winter Clothes Children]]+Table_NFI[[#This Row],[Winter Items Other]]+Table_NFI[[#This Row],[Winter Blanket]]&gt;0,1,0)</f>
        <v>0</v>
      </c>
      <c r="AN923" s="620">
        <f>IF(NFI_Expiration=1,IF($A923&lt;VLOOKUP(V$5,NFI,5,0),1,0)*Table_NFI[[#This Row],[Jerry Can]],Table_NFI[Jerry Can])</f>
        <v>64</v>
      </c>
      <c r="AO923" s="621" t="str">
        <f>IFERROR(VLOOKUP(Table_NFI[[#This Row],[Camp Name]],CL,2,0),"")</f>
        <v/>
      </c>
      <c r="AP923" s="622" t="str">
        <f ca="1">IF(Table_NFI[[#This Row],[Pcode]]="","",IF(OFFSET(CampList[Opening Date],MATCH(Table_NFI[[#This Row],[Pcode]],CampList[CP_Pcode],0)-1,0,1,1)&gt;=NFI_Monitor_Date,1,0))</f>
        <v/>
      </c>
      <c r="AQ923" s="621" t="str">
        <f>IFERROR(VLOOKUP(Table_NFI[[#This Row],[Camp Name]],CL,3,0),"")</f>
        <v/>
      </c>
      <c r="AR923" s="618" t="str">
        <f ca="1">IF(Table_NFI[[#This Row],[Pcode]]="","",OFFSET(CampList[Priority],MATCH(Table_NFI[[#This Row],[Pcode]],CampList[CP_Pcode],0)-1,0,1,1))</f>
        <v/>
      </c>
      <c r="AS923" s="623" t="str">
        <f>IFERROR(Table_NFI[[#This Row],[Kitchen Set]]/VLOOKUP(Table_NFI[[#This Row],[Camp Name]],CL,4,0),"")</f>
        <v/>
      </c>
      <c r="AT923" s="616"/>
      <c r="AU923" s="627"/>
    </row>
    <row r="924" spans="1:47" s="585" customFormat="1" ht="15.75" customHeight="1" x14ac:dyDescent="0.25">
      <c r="A924" s="615">
        <f t="shared" si="14"/>
        <v>3.1333333333333333</v>
      </c>
      <c r="B924" s="571">
        <v>42428</v>
      </c>
      <c r="C924" s="577" t="s">
        <v>454</v>
      </c>
      <c r="D924" s="577" t="s">
        <v>462</v>
      </c>
      <c r="E924" s="572" t="s">
        <v>380</v>
      </c>
      <c r="F924" s="572" t="s">
        <v>27</v>
      </c>
      <c r="G924" s="577" t="s">
        <v>364</v>
      </c>
      <c r="H924" s="617"/>
      <c r="I924" s="617"/>
      <c r="J924" s="617"/>
      <c r="K924" s="617"/>
      <c r="L924" s="617"/>
      <c r="M924" s="617">
        <v>345</v>
      </c>
      <c r="N924" s="617"/>
      <c r="O924" s="617"/>
      <c r="P924" s="618"/>
      <c r="Q924" s="618"/>
      <c r="R924" s="618"/>
      <c r="S924" s="618">
        <v>765</v>
      </c>
      <c r="T924" s="618"/>
      <c r="U924" s="618"/>
      <c r="V924" s="619"/>
      <c r="W924" s="620"/>
      <c r="X924" s="620"/>
      <c r="Y924" s="618">
        <f>IF(NFI_Expiration=1,IF($A924&lt;VLOOKUP(H$5,NFI,5,0),1,0)*Table_NFI[[#This Row],[Hygiene Kit]],Table_NFI[Hygiene Kit])</f>
        <v>0</v>
      </c>
      <c r="Z924" s="618">
        <f>IF(NFI_Expiration=1,IF($A924&lt;VLOOKUP(I$5,NFI,5,0),1,0)*Table_NFI[[#This Row],[NFI Core Kit]],Table_NFI[NFI Core Kit])</f>
        <v>0</v>
      </c>
      <c r="AA924" s="618">
        <f>IF(NFI_Expiration=1,IF($A924&lt;VLOOKUP(J$5,NFI,5,0),1,0)*Table_NFI[[#This Row],[Sanitary Kit]],Table_NFI[Sanitary Kit])</f>
        <v>0</v>
      </c>
      <c r="AB924" s="618">
        <f>IF(NFI_Expiration=1,IF($A924&lt;VLOOKUP(K$5,NFI,5,0),1,0)*Table_NFI[[#This Row],[Mosquito net]],Table_NFI[Mosquito net])</f>
        <v>0</v>
      </c>
      <c r="AC924" s="618">
        <f>IF(NFI_Expiration=1,IF($A924&lt;VLOOKUP(L$5,NFI,5,0),1,0)*Table_NFI[[#This Row],[Tarpaulin]],Table_NFI[[#This Row],[Tarpaulin]])</f>
        <v>0</v>
      </c>
      <c r="AD924" s="618">
        <f>IF(NFI_Expiration=1,IF($A924&lt;VLOOKUP(M$5,NFI,5,0),1,0)*Table_NFI[[#This Row],[Blanket]],Table_NFI[[#This Row],[Blanket]])</f>
        <v>345</v>
      </c>
      <c r="AE924" s="618">
        <f>IF(NFI_Expiration=1,IF($A924&lt;VLOOKUP(N$5,NFI,5,0),1,0)*Table_NFI[[#This Row],[Kitchen Set]],Table_NFI[Kitchen Set])</f>
        <v>0</v>
      </c>
      <c r="AF924" s="618">
        <f>IF(NFI_Expiration=1,IF($A924&lt;VLOOKUP(O$5,NFI,5,0),1,0)*Table_NFI[[#This Row],[Clothes Kit]],Table_NFI[Clothes Kit])</f>
        <v>0</v>
      </c>
      <c r="AG924" s="618">
        <f>IF(NFI_Expiration=1,IF($A924&lt;VLOOKUP(P$5,NFI,5,0),1,0)*Table_NFI[[#This Row],[Plastic Bucket]],Table_NFI[Plastic Bucket])</f>
        <v>0</v>
      </c>
      <c r="AH924" s="618">
        <f>IF(NFI_Expiration=1,IF($A924&lt;VLOOKUP(Q$5,NFI,5,0),1,0)*Table_NFI[[#This Row],[Plastic Mat]],Table_NFI[Plastic Mat])*IF(Table_NFI[[#This Row],[Distribution Date]]&gt;"2014-04-01",1,2.5)</f>
        <v>0</v>
      </c>
      <c r="AI924" s="618">
        <f>IF(NFI_Expiration=1,IF($A924&lt;VLOOKUP(R$5,NFI,5,0),1,0)*Table_NFI[[#This Row],[Winter Clothes Adult]],Table_NFI[Winter Clothes Adult])</f>
        <v>0</v>
      </c>
      <c r="AJ924" s="618">
        <f>IF(NFI_Expiration=1,IF($A924&lt;VLOOKUP(S$5,NFI,5,0),1,0)*Table_NFI[[#This Row],[Winter Clothes Children]],Table_NFI[Winter Clothes Children])</f>
        <v>765</v>
      </c>
      <c r="AK924" s="618">
        <f>IF(NFI_Expiration=1,IF($A924&lt;VLOOKUP(T$5,NFI,5,0),1,0)*Table_NFI[[#This Row],[Winter Items Other]],Table_NFI[Winter Items Other])</f>
        <v>0</v>
      </c>
      <c r="AL924" s="618">
        <f>IF(NFI_Expiration=1,IF($A924&lt;VLOOKUP(M$5,NFI,5,0),1,0)*Table_NFI[[#This Row],[Winter Blanket]],Table_NFI[[#This Row],[Winter Blanket]])</f>
        <v>0</v>
      </c>
      <c r="AM924" s="618">
        <f>IF(Table_NFI[[#This Row],[Winter Clothes Adult]]+Table_NFI[[#This Row],[Winter Clothes Children]]+Table_NFI[[#This Row],[Winter Items Other]]+Table_NFI[[#This Row],[Winter Blanket]]&gt;0,1,0)</f>
        <v>1</v>
      </c>
      <c r="AN924" s="620">
        <f>IF(NFI_Expiration=1,IF($A924&lt;VLOOKUP(V$5,NFI,5,0),1,0)*Table_NFI[[#This Row],[Jerry Can]],Table_NFI[Jerry Can])</f>
        <v>0</v>
      </c>
      <c r="AO924" s="621" t="str">
        <f>IFERROR(VLOOKUP(Table_NFI[[#This Row],[Camp Name]],CL,2,0),"")</f>
        <v>MMR001CMP043</v>
      </c>
      <c r="AP924" s="622">
        <f ca="1">IF(Table_NFI[[#This Row],[Pcode]]="","",IF(OFFSET(CampList[Opening Date],MATCH(Table_NFI[[#This Row],[Pcode]],CampList[CP_Pcode],0)-1,0,1,1)&gt;=NFI_Monitor_Date,1,0))</f>
        <v>0</v>
      </c>
      <c r="AQ924" s="621" t="str">
        <f>IFERROR(VLOOKUP(Table_NFI[[#This Row],[Camp Name]],CL,3,0),"")</f>
        <v>Open</v>
      </c>
      <c r="AR924" s="618" t="str">
        <f ca="1">IF(Table_NFI[[#This Row],[Pcode]]="","",OFFSET(CampList[Priority],MATCH(Table_NFI[[#This Row],[Pcode]],CampList[CP_Pcode],0)-1,0,1,1))</f>
        <v>P1</v>
      </c>
      <c r="AS924" s="623">
        <f>IFERROR(Table_NFI[[#This Row],[Kitchen Set]]/VLOOKUP(Table_NFI[[#This Row],[Camp Name]],CL,4,0),"")</f>
        <v>0</v>
      </c>
      <c r="AT924" s="616"/>
      <c r="AU924" s="627"/>
    </row>
    <row r="925" spans="1:47" s="585" customFormat="1" ht="15.75" customHeight="1" x14ac:dyDescent="0.25">
      <c r="A925" s="381">
        <f t="shared" si="14"/>
        <v>5.0333333333333332</v>
      </c>
      <c r="B925" s="571">
        <v>42371</v>
      </c>
      <c r="C925" s="572" t="s">
        <v>454</v>
      </c>
      <c r="D925" s="572" t="s">
        <v>462</v>
      </c>
      <c r="E925" s="572" t="s">
        <v>555</v>
      </c>
      <c r="F925" s="572" t="s">
        <v>289</v>
      </c>
      <c r="G925" s="572"/>
      <c r="H925" s="375"/>
      <c r="I925" s="375"/>
      <c r="J925" s="375"/>
      <c r="K925" s="378"/>
      <c r="L925" s="376"/>
      <c r="M925" s="376"/>
      <c r="N925" s="376"/>
      <c r="O925" s="376"/>
      <c r="P925" s="378"/>
      <c r="Q925" s="378"/>
      <c r="R925" s="378"/>
      <c r="S925" s="378"/>
      <c r="T925" s="378"/>
      <c r="U925" s="378"/>
      <c r="V925" s="533"/>
      <c r="W925" s="418"/>
      <c r="X925" s="418">
        <v>37</v>
      </c>
      <c r="Y925" s="378">
        <f>IF(NFI_Expiration=1,IF($A925&lt;VLOOKUP(H$5,NFI,5,0),1,0)*Table_NFI[[#This Row],[Hygiene Kit]],Table_NFI[Hygiene Kit])</f>
        <v>0</v>
      </c>
      <c r="Z925" s="378">
        <f>IF(NFI_Expiration=1,IF($A925&lt;VLOOKUP(I$5,NFI,5,0),1,0)*Table_NFI[[#This Row],[NFI Core Kit]],Table_NFI[NFI Core Kit])</f>
        <v>0</v>
      </c>
      <c r="AA925" s="378">
        <f>IF(NFI_Expiration=1,IF($A925&lt;VLOOKUP(J$5,NFI,5,0),1,0)*Table_NFI[[#This Row],[Sanitary Kit]],Table_NFI[Sanitary Kit])</f>
        <v>0</v>
      </c>
      <c r="AB925" s="378">
        <f>IF(NFI_Expiration=1,IF($A925&lt;VLOOKUP(K$5,NFI,5,0),1,0)*Table_NFI[[#This Row],[Mosquito net]],Table_NFI[Mosquito net])</f>
        <v>0</v>
      </c>
      <c r="AC925" s="378">
        <f>IF(NFI_Expiration=1,IF($A925&lt;VLOOKUP(L$5,NFI,5,0),1,0)*Table_NFI[[#This Row],[Tarpaulin]],Table_NFI[[#This Row],[Tarpaulin]])</f>
        <v>0</v>
      </c>
      <c r="AD925" s="378">
        <f>IF(NFI_Expiration=1,IF($A925&lt;VLOOKUP(M$5,NFI,5,0),1,0)*Table_NFI[[#This Row],[Blanket]],Table_NFI[[#This Row],[Blanket]])</f>
        <v>0</v>
      </c>
      <c r="AE925" s="378">
        <f>IF(NFI_Expiration=1,IF($A925&lt;VLOOKUP(N$5,NFI,5,0),1,0)*Table_NFI[[#This Row],[Kitchen Set]],Table_NFI[Kitchen Set])</f>
        <v>0</v>
      </c>
      <c r="AF925" s="378">
        <f>IF(NFI_Expiration=1,IF($A925&lt;VLOOKUP(O$5,NFI,5,0),1,0)*Table_NFI[[#This Row],[Clothes Kit]],Table_NFI[Clothes Kit])</f>
        <v>0</v>
      </c>
      <c r="AG925" s="378">
        <f>IF(NFI_Expiration=1,IF($A925&lt;VLOOKUP(P$5,NFI,5,0),1,0)*Table_NFI[[#This Row],[Plastic Bucket]],Table_NFI[Plastic Bucket])</f>
        <v>0</v>
      </c>
      <c r="AH925" s="378">
        <f>IF(NFI_Expiration=1,IF($A925&lt;VLOOKUP(Q$5,NFI,5,0),1,0)*Table_NFI[[#This Row],[Plastic Mat]],Table_NFI[Plastic Mat])*IF(Table_NFI[[#This Row],[Distribution Date]]&gt;"2014-04-01",1,2.5)</f>
        <v>0</v>
      </c>
      <c r="AI925" s="378">
        <f>IF(NFI_Expiration=1,IF($A925&lt;VLOOKUP(R$5,NFI,5,0),1,0)*Table_NFI[[#This Row],[Winter Clothes Adult]],Table_NFI[Winter Clothes Adult])</f>
        <v>0</v>
      </c>
      <c r="AJ925" s="378">
        <f>IF(NFI_Expiration=1,IF($A925&lt;VLOOKUP(S$5,NFI,5,0),1,0)*Table_NFI[[#This Row],[Winter Clothes Children]],Table_NFI[Winter Clothes Children])</f>
        <v>0</v>
      </c>
      <c r="AK925" s="378">
        <f>IF(NFI_Expiration=1,IF($A925&lt;VLOOKUP(T$5,NFI,5,0),1,0)*Table_NFI[[#This Row],[Winter Items Other]],Table_NFI[Winter Items Other])</f>
        <v>0</v>
      </c>
      <c r="AL925" s="378">
        <f>IF(NFI_Expiration=1,IF($A925&lt;VLOOKUP(M$5,NFI,5,0),1,0)*Table_NFI[[#This Row],[Winter Blanket]],Table_NFI[[#This Row],[Winter Blanket]])</f>
        <v>0</v>
      </c>
      <c r="AM925" s="378">
        <f>IF(Table_NFI[[#This Row],[Winter Clothes Adult]]+Table_NFI[[#This Row],[Winter Clothes Children]]+Table_NFI[[#This Row],[Winter Items Other]]+Table_NFI[[#This Row],[Winter Blanket]]&gt;0,1,0)</f>
        <v>0</v>
      </c>
      <c r="AN925" s="418">
        <f>IF(NFI_Expiration=1,IF($A925&lt;VLOOKUP(V$5,NFI,5,0),1,0)*Table_NFI[[#This Row],[Jerry Can]],Table_NFI[Jerry Can])</f>
        <v>0</v>
      </c>
      <c r="AO925" s="579" t="str">
        <f>IFERROR(VLOOKUP(Table_NFI[[#This Row],[Camp Name]],CL,2,0),"")</f>
        <v/>
      </c>
      <c r="AP925" s="574" t="str">
        <f ca="1">IF(Table_NFI[[#This Row],[Pcode]]="","",IF(OFFSET(CampList[Opening Date],MATCH(Table_NFI[[#This Row],[Pcode]],CampList[CP_Pcode],0)-1,0,1,1)&gt;=NFI_Monitor_Date,1,0))</f>
        <v/>
      </c>
      <c r="AQ925" s="579" t="str">
        <f>IFERROR(VLOOKUP(Table_NFI[[#This Row],[Camp Name]],CL,3,0),"")</f>
        <v/>
      </c>
      <c r="AR925" s="378" t="str">
        <f ca="1">IF(Table_NFI[[#This Row],[Pcode]]="","",OFFSET(CampList[Priority],MATCH(Table_NFI[[#This Row],[Pcode]],CampList[CP_Pcode],0)-1,0,1,1))</f>
        <v/>
      </c>
      <c r="AS925" s="623" t="str">
        <f>IFERROR(Table_NFI[[#This Row],[Kitchen Set]]/VLOOKUP(Table_NFI[[#This Row],[Camp Name]],CL,4,0),"")</f>
        <v/>
      </c>
      <c r="AT925" s="572"/>
      <c r="AU925" s="575" t="s">
        <v>1387</v>
      </c>
    </row>
    <row r="926" spans="1:47" s="585" customFormat="1" ht="15" customHeight="1" x14ac:dyDescent="0.25">
      <c r="A926" s="381">
        <f t="shared" si="14"/>
        <v>8.4666666666666668</v>
      </c>
      <c r="B926" s="571">
        <v>42268</v>
      </c>
      <c r="C926" s="572" t="s">
        <v>454</v>
      </c>
      <c r="D926" s="572" t="s">
        <v>1374</v>
      </c>
      <c r="E926" s="572" t="s">
        <v>380</v>
      </c>
      <c r="F926" s="572" t="s">
        <v>237</v>
      </c>
      <c r="G926" s="374"/>
      <c r="H926" s="375"/>
      <c r="I926" s="376"/>
      <c r="J926" s="378"/>
      <c r="K926" s="378"/>
      <c r="L926" s="376"/>
      <c r="M926" s="376"/>
      <c r="N926" s="376"/>
      <c r="O926" s="376"/>
      <c r="P926" s="378"/>
      <c r="Q926" s="378"/>
      <c r="R926" s="378"/>
      <c r="S926" s="378"/>
      <c r="T926" s="378"/>
      <c r="U926" s="378"/>
      <c r="V926" s="533"/>
      <c r="W926" s="418"/>
      <c r="X926" s="418"/>
      <c r="Y926" s="378">
        <f>IF(NFI_Expiration=1,IF($A926&lt;VLOOKUP(H$5,NFI,5,0),1,0)*Table_NFI[[#This Row],[Hygiene Kit]],Table_NFI[Hygiene Kit])</f>
        <v>0</v>
      </c>
      <c r="Z926" s="378">
        <f>IF(NFI_Expiration=1,IF($A926&lt;VLOOKUP(I$5,NFI,5,0),1,0)*Table_NFI[[#This Row],[NFI Core Kit]],Table_NFI[NFI Core Kit])</f>
        <v>0</v>
      </c>
      <c r="AA926" s="378">
        <f>IF(NFI_Expiration=1,IF($A926&lt;VLOOKUP(J$5,NFI,5,0),1,0)*Table_NFI[[#This Row],[Sanitary Kit]],Table_NFI[Sanitary Kit])</f>
        <v>0</v>
      </c>
      <c r="AB926" s="378">
        <f>IF(NFI_Expiration=1,IF($A926&lt;VLOOKUP(K$5,NFI,5,0),1,0)*Table_NFI[[#This Row],[Mosquito net]],Table_NFI[Mosquito net])</f>
        <v>0</v>
      </c>
      <c r="AC926" s="378">
        <f>IF(NFI_Expiration=1,IF($A926&lt;VLOOKUP(L$5,NFI,5,0),1,0)*Table_NFI[[#This Row],[Tarpaulin]],Table_NFI[[#This Row],[Tarpaulin]])</f>
        <v>0</v>
      </c>
      <c r="AD926" s="378">
        <f>IF(NFI_Expiration=1,IF($A926&lt;VLOOKUP(M$5,NFI,5,0),1,0)*Table_NFI[[#This Row],[Blanket]],Table_NFI[[#This Row],[Blanket]])</f>
        <v>0</v>
      </c>
      <c r="AE926" s="378">
        <f>IF(NFI_Expiration=1,IF($A926&lt;VLOOKUP(N$5,NFI,5,0),1,0)*Table_NFI[[#This Row],[Kitchen Set]],Table_NFI[Kitchen Set])</f>
        <v>0</v>
      </c>
      <c r="AF926" s="378">
        <f>IF(NFI_Expiration=1,IF($A926&lt;VLOOKUP(O$5,NFI,5,0),1,0)*Table_NFI[[#This Row],[Clothes Kit]],Table_NFI[Clothes Kit])</f>
        <v>0</v>
      </c>
      <c r="AG926" s="378">
        <f>IF(NFI_Expiration=1,IF($A926&lt;VLOOKUP(P$5,NFI,5,0),1,0)*Table_NFI[[#This Row],[Plastic Bucket]],Table_NFI[Plastic Bucket])</f>
        <v>0</v>
      </c>
      <c r="AH926" s="378">
        <f>IF(NFI_Expiration=1,IF($A926&lt;VLOOKUP(Q$5,NFI,5,0),1,0)*Table_NFI[[#This Row],[Plastic Mat]],Table_NFI[Plastic Mat])*IF(Table_NFI[[#This Row],[Distribution Date]]&gt;"2014-04-01",1,2.5)</f>
        <v>0</v>
      </c>
      <c r="AI926" s="378">
        <f>IF(NFI_Expiration=1,IF($A926&lt;VLOOKUP(R$5,NFI,5,0),1,0)*Table_NFI[[#This Row],[Winter Clothes Adult]],Table_NFI[Winter Clothes Adult])</f>
        <v>0</v>
      </c>
      <c r="AJ926" s="378">
        <f>IF(NFI_Expiration=1,IF($A926&lt;VLOOKUP(S$5,NFI,5,0),1,0)*Table_NFI[[#This Row],[Winter Clothes Children]],Table_NFI[Winter Clothes Children])</f>
        <v>0</v>
      </c>
      <c r="AK926" s="378">
        <f>IF(NFI_Expiration=1,IF($A926&lt;VLOOKUP(T$5,NFI,5,0),1,0)*Table_NFI[[#This Row],[Winter Items Other]],Table_NFI[Winter Items Other])</f>
        <v>0</v>
      </c>
      <c r="AL926" s="378">
        <f>IF(NFI_Expiration=1,IF($A926&lt;VLOOKUP(M$5,NFI,5,0),1,0)*Table_NFI[[#This Row],[Winter Blanket]],Table_NFI[[#This Row],[Winter Blanket]])</f>
        <v>0</v>
      </c>
      <c r="AM926" s="378">
        <f>IF(Table_NFI[[#This Row],[Winter Clothes Adult]]+Table_NFI[[#This Row],[Winter Clothes Children]]+Table_NFI[[#This Row],[Winter Items Other]]+Table_NFI[[#This Row],[Winter Blanket]]&gt;0,1,0)</f>
        <v>0</v>
      </c>
      <c r="AN926" s="418">
        <f>IF(NFI_Expiration=1,IF($A926&lt;VLOOKUP(V$5,NFI,5,0),1,0)*Table_NFI[[#This Row],[Jerry Can]],Table_NFI[Jerry Can])</f>
        <v>0</v>
      </c>
      <c r="AO926" s="579" t="str">
        <f>IFERROR(VLOOKUP(Table_NFI[[#This Row],[Camp Name]],CL,2,0),"")</f>
        <v/>
      </c>
      <c r="AP926" s="574" t="str">
        <f ca="1">IF(Table_NFI[[#This Row],[Pcode]]="","",IF(OFFSET(CampList[Opening Date],MATCH(Table_NFI[[#This Row],[Pcode]],CampList[CP_Pcode],0)-1,0,1,1)&gt;=NFI_Monitor_Date,1,0))</f>
        <v/>
      </c>
      <c r="AQ926" s="579" t="str">
        <f>IFERROR(VLOOKUP(Table_NFI[[#This Row],[Camp Name]],CL,3,0),"")</f>
        <v/>
      </c>
      <c r="AR926" s="378" t="str">
        <f ca="1">IF(Table_NFI[[#This Row],[Pcode]]="","",OFFSET(CampList[Priority],MATCH(Table_NFI[[#This Row],[Pcode]],CampList[CP_Pcode],0)-1,0,1,1))</f>
        <v/>
      </c>
      <c r="AS926" s="377" t="str">
        <f>IFERROR(Table_NFI[[#This Row],[Kitchen Set]]/VLOOKUP(Table_NFI[[#This Row],[Camp Name]],CL,4,0),"")</f>
        <v/>
      </c>
      <c r="AT926" s="572" t="s">
        <v>1095</v>
      </c>
      <c r="AU926" s="592"/>
    </row>
    <row r="927" spans="1:47" s="585" customFormat="1" ht="15.75" customHeight="1" x14ac:dyDescent="0.25">
      <c r="A927" s="381">
        <f t="shared" si="14"/>
        <v>9.3000000000000007</v>
      </c>
      <c r="B927" s="571">
        <v>42243</v>
      </c>
      <c r="C927" s="577" t="s">
        <v>454</v>
      </c>
      <c r="D927" s="577" t="s">
        <v>462</v>
      </c>
      <c r="E927" s="572" t="s">
        <v>380</v>
      </c>
      <c r="F927" s="572" t="s">
        <v>237</v>
      </c>
      <c r="G927" s="572"/>
      <c r="H927" s="376"/>
      <c r="I927" s="376"/>
      <c r="J927" s="376"/>
      <c r="K927" s="376"/>
      <c r="L927" s="376"/>
      <c r="M927" s="376"/>
      <c r="N927" s="376"/>
      <c r="O927" s="376"/>
      <c r="P927" s="378"/>
      <c r="Q927" s="378"/>
      <c r="R927" s="378"/>
      <c r="S927" s="378"/>
      <c r="T927" s="378"/>
      <c r="U927" s="378"/>
      <c r="V927" s="533"/>
      <c r="W927" s="418">
        <v>10</v>
      </c>
      <c r="X927" s="418"/>
      <c r="Y927" s="378">
        <f>IF(NFI_Expiration=1,IF($A927&lt;VLOOKUP(H$5,NFI,5,0),1,0)*Table_NFI[[#This Row],[Hygiene Kit]],Table_NFI[Hygiene Kit])</f>
        <v>0</v>
      </c>
      <c r="Z927" s="378">
        <f>IF(NFI_Expiration=1,IF($A927&lt;VLOOKUP(I$5,NFI,5,0),1,0)*Table_NFI[[#This Row],[NFI Core Kit]],Table_NFI[NFI Core Kit])</f>
        <v>0</v>
      </c>
      <c r="AA927" s="378">
        <f>IF(NFI_Expiration=1,IF($A927&lt;VLOOKUP(J$5,NFI,5,0),1,0)*Table_NFI[[#This Row],[Sanitary Kit]],Table_NFI[Sanitary Kit])</f>
        <v>0</v>
      </c>
      <c r="AB927" s="378">
        <f>IF(NFI_Expiration=1,IF($A927&lt;VLOOKUP(K$5,NFI,5,0),1,0)*Table_NFI[[#This Row],[Mosquito net]],Table_NFI[Mosquito net])</f>
        <v>0</v>
      </c>
      <c r="AC927" s="378">
        <f>IF(NFI_Expiration=1,IF($A927&lt;VLOOKUP(L$5,NFI,5,0),1,0)*Table_NFI[[#This Row],[Tarpaulin]],Table_NFI[[#This Row],[Tarpaulin]])</f>
        <v>0</v>
      </c>
      <c r="AD927" s="378">
        <f>IF(NFI_Expiration=1,IF($A927&lt;VLOOKUP(M$5,NFI,5,0),1,0)*Table_NFI[[#This Row],[Blanket]],Table_NFI[[#This Row],[Blanket]])</f>
        <v>0</v>
      </c>
      <c r="AE927" s="378">
        <f>IF(NFI_Expiration=1,IF($A927&lt;VLOOKUP(N$5,NFI,5,0),1,0)*Table_NFI[[#This Row],[Kitchen Set]],Table_NFI[Kitchen Set])</f>
        <v>0</v>
      </c>
      <c r="AF927" s="378">
        <f>IF(NFI_Expiration=1,IF($A927&lt;VLOOKUP(O$5,NFI,5,0),1,0)*Table_NFI[[#This Row],[Clothes Kit]],Table_NFI[Clothes Kit])</f>
        <v>0</v>
      </c>
      <c r="AG927" s="378">
        <f>IF(NFI_Expiration=1,IF($A927&lt;VLOOKUP(P$5,NFI,5,0),1,0)*Table_NFI[[#This Row],[Plastic Bucket]],Table_NFI[Plastic Bucket])</f>
        <v>0</v>
      </c>
      <c r="AH927" s="378">
        <f>IF(NFI_Expiration=1,IF($A927&lt;VLOOKUP(Q$5,NFI,5,0),1,0)*Table_NFI[[#This Row],[Plastic Mat]],Table_NFI[Plastic Mat])*IF(Table_NFI[[#This Row],[Distribution Date]]&gt;"2014-04-01",1,2.5)</f>
        <v>0</v>
      </c>
      <c r="AI927" s="378">
        <f>IF(NFI_Expiration=1,IF($A927&lt;VLOOKUP(R$5,NFI,5,0),1,0)*Table_NFI[[#This Row],[Winter Clothes Adult]],Table_NFI[Winter Clothes Adult])</f>
        <v>0</v>
      </c>
      <c r="AJ927" s="378">
        <f>IF(NFI_Expiration=1,IF($A927&lt;VLOOKUP(S$5,NFI,5,0),1,0)*Table_NFI[[#This Row],[Winter Clothes Children]],Table_NFI[Winter Clothes Children])</f>
        <v>0</v>
      </c>
      <c r="AK927" s="378">
        <f>IF(NFI_Expiration=1,IF($A927&lt;VLOOKUP(T$5,NFI,5,0),1,0)*Table_NFI[[#This Row],[Winter Items Other]],Table_NFI[Winter Items Other])</f>
        <v>0</v>
      </c>
      <c r="AL927" s="378">
        <f>IF(NFI_Expiration=1,IF($A927&lt;VLOOKUP(M$5,NFI,5,0),1,0)*Table_NFI[[#This Row],[Winter Blanket]],Table_NFI[[#This Row],[Winter Blanket]])</f>
        <v>0</v>
      </c>
      <c r="AM927" s="378">
        <f>IF(Table_NFI[[#This Row],[Winter Clothes Adult]]+Table_NFI[[#This Row],[Winter Clothes Children]]+Table_NFI[[#This Row],[Winter Items Other]]+Table_NFI[[#This Row],[Winter Blanket]]&gt;0,1,0)</f>
        <v>0</v>
      </c>
      <c r="AN927" s="418">
        <f>IF(NFI_Expiration=1,IF($A927&lt;VLOOKUP(V$5,NFI,5,0),1,0)*Table_NFI[[#This Row],[Jerry Can]],Table_NFI[Jerry Can])</f>
        <v>0</v>
      </c>
      <c r="AO927" s="579" t="str">
        <f>IFERROR(VLOOKUP(Table_NFI[[#This Row],[Camp Name]],CL,2,0),"")</f>
        <v/>
      </c>
      <c r="AP927" s="574" t="str">
        <f ca="1">IF(Table_NFI[[#This Row],[Pcode]]="","",IF(OFFSET(CampList[Opening Date],MATCH(Table_NFI[[#This Row],[Pcode]],CampList[CP_Pcode],0)-1,0,1,1)&gt;=NFI_Monitor_Date,1,0))</f>
        <v/>
      </c>
      <c r="AQ927" s="579" t="str">
        <f>IFERROR(VLOOKUP(Table_NFI[[#This Row],[Camp Name]],CL,3,0),"")</f>
        <v/>
      </c>
      <c r="AR927" s="378" t="str">
        <f ca="1">IF(Table_NFI[[#This Row],[Pcode]]="","",OFFSET(CampList[Priority],MATCH(Table_NFI[[#This Row],[Pcode]],CampList[CP_Pcode],0)-1,0,1,1))</f>
        <v/>
      </c>
      <c r="AS927" s="377" t="str">
        <f>IFERROR(Table_NFI[[#This Row],[Kitchen Set]]/VLOOKUP(Table_NFI[[#This Row],[Camp Name]],CL,4,0),"")</f>
        <v/>
      </c>
      <c r="AT927" s="572" t="s">
        <v>1095</v>
      </c>
      <c r="AU927" s="601"/>
    </row>
    <row r="928" spans="1:47" s="585" customFormat="1" ht="15.75" customHeight="1" x14ac:dyDescent="0.25">
      <c r="A928" s="381">
        <f t="shared" si="14"/>
        <v>9.3000000000000007</v>
      </c>
      <c r="B928" s="571">
        <v>42243</v>
      </c>
      <c r="C928" s="577" t="s">
        <v>454</v>
      </c>
      <c r="D928" s="577" t="s">
        <v>1374</v>
      </c>
      <c r="E928" s="577" t="s">
        <v>380</v>
      </c>
      <c r="F928" s="577" t="s">
        <v>237</v>
      </c>
      <c r="G928" s="577"/>
      <c r="H928" s="376"/>
      <c r="I928" s="376"/>
      <c r="J928" s="376"/>
      <c r="K928" s="376"/>
      <c r="L928" s="376"/>
      <c r="M928" s="376"/>
      <c r="N928" s="376"/>
      <c r="O928" s="376"/>
      <c r="P928" s="378"/>
      <c r="Q928" s="378"/>
      <c r="R928" s="378"/>
      <c r="S928" s="378"/>
      <c r="T928" s="378"/>
      <c r="U928" s="378"/>
      <c r="V928" s="533"/>
      <c r="W928" s="418">
        <v>7</v>
      </c>
      <c r="X928" s="418"/>
      <c r="Y928" s="378">
        <f>IF(NFI_Expiration=1,IF($A928&lt;VLOOKUP(H$5,NFI,5,0),1,0)*Table_NFI[[#This Row],[Hygiene Kit]],Table_NFI[Hygiene Kit])</f>
        <v>0</v>
      </c>
      <c r="Z928" s="378">
        <f>IF(NFI_Expiration=1,IF($A928&lt;VLOOKUP(I$5,NFI,5,0),1,0)*Table_NFI[[#This Row],[NFI Core Kit]],Table_NFI[NFI Core Kit])</f>
        <v>0</v>
      </c>
      <c r="AA928" s="378">
        <f>IF(NFI_Expiration=1,IF($A928&lt;VLOOKUP(J$5,NFI,5,0),1,0)*Table_NFI[[#This Row],[Sanitary Kit]],Table_NFI[Sanitary Kit])</f>
        <v>0</v>
      </c>
      <c r="AB928" s="378">
        <f>IF(NFI_Expiration=1,IF($A928&lt;VLOOKUP(K$5,NFI,5,0),1,0)*Table_NFI[[#This Row],[Mosquito net]],Table_NFI[Mosquito net])</f>
        <v>0</v>
      </c>
      <c r="AC928" s="378">
        <f>IF(NFI_Expiration=1,IF($A928&lt;VLOOKUP(L$5,NFI,5,0),1,0)*Table_NFI[[#This Row],[Tarpaulin]],Table_NFI[[#This Row],[Tarpaulin]])</f>
        <v>0</v>
      </c>
      <c r="AD928" s="378">
        <f>IF(NFI_Expiration=1,IF($A928&lt;VLOOKUP(M$5,NFI,5,0),1,0)*Table_NFI[[#This Row],[Blanket]],Table_NFI[[#This Row],[Blanket]])</f>
        <v>0</v>
      </c>
      <c r="AE928" s="378">
        <f>IF(NFI_Expiration=1,IF($A928&lt;VLOOKUP(N$5,NFI,5,0),1,0)*Table_NFI[[#This Row],[Kitchen Set]],Table_NFI[Kitchen Set])</f>
        <v>0</v>
      </c>
      <c r="AF928" s="378">
        <f>IF(NFI_Expiration=1,IF($A928&lt;VLOOKUP(O$5,NFI,5,0),1,0)*Table_NFI[[#This Row],[Clothes Kit]],Table_NFI[Clothes Kit])</f>
        <v>0</v>
      </c>
      <c r="AG928" s="378">
        <f>IF(NFI_Expiration=1,IF($A928&lt;VLOOKUP(P$5,NFI,5,0),1,0)*Table_NFI[[#This Row],[Plastic Bucket]],Table_NFI[Plastic Bucket])</f>
        <v>0</v>
      </c>
      <c r="AH928" s="378">
        <f>IF(NFI_Expiration=1,IF($A928&lt;VLOOKUP(Q$5,NFI,5,0),1,0)*Table_NFI[[#This Row],[Plastic Mat]],Table_NFI[Plastic Mat])*IF(Table_NFI[[#This Row],[Distribution Date]]&gt;"2014-04-01",1,2.5)</f>
        <v>0</v>
      </c>
      <c r="AI928" s="378">
        <f>IF(NFI_Expiration=1,IF($A928&lt;VLOOKUP(R$5,NFI,5,0),1,0)*Table_NFI[[#This Row],[Winter Clothes Adult]],Table_NFI[Winter Clothes Adult])</f>
        <v>0</v>
      </c>
      <c r="AJ928" s="378">
        <f>IF(NFI_Expiration=1,IF($A928&lt;VLOOKUP(S$5,NFI,5,0),1,0)*Table_NFI[[#This Row],[Winter Clothes Children]],Table_NFI[Winter Clothes Children])</f>
        <v>0</v>
      </c>
      <c r="AK928" s="378">
        <f>IF(NFI_Expiration=1,IF($A928&lt;VLOOKUP(T$5,NFI,5,0),1,0)*Table_NFI[[#This Row],[Winter Items Other]],Table_NFI[Winter Items Other])</f>
        <v>0</v>
      </c>
      <c r="AL928" s="378">
        <f>IF(NFI_Expiration=1,IF($A928&lt;VLOOKUP(M$5,NFI,5,0),1,0)*Table_NFI[[#This Row],[Winter Blanket]],Table_NFI[[#This Row],[Winter Blanket]])</f>
        <v>0</v>
      </c>
      <c r="AM928" s="378">
        <f>IF(Table_NFI[[#This Row],[Winter Clothes Adult]]+Table_NFI[[#This Row],[Winter Clothes Children]]+Table_NFI[[#This Row],[Winter Items Other]]+Table_NFI[[#This Row],[Winter Blanket]]&gt;0,1,0)</f>
        <v>0</v>
      </c>
      <c r="AN928" s="418">
        <f>IF(NFI_Expiration=1,IF($A928&lt;VLOOKUP(V$5,NFI,5,0),1,0)*Table_NFI[[#This Row],[Jerry Can]],Table_NFI[Jerry Can])</f>
        <v>0</v>
      </c>
      <c r="AO928" s="579" t="str">
        <f>IFERROR(VLOOKUP(Table_NFI[[#This Row],[Camp Name]],CL,2,0),"")</f>
        <v/>
      </c>
      <c r="AP928" s="574" t="str">
        <f ca="1">IF(Table_NFI[[#This Row],[Pcode]]="","",IF(OFFSET(CampList[Opening Date],MATCH(Table_NFI[[#This Row],[Pcode]],CampList[CP_Pcode],0)-1,0,1,1)&gt;=NFI_Monitor_Date,1,0))</f>
        <v/>
      </c>
      <c r="AQ928" s="579" t="str">
        <f>IFERROR(VLOOKUP(Table_NFI[[#This Row],[Camp Name]],CL,3,0),"")</f>
        <v/>
      </c>
      <c r="AR928" s="378" t="str">
        <f ca="1">IF(Table_NFI[[#This Row],[Pcode]]="","",OFFSET(CampList[Priority],MATCH(Table_NFI[[#This Row],[Pcode]],CampList[CP_Pcode],0)-1,0,1,1))</f>
        <v/>
      </c>
      <c r="AS928" s="377" t="str">
        <f>IFERROR(Table_NFI[[#This Row],[Kitchen Set]]/VLOOKUP(Table_NFI[[#This Row],[Camp Name]],CL,4,0),"")</f>
        <v/>
      </c>
      <c r="AT928" s="572" t="s">
        <v>1095</v>
      </c>
      <c r="AU928" s="580"/>
    </row>
    <row r="929" spans="1:47" s="585" customFormat="1" ht="15.75" customHeight="1" x14ac:dyDescent="0.25">
      <c r="A929" s="381">
        <f t="shared" si="14"/>
        <v>9.3000000000000007</v>
      </c>
      <c r="B929" s="571">
        <v>42243</v>
      </c>
      <c r="C929" s="577" t="s">
        <v>454</v>
      </c>
      <c r="D929" s="577" t="s">
        <v>507</v>
      </c>
      <c r="E929" s="577" t="s">
        <v>380</v>
      </c>
      <c r="F929" s="577" t="s">
        <v>237</v>
      </c>
      <c r="G929" s="577"/>
      <c r="H929" s="376"/>
      <c r="I929" s="376"/>
      <c r="J929" s="376"/>
      <c r="K929" s="376"/>
      <c r="L929" s="376"/>
      <c r="M929" s="376"/>
      <c r="N929" s="376"/>
      <c r="O929" s="376"/>
      <c r="P929" s="378"/>
      <c r="Q929" s="378"/>
      <c r="R929" s="378"/>
      <c r="S929" s="378"/>
      <c r="T929" s="378"/>
      <c r="U929" s="378"/>
      <c r="V929" s="533"/>
      <c r="W929" s="418">
        <v>8</v>
      </c>
      <c r="X929" s="418"/>
      <c r="Y929" s="378">
        <f>IF(NFI_Expiration=1,IF($A929&lt;VLOOKUP(H$5,NFI,5,0),1,0)*Table_NFI[[#This Row],[Hygiene Kit]],Table_NFI[Hygiene Kit])</f>
        <v>0</v>
      </c>
      <c r="Z929" s="378">
        <f>IF(NFI_Expiration=1,IF($A929&lt;VLOOKUP(I$5,NFI,5,0),1,0)*Table_NFI[[#This Row],[NFI Core Kit]],Table_NFI[NFI Core Kit])</f>
        <v>0</v>
      </c>
      <c r="AA929" s="378">
        <f>IF(NFI_Expiration=1,IF($A929&lt;VLOOKUP(J$5,NFI,5,0),1,0)*Table_NFI[[#This Row],[Sanitary Kit]],Table_NFI[Sanitary Kit])</f>
        <v>0</v>
      </c>
      <c r="AB929" s="378">
        <f>IF(NFI_Expiration=1,IF($A929&lt;VLOOKUP(K$5,NFI,5,0),1,0)*Table_NFI[[#This Row],[Mosquito net]],Table_NFI[Mosquito net])</f>
        <v>0</v>
      </c>
      <c r="AC929" s="378">
        <f>IF(NFI_Expiration=1,IF($A929&lt;VLOOKUP(L$5,NFI,5,0),1,0)*Table_NFI[[#This Row],[Tarpaulin]],Table_NFI[[#This Row],[Tarpaulin]])</f>
        <v>0</v>
      </c>
      <c r="AD929" s="378">
        <f>IF(NFI_Expiration=1,IF($A929&lt;VLOOKUP(M$5,NFI,5,0),1,0)*Table_NFI[[#This Row],[Blanket]],Table_NFI[[#This Row],[Blanket]])</f>
        <v>0</v>
      </c>
      <c r="AE929" s="378">
        <f>IF(NFI_Expiration=1,IF($A929&lt;VLOOKUP(N$5,NFI,5,0),1,0)*Table_NFI[[#This Row],[Kitchen Set]],Table_NFI[Kitchen Set])</f>
        <v>0</v>
      </c>
      <c r="AF929" s="378">
        <f>IF(NFI_Expiration=1,IF($A929&lt;VLOOKUP(O$5,NFI,5,0),1,0)*Table_NFI[[#This Row],[Clothes Kit]],Table_NFI[Clothes Kit])</f>
        <v>0</v>
      </c>
      <c r="AG929" s="378">
        <f>IF(NFI_Expiration=1,IF($A929&lt;VLOOKUP(P$5,NFI,5,0),1,0)*Table_NFI[[#This Row],[Plastic Bucket]],Table_NFI[Plastic Bucket])</f>
        <v>0</v>
      </c>
      <c r="AH929" s="378">
        <f>IF(NFI_Expiration=1,IF($A929&lt;VLOOKUP(Q$5,NFI,5,0),1,0)*Table_NFI[[#This Row],[Plastic Mat]],Table_NFI[Plastic Mat])*IF(Table_NFI[[#This Row],[Distribution Date]]&gt;"2014-04-01",1,2.5)</f>
        <v>0</v>
      </c>
      <c r="AI929" s="378">
        <f>IF(NFI_Expiration=1,IF($A929&lt;VLOOKUP(R$5,NFI,5,0),1,0)*Table_NFI[[#This Row],[Winter Clothes Adult]],Table_NFI[Winter Clothes Adult])</f>
        <v>0</v>
      </c>
      <c r="AJ929" s="378">
        <f>IF(NFI_Expiration=1,IF($A929&lt;VLOOKUP(S$5,NFI,5,0),1,0)*Table_NFI[[#This Row],[Winter Clothes Children]],Table_NFI[Winter Clothes Children])</f>
        <v>0</v>
      </c>
      <c r="AK929" s="378">
        <f>IF(NFI_Expiration=1,IF($A929&lt;VLOOKUP(T$5,NFI,5,0),1,0)*Table_NFI[[#This Row],[Winter Items Other]],Table_NFI[Winter Items Other])</f>
        <v>0</v>
      </c>
      <c r="AL929" s="378">
        <f>IF(NFI_Expiration=1,IF($A929&lt;VLOOKUP(M$5,NFI,5,0),1,0)*Table_NFI[[#This Row],[Winter Blanket]],Table_NFI[[#This Row],[Winter Blanket]])</f>
        <v>0</v>
      </c>
      <c r="AM929" s="378">
        <f>IF(Table_NFI[[#This Row],[Winter Clothes Adult]]+Table_NFI[[#This Row],[Winter Clothes Children]]+Table_NFI[[#This Row],[Winter Items Other]]+Table_NFI[[#This Row],[Winter Blanket]]&gt;0,1,0)</f>
        <v>0</v>
      </c>
      <c r="AN929" s="418">
        <f>IF(NFI_Expiration=1,IF($A929&lt;VLOOKUP(V$5,NFI,5,0),1,0)*Table_NFI[[#This Row],[Jerry Can]],Table_NFI[Jerry Can])</f>
        <v>0</v>
      </c>
      <c r="AO929" s="579" t="str">
        <f>IFERROR(VLOOKUP(Table_NFI[[#This Row],[Camp Name]],CL,2,0),"")</f>
        <v/>
      </c>
      <c r="AP929" s="574" t="str">
        <f ca="1">IF(Table_NFI[[#This Row],[Pcode]]="","",IF(OFFSET(CampList[Opening Date],MATCH(Table_NFI[[#This Row],[Pcode]],CampList[CP_Pcode],0)-1,0,1,1)&gt;=NFI_Monitor_Date,1,0))</f>
        <v/>
      </c>
      <c r="AQ929" s="579" t="str">
        <f>IFERROR(VLOOKUP(Table_NFI[[#This Row],[Camp Name]],CL,3,0),"")</f>
        <v/>
      </c>
      <c r="AR929" s="378" t="str">
        <f ca="1">IF(Table_NFI[[#This Row],[Pcode]]="","",OFFSET(CampList[Priority],MATCH(Table_NFI[[#This Row],[Pcode]],CampList[CP_Pcode],0)-1,0,1,1))</f>
        <v/>
      </c>
      <c r="AS929" s="377" t="str">
        <f>IFERROR(Table_NFI[[#This Row],[Kitchen Set]]/VLOOKUP(Table_NFI[[#This Row],[Camp Name]],CL,4,0),"")</f>
        <v/>
      </c>
      <c r="AT929" s="572" t="s">
        <v>1095</v>
      </c>
      <c r="AU929" s="580" t="s">
        <v>1330</v>
      </c>
    </row>
    <row r="930" spans="1:47" s="585" customFormat="1" ht="15.75" customHeight="1" x14ac:dyDescent="0.25">
      <c r="A930" s="381">
        <f t="shared" si="14"/>
        <v>22.233333333333334</v>
      </c>
      <c r="B930" s="571">
        <v>41855</v>
      </c>
      <c r="C930" s="572" t="s">
        <v>454</v>
      </c>
      <c r="D930" s="572"/>
      <c r="E930" s="572" t="s">
        <v>380</v>
      </c>
      <c r="F930" s="572" t="s">
        <v>5</v>
      </c>
      <c r="G930" s="572"/>
      <c r="H930" s="375"/>
      <c r="I930" s="375"/>
      <c r="J930" s="375"/>
      <c r="K930" s="375"/>
      <c r="L930" s="376">
        <v>5</v>
      </c>
      <c r="M930" s="376"/>
      <c r="N930" s="376"/>
      <c r="O930" s="376"/>
      <c r="P930" s="378"/>
      <c r="Q930" s="378"/>
      <c r="R930" s="378"/>
      <c r="S930" s="378"/>
      <c r="T930" s="378"/>
      <c r="U930" s="378"/>
      <c r="V930" s="533"/>
      <c r="W930" s="418"/>
      <c r="X930" s="418"/>
      <c r="Y930" s="378">
        <f>IF(NFI_Expiration=1,IF($A930&lt;VLOOKUP(H$5,NFI,5,0),1,0)*Table_NFI[[#This Row],[Hygiene Kit]],Table_NFI[Hygiene Kit])</f>
        <v>0</v>
      </c>
      <c r="Z930" s="378">
        <f>IF(NFI_Expiration=1,IF($A930&lt;VLOOKUP(I$5,NFI,5,0),1,0)*Table_NFI[[#This Row],[NFI Core Kit]],Table_NFI[NFI Core Kit])</f>
        <v>0</v>
      </c>
      <c r="AA930" s="378">
        <f>IF(NFI_Expiration=1,IF($A930&lt;VLOOKUP(J$5,NFI,5,0),1,0)*Table_NFI[[#This Row],[Sanitary Kit]],Table_NFI[Sanitary Kit])</f>
        <v>0</v>
      </c>
      <c r="AB930" s="378">
        <f>IF(NFI_Expiration=1,IF($A930&lt;VLOOKUP(K$5,NFI,5,0),1,0)*Table_NFI[[#This Row],[Mosquito net]],Table_NFI[Mosquito net])</f>
        <v>0</v>
      </c>
      <c r="AC930" s="378">
        <f>IF(NFI_Expiration=1,IF($A930&lt;VLOOKUP(L$5,NFI,5,0),1,0)*Table_NFI[[#This Row],[Tarpaulin]],Table_NFI[[#This Row],[Tarpaulin]])</f>
        <v>0</v>
      </c>
      <c r="AD930" s="378">
        <f>IF(NFI_Expiration=1,IF($A930&lt;VLOOKUP(M$5,NFI,5,0),1,0)*Table_NFI[[#This Row],[Blanket]],Table_NFI[[#This Row],[Blanket]])</f>
        <v>0</v>
      </c>
      <c r="AE930" s="378">
        <f>IF(NFI_Expiration=1,IF($A930&lt;VLOOKUP(N$5,NFI,5,0),1,0)*Table_NFI[[#This Row],[Kitchen Set]],Table_NFI[Kitchen Set])</f>
        <v>0</v>
      </c>
      <c r="AF930" s="378">
        <f>IF(NFI_Expiration=1,IF($A930&lt;VLOOKUP(O$5,NFI,5,0),1,0)*Table_NFI[[#This Row],[Clothes Kit]],Table_NFI[Clothes Kit])</f>
        <v>0</v>
      </c>
      <c r="AG930" s="378">
        <f>IF(NFI_Expiration=1,IF($A930&lt;VLOOKUP(P$5,NFI,5,0),1,0)*Table_NFI[[#This Row],[Plastic Bucket]],Table_NFI[Plastic Bucket])</f>
        <v>0</v>
      </c>
      <c r="AH930" s="378">
        <f>IF(NFI_Expiration=1,IF($A930&lt;VLOOKUP(Q$5,NFI,5,0),1,0)*Table_NFI[[#This Row],[Plastic Mat]],Table_NFI[Plastic Mat])*IF(Table_NFI[[#This Row],[Distribution Date]]&gt;"2014-04-01",1,2.5)</f>
        <v>0</v>
      </c>
      <c r="AI930" s="378">
        <f>IF(NFI_Expiration=1,IF($A930&lt;VLOOKUP(R$5,NFI,5,0),1,0)*Table_NFI[[#This Row],[Winter Clothes Adult]],Table_NFI[Winter Clothes Adult])</f>
        <v>0</v>
      </c>
      <c r="AJ930" s="378">
        <f>IF(NFI_Expiration=1,IF($A930&lt;VLOOKUP(S$5,NFI,5,0),1,0)*Table_NFI[[#This Row],[Winter Clothes Children]],Table_NFI[Winter Clothes Children])</f>
        <v>0</v>
      </c>
      <c r="AK930" s="378">
        <f>IF(NFI_Expiration=1,IF($A930&lt;VLOOKUP(T$5,NFI,5,0),1,0)*Table_NFI[[#This Row],[Winter Items Other]],Table_NFI[Winter Items Other])</f>
        <v>0</v>
      </c>
      <c r="AL930" s="378">
        <f>IF(NFI_Expiration=1,IF($A930&lt;VLOOKUP(M$5,NFI,5,0),1,0)*Table_NFI[[#This Row],[Winter Blanket]],Table_NFI[[#This Row],[Winter Blanket]])</f>
        <v>0</v>
      </c>
      <c r="AM930" s="378">
        <f>IF(Table_NFI[[#This Row],[Winter Clothes Adult]]+Table_NFI[[#This Row],[Winter Clothes Children]]+Table_NFI[[#This Row],[Winter Items Other]]+Table_NFI[[#This Row],[Winter Blanket]]&gt;0,1,0)</f>
        <v>0</v>
      </c>
      <c r="AN930" s="418">
        <f>IF(NFI_Expiration=1,IF($A930&lt;VLOOKUP(V$5,NFI,5,0),1,0)*Table_NFI[[#This Row],[Jerry Can]],Table_NFI[Jerry Can])</f>
        <v>0</v>
      </c>
      <c r="AO930" s="579" t="str">
        <f>IFERROR(VLOOKUP(Table_NFI[[#This Row],[Camp Name]],CL,2,0),"")</f>
        <v/>
      </c>
      <c r="AP930" s="574" t="str">
        <f ca="1">IF(Table_NFI[[#This Row],[Pcode]]="","",IF(OFFSET(CampList[Opening Date],MATCH(Table_NFI[[#This Row],[Pcode]],CampList[CP_Pcode],0)-1,0,1,1)&gt;=NFI_Monitor_Date,1,0))</f>
        <v/>
      </c>
      <c r="AQ930" s="579" t="str">
        <f>IFERROR(VLOOKUP(Table_NFI[[#This Row],[Camp Name]],CL,3,0),"")</f>
        <v/>
      </c>
      <c r="AR930" s="378" t="str">
        <f ca="1">IF(Table_NFI[[#This Row],[Pcode]]="","",OFFSET(CampList[Priority],MATCH(Table_NFI[[#This Row],[Pcode]],CampList[CP_Pcode],0)-1,0,1,1))</f>
        <v/>
      </c>
      <c r="AS930" s="377" t="str">
        <f>IFERROR(Table_NFI[[#This Row],[Kitchen Set]]/VLOOKUP(Table_NFI[[#This Row],[Camp Name]],CL,4,0),"")</f>
        <v/>
      </c>
      <c r="AT930" s="572"/>
      <c r="AU930" s="575"/>
    </row>
    <row r="931" spans="1:47" s="585" customFormat="1" ht="15.75" customHeight="1" x14ac:dyDescent="0.25">
      <c r="A931" s="381">
        <f t="shared" si="14"/>
        <v>30.966666666666665</v>
      </c>
      <c r="B931" s="571">
        <v>41593</v>
      </c>
      <c r="C931" s="572" t="s">
        <v>454</v>
      </c>
      <c r="D931" s="572" t="s">
        <v>575</v>
      </c>
      <c r="E931" s="572" t="s">
        <v>380</v>
      </c>
      <c r="F931" s="374" t="s">
        <v>5</v>
      </c>
      <c r="G931" s="374"/>
      <c r="H931" s="375"/>
      <c r="I931" s="375"/>
      <c r="J931" s="375"/>
      <c r="K931" s="375"/>
      <c r="L931" s="376">
        <v>12</v>
      </c>
      <c r="M931" s="376"/>
      <c r="N931" s="376"/>
      <c r="O931" s="376"/>
      <c r="P931" s="378"/>
      <c r="Q931" s="378"/>
      <c r="R931" s="378"/>
      <c r="S931" s="378"/>
      <c r="T931" s="378"/>
      <c r="U931" s="378"/>
      <c r="V931" s="533"/>
      <c r="W931" s="418"/>
      <c r="X931" s="418"/>
      <c r="Y931" s="378">
        <f>IF(NFI_Expiration=1,IF($A931&lt;VLOOKUP(H$5,NFI,5,0),1,0)*Table_NFI[[#This Row],[Hygiene Kit]],Table_NFI[Hygiene Kit])</f>
        <v>0</v>
      </c>
      <c r="Z931" s="378">
        <f>IF(NFI_Expiration=1,IF($A931&lt;VLOOKUP(I$5,NFI,5,0),1,0)*Table_NFI[[#This Row],[NFI Core Kit]],Table_NFI[NFI Core Kit])</f>
        <v>0</v>
      </c>
      <c r="AA931" s="378">
        <f>IF(NFI_Expiration=1,IF($A931&lt;VLOOKUP(J$5,NFI,5,0),1,0)*Table_NFI[[#This Row],[Sanitary Kit]],Table_NFI[Sanitary Kit])</f>
        <v>0</v>
      </c>
      <c r="AB931" s="378">
        <f>IF(NFI_Expiration=1,IF($A931&lt;VLOOKUP(K$5,NFI,5,0),1,0)*Table_NFI[[#This Row],[Mosquito net]],Table_NFI[Mosquito net])</f>
        <v>0</v>
      </c>
      <c r="AC931" s="378">
        <f>IF(NFI_Expiration=1,IF($A931&lt;VLOOKUP(L$5,NFI,5,0),1,0)*Table_NFI[[#This Row],[Tarpaulin]],Table_NFI[[#This Row],[Tarpaulin]])</f>
        <v>0</v>
      </c>
      <c r="AD931" s="378">
        <f>IF(NFI_Expiration=1,IF($A931&lt;VLOOKUP(M$5,NFI,5,0),1,0)*Table_NFI[[#This Row],[Blanket]],Table_NFI[[#This Row],[Blanket]])</f>
        <v>0</v>
      </c>
      <c r="AE931" s="378">
        <f>IF(NFI_Expiration=1,IF($A931&lt;VLOOKUP(N$5,NFI,5,0),1,0)*Table_NFI[[#This Row],[Kitchen Set]],Table_NFI[Kitchen Set])</f>
        <v>0</v>
      </c>
      <c r="AF931" s="378">
        <f>IF(NFI_Expiration=1,IF($A931&lt;VLOOKUP(O$5,NFI,5,0),1,0)*Table_NFI[[#This Row],[Clothes Kit]],Table_NFI[Clothes Kit])</f>
        <v>0</v>
      </c>
      <c r="AG931" s="378">
        <f>IF(NFI_Expiration=1,IF($A931&lt;VLOOKUP(P$5,NFI,5,0),1,0)*Table_NFI[[#This Row],[Plastic Bucket]],Table_NFI[Plastic Bucket])</f>
        <v>0</v>
      </c>
      <c r="AH931" s="378">
        <f>IF(NFI_Expiration=1,IF($A931&lt;VLOOKUP(Q$5,NFI,5,0),1,0)*Table_NFI[[#This Row],[Plastic Mat]],Table_NFI[Plastic Mat])*IF(Table_NFI[[#This Row],[Distribution Date]]&gt;"2014-04-01",1,2.5)</f>
        <v>0</v>
      </c>
      <c r="AI931" s="378">
        <f>IF(NFI_Expiration=1,IF($A931&lt;VLOOKUP(R$5,NFI,5,0),1,0)*Table_NFI[[#This Row],[Winter Clothes Adult]],Table_NFI[Winter Clothes Adult])</f>
        <v>0</v>
      </c>
      <c r="AJ931" s="378">
        <f>IF(NFI_Expiration=1,IF($A931&lt;VLOOKUP(S$5,NFI,5,0),1,0)*Table_NFI[[#This Row],[Winter Clothes Children]],Table_NFI[Winter Clothes Children])</f>
        <v>0</v>
      </c>
      <c r="AK931" s="378">
        <f>IF(NFI_Expiration=1,IF($A931&lt;VLOOKUP(T$5,NFI,5,0),1,0)*Table_NFI[[#This Row],[Winter Items Other]],Table_NFI[Winter Items Other])</f>
        <v>0</v>
      </c>
      <c r="AL931" s="378">
        <f>IF(NFI_Expiration=1,IF($A931&lt;VLOOKUP(M$5,NFI,5,0),1,0)*Table_NFI[[#This Row],[Winter Blanket]],Table_NFI[[#This Row],[Winter Blanket]])</f>
        <v>0</v>
      </c>
      <c r="AM931" s="378">
        <f>IF(Table_NFI[[#This Row],[Winter Clothes Adult]]+Table_NFI[[#This Row],[Winter Clothes Children]]+Table_NFI[[#This Row],[Winter Items Other]]+Table_NFI[[#This Row],[Winter Blanket]]&gt;0,1,0)</f>
        <v>0</v>
      </c>
      <c r="AN931" s="418">
        <f>IF(NFI_Expiration=1,IF($A931&lt;VLOOKUP(V$5,NFI,5,0),1,0)*Table_NFI[[#This Row],[Jerry Can]],Table_NFI[Jerry Can])</f>
        <v>0</v>
      </c>
      <c r="AO931" s="579" t="str">
        <f>IFERROR(VLOOKUP(Table_NFI[[#This Row],[Camp Name]],CL,2,0),"")</f>
        <v/>
      </c>
      <c r="AP931" s="574" t="str">
        <f ca="1">IF(Table_NFI[[#This Row],[Pcode]]="","",IF(OFFSET(CampList[Opening Date],MATCH(Table_NFI[[#This Row],[Pcode]],CampList[CP_Pcode],0)-1,0,1,1)&gt;=NFI_Monitor_Date,1,0))</f>
        <v/>
      </c>
      <c r="AQ931" s="579" t="str">
        <f>IFERROR(VLOOKUP(Table_NFI[[#This Row],[Camp Name]],CL,3,0),"")</f>
        <v/>
      </c>
      <c r="AR931" s="378" t="str">
        <f ca="1">IF(Table_NFI[[#This Row],[Pcode]]="","",OFFSET(CampList[Priority],MATCH(Table_NFI[[#This Row],[Pcode]],CampList[CP_Pcode],0)-1,0,1,1))</f>
        <v/>
      </c>
      <c r="AS931" s="377" t="str">
        <f>IFERROR(Table_NFI[[#This Row],[Kitchen Set]]/VLOOKUP(Table_NFI[[#This Row],[Camp Name]],CL,4,0),"")</f>
        <v/>
      </c>
      <c r="AT931" s="572" t="s">
        <v>1095</v>
      </c>
      <c r="AU931" s="575"/>
    </row>
    <row r="932" spans="1:47" s="585" customFormat="1" ht="15.75" customHeight="1" x14ac:dyDescent="0.25">
      <c r="A932" s="381" t="str">
        <f t="shared" si="14"/>
        <v/>
      </c>
      <c r="B932" s="571"/>
      <c r="C932" s="577"/>
      <c r="D932" s="577"/>
      <c r="E932" s="577"/>
      <c r="F932" s="577"/>
      <c r="G932" s="577"/>
      <c r="H932" s="376"/>
      <c r="I932" s="376"/>
      <c r="J932" s="376"/>
      <c r="K932" s="376"/>
      <c r="L932" s="376"/>
      <c r="M932" s="376"/>
      <c r="N932" s="376"/>
      <c r="O932" s="376"/>
      <c r="P932" s="378"/>
      <c r="Q932" s="378"/>
      <c r="R932" s="378"/>
      <c r="S932" s="378"/>
      <c r="T932" s="378"/>
      <c r="U932" s="378"/>
      <c r="V932" s="533"/>
      <c r="W932" s="418"/>
      <c r="X932" s="418"/>
      <c r="Y932" s="378">
        <f>IF(NFI_Expiration=1,IF($A932&lt;VLOOKUP(H$5,NFI,5,0),1,0)*Table_NFI[[#This Row],[Hygiene Kit]],Table_NFI[Hygiene Kit])</f>
        <v>0</v>
      </c>
      <c r="Z932" s="378">
        <f>IF(NFI_Expiration=1,IF($A932&lt;VLOOKUP(I$5,NFI,5,0),1,0)*Table_NFI[[#This Row],[NFI Core Kit]],Table_NFI[NFI Core Kit])</f>
        <v>0</v>
      </c>
      <c r="AA932" s="378">
        <f>IF(NFI_Expiration=1,IF($A932&lt;VLOOKUP(J$5,NFI,5,0),1,0)*Table_NFI[[#This Row],[Sanitary Kit]],Table_NFI[Sanitary Kit])</f>
        <v>0</v>
      </c>
      <c r="AB932" s="378">
        <f>IF(NFI_Expiration=1,IF($A932&lt;VLOOKUP(K$5,NFI,5,0),1,0)*Table_NFI[[#This Row],[Mosquito net]],Table_NFI[Mosquito net])</f>
        <v>0</v>
      </c>
      <c r="AC932" s="378">
        <f>IF(NFI_Expiration=1,IF($A932&lt;VLOOKUP(L$5,NFI,5,0),1,0)*Table_NFI[[#This Row],[Tarpaulin]],Table_NFI[[#This Row],[Tarpaulin]])</f>
        <v>0</v>
      </c>
      <c r="AD932" s="378">
        <f>IF(NFI_Expiration=1,IF($A932&lt;VLOOKUP(M$5,NFI,5,0),1,0)*Table_NFI[[#This Row],[Blanket]],Table_NFI[[#This Row],[Blanket]])</f>
        <v>0</v>
      </c>
      <c r="AE932" s="378">
        <f>IF(NFI_Expiration=1,IF($A932&lt;VLOOKUP(N$5,NFI,5,0),1,0)*Table_NFI[[#This Row],[Kitchen Set]],Table_NFI[Kitchen Set])</f>
        <v>0</v>
      </c>
      <c r="AF932" s="378">
        <f>IF(NFI_Expiration=1,IF($A932&lt;VLOOKUP(O$5,NFI,5,0),1,0)*Table_NFI[[#This Row],[Clothes Kit]],Table_NFI[Clothes Kit])</f>
        <v>0</v>
      </c>
      <c r="AG932" s="378">
        <f>IF(NFI_Expiration=1,IF($A932&lt;VLOOKUP(P$5,NFI,5,0),1,0)*Table_NFI[[#This Row],[Plastic Bucket]],Table_NFI[Plastic Bucket])</f>
        <v>0</v>
      </c>
      <c r="AH932" s="378">
        <f>IF(NFI_Expiration=1,IF($A932&lt;VLOOKUP(Q$5,NFI,5,0),1,0)*Table_NFI[[#This Row],[Plastic Mat]],Table_NFI[Plastic Mat])*IF(Table_NFI[[#This Row],[Distribution Date]]&gt;"2014-04-01",1,2.5)</f>
        <v>0</v>
      </c>
      <c r="AI932" s="378">
        <f>IF(NFI_Expiration=1,IF($A932&lt;VLOOKUP(R$5,NFI,5,0),1,0)*Table_NFI[[#This Row],[Winter Clothes Adult]],Table_NFI[Winter Clothes Adult])</f>
        <v>0</v>
      </c>
      <c r="AJ932" s="378">
        <f>IF(NFI_Expiration=1,IF($A932&lt;VLOOKUP(S$5,NFI,5,0),1,0)*Table_NFI[[#This Row],[Winter Clothes Children]],Table_NFI[Winter Clothes Children])</f>
        <v>0</v>
      </c>
      <c r="AK932" s="378">
        <f>IF(NFI_Expiration=1,IF($A932&lt;VLOOKUP(T$5,NFI,5,0),1,0)*Table_NFI[[#This Row],[Winter Items Other]],Table_NFI[Winter Items Other])</f>
        <v>0</v>
      </c>
      <c r="AL932" s="378">
        <f>IF(NFI_Expiration=1,IF($A932&lt;VLOOKUP(M$5,NFI,5,0),1,0)*Table_NFI[[#This Row],[Winter Blanket]],Table_NFI[[#This Row],[Winter Blanket]])</f>
        <v>0</v>
      </c>
      <c r="AM932" s="378">
        <f>IF(Table_NFI[[#This Row],[Winter Clothes Adult]]+Table_NFI[[#This Row],[Winter Clothes Children]]+Table_NFI[[#This Row],[Winter Items Other]]+Table_NFI[[#This Row],[Winter Blanket]]&gt;0,1,0)</f>
        <v>0</v>
      </c>
      <c r="AN932" s="418">
        <f>IF(NFI_Expiration=1,IF($A932&lt;VLOOKUP(V$5,NFI,5,0),1,0)*Table_NFI[[#This Row],[Jerry Can]],Table_NFI[Jerry Can])</f>
        <v>0</v>
      </c>
      <c r="AO932" s="579" t="str">
        <f>IFERROR(VLOOKUP(Table_NFI[[#This Row],[Camp Name]],CL,2,0),"")</f>
        <v/>
      </c>
      <c r="AP932" s="574" t="str">
        <f ca="1">IF(Table_NFI[[#This Row],[Pcode]]="","",IF(OFFSET(CampList[Opening Date],MATCH(Table_NFI[[#This Row],[Pcode]],CampList[CP_Pcode],0)-1,0,1,1)&gt;=NFI_Monitor_Date,1,0))</f>
        <v/>
      </c>
      <c r="AQ932" s="579" t="str">
        <f>IFERROR(VLOOKUP(Table_NFI[[#This Row],[Camp Name]],CL,3,0),"")</f>
        <v/>
      </c>
      <c r="AR932" s="378" t="str">
        <f ca="1">IF(Table_NFI[[#This Row],[Pcode]]="","",OFFSET(CampList[Priority],MATCH(Table_NFI[[#This Row],[Pcode]],CampList[CP_Pcode],0)-1,0,1,1))</f>
        <v/>
      </c>
      <c r="AS932" s="377" t="str">
        <f>IFERROR(Table_NFI[[#This Row],[Kitchen Set]]/VLOOKUP(Table_NFI[[#This Row],[Camp Name]],CL,4,0),"")</f>
        <v/>
      </c>
      <c r="AT932" s="572" t="s">
        <v>1095</v>
      </c>
      <c r="AU932" s="580"/>
    </row>
    <row r="933" spans="1:47" s="585" customFormat="1" ht="15.75" customHeight="1" x14ac:dyDescent="0.25">
      <c r="A933" s="381" t="str">
        <f t="shared" si="14"/>
        <v/>
      </c>
      <c r="B933" s="571"/>
      <c r="C933" s="577"/>
      <c r="D933" s="577"/>
      <c r="E933" s="577"/>
      <c r="F933" s="577"/>
      <c r="G933" s="577"/>
      <c r="H933" s="376"/>
      <c r="I933" s="376"/>
      <c r="J933" s="376"/>
      <c r="K933" s="376"/>
      <c r="L933" s="376"/>
      <c r="M933" s="376"/>
      <c r="N933" s="376"/>
      <c r="O933" s="376"/>
      <c r="P933" s="378"/>
      <c r="Q933" s="378"/>
      <c r="R933" s="378"/>
      <c r="S933" s="378"/>
      <c r="T933" s="378"/>
      <c r="U933" s="378"/>
      <c r="V933" s="533"/>
      <c r="W933" s="418"/>
      <c r="X933" s="418"/>
      <c r="Y933" s="378">
        <f>IF(NFI_Expiration=1,IF($A933&lt;VLOOKUP(H$5,NFI,5,0),1,0)*Table_NFI[[#This Row],[Hygiene Kit]],Table_NFI[Hygiene Kit])</f>
        <v>0</v>
      </c>
      <c r="Z933" s="378">
        <f>IF(NFI_Expiration=1,IF($A933&lt;VLOOKUP(I$5,NFI,5,0),1,0)*Table_NFI[[#This Row],[NFI Core Kit]],Table_NFI[NFI Core Kit])</f>
        <v>0</v>
      </c>
      <c r="AA933" s="378">
        <f>IF(NFI_Expiration=1,IF($A933&lt;VLOOKUP(J$5,NFI,5,0),1,0)*Table_NFI[[#This Row],[Sanitary Kit]],Table_NFI[Sanitary Kit])</f>
        <v>0</v>
      </c>
      <c r="AB933" s="378">
        <f>IF(NFI_Expiration=1,IF($A933&lt;VLOOKUP(K$5,NFI,5,0),1,0)*Table_NFI[[#This Row],[Mosquito net]],Table_NFI[Mosquito net])</f>
        <v>0</v>
      </c>
      <c r="AC933" s="378">
        <f>IF(NFI_Expiration=1,IF($A933&lt;VLOOKUP(L$5,NFI,5,0),1,0)*Table_NFI[[#This Row],[Tarpaulin]],Table_NFI[[#This Row],[Tarpaulin]])</f>
        <v>0</v>
      </c>
      <c r="AD933" s="378">
        <f>IF(NFI_Expiration=1,IF($A933&lt;VLOOKUP(M$5,NFI,5,0),1,0)*Table_NFI[[#This Row],[Blanket]],Table_NFI[[#This Row],[Blanket]])</f>
        <v>0</v>
      </c>
      <c r="AE933" s="378">
        <f>IF(NFI_Expiration=1,IF($A933&lt;VLOOKUP(N$5,NFI,5,0),1,0)*Table_NFI[[#This Row],[Kitchen Set]],Table_NFI[Kitchen Set])</f>
        <v>0</v>
      </c>
      <c r="AF933" s="378">
        <f>IF(NFI_Expiration=1,IF($A933&lt;VLOOKUP(O$5,NFI,5,0),1,0)*Table_NFI[[#This Row],[Clothes Kit]],Table_NFI[Clothes Kit])</f>
        <v>0</v>
      </c>
      <c r="AG933" s="378">
        <f>IF(NFI_Expiration=1,IF($A933&lt;VLOOKUP(P$5,NFI,5,0),1,0)*Table_NFI[[#This Row],[Plastic Bucket]],Table_NFI[Plastic Bucket])</f>
        <v>0</v>
      </c>
      <c r="AH933" s="378">
        <f>IF(NFI_Expiration=1,IF($A933&lt;VLOOKUP(Q$5,NFI,5,0),1,0)*Table_NFI[[#This Row],[Plastic Mat]],Table_NFI[Plastic Mat])*IF(Table_NFI[[#This Row],[Distribution Date]]&gt;"2014-04-01",1,2.5)</f>
        <v>0</v>
      </c>
      <c r="AI933" s="378">
        <f>IF(NFI_Expiration=1,IF($A933&lt;VLOOKUP(R$5,NFI,5,0),1,0)*Table_NFI[[#This Row],[Winter Clothes Adult]],Table_NFI[Winter Clothes Adult])</f>
        <v>0</v>
      </c>
      <c r="AJ933" s="378">
        <f>IF(NFI_Expiration=1,IF($A933&lt;VLOOKUP(S$5,NFI,5,0),1,0)*Table_NFI[[#This Row],[Winter Clothes Children]],Table_NFI[Winter Clothes Children])</f>
        <v>0</v>
      </c>
      <c r="AK933" s="378">
        <f>IF(NFI_Expiration=1,IF($A933&lt;VLOOKUP(T$5,NFI,5,0),1,0)*Table_NFI[[#This Row],[Winter Items Other]],Table_NFI[Winter Items Other])</f>
        <v>0</v>
      </c>
      <c r="AL933" s="378">
        <f>IF(NFI_Expiration=1,IF($A933&lt;VLOOKUP(M$5,NFI,5,0),1,0)*Table_NFI[[#This Row],[Winter Blanket]],Table_NFI[[#This Row],[Winter Blanket]])</f>
        <v>0</v>
      </c>
      <c r="AM933" s="378">
        <f>IF(Table_NFI[[#This Row],[Winter Clothes Adult]]+Table_NFI[[#This Row],[Winter Clothes Children]]+Table_NFI[[#This Row],[Winter Items Other]]+Table_NFI[[#This Row],[Winter Blanket]]&gt;0,1,0)</f>
        <v>0</v>
      </c>
      <c r="AN933" s="418">
        <f>IF(NFI_Expiration=1,IF($A933&lt;VLOOKUP(V$5,NFI,5,0),1,0)*Table_NFI[[#This Row],[Jerry Can]],Table_NFI[Jerry Can])</f>
        <v>0</v>
      </c>
      <c r="AO933" s="579" t="str">
        <f>IFERROR(VLOOKUP(Table_NFI[[#This Row],[Camp Name]],CL,2,0),"")</f>
        <v/>
      </c>
      <c r="AP933" s="574" t="str">
        <f ca="1">IF(Table_NFI[[#This Row],[Pcode]]="","",IF(OFFSET(CampList[Opening Date],MATCH(Table_NFI[[#This Row],[Pcode]],CampList[CP_Pcode],0)-1,0,1,1)&gt;=NFI_Monitor_Date,1,0))</f>
        <v/>
      </c>
      <c r="AQ933" s="579" t="str">
        <f>IFERROR(VLOOKUP(Table_NFI[[#This Row],[Camp Name]],CL,3,0),"")</f>
        <v/>
      </c>
      <c r="AR933" s="378" t="str">
        <f ca="1">IF(Table_NFI[[#This Row],[Pcode]]="","",OFFSET(CampList[Priority],MATCH(Table_NFI[[#This Row],[Pcode]],CampList[CP_Pcode],0)-1,0,1,1))</f>
        <v/>
      </c>
      <c r="AS933" s="377" t="str">
        <f>IFERROR(Table_NFI[[#This Row],[Kitchen Set]]/VLOOKUP(Table_NFI[[#This Row],[Camp Name]],CL,4,0),"")</f>
        <v/>
      </c>
      <c r="AT933" s="572" t="s">
        <v>1095</v>
      </c>
      <c r="AU933" s="580"/>
    </row>
    <row r="934" spans="1:47" s="585" customFormat="1" ht="15.75" customHeight="1" x14ac:dyDescent="0.25">
      <c r="A934" s="381" t="str">
        <f t="shared" si="14"/>
        <v/>
      </c>
      <c r="B934" s="571"/>
      <c r="C934" s="577"/>
      <c r="D934" s="577"/>
      <c r="E934" s="577"/>
      <c r="F934" s="577"/>
      <c r="G934" s="577"/>
      <c r="H934" s="376"/>
      <c r="I934" s="376"/>
      <c r="J934" s="376"/>
      <c r="K934" s="376"/>
      <c r="L934" s="376"/>
      <c r="M934" s="376"/>
      <c r="N934" s="376"/>
      <c r="O934" s="376"/>
      <c r="P934" s="378"/>
      <c r="Q934" s="378"/>
      <c r="R934" s="378"/>
      <c r="S934" s="378"/>
      <c r="T934" s="378"/>
      <c r="U934" s="378"/>
      <c r="V934" s="533"/>
      <c r="W934" s="418"/>
      <c r="X934" s="418"/>
      <c r="Y934" s="378">
        <f>IF(NFI_Expiration=1,IF($A934&lt;VLOOKUP(H$5,NFI,5,0),1,0)*Table_NFI[[#This Row],[Hygiene Kit]],Table_NFI[Hygiene Kit])</f>
        <v>0</v>
      </c>
      <c r="Z934" s="378">
        <f>IF(NFI_Expiration=1,IF($A934&lt;VLOOKUP(I$5,NFI,5,0),1,0)*Table_NFI[[#This Row],[NFI Core Kit]],Table_NFI[NFI Core Kit])</f>
        <v>0</v>
      </c>
      <c r="AA934" s="378">
        <f>IF(NFI_Expiration=1,IF($A934&lt;VLOOKUP(J$5,NFI,5,0),1,0)*Table_NFI[[#This Row],[Sanitary Kit]],Table_NFI[Sanitary Kit])</f>
        <v>0</v>
      </c>
      <c r="AB934" s="378">
        <f>IF(NFI_Expiration=1,IF($A934&lt;VLOOKUP(K$5,NFI,5,0),1,0)*Table_NFI[[#This Row],[Mosquito net]],Table_NFI[Mosquito net])</f>
        <v>0</v>
      </c>
      <c r="AC934" s="378">
        <f>IF(NFI_Expiration=1,IF($A934&lt;VLOOKUP(L$5,NFI,5,0),1,0)*Table_NFI[[#This Row],[Tarpaulin]],Table_NFI[[#This Row],[Tarpaulin]])</f>
        <v>0</v>
      </c>
      <c r="AD934" s="378">
        <f>IF(NFI_Expiration=1,IF($A934&lt;VLOOKUP(M$5,NFI,5,0),1,0)*Table_NFI[[#This Row],[Blanket]],Table_NFI[[#This Row],[Blanket]])</f>
        <v>0</v>
      </c>
      <c r="AE934" s="378">
        <f>IF(NFI_Expiration=1,IF($A934&lt;VLOOKUP(N$5,NFI,5,0),1,0)*Table_NFI[[#This Row],[Kitchen Set]],Table_NFI[Kitchen Set])</f>
        <v>0</v>
      </c>
      <c r="AF934" s="378">
        <f>IF(NFI_Expiration=1,IF($A934&lt;VLOOKUP(O$5,NFI,5,0),1,0)*Table_NFI[[#This Row],[Clothes Kit]],Table_NFI[Clothes Kit])</f>
        <v>0</v>
      </c>
      <c r="AG934" s="378">
        <f>IF(NFI_Expiration=1,IF($A934&lt;VLOOKUP(P$5,NFI,5,0),1,0)*Table_NFI[[#This Row],[Plastic Bucket]],Table_NFI[Plastic Bucket])</f>
        <v>0</v>
      </c>
      <c r="AH934" s="378">
        <f>IF(NFI_Expiration=1,IF($A934&lt;VLOOKUP(Q$5,NFI,5,0),1,0)*Table_NFI[[#This Row],[Plastic Mat]],Table_NFI[Plastic Mat])*IF(Table_NFI[[#This Row],[Distribution Date]]&gt;"2014-04-01",1,2.5)</f>
        <v>0</v>
      </c>
      <c r="AI934" s="378">
        <f>IF(NFI_Expiration=1,IF($A934&lt;VLOOKUP(R$5,NFI,5,0),1,0)*Table_NFI[[#This Row],[Winter Clothes Adult]],Table_NFI[Winter Clothes Adult])</f>
        <v>0</v>
      </c>
      <c r="AJ934" s="378">
        <f>IF(NFI_Expiration=1,IF($A934&lt;VLOOKUP(S$5,NFI,5,0),1,0)*Table_NFI[[#This Row],[Winter Clothes Children]],Table_NFI[Winter Clothes Children])</f>
        <v>0</v>
      </c>
      <c r="AK934" s="378">
        <f>IF(NFI_Expiration=1,IF($A934&lt;VLOOKUP(T$5,NFI,5,0),1,0)*Table_NFI[[#This Row],[Winter Items Other]],Table_NFI[Winter Items Other])</f>
        <v>0</v>
      </c>
      <c r="AL934" s="378">
        <f>IF(NFI_Expiration=1,IF($A934&lt;VLOOKUP(M$5,NFI,5,0),1,0)*Table_NFI[[#This Row],[Winter Blanket]],Table_NFI[[#This Row],[Winter Blanket]])</f>
        <v>0</v>
      </c>
      <c r="AM934" s="378">
        <f>IF(Table_NFI[[#This Row],[Winter Clothes Adult]]+Table_NFI[[#This Row],[Winter Clothes Children]]+Table_NFI[[#This Row],[Winter Items Other]]+Table_NFI[[#This Row],[Winter Blanket]]&gt;0,1,0)</f>
        <v>0</v>
      </c>
      <c r="AN934" s="418">
        <f>IF(NFI_Expiration=1,IF($A934&lt;VLOOKUP(V$5,NFI,5,0),1,0)*Table_NFI[[#This Row],[Jerry Can]],Table_NFI[Jerry Can])</f>
        <v>0</v>
      </c>
      <c r="AO934" s="579" t="str">
        <f>IFERROR(VLOOKUP(Table_NFI[[#This Row],[Camp Name]],CL,2,0),"")</f>
        <v/>
      </c>
      <c r="AP934" s="574" t="str">
        <f ca="1">IF(Table_NFI[[#This Row],[Pcode]]="","",IF(OFFSET(CampList[Opening Date],MATCH(Table_NFI[[#This Row],[Pcode]],CampList[CP_Pcode],0)-1,0,1,1)&gt;=NFI_Monitor_Date,1,0))</f>
        <v/>
      </c>
      <c r="AQ934" s="579" t="str">
        <f>IFERROR(VLOOKUP(Table_NFI[[#This Row],[Camp Name]],CL,3,0),"")</f>
        <v/>
      </c>
      <c r="AR934" s="378" t="str">
        <f ca="1">IF(Table_NFI[[#This Row],[Pcode]]="","",OFFSET(CampList[Priority],MATCH(Table_NFI[[#This Row],[Pcode]],CampList[CP_Pcode],0)-1,0,1,1))</f>
        <v/>
      </c>
      <c r="AS934" s="377" t="str">
        <f>IFERROR(Table_NFI[[#This Row],[Kitchen Set]]/VLOOKUP(Table_NFI[[#This Row],[Camp Name]],CL,4,0),"")</f>
        <v/>
      </c>
      <c r="AT934" s="572" t="s">
        <v>1095</v>
      </c>
      <c r="AU934" s="580"/>
    </row>
    <row r="935" spans="1:47" s="585" customFormat="1" ht="15.75" customHeight="1" x14ac:dyDescent="0.25">
      <c r="A935" s="381" t="str">
        <f t="shared" si="14"/>
        <v/>
      </c>
      <c r="B935" s="571"/>
      <c r="C935" s="577"/>
      <c r="D935" s="577"/>
      <c r="E935" s="577"/>
      <c r="F935" s="577"/>
      <c r="G935" s="577"/>
      <c r="H935" s="376"/>
      <c r="I935" s="376"/>
      <c r="J935" s="376"/>
      <c r="K935" s="376"/>
      <c r="L935" s="376"/>
      <c r="M935" s="376"/>
      <c r="N935" s="376"/>
      <c r="O935" s="376"/>
      <c r="P935" s="378"/>
      <c r="Q935" s="378"/>
      <c r="R935" s="378"/>
      <c r="S935" s="378"/>
      <c r="T935" s="378"/>
      <c r="U935" s="378"/>
      <c r="V935" s="533"/>
      <c r="W935" s="418"/>
      <c r="X935" s="418"/>
      <c r="Y935" s="378">
        <f>IF(NFI_Expiration=1,IF($A935&lt;VLOOKUP(H$5,NFI,5,0),1,0)*Table_NFI[[#This Row],[Hygiene Kit]],Table_NFI[Hygiene Kit])</f>
        <v>0</v>
      </c>
      <c r="Z935" s="378">
        <f>IF(NFI_Expiration=1,IF($A935&lt;VLOOKUP(I$5,NFI,5,0),1,0)*Table_NFI[[#This Row],[NFI Core Kit]],Table_NFI[NFI Core Kit])</f>
        <v>0</v>
      </c>
      <c r="AA935" s="378">
        <f>IF(NFI_Expiration=1,IF($A935&lt;VLOOKUP(J$5,NFI,5,0),1,0)*Table_NFI[[#This Row],[Sanitary Kit]],Table_NFI[Sanitary Kit])</f>
        <v>0</v>
      </c>
      <c r="AB935" s="378">
        <f>IF(NFI_Expiration=1,IF($A935&lt;VLOOKUP(K$5,NFI,5,0),1,0)*Table_NFI[[#This Row],[Mosquito net]],Table_NFI[Mosquito net])</f>
        <v>0</v>
      </c>
      <c r="AC935" s="378">
        <f>IF(NFI_Expiration=1,IF($A935&lt;VLOOKUP(L$5,NFI,5,0),1,0)*Table_NFI[[#This Row],[Tarpaulin]],Table_NFI[[#This Row],[Tarpaulin]])</f>
        <v>0</v>
      </c>
      <c r="AD935" s="378">
        <f>IF(NFI_Expiration=1,IF($A935&lt;VLOOKUP(M$5,NFI,5,0),1,0)*Table_NFI[[#This Row],[Blanket]],Table_NFI[[#This Row],[Blanket]])</f>
        <v>0</v>
      </c>
      <c r="AE935" s="378">
        <f>IF(NFI_Expiration=1,IF($A935&lt;VLOOKUP(N$5,NFI,5,0),1,0)*Table_NFI[[#This Row],[Kitchen Set]],Table_NFI[Kitchen Set])</f>
        <v>0</v>
      </c>
      <c r="AF935" s="378">
        <f>IF(NFI_Expiration=1,IF($A935&lt;VLOOKUP(O$5,NFI,5,0),1,0)*Table_NFI[[#This Row],[Clothes Kit]],Table_NFI[Clothes Kit])</f>
        <v>0</v>
      </c>
      <c r="AG935" s="378">
        <f>IF(NFI_Expiration=1,IF($A935&lt;VLOOKUP(P$5,NFI,5,0),1,0)*Table_NFI[[#This Row],[Plastic Bucket]],Table_NFI[Plastic Bucket])</f>
        <v>0</v>
      </c>
      <c r="AH935" s="378">
        <f>IF(NFI_Expiration=1,IF($A935&lt;VLOOKUP(Q$5,NFI,5,0),1,0)*Table_NFI[[#This Row],[Plastic Mat]],Table_NFI[Plastic Mat])*IF(Table_NFI[[#This Row],[Distribution Date]]&gt;"2014-04-01",1,2.5)</f>
        <v>0</v>
      </c>
      <c r="AI935" s="378">
        <f>IF(NFI_Expiration=1,IF($A935&lt;VLOOKUP(R$5,NFI,5,0),1,0)*Table_NFI[[#This Row],[Winter Clothes Adult]],Table_NFI[Winter Clothes Adult])</f>
        <v>0</v>
      </c>
      <c r="AJ935" s="378">
        <f>IF(NFI_Expiration=1,IF($A935&lt;VLOOKUP(S$5,NFI,5,0),1,0)*Table_NFI[[#This Row],[Winter Clothes Children]],Table_NFI[Winter Clothes Children])</f>
        <v>0</v>
      </c>
      <c r="AK935" s="378">
        <f>IF(NFI_Expiration=1,IF($A935&lt;VLOOKUP(T$5,NFI,5,0),1,0)*Table_NFI[[#This Row],[Winter Items Other]],Table_NFI[Winter Items Other])</f>
        <v>0</v>
      </c>
      <c r="AL935" s="378">
        <f>IF(NFI_Expiration=1,IF($A935&lt;VLOOKUP(M$5,NFI,5,0),1,0)*Table_NFI[[#This Row],[Winter Blanket]],Table_NFI[[#This Row],[Winter Blanket]])</f>
        <v>0</v>
      </c>
      <c r="AM935" s="378">
        <f>IF(Table_NFI[[#This Row],[Winter Clothes Adult]]+Table_NFI[[#This Row],[Winter Clothes Children]]+Table_NFI[[#This Row],[Winter Items Other]]+Table_NFI[[#This Row],[Winter Blanket]]&gt;0,1,0)</f>
        <v>0</v>
      </c>
      <c r="AN935" s="418">
        <f>IF(NFI_Expiration=1,IF($A935&lt;VLOOKUP(V$5,NFI,5,0),1,0)*Table_NFI[[#This Row],[Jerry Can]],Table_NFI[Jerry Can])</f>
        <v>0</v>
      </c>
      <c r="AO935" s="579" t="str">
        <f>IFERROR(VLOOKUP(Table_NFI[[#This Row],[Camp Name]],CL,2,0),"")</f>
        <v/>
      </c>
      <c r="AP935" s="574" t="str">
        <f ca="1">IF(Table_NFI[[#This Row],[Pcode]]="","",IF(OFFSET(CampList[Opening Date],MATCH(Table_NFI[[#This Row],[Pcode]],CampList[CP_Pcode],0)-1,0,1,1)&gt;=NFI_Monitor_Date,1,0))</f>
        <v/>
      </c>
      <c r="AQ935" s="579" t="str">
        <f>IFERROR(VLOOKUP(Table_NFI[[#This Row],[Camp Name]],CL,3,0),"")</f>
        <v/>
      </c>
      <c r="AR935" s="378" t="str">
        <f ca="1">IF(Table_NFI[[#This Row],[Pcode]]="","",OFFSET(CampList[Priority],MATCH(Table_NFI[[#This Row],[Pcode]],CampList[CP_Pcode],0)-1,0,1,1))</f>
        <v/>
      </c>
      <c r="AS935" s="377" t="str">
        <f>IFERROR(Table_NFI[[#This Row],[Kitchen Set]]/VLOOKUP(Table_NFI[[#This Row],[Camp Name]],CL,4,0),"")</f>
        <v/>
      </c>
      <c r="AT935" s="572" t="s">
        <v>1095</v>
      </c>
      <c r="AU935" s="580"/>
    </row>
    <row r="936" spans="1:47" s="585" customFormat="1" ht="15.75" customHeight="1" x14ac:dyDescent="0.25">
      <c r="A936" s="381" t="str">
        <f t="shared" si="14"/>
        <v/>
      </c>
      <c r="B936" s="571"/>
      <c r="C936" s="577"/>
      <c r="D936" s="577"/>
      <c r="E936" s="577"/>
      <c r="F936" s="577"/>
      <c r="G936" s="577"/>
      <c r="H936" s="376"/>
      <c r="I936" s="376"/>
      <c r="J936" s="376"/>
      <c r="K936" s="376"/>
      <c r="L936" s="376"/>
      <c r="M936" s="376"/>
      <c r="N936" s="376"/>
      <c r="O936" s="376"/>
      <c r="P936" s="378"/>
      <c r="Q936" s="378"/>
      <c r="R936" s="378"/>
      <c r="S936" s="378"/>
      <c r="T936" s="378"/>
      <c r="U936" s="378"/>
      <c r="V936" s="533"/>
      <c r="W936" s="418"/>
      <c r="X936" s="418"/>
      <c r="Y936" s="378">
        <f>IF(NFI_Expiration=1,IF($A936&lt;VLOOKUP(H$5,NFI,5,0),1,0)*Table_NFI[[#This Row],[Hygiene Kit]],Table_NFI[Hygiene Kit])</f>
        <v>0</v>
      </c>
      <c r="Z936" s="378">
        <f>IF(NFI_Expiration=1,IF($A936&lt;VLOOKUP(I$5,NFI,5,0),1,0)*Table_NFI[[#This Row],[NFI Core Kit]],Table_NFI[NFI Core Kit])</f>
        <v>0</v>
      </c>
      <c r="AA936" s="378">
        <f>IF(NFI_Expiration=1,IF($A936&lt;VLOOKUP(J$5,NFI,5,0),1,0)*Table_NFI[[#This Row],[Sanitary Kit]],Table_NFI[Sanitary Kit])</f>
        <v>0</v>
      </c>
      <c r="AB936" s="378">
        <f>IF(NFI_Expiration=1,IF($A936&lt;VLOOKUP(K$5,NFI,5,0),1,0)*Table_NFI[[#This Row],[Mosquito net]],Table_NFI[Mosquito net])</f>
        <v>0</v>
      </c>
      <c r="AC936" s="378">
        <f>IF(NFI_Expiration=1,IF($A936&lt;VLOOKUP(L$5,NFI,5,0),1,0)*Table_NFI[[#This Row],[Tarpaulin]],Table_NFI[[#This Row],[Tarpaulin]])</f>
        <v>0</v>
      </c>
      <c r="AD936" s="378">
        <f>IF(NFI_Expiration=1,IF($A936&lt;VLOOKUP(M$5,NFI,5,0),1,0)*Table_NFI[[#This Row],[Blanket]],Table_NFI[[#This Row],[Blanket]])</f>
        <v>0</v>
      </c>
      <c r="AE936" s="378">
        <f>IF(NFI_Expiration=1,IF($A936&lt;VLOOKUP(N$5,NFI,5,0),1,0)*Table_NFI[[#This Row],[Kitchen Set]],Table_NFI[Kitchen Set])</f>
        <v>0</v>
      </c>
      <c r="AF936" s="378">
        <f>IF(NFI_Expiration=1,IF($A936&lt;VLOOKUP(O$5,NFI,5,0),1,0)*Table_NFI[[#This Row],[Clothes Kit]],Table_NFI[Clothes Kit])</f>
        <v>0</v>
      </c>
      <c r="AG936" s="378">
        <f>IF(NFI_Expiration=1,IF($A936&lt;VLOOKUP(P$5,NFI,5,0),1,0)*Table_NFI[[#This Row],[Plastic Bucket]],Table_NFI[Plastic Bucket])</f>
        <v>0</v>
      </c>
      <c r="AH936" s="378">
        <f>IF(NFI_Expiration=1,IF($A936&lt;VLOOKUP(Q$5,NFI,5,0),1,0)*Table_NFI[[#This Row],[Plastic Mat]],Table_NFI[Plastic Mat])*IF(Table_NFI[[#This Row],[Distribution Date]]&gt;"2014-04-01",1,2.5)</f>
        <v>0</v>
      </c>
      <c r="AI936" s="378">
        <f>IF(NFI_Expiration=1,IF($A936&lt;VLOOKUP(R$5,NFI,5,0),1,0)*Table_NFI[[#This Row],[Winter Clothes Adult]],Table_NFI[Winter Clothes Adult])</f>
        <v>0</v>
      </c>
      <c r="AJ936" s="378">
        <f>IF(NFI_Expiration=1,IF($A936&lt;VLOOKUP(S$5,NFI,5,0),1,0)*Table_NFI[[#This Row],[Winter Clothes Children]],Table_NFI[Winter Clothes Children])</f>
        <v>0</v>
      </c>
      <c r="AK936" s="378">
        <f>IF(NFI_Expiration=1,IF($A936&lt;VLOOKUP(T$5,NFI,5,0),1,0)*Table_NFI[[#This Row],[Winter Items Other]],Table_NFI[Winter Items Other])</f>
        <v>0</v>
      </c>
      <c r="AL936" s="378">
        <f>IF(NFI_Expiration=1,IF($A936&lt;VLOOKUP(M$5,NFI,5,0),1,0)*Table_NFI[[#This Row],[Winter Blanket]],Table_NFI[[#This Row],[Winter Blanket]])</f>
        <v>0</v>
      </c>
      <c r="AM936" s="378">
        <f>IF(Table_NFI[[#This Row],[Winter Clothes Adult]]+Table_NFI[[#This Row],[Winter Clothes Children]]+Table_NFI[[#This Row],[Winter Items Other]]+Table_NFI[[#This Row],[Winter Blanket]]&gt;0,1,0)</f>
        <v>0</v>
      </c>
      <c r="AN936" s="418">
        <f>IF(NFI_Expiration=1,IF($A936&lt;VLOOKUP(V$5,NFI,5,0),1,0)*Table_NFI[[#This Row],[Jerry Can]],Table_NFI[Jerry Can])</f>
        <v>0</v>
      </c>
      <c r="AO936" s="579" t="str">
        <f>IFERROR(VLOOKUP(Table_NFI[[#This Row],[Camp Name]],CL,2,0),"")</f>
        <v/>
      </c>
      <c r="AP936" s="574" t="str">
        <f ca="1">IF(Table_NFI[[#This Row],[Pcode]]="","",IF(OFFSET(CampList[Opening Date],MATCH(Table_NFI[[#This Row],[Pcode]],CampList[CP_Pcode],0)-1,0,1,1)&gt;=NFI_Monitor_Date,1,0))</f>
        <v/>
      </c>
      <c r="AQ936" s="579" t="str">
        <f>IFERROR(VLOOKUP(Table_NFI[[#This Row],[Camp Name]],CL,3,0),"")</f>
        <v/>
      </c>
      <c r="AR936" s="378" t="str">
        <f ca="1">IF(Table_NFI[[#This Row],[Pcode]]="","",OFFSET(CampList[Priority],MATCH(Table_NFI[[#This Row],[Pcode]],CampList[CP_Pcode],0)-1,0,1,1))</f>
        <v/>
      </c>
      <c r="AS936" s="377" t="str">
        <f>IFERROR(Table_NFI[[#This Row],[Kitchen Set]]/VLOOKUP(Table_NFI[[#This Row],[Camp Name]],CL,4,0),"")</f>
        <v/>
      </c>
      <c r="AT936" s="572" t="s">
        <v>1095</v>
      </c>
      <c r="AU936" s="580"/>
    </row>
    <row r="937" spans="1:47" s="585" customFormat="1" ht="15.75" customHeight="1" x14ac:dyDescent="0.25">
      <c r="A937" s="381" t="str">
        <f t="shared" si="14"/>
        <v/>
      </c>
      <c r="B937" s="571"/>
      <c r="C937" s="577"/>
      <c r="D937" s="577"/>
      <c r="E937" s="577"/>
      <c r="F937" s="577"/>
      <c r="G937" s="577"/>
      <c r="H937" s="376"/>
      <c r="I937" s="376"/>
      <c r="J937" s="376"/>
      <c r="K937" s="376"/>
      <c r="L937" s="376"/>
      <c r="M937" s="376"/>
      <c r="N937" s="376"/>
      <c r="O937" s="376"/>
      <c r="P937" s="378"/>
      <c r="Q937" s="378"/>
      <c r="R937" s="378"/>
      <c r="S937" s="378"/>
      <c r="T937" s="378"/>
      <c r="U937" s="378"/>
      <c r="V937" s="533"/>
      <c r="W937" s="418"/>
      <c r="X937" s="418"/>
      <c r="Y937" s="378">
        <f>IF(NFI_Expiration=1,IF($A937&lt;VLOOKUP(H$5,NFI,5,0),1,0)*Table_NFI[[#This Row],[Hygiene Kit]],Table_NFI[Hygiene Kit])</f>
        <v>0</v>
      </c>
      <c r="Z937" s="378">
        <f>IF(NFI_Expiration=1,IF($A937&lt;VLOOKUP(I$5,NFI,5,0),1,0)*Table_NFI[[#This Row],[NFI Core Kit]],Table_NFI[NFI Core Kit])</f>
        <v>0</v>
      </c>
      <c r="AA937" s="378">
        <f>IF(NFI_Expiration=1,IF($A937&lt;VLOOKUP(J$5,NFI,5,0),1,0)*Table_NFI[[#This Row],[Sanitary Kit]],Table_NFI[Sanitary Kit])</f>
        <v>0</v>
      </c>
      <c r="AB937" s="378">
        <f>IF(NFI_Expiration=1,IF($A937&lt;VLOOKUP(K$5,NFI,5,0),1,0)*Table_NFI[[#This Row],[Mosquito net]],Table_NFI[Mosquito net])</f>
        <v>0</v>
      </c>
      <c r="AC937" s="378">
        <f>IF(NFI_Expiration=1,IF($A937&lt;VLOOKUP(L$5,NFI,5,0),1,0)*Table_NFI[[#This Row],[Tarpaulin]],Table_NFI[[#This Row],[Tarpaulin]])</f>
        <v>0</v>
      </c>
      <c r="AD937" s="378">
        <f>IF(NFI_Expiration=1,IF($A937&lt;VLOOKUP(M$5,NFI,5,0),1,0)*Table_NFI[[#This Row],[Blanket]],Table_NFI[[#This Row],[Blanket]])</f>
        <v>0</v>
      </c>
      <c r="AE937" s="378">
        <f>IF(NFI_Expiration=1,IF($A937&lt;VLOOKUP(N$5,NFI,5,0),1,0)*Table_NFI[[#This Row],[Kitchen Set]],Table_NFI[Kitchen Set])</f>
        <v>0</v>
      </c>
      <c r="AF937" s="378">
        <f>IF(NFI_Expiration=1,IF($A937&lt;VLOOKUP(O$5,NFI,5,0),1,0)*Table_NFI[[#This Row],[Clothes Kit]],Table_NFI[Clothes Kit])</f>
        <v>0</v>
      </c>
      <c r="AG937" s="378">
        <f>IF(NFI_Expiration=1,IF($A937&lt;VLOOKUP(P$5,NFI,5,0),1,0)*Table_NFI[[#This Row],[Plastic Bucket]],Table_NFI[Plastic Bucket])</f>
        <v>0</v>
      </c>
      <c r="AH937" s="378">
        <f>IF(NFI_Expiration=1,IF($A937&lt;VLOOKUP(Q$5,NFI,5,0),1,0)*Table_NFI[[#This Row],[Plastic Mat]],Table_NFI[Plastic Mat])*IF(Table_NFI[[#This Row],[Distribution Date]]&gt;"2014-04-01",1,2.5)</f>
        <v>0</v>
      </c>
      <c r="AI937" s="378">
        <f>IF(NFI_Expiration=1,IF($A937&lt;VLOOKUP(R$5,NFI,5,0),1,0)*Table_NFI[[#This Row],[Winter Clothes Adult]],Table_NFI[Winter Clothes Adult])</f>
        <v>0</v>
      </c>
      <c r="AJ937" s="378">
        <f>IF(NFI_Expiration=1,IF($A937&lt;VLOOKUP(S$5,NFI,5,0),1,0)*Table_NFI[[#This Row],[Winter Clothes Children]],Table_NFI[Winter Clothes Children])</f>
        <v>0</v>
      </c>
      <c r="AK937" s="378">
        <f>IF(NFI_Expiration=1,IF($A937&lt;VLOOKUP(T$5,NFI,5,0),1,0)*Table_NFI[[#This Row],[Winter Items Other]],Table_NFI[Winter Items Other])</f>
        <v>0</v>
      </c>
      <c r="AL937" s="378">
        <f>IF(NFI_Expiration=1,IF($A937&lt;VLOOKUP(M$5,NFI,5,0),1,0)*Table_NFI[[#This Row],[Winter Blanket]],Table_NFI[[#This Row],[Winter Blanket]])</f>
        <v>0</v>
      </c>
      <c r="AM937" s="378">
        <f>IF(Table_NFI[[#This Row],[Winter Clothes Adult]]+Table_NFI[[#This Row],[Winter Clothes Children]]+Table_NFI[[#This Row],[Winter Items Other]]+Table_NFI[[#This Row],[Winter Blanket]]&gt;0,1,0)</f>
        <v>0</v>
      </c>
      <c r="AN937" s="418">
        <f>IF(NFI_Expiration=1,IF($A937&lt;VLOOKUP(V$5,NFI,5,0),1,0)*Table_NFI[[#This Row],[Jerry Can]],Table_NFI[Jerry Can])</f>
        <v>0</v>
      </c>
      <c r="AO937" s="579" t="str">
        <f>IFERROR(VLOOKUP(Table_NFI[[#This Row],[Camp Name]],CL,2,0),"")</f>
        <v/>
      </c>
      <c r="AP937" s="574" t="str">
        <f ca="1">IF(Table_NFI[[#This Row],[Pcode]]="","",IF(OFFSET(CampList[Opening Date],MATCH(Table_NFI[[#This Row],[Pcode]],CampList[CP_Pcode],0)-1,0,1,1)&gt;=NFI_Monitor_Date,1,0))</f>
        <v/>
      </c>
      <c r="AQ937" s="579" t="str">
        <f>IFERROR(VLOOKUP(Table_NFI[[#This Row],[Camp Name]],CL,3,0),"")</f>
        <v/>
      </c>
      <c r="AR937" s="378" t="str">
        <f ca="1">IF(Table_NFI[[#This Row],[Pcode]]="","",OFFSET(CampList[Priority],MATCH(Table_NFI[[#This Row],[Pcode]],CampList[CP_Pcode],0)-1,0,1,1))</f>
        <v/>
      </c>
      <c r="AS937" s="377" t="str">
        <f>IFERROR(Table_NFI[[#This Row],[Kitchen Set]]/VLOOKUP(Table_NFI[[#This Row],[Camp Name]],CL,4,0),"")</f>
        <v/>
      </c>
      <c r="AT937" s="572" t="s">
        <v>1095</v>
      </c>
      <c r="AU937" s="580"/>
    </row>
    <row r="938" spans="1:47" s="585" customFormat="1" x14ac:dyDescent="0.25">
      <c r="A938" s="381" t="str">
        <f t="shared" si="14"/>
        <v/>
      </c>
      <c r="B938" s="571"/>
      <c r="C938" s="577"/>
      <c r="D938" s="577"/>
      <c r="E938" s="577"/>
      <c r="F938" s="577"/>
      <c r="G938" s="577"/>
      <c r="H938" s="376"/>
      <c r="I938" s="376"/>
      <c r="J938" s="376"/>
      <c r="K938" s="376"/>
      <c r="L938" s="376"/>
      <c r="M938" s="376"/>
      <c r="N938" s="376"/>
      <c r="O938" s="376"/>
      <c r="P938" s="378"/>
      <c r="Q938" s="378"/>
      <c r="R938" s="378"/>
      <c r="S938" s="378"/>
      <c r="T938" s="378"/>
      <c r="U938" s="378"/>
      <c r="V938" s="533"/>
      <c r="W938" s="418"/>
      <c r="X938" s="418"/>
      <c r="Y938" s="378">
        <f>IF(NFI_Expiration=1,IF($A938&lt;VLOOKUP(H$5,NFI,5,0),1,0)*Table_NFI[[#This Row],[Hygiene Kit]],Table_NFI[Hygiene Kit])</f>
        <v>0</v>
      </c>
      <c r="Z938" s="378">
        <f>IF(NFI_Expiration=1,IF($A938&lt;VLOOKUP(I$5,NFI,5,0),1,0)*Table_NFI[[#This Row],[NFI Core Kit]],Table_NFI[NFI Core Kit])</f>
        <v>0</v>
      </c>
      <c r="AA938" s="378">
        <f>IF(NFI_Expiration=1,IF($A938&lt;VLOOKUP(J$5,NFI,5,0),1,0)*Table_NFI[[#This Row],[Sanitary Kit]],Table_NFI[Sanitary Kit])</f>
        <v>0</v>
      </c>
      <c r="AB938" s="378">
        <f>IF(NFI_Expiration=1,IF($A938&lt;VLOOKUP(K$5,NFI,5,0),1,0)*Table_NFI[[#This Row],[Mosquito net]],Table_NFI[Mosquito net])</f>
        <v>0</v>
      </c>
      <c r="AC938" s="378">
        <f>IF(NFI_Expiration=1,IF($A938&lt;VLOOKUP(L$5,NFI,5,0),1,0)*Table_NFI[[#This Row],[Tarpaulin]],Table_NFI[[#This Row],[Tarpaulin]])</f>
        <v>0</v>
      </c>
      <c r="AD938" s="378">
        <f>IF(NFI_Expiration=1,IF($A938&lt;VLOOKUP(M$5,NFI,5,0),1,0)*Table_NFI[[#This Row],[Blanket]],Table_NFI[[#This Row],[Blanket]])</f>
        <v>0</v>
      </c>
      <c r="AE938" s="378">
        <f>IF(NFI_Expiration=1,IF($A938&lt;VLOOKUP(N$5,NFI,5,0),1,0)*Table_NFI[[#This Row],[Kitchen Set]],Table_NFI[Kitchen Set])</f>
        <v>0</v>
      </c>
      <c r="AF938" s="378">
        <f>IF(NFI_Expiration=1,IF($A938&lt;VLOOKUP(O$5,NFI,5,0),1,0)*Table_NFI[[#This Row],[Clothes Kit]],Table_NFI[Clothes Kit])</f>
        <v>0</v>
      </c>
      <c r="AG938" s="378">
        <f>IF(NFI_Expiration=1,IF($A938&lt;VLOOKUP(P$5,NFI,5,0),1,0)*Table_NFI[[#This Row],[Plastic Bucket]],Table_NFI[Plastic Bucket])</f>
        <v>0</v>
      </c>
      <c r="AH938" s="378">
        <f>IF(NFI_Expiration=1,IF($A938&lt;VLOOKUP(Q$5,NFI,5,0),1,0)*Table_NFI[[#This Row],[Plastic Mat]],Table_NFI[Plastic Mat])*IF(Table_NFI[[#This Row],[Distribution Date]]&gt;"2014-04-01",1,2.5)</f>
        <v>0</v>
      </c>
      <c r="AI938" s="378">
        <f>IF(NFI_Expiration=1,IF($A938&lt;VLOOKUP(R$5,NFI,5,0),1,0)*Table_NFI[[#This Row],[Winter Clothes Adult]],Table_NFI[Winter Clothes Adult])</f>
        <v>0</v>
      </c>
      <c r="AJ938" s="378">
        <f>IF(NFI_Expiration=1,IF($A938&lt;VLOOKUP(S$5,NFI,5,0),1,0)*Table_NFI[[#This Row],[Winter Clothes Children]],Table_NFI[Winter Clothes Children])</f>
        <v>0</v>
      </c>
      <c r="AK938" s="378">
        <f>IF(NFI_Expiration=1,IF($A938&lt;VLOOKUP(T$5,NFI,5,0),1,0)*Table_NFI[[#This Row],[Winter Items Other]],Table_NFI[Winter Items Other])</f>
        <v>0</v>
      </c>
      <c r="AL938" s="378">
        <f>IF(NFI_Expiration=1,IF($A938&lt;VLOOKUP(M$5,NFI,5,0),1,0)*Table_NFI[[#This Row],[Winter Blanket]],Table_NFI[[#This Row],[Winter Blanket]])</f>
        <v>0</v>
      </c>
      <c r="AM938" s="378">
        <f>IF(Table_NFI[[#This Row],[Winter Clothes Adult]]+Table_NFI[[#This Row],[Winter Clothes Children]]+Table_NFI[[#This Row],[Winter Items Other]]+Table_NFI[[#This Row],[Winter Blanket]]&gt;0,1,0)</f>
        <v>0</v>
      </c>
      <c r="AN938" s="418">
        <f>IF(NFI_Expiration=1,IF($A938&lt;VLOOKUP(V$5,NFI,5,0),1,0)*Table_NFI[[#This Row],[Jerry Can]],Table_NFI[Jerry Can])</f>
        <v>0</v>
      </c>
      <c r="AO938" s="579" t="str">
        <f>IFERROR(VLOOKUP(Table_NFI[[#This Row],[Camp Name]],CL,2,0),"")</f>
        <v/>
      </c>
      <c r="AP938" s="574" t="str">
        <f ca="1">IF(Table_NFI[[#This Row],[Pcode]]="","",IF(OFFSET(CampList[Opening Date],MATCH(Table_NFI[[#This Row],[Pcode]],CampList[CP_Pcode],0)-1,0,1,1)&gt;=NFI_Monitor_Date,1,0))</f>
        <v/>
      </c>
      <c r="AQ938" s="579" t="str">
        <f>IFERROR(VLOOKUP(Table_NFI[[#This Row],[Camp Name]],CL,3,0),"")</f>
        <v/>
      </c>
      <c r="AR938" s="378" t="str">
        <f ca="1">IF(Table_NFI[[#This Row],[Pcode]]="","",OFFSET(CampList[Priority],MATCH(Table_NFI[[#This Row],[Pcode]],CampList[CP_Pcode],0)-1,0,1,1))</f>
        <v/>
      </c>
      <c r="AS938" s="377" t="str">
        <f>IFERROR(Table_NFI[[#This Row],[Kitchen Set]]/VLOOKUP(Table_NFI[[#This Row],[Camp Name]],CL,4,0),"")</f>
        <v/>
      </c>
      <c r="AT938" s="572" t="s">
        <v>1095</v>
      </c>
      <c r="AU938" s="580"/>
    </row>
    <row r="939" spans="1:47" s="585" customFormat="1" ht="15.75" customHeight="1" x14ac:dyDescent="0.25">
      <c r="A939" s="381" t="str">
        <f t="shared" si="14"/>
        <v/>
      </c>
      <c r="B939" s="571"/>
      <c r="C939" s="577"/>
      <c r="D939" s="577"/>
      <c r="E939" s="577"/>
      <c r="F939" s="577"/>
      <c r="G939" s="577"/>
      <c r="H939" s="376"/>
      <c r="I939" s="376"/>
      <c r="J939" s="376"/>
      <c r="K939" s="376"/>
      <c r="L939" s="376"/>
      <c r="M939" s="376"/>
      <c r="N939" s="376"/>
      <c r="O939" s="376"/>
      <c r="P939" s="378"/>
      <c r="Q939" s="378"/>
      <c r="R939" s="378"/>
      <c r="S939" s="378"/>
      <c r="T939" s="378"/>
      <c r="U939" s="378"/>
      <c r="V939" s="533"/>
      <c r="W939" s="418"/>
      <c r="X939" s="418"/>
      <c r="Y939" s="378">
        <f>IF(NFI_Expiration=1,IF($A939&lt;VLOOKUP(H$5,NFI,5,0),1,0)*Table_NFI[[#This Row],[Hygiene Kit]],Table_NFI[Hygiene Kit])</f>
        <v>0</v>
      </c>
      <c r="Z939" s="378">
        <f>IF(NFI_Expiration=1,IF($A939&lt;VLOOKUP(I$5,NFI,5,0),1,0)*Table_NFI[[#This Row],[NFI Core Kit]],Table_NFI[NFI Core Kit])</f>
        <v>0</v>
      </c>
      <c r="AA939" s="378">
        <f>IF(NFI_Expiration=1,IF($A939&lt;VLOOKUP(J$5,NFI,5,0),1,0)*Table_NFI[[#This Row],[Sanitary Kit]],Table_NFI[Sanitary Kit])</f>
        <v>0</v>
      </c>
      <c r="AB939" s="378">
        <f>IF(NFI_Expiration=1,IF($A939&lt;VLOOKUP(K$5,NFI,5,0),1,0)*Table_NFI[[#This Row],[Mosquito net]],Table_NFI[Mosquito net])</f>
        <v>0</v>
      </c>
      <c r="AC939" s="378">
        <f>IF(NFI_Expiration=1,IF($A939&lt;VLOOKUP(L$5,NFI,5,0),1,0)*Table_NFI[[#This Row],[Tarpaulin]],Table_NFI[[#This Row],[Tarpaulin]])</f>
        <v>0</v>
      </c>
      <c r="AD939" s="378">
        <f>IF(NFI_Expiration=1,IF($A939&lt;VLOOKUP(M$5,NFI,5,0),1,0)*Table_NFI[[#This Row],[Blanket]],Table_NFI[[#This Row],[Blanket]])</f>
        <v>0</v>
      </c>
      <c r="AE939" s="378">
        <f>IF(NFI_Expiration=1,IF($A939&lt;VLOOKUP(N$5,NFI,5,0),1,0)*Table_NFI[[#This Row],[Kitchen Set]],Table_NFI[Kitchen Set])</f>
        <v>0</v>
      </c>
      <c r="AF939" s="378">
        <f>IF(NFI_Expiration=1,IF($A939&lt;VLOOKUP(O$5,NFI,5,0),1,0)*Table_NFI[[#This Row],[Clothes Kit]],Table_NFI[Clothes Kit])</f>
        <v>0</v>
      </c>
      <c r="AG939" s="378">
        <f>IF(NFI_Expiration=1,IF($A939&lt;VLOOKUP(P$5,NFI,5,0),1,0)*Table_NFI[[#This Row],[Plastic Bucket]],Table_NFI[Plastic Bucket])</f>
        <v>0</v>
      </c>
      <c r="AH939" s="378">
        <f>IF(NFI_Expiration=1,IF($A939&lt;VLOOKUP(Q$5,NFI,5,0),1,0)*Table_NFI[[#This Row],[Plastic Mat]],Table_NFI[Plastic Mat])*IF(Table_NFI[[#This Row],[Distribution Date]]&gt;"2014-04-01",1,2.5)</f>
        <v>0</v>
      </c>
      <c r="AI939" s="378">
        <f>IF(NFI_Expiration=1,IF($A939&lt;VLOOKUP(R$5,NFI,5,0),1,0)*Table_NFI[[#This Row],[Winter Clothes Adult]],Table_NFI[Winter Clothes Adult])</f>
        <v>0</v>
      </c>
      <c r="AJ939" s="378">
        <f>IF(NFI_Expiration=1,IF($A939&lt;VLOOKUP(S$5,NFI,5,0),1,0)*Table_NFI[[#This Row],[Winter Clothes Children]],Table_NFI[Winter Clothes Children])</f>
        <v>0</v>
      </c>
      <c r="AK939" s="378">
        <f>IF(NFI_Expiration=1,IF($A939&lt;VLOOKUP(T$5,NFI,5,0),1,0)*Table_NFI[[#This Row],[Winter Items Other]],Table_NFI[Winter Items Other])</f>
        <v>0</v>
      </c>
      <c r="AL939" s="378">
        <f>IF(NFI_Expiration=1,IF($A939&lt;VLOOKUP(M$5,NFI,5,0),1,0)*Table_NFI[[#This Row],[Winter Blanket]],Table_NFI[[#This Row],[Winter Blanket]])</f>
        <v>0</v>
      </c>
      <c r="AM939" s="378">
        <f>IF(Table_NFI[[#This Row],[Winter Clothes Adult]]+Table_NFI[[#This Row],[Winter Clothes Children]]+Table_NFI[[#This Row],[Winter Items Other]]+Table_NFI[[#This Row],[Winter Blanket]]&gt;0,1,0)</f>
        <v>0</v>
      </c>
      <c r="AN939" s="418">
        <f>IF(NFI_Expiration=1,IF($A939&lt;VLOOKUP(V$5,NFI,5,0),1,0)*Table_NFI[[#This Row],[Jerry Can]],Table_NFI[Jerry Can])</f>
        <v>0</v>
      </c>
      <c r="AO939" s="579" t="str">
        <f>IFERROR(VLOOKUP(Table_NFI[[#This Row],[Camp Name]],CL,2,0),"")</f>
        <v/>
      </c>
      <c r="AP939" s="574" t="str">
        <f ca="1">IF(Table_NFI[[#This Row],[Pcode]]="","",IF(OFFSET(CampList[Opening Date],MATCH(Table_NFI[[#This Row],[Pcode]],CampList[CP_Pcode],0)-1,0,1,1)&gt;=NFI_Monitor_Date,1,0))</f>
        <v/>
      </c>
      <c r="AQ939" s="579" t="str">
        <f>IFERROR(VLOOKUP(Table_NFI[[#This Row],[Camp Name]],CL,3,0),"")</f>
        <v/>
      </c>
      <c r="AR939" s="378" t="str">
        <f ca="1">IF(Table_NFI[[#This Row],[Pcode]]="","",OFFSET(CampList[Priority],MATCH(Table_NFI[[#This Row],[Pcode]],CampList[CP_Pcode],0)-1,0,1,1))</f>
        <v/>
      </c>
      <c r="AS939" s="377" t="str">
        <f>IFERROR(Table_NFI[[#This Row],[Kitchen Set]]/VLOOKUP(Table_NFI[[#This Row],[Camp Name]],CL,4,0),"")</f>
        <v/>
      </c>
      <c r="AT939" s="572" t="s">
        <v>1095</v>
      </c>
      <c r="AU939" s="580"/>
    </row>
    <row r="940" spans="1:47" s="585" customFormat="1" ht="15.75" customHeight="1" x14ac:dyDescent="0.25">
      <c r="A940" s="381" t="str">
        <f t="shared" si="14"/>
        <v/>
      </c>
      <c r="B940" s="571"/>
      <c r="C940" s="577"/>
      <c r="D940" s="577"/>
      <c r="E940" s="577"/>
      <c r="F940" s="577"/>
      <c r="G940" s="577"/>
      <c r="H940" s="376"/>
      <c r="I940" s="376"/>
      <c r="J940" s="376"/>
      <c r="K940" s="376"/>
      <c r="L940" s="376"/>
      <c r="M940" s="376"/>
      <c r="N940" s="376"/>
      <c r="O940" s="376"/>
      <c r="P940" s="378"/>
      <c r="Q940" s="378"/>
      <c r="R940" s="378"/>
      <c r="S940" s="378"/>
      <c r="T940" s="378"/>
      <c r="U940" s="378"/>
      <c r="V940" s="533"/>
      <c r="W940" s="418"/>
      <c r="X940" s="418"/>
      <c r="Y940" s="378">
        <f>IF(NFI_Expiration=1,IF($A940&lt;VLOOKUP(H$5,NFI,5,0),1,0)*Table_NFI[[#This Row],[Hygiene Kit]],Table_NFI[Hygiene Kit])</f>
        <v>0</v>
      </c>
      <c r="Z940" s="378">
        <f>IF(NFI_Expiration=1,IF($A940&lt;VLOOKUP(I$5,NFI,5,0),1,0)*Table_NFI[[#This Row],[NFI Core Kit]],Table_NFI[NFI Core Kit])</f>
        <v>0</v>
      </c>
      <c r="AA940" s="378">
        <f>IF(NFI_Expiration=1,IF($A940&lt;VLOOKUP(J$5,NFI,5,0),1,0)*Table_NFI[[#This Row],[Sanitary Kit]],Table_NFI[Sanitary Kit])</f>
        <v>0</v>
      </c>
      <c r="AB940" s="378">
        <f>IF(NFI_Expiration=1,IF($A940&lt;VLOOKUP(K$5,NFI,5,0),1,0)*Table_NFI[[#This Row],[Mosquito net]],Table_NFI[Mosquito net])</f>
        <v>0</v>
      </c>
      <c r="AC940" s="378">
        <f>IF(NFI_Expiration=1,IF($A940&lt;VLOOKUP(L$5,NFI,5,0),1,0)*Table_NFI[[#This Row],[Tarpaulin]],Table_NFI[[#This Row],[Tarpaulin]])</f>
        <v>0</v>
      </c>
      <c r="AD940" s="378">
        <f>IF(NFI_Expiration=1,IF($A940&lt;VLOOKUP(M$5,NFI,5,0),1,0)*Table_NFI[[#This Row],[Blanket]],Table_NFI[[#This Row],[Blanket]])</f>
        <v>0</v>
      </c>
      <c r="AE940" s="378">
        <f>IF(NFI_Expiration=1,IF($A940&lt;VLOOKUP(N$5,NFI,5,0),1,0)*Table_NFI[[#This Row],[Kitchen Set]],Table_NFI[Kitchen Set])</f>
        <v>0</v>
      </c>
      <c r="AF940" s="378">
        <f>IF(NFI_Expiration=1,IF($A940&lt;VLOOKUP(O$5,NFI,5,0),1,0)*Table_NFI[[#This Row],[Clothes Kit]],Table_NFI[Clothes Kit])</f>
        <v>0</v>
      </c>
      <c r="AG940" s="378">
        <f>IF(NFI_Expiration=1,IF($A940&lt;VLOOKUP(P$5,NFI,5,0),1,0)*Table_NFI[[#This Row],[Plastic Bucket]],Table_NFI[Plastic Bucket])</f>
        <v>0</v>
      </c>
      <c r="AH940" s="378">
        <f>IF(NFI_Expiration=1,IF($A940&lt;VLOOKUP(Q$5,NFI,5,0),1,0)*Table_NFI[[#This Row],[Plastic Mat]],Table_NFI[Plastic Mat])*IF(Table_NFI[[#This Row],[Distribution Date]]&gt;"2014-04-01",1,2.5)</f>
        <v>0</v>
      </c>
      <c r="AI940" s="378">
        <f>IF(NFI_Expiration=1,IF($A940&lt;VLOOKUP(R$5,NFI,5,0),1,0)*Table_NFI[[#This Row],[Winter Clothes Adult]],Table_NFI[Winter Clothes Adult])</f>
        <v>0</v>
      </c>
      <c r="AJ940" s="378">
        <f>IF(NFI_Expiration=1,IF($A940&lt;VLOOKUP(S$5,NFI,5,0),1,0)*Table_NFI[[#This Row],[Winter Clothes Children]],Table_NFI[Winter Clothes Children])</f>
        <v>0</v>
      </c>
      <c r="AK940" s="378">
        <f>IF(NFI_Expiration=1,IF($A940&lt;VLOOKUP(T$5,NFI,5,0),1,0)*Table_NFI[[#This Row],[Winter Items Other]],Table_NFI[Winter Items Other])</f>
        <v>0</v>
      </c>
      <c r="AL940" s="378">
        <f>IF(NFI_Expiration=1,IF($A940&lt;VLOOKUP(M$5,NFI,5,0),1,0)*Table_NFI[[#This Row],[Winter Blanket]],Table_NFI[[#This Row],[Winter Blanket]])</f>
        <v>0</v>
      </c>
      <c r="AM940" s="378">
        <f>IF(Table_NFI[[#This Row],[Winter Clothes Adult]]+Table_NFI[[#This Row],[Winter Clothes Children]]+Table_NFI[[#This Row],[Winter Items Other]]+Table_NFI[[#This Row],[Winter Blanket]]&gt;0,1,0)</f>
        <v>0</v>
      </c>
      <c r="AN940" s="418">
        <f>IF(NFI_Expiration=1,IF($A940&lt;VLOOKUP(V$5,NFI,5,0),1,0)*Table_NFI[[#This Row],[Jerry Can]],Table_NFI[Jerry Can])</f>
        <v>0</v>
      </c>
      <c r="AO940" s="579" t="str">
        <f>IFERROR(VLOOKUP(Table_NFI[[#This Row],[Camp Name]],CL,2,0),"")</f>
        <v/>
      </c>
      <c r="AP940" s="574" t="str">
        <f ca="1">IF(Table_NFI[[#This Row],[Pcode]]="","",IF(OFFSET(CampList[Opening Date],MATCH(Table_NFI[[#This Row],[Pcode]],CampList[CP_Pcode],0)-1,0,1,1)&gt;=NFI_Monitor_Date,1,0))</f>
        <v/>
      </c>
      <c r="AQ940" s="579" t="str">
        <f>IFERROR(VLOOKUP(Table_NFI[[#This Row],[Camp Name]],CL,3,0),"")</f>
        <v/>
      </c>
      <c r="AR940" s="378" t="str">
        <f ca="1">IF(Table_NFI[[#This Row],[Pcode]]="","",OFFSET(CampList[Priority],MATCH(Table_NFI[[#This Row],[Pcode]],CampList[CP_Pcode],0)-1,0,1,1))</f>
        <v/>
      </c>
      <c r="AS940" s="377" t="str">
        <f>IFERROR(Table_NFI[[#This Row],[Kitchen Set]]/VLOOKUP(Table_NFI[[#This Row],[Camp Name]],CL,4,0),"")</f>
        <v/>
      </c>
      <c r="AT940" s="572" t="s">
        <v>1095</v>
      </c>
      <c r="AU940" s="580"/>
    </row>
    <row r="941" spans="1:47" s="585" customFormat="1" ht="15.75" customHeight="1" x14ac:dyDescent="0.25">
      <c r="A941" s="381" t="str">
        <f t="shared" si="14"/>
        <v/>
      </c>
      <c r="B941" s="571"/>
      <c r="C941" s="577"/>
      <c r="D941" s="577"/>
      <c r="E941" s="577"/>
      <c r="F941" s="577"/>
      <c r="G941" s="577"/>
      <c r="H941" s="376"/>
      <c r="I941" s="376"/>
      <c r="J941" s="376"/>
      <c r="K941" s="376"/>
      <c r="L941" s="376"/>
      <c r="M941" s="376"/>
      <c r="N941" s="376"/>
      <c r="O941" s="376"/>
      <c r="P941" s="378"/>
      <c r="Q941" s="378"/>
      <c r="R941" s="378"/>
      <c r="S941" s="378"/>
      <c r="T941" s="378"/>
      <c r="U941" s="378"/>
      <c r="V941" s="533"/>
      <c r="W941" s="418"/>
      <c r="X941" s="418"/>
      <c r="Y941" s="378">
        <f>IF(NFI_Expiration=1,IF($A941&lt;VLOOKUP(H$5,NFI,5,0),1,0)*Table_NFI[[#This Row],[Hygiene Kit]],Table_NFI[Hygiene Kit])</f>
        <v>0</v>
      </c>
      <c r="Z941" s="378">
        <f>IF(NFI_Expiration=1,IF($A941&lt;VLOOKUP(I$5,NFI,5,0),1,0)*Table_NFI[[#This Row],[NFI Core Kit]],Table_NFI[NFI Core Kit])</f>
        <v>0</v>
      </c>
      <c r="AA941" s="378">
        <f>IF(NFI_Expiration=1,IF($A941&lt;VLOOKUP(J$5,NFI,5,0),1,0)*Table_NFI[[#This Row],[Sanitary Kit]],Table_NFI[Sanitary Kit])</f>
        <v>0</v>
      </c>
      <c r="AB941" s="378">
        <f>IF(NFI_Expiration=1,IF($A941&lt;VLOOKUP(K$5,NFI,5,0),1,0)*Table_NFI[[#This Row],[Mosquito net]],Table_NFI[Mosquito net])</f>
        <v>0</v>
      </c>
      <c r="AC941" s="378">
        <f>IF(NFI_Expiration=1,IF($A941&lt;VLOOKUP(L$5,NFI,5,0),1,0)*Table_NFI[[#This Row],[Tarpaulin]],Table_NFI[[#This Row],[Tarpaulin]])</f>
        <v>0</v>
      </c>
      <c r="AD941" s="378">
        <f>IF(NFI_Expiration=1,IF($A941&lt;VLOOKUP(M$5,NFI,5,0),1,0)*Table_NFI[[#This Row],[Blanket]],Table_NFI[[#This Row],[Blanket]])</f>
        <v>0</v>
      </c>
      <c r="AE941" s="378">
        <f>IF(NFI_Expiration=1,IF($A941&lt;VLOOKUP(N$5,NFI,5,0),1,0)*Table_NFI[[#This Row],[Kitchen Set]],Table_NFI[Kitchen Set])</f>
        <v>0</v>
      </c>
      <c r="AF941" s="378">
        <f>IF(NFI_Expiration=1,IF($A941&lt;VLOOKUP(O$5,NFI,5,0),1,0)*Table_NFI[[#This Row],[Clothes Kit]],Table_NFI[Clothes Kit])</f>
        <v>0</v>
      </c>
      <c r="AG941" s="378">
        <f>IF(NFI_Expiration=1,IF($A941&lt;VLOOKUP(P$5,NFI,5,0),1,0)*Table_NFI[[#This Row],[Plastic Bucket]],Table_NFI[Plastic Bucket])</f>
        <v>0</v>
      </c>
      <c r="AH941" s="378">
        <f>IF(NFI_Expiration=1,IF($A941&lt;VLOOKUP(Q$5,NFI,5,0),1,0)*Table_NFI[[#This Row],[Plastic Mat]],Table_NFI[Plastic Mat])*IF(Table_NFI[[#This Row],[Distribution Date]]&gt;"2014-04-01",1,2.5)</f>
        <v>0</v>
      </c>
      <c r="AI941" s="378">
        <f>IF(NFI_Expiration=1,IF($A941&lt;VLOOKUP(R$5,NFI,5,0),1,0)*Table_NFI[[#This Row],[Winter Clothes Adult]],Table_NFI[Winter Clothes Adult])</f>
        <v>0</v>
      </c>
      <c r="AJ941" s="378">
        <f>IF(NFI_Expiration=1,IF($A941&lt;VLOOKUP(S$5,NFI,5,0),1,0)*Table_NFI[[#This Row],[Winter Clothes Children]],Table_NFI[Winter Clothes Children])</f>
        <v>0</v>
      </c>
      <c r="AK941" s="378">
        <f>IF(NFI_Expiration=1,IF($A941&lt;VLOOKUP(T$5,NFI,5,0),1,0)*Table_NFI[[#This Row],[Winter Items Other]],Table_NFI[Winter Items Other])</f>
        <v>0</v>
      </c>
      <c r="AL941" s="378">
        <f>IF(NFI_Expiration=1,IF($A941&lt;VLOOKUP(M$5,NFI,5,0),1,0)*Table_NFI[[#This Row],[Winter Blanket]],Table_NFI[[#This Row],[Winter Blanket]])</f>
        <v>0</v>
      </c>
      <c r="AM941" s="378">
        <f>IF(Table_NFI[[#This Row],[Winter Clothes Adult]]+Table_NFI[[#This Row],[Winter Clothes Children]]+Table_NFI[[#This Row],[Winter Items Other]]+Table_NFI[[#This Row],[Winter Blanket]]&gt;0,1,0)</f>
        <v>0</v>
      </c>
      <c r="AN941" s="418">
        <f>IF(NFI_Expiration=1,IF($A941&lt;VLOOKUP(V$5,NFI,5,0),1,0)*Table_NFI[[#This Row],[Jerry Can]],Table_NFI[Jerry Can])</f>
        <v>0</v>
      </c>
      <c r="AO941" s="579" t="str">
        <f>IFERROR(VLOOKUP(Table_NFI[[#This Row],[Camp Name]],CL,2,0),"")</f>
        <v/>
      </c>
      <c r="AP941" s="574" t="str">
        <f ca="1">IF(Table_NFI[[#This Row],[Pcode]]="","",IF(OFFSET(CampList[Opening Date],MATCH(Table_NFI[[#This Row],[Pcode]],CampList[CP_Pcode],0)-1,0,1,1)&gt;=NFI_Monitor_Date,1,0))</f>
        <v/>
      </c>
      <c r="AQ941" s="579" t="str">
        <f>IFERROR(VLOOKUP(Table_NFI[[#This Row],[Camp Name]],CL,3,0),"")</f>
        <v/>
      </c>
      <c r="AR941" s="378" t="str">
        <f ca="1">IF(Table_NFI[[#This Row],[Pcode]]="","",OFFSET(CampList[Priority],MATCH(Table_NFI[[#This Row],[Pcode]],CampList[CP_Pcode],0)-1,0,1,1))</f>
        <v/>
      </c>
      <c r="AS941" s="377" t="str">
        <f>IFERROR(Table_NFI[[#This Row],[Kitchen Set]]/VLOOKUP(Table_NFI[[#This Row],[Camp Name]],CL,4,0),"")</f>
        <v/>
      </c>
      <c r="AT941" s="572" t="s">
        <v>1095</v>
      </c>
      <c r="AU941" s="580"/>
    </row>
    <row r="942" spans="1:47" s="585" customFormat="1" ht="15.75" customHeight="1" x14ac:dyDescent="0.25">
      <c r="A942" s="381" t="str">
        <f t="shared" si="14"/>
        <v/>
      </c>
      <c r="B942" s="571"/>
      <c r="C942" s="577"/>
      <c r="D942" s="577"/>
      <c r="E942" s="577"/>
      <c r="F942" s="577"/>
      <c r="G942" s="577"/>
      <c r="H942" s="376"/>
      <c r="I942" s="376"/>
      <c r="J942" s="376"/>
      <c r="K942" s="376"/>
      <c r="L942" s="376"/>
      <c r="M942" s="376"/>
      <c r="N942" s="376"/>
      <c r="O942" s="376"/>
      <c r="P942" s="378"/>
      <c r="Q942" s="378"/>
      <c r="R942" s="378"/>
      <c r="S942" s="378"/>
      <c r="T942" s="378"/>
      <c r="U942" s="378"/>
      <c r="V942" s="533"/>
      <c r="W942" s="418"/>
      <c r="X942" s="418"/>
      <c r="Y942" s="378">
        <f>IF(NFI_Expiration=1,IF($A942&lt;VLOOKUP(H$5,NFI,5,0),1,0)*Table_NFI[[#This Row],[Hygiene Kit]],Table_NFI[Hygiene Kit])</f>
        <v>0</v>
      </c>
      <c r="Z942" s="378">
        <f>IF(NFI_Expiration=1,IF($A942&lt;VLOOKUP(I$5,NFI,5,0),1,0)*Table_NFI[[#This Row],[NFI Core Kit]],Table_NFI[NFI Core Kit])</f>
        <v>0</v>
      </c>
      <c r="AA942" s="378">
        <f>IF(NFI_Expiration=1,IF($A942&lt;VLOOKUP(J$5,NFI,5,0),1,0)*Table_NFI[[#This Row],[Sanitary Kit]],Table_NFI[Sanitary Kit])</f>
        <v>0</v>
      </c>
      <c r="AB942" s="378">
        <f>IF(NFI_Expiration=1,IF($A942&lt;VLOOKUP(K$5,NFI,5,0),1,0)*Table_NFI[[#This Row],[Mosquito net]],Table_NFI[Mosquito net])</f>
        <v>0</v>
      </c>
      <c r="AC942" s="378">
        <f>IF(NFI_Expiration=1,IF($A942&lt;VLOOKUP(L$5,NFI,5,0),1,0)*Table_NFI[[#This Row],[Tarpaulin]],Table_NFI[[#This Row],[Tarpaulin]])</f>
        <v>0</v>
      </c>
      <c r="AD942" s="378">
        <f>IF(NFI_Expiration=1,IF($A942&lt;VLOOKUP(M$5,NFI,5,0),1,0)*Table_NFI[[#This Row],[Blanket]],Table_NFI[[#This Row],[Blanket]])</f>
        <v>0</v>
      </c>
      <c r="AE942" s="378">
        <f>IF(NFI_Expiration=1,IF($A942&lt;VLOOKUP(N$5,NFI,5,0),1,0)*Table_NFI[[#This Row],[Kitchen Set]],Table_NFI[Kitchen Set])</f>
        <v>0</v>
      </c>
      <c r="AF942" s="378">
        <f>IF(NFI_Expiration=1,IF($A942&lt;VLOOKUP(O$5,NFI,5,0),1,0)*Table_NFI[[#This Row],[Clothes Kit]],Table_NFI[Clothes Kit])</f>
        <v>0</v>
      </c>
      <c r="AG942" s="378">
        <f>IF(NFI_Expiration=1,IF($A942&lt;VLOOKUP(P$5,NFI,5,0),1,0)*Table_NFI[[#This Row],[Plastic Bucket]],Table_NFI[Plastic Bucket])</f>
        <v>0</v>
      </c>
      <c r="AH942" s="378">
        <f>IF(NFI_Expiration=1,IF($A942&lt;VLOOKUP(Q$5,NFI,5,0),1,0)*Table_NFI[[#This Row],[Plastic Mat]],Table_NFI[Plastic Mat])*IF(Table_NFI[[#This Row],[Distribution Date]]&gt;"2014-04-01",1,2.5)</f>
        <v>0</v>
      </c>
      <c r="AI942" s="378">
        <f>IF(NFI_Expiration=1,IF($A942&lt;VLOOKUP(R$5,NFI,5,0),1,0)*Table_NFI[[#This Row],[Winter Clothes Adult]],Table_NFI[Winter Clothes Adult])</f>
        <v>0</v>
      </c>
      <c r="AJ942" s="378">
        <f>IF(NFI_Expiration=1,IF($A942&lt;VLOOKUP(S$5,NFI,5,0),1,0)*Table_NFI[[#This Row],[Winter Clothes Children]],Table_NFI[Winter Clothes Children])</f>
        <v>0</v>
      </c>
      <c r="AK942" s="378">
        <f>IF(NFI_Expiration=1,IF($A942&lt;VLOOKUP(T$5,NFI,5,0),1,0)*Table_NFI[[#This Row],[Winter Items Other]],Table_NFI[Winter Items Other])</f>
        <v>0</v>
      </c>
      <c r="AL942" s="378">
        <f>IF(NFI_Expiration=1,IF($A942&lt;VLOOKUP(M$5,NFI,5,0),1,0)*Table_NFI[[#This Row],[Winter Blanket]],Table_NFI[[#This Row],[Winter Blanket]])</f>
        <v>0</v>
      </c>
      <c r="AM942" s="378">
        <f>IF(Table_NFI[[#This Row],[Winter Clothes Adult]]+Table_NFI[[#This Row],[Winter Clothes Children]]+Table_NFI[[#This Row],[Winter Items Other]]+Table_NFI[[#This Row],[Winter Blanket]]&gt;0,1,0)</f>
        <v>0</v>
      </c>
      <c r="AN942" s="418">
        <f>IF(NFI_Expiration=1,IF($A942&lt;VLOOKUP(V$5,NFI,5,0),1,0)*Table_NFI[[#This Row],[Jerry Can]],Table_NFI[Jerry Can])</f>
        <v>0</v>
      </c>
      <c r="AO942" s="579" t="str">
        <f>IFERROR(VLOOKUP(Table_NFI[[#This Row],[Camp Name]],CL,2,0),"")</f>
        <v/>
      </c>
      <c r="AP942" s="574" t="str">
        <f ca="1">IF(Table_NFI[[#This Row],[Pcode]]="","",IF(OFFSET(CampList[Opening Date],MATCH(Table_NFI[[#This Row],[Pcode]],CampList[CP_Pcode],0)-1,0,1,1)&gt;=NFI_Monitor_Date,1,0))</f>
        <v/>
      </c>
      <c r="AQ942" s="579" t="str">
        <f>IFERROR(VLOOKUP(Table_NFI[[#This Row],[Camp Name]],CL,3,0),"")</f>
        <v/>
      </c>
      <c r="AR942" s="378" t="str">
        <f ca="1">IF(Table_NFI[[#This Row],[Pcode]]="","",OFFSET(CampList[Priority],MATCH(Table_NFI[[#This Row],[Pcode]],CampList[CP_Pcode],0)-1,0,1,1))</f>
        <v/>
      </c>
      <c r="AS942" s="377" t="str">
        <f>IFERROR(Table_NFI[[#This Row],[Kitchen Set]]/VLOOKUP(Table_NFI[[#This Row],[Camp Name]],CL,4,0),"")</f>
        <v/>
      </c>
      <c r="AT942" s="572" t="s">
        <v>1095</v>
      </c>
      <c r="AU942" s="580"/>
    </row>
    <row r="943" spans="1:47" s="585" customFormat="1" ht="15.75" customHeight="1" x14ac:dyDescent="0.25">
      <c r="A943" s="381" t="str">
        <f t="shared" si="14"/>
        <v/>
      </c>
      <c r="B943" s="571"/>
      <c r="C943" s="577"/>
      <c r="D943" s="577"/>
      <c r="E943" s="577"/>
      <c r="F943" s="577"/>
      <c r="G943" s="577"/>
      <c r="H943" s="376"/>
      <c r="I943" s="376"/>
      <c r="J943" s="376"/>
      <c r="K943" s="376"/>
      <c r="L943" s="376"/>
      <c r="M943" s="376"/>
      <c r="N943" s="376"/>
      <c r="O943" s="376"/>
      <c r="P943" s="378"/>
      <c r="Q943" s="378"/>
      <c r="R943" s="378"/>
      <c r="S943" s="378"/>
      <c r="T943" s="378"/>
      <c r="U943" s="378"/>
      <c r="V943" s="533"/>
      <c r="W943" s="418"/>
      <c r="X943" s="418"/>
      <c r="Y943" s="378">
        <f>IF(NFI_Expiration=1,IF($A943&lt;VLOOKUP(H$5,NFI,5,0),1,0)*Table_NFI[[#This Row],[Hygiene Kit]],Table_NFI[Hygiene Kit])</f>
        <v>0</v>
      </c>
      <c r="Z943" s="378">
        <f>IF(NFI_Expiration=1,IF($A943&lt;VLOOKUP(I$5,NFI,5,0),1,0)*Table_NFI[[#This Row],[NFI Core Kit]],Table_NFI[NFI Core Kit])</f>
        <v>0</v>
      </c>
      <c r="AA943" s="378">
        <f>IF(NFI_Expiration=1,IF($A943&lt;VLOOKUP(J$5,NFI,5,0),1,0)*Table_NFI[[#This Row],[Sanitary Kit]],Table_NFI[Sanitary Kit])</f>
        <v>0</v>
      </c>
      <c r="AB943" s="378">
        <f>IF(NFI_Expiration=1,IF($A943&lt;VLOOKUP(K$5,NFI,5,0),1,0)*Table_NFI[[#This Row],[Mosquito net]],Table_NFI[Mosquito net])</f>
        <v>0</v>
      </c>
      <c r="AC943" s="378">
        <f>IF(NFI_Expiration=1,IF($A943&lt;VLOOKUP(L$5,NFI,5,0),1,0)*Table_NFI[[#This Row],[Tarpaulin]],Table_NFI[[#This Row],[Tarpaulin]])</f>
        <v>0</v>
      </c>
      <c r="AD943" s="378">
        <f>IF(NFI_Expiration=1,IF($A943&lt;VLOOKUP(M$5,NFI,5,0),1,0)*Table_NFI[[#This Row],[Blanket]],Table_NFI[[#This Row],[Blanket]])</f>
        <v>0</v>
      </c>
      <c r="AE943" s="378">
        <f>IF(NFI_Expiration=1,IF($A943&lt;VLOOKUP(N$5,NFI,5,0),1,0)*Table_NFI[[#This Row],[Kitchen Set]],Table_NFI[Kitchen Set])</f>
        <v>0</v>
      </c>
      <c r="AF943" s="378">
        <f>IF(NFI_Expiration=1,IF($A943&lt;VLOOKUP(O$5,NFI,5,0),1,0)*Table_NFI[[#This Row],[Clothes Kit]],Table_NFI[Clothes Kit])</f>
        <v>0</v>
      </c>
      <c r="AG943" s="378">
        <f>IF(NFI_Expiration=1,IF($A943&lt;VLOOKUP(P$5,NFI,5,0),1,0)*Table_NFI[[#This Row],[Plastic Bucket]],Table_NFI[Plastic Bucket])</f>
        <v>0</v>
      </c>
      <c r="AH943" s="378">
        <f>IF(NFI_Expiration=1,IF($A943&lt;VLOOKUP(Q$5,NFI,5,0),1,0)*Table_NFI[[#This Row],[Plastic Mat]],Table_NFI[Plastic Mat])*IF(Table_NFI[[#This Row],[Distribution Date]]&gt;"2014-04-01",1,2.5)</f>
        <v>0</v>
      </c>
      <c r="AI943" s="378">
        <f>IF(NFI_Expiration=1,IF($A943&lt;VLOOKUP(R$5,NFI,5,0),1,0)*Table_NFI[[#This Row],[Winter Clothes Adult]],Table_NFI[Winter Clothes Adult])</f>
        <v>0</v>
      </c>
      <c r="AJ943" s="378">
        <f>IF(NFI_Expiration=1,IF($A943&lt;VLOOKUP(S$5,NFI,5,0),1,0)*Table_NFI[[#This Row],[Winter Clothes Children]],Table_NFI[Winter Clothes Children])</f>
        <v>0</v>
      </c>
      <c r="AK943" s="378">
        <f>IF(NFI_Expiration=1,IF($A943&lt;VLOOKUP(T$5,NFI,5,0),1,0)*Table_NFI[[#This Row],[Winter Items Other]],Table_NFI[Winter Items Other])</f>
        <v>0</v>
      </c>
      <c r="AL943" s="378">
        <f>IF(NFI_Expiration=1,IF($A943&lt;VLOOKUP(M$5,NFI,5,0),1,0)*Table_NFI[[#This Row],[Winter Blanket]],Table_NFI[[#This Row],[Winter Blanket]])</f>
        <v>0</v>
      </c>
      <c r="AM943" s="378">
        <f>IF(Table_NFI[[#This Row],[Winter Clothes Adult]]+Table_NFI[[#This Row],[Winter Clothes Children]]+Table_NFI[[#This Row],[Winter Items Other]]+Table_NFI[[#This Row],[Winter Blanket]]&gt;0,1,0)</f>
        <v>0</v>
      </c>
      <c r="AN943" s="418">
        <f>IF(NFI_Expiration=1,IF($A943&lt;VLOOKUP(V$5,NFI,5,0),1,0)*Table_NFI[[#This Row],[Jerry Can]],Table_NFI[Jerry Can])</f>
        <v>0</v>
      </c>
      <c r="AO943" s="579" t="str">
        <f>IFERROR(VLOOKUP(Table_NFI[[#This Row],[Camp Name]],CL,2,0),"")</f>
        <v/>
      </c>
      <c r="AP943" s="574" t="str">
        <f ca="1">IF(Table_NFI[[#This Row],[Pcode]]="","",IF(OFFSET(CampList[Opening Date],MATCH(Table_NFI[[#This Row],[Pcode]],CampList[CP_Pcode],0)-1,0,1,1)&gt;=NFI_Monitor_Date,1,0))</f>
        <v/>
      </c>
      <c r="AQ943" s="579" t="str">
        <f>IFERROR(VLOOKUP(Table_NFI[[#This Row],[Camp Name]],CL,3,0),"")</f>
        <v/>
      </c>
      <c r="AR943" s="378" t="str">
        <f ca="1">IF(Table_NFI[[#This Row],[Pcode]]="","",OFFSET(CampList[Priority],MATCH(Table_NFI[[#This Row],[Pcode]],CampList[CP_Pcode],0)-1,0,1,1))</f>
        <v/>
      </c>
      <c r="AS943" s="377" t="str">
        <f>IFERROR(Table_NFI[[#This Row],[Kitchen Set]]/VLOOKUP(Table_NFI[[#This Row],[Camp Name]],CL,4,0),"")</f>
        <v/>
      </c>
      <c r="AT943" s="572" t="s">
        <v>1095</v>
      </c>
      <c r="AU943" s="580"/>
    </row>
    <row r="944" spans="1:47" s="585" customFormat="1" ht="15.75" customHeight="1" x14ac:dyDescent="0.25">
      <c r="A944" s="381" t="str">
        <f t="shared" si="14"/>
        <v/>
      </c>
      <c r="B944" s="571"/>
      <c r="C944" s="577"/>
      <c r="D944" s="577"/>
      <c r="E944" s="577"/>
      <c r="F944" s="577"/>
      <c r="G944" s="577"/>
      <c r="H944" s="376"/>
      <c r="I944" s="376"/>
      <c r="J944" s="376"/>
      <c r="K944" s="376"/>
      <c r="L944" s="376"/>
      <c r="M944" s="376"/>
      <c r="N944" s="376"/>
      <c r="O944" s="376"/>
      <c r="P944" s="378"/>
      <c r="Q944" s="378"/>
      <c r="R944" s="378"/>
      <c r="S944" s="378"/>
      <c r="T944" s="378"/>
      <c r="U944" s="378"/>
      <c r="V944" s="533"/>
      <c r="W944" s="418"/>
      <c r="X944" s="418"/>
      <c r="Y944" s="378">
        <f>IF(NFI_Expiration=1,IF($A944&lt;VLOOKUP(H$5,NFI,5,0),1,0)*Table_NFI[[#This Row],[Hygiene Kit]],Table_NFI[Hygiene Kit])</f>
        <v>0</v>
      </c>
      <c r="Z944" s="378">
        <f>IF(NFI_Expiration=1,IF($A944&lt;VLOOKUP(I$5,NFI,5,0),1,0)*Table_NFI[[#This Row],[NFI Core Kit]],Table_NFI[NFI Core Kit])</f>
        <v>0</v>
      </c>
      <c r="AA944" s="378">
        <f>IF(NFI_Expiration=1,IF($A944&lt;VLOOKUP(J$5,NFI,5,0),1,0)*Table_NFI[[#This Row],[Sanitary Kit]],Table_NFI[Sanitary Kit])</f>
        <v>0</v>
      </c>
      <c r="AB944" s="378">
        <f>IF(NFI_Expiration=1,IF($A944&lt;VLOOKUP(K$5,NFI,5,0),1,0)*Table_NFI[[#This Row],[Mosquito net]],Table_NFI[Mosquito net])</f>
        <v>0</v>
      </c>
      <c r="AC944" s="378">
        <f>IF(NFI_Expiration=1,IF($A944&lt;VLOOKUP(L$5,NFI,5,0),1,0)*Table_NFI[[#This Row],[Tarpaulin]],Table_NFI[[#This Row],[Tarpaulin]])</f>
        <v>0</v>
      </c>
      <c r="AD944" s="378">
        <f>IF(NFI_Expiration=1,IF($A944&lt;VLOOKUP(M$5,NFI,5,0),1,0)*Table_NFI[[#This Row],[Blanket]],Table_NFI[[#This Row],[Blanket]])</f>
        <v>0</v>
      </c>
      <c r="AE944" s="378">
        <f>IF(NFI_Expiration=1,IF($A944&lt;VLOOKUP(N$5,NFI,5,0),1,0)*Table_NFI[[#This Row],[Kitchen Set]],Table_NFI[Kitchen Set])</f>
        <v>0</v>
      </c>
      <c r="AF944" s="378">
        <f>IF(NFI_Expiration=1,IF($A944&lt;VLOOKUP(O$5,NFI,5,0),1,0)*Table_NFI[[#This Row],[Clothes Kit]],Table_NFI[Clothes Kit])</f>
        <v>0</v>
      </c>
      <c r="AG944" s="378">
        <f>IF(NFI_Expiration=1,IF($A944&lt;VLOOKUP(P$5,NFI,5,0),1,0)*Table_NFI[[#This Row],[Plastic Bucket]],Table_NFI[Plastic Bucket])</f>
        <v>0</v>
      </c>
      <c r="AH944" s="378">
        <f>IF(NFI_Expiration=1,IF($A944&lt;VLOOKUP(Q$5,NFI,5,0),1,0)*Table_NFI[[#This Row],[Plastic Mat]],Table_NFI[Plastic Mat])*IF(Table_NFI[[#This Row],[Distribution Date]]&gt;"2014-04-01",1,2.5)</f>
        <v>0</v>
      </c>
      <c r="AI944" s="378">
        <f>IF(NFI_Expiration=1,IF($A944&lt;VLOOKUP(R$5,NFI,5,0),1,0)*Table_NFI[[#This Row],[Winter Clothes Adult]],Table_NFI[Winter Clothes Adult])</f>
        <v>0</v>
      </c>
      <c r="AJ944" s="378">
        <f>IF(NFI_Expiration=1,IF($A944&lt;VLOOKUP(S$5,NFI,5,0),1,0)*Table_NFI[[#This Row],[Winter Clothes Children]],Table_NFI[Winter Clothes Children])</f>
        <v>0</v>
      </c>
      <c r="AK944" s="378">
        <f>IF(NFI_Expiration=1,IF($A944&lt;VLOOKUP(T$5,NFI,5,0),1,0)*Table_NFI[[#This Row],[Winter Items Other]],Table_NFI[Winter Items Other])</f>
        <v>0</v>
      </c>
      <c r="AL944" s="378">
        <f>IF(NFI_Expiration=1,IF($A944&lt;VLOOKUP(M$5,NFI,5,0),1,0)*Table_NFI[[#This Row],[Winter Blanket]],Table_NFI[[#This Row],[Winter Blanket]])</f>
        <v>0</v>
      </c>
      <c r="AM944" s="378">
        <f>IF(Table_NFI[[#This Row],[Winter Clothes Adult]]+Table_NFI[[#This Row],[Winter Clothes Children]]+Table_NFI[[#This Row],[Winter Items Other]]+Table_NFI[[#This Row],[Winter Blanket]]&gt;0,1,0)</f>
        <v>0</v>
      </c>
      <c r="AN944" s="418">
        <f>IF(NFI_Expiration=1,IF($A944&lt;VLOOKUP(V$5,NFI,5,0),1,0)*Table_NFI[[#This Row],[Jerry Can]],Table_NFI[Jerry Can])</f>
        <v>0</v>
      </c>
      <c r="AO944" s="579" t="str">
        <f>IFERROR(VLOOKUP(Table_NFI[[#This Row],[Camp Name]],CL,2,0),"")</f>
        <v/>
      </c>
      <c r="AP944" s="574" t="str">
        <f ca="1">IF(Table_NFI[[#This Row],[Pcode]]="","",IF(OFFSET(CampList[Opening Date],MATCH(Table_NFI[[#This Row],[Pcode]],CampList[CP_Pcode],0)-1,0,1,1)&gt;=NFI_Monitor_Date,1,0))</f>
        <v/>
      </c>
      <c r="AQ944" s="579" t="str">
        <f>IFERROR(VLOOKUP(Table_NFI[[#This Row],[Camp Name]],CL,3,0),"")</f>
        <v/>
      </c>
      <c r="AR944" s="378" t="str">
        <f ca="1">IF(Table_NFI[[#This Row],[Pcode]]="","",OFFSET(CampList[Priority],MATCH(Table_NFI[[#This Row],[Pcode]],CampList[CP_Pcode],0)-1,0,1,1))</f>
        <v/>
      </c>
      <c r="AS944" s="377" t="str">
        <f>IFERROR(Table_NFI[[#This Row],[Kitchen Set]]/VLOOKUP(Table_NFI[[#This Row],[Camp Name]],CL,4,0),"")</f>
        <v/>
      </c>
      <c r="AT944" s="572" t="s">
        <v>1095</v>
      </c>
      <c r="AU944" s="580"/>
    </row>
    <row r="945" spans="1:47" s="585" customFormat="1" ht="15.75" customHeight="1" x14ac:dyDescent="0.25">
      <c r="A945" s="381" t="str">
        <f t="shared" si="14"/>
        <v/>
      </c>
      <c r="B945" s="571"/>
      <c r="C945" s="577"/>
      <c r="D945" s="577"/>
      <c r="E945" s="577"/>
      <c r="F945" s="577"/>
      <c r="G945" s="577"/>
      <c r="H945" s="376"/>
      <c r="I945" s="376"/>
      <c r="J945" s="376"/>
      <c r="K945" s="376"/>
      <c r="L945" s="376"/>
      <c r="M945" s="376"/>
      <c r="N945" s="376"/>
      <c r="O945" s="376"/>
      <c r="P945" s="378"/>
      <c r="Q945" s="378"/>
      <c r="R945" s="378"/>
      <c r="S945" s="378"/>
      <c r="T945" s="378"/>
      <c r="U945" s="378"/>
      <c r="V945" s="533"/>
      <c r="W945" s="418"/>
      <c r="X945" s="418"/>
      <c r="Y945" s="378">
        <f>IF(NFI_Expiration=1,IF($A945&lt;VLOOKUP(H$5,NFI,5,0),1,0)*Table_NFI[[#This Row],[Hygiene Kit]],Table_NFI[Hygiene Kit])</f>
        <v>0</v>
      </c>
      <c r="Z945" s="378">
        <f>IF(NFI_Expiration=1,IF($A945&lt;VLOOKUP(I$5,NFI,5,0),1,0)*Table_NFI[[#This Row],[NFI Core Kit]],Table_NFI[NFI Core Kit])</f>
        <v>0</v>
      </c>
      <c r="AA945" s="378">
        <f>IF(NFI_Expiration=1,IF($A945&lt;VLOOKUP(J$5,NFI,5,0),1,0)*Table_NFI[[#This Row],[Sanitary Kit]],Table_NFI[Sanitary Kit])</f>
        <v>0</v>
      </c>
      <c r="AB945" s="378">
        <f>IF(NFI_Expiration=1,IF($A945&lt;VLOOKUP(K$5,NFI,5,0),1,0)*Table_NFI[[#This Row],[Mosquito net]],Table_NFI[Mosquito net])</f>
        <v>0</v>
      </c>
      <c r="AC945" s="378">
        <f>IF(NFI_Expiration=1,IF($A945&lt;VLOOKUP(L$5,NFI,5,0),1,0)*Table_NFI[[#This Row],[Tarpaulin]],Table_NFI[[#This Row],[Tarpaulin]])</f>
        <v>0</v>
      </c>
      <c r="AD945" s="378">
        <f>IF(NFI_Expiration=1,IF($A945&lt;VLOOKUP(M$5,NFI,5,0),1,0)*Table_NFI[[#This Row],[Blanket]],Table_NFI[[#This Row],[Blanket]])</f>
        <v>0</v>
      </c>
      <c r="AE945" s="378">
        <f>IF(NFI_Expiration=1,IF($A945&lt;VLOOKUP(N$5,NFI,5,0),1,0)*Table_NFI[[#This Row],[Kitchen Set]],Table_NFI[Kitchen Set])</f>
        <v>0</v>
      </c>
      <c r="AF945" s="378">
        <f>IF(NFI_Expiration=1,IF($A945&lt;VLOOKUP(O$5,NFI,5,0),1,0)*Table_NFI[[#This Row],[Clothes Kit]],Table_NFI[Clothes Kit])</f>
        <v>0</v>
      </c>
      <c r="AG945" s="378">
        <f>IF(NFI_Expiration=1,IF($A945&lt;VLOOKUP(P$5,NFI,5,0),1,0)*Table_NFI[[#This Row],[Plastic Bucket]],Table_NFI[Plastic Bucket])</f>
        <v>0</v>
      </c>
      <c r="AH945" s="378">
        <f>IF(NFI_Expiration=1,IF($A945&lt;VLOOKUP(Q$5,NFI,5,0),1,0)*Table_NFI[[#This Row],[Plastic Mat]],Table_NFI[Plastic Mat])*IF(Table_NFI[[#This Row],[Distribution Date]]&gt;"2014-04-01",1,2.5)</f>
        <v>0</v>
      </c>
      <c r="AI945" s="378">
        <f>IF(NFI_Expiration=1,IF($A945&lt;VLOOKUP(R$5,NFI,5,0),1,0)*Table_NFI[[#This Row],[Winter Clothes Adult]],Table_NFI[Winter Clothes Adult])</f>
        <v>0</v>
      </c>
      <c r="AJ945" s="378">
        <f>IF(NFI_Expiration=1,IF($A945&lt;VLOOKUP(S$5,NFI,5,0),1,0)*Table_NFI[[#This Row],[Winter Clothes Children]],Table_NFI[Winter Clothes Children])</f>
        <v>0</v>
      </c>
      <c r="AK945" s="378">
        <f>IF(NFI_Expiration=1,IF($A945&lt;VLOOKUP(T$5,NFI,5,0),1,0)*Table_NFI[[#This Row],[Winter Items Other]],Table_NFI[Winter Items Other])</f>
        <v>0</v>
      </c>
      <c r="AL945" s="378">
        <f>IF(NFI_Expiration=1,IF($A945&lt;VLOOKUP(M$5,NFI,5,0),1,0)*Table_NFI[[#This Row],[Winter Blanket]],Table_NFI[[#This Row],[Winter Blanket]])</f>
        <v>0</v>
      </c>
      <c r="AM945" s="378">
        <f>IF(Table_NFI[[#This Row],[Winter Clothes Adult]]+Table_NFI[[#This Row],[Winter Clothes Children]]+Table_NFI[[#This Row],[Winter Items Other]]+Table_NFI[[#This Row],[Winter Blanket]]&gt;0,1,0)</f>
        <v>0</v>
      </c>
      <c r="AN945" s="418">
        <f>IF(NFI_Expiration=1,IF($A945&lt;VLOOKUP(V$5,NFI,5,0),1,0)*Table_NFI[[#This Row],[Jerry Can]],Table_NFI[Jerry Can])</f>
        <v>0</v>
      </c>
      <c r="AO945" s="579" t="str">
        <f>IFERROR(VLOOKUP(Table_NFI[[#This Row],[Camp Name]],CL,2,0),"")</f>
        <v/>
      </c>
      <c r="AP945" s="574" t="str">
        <f ca="1">IF(Table_NFI[[#This Row],[Pcode]]="","",IF(OFFSET(CampList[Opening Date],MATCH(Table_NFI[[#This Row],[Pcode]],CampList[CP_Pcode],0)-1,0,1,1)&gt;=NFI_Monitor_Date,1,0))</f>
        <v/>
      </c>
      <c r="AQ945" s="579" t="str">
        <f>IFERROR(VLOOKUP(Table_NFI[[#This Row],[Camp Name]],CL,3,0),"")</f>
        <v/>
      </c>
      <c r="AR945" s="378" t="str">
        <f ca="1">IF(Table_NFI[[#This Row],[Pcode]]="","",OFFSET(CampList[Priority],MATCH(Table_NFI[[#This Row],[Pcode]],CampList[CP_Pcode],0)-1,0,1,1))</f>
        <v/>
      </c>
      <c r="AS945" s="377" t="str">
        <f>IFERROR(Table_NFI[[#This Row],[Kitchen Set]]/VLOOKUP(Table_NFI[[#This Row],[Camp Name]],CL,4,0),"")</f>
        <v/>
      </c>
      <c r="AT945" s="572" t="s">
        <v>1095</v>
      </c>
      <c r="AU945" s="580"/>
    </row>
    <row r="946" spans="1:47" s="585" customFormat="1" ht="15.75" customHeight="1" x14ac:dyDescent="0.25">
      <c r="A946" s="381" t="str">
        <f t="shared" si="14"/>
        <v/>
      </c>
      <c r="B946" s="571"/>
      <c r="C946" s="577"/>
      <c r="D946" s="577"/>
      <c r="E946" s="577"/>
      <c r="F946" s="577"/>
      <c r="G946" s="577"/>
      <c r="H946" s="376"/>
      <c r="I946" s="376"/>
      <c r="J946" s="376"/>
      <c r="K946" s="376"/>
      <c r="L946" s="376"/>
      <c r="M946" s="376"/>
      <c r="N946" s="376"/>
      <c r="O946" s="376"/>
      <c r="P946" s="378"/>
      <c r="Q946" s="378"/>
      <c r="R946" s="378"/>
      <c r="S946" s="378"/>
      <c r="T946" s="378"/>
      <c r="U946" s="378"/>
      <c r="V946" s="533"/>
      <c r="W946" s="418"/>
      <c r="X946" s="418"/>
      <c r="Y946" s="378">
        <f>IF(NFI_Expiration=1,IF($A946&lt;VLOOKUP(H$5,NFI,5,0),1,0)*Table_NFI[[#This Row],[Hygiene Kit]],Table_NFI[Hygiene Kit])</f>
        <v>0</v>
      </c>
      <c r="Z946" s="378">
        <f>IF(NFI_Expiration=1,IF($A946&lt;VLOOKUP(I$5,NFI,5,0),1,0)*Table_NFI[[#This Row],[NFI Core Kit]],Table_NFI[NFI Core Kit])</f>
        <v>0</v>
      </c>
      <c r="AA946" s="378">
        <f>IF(NFI_Expiration=1,IF($A946&lt;VLOOKUP(J$5,NFI,5,0),1,0)*Table_NFI[[#This Row],[Sanitary Kit]],Table_NFI[Sanitary Kit])</f>
        <v>0</v>
      </c>
      <c r="AB946" s="378">
        <f>IF(NFI_Expiration=1,IF($A946&lt;VLOOKUP(K$5,NFI,5,0),1,0)*Table_NFI[[#This Row],[Mosquito net]],Table_NFI[Mosquito net])</f>
        <v>0</v>
      </c>
      <c r="AC946" s="378">
        <f>IF(NFI_Expiration=1,IF($A946&lt;VLOOKUP(L$5,NFI,5,0),1,0)*Table_NFI[[#This Row],[Tarpaulin]],Table_NFI[[#This Row],[Tarpaulin]])</f>
        <v>0</v>
      </c>
      <c r="AD946" s="378">
        <f>IF(NFI_Expiration=1,IF($A946&lt;VLOOKUP(M$5,NFI,5,0),1,0)*Table_NFI[[#This Row],[Blanket]],Table_NFI[[#This Row],[Blanket]])</f>
        <v>0</v>
      </c>
      <c r="AE946" s="378">
        <f>IF(NFI_Expiration=1,IF($A946&lt;VLOOKUP(N$5,NFI,5,0),1,0)*Table_NFI[[#This Row],[Kitchen Set]],Table_NFI[Kitchen Set])</f>
        <v>0</v>
      </c>
      <c r="AF946" s="378">
        <f>IF(NFI_Expiration=1,IF($A946&lt;VLOOKUP(O$5,NFI,5,0),1,0)*Table_NFI[[#This Row],[Clothes Kit]],Table_NFI[Clothes Kit])</f>
        <v>0</v>
      </c>
      <c r="AG946" s="378">
        <f>IF(NFI_Expiration=1,IF($A946&lt;VLOOKUP(P$5,NFI,5,0),1,0)*Table_NFI[[#This Row],[Plastic Bucket]],Table_NFI[Plastic Bucket])</f>
        <v>0</v>
      </c>
      <c r="AH946" s="378">
        <f>IF(NFI_Expiration=1,IF($A946&lt;VLOOKUP(Q$5,NFI,5,0),1,0)*Table_NFI[[#This Row],[Plastic Mat]],Table_NFI[Plastic Mat])*IF(Table_NFI[[#This Row],[Distribution Date]]&gt;"2014-04-01",1,2.5)</f>
        <v>0</v>
      </c>
      <c r="AI946" s="378">
        <f>IF(NFI_Expiration=1,IF($A946&lt;VLOOKUP(R$5,NFI,5,0),1,0)*Table_NFI[[#This Row],[Winter Clothes Adult]],Table_NFI[Winter Clothes Adult])</f>
        <v>0</v>
      </c>
      <c r="AJ946" s="378">
        <f>IF(NFI_Expiration=1,IF($A946&lt;VLOOKUP(S$5,NFI,5,0),1,0)*Table_NFI[[#This Row],[Winter Clothes Children]],Table_NFI[Winter Clothes Children])</f>
        <v>0</v>
      </c>
      <c r="AK946" s="378">
        <f>IF(NFI_Expiration=1,IF($A946&lt;VLOOKUP(T$5,NFI,5,0),1,0)*Table_NFI[[#This Row],[Winter Items Other]],Table_NFI[Winter Items Other])</f>
        <v>0</v>
      </c>
      <c r="AL946" s="378">
        <f>IF(NFI_Expiration=1,IF($A946&lt;VLOOKUP(M$5,NFI,5,0),1,0)*Table_NFI[[#This Row],[Winter Blanket]],Table_NFI[[#This Row],[Winter Blanket]])</f>
        <v>0</v>
      </c>
      <c r="AM946" s="378">
        <f>IF(Table_NFI[[#This Row],[Winter Clothes Adult]]+Table_NFI[[#This Row],[Winter Clothes Children]]+Table_NFI[[#This Row],[Winter Items Other]]+Table_NFI[[#This Row],[Winter Blanket]]&gt;0,1,0)</f>
        <v>0</v>
      </c>
      <c r="AN946" s="418">
        <f>IF(NFI_Expiration=1,IF($A946&lt;VLOOKUP(V$5,NFI,5,0),1,0)*Table_NFI[[#This Row],[Jerry Can]],Table_NFI[Jerry Can])</f>
        <v>0</v>
      </c>
      <c r="AO946" s="579" t="str">
        <f>IFERROR(VLOOKUP(Table_NFI[[#This Row],[Camp Name]],CL,2,0),"")</f>
        <v/>
      </c>
      <c r="AP946" s="574" t="str">
        <f ca="1">IF(Table_NFI[[#This Row],[Pcode]]="","",IF(OFFSET(CampList[Opening Date],MATCH(Table_NFI[[#This Row],[Pcode]],CampList[CP_Pcode],0)-1,0,1,1)&gt;=NFI_Monitor_Date,1,0))</f>
        <v/>
      </c>
      <c r="AQ946" s="579" t="str">
        <f>IFERROR(VLOOKUP(Table_NFI[[#This Row],[Camp Name]],CL,3,0),"")</f>
        <v/>
      </c>
      <c r="AR946" s="378" t="str">
        <f ca="1">IF(Table_NFI[[#This Row],[Pcode]]="","",OFFSET(CampList[Priority],MATCH(Table_NFI[[#This Row],[Pcode]],CampList[CP_Pcode],0)-1,0,1,1))</f>
        <v/>
      </c>
      <c r="AS946" s="377" t="str">
        <f>IFERROR(Table_NFI[[#This Row],[Kitchen Set]]/VLOOKUP(Table_NFI[[#This Row],[Camp Name]],CL,4,0),"")</f>
        <v/>
      </c>
      <c r="AT946" s="572" t="s">
        <v>1095</v>
      </c>
      <c r="AU946" s="580"/>
    </row>
    <row r="947" spans="1:47" s="585" customFormat="1" ht="15.75" customHeight="1" x14ac:dyDescent="0.25">
      <c r="A947" s="381" t="str">
        <f t="shared" si="14"/>
        <v/>
      </c>
      <c r="B947" s="571"/>
      <c r="C947" s="577"/>
      <c r="D947" s="577"/>
      <c r="E947" s="577"/>
      <c r="F947" s="577"/>
      <c r="G947" s="577"/>
      <c r="H947" s="376"/>
      <c r="I947" s="376"/>
      <c r="J947" s="376"/>
      <c r="K947" s="376"/>
      <c r="L947" s="376"/>
      <c r="M947" s="376"/>
      <c r="N947" s="376"/>
      <c r="O947" s="376"/>
      <c r="P947" s="378"/>
      <c r="Q947" s="378"/>
      <c r="R947" s="378"/>
      <c r="S947" s="378"/>
      <c r="T947" s="378"/>
      <c r="U947" s="378"/>
      <c r="V947" s="533"/>
      <c r="W947" s="418"/>
      <c r="X947" s="418"/>
      <c r="Y947" s="378">
        <f>IF(NFI_Expiration=1,IF($A947&lt;VLOOKUP(H$5,NFI,5,0),1,0)*Table_NFI[[#This Row],[Hygiene Kit]],Table_NFI[Hygiene Kit])</f>
        <v>0</v>
      </c>
      <c r="Z947" s="378">
        <f>IF(NFI_Expiration=1,IF($A947&lt;VLOOKUP(I$5,NFI,5,0),1,0)*Table_NFI[[#This Row],[NFI Core Kit]],Table_NFI[NFI Core Kit])</f>
        <v>0</v>
      </c>
      <c r="AA947" s="378">
        <f>IF(NFI_Expiration=1,IF($A947&lt;VLOOKUP(J$5,NFI,5,0),1,0)*Table_NFI[[#This Row],[Sanitary Kit]],Table_NFI[Sanitary Kit])</f>
        <v>0</v>
      </c>
      <c r="AB947" s="378">
        <f>IF(NFI_Expiration=1,IF($A947&lt;VLOOKUP(K$5,NFI,5,0),1,0)*Table_NFI[[#This Row],[Mosquito net]],Table_NFI[Mosquito net])</f>
        <v>0</v>
      </c>
      <c r="AC947" s="378">
        <f>IF(NFI_Expiration=1,IF($A947&lt;VLOOKUP(L$5,NFI,5,0),1,0)*Table_NFI[[#This Row],[Tarpaulin]],Table_NFI[[#This Row],[Tarpaulin]])</f>
        <v>0</v>
      </c>
      <c r="AD947" s="378">
        <f>IF(NFI_Expiration=1,IF($A947&lt;VLOOKUP(M$5,NFI,5,0),1,0)*Table_NFI[[#This Row],[Blanket]],Table_NFI[[#This Row],[Blanket]])</f>
        <v>0</v>
      </c>
      <c r="AE947" s="378">
        <f>IF(NFI_Expiration=1,IF($A947&lt;VLOOKUP(N$5,NFI,5,0),1,0)*Table_NFI[[#This Row],[Kitchen Set]],Table_NFI[Kitchen Set])</f>
        <v>0</v>
      </c>
      <c r="AF947" s="378">
        <f>IF(NFI_Expiration=1,IF($A947&lt;VLOOKUP(O$5,NFI,5,0),1,0)*Table_NFI[[#This Row],[Clothes Kit]],Table_NFI[Clothes Kit])</f>
        <v>0</v>
      </c>
      <c r="AG947" s="378">
        <f>IF(NFI_Expiration=1,IF($A947&lt;VLOOKUP(P$5,NFI,5,0),1,0)*Table_NFI[[#This Row],[Plastic Bucket]],Table_NFI[Plastic Bucket])</f>
        <v>0</v>
      </c>
      <c r="AH947" s="378">
        <f>IF(NFI_Expiration=1,IF($A947&lt;VLOOKUP(Q$5,NFI,5,0),1,0)*Table_NFI[[#This Row],[Plastic Mat]],Table_NFI[Plastic Mat])*IF(Table_NFI[[#This Row],[Distribution Date]]&gt;"2014-04-01",1,2.5)</f>
        <v>0</v>
      </c>
      <c r="AI947" s="378">
        <f>IF(NFI_Expiration=1,IF($A947&lt;VLOOKUP(R$5,NFI,5,0),1,0)*Table_NFI[[#This Row],[Winter Clothes Adult]],Table_NFI[Winter Clothes Adult])</f>
        <v>0</v>
      </c>
      <c r="AJ947" s="378">
        <f>IF(NFI_Expiration=1,IF($A947&lt;VLOOKUP(S$5,NFI,5,0),1,0)*Table_NFI[[#This Row],[Winter Clothes Children]],Table_NFI[Winter Clothes Children])</f>
        <v>0</v>
      </c>
      <c r="AK947" s="378">
        <f>IF(NFI_Expiration=1,IF($A947&lt;VLOOKUP(T$5,NFI,5,0),1,0)*Table_NFI[[#This Row],[Winter Items Other]],Table_NFI[Winter Items Other])</f>
        <v>0</v>
      </c>
      <c r="AL947" s="378">
        <f>IF(NFI_Expiration=1,IF($A947&lt;VLOOKUP(M$5,NFI,5,0),1,0)*Table_NFI[[#This Row],[Winter Blanket]],Table_NFI[[#This Row],[Winter Blanket]])</f>
        <v>0</v>
      </c>
      <c r="AM947" s="378">
        <f>IF(Table_NFI[[#This Row],[Winter Clothes Adult]]+Table_NFI[[#This Row],[Winter Clothes Children]]+Table_NFI[[#This Row],[Winter Items Other]]+Table_NFI[[#This Row],[Winter Blanket]]&gt;0,1,0)</f>
        <v>0</v>
      </c>
      <c r="AN947" s="418">
        <f>IF(NFI_Expiration=1,IF($A947&lt;VLOOKUP(V$5,NFI,5,0),1,0)*Table_NFI[[#This Row],[Jerry Can]],Table_NFI[Jerry Can])</f>
        <v>0</v>
      </c>
      <c r="AO947" s="579" t="str">
        <f>IFERROR(VLOOKUP(Table_NFI[[#This Row],[Camp Name]],CL,2,0),"")</f>
        <v/>
      </c>
      <c r="AP947" s="574" t="str">
        <f ca="1">IF(Table_NFI[[#This Row],[Pcode]]="","",IF(OFFSET(CampList[Opening Date],MATCH(Table_NFI[[#This Row],[Pcode]],CampList[CP_Pcode],0)-1,0,1,1)&gt;=NFI_Monitor_Date,1,0))</f>
        <v/>
      </c>
      <c r="AQ947" s="579" t="str">
        <f>IFERROR(VLOOKUP(Table_NFI[[#This Row],[Camp Name]],CL,3,0),"")</f>
        <v/>
      </c>
      <c r="AR947" s="378" t="str">
        <f ca="1">IF(Table_NFI[[#This Row],[Pcode]]="","",OFFSET(CampList[Priority],MATCH(Table_NFI[[#This Row],[Pcode]],CampList[CP_Pcode],0)-1,0,1,1))</f>
        <v/>
      </c>
      <c r="AS947" s="377" t="str">
        <f>IFERROR(Table_NFI[[#This Row],[Kitchen Set]]/VLOOKUP(Table_NFI[[#This Row],[Camp Name]],CL,4,0),"")</f>
        <v/>
      </c>
      <c r="AT947" s="572" t="s">
        <v>1095</v>
      </c>
      <c r="AU947" s="580"/>
    </row>
    <row r="948" spans="1:47" s="585" customFormat="1" ht="15.75" customHeight="1" x14ac:dyDescent="0.25">
      <c r="A948" s="381" t="str">
        <f t="shared" si="14"/>
        <v/>
      </c>
      <c r="B948" s="571"/>
      <c r="C948" s="577"/>
      <c r="D948" s="577"/>
      <c r="E948" s="577"/>
      <c r="F948" s="577"/>
      <c r="G948" s="577"/>
      <c r="H948" s="376"/>
      <c r="I948" s="376"/>
      <c r="J948" s="376"/>
      <c r="K948" s="376"/>
      <c r="L948" s="376"/>
      <c r="M948" s="376"/>
      <c r="N948" s="376"/>
      <c r="O948" s="376"/>
      <c r="P948" s="378"/>
      <c r="Q948" s="378"/>
      <c r="R948" s="378"/>
      <c r="S948" s="378"/>
      <c r="T948" s="378"/>
      <c r="U948" s="378"/>
      <c r="V948" s="533"/>
      <c r="W948" s="418"/>
      <c r="X948" s="418"/>
      <c r="Y948" s="378">
        <f>IF(NFI_Expiration=1,IF($A948&lt;VLOOKUP(H$5,NFI,5,0),1,0)*Table_NFI[[#This Row],[Hygiene Kit]],Table_NFI[Hygiene Kit])</f>
        <v>0</v>
      </c>
      <c r="Z948" s="378">
        <f>IF(NFI_Expiration=1,IF($A948&lt;VLOOKUP(I$5,NFI,5,0),1,0)*Table_NFI[[#This Row],[NFI Core Kit]],Table_NFI[NFI Core Kit])</f>
        <v>0</v>
      </c>
      <c r="AA948" s="378">
        <f>IF(NFI_Expiration=1,IF($A948&lt;VLOOKUP(J$5,NFI,5,0),1,0)*Table_NFI[[#This Row],[Sanitary Kit]],Table_NFI[Sanitary Kit])</f>
        <v>0</v>
      </c>
      <c r="AB948" s="378">
        <f>IF(NFI_Expiration=1,IF($A948&lt;VLOOKUP(K$5,NFI,5,0),1,0)*Table_NFI[[#This Row],[Mosquito net]],Table_NFI[Mosquito net])</f>
        <v>0</v>
      </c>
      <c r="AC948" s="378">
        <f>IF(NFI_Expiration=1,IF($A948&lt;VLOOKUP(L$5,NFI,5,0),1,0)*Table_NFI[[#This Row],[Tarpaulin]],Table_NFI[[#This Row],[Tarpaulin]])</f>
        <v>0</v>
      </c>
      <c r="AD948" s="378">
        <f>IF(NFI_Expiration=1,IF($A948&lt;VLOOKUP(M$5,NFI,5,0),1,0)*Table_NFI[[#This Row],[Blanket]],Table_NFI[[#This Row],[Blanket]])</f>
        <v>0</v>
      </c>
      <c r="AE948" s="378">
        <f>IF(NFI_Expiration=1,IF($A948&lt;VLOOKUP(N$5,NFI,5,0),1,0)*Table_NFI[[#This Row],[Kitchen Set]],Table_NFI[Kitchen Set])</f>
        <v>0</v>
      </c>
      <c r="AF948" s="378">
        <f>IF(NFI_Expiration=1,IF($A948&lt;VLOOKUP(O$5,NFI,5,0),1,0)*Table_NFI[[#This Row],[Clothes Kit]],Table_NFI[Clothes Kit])</f>
        <v>0</v>
      </c>
      <c r="AG948" s="378">
        <f>IF(NFI_Expiration=1,IF($A948&lt;VLOOKUP(P$5,NFI,5,0),1,0)*Table_NFI[[#This Row],[Plastic Bucket]],Table_NFI[Plastic Bucket])</f>
        <v>0</v>
      </c>
      <c r="AH948" s="378">
        <f>IF(NFI_Expiration=1,IF($A948&lt;VLOOKUP(Q$5,NFI,5,0),1,0)*Table_NFI[[#This Row],[Plastic Mat]],Table_NFI[Plastic Mat])*IF(Table_NFI[[#This Row],[Distribution Date]]&gt;"2014-04-01",1,2.5)</f>
        <v>0</v>
      </c>
      <c r="AI948" s="378">
        <f>IF(NFI_Expiration=1,IF($A948&lt;VLOOKUP(R$5,NFI,5,0),1,0)*Table_NFI[[#This Row],[Winter Clothes Adult]],Table_NFI[Winter Clothes Adult])</f>
        <v>0</v>
      </c>
      <c r="AJ948" s="378">
        <f>IF(NFI_Expiration=1,IF($A948&lt;VLOOKUP(S$5,NFI,5,0),1,0)*Table_NFI[[#This Row],[Winter Clothes Children]],Table_NFI[Winter Clothes Children])</f>
        <v>0</v>
      </c>
      <c r="AK948" s="378">
        <f>IF(NFI_Expiration=1,IF($A948&lt;VLOOKUP(T$5,NFI,5,0),1,0)*Table_NFI[[#This Row],[Winter Items Other]],Table_NFI[Winter Items Other])</f>
        <v>0</v>
      </c>
      <c r="AL948" s="378">
        <f>IF(NFI_Expiration=1,IF($A948&lt;VLOOKUP(M$5,NFI,5,0),1,0)*Table_NFI[[#This Row],[Winter Blanket]],Table_NFI[[#This Row],[Winter Blanket]])</f>
        <v>0</v>
      </c>
      <c r="AM948" s="378">
        <f>IF(Table_NFI[[#This Row],[Winter Clothes Adult]]+Table_NFI[[#This Row],[Winter Clothes Children]]+Table_NFI[[#This Row],[Winter Items Other]]+Table_NFI[[#This Row],[Winter Blanket]]&gt;0,1,0)</f>
        <v>0</v>
      </c>
      <c r="AN948" s="418">
        <f>IF(NFI_Expiration=1,IF($A948&lt;VLOOKUP(V$5,NFI,5,0),1,0)*Table_NFI[[#This Row],[Jerry Can]],Table_NFI[Jerry Can])</f>
        <v>0</v>
      </c>
      <c r="AO948" s="579" t="str">
        <f>IFERROR(VLOOKUP(Table_NFI[[#This Row],[Camp Name]],CL,2,0),"")</f>
        <v/>
      </c>
      <c r="AP948" s="574" t="str">
        <f ca="1">IF(Table_NFI[[#This Row],[Pcode]]="","",IF(OFFSET(CampList[Opening Date],MATCH(Table_NFI[[#This Row],[Pcode]],CampList[CP_Pcode],0)-1,0,1,1)&gt;=NFI_Monitor_Date,1,0))</f>
        <v/>
      </c>
      <c r="AQ948" s="579" t="str">
        <f>IFERROR(VLOOKUP(Table_NFI[[#This Row],[Camp Name]],CL,3,0),"")</f>
        <v/>
      </c>
      <c r="AR948" s="378" t="str">
        <f ca="1">IF(Table_NFI[[#This Row],[Pcode]]="","",OFFSET(CampList[Priority],MATCH(Table_NFI[[#This Row],[Pcode]],CampList[CP_Pcode],0)-1,0,1,1))</f>
        <v/>
      </c>
      <c r="AS948" s="377" t="str">
        <f>IFERROR(Table_NFI[[#This Row],[Kitchen Set]]/VLOOKUP(Table_NFI[[#This Row],[Camp Name]],CL,4,0),"")</f>
        <v/>
      </c>
      <c r="AT948" s="572" t="s">
        <v>1095</v>
      </c>
      <c r="AU948" s="580"/>
    </row>
    <row r="949" spans="1:47" s="585" customFormat="1" ht="15.75" customHeight="1" x14ac:dyDescent="0.25">
      <c r="A949" s="381" t="str">
        <f t="shared" si="14"/>
        <v/>
      </c>
      <c r="B949" s="571"/>
      <c r="C949" s="577"/>
      <c r="D949" s="577"/>
      <c r="E949" s="577"/>
      <c r="F949" s="577"/>
      <c r="G949" s="577"/>
      <c r="H949" s="376"/>
      <c r="I949" s="376"/>
      <c r="J949" s="376"/>
      <c r="K949" s="376"/>
      <c r="L949" s="376"/>
      <c r="M949" s="376"/>
      <c r="N949" s="376"/>
      <c r="O949" s="376"/>
      <c r="P949" s="378"/>
      <c r="Q949" s="378"/>
      <c r="R949" s="378"/>
      <c r="S949" s="378"/>
      <c r="T949" s="378"/>
      <c r="U949" s="378"/>
      <c r="V949" s="533"/>
      <c r="W949" s="418"/>
      <c r="X949" s="418"/>
      <c r="Y949" s="378">
        <f>IF(NFI_Expiration=1,IF($A949&lt;VLOOKUP(H$5,NFI,5,0),1,0)*Table_NFI[[#This Row],[Hygiene Kit]],Table_NFI[Hygiene Kit])</f>
        <v>0</v>
      </c>
      <c r="Z949" s="378">
        <f>IF(NFI_Expiration=1,IF($A949&lt;VLOOKUP(I$5,NFI,5,0),1,0)*Table_NFI[[#This Row],[NFI Core Kit]],Table_NFI[NFI Core Kit])</f>
        <v>0</v>
      </c>
      <c r="AA949" s="378">
        <f>IF(NFI_Expiration=1,IF($A949&lt;VLOOKUP(J$5,NFI,5,0),1,0)*Table_NFI[[#This Row],[Sanitary Kit]],Table_NFI[Sanitary Kit])</f>
        <v>0</v>
      </c>
      <c r="AB949" s="378">
        <f>IF(NFI_Expiration=1,IF($A949&lt;VLOOKUP(K$5,NFI,5,0),1,0)*Table_NFI[[#This Row],[Mosquito net]],Table_NFI[Mosquito net])</f>
        <v>0</v>
      </c>
      <c r="AC949" s="378">
        <f>IF(NFI_Expiration=1,IF($A949&lt;VLOOKUP(L$5,NFI,5,0),1,0)*Table_NFI[[#This Row],[Tarpaulin]],Table_NFI[[#This Row],[Tarpaulin]])</f>
        <v>0</v>
      </c>
      <c r="AD949" s="378">
        <f>IF(NFI_Expiration=1,IF($A949&lt;VLOOKUP(M$5,NFI,5,0),1,0)*Table_NFI[[#This Row],[Blanket]],Table_NFI[[#This Row],[Blanket]])</f>
        <v>0</v>
      </c>
      <c r="AE949" s="378">
        <f>IF(NFI_Expiration=1,IF($A949&lt;VLOOKUP(N$5,NFI,5,0),1,0)*Table_NFI[[#This Row],[Kitchen Set]],Table_NFI[Kitchen Set])</f>
        <v>0</v>
      </c>
      <c r="AF949" s="378">
        <f>IF(NFI_Expiration=1,IF($A949&lt;VLOOKUP(O$5,NFI,5,0),1,0)*Table_NFI[[#This Row],[Clothes Kit]],Table_NFI[Clothes Kit])</f>
        <v>0</v>
      </c>
      <c r="AG949" s="378">
        <f>IF(NFI_Expiration=1,IF($A949&lt;VLOOKUP(P$5,NFI,5,0),1,0)*Table_NFI[[#This Row],[Plastic Bucket]],Table_NFI[Plastic Bucket])</f>
        <v>0</v>
      </c>
      <c r="AH949" s="378">
        <f>IF(NFI_Expiration=1,IF($A949&lt;VLOOKUP(Q$5,NFI,5,0),1,0)*Table_NFI[[#This Row],[Plastic Mat]],Table_NFI[Plastic Mat])*IF(Table_NFI[[#This Row],[Distribution Date]]&gt;"2014-04-01",1,2.5)</f>
        <v>0</v>
      </c>
      <c r="AI949" s="378">
        <f>IF(NFI_Expiration=1,IF($A949&lt;VLOOKUP(R$5,NFI,5,0),1,0)*Table_NFI[[#This Row],[Winter Clothes Adult]],Table_NFI[Winter Clothes Adult])</f>
        <v>0</v>
      </c>
      <c r="AJ949" s="378">
        <f>IF(NFI_Expiration=1,IF($A949&lt;VLOOKUP(S$5,NFI,5,0),1,0)*Table_NFI[[#This Row],[Winter Clothes Children]],Table_NFI[Winter Clothes Children])</f>
        <v>0</v>
      </c>
      <c r="AK949" s="378">
        <f>IF(NFI_Expiration=1,IF($A949&lt;VLOOKUP(T$5,NFI,5,0),1,0)*Table_NFI[[#This Row],[Winter Items Other]],Table_NFI[Winter Items Other])</f>
        <v>0</v>
      </c>
      <c r="AL949" s="378">
        <f>IF(NFI_Expiration=1,IF($A949&lt;VLOOKUP(M$5,NFI,5,0),1,0)*Table_NFI[[#This Row],[Winter Blanket]],Table_NFI[[#This Row],[Winter Blanket]])</f>
        <v>0</v>
      </c>
      <c r="AM949" s="378">
        <f>IF(Table_NFI[[#This Row],[Winter Clothes Adult]]+Table_NFI[[#This Row],[Winter Clothes Children]]+Table_NFI[[#This Row],[Winter Items Other]]+Table_NFI[[#This Row],[Winter Blanket]]&gt;0,1,0)</f>
        <v>0</v>
      </c>
      <c r="AN949" s="418">
        <f>IF(NFI_Expiration=1,IF($A949&lt;VLOOKUP(V$5,NFI,5,0),1,0)*Table_NFI[[#This Row],[Jerry Can]],Table_NFI[Jerry Can])</f>
        <v>0</v>
      </c>
      <c r="AO949" s="579" t="str">
        <f>IFERROR(VLOOKUP(Table_NFI[[#This Row],[Camp Name]],CL,2,0),"")</f>
        <v/>
      </c>
      <c r="AP949" s="574" t="str">
        <f ca="1">IF(Table_NFI[[#This Row],[Pcode]]="","",IF(OFFSET(CampList[Opening Date],MATCH(Table_NFI[[#This Row],[Pcode]],CampList[CP_Pcode],0)-1,0,1,1)&gt;=NFI_Monitor_Date,1,0))</f>
        <v/>
      </c>
      <c r="AQ949" s="579" t="str">
        <f>IFERROR(VLOOKUP(Table_NFI[[#This Row],[Camp Name]],CL,3,0),"")</f>
        <v/>
      </c>
      <c r="AR949" s="378" t="str">
        <f ca="1">IF(Table_NFI[[#This Row],[Pcode]]="","",OFFSET(CampList[Priority],MATCH(Table_NFI[[#This Row],[Pcode]],CampList[CP_Pcode],0)-1,0,1,1))</f>
        <v/>
      </c>
      <c r="AS949" s="377" t="str">
        <f>IFERROR(Table_NFI[[#This Row],[Kitchen Set]]/VLOOKUP(Table_NFI[[#This Row],[Camp Name]],CL,4,0),"")</f>
        <v/>
      </c>
      <c r="AT949" s="572" t="s">
        <v>1095</v>
      </c>
      <c r="AU949" s="580"/>
    </row>
    <row r="950" spans="1:47" s="585" customFormat="1" x14ac:dyDescent="0.25">
      <c r="A950" s="381" t="str">
        <f t="shared" si="14"/>
        <v/>
      </c>
      <c r="B950" s="571"/>
      <c r="C950" s="577"/>
      <c r="D950" s="577"/>
      <c r="E950" s="577"/>
      <c r="F950" s="577"/>
      <c r="G950" s="577"/>
      <c r="H950" s="376"/>
      <c r="I950" s="376"/>
      <c r="J950" s="376"/>
      <c r="K950" s="376"/>
      <c r="L950" s="376"/>
      <c r="M950" s="376"/>
      <c r="N950" s="376"/>
      <c r="O950" s="376"/>
      <c r="P950" s="378"/>
      <c r="Q950" s="378"/>
      <c r="R950" s="378"/>
      <c r="S950" s="378"/>
      <c r="T950" s="378"/>
      <c r="U950" s="378"/>
      <c r="V950" s="533"/>
      <c r="W950" s="418"/>
      <c r="X950" s="418"/>
      <c r="Y950" s="378">
        <f>IF(NFI_Expiration=1,IF($A950&lt;VLOOKUP(H$5,NFI,5,0),1,0)*Table_NFI[[#This Row],[Hygiene Kit]],Table_NFI[Hygiene Kit])</f>
        <v>0</v>
      </c>
      <c r="Z950" s="378">
        <f>IF(NFI_Expiration=1,IF($A950&lt;VLOOKUP(I$5,NFI,5,0),1,0)*Table_NFI[[#This Row],[NFI Core Kit]],Table_NFI[NFI Core Kit])</f>
        <v>0</v>
      </c>
      <c r="AA950" s="378">
        <f>IF(NFI_Expiration=1,IF($A950&lt;VLOOKUP(J$5,NFI,5,0),1,0)*Table_NFI[[#This Row],[Sanitary Kit]],Table_NFI[Sanitary Kit])</f>
        <v>0</v>
      </c>
      <c r="AB950" s="378">
        <f>IF(NFI_Expiration=1,IF($A950&lt;VLOOKUP(K$5,NFI,5,0),1,0)*Table_NFI[[#This Row],[Mosquito net]],Table_NFI[Mosquito net])</f>
        <v>0</v>
      </c>
      <c r="AC950" s="378">
        <f>IF(NFI_Expiration=1,IF($A950&lt;VLOOKUP(L$5,NFI,5,0),1,0)*Table_NFI[[#This Row],[Tarpaulin]],Table_NFI[[#This Row],[Tarpaulin]])</f>
        <v>0</v>
      </c>
      <c r="AD950" s="378">
        <f>IF(NFI_Expiration=1,IF($A950&lt;VLOOKUP(M$5,NFI,5,0),1,0)*Table_NFI[[#This Row],[Blanket]],Table_NFI[[#This Row],[Blanket]])</f>
        <v>0</v>
      </c>
      <c r="AE950" s="378">
        <f>IF(NFI_Expiration=1,IF($A950&lt;VLOOKUP(N$5,NFI,5,0),1,0)*Table_NFI[[#This Row],[Kitchen Set]],Table_NFI[Kitchen Set])</f>
        <v>0</v>
      </c>
      <c r="AF950" s="378">
        <f>IF(NFI_Expiration=1,IF($A950&lt;VLOOKUP(O$5,NFI,5,0),1,0)*Table_NFI[[#This Row],[Clothes Kit]],Table_NFI[Clothes Kit])</f>
        <v>0</v>
      </c>
      <c r="AG950" s="378">
        <f>IF(NFI_Expiration=1,IF($A950&lt;VLOOKUP(P$5,NFI,5,0),1,0)*Table_NFI[[#This Row],[Plastic Bucket]],Table_NFI[Plastic Bucket])</f>
        <v>0</v>
      </c>
      <c r="AH950" s="378">
        <f>IF(NFI_Expiration=1,IF($A950&lt;VLOOKUP(Q$5,NFI,5,0),1,0)*Table_NFI[[#This Row],[Plastic Mat]],Table_NFI[Plastic Mat])*IF(Table_NFI[[#This Row],[Distribution Date]]&gt;"2014-04-01",1,2.5)</f>
        <v>0</v>
      </c>
      <c r="AI950" s="378">
        <f>IF(NFI_Expiration=1,IF($A950&lt;VLOOKUP(R$5,NFI,5,0),1,0)*Table_NFI[[#This Row],[Winter Clothes Adult]],Table_NFI[Winter Clothes Adult])</f>
        <v>0</v>
      </c>
      <c r="AJ950" s="378">
        <f>IF(NFI_Expiration=1,IF($A950&lt;VLOOKUP(S$5,NFI,5,0),1,0)*Table_NFI[[#This Row],[Winter Clothes Children]],Table_NFI[Winter Clothes Children])</f>
        <v>0</v>
      </c>
      <c r="AK950" s="378">
        <f>IF(NFI_Expiration=1,IF($A950&lt;VLOOKUP(T$5,NFI,5,0),1,0)*Table_NFI[[#This Row],[Winter Items Other]],Table_NFI[Winter Items Other])</f>
        <v>0</v>
      </c>
      <c r="AL950" s="378">
        <f>IF(NFI_Expiration=1,IF($A950&lt;VLOOKUP(M$5,NFI,5,0),1,0)*Table_NFI[[#This Row],[Winter Blanket]],Table_NFI[[#This Row],[Winter Blanket]])</f>
        <v>0</v>
      </c>
      <c r="AM950" s="378">
        <f>IF(Table_NFI[[#This Row],[Winter Clothes Adult]]+Table_NFI[[#This Row],[Winter Clothes Children]]+Table_NFI[[#This Row],[Winter Items Other]]+Table_NFI[[#This Row],[Winter Blanket]]&gt;0,1,0)</f>
        <v>0</v>
      </c>
      <c r="AN950" s="418">
        <f>IF(NFI_Expiration=1,IF($A950&lt;VLOOKUP(V$5,NFI,5,0),1,0)*Table_NFI[[#This Row],[Jerry Can]],Table_NFI[Jerry Can])</f>
        <v>0</v>
      </c>
      <c r="AO950" s="579" t="str">
        <f>IFERROR(VLOOKUP(Table_NFI[[#This Row],[Camp Name]],CL,2,0),"")</f>
        <v/>
      </c>
      <c r="AP950" s="574" t="str">
        <f ca="1">IF(Table_NFI[[#This Row],[Pcode]]="","",IF(OFFSET(CampList[Opening Date],MATCH(Table_NFI[[#This Row],[Pcode]],CampList[CP_Pcode],0)-1,0,1,1)&gt;=NFI_Monitor_Date,1,0))</f>
        <v/>
      </c>
      <c r="AQ950" s="579" t="str">
        <f>IFERROR(VLOOKUP(Table_NFI[[#This Row],[Camp Name]],CL,3,0),"")</f>
        <v/>
      </c>
      <c r="AR950" s="378" t="str">
        <f ca="1">IF(Table_NFI[[#This Row],[Pcode]]="","",OFFSET(CampList[Priority],MATCH(Table_NFI[[#This Row],[Pcode]],CampList[CP_Pcode],0)-1,0,1,1))</f>
        <v/>
      </c>
      <c r="AS950" s="377" t="str">
        <f>IFERROR(Table_NFI[[#This Row],[Kitchen Set]]/VLOOKUP(Table_NFI[[#This Row],[Camp Name]],CL,4,0),"")</f>
        <v/>
      </c>
      <c r="AT950" s="572" t="s">
        <v>1095</v>
      </c>
      <c r="AU950" s="580"/>
    </row>
    <row r="951" spans="1:47" s="585" customFormat="1" ht="15.75" customHeight="1" x14ac:dyDescent="0.25">
      <c r="A951" s="381" t="str">
        <f t="shared" si="14"/>
        <v/>
      </c>
      <c r="B951" s="571"/>
      <c r="C951" s="577"/>
      <c r="D951" s="577"/>
      <c r="E951" s="577"/>
      <c r="F951" s="577"/>
      <c r="G951" s="577"/>
      <c r="H951" s="376"/>
      <c r="I951" s="376"/>
      <c r="J951" s="376"/>
      <c r="K951" s="376"/>
      <c r="L951" s="376"/>
      <c r="M951" s="376"/>
      <c r="N951" s="376"/>
      <c r="O951" s="376"/>
      <c r="P951" s="378"/>
      <c r="Q951" s="378"/>
      <c r="R951" s="378"/>
      <c r="S951" s="378"/>
      <c r="T951" s="378"/>
      <c r="U951" s="378"/>
      <c r="V951" s="533"/>
      <c r="W951" s="418"/>
      <c r="X951" s="418"/>
      <c r="Y951" s="378">
        <f>IF(NFI_Expiration=1,IF($A951&lt;VLOOKUP(H$5,NFI,5,0),1,0)*Table_NFI[[#This Row],[Hygiene Kit]],Table_NFI[Hygiene Kit])</f>
        <v>0</v>
      </c>
      <c r="Z951" s="378">
        <f>IF(NFI_Expiration=1,IF($A951&lt;VLOOKUP(I$5,NFI,5,0),1,0)*Table_NFI[[#This Row],[NFI Core Kit]],Table_NFI[NFI Core Kit])</f>
        <v>0</v>
      </c>
      <c r="AA951" s="378">
        <f>IF(NFI_Expiration=1,IF($A951&lt;VLOOKUP(J$5,NFI,5,0),1,0)*Table_NFI[[#This Row],[Sanitary Kit]],Table_NFI[Sanitary Kit])</f>
        <v>0</v>
      </c>
      <c r="AB951" s="378">
        <f>IF(NFI_Expiration=1,IF($A951&lt;VLOOKUP(K$5,NFI,5,0),1,0)*Table_NFI[[#This Row],[Mosquito net]],Table_NFI[Mosquito net])</f>
        <v>0</v>
      </c>
      <c r="AC951" s="378">
        <f>IF(NFI_Expiration=1,IF($A951&lt;VLOOKUP(L$5,NFI,5,0),1,0)*Table_NFI[[#This Row],[Tarpaulin]],Table_NFI[[#This Row],[Tarpaulin]])</f>
        <v>0</v>
      </c>
      <c r="AD951" s="378">
        <f>IF(NFI_Expiration=1,IF($A951&lt;VLOOKUP(M$5,NFI,5,0),1,0)*Table_NFI[[#This Row],[Blanket]],Table_NFI[[#This Row],[Blanket]])</f>
        <v>0</v>
      </c>
      <c r="AE951" s="378">
        <f>IF(NFI_Expiration=1,IF($A951&lt;VLOOKUP(N$5,NFI,5,0),1,0)*Table_NFI[[#This Row],[Kitchen Set]],Table_NFI[Kitchen Set])</f>
        <v>0</v>
      </c>
      <c r="AF951" s="378">
        <f>IF(NFI_Expiration=1,IF($A951&lt;VLOOKUP(O$5,NFI,5,0),1,0)*Table_NFI[[#This Row],[Clothes Kit]],Table_NFI[Clothes Kit])</f>
        <v>0</v>
      </c>
      <c r="AG951" s="378">
        <f>IF(NFI_Expiration=1,IF($A951&lt;VLOOKUP(P$5,NFI,5,0),1,0)*Table_NFI[[#This Row],[Plastic Bucket]],Table_NFI[Plastic Bucket])</f>
        <v>0</v>
      </c>
      <c r="AH951" s="378">
        <f>IF(NFI_Expiration=1,IF($A951&lt;VLOOKUP(Q$5,NFI,5,0),1,0)*Table_NFI[[#This Row],[Plastic Mat]],Table_NFI[Plastic Mat])*IF(Table_NFI[[#This Row],[Distribution Date]]&gt;"2014-04-01",1,2.5)</f>
        <v>0</v>
      </c>
      <c r="AI951" s="378">
        <f>IF(NFI_Expiration=1,IF($A951&lt;VLOOKUP(R$5,NFI,5,0),1,0)*Table_NFI[[#This Row],[Winter Clothes Adult]],Table_NFI[Winter Clothes Adult])</f>
        <v>0</v>
      </c>
      <c r="AJ951" s="378">
        <f>IF(NFI_Expiration=1,IF($A951&lt;VLOOKUP(S$5,NFI,5,0),1,0)*Table_NFI[[#This Row],[Winter Clothes Children]],Table_NFI[Winter Clothes Children])</f>
        <v>0</v>
      </c>
      <c r="AK951" s="378">
        <f>IF(NFI_Expiration=1,IF($A951&lt;VLOOKUP(T$5,NFI,5,0),1,0)*Table_NFI[[#This Row],[Winter Items Other]],Table_NFI[Winter Items Other])</f>
        <v>0</v>
      </c>
      <c r="AL951" s="378">
        <f>IF(NFI_Expiration=1,IF($A951&lt;VLOOKUP(M$5,NFI,5,0),1,0)*Table_NFI[[#This Row],[Winter Blanket]],Table_NFI[[#This Row],[Winter Blanket]])</f>
        <v>0</v>
      </c>
      <c r="AM951" s="378">
        <f>IF(Table_NFI[[#This Row],[Winter Clothes Adult]]+Table_NFI[[#This Row],[Winter Clothes Children]]+Table_NFI[[#This Row],[Winter Items Other]]+Table_NFI[[#This Row],[Winter Blanket]]&gt;0,1,0)</f>
        <v>0</v>
      </c>
      <c r="AN951" s="418">
        <f>IF(NFI_Expiration=1,IF($A951&lt;VLOOKUP(V$5,NFI,5,0),1,0)*Table_NFI[[#This Row],[Jerry Can]],Table_NFI[Jerry Can])</f>
        <v>0</v>
      </c>
      <c r="AO951" s="579" t="str">
        <f>IFERROR(VLOOKUP(Table_NFI[[#This Row],[Camp Name]],CL,2,0),"")</f>
        <v/>
      </c>
      <c r="AP951" s="574" t="str">
        <f ca="1">IF(Table_NFI[[#This Row],[Pcode]]="","",IF(OFFSET(CampList[Opening Date],MATCH(Table_NFI[[#This Row],[Pcode]],CampList[CP_Pcode],0)-1,0,1,1)&gt;=NFI_Monitor_Date,1,0))</f>
        <v/>
      </c>
      <c r="AQ951" s="579" t="str">
        <f>IFERROR(VLOOKUP(Table_NFI[[#This Row],[Camp Name]],CL,3,0),"")</f>
        <v/>
      </c>
      <c r="AR951" s="378" t="str">
        <f ca="1">IF(Table_NFI[[#This Row],[Pcode]]="","",OFFSET(CampList[Priority],MATCH(Table_NFI[[#This Row],[Pcode]],CampList[CP_Pcode],0)-1,0,1,1))</f>
        <v/>
      </c>
      <c r="AS951" s="377" t="str">
        <f>IFERROR(Table_NFI[[#This Row],[Kitchen Set]]/VLOOKUP(Table_NFI[[#This Row],[Camp Name]],CL,4,0),"")</f>
        <v/>
      </c>
      <c r="AT951" s="572" t="s">
        <v>1095</v>
      </c>
      <c r="AU951" s="580"/>
    </row>
    <row r="952" spans="1:47" s="585" customFormat="1" ht="15.75" customHeight="1" x14ac:dyDescent="0.25">
      <c r="A952" s="381" t="str">
        <f t="shared" si="14"/>
        <v/>
      </c>
      <c r="B952" s="571"/>
      <c r="C952" s="577"/>
      <c r="D952" s="577"/>
      <c r="E952" s="577"/>
      <c r="F952" s="577"/>
      <c r="G952" s="577"/>
      <c r="H952" s="376"/>
      <c r="I952" s="376"/>
      <c r="J952" s="376"/>
      <c r="K952" s="376"/>
      <c r="L952" s="376"/>
      <c r="M952" s="376"/>
      <c r="N952" s="376"/>
      <c r="O952" s="376"/>
      <c r="P952" s="378"/>
      <c r="Q952" s="378"/>
      <c r="R952" s="378"/>
      <c r="S952" s="378"/>
      <c r="T952" s="378"/>
      <c r="U952" s="378"/>
      <c r="V952" s="533"/>
      <c r="W952" s="418"/>
      <c r="X952" s="418"/>
      <c r="Y952" s="378">
        <f>IF(NFI_Expiration=1,IF($A952&lt;VLOOKUP(H$5,NFI,5,0),1,0)*Table_NFI[[#This Row],[Hygiene Kit]],Table_NFI[Hygiene Kit])</f>
        <v>0</v>
      </c>
      <c r="Z952" s="378">
        <f>IF(NFI_Expiration=1,IF($A952&lt;VLOOKUP(I$5,NFI,5,0),1,0)*Table_NFI[[#This Row],[NFI Core Kit]],Table_NFI[NFI Core Kit])</f>
        <v>0</v>
      </c>
      <c r="AA952" s="378">
        <f>IF(NFI_Expiration=1,IF($A952&lt;VLOOKUP(J$5,NFI,5,0),1,0)*Table_NFI[[#This Row],[Sanitary Kit]],Table_NFI[Sanitary Kit])</f>
        <v>0</v>
      </c>
      <c r="AB952" s="378">
        <f>IF(NFI_Expiration=1,IF($A952&lt;VLOOKUP(K$5,NFI,5,0),1,0)*Table_NFI[[#This Row],[Mosquito net]],Table_NFI[Mosquito net])</f>
        <v>0</v>
      </c>
      <c r="AC952" s="378">
        <f>IF(NFI_Expiration=1,IF($A952&lt;VLOOKUP(L$5,NFI,5,0),1,0)*Table_NFI[[#This Row],[Tarpaulin]],Table_NFI[[#This Row],[Tarpaulin]])</f>
        <v>0</v>
      </c>
      <c r="AD952" s="378">
        <f>IF(NFI_Expiration=1,IF($A952&lt;VLOOKUP(M$5,NFI,5,0),1,0)*Table_NFI[[#This Row],[Blanket]],Table_NFI[[#This Row],[Blanket]])</f>
        <v>0</v>
      </c>
      <c r="AE952" s="378">
        <f>IF(NFI_Expiration=1,IF($A952&lt;VLOOKUP(N$5,NFI,5,0),1,0)*Table_NFI[[#This Row],[Kitchen Set]],Table_NFI[Kitchen Set])</f>
        <v>0</v>
      </c>
      <c r="AF952" s="378">
        <f>IF(NFI_Expiration=1,IF($A952&lt;VLOOKUP(O$5,NFI,5,0),1,0)*Table_NFI[[#This Row],[Clothes Kit]],Table_NFI[Clothes Kit])</f>
        <v>0</v>
      </c>
      <c r="AG952" s="378">
        <f>IF(NFI_Expiration=1,IF($A952&lt;VLOOKUP(P$5,NFI,5,0),1,0)*Table_NFI[[#This Row],[Plastic Bucket]],Table_NFI[Plastic Bucket])</f>
        <v>0</v>
      </c>
      <c r="AH952" s="378">
        <f>IF(NFI_Expiration=1,IF($A952&lt;VLOOKUP(Q$5,NFI,5,0),1,0)*Table_NFI[[#This Row],[Plastic Mat]],Table_NFI[Plastic Mat])*IF(Table_NFI[[#This Row],[Distribution Date]]&gt;"2014-04-01",1,2.5)</f>
        <v>0</v>
      </c>
      <c r="AI952" s="378">
        <f>IF(NFI_Expiration=1,IF($A952&lt;VLOOKUP(R$5,NFI,5,0),1,0)*Table_NFI[[#This Row],[Winter Clothes Adult]],Table_NFI[Winter Clothes Adult])</f>
        <v>0</v>
      </c>
      <c r="AJ952" s="378">
        <f>IF(NFI_Expiration=1,IF($A952&lt;VLOOKUP(S$5,NFI,5,0),1,0)*Table_NFI[[#This Row],[Winter Clothes Children]],Table_NFI[Winter Clothes Children])</f>
        <v>0</v>
      </c>
      <c r="AK952" s="378">
        <f>IF(NFI_Expiration=1,IF($A952&lt;VLOOKUP(T$5,NFI,5,0),1,0)*Table_NFI[[#This Row],[Winter Items Other]],Table_NFI[Winter Items Other])</f>
        <v>0</v>
      </c>
      <c r="AL952" s="378">
        <f>IF(NFI_Expiration=1,IF($A952&lt;VLOOKUP(M$5,NFI,5,0),1,0)*Table_NFI[[#This Row],[Winter Blanket]],Table_NFI[[#This Row],[Winter Blanket]])</f>
        <v>0</v>
      </c>
      <c r="AM952" s="378">
        <f>IF(Table_NFI[[#This Row],[Winter Clothes Adult]]+Table_NFI[[#This Row],[Winter Clothes Children]]+Table_NFI[[#This Row],[Winter Items Other]]+Table_NFI[[#This Row],[Winter Blanket]]&gt;0,1,0)</f>
        <v>0</v>
      </c>
      <c r="AN952" s="418">
        <f>IF(NFI_Expiration=1,IF($A952&lt;VLOOKUP(V$5,NFI,5,0),1,0)*Table_NFI[[#This Row],[Jerry Can]],Table_NFI[Jerry Can])</f>
        <v>0</v>
      </c>
      <c r="AO952" s="579" t="str">
        <f>IFERROR(VLOOKUP(Table_NFI[[#This Row],[Camp Name]],CL,2,0),"")</f>
        <v/>
      </c>
      <c r="AP952" s="574" t="str">
        <f ca="1">IF(Table_NFI[[#This Row],[Pcode]]="","",IF(OFFSET(CampList[Opening Date],MATCH(Table_NFI[[#This Row],[Pcode]],CampList[CP_Pcode],0)-1,0,1,1)&gt;=NFI_Monitor_Date,1,0))</f>
        <v/>
      </c>
      <c r="AQ952" s="579" t="str">
        <f>IFERROR(VLOOKUP(Table_NFI[[#This Row],[Camp Name]],CL,3,0),"")</f>
        <v/>
      </c>
      <c r="AR952" s="378" t="str">
        <f ca="1">IF(Table_NFI[[#This Row],[Pcode]]="","",OFFSET(CampList[Priority],MATCH(Table_NFI[[#This Row],[Pcode]],CampList[CP_Pcode],0)-1,0,1,1))</f>
        <v/>
      </c>
      <c r="AS952" s="377" t="str">
        <f>IFERROR(Table_NFI[[#This Row],[Kitchen Set]]/VLOOKUP(Table_NFI[[#This Row],[Camp Name]],CL,4,0),"")</f>
        <v/>
      </c>
      <c r="AT952" s="572" t="s">
        <v>1095</v>
      </c>
      <c r="AU952" s="580"/>
    </row>
    <row r="953" spans="1:47" s="585" customFormat="1" ht="15.75" customHeight="1" x14ac:dyDescent="0.25">
      <c r="A953" s="381" t="str">
        <f t="shared" si="14"/>
        <v/>
      </c>
      <c r="B953" s="571"/>
      <c r="C953" s="577"/>
      <c r="D953" s="577"/>
      <c r="E953" s="577"/>
      <c r="F953" s="577"/>
      <c r="G953" s="577"/>
      <c r="H953" s="376"/>
      <c r="I953" s="376"/>
      <c r="J953" s="376"/>
      <c r="K953" s="376"/>
      <c r="L953" s="376"/>
      <c r="M953" s="376"/>
      <c r="N953" s="376"/>
      <c r="O953" s="376"/>
      <c r="P953" s="378"/>
      <c r="Q953" s="378"/>
      <c r="R953" s="378"/>
      <c r="S953" s="378"/>
      <c r="T953" s="378"/>
      <c r="U953" s="378"/>
      <c r="V953" s="533"/>
      <c r="W953" s="418"/>
      <c r="X953" s="418"/>
      <c r="Y953" s="378">
        <f>IF(NFI_Expiration=1,IF($A953&lt;VLOOKUP(H$5,NFI,5,0),1,0)*Table_NFI[[#This Row],[Hygiene Kit]],Table_NFI[Hygiene Kit])</f>
        <v>0</v>
      </c>
      <c r="Z953" s="378">
        <f>IF(NFI_Expiration=1,IF($A953&lt;VLOOKUP(I$5,NFI,5,0),1,0)*Table_NFI[[#This Row],[NFI Core Kit]],Table_NFI[NFI Core Kit])</f>
        <v>0</v>
      </c>
      <c r="AA953" s="378">
        <f>IF(NFI_Expiration=1,IF($A953&lt;VLOOKUP(J$5,NFI,5,0),1,0)*Table_NFI[[#This Row],[Sanitary Kit]],Table_NFI[Sanitary Kit])</f>
        <v>0</v>
      </c>
      <c r="AB953" s="378">
        <f>IF(NFI_Expiration=1,IF($A953&lt;VLOOKUP(K$5,NFI,5,0),1,0)*Table_NFI[[#This Row],[Mosquito net]],Table_NFI[Mosquito net])</f>
        <v>0</v>
      </c>
      <c r="AC953" s="378">
        <f>IF(NFI_Expiration=1,IF($A953&lt;VLOOKUP(L$5,NFI,5,0),1,0)*Table_NFI[[#This Row],[Tarpaulin]],Table_NFI[[#This Row],[Tarpaulin]])</f>
        <v>0</v>
      </c>
      <c r="AD953" s="378">
        <f>IF(NFI_Expiration=1,IF($A953&lt;VLOOKUP(M$5,NFI,5,0),1,0)*Table_NFI[[#This Row],[Blanket]],Table_NFI[[#This Row],[Blanket]])</f>
        <v>0</v>
      </c>
      <c r="AE953" s="378">
        <f>IF(NFI_Expiration=1,IF($A953&lt;VLOOKUP(N$5,NFI,5,0),1,0)*Table_NFI[[#This Row],[Kitchen Set]],Table_NFI[Kitchen Set])</f>
        <v>0</v>
      </c>
      <c r="AF953" s="378">
        <f>IF(NFI_Expiration=1,IF($A953&lt;VLOOKUP(O$5,NFI,5,0),1,0)*Table_NFI[[#This Row],[Clothes Kit]],Table_NFI[Clothes Kit])</f>
        <v>0</v>
      </c>
      <c r="AG953" s="378">
        <f>IF(NFI_Expiration=1,IF($A953&lt;VLOOKUP(P$5,NFI,5,0),1,0)*Table_NFI[[#This Row],[Plastic Bucket]],Table_NFI[Plastic Bucket])</f>
        <v>0</v>
      </c>
      <c r="AH953" s="378">
        <f>IF(NFI_Expiration=1,IF($A953&lt;VLOOKUP(Q$5,NFI,5,0),1,0)*Table_NFI[[#This Row],[Plastic Mat]],Table_NFI[Plastic Mat])*IF(Table_NFI[[#This Row],[Distribution Date]]&gt;"2014-04-01",1,2.5)</f>
        <v>0</v>
      </c>
      <c r="AI953" s="378">
        <f>IF(NFI_Expiration=1,IF($A953&lt;VLOOKUP(R$5,NFI,5,0),1,0)*Table_NFI[[#This Row],[Winter Clothes Adult]],Table_NFI[Winter Clothes Adult])</f>
        <v>0</v>
      </c>
      <c r="AJ953" s="378">
        <f>IF(NFI_Expiration=1,IF($A953&lt;VLOOKUP(S$5,NFI,5,0),1,0)*Table_NFI[[#This Row],[Winter Clothes Children]],Table_NFI[Winter Clothes Children])</f>
        <v>0</v>
      </c>
      <c r="AK953" s="378">
        <f>IF(NFI_Expiration=1,IF($A953&lt;VLOOKUP(T$5,NFI,5,0),1,0)*Table_NFI[[#This Row],[Winter Items Other]],Table_NFI[Winter Items Other])</f>
        <v>0</v>
      </c>
      <c r="AL953" s="378">
        <f>IF(NFI_Expiration=1,IF($A953&lt;VLOOKUP(M$5,NFI,5,0),1,0)*Table_NFI[[#This Row],[Winter Blanket]],Table_NFI[[#This Row],[Winter Blanket]])</f>
        <v>0</v>
      </c>
      <c r="AM953" s="378">
        <f>IF(Table_NFI[[#This Row],[Winter Clothes Adult]]+Table_NFI[[#This Row],[Winter Clothes Children]]+Table_NFI[[#This Row],[Winter Items Other]]+Table_NFI[[#This Row],[Winter Blanket]]&gt;0,1,0)</f>
        <v>0</v>
      </c>
      <c r="AN953" s="418">
        <f>IF(NFI_Expiration=1,IF($A953&lt;VLOOKUP(V$5,NFI,5,0),1,0)*Table_NFI[[#This Row],[Jerry Can]],Table_NFI[Jerry Can])</f>
        <v>0</v>
      </c>
      <c r="AO953" s="579" t="str">
        <f>IFERROR(VLOOKUP(Table_NFI[[#This Row],[Camp Name]],CL,2,0),"")</f>
        <v/>
      </c>
      <c r="AP953" s="574" t="str">
        <f ca="1">IF(Table_NFI[[#This Row],[Pcode]]="","",IF(OFFSET(CampList[Opening Date],MATCH(Table_NFI[[#This Row],[Pcode]],CampList[CP_Pcode],0)-1,0,1,1)&gt;=NFI_Monitor_Date,1,0))</f>
        <v/>
      </c>
      <c r="AQ953" s="579" t="str">
        <f>IFERROR(VLOOKUP(Table_NFI[[#This Row],[Camp Name]],CL,3,0),"")</f>
        <v/>
      </c>
      <c r="AR953" s="378" t="str">
        <f ca="1">IF(Table_NFI[[#This Row],[Pcode]]="","",OFFSET(CampList[Priority],MATCH(Table_NFI[[#This Row],[Pcode]],CampList[CP_Pcode],0)-1,0,1,1))</f>
        <v/>
      </c>
      <c r="AS953" s="377" t="str">
        <f>IFERROR(Table_NFI[[#This Row],[Kitchen Set]]/VLOOKUP(Table_NFI[[#This Row],[Camp Name]],CL,4,0),"")</f>
        <v/>
      </c>
      <c r="AT953" s="572" t="s">
        <v>1095</v>
      </c>
      <c r="AU953" s="580"/>
    </row>
    <row r="954" spans="1:47" s="585" customFormat="1" ht="15.75" customHeight="1" x14ac:dyDescent="0.25">
      <c r="A954" s="381" t="str">
        <f t="shared" si="14"/>
        <v/>
      </c>
      <c r="B954" s="571"/>
      <c r="C954" s="577"/>
      <c r="D954" s="577"/>
      <c r="E954" s="577"/>
      <c r="F954" s="577"/>
      <c r="G954" s="577"/>
      <c r="H954" s="376"/>
      <c r="I954" s="376"/>
      <c r="J954" s="376"/>
      <c r="K954" s="376"/>
      <c r="L954" s="376"/>
      <c r="M954" s="376"/>
      <c r="N954" s="376"/>
      <c r="O954" s="376"/>
      <c r="P954" s="378"/>
      <c r="Q954" s="378"/>
      <c r="R954" s="378"/>
      <c r="S954" s="378"/>
      <c r="T954" s="378"/>
      <c r="U954" s="378"/>
      <c r="V954" s="533"/>
      <c r="W954" s="418"/>
      <c r="X954" s="418"/>
      <c r="Y954" s="378">
        <f>IF(NFI_Expiration=1,IF($A954&lt;VLOOKUP(H$5,NFI,5,0),1,0)*Table_NFI[[#This Row],[Hygiene Kit]],Table_NFI[Hygiene Kit])</f>
        <v>0</v>
      </c>
      <c r="Z954" s="378">
        <f>IF(NFI_Expiration=1,IF($A954&lt;VLOOKUP(I$5,NFI,5,0),1,0)*Table_NFI[[#This Row],[NFI Core Kit]],Table_NFI[NFI Core Kit])</f>
        <v>0</v>
      </c>
      <c r="AA954" s="378">
        <f>IF(NFI_Expiration=1,IF($A954&lt;VLOOKUP(J$5,NFI,5,0),1,0)*Table_NFI[[#This Row],[Sanitary Kit]],Table_NFI[Sanitary Kit])</f>
        <v>0</v>
      </c>
      <c r="AB954" s="378">
        <f>IF(NFI_Expiration=1,IF($A954&lt;VLOOKUP(K$5,NFI,5,0),1,0)*Table_NFI[[#This Row],[Mosquito net]],Table_NFI[Mosquito net])</f>
        <v>0</v>
      </c>
      <c r="AC954" s="378">
        <f>IF(NFI_Expiration=1,IF($A954&lt;VLOOKUP(L$5,NFI,5,0),1,0)*Table_NFI[[#This Row],[Tarpaulin]],Table_NFI[[#This Row],[Tarpaulin]])</f>
        <v>0</v>
      </c>
      <c r="AD954" s="378">
        <f>IF(NFI_Expiration=1,IF($A954&lt;VLOOKUP(M$5,NFI,5,0),1,0)*Table_NFI[[#This Row],[Blanket]],Table_NFI[[#This Row],[Blanket]])</f>
        <v>0</v>
      </c>
      <c r="AE954" s="378">
        <f>IF(NFI_Expiration=1,IF($A954&lt;VLOOKUP(N$5,NFI,5,0),1,0)*Table_NFI[[#This Row],[Kitchen Set]],Table_NFI[Kitchen Set])</f>
        <v>0</v>
      </c>
      <c r="AF954" s="378">
        <f>IF(NFI_Expiration=1,IF($A954&lt;VLOOKUP(O$5,NFI,5,0),1,0)*Table_NFI[[#This Row],[Clothes Kit]],Table_NFI[Clothes Kit])</f>
        <v>0</v>
      </c>
      <c r="AG954" s="378">
        <f>IF(NFI_Expiration=1,IF($A954&lt;VLOOKUP(P$5,NFI,5,0),1,0)*Table_NFI[[#This Row],[Plastic Bucket]],Table_NFI[Plastic Bucket])</f>
        <v>0</v>
      </c>
      <c r="AH954" s="378">
        <f>IF(NFI_Expiration=1,IF($A954&lt;VLOOKUP(Q$5,NFI,5,0),1,0)*Table_NFI[[#This Row],[Plastic Mat]],Table_NFI[Plastic Mat])*IF(Table_NFI[[#This Row],[Distribution Date]]&gt;"2014-04-01",1,2.5)</f>
        <v>0</v>
      </c>
      <c r="AI954" s="378">
        <f>IF(NFI_Expiration=1,IF($A954&lt;VLOOKUP(R$5,NFI,5,0),1,0)*Table_NFI[[#This Row],[Winter Clothes Adult]],Table_NFI[Winter Clothes Adult])</f>
        <v>0</v>
      </c>
      <c r="AJ954" s="378">
        <f>IF(NFI_Expiration=1,IF($A954&lt;VLOOKUP(S$5,NFI,5,0),1,0)*Table_NFI[[#This Row],[Winter Clothes Children]],Table_NFI[Winter Clothes Children])</f>
        <v>0</v>
      </c>
      <c r="AK954" s="378">
        <f>IF(NFI_Expiration=1,IF($A954&lt;VLOOKUP(T$5,NFI,5,0),1,0)*Table_NFI[[#This Row],[Winter Items Other]],Table_NFI[Winter Items Other])</f>
        <v>0</v>
      </c>
      <c r="AL954" s="378">
        <f>IF(NFI_Expiration=1,IF($A954&lt;VLOOKUP(M$5,NFI,5,0),1,0)*Table_NFI[[#This Row],[Winter Blanket]],Table_NFI[[#This Row],[Winter Blanket]])</f>
        <v>0</v>
      </c>
      <c r="AM954" s="378">
        <f>IF(Table_NFI[[#This Row],[Winter Clothes Adult]]+Table_NFI[[#This Row],[Winter Clothes Children]]+Table_NFI[[#This Row],[Winter Items Other]]+Table_NFI[[#This Row],[Winter Blanket]]&gt;0,1,0)</f>
        <v>0</v>
      </c>
      <c r="AN954" s="418">
        <f>IF(NFI_Expiration=1,IF($A954&lt;VLOOKUP(V$5,NFI,5,0),1,0)*Table_NFI[[#This Row],[Jerry Can]],Table_NFI[Jerry Can])</f>
        <v>0</v>
      </c>
      <c r="AO954" s="579" t="str">
        <f>IFERROR(VLOOKUP(Table_NFI[[#This Row],[Camp Name]],CL,2,0),"")</f>
        <v/>
      </c>
      <c r="AP954" s="574" t="str">
        <f ca="1">IF(Table_NFI[[#This Row],[Pcode]]="","",IF(OFFSET(CampList[Opening Date],MATCH(Table_NFI[[#This Row],[Pcode]],CampList[CP_Pcode],0)-1,0,1,1)&gt;=NFI_Monitor_Date,1,0))</f>
        <v/>
      </c>
      <c r="AQ954" s="579" t="str">
        <f>IFERROR(VLOOKUP(Table_NFI[[#This Row],[Camp Name]],CL,3,0),"")</f>
        <v/>
      </c>
      <c r="AR954" s="378" t="str">
        <f ca="1">IF(Table_NFI[[#This Row],[Pcode]]="","",OFFSET(CampList[Priority],MATCH(Table_NFI[[#This Row],[Pcode]],CampList[CP_Pcode],0)-1,0,1,1))</f>
        <v/>
      </c>
      <c r="AS954" s="377" t="str">
        <f>IFERROR(Table_NFI[[#This Row],[Kitchen Set]]/VLOOKUP(Table_NFI[[#This Row],[Camp Name]],CL,4,0),"")</f>
        <v/>
      </c>
      <c r="AT954" s="572" t="s">
        <v>1095</v>
      </c>
      <c r="AU954" s="580"/>
    </row>
    <row r="955" spans="1:47" s="585" customFormat="1" ht="15.75" customHeight="1" x14ac:dyDescent="0.25">
      <c r="A955" s="381" t="str">
        <f t="shared" si="14"/>
        <v/>
      </c>
      <c r="B955" s="571"/>
      <c r="C955" s="577"/>
      <c r="D955" s="577"/>
      <c r="E955" s="577"/>
      <c r="F955" s="577"/>
      <c r="G955" s="577"/>
      <c r="H955" s="376"/>
      <c r="I955" s="376"/>
      <c r="J955" s="376"/>
      <c r="K955" s="376"/>
      <c r="L955" s="376"/>
      <c r="M955" s="376"/>
      <c r="N955" s="376"/>
      <c r="O955" s="376"/>
      <c r="P955" s="378"/>
      <c r="Q955" s="378"/>
      <c r="R955" s="378"/>
      <c r="S955" s="378"/>
      <c r="T955" s="378"/>
      <c r="U955" s="378"/>
      <c r="V955" s="533"/>
      <c r="W955" s="418"/>
      <c r="X955" s="418"/>
      <c r="Y955" s="378">
        <f>IF(NFI_Expiration=1,IF($A955&lt;VLOOKUP(H$5,NFI,5,0),1,0)*Table_NFI[[#This Row],[Hygiene Kit]],Table_NFI[Hygiene Kit])</f>
        <v>0</v>
      </c>
      <c r="Z955" s="378">
        <f>IF(NFI_Expiration=1,IF($A955&lt;VLOOKUP(I$5,NFI,5,0),1,0)*Table_NFI[[#This Row],[NFI Core Kit]],Table_NFI[NFI Core Kit])</f>
        <v>0</v>
      </c>
      <c r="AA955" s="378">
        <f>IF(NFI_Expiration=1,IF($A955&lt;VLOOKUP(J$5,NFI,5,0),1,0)*Table_NFI[[#This Row],[Sanitary Kit]],Table_NFI[Sanitary Kit])</f>
        <v>0</v>
      </c>
      <c r="AB955" s="378">
        <f>IF(NFI_Expiration=1,IF($A955&lt;VLOOKUP(K$5,NFI,5,0),1,0)*Table_NFI[[#This Row],[Mosquito net]],Table_NFI[Mosquito net])</f>
        <v>0</v>
      </c>
      <c r="AC955" s="378">
        <f>IF(NFI_Expiration=1,IF($A955&lt;VLOOKUP(L$5,NFI,5,0),1,0)*Table_NFI[[#This Row],[Tarpaulin]],Table_NFI[[#This Row],[Tarpaulin]])</f>
        <v>0</v>
      </c>
      <c r="AD955" s="378">
        <f>IF(NFI_Expiration=1,IF($A955&lt;VLOOKUP(M$5,NFI,5,0),1,0)*Table_NFI[[#This Row],[Blanket]],Table_NFI[[#This Row],[Blanket]])</f>
        <v>0</v>
      </c>
      <c r="AE955" s="378">
        <f>IF(NFI_Expiration=1,IF($A955&lt;VLOOKUP(N$5,NFI,5,0),1,0)*Table_NFI[[#This Row],[Kitchen Set]],Table_NFI[Kitchen Set])</f>
        <v>0</v>
      </c>
      <c r="AF955" s="378">
        <f>IF(NFI_Expiration=1,IF($A955&lt;VLOOKUP(O$5,NFI,5,0),1,0)*Table_NFI[[#This Row],[Clothes Kit]],Table_NFI[Clothes Kit])</f>
        <v>0</v>
      </c>
      <c r="AG955" s="378">
        <f>IF(NFI_Expiration=1,IF($A955&lt;VLOOKUP(P$5,NFI,5,0),1,0)*Table_NFI[[#This Row],[Plastic Bucket]],Table_NFI[Plastic Bucket])</f>
        <v>0</v>
      </c>
      <c r="AH955" s="378">
        <f>IF(NFI_Expiration=1,IF($A955&lt;VLOOKUP(Q$5,NFI,5,0),1,0)*Table_NFI[[#This Row],[Plastic Mat]],Table_NFI[Plastic Mat])*IF(Table_NFI[[#This Row],[Distribution Date]]&gt;"2014-04-01",1,2.5)</f>
        <v>0</v>
      </c>
      <c r="AI955" s="378">
        <f>IF(NFI_Expiration=1,IF($A955&lt;VLOOKUP(R$5,NFI,5,0),1,0)*Table_NFI[[#This Row],[Winter Clothes Adult]],Table_NFI[Winter Clothes Adult])</f>
        <v>0</v>
      </c>
      <c r="AJ955" s="378">
        <f>IF(NFI_Expiration=1,IF($A955&lt;VLOOKUP(S$5,NFI,5,0),1,0)*Table_NFI[[#This Row],[Winter Clothes Children]],Table_NFI[Winter Clothes Children])</f>
        <v>0</v>
      </c>
      <c r="AK955" s="378">
        <f>IF(NFI_Expiration=1,IF($A955&lt;VLOOKUP(T$5,NFI,5,0),1,0)*Table_NFI[[#This Row],[Winter Items Other]],Table_NFI[Winter Items Other])</f>
        <v>0</v>
      </c>
      <c r="AL955" s="378">
        <f>IF(NFI_Expiration=1,IF($A955&lt;VLOOKUP(M$5,NFI,5,0),1,0)*Table_NFI[[#This Row],[Winter Blanket]],Table_NFI[[#This Row],[Winter Blanket]])</f>
        <v>0</v>
      </c>
      <c r="AM955" s="378">
        <f>IF(Table_NFI[[#This Row],[Winter Clothes Adult]]+Table_NFI[[#This Row],[Winter Clothes Children]]+Table_NFI[[#This Row],[Winter Items Other]]+Table_NFI[[#This Row],[Winter Blanket]]&gt;0,1,0)</f>
        <v>0</v>
      </c>
      <c r="AN955" s="418">
        <f>IF(NFI_Expiration=1,IF($A955&lt;VLOOKUP(V$5,NFI,5,0),1,0)*Table_NFI[[#This Row],[Jerry Can]],Table_NFI[Jerry Can])</f>
        <v>0</v>
      </c>
      <c r="AO955" s="579" t="str">
        <f>IFERROR(VLOOKUP(Table_NFI[[#This Row],[Camp Name]],CL,2,0),"")</f>
        <v/>
      </c>
      <c r="AP955" s="574" t="str">
        <f ca="1">IF(Table_NFI[[#This Row],[Pcode]]="","",IF(OFFSET(CampList[Opening Date],MATCH(Table_NFI[[#This Row],[Pcode]],CampList[CP_Pcode],0)-1,0,1,1)&gt;=NFI_Monitor_Date,1,0))</f>
        <v/>
      </c>
      <c r="AQ955" s="579" t="str">
        <f>IFERROR(VLOOKUP(Table_NFI[[#This Row],[Camp Name]],CL,3,0),"")</f>
        <v/>
      </c>
      <c r="AR955" s="378" t="str">
        <f ca="1">IF(Table_NFI[[#This Row],[Pcode]]="","",OFFSET(CampList[Priority],MATCH(Table_NFI[[#This Row],[Pcode]],CampList[CP_Pcode],0)-1,0,1,1))</f>
        <v/>
      </c>
      <c r="AS955" s="377" t="str">
        <f>IFERROR(Table_NFI[[#This Row],[Kitchen Set]]/VLOOKUP(Table_NFI[[#This Row],[Camp Name]],CL,4,0),"")</f>
        <v/>
      </c>
      <c r="AT955" s="572" t="s">
        <v>1095</v>
      </c>
      <c r="AU955" s="580"/>
    </row>
    <row r="956" spans="1:47" s="585" customFormat="1" ht="15.75" customHeight="1" x14ac:dyDescent="0.25">
      <c r="A956" s="381" t="str">
        <f t="shared" si="14"/>
        <v/>
      </c>
      <c r="B956" s="571"/>
      <c r="C956" s="577"/>
      <c r="D956" s="577"/>
      <c r="E956" s="577"/>
      <c r="F956" s="577"/>
      <c r="G956" s="577"/>
      <c r="H956" s="376"/>
      <c r="I956" s="376"/>
      <c r="J956" s="376"/>
      <c r="K956" s="376"/>
      <c r="L956" s="376"/>
      <c r="M956" s="376"/>
      <c r="N956" s="376"/>
      <c r="O956" s="376"/>
      <c r="P956" s="378"/>
      <c r="Q956" s="378"/>
      <c r="R956" s="378"/>
      <c r="S956" s="378"/>
      <c r="T956" s="378"/>
      <c r="U956" s="378"/>
      <c r="V956" s="533"/>
      <c r="W956" s="418"/>
      <c r="X956" s="418"/>
      <c r="Y956" s="378">
        <f>IF(NFI_Expiration=1,IF($A956&lt;VLOOKUP(H$5,NFI,5,0),1,0)*Table_NFI[[#This Row],[Hygiene Kit]],Table_NFI[Hygiene Kit])</f>
        <v>0</v>
      </c>
      <c r="Z956" s="378">
        <f>IF(NFI_Expiration=1,IF($A956&lt;VLOOKUP(I$5,NFI,5,0),1,0)*Table_NFI[[#This Row],[NFI Core Kit]],Table_NFI[NFI Core Kit])</f>
        <v>0</v>
      </c>
      <c r="AA956" s="378">
        <f>IF(NFI_Expiration=1,IF($A956&lt;VLOOKUP(J$5,NFI,5,0),1,0)*Table_NFI[[#This Row],[Sanitary Kit]],Table_NFI[Sanitary Kit])</f>
        <v>0</v>
      </c>
      <c r="AB956" s="378">
        <f>IF(NFI_Expiration=1,IF($A956&lt;VLOOKUP(K$5,NFI,5,0),1,0)*Table_NFI[[#This Row],[Mosquito net]],Table_NFI[Mosquito net])</f>
        <v>0</v>
      </c>
      <c r="AC956" s="378">
        <f>IF(NFI_Expiration=1,IF($A956&lt;VLOOKUP(L$5,NFI,5,0),1,0)*Table_NFI[[#This Row],[Tarpaulin]],Table_NFI[[#This Row],[Tarpaulin]])</f>
        <v>0</v>
      </c>
      <c r="AD956" s="378">
        <f>IF(NFI_Expiration=1,IF($A956&lt;VLOOKUP(M$5,NFI,5,0),1,0)*Table_NFI[[#This Row],[Blanket]],Table_NFI[[#This Row],[Blanket]])</f>
        <v>0</v>
      </c>
      <c r="AE956" s="378">
        <f>IF(NFI_Expiration=1,IF($A956&lt;VLOOKUP(N$5,NFI,5,0),1,0)*Table_NFI[[#This Row],[Kitchen Set]],Table_NFI[Kitchen Set])</f>
        <v>0</v>
      </c>
      <c r="AF956" s="378">
        <f>IF(NFI_Expiration=1,IF($A956&lt;VLOOKUP(O$5,NFI,5,0),1,0)*Table_NFI[[#This Row],[Clothes Kit]],Table_NFI[Clothes Kit])</f>
        <v>0</v>
      </c>
      <c r="AG956" s="378">
        <f>IF(NFI_Expiration=1,IF($A956&lt;VLOOKUP(P$5,NFI,5,0),1,0)*Table_NFI[[#This Row],[Plastic Bucket]],Table_NFI[Plastic Bucket])</f>
        <v>0</v>
      </c>
      <c r="AH956" s="378">
        <f>IF(NFI_Expiration=1,IF($A956&lt;VLOOKUP(Q$5,NFI,5,0),1,0)*Table_NFI[[#This Row],[Plastic Mat]],Table_NFI[Plastic Mat])*IF(Table_NFI[[#This Row],[Distribution Date]]&gt;"2014-04-01",1,2.5)</f>
        <v>0</v>
      </c>
      <c r="AI956" s="378">
        <f>IF(NFI_Expiration=1,IF($A956&lt;VLOOKUP(R$5,NFI,5,0),1,0)*Table_NFI[[#This Row],[Winter Clothes Adult]],Table_NFI[Winter Clothes Adult])</f>
        <v>0</v>
      </c>
      <c r="AJ956" s="378">
        <f>IF(NFI_Expiration=1,IF($A956&lt;VLOOKUP(S$5,NFI,5,0),1,0)*Table_NFI[[#This Row],[Winter Clothes Children]],Table_NFI[Winter Clothes Children])</f>
        <v>0</v>
      </c>
      <c r="AK956" s="378">
        <f>IF(NFI_Expiration=1,IF($A956&lt;VLOOKUP(T$5,NFI,5,0),1,0)*Table_NFI[[#This Row],[Winter Items Other]],Table_NFI[Winter Items Other])</f>
        <v>0</v>
      </c>
      <c r="AL956" s="378">
        <f>IF(NFI_Expiration=1,IF($A956&lt;VLOOKUP(M$5,NFI,5,0),1,0)*Table_NFI[[#This Row],[Winter Blanket]],Table_NFI[[#This Row],[Winter Blanket]])</f>
        <v>0</v>
      </c>
      <c r="AM956" s="378">
        <f>IF(Table_NFI[[#This Row],[Winter Clothes Adult]]+Table_NFI[[#This Row],[Winter Clothes Children]]+Table_NFI[[#This Row],[Winter Items Other]]+Table_NFI[[#This Row],[Winter Blanket]]&gt;0,1,0)</f>
        <v>0</v>
      </c>
      <c r="AN956" s="418">
        <f>IF(NFI_Expiration=1,IF($A956&lt;VLOOKUP(V$5,NFI,5,0),1,0)*Table_NFI[[#This Row],[Jerry Can]],Table_NFI[Jerry Can])</f>
        <v>0</v>
      </c>
      <c r="AO956" s="579" t="str">
        <f>IFERROR(VLOOKUP(Table_NFI[[#This Row],[Camp Name]],CL,2,0),"")</f>
        <v/>
      </c>
      <c r="AP956" s="574" t="str">
        <f ca="1">IF(Table_NFI[[#This Row],[Pcode]]="","",IF(OFFSET(CampList[Opening Date],MATCH(Table_NFI[[#This Row],[Pcode]],CampList[CP_Pcode],0)-1,0,1,1)&gt;=NFI_Monitor_Date,1,0))</f>
        <v/>
      </c>
      <c r="AQ956" s="579" t="str">
        <f>IFERROR(VLOOKUP(Table_NFI[[#This Row],[Camp Name]],CL,3,0),"")</f>
        <v/>
      </c>
      <c r="AR956" s="378" t="str">
        <f ca="1">IF(Table_NFI[[#This Row],[Pcode]]="","",OFFSET(CampList[Priority],MATCH(Table_NFI[[#This Row],[Pcode]],CampList[CP_Pcode],0)-1,0,1,1))</f>
        <v/>
      </c>
      <c r="AS956" s="377" t="str">
        <f>IFERROR(Table_NFI[[#This Row],[Kitchen Set]]/VLOOKUP(Table_NFI[[#This Row],[Camp Name]],CL,4,0),"")</f>
        <v/>
      </c>
      <c r="AT956" s="572" t="s">
        <v>1095</v>
      </c>
      <c r="AU956" s="580"/>
    </row>
    <row r="957" spans="1:47" s="585" customFormat="1" ht="15.75" customHeight="1" x14ac:dyDescent="0.25">
      <c r="A957" s="381" t="str">
        <f t="shared" si="14"/>
        <v/>
      </c>
      <c r="B957" s="571"/>
      <c r="C957" s="577"/>
      <c r="D957" s="577"/>
      <c r="E957" s="577"/>
      <c r="F957" s="577"/>
      <c r="G957" s="577"/>
      <c r="H957" s="376"/>
      <c r="I957" s="376"/>
      <c r="J957" s="376"/>
      <c r="K957" s="376"/>
      <c r="L957" s="376"/>
      <c r="M957" s="376"/>
      <c r="N957" s="376"/>
      <c r="O957" s="376"/>
      <c r="P957" s="378"/>
      <c r="Q957" s="378"/>
      <c r="R957" s="378"/>
      <c r="S957" s="378"/>
      <c r="T957" s="378"/>
      <c r="U957" s="378"/>
      <c r="V957" s="533"/>
      <c r="W957" s="418"/>
      <c r="X957" s="418"/>
      <c r="Y957" s="378">
        <f>IF(NFI_Expiration=1,IF($A957&lt;VLOOKUP(H$5,NFI,5,0),1,0)*Table_NFI[[#This Row],[Hygiene Kit]],Table_NFI[Hygiene Kit])</f>
        <v>0</v>
      </c>
      <c r="Z957" s="378">
        <f>IF(NFI_Expiration=1,IF($A957&lt;VLOOKUP(I$5,NFI,5,0),1,0)*Table_NFI[[#This Row],[NFI Core Kit]],Table_NFI[NFI Core Kit])</f>
        <v>0</v>
      </c>
      <c r="AA957" s="378">
        <f>IF(NFI_Expiration=1,IF($A957&lt;VLOOKUP(J$5,NFI,5,0),1,0)*Table_NFI[[#This Row],[Sanitary Kit]],Table_NFI[Sanitary Kit])</f>
        <v>0</v>
      </c>
      <c r="AB957" s="378">
        <f>IF(NFI_Expiration=1,IF($A957&lt;VLOOKUP(K$5,NFI,5,0),1,0)*Table_NFI[[#This Row],[Mosquito net]],Table_NFI[Mosquito net])</f>
        <v>0</v>
      </c>
      <c r="AC957" s="378">
        <f>IF(NFI_Expiration=1,IF($A957&lt;VLOOKUP(L$5,NFI,5,0),1,0)*Table_NFI[[#This Row],[Tarpaulin]],Table_NFI[[#This Row],[Tarpaulin]])</f>
        <v>0</v>
      </c>
      <c r="AD957" s="378">
        <f>IF(NFI_Expiration=1,IF($A957&lt;VLOOKUP(M$5,NFI,5,0),1,0)*Table_NFI[[#This Row],[Blanket]],Table_NFI[[#This Row],[Blanket]])</f>
        <v>0</v>
      </c>
      <c r="AE957" s="378">
        <f>IF(NFI_Expiration=1,IF($A957&lt;VLOOKUP(N$5,NFI,5,0),1,0)*Table_NFI[[#This Row],[Kitchen Set]],Table_NFI[Kitchen Set])</f>
        <v>0</v>
      </c>
      <c r="AF957" s="378">
        <f>IF(NFI_Expiration=1,IF($A957&lt;VLOOKUP(O$5,NFI,5,0),1,0)*Table_NFI[[#This Row],[Clothes Kit]],Table_NFI[Clothes Kit])</f>
        <v>0</v>
      </c>
      <c r="AG957" s="378">
        <f>IF(NFI_Expiration=1,IF($A957&lt;VLOOKUP(P$5,NFI,5,0),1,0)*Table_NFI[[#This Row],[Plastic Bucket]],Table_NFI[Plastic Bucket])</f>
        <v>0</v>
      </c>
      <c r="AH957" s="378">
        <f>IF(NFI_Expiration=1,IF($A957&lt;VLOOKUP(Q$5,NFI,5,0),1,0)*Table_NFI[[#This Row],[Plastic Mat]],Table_NFI[Plastic Mat])*IF(Table_NFI[[#This Row],[Distribution Date]]&gt;"2014-04-01",1,2.5)</f>
        <v>0</v>
      </c>
      <c r="AI957" s="378">
        <f>IF(NFI_Expiration=1,IF($A957&lt;VLOOKUP(R$5,NFI,5,0),1,0)*Table_NFI[[#This Row],[Winter Clothes Adult]],Table_NFI[Winter Clothes Adult])</f>
        <v>0</v>
      </c>
      <c r="AJ957" s="378">
        <f>IF(NFI_Expiration=1,IF($A957&lt;VLOOKUP(S$5,NFI,5,0),1,0)*Table_NFI[[#This Row],[Winter Clothes Children]],Table_NFI[Winter Clothes Children])</f>
        <v>0</v>
      </c>
      <c r="AK957" s="378">
        <f>IF(NFI_Expiration=1,IF($A957&lt;VLOOKUP(T$5,NFI,5,0),1,0)*Table_NFI[[#This Row],[Winter Items Other]],Table_NFI[Winter Items Other])</f>
        <v>0</v>
      </c>
      <c r="AL957" s="378">
        <f>IF(NFI_Expiration=1,IF($A957&lt;VLOOKUP(M$5,NFI,5,0),1,0)*Table_NFI[[#This Row],[Winter Blanket]],Table_NFI[[#This Row],[Winter Blanket]])</f>
        <v>0</v>
      </c>
      <c r="AM957" s="378">
        <f>IF(Table_NFI[[#This Row],[Winter Clothes Adult]]+Table_NFI[[#This Row],[Winter Clothes Children]]+Table_NFI[[#This Row],[Winter Items Other]]+Table_NFI[[#This Row],[Winter Blanket]]&gt;0,1,0)</f>
        <v>0</v>
      </c>
      <c r="AN957" s="418">
        <f>IF(NFI_Expiration=1,IF($A957&lt;VLOOKUP(V$5,NFI,5,0),1,0)*Table_NFI[[#This Row],[Jerry Can]],Table_NFI[Jerry Can])</f>
        <v>0</v>
      </c>
      <c r="AO957" s="579" t="str">
        <f>IFERROR(VLOOKUP(Table_NFI[[#This Row],[Camp Name]],CL,2,0),"")</f>
        <v/>
      </c>
      <c r="AP957" s="574" t="str">
        <f ca="1">IF(Table_NFI[[#This Row],[Pcode]]="","",IF(OFFSET(CampList[Opening Date],MATCH(Table_NFI[[#This Row],[Pcode]],CampList[CP_Pcode],0)-1,0,1,1)&gt;=NFI_Monitor_Date,1,0))</f>
        <v/>
      </c>
      <c r="AQ957" s="579" t="str">
        <f>IFERROR(VLOOKUP(Table_NFI[[#This Row],[Camp Name]],CL,3,0),"")</f>
        <v/>
      </c>
      <c r="AR957" s="378" t="str">
        <f ca="1">IF(Table_NFI[[#This Row],[Pcode]]="","",OFFSET(CampList[Priority],MATCH(Table_NFI[[#This Row],[Pcode]],CampList[CP_Pcode],0)-1,0,1,1))</f>
        <v/>
      </c>
      <c r="AS957" s="377" t="str">
        <f>IFERROR(Table_NFI[[#This Row],[Kitchen Set]]/VLOOKUP(Table_NFI[[#This Row],[Camp Name]],CL,4,0),"")</f>
        <v/>
      </c>
      <c r="AT957" s="572" t="s">
        <v>1095</v>
      </c>
      <c r="AU957" s="580"/>
    </row>
    <row r="958" spans="1:47" s="585" customFormat="1" ht="15.75" customHeight="1" x14ac:dyDescent="0.25">
      <c r="A958" s="381" t="str">
        <f t="shared" si="14"/>
        <v/>
      </c>
      <c r="B958" s="571"/>
      <c r="C958" s="577"/>
      <c r="D958" s="577"/>
      <c r="E958" s="577"/>
      <c r="F958" s="577"/>
      <c r="G958" s="577"/>
      <c r="H958" s="376"/>
      <c r="I958" s="376"/>
      <c r="J958" s="376"/>
      <c r="K958" s="376"/>
      <c r="L958" s="376"/>
      <c r="M958" s="376"/>
      <c r="N958" s="376"/>
      <c r="O958" s="376"/>
      <c r="P958" s="378"/>
      <c r="Q958" s="378"/>
      <c r="R958" s="378"/>
      <c r="S958" s="378"/>
      <c r="T958" s="378"/>
      <c r="U958" s="378"/>
      <c r="V958" s="533"/>
      <c r="W958" s="418"/>
      <c r="X958" s="418"/>
      <c r="Y958" s="378">
        <f>IF(NFI_Expiration=1,IF($A958&lt;VLOOKUP(H$5,NFI,5,0),1,0)*Table_NFI[[#This Row],[Hygiene Kit]],Table_NFI[Hygiene Kit])</f>
        <v>0</v>
      </c>
      <c r="Z958" s="378">
        <f>IF(NFI_Expiration=1,IF($A958&lt;VLOOKUP(I$5,NFI,5,0),1,0)*Table_NFI[[#This Row],[NFI Core Kit]],Table_NFI[NFI Core Kit])</f>
        <v>0</v>
      </c>
      <c r="AA958" s="378">
        <f>IF(NFI_Expiration=1,IF($A958&lt;VLOOKUP(J$5,NFI,5,0),1,0)*Table_NFI[[#This Row],[Sanitary Kit]],Table_NFI[Sanitary Kit])</f>
        <v>0</v>
      </c>
      <c r="AB958" s="378">
        <f>IF(NFI_Expiration=1,IF($A958&lt;VLOOKUP(K$5,NFI,5,0),1,0)*Table_NFI[[#This Row],[Mosquito net]],Table_NFI[Mosquito net])</f>
        <v>0</v>
      </c>
      <c r="AC958" s="378">
        <f>IF(NFI_Expiration=1,IF($A958&lt;VLOOKUP(L$5,NFI,5,0),1,0)*Table_NFI[[#This Row],[Tarpaulin]],Table_NFI[[#This Row],[Tarpaulin]])</f>
        <v>0</v>
      </c>
      <c r="AD958" s="378">
        <f>IF(NFI_Expiration=1,IF($A958&lt;VLOOKUP(M$5,NFI,5,0),1,0)*Table_NFI[[#This Row],[Blanket]],Table_NFI[[#This Row],[Blanket]])</f>
        <v>0</v>
      </c>
      <c r="AE958" s="378">
        <f>IF(NFI_Expiration=1,IF($A958&lt;VLOOKUP(N$5,NFI,5,0),1,0)*Table_NFI[[#This Row],[Kitchen Set]],Table_NFI[Kitchen Set])</f>
        <v>0</v>
      </c>
      <c r="AF958" s="378">
        <f>IF(NFI_Expiration=1,IF($A958&lt;VLOOKUP(O$5,NFI,5,0),1,0)*Table_NFI[[#This Row],[Clothes Kit]],Table_NFI[Clothes Kit])</f>
        <v>0</v>
      </c>
      <c r="AG958" s="378">
        <f>IF(NFI_Expiration=1,IF($A958&lt;VLOOKUP(P$5,NFI,5,0),1,0)*Table_NFI[[#This Row],[Plastic Bucket]],Table_NFI[Plastic Bucket])</f>
        <v>0</v>
      </c>
      <c r="AH958" s="378">
        <f>IF(NFI_Expiration=1,IF($A958&lt;VLOOKUP(Q$5,NFI,5,0),1,0)*Table_NFI[[#This Row],[Plastic Mat]],Table_NFI[Plastic Mat])*IF(Table_NFI[[#This Row],[Distribution Date]]&gt;"2014-04-01",1,2.5)</f>
        <v>0</v>
      </c>
      <c r="AI958" s="378">
        <f>IF(NFI_Expiration=1,IF($A958&lt;VLOOKUP(R$5,NFI,5,0),1,0)*Table_NFI[[#This Row],[Winter Clothes Adult]],Table_NFI[Winter Clothes Adult])</f>
        <v>0</v>
      </c>
      <c r="AJ958" s="378">
        <f>IF(NFI_Expiration=1,IF($A958&lt;VLOOKUP(S$5,NFI,5,0),1,0)*Table_NFI[[#This Row],[Winter Clothes Children]],Table_NFI[Winter Clothes Children])</f>
        <v>0</v>
      </c>
      <c r="AK958" s="378">
        <f>IF(NFI_Expiration=1,IF($A958&lt;VLOOKUP(T$5,NFI,5,0),1,0)*Table_NFI[[#This Row],[Winter Items Other]],Table_NFI[Winter Items Other])</f>
        <v>0</v>
      </c>
      <c r="AL958" s="378">
        <f>IF(NFI_Expiration=1,IF($A958&lt;VLOOKUP(M$5,NFI,5,0),1,0)*Table_NFI[[#This Row],[Winter Blanket]],Table_NFI[[#This Row],[Winter Blanket]])</f>
        <v>0</v>
      </c>
      <c r="AM958" s="378">
        <f>IF(Table_NFI[[#This Row],[Winter Clothes Adult]]+Table_NFI[[#This Row],[Winter Clothes Children]]+Table_NFI[[#This Row],[Winter Items Other]]+Table_NFI[[#This Row],[Winter Blanket]]&gt;0,1,0)</f>
        <v>0</v>
      </c>
      <c r="AN958" s="418">
        <f>IF(NFI_Expiration=1,IF($A958&lt;VLOOKUP(V$5,NFI,5,0),1,0)*Table_NFI[[#This Row],[Jerry Can]],Table_NFI[Jerry Can])</f>
        <v>0</v>
      </c>
      <c r="AO958" s="579" t="str">
        <f>IFERROR(VLOOKUP(Table_NFI[[#This Row],[Camp Name]],CL,2,0),"")</f>
        <v/>
      </c>
      <c r="AP958" s="574" t="str">
        <f ca="1">IF(Table_NFI[[#This Row],[Pcode]]="","",IF(OFFSET(CampList[Opening Date],MATCH(Table_NFI[[#This Row],[Pcode]],CampList[CP_Pcode],0)-1,0,1,1)&gt;=NFI_Monitor_Date,1,0))</f>
        <v/>
      </c>
      <c r="AQ958" s="579" t="str">
        <f>IFERROR(VLOOKUP(Table_NFI[[#This Row],[Camp Name]],CL,3,0),"")</f>
        <v/>
      </c>
      <c r="AR958" s="378" t="str">
        <f ca="1">IF(Table_NFI[[#This Row],[Pcode]]="","",OFFSET(CampList[Priority],MATCH(Table_NFI[[#This Row],[Pcode]],CampList[CP_Pcode],0)-1,0,1,1))</f>
        <v/>
      </c>
      <c r="AS958" s="377" t="str">
        <f>IFERROR(Table_NFI[[#This Row],[Kitchen Set]]/VLOOKUP(Table_NFI[[#This Row],[Camp Name]],CL,4,0),"")</f>
        <v/>
      </c>
      <c r="AT958" s="572" t="s">
        <v>1095</v>
      </c>
      <c r="AU958" s="580"/>
    </row>
    <row r="959" spans="1:47" s="585" customFormat="1" ht="15.75" customHeight="1" x14ac:dyDescent="0.25">
      <c r="A959" s="381" t="str">
        <f t="shared" si="14"/>
        <v/>
      </c>
      <c r="B959" s="571"/>
      <c r="C959" s="577"/>
      <c r="D959" s="577"/>
      <c r="E959" s="577"/>
      <c r="F959" s="577"/>
      <c r="G959" s="577"/>
      <c r="H959" s="376"/>
      <c r="I959" s="376"/>
      <c r="J959" s="376"/>
      <c r="K959" s="376"/>
      <c r="L959" s="376"/>
      <c r="M959" s="376"/>
      <c r="N959" s="376"/>
      <c r="O959" s="376"/>
      <c r="P959" s="378"/>
      <c r="Q959" s="378"/>
      <c r="R959" s="378"/>
      <c r="S959" s="378"/>
      <c r="T959" s="378"/>
      <c r="U959" s="378"/>
      <c r="V959" s="533"/>
      <c r="W959" s="418"/>
      <c r="X959" s="418"/>
      <c r="Y959" s="378">
        <f>IF(NFI_Expiration=1,IF($A959&lt;VLOOKUP(H$5,NFI,5,0),1,0)*Table_NFI[[#This Row],[Hygiene Kit]],Table_NFI[Hygiene Kit])</f>
        <v>0</v>
      </c>
      <c r="Z959" s="378">
        <f>IF(NFI_Expiration=1,IF($A959&lt;VLOOKUP(I$5,NFI,5,0),1,0)*Table_NFI[[#This Row],[NFI Core Kit]],Table_NFI[NFI Core Kit])</f>
        <v>0</v>
      </c>
      <c r="AA959" s="378">
        <f>IF(NFI_Expiration=1,IF($A959&lt;VLOOKUP(J$5,NFI,5,0),1,0)*Table_NFI[[#This Row],[Sanitary Kit]],Table_NFI[Sanitary Kit])</f>
        <v>0</v>
      </c>
      <c r="AB959" s="378">
        <f>IF(NFI_Expiration=1,IF($A959&lt;VLOOKUP(K$5,NFI,5,0),1,0)*Table_NFI[[#This Row],[Mosquito net]],Table_NFI[Mosquito net])</f>
        <v>0</v>
      </c>
      <c r="AC959" s="378">
        <f>IF(NFI_Expiration=1,IF($A959&lt;VLOOKUP(L$5,NFI,5,0),1,0)*Table_NFI[[#This Row],[Tarpaulin]],Table_NFI[[#This Row],[Tarpaulin]])</f>
        <v>0</v>
      </c>
      <c r="AD959" s="378">
        <f>IF(NFI_Expiration=1,IF($A959&lt;VLOOKUP(M$5,NFI,5,0),1,0)*Table_NFI[[#This Row],[Blanket]],Table_NFI[[#This Row],[Blanket]])</f>
        <v>0</v>
      </c>
      <c r="AE959" s="378">
        <f>IF(NFI_Expiration=1,IF($A959&lt;VLOOKUP(N$5,NFI,5,0),1,0)*Table_NFI[[#This Row],[Kitchen Set]],Table_NFI[Kitchen Set])</f>
        <v>0</v>
      </c>
      <c r="AF959" s="378">
        <f>IF(NFI_Expiration=1,IF($A959&lt;VLOOKUP(O$5,NFI,5,0),1,0)*Table_NFI[[#This Row],[Clothes Kit]],Table_NFI[Clothes Kit])</f>
        <v>0</v>
      </c>
      <c r="AG959" s="378">
        <f>IF(NFI_Expiration=1,IF($A959&lt;VLOOKUP(P$5,NFI,5,0),1,0)*Table_NFI[[#This Row],[Plastic Bucket]],Table_NFI[Plastic Bucket])</f>
        <v>0</v>
      </c>
      <c r="AH959" s="378">
        <f>IF(NFI_Expiration=1,IF($A959&lt;VLOOKUP(Q$5,NFI,5,0),1,0)*Table_NFI[[#This Row],[Plastic Mat]],Table_NFI[Plastic Mat])*IF(Table_NFI[[#This Row],[Distribution Date]]&gt;"2014-04-01",1,2.5)</f>
        <v>0</v>
      </c>
      <c r="AI959" s="378">
        <f>IF(NFI_Expiration=1,IF($A959&lt;VLOOKUP(R$5,NFI,5,0),1,0)*Table_NFI[[#This Row],[Winter Clothes Adult]],Table_NFI[Winter Clothes Adult])</f>
        <v>0</v>
      </c>
      <c r="AJ959" s="378">
        <f>IF(NFI_Expiration=1,IF($A959&lt;VLOOKUP(S$5,NFI,5,0),1,0)*Table_NFI[[#This Row],[Winter Clothes Children]],Table_NFI[Winter Clothes Children])</f>
        <v>0</v>
      </c>
      <c r="AK959" s="378">
        <f>IF(NFI_Expiration=1,IF($A959&lt;VLOOKUP(T$5,NFI,5,0),1,0)*Table_NFI[[#This Row],[Winter Items Other]],Table_NFI[Winter Items Other])</f>
        <v>0</v>
      </c>
      <c r="AL959" s="378">
        <f>IF(NFI_Expiration=1,IF($A959&lt;VLOOKUP(M$5,NFI,5,0),1,0)*Table_NFI[[#This Row],[Winter Blanket]],Table_NFI[[#This Row],[Winter Blanket]])</f>
        <v>0</v>
      </c>
      <c r="AM959" s="378">
        <f>IF(Table_NFI[[#This Row],[Winter Clothes Adult]]+Table_NFI[[#This Row],[Winter Clothes Children]]+Table_NFI[[#This Row],[Winter Items Other]]+Table_NFI[[#This Row],[Winter Blanket]]&gt;0,1,0)</f>
        <v>0</v>
      </c>
      <c r="AN959" s="418">
        <f>IF(NFI_Expiration=1,IF($A959&lt;VLOOKUP(V$5,NFI,5,0),1,0)*Table_NFI[[#This Row],[Jerry Can]],Table_NFI[Jerry Can])</f>
        <v>0</v>
      </c>
      <c r="AO959" s="579" t="str">
        <f>IFERROR(VLOOKUP(Table_NFI[[#This Row],[Camp Name]],CL,2,0),"")</f>
        <v/>
      </c>
      <c r="AP959" s="574" t="str">
        <f ca="1">IF(Table_NFI[[#This Row],[Pcode]]="","",IF(OFFSET(CampList[Opening Date],MATCH(Table_NFI[[#This Row],[Pcode]],CampList[CP_Pcode],0)-1,0,1,1)&gt;=NFI_Monitor_Date,1,0))</f>
        <v/>
      </c>
      <c r="AQ959" s="579" t="str">
        <f>IFERROR(VLOOKUP(Table_NFI[[#This Row],[Camp Name]],CL,3,0),"")</f>
        <v/>
      </c>
      <c r="AR959" s="378" t="str">
        <f ca="1">IF(Table_NFI[[#This Row],[Pcode]]="","",OFFSET(CampList[Priority],MATCH(Table_NFI[[#This Row],[Pcode]],CampList[CP_Pcode],0)-1,0,1,1))</f>
        <v/>
      </c>
      <c r="AS959" s="377" t="str">
        <f>IFERROR(Table_NFI[[#This Row],[Kitchen Set]]/VLOOKUP(Table_NFI[[#This Row],[Camp Name]],CL,4,0),"")</f>
        <v/>
      </c>
      <c r="AT959" s="572" t="s">
        <v>1095</v>
      </c>
      <c r="AU959" s="580"/>
    </row>
    <row r="960" spans="1:47" s="585" customFormat="1" ht="15.75" customHeight="1" x14ac:dyDescent="0.25">
      <c r="A960" s="381" t="str">
        <f t="shared" si="14"/>
        <v/>
      </c>
      <c r="B960" s="571"/>
      <c r="C960" s="577"/>
      <c r="D960" s="577"/>
      <c r="E960" s="577"/>
      <c r="F960" s="577"/>
      <c r="G960" s="577"/>
      <c r="H960" s="376"/>
      <c r="I960" s="376"/>
      <c r="J960" s="376"/>
      <c r="K960" s="376"/>
      <c r="L960" s="376"/>
      <c r="M960" s="376"/>
      <c r="N960" s="376"/>
      <c r="O960" s="376"/>
      <c r="P960" s="378"/>
      <c r="Q960" s="378"/>
      <c r="R960" s="378"/>
      <c r="S960" s="378"/>
      <c r="T960" s="378"/>
      <c r="U960" s="378"/>
      <c r="V960" s="533"/>
      <c r="W960" s="418"/>
      <c r="X960" s="418"/>
      <c r="Y960" s="378">
        <f>IF(NFI_Expiration=1,IF($A960&lt;VLOOKUP(H$5,NFI,5,0),1,0)*Table_NFI[[#This Row],[Hygiene Kit]],Table_NFI[Hygiene Kit])</f>
        <v>0</v>
      </c>
      <c r="Z960" s="378">
        <f>IF(NFI_Expiration=1,IF($A960&lt;VLOOKUP(I$5,NFI,5,0),1,0)*Table_NFI[[#This Row],[NFI Core Kit]],Table_NFI[NFI Core Kit])</f>
        <v>0</v>
      </c>
      <c r="AA960" s="378">
        <f>IF(NFI_Expiration=1,IF($A960&lt;VLOOKUP(J$5,NFI,5,0),1,0)*Table_NFI[[#This Row],[Sanitary Kit]],Table_NFI[Sanitary Kit])</f>
        <v>0</v>
      </c>
      <c r="AB960" s="378">
        <f>IF(NFI_Expiration=1,IF($A960&lt;VLOOKUP(K$5,NFI,5,0),1,0)*Table_NFI[[#This Row],[Mosquito net]],Table_NFI[Mosquito net])</f>
        <v>0</v>
      </c>
      <c r="AC960" s="378">
        <f>IF(NFI_Expiration=1,IF($A960&lt;VLOOKUP(L$5,NFI,5,0),1,0)*Table_NFI[[#This Row],[Tarpaulin]],Table_NFI[[#This Row],[Tarpaulin]])</f>
        <v>0</v>
      </c>
      <c r="AD960" s="378">
        <f>IF(NFI_Expiration=1,IF($A960&lt;VLOOKUP(M$5,NFI,5,0),1,0)*Table_NFI[[#This Row],[Blanket]],Table_NFI[[#This Row],[Blanket]])</f>
        <v>0</v>
      </c>
      <c r="AE960" s="378">
        <f>IF(NFI_Expiration=1,IF($A960&lt;VLOOKUP(N$5,NFI,5,0),1,0)*Table_NFI[[#This Row],[Kitchen Set]],Table_NFI[Kitchen Set])</f>
        <v>0</v>
      </c>
      <c r="AF960" s="378">
        <f>IF(NFI_Expiration=1,IF($A960&lt;VLOOKUP(O$5,NFI,5,0),1,0)*Table_NFI[[#This Row],[Clothes Kit]],Table_NFI[Clothes Kit])</f>
        <v>0</v>
      </c>
      <c r="AG960" s="378">
        <f>IF(NFI_Expiration=1,IF($A960&lt;VLOOKUP(P$5,NFI,5,0),1,0)*Table_NFI[[#This Row],[Plastic Bucket]],Table_NFI[Plastic Bucket])</f>
        <v>0</v>
      </c>
      <c r="AH960" s="378">
        <f>IF(NFI_Expiration=1,IF($A960&lt;VLOOKUP(Q$5,NFI,5,0),1,0)*Table_NFI[[#This Row],[Plastic Mat]],Table_NFI[Plastic Mat])*IF(Table_NFI[[#This Row],[Distribution Date]]&gt;"2014-04-01",1,2.5)</f>
        <v>0</v>
      </c>
      <c r="AI960" s="378">
        <f>IF(NFI_Expiration=1,IF($A960&lt;VLOOKUP(R$5,NFI,5,0),1,0)*Table_NFI[[#This Row],[Winter Clothes Adult]],Table_NFI[Winter Clothes Adult])</f>
        <v>0</v>
      </c>
      <c r="AJ960" s="378">
        <f>IF(NFI_Expiration=1,IF($A960&lt;VLOOKUP(S$5,NFI,5,0),1,0)*Table_NFI[[#This Row],[Winter Clothes Children]],Table_NFI[Winter Clothes Children])</f>
        <v>0</v>
      </c>
      <c r="AK960" s="378">
        <f>IF(NFI_Expiration=1,IF($A960&lt;VLOOKUP(T$5,NFI,5,0),1,0)*Table_NFI[[#This Row],[Winter Items Other]],Table_NFI[Winter Items Other])</f>
        <v>0</v>
      </c>
      <c r="AL960" s="378">
        <f>IF(NFI_Expiration=1,IF($A960&lt;VLOOKUP(M$5,NFI,5,0),1,0)*Table_NFI[[#This Row],[Winter Blanket]],Table_NFI[[#This Row],[Winter Blanket]])</f>
        <v>0</v>
      </c>
      <c r="AM960" s="378">
        <f>IF(Table_NFI[[#This Row],[Winter Clothes Adult]]+Table_NFI[[#This Row],[Winter Clothes Children]]+Table_NFI[[#This Row],[Winter Items Other]]+Table_NFI[[#This Row],[Winter Blanket]]&gt;0,1,0)</f>
        <v>0</v>
      </c>
      <c r="AN960" s="418">
        <f>IF(NFI_Expiration=1,IF($A960&lt;VLOOKUP(V$5,NFI,5,0),1,0)*Table_NFI[[#This Row],[Jerry Can]],Table_NFI[Jerry Can])</f>
        <v>0</v>
      </c>
      <c r="AO960" s="579" t="str">
        <f>IFERROR(VLOOKUP(Table_NFI[[#This Row],[Camp Name]],CL,2,0),"")</f>
        <v/>
      </c>
      <c r="AP960" s="574" t="str">
        <f ca="1">IF(Table_NFI[[#This Row],[Pcode]]="","",IF(OFFSET(CampList[Opening Date],MATCH(Table_NFI[[#This Row],[Pcode]],CampList[CP_Pcode],0)-1,0,1,1)&gt;=NFI_Monitor_Date,1,0))</f>
        <v/>
      </c>
      <c r="AQ960" s="579" t="str">
        <f>IFERROR(VLOOKUP(Table_NFI[[#This Row],[Camp Name]],CL,3,0),"")</f>
        <v/>
      </c>
      <c r="AR960" s="378" t="str">
        <f ca="1">IF(Table_NFI[[#This Row],[Pcode]]="","",OFFSET(CampList[Priority],MATCH(Table_NFI[[#This Row],[Pcode]],CampList[CP_Pcode],0)-1,0,1,1))</f>
        <v/>
      </c>
      <c r="AS960" s="377" t="str">
        <f>IFERROR(Table_NFI[[#This Row],[Kitchen Set]]/VLOOKUP(Table_NFI[[#This Row],[Camp Name]],CL,4,0),"")</f>
        <v/>
      </c>
      <c r="AT960" s="572" t="s">
        <v>1095</v>
      </c>
      <c r="AU960" s="580"/>
    </row>
    <row r="961" spans="1:47" s="585" customFormat="1" ht="15.75" customHeight="1" x14ac:dyDescent="0.25">
      <c r="A961" s="381" t="str">
        <f t="shared" si="14"/>
        <v/>
      </c>
      <c r="B961" s="571"/>
      <c r="C961" s="577"/>
      <c r="D961" s="577"/>
      <c r="E961" s="577"/>
      <c r="F961" s="577"/>
      <c r="G961" s="577"/>
      <c r="H961" s="376"/>
      <c r="I961" s="376"/>
      <c r="J961" s="376"/>
      <c r="K961" s="376"/>
      <c r="L961" s="376"/>
      <c r="M961" s="376"/>
      <c r="N961" s="376"/>
      <c r="O961" s="376"/>
      <c r="P961" s="378"/>
      <c r="Q961" s="378"/>
      <c r="R961" s="378"/>
      <c r="S961" s="378"/>
      <c r="T961" s="378"/>
      <c r="U961" s="378"/>
      <c r="V961" s="533"/>
      <c r="W961" s="418"/>
      <c r="X961" s="418"/>
      <c r="Y961" s="378">
        <f>IF(NFI_Expiration=1,IF($A961&lt;VLOOKUP(H$5,NFI,5,0),1,0)*Table_NFI[[#This Row],[Hygiene Kit]],Table_NFI[Hygiene Kit])</f>
        <v>0</v>
      </c>
      <c r="Z961" s="378">
        <f>IF(NFI_Expiration=1,IF($A961&lt;VLOOKUP(I$5,NFI,5,0),1,0)*Table_NFI[[#This Row],[NFI Core Kit]],Table_NFI[NFI Core Kit])</f>
        <v>0</v>
      </c>
      <c r="AA961" s="378">
        <f>IF(NFI_Expiration=1,IF($A961&lt;VLOOKUP(J$5,NFI,5,0),1,0)*Table_NFI[[#This Row],[Sanitary Kit]],Table_NFI[Sanitary Kit])</f>
        <v>0</v>
      </c>
      <c r="AB961" s="378">
        <f>IF(NFI_Expiration=1,IF($A961&lt;VLOOKUP(K$5,NFI,5,0),1,0)*Table_NFI[[#This Row],[Mosquito net]],Table_NFI[Mosquito net])</f>
        <v>0</v>
      </c>
      <c r="AC961" s="378">
        <f>IF(NFI_Expiration=1,IF($A961&lt;VLOOKUP(L$5,NFI,5,0),1,0)*Table_NFI[[#This Row],[Tarpaulin]],Table_NFI[[#This Row],[Tarpaulin]])</f>
        <v>0</v>
      </c>
      <c r="AD961" s="378">
        <f>IF(NFI_Expiration=1,IF($A961&lt;VLOOKUP(M$5,NFI,5,0),1,0)*Table_NFI[[#This Row],[Blanket]],Table_NFI[[#This Row],[Blanket]])</f>
        <v>0</v>
      </c>
      <c r="AE961" s="378">
        <f>IF(NFI_Expiration=1,IF($A961&lt;VLOOKUP(N$5,NFI,5,0),1,0)*Table_NFI[[#This Row],[Kitchen Set]],Table_NFI[Kitchen Set])</f>
        <v>0</v>
      </c>
      <c r="AF961" s="378">
        <f>IF(NFI_Expiration=1,IF($A961&lt;VLOOKUP(O$5,NFI,5,0),1,0)*Table_NFI[[#This Row],[Clothes Kit]],Table_NFI[Clothes Kit])</f>
        <v>0</v>
      </c>
      <c r="AG961" s="378">
        <f>IF(NFI_Expiration=1,IF($A961&lt;VLOOKUP(P$5,NFI,5,0),1,0)*Table_NFI[[#This Row],[Plastic Bucket]],Table_NFI[Plastic Bucket])</f>
        <v>0</v>
      </c>
      <c r="AH961" s="378">
        <f>IF(NFI_Expiration=1,IF($A961&lt;VLOOKUP(Q$5,NFI,5,0),1,0)*Table_NFI[[#This Row],[Plastic Mat]],Table_NFI[Plastic Mat])*IF(Table_NFI[[#This Row],[Distribution Date]]&gt;"2014-04-01",1,2.5)</f>
        <v>0</v>
      </c>
      <c r="AI961" s="378">
        <f>IF(NFI_Expiration=1,IF($A961&lt;VLOOKUP(R$5,NFI,5,0),1,0)*Table_NFI[[#This Row],[Winter Clothes Adult]],Table_NFI[Winter Clothes Adult])</f>
        <v>0</v>
      </c>
      <c r="AJ961" s="378">
        <f>IF(NFI_Expiration=1,IF($A961&lt;VLOOKUP(S$5,NFI,5,0),1,0)*Table_NFI[[#This Row],[Winter Clothes Children]],Table_NFI[Winter Clothes Children])</f>
        <v>0</v>
      </c>
      <c r="AK961" s="378">
        <f>IF(NFI_Expiration=1,IF($A961&lt;VLOOKUP(T$5,NFI,5,0),1,0)*Table_NFI[[#This Row],[Winter Items Other]],Table_NFI[Winter Items Other])</f>
        <v>0</v>
      </c>
      <c r="AL961" s="378">
        <f>IF(NFI_Expiration=1,IF($A961&lt;VLOOKUP(M$5,NFI,5,0),1,0)*Table_NFI[[#This Row],[Winter Blanket]],Table_NFI[[#This Row],[Winter Blanket]])</f>
        <v>0</v>
      </c>
      <c r="AM961" s="378">
        <f>IF(Table_NFI[[#This Row],[Winter Clothes Adult]]+Table_NFI[[#This Row],[Winter Clothes Children]]+Table_NFI[[#This Row],[Winter Items Other]]+Table_NFI[[#This Row],[Winter Blanket]]&gt;0,1,0)</f>
        <v>0</v>
      </c>
      <c r="AN961" s="418">
        <f>IF(NFI_Expiration=1,IF($A961&lt;VLOOKUP(V$5,NFI,5,0),1,0)*Table_NFI[[#This Row],[Jerry Can]],Table_NFI[Jerry Can])</f>
        <v>0</v>
      </c>
      <c r="AO961" s="579" t="str">
        <f>IFERROR(VLOOKUP(Table_NFI[[#This Row],[Camp Name]],CL,2,0),"")</f>
        <v/>
      </c>
      <c r="AP961" s="574" t="str">
        <f ca="1">IF(Table_NFI[[#This Row],[Pcode]]="","",IF(OFFSET(CampList[Opening Date],MATCH(Table_NFI[[#This Row],[Pcode]],CampList[CP_Pcode],0)-1,0,1,1)&gt;=NFI_Monitor_Date,1,0))</f>
        <v/>
      </c>
      <c r="AQ961" s="579" t="str">
        <f>IFERROR(VLOOKUP(Table_NFI[[#This Row],[Camp Name]],CL,3,0),"")</f>
        <v/>
      </c>
      <c r="AR961" s="378" t="str">
        <f ca="1">IF(Table_NFI[[#This Row],[Pcode]]="","",OFFSET(CampList[Priority],MATCH(Table_NFI[[#This Row],[Pcode]],CampList[CP_Pcode],0)-1,0,1,1))</f>
        <v/>
      </c>
      <c r="AS961" s="377" t="str">
        <f>IFERROR(Table_NFI[[#This Row],[Kitchen Set]]/VLOOKUP(Table_NFI[[#This Row],[Camp Name]],CL,4,0),"")</f>
        <v/>
      </c>
      <c r="AT961" s="572" t="s">
        <v>1095</v>
      </c>
      <c r="AU961" s="580"/>
    </row>
    <row r="962" spans="1:47" s="585" customFormat="1" x14ac:dyDescent="0.25">
      <c r="A962" s="381" t="str">
        <f t="shared" si="14"/>
        <v/>
      </c>
      <c r="B962" s="571"/>
      <c r="C962" s="577"/>
      <c r="D962" s="577"/>
      <c r="E962" s="577"/>
      <c r="F962" s="577"/>
      <c r="G962" s="577"/>
      <c r="H962" s="376"/>
      <c r="I962" s="376"/>
      <c r="J962" s="376"/>
      <c r="K962" s="376"/>
      <c r="L962" s="376"/>
      <c r="M962" s="376"/>
      <c r="N962" s="376"/>
      <c r="O962" s="376"/>
      <c r="P962" s="378"/>
      <c r="Q962" s="378"/>
      <c r="R962" s="378"/>
      <c r="S962" s="378"/>
      <c r="T962" s="378"/>
      <c r="U962" s="378"/>
      <c r="V962" s="533"/>
      <c r="W962" s="418"/>
      <c r="X962" s="418"/>
      <c r="Y962" s="378">
        <f>IF(NFI_Expiration=1,IF($A962&lt;VLOOKUP(H$5,NFI,5,0),1,0)*Table_NFI[[#This Row],[Hygiene Kit]],Table_NFI[Hygiene Kit])</f>
        <v>0</v>
      </c>
      <c r="Z962" s="378">
        <f>IF(NFI_Expiration=1,IF($A962&lt;VLOOKUP(I$5,NFI,5,0),1,0)*Table_NFI[[#This Row],[NFI Core Kit]],Table_NFI[NFI Core Kit])</f>
        <v>0</v>
      </c>
      <c r="AA962" s="378">
        <f>IF(NFI_Expiration=1,IF($A962&lt;VLOOKUP(J$5,NFI,5,0),1,0)*Table_NFI[[#This Row],[Sanitary Kit]],Table_NFI[Sanitary Kit])</f>
        <v>0</v>
      </c>
      <c r="AB962" s="378">
        <f>IF(NFI_Expiration=1,IF($A962&lt;VLOOKUP(K$5,NFI,5,0),1,0)*Table_NFI[[#This Row],[Mosquito net]],Table_NFI[Mosquito net])</f>
        <v>0</v>
      </c>
      <c r="AC962" s="378">
        <f>IF(NFI_Expiration=1,IF($A962&lt;VLOOKUP(L$5,NFI,5,0),1,0)*Table_NFI[[#This Row],[Tarpaulin]],Table_NFI[[#This Row],[Tarpaulin]])</f>
        <v>0</v>
      </c>
      <c r="AD962" s="378">
        <f>IF(NFI_Expiration=1,IF($A962&lt;VLOOKUP(M$5,NFI,5,0),1,0)*Table_NFI[[#This Row],[Blanket]],Table_NFI[[#This Row],[Blanket]])</f>
        <v>0</v>
      </c>
      <c r="AE962" s="378">
        <f>IF(NFI_Expiration=1,IF($A962&lt;VLOOKUP(N$5,NFI,5,0),1,0)*Table_NFI[[#This Row],[Kitchen Set]],Table_NFI[Kitchen Set])</f>
        <v>0</v>
      </c>
      <c r="AF962" s="378">
        <f>IF(NFI_Expiration=1,IF($A962&lt;VLOOKUP(O$5,NFI,5,0),1,0)*Table_NFI[[#This Row],[Clothes Kit]],Table_NFI[Clothes Kit])</f>
        <v>0</v>
      </c>
      <c r="AG962" s="378">
        <f>IF(NFI_Expiration=1,IF($A962&lt;VLOOKUP(P$5,NFI,5,0),1,0)*Table_NFI[[#This Row],[Plastic Bucket]],Table_NFI[Plastic Bucket])</f>
        <v>0</v>
      </c>
      <c r="AH962" s="378">
        <f>IF(NFI_Expiration=1,IF($A962&lt;VLOOKUP(Q$5,NFI,5,0),1,0)*Table_NFI[[#This Row],[Plastic Mat]],Table_NFI[Plastic Mat])*IF(Table_NFI[[#This Row],[Distribution Date]]&gt;"2014-04-01",1,2.5)</f>
        <v>0</v>
      </c>
      <c r="AI962" s="378">
        <f>IF(NFI_Expiration=1,IF($A962&lt;VLOOKUP(R$5,NFI,5,0),1,0)*Table_NFI[[#This Row],[Winter Clothes Adult]],Table_NFI[Winter Clothes Adult])</f>
        <v>0</v>
      </c>
      <c r="AJ962" s="378">
        <f>IF(NFI_Expiration=1,IF($A962&lt;VLOOKUP(S$5,NFI,5,0),1,0)*Table_NFI[[#This Row],[Winter Clothes Children]],Table_NFI[Winter Clothes Children])</f>
        <v>0</v>
      </c>
      <c r="AK962" s="378">
        <f>IF(NFI_Expiration=1,IF($A962&lt;VLOOKUP(T$5,NFI,5,0),1,0)*Table_NFI[[#This Row],[Winter Items Other]],Table_NFI[Winter Items Other])</f>
        <v>0</v>
      </c>
      <c r="AL962" s="378">
        <f>IF(NFI_Expiration=1,IF($A962&lt;VLOOKUP(M$5,NFI,5,0),1,0)*Table_NFI[[#This Row],[Winter Blanket]],Table_NFI[[#This Row],[Winter Blanket]])</f>
        <v>0</v>
      </c>
      <c r="AM962" s="378">
        <f>IF(Table_NFI[[#This Row],[Winter Clothes Adult]]+Table_NFI[[#This Row],[Winter Clothes Children]]+Table_NFI[[#This Row],[Winter Items Other]]+Table_NFI[[#This Row],[Winter Blanket]]&gt;0,1,0)</f>
        <v>0</v>
      </c>
      <c r="AN962" s="418">
        <f>IF(NFI_Expiration=1,IF($A962&lt;VLOOKUP(V$5,NFI,5,0),1,0)*Table_NFI[[#This Row],[Jerry Can]],Table_NFI[Jerry Can])</f>
        <v>0</v>
      </c>
      <c r="AO962" s="579" t="str">
        <f>IFERROR(VLOOKUP(Table_NFI[[#This Row],[Camp Name]],CL,2,0),"")</f>
        <v/>
      </c>
      <c r="AP962" s="574" t="str">
        <f ca="1">IF(Table_NFI[[#This Row],[Pcode]]="","",IF(OFFSET(CampList[Opening Date],MATCH(Table_NFI[[#This Row],[Pcode]],CampList[CP_Pcode],0)-1,0,1,1)&gt;=NFI_Monitor_Date,1,0))</f>
        <v/>
      </c>
      <c r="AQ962" s="579" t="str">
        <f>IFERROR(VLOOKUP(Table_NFI[[#This Row],[Camp Name]],CL,3,0),"")</f>
        <v/>
      </c>
      <c r="AR962" s="378" t="str">
        <f ca="1">IF(Table_NFI[[#This Row],[Pcode]]="","",OFFSET(CampList[Priority],MATCH(Table_NFI[[#This Row],[Pcode]],CampList[CP_Pcode],0)-1,0,1,1))</f>
        <v/>
      </c>
      <c r="AS962" s="377" t="str">
        <f>IFERROR(Table_NFI[[#This Row],[Kitchen Set]]/VLOOKUP(Table_NFI[[#This Row],[Camp Name]],CL,4,0),"")</f>
        <v/>
      </c>
      <c r="AT962" s="572" t="s">
        <v>1095</v>
      </c>
      <c r="AU962" s="580"/>
    </row>
    <row r="963" spans="1:47" s="585" customFormat="1" ht="15.75" customHeight="1" x14ac:dyDescent="0.25">
      <c r="A963" s="381" t="str">
        <f t="shared" si="14"/>
        <v/>
      </c>
      <c r="B963" s="571"/>
      <c r="C963" s="577"/>
      <c r="D963" s="577"/>
      <c r="E963" s="577"/>
      <c r="F963" s="577"/>
      <c r="G963" s="577"/>
      <c r="H963" s="376"/>
      <c r="I963" s="376"/>
      <c r="J963" s="376"/>
      <c r="K963" s="376"/>
      <c r="L963" s="376"/>
      <c r="M963" s="376"/>
      <c r="N963" s="376"/>
      <c r="O963" s="376"/>
      <c r="P963" s="378"/>
      <c r="Q963" s="378"/>
      <c r="R963" s="378"/>
      <c r="S963" s="378"/>
      <c r="T963" s="378"/>
      <c r="U963" s="378"/>
      <c r="V963" s="533"/>
      <c r="W963" s="418"/>
      <c r="X963" s="418"/>
      <c r="Y963" s="378">
        <f>IF(NFI_Expiration=1,IF($A963&lt;VLOOKUP(H$5,NFI,5,0),1,0)*Table_NFI[[#This Row],[Hygiene Kit]],Table_NFI[Hygiene Kit])</f>
        <v>0</v>
      </c>
      <c r="Z963" s="378">
        <f>IF(NFI_Expiration=1,IF($A963&lt;VLOOKUP(I$5,NFI,5,0),1,0)*Table_NFI[[#This Row],[NFI Core Kit]],Table_NFI[NFI Core Kit])</f>
        <v>0</v>
      </c>
      <c r="AA963" s="378">
        <f>IF(NFI_Expiration=1,IF($A963&lt;VLOOKUP(J$5,NFI,5,0),1,0)*Table_NFI[[#This Row],[Sanitary Kit]],Table_NFI[Sanitary Kit])</f>
        <v>0</v>
      </c>
      <c r="AB963" s="378">
        <f>IF(NFI_Expiration=1,IF($A963&lt;VLOOKUP(K$5,NFI,5,0),1,0)*Table_NFI[[#This Row],[Mosquito net]],Table_NFI[Mosquito net])</f>
        <v>0</v>
      </c>
      <c r="AC963" s="378">
        <f>IF(NFI_Expiration=1,IF($A963&lt;VLOOKUP(L$5,NFI,5,0),1,0)*Table_NFI[[#This Row],[Tarpaulin]],Table_NFI[[#This Row],[Tarpaulin]])</f>
        <v>0</v>
      </c>
      <c r="AD963" s="378">
        <f>IF(NFI_Expiration=1,IF($A963&lt;VLOOKUP(M$5,NFI,5,0),1,0)*Table_NFI[[#This Row],[Blanket]],Table_NFI[[#This Row],[Blanket]])</f>
        <v>0</v>
      </c>
      <c r="AE963" s="378">
        <f>IF(NFI_Expiration=1,IF($A963&lt;VLOOKUP(N$5,NFI,5,0),1,0)*Table_NFI[[#This Row],[Kitchen Set]],Table_NFI[Kitchen Set])</f>
        <v>0</v>
      </c>
      <c r="AF963" s="378">
        <f>IF(NFI_Expiration=1,IF($A963&lt;VLOOKUP(O$5,NFI,5,0),1,0)*Table_NFI[[#This Row],[Clothes Kit]],Table_NFI[Clothes Kit])</f>
        <v>0</v>
      </c>
      <c r="AG963" s="378">
        <f>IF(NFI_Expiration=1,IF($A963&lt;VLOOKUP(P$5,NFI,5,0),1,0)*Table_NFI[[#This Row],[Plastic Bucket]],Table_NFI[Plastic Bucket])</f>
        <v>0</v>
      </c>
      <c r="AH963" s="378">
        <f>IF(NFI_Expiration=1,IF($A963&lt;VLOOKUP(Q$5,NFI,5,0),1,0)*Table_NFI[[#This Row],[Plastic Mat]],Table_NFI[Plastic Mat])*IF(Table_NFI[[#This Row],[Distribution Date]]&gt;"2014-04-01",1,2.5)</f>
        <v>0</v>
      </c>
      <c r="AI963" s="378">
        <f>IF(NFI_Expiration=1,IF($A963&lt;VLOOKUP(R$5,NFI,5,0),1,0)*Table_NFI[[#This Row],[Winter Clothes Adult]],Table_NFI[Winter Clothes Adult])</f>
        <v>0</v>
      </c>
      <c r="AJ963" s="378">
        <f>IF(NFI_Expiration=1,IF($A963&lt;VLOOKUP(S$5,NFI,5,0),1,0)*Table_NFI[[#This Row],[Winter Clothes Children]],Table_NFI[Winter Clothes Children])</f>
        <v>0</v>
      </c>
      <c r="AK963" s="378">
        <f>IF(NFI_Expiration=1,IF($A963&lt;VLOOKUP(T$5,NFI,5,0),1,0)*Table_NFI[[#This Row],[Winter Items Other]],Table_NFI[Winter Items Other])</f>
        <v>0</v>
      </c>
      <c r="AL963" s="378">
        <f>IF(NFI_Expiration=1,IF($A963&lt;VLOOKUP(M$5,NFI,5,0),1,0)*Table_NFI[[#This Row],[Winter Blanket]],Table_NFI[[#This Row],[Winter Blanket]])</f>
        <v>0</v>
      </c>
      <c r="AM963" s="378">
        <f>IF(Table_NFI[[#This Row],[Winter Clothes Adult]]+Table_NFI[[#This Row],[Winter Clothes Children]]+Table_NFI[[#This Row],[Winter Items Other]]+Table_NFI[[#This Row],[Winter Blanket]]&gt;0,1,0)</f>
        <v>0</v>
      </c>
      <c r="AN963" s="418">
        <f>IF(NFI_Expiration=1,IF($A963&lt;VLOOKUP(V$5,NFI,5,0),1,0)*Table_NFI[[#This Row],[Jerry Can]],Table_NFI[Jerry Can])</f>
        <v>0</v>
      </c>
      <c r="AO963" s="579" t="str">
        <f>IFERROR(VLOOKUP(Table_NFI[[#This Row],[Camp Name]],CL,2,0),"")</f>
        <v/>
      </c>
      <c r="AP963" s="574" t="str">
        <f ca="1">IF(Table_NFI[[#This Row],[Pcode]]="","",IF(OFFSET(CampList[Opening Date],MATCH(Table_NFI[[#This Row],[Pcode]],CampList[CP_Pcode],0)-1,0,1,1)&gt;=NFI_Monitor_Date,1,0))</f>
        <v/>
      </c>
      <c r="AQ963" s="579" t="str">
        <f>IFERROR(VLOOKUP(Table_NFI[[#This Row],[Camp Name]],CL,3,0),"")</f>
        <v/>
      </c>
      <c r="AR963" s="378" t="str">
        <f ca="1">IF(Table_NFI[[#This Row],[Pcode]]="","",OFFSET(CampList[Priority],MATCH(Table_NFI[[#This Row],[Pcode]],CampList[CP_Pcode],0)-1,0,1,1))</f>
        <v/>
      </c>
      <c r="AS963" s="377" t="str">
        <f>IFERROR(Table_NFI[[#This Row],[Kitchen Set]]/VLOOKUP(Table_NFI[[#This Row],[Camp Name]],CL,4,0),"")</f>
        <v/>
      </c>
      <c r="AT963" s="572" t="s">
        <v>1095</v>
      </c>
      <c r="AU963" s="580"/>
    </row>
    <row r="964" spans="1:47" s="585" customFormat="1" ht="15.75" customHeight="1" x14ac:dyDescent="0.25">
      <c r="A964" s="381" t="str">
        <f t="shared" si="14"/>
        <v/>
      </c>
      <c r="B964" s="571"/>
      <c r="C964" s="577"/>
      <c r="D964" s="577"/>
      <c r="E964" s="577"/>
      <c r="F964" s="577"/>
      <c r="G964" s="577"/>
      <c r="H964" s="376"/>
      <c r="I964" s="376"/>
      <c r="J964" s="376"/>
      <c r="K964" s="376"/>
      <c r="L964" s="376"/>
      <c r="M964" s="376"/>
      <c r="N964" s="376"/>
      <c r="O964" s="376"/>
      <c r="P964" s="378"/>
      <c r="Q964" s="378"/>
      <c r="R964" s="378"/>
      <c r="S964" s="378"/>
      <c r="T964" s="378"/>
      <c r="U964" s="378"/>
      <c r="V964" s="533"/>
      <c r="W964" s="418"/>
      <c r="X964" s="418"/>
      <c r="Y964" s="378">
        <f>IF(NFI_Expiration=1,IF($A964&lt;VLOOKUP(H$5,NFI,5,0),1,0)*Table_NFI[[#This Row],[Hygiene Kit]],Table_NFI[Hygiene Kit])</f>
        <v>0</v>
      </c>
      <c r="Z964" s="378">
        <f>IF(NFI_Expiration=1,IF($A964&lt;VLOOKUP(I$5,NFI,5,0),1,0)*Table_NFI[[#This Row],[NFI Core Kit]],Table_NFI[NFI Core Kit])</f>
        <v>0</v>
      </c>
      <c r="AA964" s="378">
        <f>IF(NFI_Expiration=1,IF($A964&lt;VLOOKUP(J$5,NFI,5,0),1,0)*Table_NFI[[#This Row],[Sanitary Kit]],Table_NFI[Sanitary Kit])</f>
        <v>0</v>
      </c>
      <c r="AB964" s="378">
        <f>IF(NFI_Expiration=1,IF($A964&lt;VLOOKUP(K$5,NFI,5,0),1,0)*Table_NFI[[#This Row],[Mosquito net]],Table_NFI[Mosquito net])</f>
        <v>0</v>
      </c>
      <c r="AC964" s="378">
        <f>IF(NFI_Expiration=1,IF($A964&lt;VLOOKUP(L$5,NFI,5,0),1,0)*Table_NFI[[#This Row],[Tarpaulin]],Table_NFI[[#This Row],[Tarpaulin]])</f>
        <v>0</v>
      </c>
      <c r="AD964" s="378">
        <f>IF(NFI_Expiration=1,IF($A964&lt;VLOOKUP(M$5,NFI,5,0),1,0)*Table_NFI[[#This Row],[Blanket]],Table_NFI[[#This Row],[Blanket]])</f>
        <v>0</v>
      </c>
      <c r="AE964" s="378">
        <f>IF(NFI_Expiration=1,IF($A964&lt;VLOOKUP(N$5,NFI,5,0),1,0)*Table_NFI[[#This Row],[Kitchen Set]],Table_NFI[Kitchen Set])</f>
        <v>0</v>
      </c>
      <c r="AF964" s="378">
        <f>IF(NFI_Expiration=1,IF($A964&lt;VLOOKUP(O$5,NFI,5,0),1,0)*Table_NFI[[#This Row],[Clothes Kit]],Table_NFI[Clothes Kit])</f>
        <v>0</v>
      </c>
      <c r="AG964" s="378">
        <f>IF(NFI_Expiration=1,IF($A964&lt;VLOOKUP(P$5,NFI,5,0),1,0)*Table_NFI[[#This Row],[Plastic Bucket]],Table_NFI[Plastic Bucket])</f>
        <v>0</v>
      </c>
      <c r="AH964" s="378">
        <f>IF(NFI_Expiration=1,IF($A964&lt;VLOOKUP(Q$5,NFI,5,0),1,0)*Table_NFI[[#This Row],[Plastic Mat]],Table_NFI[Plastic Mat])*IF(Table_NFI[[#This Row],[Distribution Date]]&gt;"2014-04-01",1,2.5)</f>
        <v>0</v>
      </c>
      <c r="AI964" s="378">
        <f>IF(NFI_Expiration=1,IF($A964&lt;VLOOKUP(R$5,NFI,5,0),1,0)*Table_NFI[[#This Row],[Winter Clothes Adult]],Table_NFI[Winter Clothes Adult])</f>
        <v>0</v>
      </c>
      <c r="AJ964" s="378">
        <f>IF(NFI_Expiration=1,IF($A964&lt;VLOOKUP(S$5,NFI,5,0),1,0)*Table_NFI[[#This Row],[Winter Clothes Children]],Table_NFI[Winter Clothes Children])</f>
        <v>0</v>
      </c>
      <c r="AK964" s="378">
        <f>IF(NFI_Expiration=1,IF($A964&lt;VLOOKUP(T$5,NFI,5,0),1,0)*Table_NFI[[#This Row],[Winter Items Other]],Table_NFI[Winter Items Other])</f>
        <v>0</v>
      </c>
      <c r="AL964" s="378">
        <f>IF(NFI_Expiration=1,IF($A964&lt;VLOOKUP(M$5,NFI,5,0),1,0)*Table_NFI[[#This Row],[Winter Blanket]],Table_NFI[[#This Row],[Winter Blanket]])</f>
        <v>0</v>
      </c>
      <c r="AM964" s="378">
        <f>IF(Table_NFI[[#This Row],[Winter Clothes Adult]]+Table_NFI[[#This Row],[Winter Clothes Children]]+Table_NFI[[#This Row],[Winter Items Other]]+Table_NFI[[#This Row],[Winter Blanket]]&gt;0,1,0)</f>
        <v>0</v>
      </c>
      <c r="AN964" s="418">
        <f>IF(NFI_Expiration=1,IF($A964&lt;VLOOKUP(V$5,NFI,5,0),1,0)*Table_NFI[[#This Row],[Jerry Can]],Table_NFI[Jerry Can])</f>
        <v>0</v>
      </c>
      <c r="AO964" s="579" t="str">
        <f>IFERROR(VLOOKUP(Table_NFI[[#This Row],[Camp Name]],CL,2,0),"")</f>
        <v/>
      </c>
      <c r="AP964" s="574" t="str">
        <f ca="1">IF(Table_NFI[[#This Row],[Pcode]]="","",IF(OFFSET(CampList[Opening Date],MATCH(Table_NFI[[#This Row],[Pcode]],CampList[CP_Pcode],0)-1,0,1,1)&gt;=NFI_Monitor_Date,1,0))</f>
        <v/>
      </c>
      <c r="AQ964" s="579" t="str">
        <f>IFERROR(VLOOKUP(Table_NFI[[#This Row],[Camp Name]],CL,3,0),"")</f>
        <v/>
      </c>
      <c r="AR964" s="378" t="str">
        <f ca="1">IF(Table_NFI[[#This Row],[Pcode]]="","",OFFSET(CampList[Priority],MATCH(Table_NFI[[#This Row],[Pcode]],CampList[CP_Pcode],0)-1,0,1,1))</f>
        <v/>
      </c>
      <c r="AS964" s="377" t="str">
        <f>IFERROR(Table_NFI[[#This Row],[Kitchen Set]]/VLOOKUP(Table_NFI[[#This Row],[Camp Name]],CL,4,0),"")</f>
        <v/>
      </c>
      <c r="AT964" s="572" t="s">
        <v>1095</v>
      </c>
      <c r="AU964" s="580"/>
    </row>
    <row r="965" spans="1:47" s="585" customFormat="1" ht="15.75" customHeight="1" x14ac:dyDescent="0.25">
      <c r="A965" s="381" t="str">
        <f t="shared" si="14"/>
        <v/>
      </c>
      <c r="B965" s="571"/>
      <c r="C965" s="577"/>
      <c r="D965" s="577"/>
      <c r="E965" s="577"/>
      <c r="F965" s="577"/>
      <c r="G965" s="577"/>
      <c r="H965" s="376"/>
      <c r="I965" s="376"/>
      <c r="J965" s="376"/>
      <c r="K965" s="376"/>
      <c r="L965" s="376"/>
      <c r="M965" s="376"/>
      <c r="N965" s="376"/>
      <c r="O965" s="376"/>
      <c r="P965" s="378"/>
      <c r="Q965" s="378"/>
      <c r="R965" s="378"/>
      <c r="S965" s="378"/>
      <c r="T965" s="378"/>
      <c r="U965" s="378"/>
      <c r="V965" s="533"/>
      <c r="W965" s="418"/>
      <c r="X965" s="418"/>
      <c r="Y965" s="378">
        <f>IF(NFI_Expiration=1,IF($A965&lt;VLOOKUP(H$5,NFI,5,0),1,0)*Table_NFI[[#This Row],[Hygiene Kit]],Table_NFI[Hygiene Kit])</f>
        <v>0</v>
      </c>
      <c r="Z965" s="378">
        <f>IF(NFI_Expiration=1,IF($A965&lt;VLOOKUP(I$5,NFI,5,0),1,0)*Table_NFI[[#This Row],[NFI Core Kit]],Table_NFI[NFI Core Kit])</f>
        <v>0</v>
      </c>
      <c r="AA965" s="378">
        <f>IF(NFI_Expiration=1,IF($A965&lt;VLOOKUP(J$5,NFI,5,0),1,0)*Table_NFI[[#This Row],[Sanitary Kit]],Table_NFI[Sanitary Kit])</f>
        <v>0</v>
      </c>
      <c r="AB965" s="378">
        <f>IF(NFI_Expiration=1,IF($A965&lt;VLOOKUP(K$5,NFI,5,0),1,0)*Table_NFI[[#This Row],[Mosquito net]],Table_NFI[Mosquito net])</f>
        <v>0</v>
      </c>
      <c r="AC965" s="378">
        <f>IF(NFI_Expiration=1,IF($A965&lt;VLOOKUP(L$5,NFI,5,0),1,0)*Table_NFI[[#This Row],[Tarpaulin]],Table_NFI[[#This Row],[Tarpaulin]])</f>
        <v>0</v>
      </c>
      <c r="AD965" s="378">
        <f>IF(NFI_Expiration=1,IF($A965&lt;VLOOKUP(M$5,NFI,5,0),1,0)*Table_NFI[[#This Row],[Blanket]],Table_NFI[[#This Row],[Blanket]])</f>
        <v>0</v>
      </c>
      <c r="AE965" s="378">
        <f>IF(NFI_Expiration=1,IF($A965&lt;VLOOKUP(N$5,NFI,5,0),1,0)*Table_NFI[[#This Row],[Kitchen Set]],Table_NFI[Kitchen Set])</f>
        <v>0</v>
      </c>
      <c r="AF965" s="378">
        <f>IF(NFI_Expiration=1,IF($A965&lt;VLOOKUP(O$5,NFI,5,0),1,0)*Table_NFI[[#This Row],[Clothes Kit]],Table_NFI[Clothes Kit])</f>
        <v>0</v>
      </c>
      <c r="AG965" s="378">
        <f>IF(NFI_Expiration=1,IF($A965&lt;VLOOKUP(P$5,NFI,5,0),1,0)*Table_NFI[[#This Row],[Plastic Bucket]],Table_NFI[Plastic Bucket])</f>
        <v>0</v>
      </c>
      <c r="AH965" s="378">
        <f>IF(NFI_Expiration=1,IF($A965&lt;VLOOKUP(Q$5,NFI,5,0),1,0)*Table_NFI[[#This Row],[Plastic Mat]],Table_NFI[Plastic Mat])*IF(Table_NFI[[#This Row],[Distribution Date]]&gt;"2014-04-01",1,2.5)</f>
        <v>0</v>
      </c>
      <c r="AI965" s="378">
        <f>IF(NFI_Expiration=1,IF($A965&lt;VLOOKUP(R$5,NFI,5,0),1,0)*Table_NFI[[#This Row],[Winter Clothes Adult]],Table_NFI[Winter Clothes Adult])</f>
        <v>0</v>
      </c>
      <c r="AJ965" s="378">
        <f>IF(NFI_Expiration=1,IF($A965&lt;VLOOKUP(S$5,NFI,5,0),1,0)*Table_NFI[[#This Row],[Winter Clothes Children]],Table_NFI[Winter Clothes Children])</f>
        <v>0</v>
      </c>
      <c r="AK965" s="378">
        <f>IF(NFI_Expiration=1,IF($A965&lt;VLOOKUP(T$5,NFI,5,0),1,0)*Table_NFI[[#This Row],[Winter Items Other]],Table_NFI[Winter Items Other])</f>
        <v>0</v>
      </c>
      <c r="AL965" s="378">
        <f>IF(NFI_Expiration=1,IF($A965&lt;VLOOKUP(M$5,NFI,5,0),1,0)*Table_NFI[[#This Row],[Winter Blanket]],Table_NFI[[#This Row],[Winter Blanket]])</f>
        <v>0</v>
      </c>
      <c r="AM965" s="378">
        <f>IF(Table_NFI[[#This Row],[Winter Clothes Adult]]+Table_NFI[[#This Row],[Winter Clothes Children]]+Table_NFI[[#This Row],[Winter Items Other]]+Table_NFI[[#This Row],[Winter Blanket]]&gt;0,1,0)</f>
        <v>0</v>
      </c>
      <c r="AN965" s="418">
        <f>IF(NFI_Expiration=1,IF($A965&lt;VLOOKUP(V$5,NFI,5,0),1,0)*Table_NFI[[#This Row],[Jerry Can]],Table_NFI[Jerry Can])</f>
        <v>0</v>
      </c>
      <c r="AO965" s="579" t="str">
        <f>IFERROR(VLOOKUP(Table_NFI[[#This Row],[Camp Name]],CL,2,0),"")</f>
        <v/>
      </c>
      <c r="AP965" s="574" t="str">
        <f ca="1">IF(Table_NFI[[#This Row],[Pcode]]="","",IF(OFFSET(CampList[Opening Date],MATCH(Table_NFI[[#This Row],[Pcode]],CampList[CP_Pcode],0)-1,0,1,1)&gt;=NFI_Monitor_Date,1,0))</f>
        <v/>
      </c>
      <c r="AQ965" s="579" t="str">
        <f>IFERROR(VLOOKUP(Table_NFI[[#This Row],[Camp Name]],CL,3,0),"")</f>
        <v/>
      </c>
      <c r="AR965" s="378" t="str">
        <f ca="1">IF(Table_NFI[[#This Row],[Pcode]]="","",OFFSET(CampList[Priority],MATCH(Table_NFI[[#This Row],[Pcode]],CampList[CP_Pcode],0)-1,0,1,1))</f>
        <v/>
      </c>
      <c r="AS965" s="377" t="str">
        <f>IFERROR(Table_NFI[[#This Row],[Kitchen Set]]/VLOOKUP(Table_NFI[[#This Row],[Camp Name]],CL,4,0),"")</f>
        <v/>
      </c>
      <c r="AT965" s="572" t="s">
        <v>1095</v>
      </c>
      <c r="AU965" s="580"/>
    </row>
    <row r="966" spans="1:47" s="585" customFormat="1" x14ac:dyDescent="0.25">
      <c r="A966" s="381" t="str">
        <f t="shared" ref="A966:A1029" si="15">IF(ISBLANK(B966),"",(Report_Date-B966)/30)</f>
        <v/>
      </c>
      <c r="B966" s="571"/>
      <c r="C966" s="577"/>
      <c r="D966" s="577"/>
      <c r="E966" s="577"/>
      <c r="F966" s="577"/>
      <c r="G966" s="577"/>
      <c r="H966" s="376"/>
      <c r="I966" s="376"/>
      <c r="J966" s="376"/>
      <c r="K966" s="376"/>
      <c r="L966" s="376"/>
      <c r="M966" s="376"/>
      <c r="N966" s="376"/>
      <c r="O966" s="376"/>
      <c r="P966" s="378"/>
      <c r="Q966" s="378"/>
      <c r="R966" s="378"/>
      <c r="S966" s="378"/>
      <c r="T966" s="378"/>
      <c r="U966" s="378"/>
      <c r="V966" s="533"/>
      <c r="W966" s="418"/>
      <c r="X966" s="418"/>
      <c r="Y966" s="378">
        <f>IF(NFI_Expiration=1,IF($A966&lt;VLOOKUP(H$5,NFI,5,0),1,0)*Table_NFI[[#This Row],[Hygiene Kit]],Table_NFI[Hygiene Kit])</f>
        <v>0</v>
      </c>
      <c r="Z966" s="378">
        <f>IF(NFI_Expiration=1,IF($A966&lt;VLOOKUP(I$5,NFI,5,0),1,0)*Table_NFI[[#This Row],[NFI Core Kit]],Table_NFI[NFI Core Kit])</f>
        <v>0</v>
      </c>
      <c r="AA966" s="378">
        <f>IF(NFI_Expiration=1,IF($A966&lt;VLOOKUP(J$5,NFI,5,0),1,0)*Table_NFI[[#This Row],[Sanitary Kit]],Table_NFI[Sanitary Kit])</f>
        <v>0</v>
      </c>
      <c r="AB966" s="378">
        <f>IF(NFI_Expiration=1,IF($A966&lt;VLOOKUP(K$5,NFI,5,0),1,0)*Table_NFI[[#This Row],[Mosquito net]],Table_NFI[Mosquito net])</f>
        <v>0</v>
      </c>
      <c r="AC966" s="378">
        <f>IF(NFI_Expiration=1,IF($A966&lt;VLOOKUP(L$5,NFI,5,0),1,0)*Table_NFI[[#This Row],[Tarpaulin]],Table_NFI[[#This Row],[Tarpaulin]])</f>
        <v>0</v>
      </c>
      <c r="AD966" s="378">
        <f>IF(NFI_Expiration=1,IF($A966&lt;VLOOKUP(M$5,NFI,5,0),1,0)*Table_NFI[[#This Row],[Blanket]],Table_NFI[[#This Row],[Blanket]])</f>
        <v>0</v>
      </c>
      <c r="AE966" s="378">
        <f>IF(NFI_Expiration=1,IF($A966&lt;VLOOKUP(N$5,NFI,5,0),1,0)*Table_NFI[[#This Row],[Kitchen Set]],Table_NFI[Kitchen Set])</f>
        <v>0</v>
      </c>
      <c r="AF966" s="378">
        <f>IF(NFI_Expiration=1,IF($A966&lt;VLOOKUP(O$5,NFI,5,0),1,0)*Table_NFI[[#This Row],[Clothes Kit]],Table_NFI[Clothes Kit])</f>
        <v>0</v>
      </c>
      <c r="AG966" s="378">
        <f>IF(NFI_Expiration=1,IF($A966&lt;VLOOKUP(P$5,NFI,5,0),1,0)*Table_NFI[[#This Row],[Plastic Bucket]],Table_NFI[Plastic Bucket])</f>
        <v>0</v>
      </c>
      <c r="AH966" s="378">
        <f>IF(NFI_Expiration=1,IF($A966&lt;VLOOKUP(Q$5,NFI,5,0),1,0)*Table_NFI[[#This Row],[Plastic Mat]],Table_NFI[Plastic Mat])*IF(Table_NFI[[#This Row],[Distribution Date]]&gt;"2014-04-01",1,2.5)</f>
        <v>0</v>
      </c>
      <c r="AI966" s="378">
        <f>IF(NFI_Expiration=1,IF($A966&lt;VLOOKUP(R$5,NFI,5,0),1,0)*Table_NFI[[#This Row],[Winter Clothes Adult]],Table_NFI[Winter Clothes Adult])</f>
        <v>0</v>
      </c>
      <c r="AJ966" s="378">
        <f>IF(NFI_Expiration=1,IF($A966&lt;VLOOKUP(S$5,NFI,5,0),1,0)*Table_NFI[[#This Row],[Winter Clothes Children]],Table_NFI[Winter Clothes Children])</f>
        <v>0</v>
      </c>
      <c r="AK966" s="378">
        <f>IF(NFI_Expiration=1,IF($A966&lt;VLOOKUP(T$5,NFI,5,0),1,0)*Table_NFI[[#This Row],[Winter Items Other]],Table_NFI[Winter Items Other])</f>
        <v>0</v>
      </c>
      <c r="AL966" s="378">
        <f>IF(NFI_Expiration=1,IF($A966&lt;VLOOKUP(M$5,NFI,5,0),1,0)*Table_NFI[[#This Row],[Winter Blanket]],Table_NFI[[#This Row],[Winter Blanket]])</f>
        <v>0</v>
      </c>
      <c r="AM966" s="378">
        <f>IF(Table_NFI[[#This Row],[Winter Clothes Adult]]+Table_NFI[[#This Row],[Winter Clothes Children]]+Table_NFI[[#This Row],[Winter Items Other]]+Table_NFI[[#This Row],[Winter Blanket]]&gt;0,1,0)</f>
        <v>0</v>
      </c>
      <c r="AN966" s="418">
        <f>IF(NFI_Expiration=1,IF($A966&lt;VLOOKUP(V$5,NFI,5,0),1,0)*Table_NFI[[#This Row],[Jerry Can]],Table_NFI[Jerry Can])</f>
        <v>0</v>
      </c>
      <c r="AO966" s="579" t="str">
        <f>IFERROR(VLOOKUP(Table_NFI[[#This Row],[Camp Name]],CL,2,0),"")</f>
        <v/>
      </c>
      <c r="AP966" s="574" t="str">
        <f ca="1">IF(Table_NFI[[#This Row],[Pcode]]="","",IF(OFFSET(CampList[Opening Date],MATCH(Table_NFI[[#This Row],[Pcode]],CampList[CP_Pcode],0)-1,0,1,1)&gt;=NFI_Monitor_Date,1,0))</f>
        <v/>
      </c>
      <c r="AQ966" s="579" t="str">
        <f>IFERROR(VLOOKUP(Table_NFI[[#This Row],[Camp Name]],CL,3,0),"")</f>
        <v/>
      </c>
      <c r="AR966" s="378" t="str">
        <f ca="1">IF(Table_NFI[[#This Row],[Pcode]]="","",OFFSET(CampList[Priority],MATCH(Table_NFI[[#This Row],[Pcode]],CampList[CP_Pcode],0)-1,0,1,1))</f>
        <v/>
      </c>
      <c r="AS966" s="377" t="str">
        <f>IFERROR(Table_NFI[[#This Row],[Kitchen Set]]/VLOOKUP(Table_NFI[[#This Row],[Camp Name]],CL,4,0),"")</f>
        <v/>
      </c>
      <c r="AT966" s="572" t="s">
        <v>1095</v>
      </c>
      <c r="AU966" s="580"/>
    </row>
    <row r="967" spans="1:47" x14ac:dyDescent="0.25">
      <c r="A967" s="381" t="str">
        <f t="shared" si="15"/>
        <v/>
      </c>
      <c r="B967" s="571"/>
      <c r="C967" s="577"/>
      <c r="D967" s="577"/>
      <c r="E967" s="577"/>
      <c r="F967" s="577"/>
      <c r="G967" s="577"/>
      <c r="H967" s="376"/>
      <c r="I967" s="376"/>
      <c r="J967" s="376"/>
      <c r="K967" s="376"/>
      <c r="L967" s="376"/>
      <c r="M967" s="376"/>
      <c r="N967" s="376"/>
      <c r="O967" s="376"/>
      <c r="P967" s="378"/>
      <c r="Q967" s="378"/>
      <c r="R967" s="378"/>
      <c r="S967" s="378"/>
      <c r="T967" s="378"/>
      <c r="U967" s="378"/>
      <c r="V967" s="533"/>
      <c r="W967" s="418"/>
      <c r="X967" s="418"/>
      <c r="Y967" s="378">
        <f>IF(NFI_Expiration=1,IF($A967&lt;VLOOKUP(H$5,NFI,5,0),1,0)*Table_NFI[[#This Row],[Hygiene Kit]],Table_NFI[Hygiene Kit])</f>
        <v>0</v>
      </c>
      <c r="Z967" s="378">
        <f>IF(NFI_Expiration=1,IF($A967&lt;VLOOKUP(I$5,NFI,5,0),1,0)*Table_NFI[[#This Row],[NFI Core Kit]],Table_NFI[NFI Core Kit])</f>
        <v>0</v>
      </c>
      <c r="AA967" s="378">
        <f>IF(NFI_Expiration=1,IF($A967&lt;VLOOKUP(J$5,NFI,5,0),1,0)*Table_NFI[[#This Row],[Sanitary Kit]],Table_NFI[Sanitary Kit])</f>
        <v>0</v>
      </c>
      <c r="AB967" s="378">
        <f>IF(NFI_Expiration=1,IF($A967&lt;VLOOKUP(K$5,NFI,5,0),1,0)*Table_NFI[[#This Row],[Mosquito net]],Table_NFI[Mosquito net])</f>
        <v>0</v>
      </c>
      <c r="AC967" s="378">
        <f>IF(NFI_Expiration=1,IF($A967&lt;VLOOKUP(L$5,NFI,5,0),1,0)*Table_NFI[[#This Row],[Tarpaulin]],Table_NFI[[#This Row],[Tarpaulin]])</f>
        <v>0</v>
      </c>
      <c r="AD967" s="378">
        <f>IF(NFI_Expiration=1,IF($A967&lt;VLOOKUP(M$5,NFI,5,0),1,0)*Table_NFI[[#This Row],[Blanket]],Table_NFI[[#This Row],[Blanket]])</f>
        <v>0</v>
      </c>
      <c r="AE967" s="378">
        <f>IF(NFI_Expiration=1,IF($A967&lt;VLOOKUP(N$5,NFI,5,0),1,0)*Table_NFI[[#This Row],[Kitchen Set]],Table_NFI[Kitchen Set])</f>
        <v>0</v>
      </c>
      <c r="AF967" s="378">
        <f>IF(NFI_Expiration=1,IF($A967&lt;VLOOKUP(O$5,NFI,5,0),1,0)*Table_NFI[[#This Row],[Clothes Kit]],Table_NFI[Clothes Kit])</f>
        <v>0</v>
      </c>
      <c r="AG967" s="378">
        <f>IF(NFI_Expiration=1,IF($A967&lt;VLOOKUP(P$5,NFI,5,0),1,0)*Table_NFI[[#This Row],[Plastic Bucket]],Table_NFI[Plastic Bucket])</f>
        <v>0</v>
      </c>
      <c r="AH967" s="378">
        <f>IF(NFI_Expiration=1,IF($A967&lt;VLOOKUP(Q$5,NFI,5,0),1,0)*Table_NFI[[#This Row],[Plastic Mat]],Table_NFI[Plastic Mat])*IF(Table_NFI[[#This Row],[Distribution Date]]&gt;"2014-04-01",1,2.5)</f>
        <v>0</v>
      </c>
      <c r="AI967" s="378">
        <f>IF(NFI_Expiration=1,IF($A967&lt;VLOOKUP(R$5,NFI,5,0),1,0)*Table_NFI[[#This Row],[Winter Clothes Adult]],Table_NFI[Winter Clothes Adult])</f>
        <v>0</v>
      </c>
      <c r="AJ967" s="378">
        <f>IF(NFI_Expiration=1,IF($A967&lt;VLOOKUP(S$5,NFI,5,0),1,0)*Table_NFI[[#This Row],[Winter Clothes Children]],Table_NFI[Winter Clothes Children])</f>
        <v>0</v>
      </c>
      <c r="AK967" s="378">
        <f>IF(NFI_Expiration=1,IF($A967&lt;VLOOKUP(T$5,NFI,5,0),1,0)*Table_NFI[[#This Row],[Winter Items Other]],Table_NFI[Winter Items Other])</f>
        <v>0</v>
      </c>
      <c r="AL967" s="378">
        <f>IF(NFI_Expiration=1,IF($A967&lt;VLOOKUP(M$5,NFI,5,0),1,0)*Table_NFI[[#This Row],[Winter Blanket]],Table_NFI[[#This Row],[Winter Blanket]])</f>
        <v>0</v>
      </c>
      <c r="AM967" s="378">
        <f>IF(Table_NFI[[#This Row],[Winter Clothes Adult]]+Table_NFI[[#This Row],[Winter Clothes Children]]+Table_NFI[[#This Row],[Winter Items Other]]+Table_NFI[[#This Row],[Winter Blanket]]&gt;0,1,0)</f>
        <v>0</v>
      </c>
      <c r="AN967" s="418">
        <f>IF(NFI_Expiration=1,IF($A967&lt;VLOOKUP(V$5,NFI,5,0),1,0)*Table_NFI[[#This Row],[Jerry Can]],Table_NFI[Jerry Can])</f>
        <v>0</v>
      </c>
      <c r="AO967" s="579" t="str">
        <f>IFERROR(VLOOKUP(Table_NFI[[#This Row],[Camp Name]],CL,2,0),"")</f>
        <v/>
      </c>
      <c r="AP967" s="574" t="str">
        <f ca="1">IF(Table_NFI[[#This Row],[Pcode]]="","",IF(OFFSET(CampList[Opening Date],MATCH(Table_NFI[[#This Row],[Pcode]],CampList[CP_Pcode],0)-1,0,1,1)&gt;=NFI_Monitor_Date,1,0))</f>
        <v/>
      </c>
      <c r="AQ967" s="579" t="str">
        <f>IFERROR(VLOOKUP(Table_NFI[[#This Row],[Camp Name]],CL,3,0),"")</f>
        <v/>
      </c>
      <c r="AR967" s="378" t="str">
        <f ca="1">IF(Table_NFI[[#This Row],[Pcode]]="","",OFFSET(CampList[Priority],MATCH(Table_NFI[[#This Row],[Pcode]],CampList[CP_Pcode],0)-1,0,1,1))</f>
        <v/>
      </c>
      <c r="AS967" s="377" t="str">
        <f>IFERROR(Table_NFI[[#This Row],[Kitchen Set]]/VLOOKUP(Table_NFI[[#This Row],[Camp Name]],CL,4,0),"")</f>
        <v/>
      </c>
      <c r="AT967" s="572" t="s">
        <v>1095</v>
      </c>
      <c r="AU967" s="580"/>
    </row>
    <row r="968" spans="1:47" x14ac:dyDescent="0.25">
      <c r="A968" s="381" t="str">
        <f t="shared" si="15"/>
        <v/>
      </c>
      <c r="B968" s="571"/>
      <c r="C968" s="577"/>
      <c r="D968" s="577"/>
      <c r="E968" s="577"/>
      <c r="F968" s="577"/>
      <c r="G968" s="577"/>
      <c r="H968" s="376"/>
      <c r="I968" s="376"/>
      <c r="J968" s="376"/>
      <c r="K968" s="376"/>
      <c r="L968" s="376"/>
      <c r="M968" s="376"/>
      <c r="N968" s="376"/>
      <c r="O968" s="376"/>
      <c r="P968" s="378"/>
      <c r="Q968" s="378"/>
      <c r="R968" s="378"/>
      <c r="S968" s="378"/>
      <c r="T968" s="378"/>
      <c r="U968" s="378"/>
      <c r="V968" s="533"/>
      <c r="W968" s="418"/>
      <c r="X968" s="418"/>
      <c r="Y968" s="378">
        <f>IF(NFI_Expiration=1,IF($A968&lt;VLOOKUP(H$5,NFI,5,0),1,0)*Table_NFI[[#This Row],[Hygiene Kit]],Table_NFI[Hygiene Kit])</f>
        <v>0</v>
      </c>
      <c r="Z968" s="378">
        <f>IF(NFI_Expiration=1,IF($A968&lt;VLOOKUP(I$5,NFI,5,0),1,0)*Table_NFI[[#This Row],[NFI Core Kit]],Table_NFI[NFI Core Kit])</f>
        <v>0</v>
      </c>
      <c r="AA968" s="378">
        <f>IF(NFI_Expiration=1,IF($A968&lt;VLOOKUP(J$5,NFI,5,0),1,0)*Table_NFI[[#This Row],[Sanitary Kit]],Table_NFI[Sanitary Kit])</f>
        <v>0</v>
      </c>
      <c r="AB968" s="378">
        <f>IF(NFI_Expiration=1,IF($A968&lt;VLOOKUP(K$5,NFI,5,0),1,0)*Table_NFI[[#This Row],[Mosquito net]],Table_NFI[Mosquito net])</f>
        <v>0</v>
      </c>
      <c r="AC968" s="378">
        <f>IF(NFI_Expiration=1,IF($A968&lt;VLOOKUP(L$5,NFI,5,0),1,0)*Table_NFI[[#This Row],[Tarpaulin]],Table_NFI[[#This Row],[Tarpaulin]])</f>
        <v>0</v>
      </c>
      <c r="AD968" s="378">
        <f>IF(NFI_Expiration=1,IF($A968&lt;VLOOKUP(M$5,NFI,5,0),1,0)*Table_NFI[[#This Row],[Blanket]],Table_NFI[[#This Row],[Blanket]])</f>
        <v>0</v>
      </c>
      <c r="AE968" s="378">
        <f>IF(NFI_Expiration=1,IF($A968&lt;VLOOKUP(N$5,NFI,5,0),1,0)*Table_NFI[[#This Row],[Kitchen Set]],Table_NFI[Kitchen Set])</f>
        <v>0</v>
      </c>
      <c r="AF968" s="378">
        <f>IF(NFI_Expiration=1,IF($A968&lt;VLOOKUP(O$5,NFI,5,0),1,0)*Table_NFI[[#This Row],[Clothes Kit]],Table_NFI[Clothes Kit])</f>
        <v>0</v>
      </c>
      <c r="AG968" s="378">
        <f>IF(NFI_Expiration=1,IF($A968&lt;VLOOKUP(P$5,NFI,5,0),1,0)*Table_NFI[[#This Row],[Plastic Bucket]],Table_NFI[Plastic Bucket])</f>
        <v>0</v>
      </c>
      <c r="AH968" s="378">
        <f>IF(NFI_Expiration=1,IF($A968&lt;VLOOKUP(Q$5,NFI,5,0),1,0)*Table_NFI[[#This Row],[Plastic Mat]],Table_NFI[Plastic Mat])*IF(Table_NFI[[#This Row],[Distribution Date]]&gt;"2014-04-01",1,2.5)</f>
        <v>0</v>
      </c>
      <c r="AI968" s="378">
        <f>IF(NFI_Expiration=1,IF($A968&lt;VLOOKUP(R$5,NFI,5,0),1,0)*Table_NFI[[#This Row],[Winter Clothes Adult]],Table_NFI[Winter Clothes Adult])</f>
        <v>0</v>
      </c>
      <c r="AJ968" s="378">
        <f>IF(NFI_Expiration=1,IF($A968&lt;VLOOKUP(S$5,NFI,5,0),1,0)*Table_NFI[[#This Row],[Winter Clothes Children]],Table_NFI[Winter Clothes Children])</f>
        <v>0</v>
      </c>
      <c r="AK968" s="378">
        <f>IF(NFI_Expiration=1,IF($A968&lt;VLOOKUP(T$5,NFI,5,0),1,0)*Table_NFI[[#This Row],[Winter Items Other]],Table_NFI[Winter Items Other])</f>
        <v>0</v>
      </c>
      <c r="AL968" s="378">
        <f>IF(NFI_Expiration=1,IF($A968&lt;VLOOKUP(M$5,NFI,5,0),1,0)*Table_NFI[[#This Row],[Winter Blanket]],Table_NFI[[#This Row],[Winter Blanket]])</f>
        <v>0</v>
      </c>
      <c r="AM968" s="378">
        <f>IF(Table_NFI[[#This Row],[Winter Clothes Adult]]+Table_NFI[[#This Row],[Winter Clothes Children]]+Table_NFI[[#This Row],[Winter Items Other]]+Table_NFI[[#This Row],[Winter Blanket]]&gt;0,1,0)</f>
        <v>0</v>
      </c>
      <c r="AN968" s="418">
        <f>IF(NFI_Expiration=1,IF($A968&lt;VLOOKUP(V$5,NFI,5,0),1,0)*Table_NFI[[#This Row],[Jerry Can]],Table_NFI[Jerry Can])</f>
        <v>0</v>
      </c>
      <c r="AO968" s="579" t="str">
        <f>IFERROR(VLOOKUP(Table_NFI[[#This Row],[Camp Name]],CL,2,0),"")</f>
        <v/>
      </c>
      <c r="AP968" s="574" t="str">
        <f ca="1">IF(Table_NFI[[#This Row],[Pcode]]="","",IF(OFFSET(CampList[Opening Date],MATCH(Table_NFI[[#This Row],[Pcode]],CampList[CP_Pcode],0)-1,0,1,1)&gt;=NFI_Monitor_Date,1,0))</f>
        <v/>
      </c>
      <c r="AQ968" s="579" t="str">
        <f>IFERROR(VLOOKUP(Table_NFI[[#This Row],[Camp Name]],CL,3,0),"")</f>
        <v/>
      </c>
      <c r="AR968" s="378" t="str">
        <f ca="1">IF(Table_NFI[[#This Row],[Pcode]]="","",OFFSET(CampList[Priority],MATCH(Table_NFI[[#This Row],[Pcode]],CampList[CP_Pcode],0)-1,0,1,1))</f>
        <v/>
      </c>
      <c r="AS968" s="377" t="str">
        <f>IFERROR(Table_NFI[[#This Row],[Kitchen Set]]/VLOOKUP(Table_NFI[[#This Row],[Camp Name]],CL,4,0),"")</f>
        <v/>
      </c>
      <c r="AT968" s="572" t="s">
        <v>1095</v>
      </c>
      <c r="AU968" s="580"/>
    </row>
    <row r="969" spans="1:47" x14ac:dyDescent="0.25">
      <c r="A969" s="381" t="str">
        <f t="shared" si="15"/>
        <v/>
      </c>
      <c r="B969" s="571"/>
      <c r="C969" s="577"/>
      <c r="D969" s="577"/>
      <c r="E969" s="577"/>
      <c r="F969" s="577"/>
      <c r="G969" s="577"/>
      <c r="H969" s="376"/>
      <c r="I969" s="376"/>
      <c r="J969" s="376"/>
      <c r="K969" s="376"/>
      <c r="L969" s="376"/>
      <c r="M969" s="376"/>
      <c r="N969" s="376"/>
      <c r="O969" s="376"/>
      <c r="P969" s="378"/>
      <c r="Q969" s="378"/>
      <c r="R969" s="378"/>
      <c r="S969" s="378"/>
      <c r="T969" s="378"/>
      <c r="U969" s="378"/>
      <c r="V969" s="533"/>
      <c r="W969" s="418"/>
      <c r="X969" s="418"/>
      <c r="Y969" s="378">
        <f>IF(NFI_Expiration=1,IF($A969&lt;VLOOKUP(H$5,NFI,5,0),1,0)*Table_NFI[[#This Row],[Hygiene Kit]],Table_NFI[Hygiene Kit])</f>
        <v>0</v>
      </c>
      <c r="Z969" s="378">
        <f>IF(NFI_Expiration=1,IF($A969&lt;VLOOKUP(I$5,NFI,5,0),1,0)*Table_NFI[[#This Row],[NFI Core Kit]],Table_NFI[NFI Core Kit])</f>
        <v>0</v>
      </c>
      <c r="AA969" s="378">
        <f>IF(NFI_Expiration=1,IF($A969&lt;VLOOKUP(J$5,NFI,5,0),1,0)*Table_NFI[[#This Row],[Sanitary Kit]],Table_NFI[Sanitary Kit])</f>
        <v>0</v>
      </c>
      <c r="AB969" s="378">
        <f>IF(NFI_Expiration=1,IF($A969&lt;VLOOKUP(K$5,NFI,5,0),1,0)*Table_NFI[[#This Row],[Mosquito net]],Table_NFI[Mosquito net])</f>
        <v>0</v>
      </c>
      <c r="AC969" s="378">
        <f>IF(NFI_Expiration=1,IF($A969&lt;VLOOKUP(L$5,NFI,5,0),1,0)*Table_NFI[[#This Row],[Tarpaulin]],Table_NFI[[#This Row],[Tarpaulin]])</f>
        <v>0</v>
      </c>
      <c r="AD969" s="378">
        <f>IF(NFI_Expiration=1,IF($A969&lt;VLOOKUP(M$5,NFI,5,0),1,0)*Table_NFI[[#This Row],[Blanket]],Table_NFI[[#This Row],[Blanket]])</f>
        <v>0</v>
      </c>
      <c r="AE969" s="378">
        <f>IF(NFI_Expiration=1,IF($A969&lt;VLOOKUP(N$5,NFI,5,0),1,0)*Table_NFI[[#This Row],[Kitchen Set]],Table_NFI[Kitchen Set])</f>
        <v>0</v>
      </c>
      <c r="AF969" s="378">
        <f>IF(NFI_Expiration=1,IF($A969&lt;VLOOKUP(O$5,NFI,5,0),1,0)*Table_NFI[[#This Row],[Clothes Kit]],Table_NFI[Clothes Kit])</f>
        <v>0</v>
      </c>
      <c r="AG969" s="378">
        <f>IF(NFI_Expiration=1,IF($A969&lt;VLOOKUP(P$5,NFI,5,0),1,0)*Table_NFI[[#This Row],[Plastic Bucket]],Table_NFI[Plastic Bucket])</f>
        <v>0</v>
      </c>
      <c r="AH969" s="378">
        <f>IF(NFI_Expiration=1,IF($A969&lt;VLOOKUP(Q$5,NFI,5,0),1,0)*Table_NFI[[#This Row],[Plastic Mat]],Table_NFI[Plastic Mat])*IF(Table_NFI[[#This Row],[Distribution Date]]&gt;"2014-04-01",1,2.5)</f>
        <v>0</v>
      </c>
      <c r="AI969" s="378">
        <f>IF(NFI_Expiration=1,IF($A969&lt;VLOOKUP(R$5,NFI,5,0),1,0)*Table_NFI[[#This Row],[Winter Clothes Adult]],Table_NFI[Winter Clothes Adult])</f>
        <v>0</v>
      </c>
      <c r="AJ969" s="378">
        <f>IF(NFI_Expiration=1,IF($A969&lt;VLOOKUP(S$5,NFI,5,0),1,0)*Table_NFI[[#This Row],[Winter Clothes Children]],Table_NFI[Winter Clothes Children])</f>
        <v>0</v>
      </c>
      <c r="AK969" s="378">
        <f>IF(NFI_Expiration=1,IF($A969&lt;VLOOKUP(T$5,NFI,5,0),1,0)*Table_NFI[[#This Row],[Winter Items Other]],Table_NFI[Winter Items Other])</f>
        <v>0</v>
      </c>
      <c r="AL969" s="378">
        <f>IF(NFI_Expiration=1,IF($A969&lt;VLOOKUP(M$5,NFI,5,0),1,0)*Table_NFI[[#This Row],[Winter Blanket]],Table_NFI[[#This Row],[Winter Blanket]])</f>
        <v>0</v>
      </c>
      <c r="AM969" s="378">
        <f>IF(Table_NFI[[#This Row],[Winter Clothes Adult]]+Table_NFI[[#This Row],[Winter Clothes Children]]+Table_NFI[[#This Row],[Winter Items Other]]+Table_NFI[[#This Row],[Winter Blanket]]&gt;0,1,0)</f>
        <v>0</v>
      </c>
      <c r="AN969" s="418">
        <f>IF(NFI_Expiration=1,IF($A969&lt;VLOOKUP(V$5,NFI,5,0),1,0)*Table_NFI[[#This Row],[Jerry Can]],Table_NFI[Jerry Can])</f>
        <v>0</v>
      </c>
      <c r="AO969" s="579" t="str">
        <f>IFERROR(VLOOKUP(Table_NFI[[#This Row],[Camp Name]],CL,2,0),"")</f>
        <v/>
      </c>
      <c r="AP969" s="574" t="str">
        <f ca="1">IF(Table_NFI[[#This Row],[Pcode]]="","",IF(OFFSET(CampList[Opening Date],MATCH(Table_NFI[[#This Row],[Pcode]],CampList[CP_Pcode],0)-1,0,1,1)&gt;=NFI_Monitor_Date,1,0))</f>
        <v/>
      </c>
      <c r="AQ969" s="579" t="str">
        <f>IFERROR(VLOOKUP(Table_NFI[[#This Row],[Camp Name]],CL,3,0),"")</f>
        <v/>
      </c>
      <c r="AR969" s="378" t="str">
        <f ca="1">IF(Table_NFI[[#This Row],[Pcode]]="","",OFFSET(CampList[Priority],MATCH(Table_NFI[[#This Row],[Pcode]],CampList[CP_Pcode],0)-1,0,1,1))</f>
        <v/>
      </c>
      <c r="AS969" s="377" t="str">
        <f>IFERROR(Table_NFI[[#This Row],[Kitchen Set]]/VLOOKUP(Table_NFI[[#This Row],[Camp Name]],CL,4,0),"")</f>
        <v/>
      </c>
      <c r="AT969" s="572" t="s">
        <v>1095</v>
      </c>
      <c r="AU969" s="580"/>
    </row>
    <row r="970" spans="1:47" x14ac:dyDescent="0.25">
      <c r="A970" s="381" t="str">
        <f t="shared" si="15"/>
        <v/>
      </c>
      <c r="B970" s="571"/>
      <c r="C970" s="577"/>
      <c r="D970" s="577"/>
      <c r="E970" s="577"/>
      <c r="F970" s="577"/>
      <c r="G970" s="577"/>
      <c r="H970" s="376"/>
      <c r="I970" s="376"/>
      <c r="J970" s="376"/>
      <c r="K970" s="376"/>
      <c r="L970" s="376"/>
      <c r="M970" s="376"/>
      <c r="N970" s="376"/>
      <c r="O970" s="376"/>
      <c r="P970" s="378"/>
      <c r="Q970" s="378"/>
      <c r="R970" s="378"/>
      <c r="S970" s="378"/>
      <c r="T970" s="378"/>
      <c r="U970" s="378"/>
      <c r="V970" s="533"/>
      <c r="W970" s="418"/>
      <c r="X970" s="418"/>
      <c r="Y970" s="378">
        <f>IF(NFI_Expiration=1,IF($A970&lt;VLOOKUP(H$5,NFI,5,0),1,0)*Table_NFI[[#This Row],[Hygiene Kit]],Table_NFI[Hygiene Kit])</f>
        <v>0</v>
      </c>
      <c r="Z970" s="378">
        <f>IF(NFI_Expiration=1,IF($A970&lt;VLOOKUP(I$5,NFI,5,0),1,0)*Table_NFI[[#This Row],[NFI Core Kit]],Table_NFI[NFI Core Kit])</f>
        <v>0</v>
      </c>
      <c r="AA970" s="378">
        <f>IF(NFI_Expiration=1,IF($A970&lt;VLOOKUP(J$5,NFI,5,0),1,0)*Table_NFI[[#This Row],[Sanitary Kit]],Table_NFI[Sanitary Kit])</f>
        <v>0</v>
      </c>
      <c r="AB970" s="378">
        <f>IF(NFI_Expiration=1,IF($A970&lt;VLOOKUP(K$5,NFI,5,0),1,0)*Table_NFI[[#This Row],[Mosquito net]],Table_NFI[Mosquito net])</f>
        <v>0</v>
      </c>
      <c r="AC970" s="378">
        <f>IF(NFI_Expiration=1,IF($A970&lt;VLOOKUP(L$5,NFI,5,0),1,0)*Table_NFI[[#This Row],[Tarpaulin]],Table_NFI[[#This Row],[Tarpaulin]])</f>
        <v>0</v>
      </c>
      <c r="AD970" s="378">
        <f>IF(NFI_Expiration=1,IF($A970&lt;VLOOKUP(M$5,NFI,5,0),1,0)*Table_NFI[[#This Row],[Blanket]],Table_NFI[[#This Row],[Blanket]])</f>
        <v>0</v>
      </c>
      <c r="AE970" s="378">
        <f>IF(NFI_Expiration=1,IF($A970&lt;VLOOKUP(N$5,NFI,5,0),1,0)*Table_NFI[[#This Row],[Kitchen Set]],Table_NFI[Kitchen Set])</f>
        <v>0</v>
      </c>
      <c r="AF970" s="378">
        <f>IF(NFI_Expiration=1,IF($A970&lt;VLOOKUP(O$5,NFI,5,0),1,0)*Table_NFI[[#This Row],[Clothes Kit]],Table_NFI[Clothes Kit])</f>
        <v>0</v>
      </c>
      <c r="AG970" s="378">
        <f>IF(NFI_Expiration=1,IF($A970&lt;VLOOKUP(P$5,NFI,5,0),1,0)*Table_NFI[[#This Row],[Plastic Bucket]],Table_NFI[Plastic Bucket])</f>
        <v>0</v>
      </c>
      <c r="AH970" s="378">
        <f>IF(NFI_Expiration=1,IF($A970&lt;VLOOKUP(Q$5,NFI,5,0),1,0)*Table_NFI[[#This Row],[Plastic Mat]],Table_NFI[Plastic Mat])*IF(Table_NFI[[#This Row],[Distribution Date]]&gt;"2014-04-01",1,2.5)</f>
        <v>0</v>
      </c>
      <c r="AI970" s="378">
        <f>IF(NFI_Expiration=1,IF($A970&lt;VLOOKUP(R$5,NFI,5,0),1,0)*Table_NFI[[#This Row],[Winter Clothes Adult]],Table_NFI[Winter Clothes Adult])</f>
        <v>0</v>
      </c>
      <c r="AJ970" s="378">
        <f>IF(NFI_Expiration=1,IF($A970&lt;VLOOKUP(S$5,NFI,5,0),1,0)*Table_NFI[[#This Row],[Winter Clothes Children]],Table_NFI[Winter Clothes Children])</f>
        <v>0</v>
      </c>
      <c r="AK970" s="378">
        <f>IF(NFI_Expiration=1,IF($A970&lt;VLOOKUP(T$5,NFI,5,0),1,0)*Table_NFI[[#This Row],[Winter Items Other]],Table_NFI[Winter Items Other])</f>
        <v>0</v>
      </c>
      <c r="AL970" s="378">
        <f>IF(NFI_Expiration=1,IF($A970&lt;VLOOKUP(M$5,NFI,5,0),1,0)*Table_NFI[[#This Row],[Winter Blanket]],Table_NFI[[#This Row],[Winter Blanket]])</f>
        <v>0</v>
      </c>
      <c r="AM970" s="378">
        <f>IF(Table_NFI[[#This Row],[Winter Clothes Adult]]+Table_NFI[[#This Row],[Winter Clothes Children]]+Table_NFI[[#This Row],[Winter Items Other]]+Table_NFI[[#This Row],[Winter Blanket]]&gt;0,1,0)</f>
        <v>0</v>
      </c>
      <c r="AN970" s="418">
        <f>IF(NFI_Expiration=1,IF($A970&lt;VLOOKUP(V$5,NFI,5,0),1,0)*Table_NFI[[#This Row],[Jerry Can]],Table_NFI[Jerry Can])</f>
        <v>0</v>
      </c>
      <c r="AO970" s="579" t="str">
        <f>IFERROR(VLOOKUP(Table_NFI[[#This Row],[Camp Name]],CL,2,0),"")</f>
        <v/>
      </c>
      <c r="AP970" s="574" t="str">
        <f ca="1">IF(Table_NFI[[#This Row],[Pcode]]="","",IF(OFFSET(CampList[Opening Date],MATCH(Table_NFI[[#This Row],[Pcode]],CampList[CP_Pcode],0)-1,0,1,1)&gt;=NFI_Monitor_Date,1,0))</f>
        <v/>
      </c>
      <c r="AQ970" s="579" t="str">
        <f>IFERROR(VLOOKUP(Table_NFI[[#This Row],[Camp Name]],CL,3,0),"")</f>
        <v/>
      </c>
      <c r="AR970" s="378" t="str">
        <f ca="1">IF(Table_NFI[[#This Row],[Pcode]]="","",OFFSET(CampList[Priority],MATCH(Table_NFI[[#This Row],[Pcode]],CampList[CP_Pcode],0)-1,0,1,1))</f>
        <v/>
      </c>
      <c r="AS970" s="377" t="str">
        <f>IFERROR(Table_NFI[[#This Row],[Kitchen Set]]/VLOOKUP(Table_NFI[[#This Row],[Camp Name]],CL,4,0),"")</f>
        <v/>
      </c>
      <c r="AT970" s="572" t="s">
        <v>1095</v>
      </c>
      <c r="AU970" s="580"/>
    </row>
    <row r="971" spans="1:47" x14ac:dyDescent="0.25">
      <c r="A971" s="381" t="str">
        <f t="shared" si="15"/>
        <v/>
      </c>
      <c r="B971" s="571"/>
      <c r="C971" s="577"/>
      <c r="D971" s="577"/>
      <c r="E971" s="577"/>
      <c r="F971" s="577"/>
      <c r="G971" s="577"/>
      <c r="H971" s="376"/>
      <c r="I971" s="376"/>
      <c r="J971" s="376"/>
      <c r="K971" s="376"/>
      <c r="L971" s="376"/>
      <c r="M971" s="376"/>
      <c r="N971" s="376"/>
      <c r="O971" s="376"/>
      <c r="P971" s="378"/>
      <c r="Q971" s="378"/>
      <c r="R971" s="378"/>
      <c r="S971" s="378"/>
      <c r="T971" s="378"/>
      <c r="U971" s="378"/>
      <c r="V971" s="533"/>
      <c r="W971" s="418"/>
      <c r="X971" s="418"/>
      <c r="Y971" s="378">
        <f>IF(NFI_Expiration=1,IF($A971&lt;VLOOKUP(H$5,NFI,5,0),1,0)*Table_NFI[[#This Row],[Hygiene Kit]],Table_NFI[Hygiene Kit])</f>
        <v>0</v>
      </c>
      <c r="Z971" s="378">
        <f>IF(NFI_Expiration=1,IF($A971&lt;VLOOKUP(I$5,NFI,5,0),1,0)*Table_NFI[[#This Row],[NFI Core Kit]],Table_NFI[NFI Core Kit])</f>
        <v>0</v>
      </c>
      <c r="AA971" s="378">
        <f>IF(NFI_Expiration=1,IF($A971&lt;VLOOKUP(J$5,NFI,5,0),1,0)*Table_NFI[[#This Row],[Sanitary Kit]],Table_NFI[Sanitary Kit])</f>
        <v>0</v>
      </c>
      <c r="AB971" s="378">
        <f>IF(NFI_Expiration=1,IF($A971&lt;VLOOKUP(K$5,NFI,5,0),1,0)*Table_NFI[[#This Row],[Mosquito net]],Table_NFI[Mosquito net])</f>
        <v>0</v>
      </c>
      <c r="AC971" s="378">
        <f>IF(NFI_Expiration=1,IF($A971&lt;VLOOKUP(L$5,NFI,5,0),1,0)*Table_NFI[[#This Row],[Tarpaulin]],Table_NFI[[#This Row],[Tarpaulin]])</f>
        <v>0</v>
      </c>
      <c r="AD971" s="378">
        <f>IF(NFI_Expiration=1,IF($A971&lt;VLOOKUP(M$5,NFI,5,0),1,0)*Table_NFI[[#This Row],[Blanket]],Table_NFI[[#This Row],[Blanket]])</f>
        <v>0</v>
      </c>
      <c r="AE971" s="378">
        <f>IF(NFI_Expiration=1,IF($A971&lt;VLOOKUP(N$5,NFI,5,0),1,0)*Table_NFI[[#This Row],[Kitchen Set]],Table_NFI[Kitchen Set])</f>
        <v>0</v>
      </c>
      <c r="AF971" s="378">
        <f>IF(NFI_Expiration=1,IF($A971&lt;VLOOKUP(O$5,NFI,5,0),1,0)*Table_NFI[[#This Row],[Clothes Kit]],Table_NFI[Clothes Kit])</f>
        <v>0</v>
      </c>
      <c r="AG971" s="378">
        <f>IF(NFI_Expiration=1,IF($A971&lt;VLOOKUP(P$5,NFI,5,0),1,0)*Table_NFI[[#This Row],[Plastic Bucket]],Table_NFI[Plastic Bucket])</f>
        <v>0</v>
      </c>
      <c r="AH971" s="378">
        <f>IF(NFI_Expiration=1,IF($A971&lt;VLOOKUP(Q$5,NFI,5,0),1,0)*Table_NFI[[#This Row],[Plastic Mat]],Table_NFI[Plastic Mat])*IF(Table_NFI[[#This Row],[Distribution Date]]&gt;"2014-04-01",1,2.5)</f>
        <v>0</v>
      </c>
      <c r="AI971" s="378">
        <f>IF(NFI_Expiration=1,IF($A971&lt;VLOOKUP(R$5,NFI,5,0),1,0)*Table_NFI[[#This Row],[Winter Clothes Adult]],Table_NFI[Winter Clothes Adult])</f>
        <v>0</v>
      </c>
      <c r="AJ971" s="378">
        <f>IF(NFI_Expiration=1,IF($A971&lt;VLOOKUP(S$5,NFI,5,0),1,0)*Table_NFI[[#This Row],[Winter Clothes Children]],Table_NFI[Winter Clothes Children])</f>
        <v>0</v>
      </c>
      <c r="AK971" s="378">
        <f>IF(NFI_Expiration=1,IF($A971&lt;VLOOKUP(T$5,NFI,5,0),1,0)*Table_NFI[[#This Row],[Winter Items Other]],Table_NFI[Winter Items Other])</f>
        <v>0</v>
      </c>
      <c r="AL971" s="378">
        <f>IF(NFI_Expiration=1,IF($A971&lt;VLOOKUP(M$5,NFI,5,0),1,0)*Table_NFI[[#This Row],[Winter Blanket]],Table_NFI[[#This Row],[Winter Blanket]])</f>
        <v>0</v>
      </c>
      <c r="AM971" s="378">
        <f>IF(Table_NFI[[#This Row],[Winter Clothes Adult]]+Table_NFI[[#This Row],[Winter Clothes Children]]+Table_NFI[[#This Row],[Winter Items Other]]+Table_NFI[[#This Row],[Winter Blanket]]&gt;0,1,0)</f>
        <v>0</v>
      </c>
      <c r="AN971" s="418">
        <f>IF(NFI_Expiration=1,IF($A971&lt;VLOOKUP(V$5,NFI,5,0),1,0)*Table_NFI[[#This Row],[Jerry Can]],Table_NFI[Jerry Can])</f>
        <v>0</v>
      </c>
      <c r="AO971" s="579" t="str">
        <f>IFERROR(VLOOKUP(Table_NFI[[#This Row],[Camp Name]],CL,2,0),"")</f>
        <v/>
      </c>
      <c r="AP971" s="574" t="str">
        <f ca="1">IF(Table_NFI[[#This Row],[Pcode]]="","",IF(OFFSET(CampList[Opening Date],MATCH(Table_NFI[[#This Row],[Pcode]],CampList[CP_Pcode],0)-1,0,1,1)&gt;=NFI_Monitor_Date,1,0))</f>
        <v/>
      </c>
      <c r="AQ971" s="579" t="str">
        <f>IFERROR(VLOOKUP(Table_NFI[[#This Row],[Camp Name]],CL,3,0),"")</f>
        <v/>
      </c>
      <c r="AR971" s="378" t="str">
        <f ca="1">IF(Table_NFI[[#This Row],[Pcode]]="","",OFFSET(CampList[Priority],MATCH(Table_NFI[[#This Row],[Pcode]],CampList[CP_Pcode],0)-1,0,1,1))</f>
        <v/>
      </c>
      <c r="AS971" s="377" t="str">
        <f>IFERROR(Table_NFI[[#This Row],[Kitchen Set]]/VLOOKUP(Table_NFI[[#This Row],[Camp Name]],CL,4,0),"")</f>
        <v/>
      </c>
      <c r="AT971" s="572" t="s">
        <v>1095</v>
      </c>
      <c r="AU971" s="580"/>
    </row>
    <row r="972" spans="1:47" x14ac:dyDescent="0.25">
      <c r="A972" s="381" t="str">
        <f t="shared" si="15"/>
        <v/>
      </c>
      <c r="B972" s="571"/>
      <c r="C972" s="577"/>
      <c r="D972" s="577"/>
      <c r="E972" s="577"/>
      <c r="F972" s="577"/>
      <c r="G972" s="577"/>
      <c r="H972" s="376"/>
      <c r="I972" s="376"/>
      <c r="J972" s="376"/>
      <c r="K972" s="376"/>
      <c r="L972" s="376"/>
      <c r="M972" s="376"/>
      <c r="N972" s="376"/>
      <c r="O972" s="376"/>
      <c r="P972" s="378"/>
      <c r="Q972" s="378"/>
      <c r="R972" s="378"/>
      <c r="S972" s="378"/>
      <c r="T972" s="378"/>
      <c r="U972" s="378"/>
      <c r="V972" s="533"/>
      <c r="W972" s="418"/>
      <c r="X972" s="418"/>
      <c r="Y972" s="378">
        <f>IF(NFI_Expiration=1,IF($A972&lt;VLOOKUP(H$5,NFI,5,0),1,0)*Table_NFI[[#This Row],[Hygiene Kit]],Table_NFI[Hygiene Kit])</f>
        <v>0</v>
      </c>
      <c r="Z972" s="378">
        <f>IF(NFI_Expiration=1,IF($A972&lt;VLOOKUP(I$5,NFI,5,0),1,0)*Table_NFI[[#This Row],[NFI Core Kit]],Table_NFI[NFI Core Kit])</f>
        <v>0</v>
      </c>
      <c r="AA972" s="378">
        <f>IF(NFI_Expiration=1,IF($A972&lt;VLOOKUP(J$5,NFI,5,0),1,0)*Table_NFI[[#This Row],[Sanitary Kit]],Table_NFI[Sanitary Kit])</f>
        <v>0</v>
      </c>
      <c r="AB972" s="378">
        <f>IF(NFI_Expiration=1,IF($A972&lt;VLOOKUP(K$5,NFI,5,0),1,0)*Table_NFI[[#This Row],[Mosquito net]],Table_NFI[Mosquito net])</f>
        <v>0</v>
      </c>
      <c r="AC972" s="378">
        <f>IF(NFI_Expiration=1,IF($A972&lt;VLOOKUP(L$5,NFI,5,0),1,0)*Table_NFI[[#This Row],[Tarpaulin]],Table_NFI[[#This Row],[Tarpaulin]])</f>
        <v>0</v>
      </c>
      <c r="AD972" s="378">
        <f>IF(NFI_Expiration=1,IF($A972&lt;VLOOKUP(M$5,NFI,5,0),1,0)*Table_NFI[[#This Row],[Blanket]],Table_NFI[[#This Row],[Blanket]])</f>
        <v>0</v>
      </c>
      <c r="AE972" s="378">
        <f>IF(NFI_Expiration=1,IF($A972&lt;VLOOKUP(N$5,NFI,5,0),1,0)*Table_NFI[[#This Row],[Kitchen Set]],Table_NFI[Kitchen Set])</f>
        <v>0</v>
      </c>
      <c r="AF972" s="378">
        <f>IF(NFI_Expiration=1,IF($A972&lt;VLOOKUP(O$5,NFI,5,0),1,0)*Table_NFI[[#This Row],[Clothes Kit]],Table_NFI[Clothes Kit])</f>
        <v>0</v>
      </c>
      <c r="AG972" s="378">
        <f>IF(NFI_Expiration=1,IF($A972&lt;VLOOKUP(P$5,NFI,5,0),1,0)*Table_NFI[[#This Row],[Plastic Bucket]],Table_NFI[Plastic Bucket])</f>
        <v>0</v>
      </c>
      <c r="AH972" s="378">
        <f>IF(NFI_Expiration=1,IF($A972&lt;VLOOKUP(Q$5,NFI,5,0),1,0)*Table_NFI[[#This Row],[Plastic Mat]],Table_NFI[Plastic Mat])*IF(Table_NFI[[#This Row],[Distribution Date]]&gt;"2014-04-01",1,2.5)</f>
        <v>0</v>
      </c>
      <c r="AI972" s="378">
        <f>IF(NFI_Expiration=1,IF($A972&lt;VLOOKUP(R$5,NFI,5,0),1,0)*Table_NFI[[#This Row],[Winter Clothes Adult]],Table_NFI[Winter Clothes Adult])</f>
        <v>0</v>
      </c>
      <c r="AJ972" s="378">
        <f>IF(NFI_Expiration=1,IF($A972&lt;VLOOKUP(S$5,NFI,5,0),1,0)*Table_NFI[[#This Row],[Winter Clothes Children]],Table_NFI[Winter Clothes Children])</f>
        <v>0</v>
      </c>
      <c r="AK972" s="378">
        <f>IF(NFI_Expiration=1,IF($A972&lt;VLOOKUP(T$5,NFI,5,0),1,0)*Table_NFI[[#This Row],[Winter Items Other]],Table_NFI[Winter Items Other])</f>
        <v>0</v>
      </c>
      <c r="AL972" s="378">
        <f>IF(NFI_Expiration=1,IF($A972&lt;VLOOKUP(M$5,NFI,5,0),1,0)*Table_NFI[[#This Row],[Winter Blanket]],Table_NFI[[#This Row],[Winter Blanket]])</f>
        <v>0</v>
      </c>
      <c r="AM972" s="378">
        <f>IF(Table_NFI[[#This Row],[Winter Clothes Adult]]+Table_NFI[[#This Row],[Winter Clothes Children]]+Table_NFI[[#This Row],[Winter Items Other]]+Table_NFI[[#This Row],[Winter Blanket]]&gt;0,1,0)</f>
        <v>0</v>
      </c>
      <c r="AN972" s="418">
        <f>IF(NFI_Expiration=1,IF($A972&lt;VLOOKUP(V$5,NFI,5,0),1,0)*Table_NFI[[#This Row],[Jerry Can]],Table_NFI[Jerry Can])</f>
        <v>0</v>
      </c>
      <c r="AO972" s="579" t="str">
        <f>IFERROR(VLOOKUP(Table_NFI[[#This Row],[Camp Name]],CL,2,0),"")</f>
        <v/>
      </c>
      <c r="AP972" s="574" t="str">
        <f ca="1">IF(Table_NFI[[#This Row],[Pcode]]="","",IF(OFFSET(CampList[Opening Date],MATCH(Table_NFI[[#This Row],[Pcode]],CampList[CP_Pcode],0)-1,0,1,1)&gt;=NFI_Monitor_Date,1,0))</f>
        <v/>
      </c>
      <c r="AQ972" s="579" t="str">
        <f>IFERROR(VLOOKUP(Table_NFI[[#This Row],[Camp Name]],CL,3,0),"")</f>
        <v/>
      </c>
      <c r="AR972" s="378" t="str">
        <f ca="1">IF(Table_NFI[[#This Row],[Pcode]]="","",OFFSET(CampList[Priority],MATCH(Table_NFI[[#This Row],[Pcode]],CampList[CP_Pcode],0)-1,0,1,1))</f>
        <v/>
      </c>
      <c r="AS972" s="377" t="str">
        <f>IFERROR(Table_NFI[[#This Row],[Kitchen Set]]/VLOOKUP(Table_NFI[[#This Row],[Camp Name]],CL,4,0),"")</f>
        <v/>
      </c>
      <c r="AT972" s="572" t="s">
        <v>1095</v>
      </c>
      <c r="AU972" s="580"/>
    </row>
    <row r="973" spans="1:47" x14ac:dyDescent="0.25">
      <c r="A973" s="381" t="str">
        <f t="shared" si="15"/>
        <v/>
      </c>
      <c r="B973" s="571"/>
      <c r="C973" s="577"/>
      <c r="D973" s="577"/>
      <c r="E973" s="577"/>
      <c r="F973" s="577"/>
      <c r="G973" s="577"/>
      <c r="H973" s="376"/>
      <c r="I973" s="376"/>
      <c r="J973" s="376"/>
      <c r="K973" s="376"/>
      <c r="L973" s="376"/>
      <c r="M973" s="376"/>
      <c r="N973" s="376"/>
      <c r="O973" s="376"/>
      <c r="P973" s="378"/>
      <c r="Q973" s="378"/>
      <c r="R973" s="378"/>
      <c r="S973" s="378"/>
      <c r="T973" s="378"/>
      <c r="U973" s="378"/>
      <c r="V973" s="533"/>
      <c r="W973" s="418"/>
      <c r="X973" s="418"/>
      <c r="Y973" s="378">
        <f>IF(NFI_Expiration=1,IF($A973&lt;VLOOKUP(H$5,NFI,5,0),1,0)*Table_NFI[[#This Row],[Hygiene Kit]],Table_NFI[Hygiene Kit])</f>
        <v>0</v>
      </c>
      <c r="Z973" s="378">
        <f>IF(NFI_Expiration=1,IF($A973&lt;VLOOKUP(I$5,NFI,5,0),1,0)*Table_NFI[[#This Row],[NFI Core Kit]],Table_NFI[NFI Core Kit])</f>
        <v>0</v>
      </c>
      <c r="AA973" s="378">
        <f>IF(NFI_Expiration=1,IF($A973&lt;VLOOKUP(J$5,NFI,5,0),1,0)*Table_NFI[[#This Row],[Sanitary Kit]],Table_NFI[Sanitary Kit])</f>
        <v>0</v>
      </c>
      <c r="AB973" s="378">
        <f>IF(NFI_Expiration=1,IF($A973&lt;VLOOKUP(K$5,NFI,5,0),1,0)*Table_NFI[[#This Row],[Mosquito net]],Table_NFI[Mosquito net])</f>
        <v>0</v>
      </c>
      <c r="AC973" s="378">
        <f>IF(NFI_Expiration=1,IF($A973&lt;VLOOKUP(L$5,NFI,5,0),1,0)*Table_NFI[[#This Row],[Tarpaulin]],Table_NFI[[#This Row],[Tarpaulin]])</f>
        <v>0</v>
      </c>
      <c r="AD973" s="378">
        <f>IF(NFI_Expiration=1,IF($A973&lt;VLOOKUP(M$5,NFI,5,0),1,0)*Table_NFI[[#This Row],[Blanket]],Table_NFI[[#This Row],[Blanket]])</f>
        <v>0</v>
      </c>
      <c r="AE973" s="378">
        <f>IF(NFI_Expiration=1,IF($A973&lt;VLOOKUP(N$5,NFI,5,0),1,0)*Table_NFI[[#This Row],[Kitchen Set]],Table_NFI[Kitchen Set])</f>
        <v>0</v>
      </c>
      <c r="AF973" s="378">
        <f>IF(NFI_Expiration=1,IF($A973&lt;VLOOKUP(O$5,NFI,5,0),1,0)*Table_NFI[[#This Row],[Clothes Kit]],Table_NFI[Clothes Kit])</f>
        <v>0</v>
      </c>
      <c r="AG973" s="378">
        <f>IF(NFI_Expiration=1,IF($A973&lt;VLOOKUP(P$5,NFI,5,0),1,0)*Table_NFI[[#This Row],[Plastic Bucket]],Table_NFI[Plastic Bucket])</f>
        <v>0</v>
      </c>
      <c r="AH973" s="378">
        <f>IF(NFI_Expiration=1,IF($A973&lt;VLOOKUP(Q$5,NFI,5,0),1,0)*Table_NFI[[#This Row],[Plastic Mat]],Table_NFI[Plastic Mat])*IF(Table_NFI[[#This Row],[Distribution Date]]&gt;"2014-04-01",1,2.5)</f>
        <v>0</v>
      </c>
      <c r="AI973" s="378">
        <f>IF(NFI_Expiration=1,IF($A973&lt;VLOOKUP(R$5,NFI,5,0),1,0)*Table_NFI[[#This Row],[Winter Clothes Adult]],Table_NFI[Winter Clothes Adult])</f>
        <v>0</v>
      </c>
      <c r="AJ973" s="378">
        <f>IF(NFI_Expiration=1,IF($A973&lt;VLOOKUP(S$5,NFI,5,0),1,0)*Table_NFI[[#This Row],[Winter Clothes Children]],Table_NFI[Winter Clothes Children])</f>
        <v>0</v>
      </c>
      <c r="AK973" s="378">
        <f>IF(NFI_Expiration=1,IF($A973&lt;VLOOKUP(T$5,NFI,5,0),1,0)*Table_NFI[[#This Row],[Winter Items Other]],Table_NFI[Winter Items Other])</f>
        <v>0</v>
      </c>
      <c r="AL973" s="378">
        <f>IF(NFI_Expiration=1,IF($A973&lt;VLOOKUP(M$5,NFI,5,0),1,0)*Table_NFI[[#This Row],[Winter Blanket]],Table_NFI[[#This Row],[Winter Blanket]])</f>
        <v>0</v>
      </c>
      <c r="AM973" s="378">
        <f>IF(Table_NFI[[#This Row],[Winter Clothes Adult]]+Table_NFI[[#This Row],[Winter Clothes Children]]+Table_NFI[[#This Row],[Winter Items Other]]+Table_NFI[[#This Row],[Winter Blanket]]&gt;0,1,0)</f>
        <v>0</v>
      </c>
      <c r="AN973" s="418">
        <f>IF(NFI_Expiration=1,IF($A973&lt;VLOOKUP(V$5,NFI,5,0),1,0)*Table_NFI[[#This Row],[Jerry Can]],Table_NFI[Jerry Can])</f>
        <v>0</v>
      </c>
      <c r="AO973" s="579" t="str">
        <f>IFERROR(VLOOKUP(Table_NFI[[#This Row],[Camp Name]],CL,2,0),"")</f>
        <v/>
      </c>
      <c r="AP973" s="574" t="str">
        <f ca="1">IF(Table_NFI[[#This Row],[Pcode]]="","",IF(OFFSET(CampList[Opening Date],MATCH(Table_NFI[[#This Row],[Pcode]],CampList[CP_Pcode],0)-1,0,1,1)&gt;=NFI_Monitor_Date,1,0))</f>
        <v/>
      </c>
      <c r="AQ973" s="579" t="str">
        <f>IFERROR(VLOOKUP(Table_NFI[[#This Row],[Camp Name]],CL,3,0),"")</f>
        <v/>
      </c>
      <c r="AR973" s="378" t="str">
        <f ca="1">IF(Table_NFI[[#This Row],[Pcode]]="","",OFFSET(CampList[Priority],MATCH(Table_NFI[[#This Row],[Pcode]],CampList[CP_Pcode],0)-1,0,1,1))</f>
        <v/>
      </c>
      <c r="AS973" s="377" t="str">
        <f>IFERROR(Table_NFI[[#This Row],[Kitchen Set]]/VLOOKUP(Table_NFI[[#This Row],[Camp Name]],CL,4,0),"")</f>
        <v/>
      </c>
      <c r="AT973" s="572" t="s">
        <v>1095</v>
      </c>
      <c r="AU973" s="580"/>
    </row>
    <row r="974" spans="1:47" x14ac:dyDescent="0.25">
      <c r="A974" s="381" t="str">
        <f t="shared" si="15"/>
        <v/>
      </c>
      <c r="B974" s="571"/>
      <c r="C974" s="577"/>
      <c r="D974" s="577"/>
      <c r="E974" s="577"/>
      <c r="F974" s="577"/>
      <c r="G974" s="577"/>
      <c r="H974" s="376"/>
      <c r="I974" s="376"/>
      <c r="J974" s="376"/>
      <c r="K974" s="376"/>
      <c r="L974" s="376"/>
      <c r="M974" s="376"/>
      <c r="N974" s="376"/>
      <c r="O974" s="376"/>
      <c r="P974" s="378"/>
      <c r="Q974" s="378"/>
      <c r="R974" s="378"/>
      <c r="S974" s="378"/>
      <c r="T974" s="378"/>
      <c r="U974" s="378"/>
      <c r="V974" s="533"/>
      <c r="W974" s="418"/>
      <c r="X974" s="418"/>
      <c r="Y974" s="378">
        <f>IF(NFI_Expiration=1,IF($A974&lt;VLOOKUP(H$5,NFI,5,0),1,0)*Table_NFI[[#This Row],[Hygiene Kit]],Table_NFI[Hygiene Kit])</f>
        <v>0</v>
      </c>
      <c r="Z974" s="378">
        <f>IF(NFI_Expiration=1,IF($A974&lt;VLOOKUP(I$5,NFI,5,0),1,0)*Table_NFI[[#This Row],[NFI Core Kit]],Table_NFI[NFI Core Kit])</f>
        <v>0</v>
      </c>
      <c r="AA974" s="378">
        <f>IF(NFI_Expiration=1,IF($A974&lt;VLOOKUP(J$5,NFI,5,0),1,0)*Table_NFI[[#This Row],[Sanitary Kit]],Table_NFI[Sanitary Kit])</f>
        <v>0</v>
      </c>
      <c r="AB974" s="378">
        <f>IF(NFI_Expiration=1,IF($A974&lt;VLOOKUP(K$5,NFI,5,0),1,0)*Table_NFI[[#This Row],[Mosquito net]],Table_NFI[Mosquito net])</f>
        <v>0</v>
      </c>
      <c r="AC974" s="378">
        <f>IF(NFI_Expiration=1,IF($A974&lt;VLOOKUP(L$5,NFI,5,0),1,0)*Table_NFI[[#This Row],[Tarpaulin]],Table_NFI[[#This Row],[Tarpaulin]])</f>
        <v>0</v>
      </c>
      <c r="AD974" s="378">
        <f>IF(NFI_Expiration=1,IF($A974&lt;VLOOKUP(M$5,NFI,5,0),1,0)*Table_NFI[[#This Row],[Blanket]],Table_NFI[[#This Row],[Blanket]])</f>
        <v>0</v>
      </c>
      <c r="AE974" s="378">
        <f>IF(NFI_Expiration=1,IF($A974&lt;VLOOKUP(N$5,NFI,5,0),1,0)*Table_NFI[[#This Row],[Kitchen Set]],Table_NFI[Kitchen Set])</f>
        <v>0</v>
      </c>
      <c r="AF974" s="378">
        <f>IF(NFI_Expiration=1,IF($A974&lt;VLOOKUP(O$5,NFI,5,0),1,0)*Table_NFI[[#This Row],[Clothes Kit]],Table_NFI[Clothes Kit])</f>
        <v>0</v>
      </c>
      <c r="AG974" s="378">
        <f>IF(NFI_Expiration=1,IF($A974&lt;VLOOKUP(P$5,NFI,5,0),1,0)*Table_NFI[[#This Row],[Plastic Bucket]],Table_NFI[Plastic Bucket])</f>
        <v>0</v>
      </c>
      <c r="AH974" s="378">
        <f>IF(NFI_Expiration=1,IF($A974&lt;VLOOKUP(Q$5,NFI,5,0),1,0)*Table_NFI[[#This Row],[Plastic Mat]],Table_NFI[Plastic Mat])*IF(Table_NFI[[#This Row],[Distribution Date]]&gt;"2014-04-01",1,2.5)</f>
        <v>0</v>
      </c>
      <c r="AI974" s="378">
        <f>IF(NFI_Expiration=1,IF($A974&lt;VLOOKUP(R$5,NFI,5,0),1,0)*Table_NFI[[#This Row],[Winter Clothes Adult]],Table_NFI[Winter Clothes Adult])</f>
        <v>0</v>
      </c>
      <c r="AJ974" s="378">
        <f>IF(NFI_Expiration=1,IF($A974&lt;VLOOKUP(S$5,NFI,5,0),1,0)*Table_NFI[[#This Row],[Winter Clothes Children]],Table_NFI[Winter Clothes Children])</f>
        <v>0</v>
      </c>
      <c r="AK974" s="378">
        <f>IF(NFI_Expiration=1,IF($A974&lt;VLOOKUP(T$5,NFI,5,0),1,0)*Table_NFI[[#This Row],[Winter Items Other]],Table_NFI[Winter Items Other])</f>
        <v>0</v>
      </c>
      <c r="AL974" s="378">
        <f>IF(NFI_Expiration=1,IF($A974&lt;VLOOKUP(M$5,NFI,5,0),1,0)*Table_NFI[[#This Row],[Winter Blanket]],Table_NFI[[#This Row],[Winter Blanket]])</f>
        <v>0</v>
      </c>
      <c r="AM974" s="378">
        <f>IF(Table_NFI[[#This Row],[Winter Clothes Adult]]+Table_NFI[[#This Row],[Winter Clothes Children]]+Table_NFI[[#This Row],[Winter Items Other]]+Table_NFI[[#This Row],[Winter Blanket]]&gt;0,1,0)</f>
        <v>0</v>
      </c>
      <c r="AN974" s="418">
        <f>IF(NFI_Expiration=1,IF($A974&lt;VLOOKUP(V$5,NFI,5,0),1,0)*Table_NFI[[#This Row],[Jerry Can]],Table_NFI[Jerry Can])</f>
        <v>0</v>
      </c>
      <c r="AO974" s="579" t="str">
        <f>IFERROR(VLOOKUP(Table_NFI[[#This Row],[Camp Name]],CL,2,0),"")</f>
        <v/>
      </c>
      <c r="AP974" s="574" t="str">
        <f ca="1">IF(Table_NFI[[#This Row],[Pcode]]="","",IF(OFFSET(CampList[Opening Date],MATCH(Table_NFI[[#This Row],[Pcode]],CampList[CP_Pcode],0)-1,0,1,1)&gt;=NFI_Monitor_Date,1,0))</f>
        <v/>
      </c>
      <c r="AQ974" s="579" t="str">
        <f>IFERROR(VLOOKUP(Table_NFI[[#This Row],[Camp Name]],CL,3,0),"")</f>
        <v/>
      </c>
      <c r="AR974" s="378" t="str">
        <f ca="1">IF(Table_NFI[[#This Row],[Pcode]]="","",OFFSET(CampList[Priority],MATCH(Table_NFI[[#This Row],[Pcode]],CampList[CP_Pcode],0)-1,0,1,1))</f>
        <v/>
      </c>
      <c r="AS974" s="377" t="str">
        <f>IFERROR(Table_NFI[[#This Row],[Kitchen Set]]/VLOOKUP(Table_NFI[[#This Row],[Camp Name]],CL,4,0),"")</f>
        <v/>
      </c>
      <c r="AT974" s="572" t="s">
        <v>1095</v>
      </c>
      <c r="AU974" s="580"/>
    </row>
    <row r="975" spans="1:47" x14ac:dyDescent="0.25">
      <c r="A975" s="381" t="str">
        <f t="shared" si="15"/>
        <v/>
      </c>
      <c r="B975" s="571"/>
      <c r="C975" s="577"/>
      <c r="D975" s="577"/>
      <c r="E975" s="577"/>
      <c r="F975" s="577"/>
      <c r="G975" s="577"/>
      <c r="H975" s="376"/>
      <c r="I975" s="376"/>
      <c r="J975" s="376"/>
      <c r="K975" s="376"/>
      <c r="L975" s="376"/>
      <c r="M975" s="376"/>
      <c r="N975" s="376"/>
      <c r="O975" s="376"/>
      <c r="P975" s="378"/>
      <c r="Q975" s="378"/>
      <c r="R975" s="378"/>
      <c r="S975" s="378"/>
      <c r="T975" s="378"/>
      <c r="U975" s="378"/>
      <c r="V975" s="533"/>
      <c r="W975" s="418"/>
      <c r="X975" s="418"/>
      <c r="Y975" s="378">
        <f>IF(NFI_Expiration=1,IF($A975&lt;VLOOKUP(H$5,NFI,5,0),1,0)*Table_NFI[[#This Row],[Hygiene Kit]],Table_NFI[Hygiene Kit])</f>
        <v>0</v>
      </c>
      <c r="Z975" s="378">
        <f>IF(NFI_Expiration=1,IF($A975&lt;VLOOKUP(I$5,NFI,5,0),1,0)*Table_NFI[[#This Row],[NFI Core Kit]],Table_NFI[NFI Core Kit])</f>
        <v>0</v>
      </c>
      <c r="AA975" s="378">
        <f>IF(NFI_Expiration=1,IF($A975&lt;VLOOKUP(J$5,NFI,5,0),1,0)*Table_NFI[[#This Row],[Sanitary Kit]],Table_NFI[Sanitary Kit])</f>
        <v>0</v>
      </c>
      <c r="AB975" s="378">
        <f>IF(NFI_Expiration=1,IF($A975&lt;VLOOKUP(K$5,NFI,5,0),1,0)*Table_NFI[[#This Row],[Mosquito net]],Table_NFI[Mosquito net])</f>
        <v>0</v>
      </c>
      <c r="AC975" s="378">
        <f>IF(NFI_Expiration=1,IF($A975&lt;VLOOKUP(L$5,NFI,5,0),1,0)*Table_NFI[[#This Row],[Tarpaulin]],Table_NFI[[#This Row],[Tarpaulin]])</f>
        <v>0</v>
      </c>
      <c r="AD975" s="378">
        <f>IF(NFI_Expiration=1,IF($A975&lt;VLOOKUP(M$5,NFI,5,0),1,0)*Table_NFI[[#This Row],[Blanket]],Table_NFI[[#This Row],[Blanket]])</f>
        <v>0</v>
      </c>
      <c r="AE975" s="378">
        <f>IF(NFI_Expiration=1,IF($A975&lt;VLOOKUP(N$5,NFI,5,0),1,0)*Table_NFI[[#This Row],[Kitchen Set]],Table_NFI[Kitchen Set])</f>
        <v>0</v>
      </c>
      <c r="AF975" s="378">
        <f>IF(NFI_Expiration=1,IF($A975&lt;VLOOKUP(O$5,NFI,5,0),1,0)*Table_NFI[[#This Row],[Clothes Kit]],Table_NFI[Clothes Kit])</f>
        <v>0</v>
      </c>
      <c r="AG975" s="378">
        <f>IF(NFI_Expiration=1,IF($A975&lt;VLOOKUP(P$5,NFI,5,0),1,0)*Table_NFI[[#This Row],[Plastic Bucket]],Table_NFI[Plastic Bucket])</f>
        <v>0</v>
      </c>
      <c r="AH975" s="378">
        <f>IF(NFI_Expiration=1,IF($A975&lt;VLOOKUP(Q$5,NFI,5,0),1,0)*Table_NFI[[#This Row],[Plastic Mat]],Table_NFI[Plastic Mat])*IF(Table_NFI[[#This Row],[Distribution Date]]&gt;"2014-04-01",1,2.5)</f>
        <v>0</v>
      </c>
      <c r="AI975" s="378">
        <f>IF(NFI_Expiration=1,IF($A975&lt;VLOOKUP(R$5,NFI,5,0),1,0)*Table_NFI[[#This Row],[Winter Clothes Adult]],Table_NFI[Winter Clothes Adult])</f>
        <v>0</v>
      </c>
      <c r="AJ975" s="378">
        <f>IF(NFI_Expiration=1,IF($A975&lt;VLOOKUP(S$5,NFI,5,0),1,0)*Table_NFI[[#This Row],[Winter Clothes Children]],Table_NFI[Winter Clothes Children])</f>
        <v>0</v>
      </c>
      <c r="AK975" s="378">
        <f>IF(NFI_Expiration=1,IF($A975&lt;VLOOKUP(T$5,NFI,5,0),1,0)*Table_NFI[[#This Row],[Winter Items Other]],Table_NFI[Winter Items Other])</f>
        <v>0</v>
      </c>
      <c r="AL975" s="378">
        <f>IF(NFI_Expiration=1,IF($A975&lt;VLOOKUP(M$5,NFI,5,0),1,0)*Table_NFI[[#This Row],[Winter Blanket]],Table_NFI[[#This Row],[Winter Blanket]])</f>
        <v>0</v>
      </c>
      <c r="AM975" s="378">
        <f>IF(Table_NFI[[#This Row],[Winter Clothes Adult]]+Table_NFI[[#This Row],[Winter Clothes Children]]+Table_NFI[[#This Row],[Winter Items Other]]+Table_NFI[[#This Row],[Winter Blanket]]&gt;0,1,0)</f>
        <v>0</v>
      </c>
      <c r="AN975" s="418">
        <f>IF(NFI_Expiration=1,IF($A975&lt;VLOOKUP(V$5,NFI,5,0),1,0)*Table_NFI[[#This Row],[Jerry Can]],Table_NFI[Jerry Can])</f>
        <v>0</v>
      </c>
      <c r="AO975" s="579" t="str">
        <f>IFERROR(VLOOKUP(Table_NFI[[#This Row],[Camp Name]],CL,2,0),"")</f>
        <v/>
      </c>
      <c r="AP975" s="574" t="str">
        <f ca="1">IF(Table_NFI[[#This Row],[Pcode]]="","",IF(OFFSET(CampList[Opening Date],MATCH(Table_NFI[[#This Row],[Pcode]],CampList[CP_Pcode],0)-1,0,1,1)&gt;=NFI_Monitor_Date,1,0))</f>
        <v/>
      </c>
      <c r="AQ975" s="579" t="str">
        <f>IFERROR(VLOOKUP(Table_NFI[[#This Row],[Camp Name]],CL,3,0),"")</f>
        <v/>
      </c>
      <c r="AR975" s="378" t="str">
        <f ca="1">IF(Table_NFI[[#This Row],[Pcode]]="","",OFFSET(CampList[Priority],MATCH(Table_NFI[[#This Row],[Pcode]],CampList[CP_Pcode],0)-1,0,1,1))</f>
        <v/>
      </c>
      <c r="AS975" s="377" t="str">
        <f>IFERROR(Table_NFI[[#This Row],[Kitchen Set]]/VLOOKUP(Table_NFI[[#This Row],[Camp Name]],CL,4,0),"")</f>
        <v/>
      </c>
      <c r="AT975" s="572" t="s">
        <v>1095</v>
      </c>
      <c r="AU975" s="580"/>
    </row>
    <row r="976" spans="1:47" x14ac:dyDescent="0.25">
      <c r="A976" s="381" t="str">
        <f t="shared" si="15"/>
        <v/>
      </c>
      <c r="B976" s="571"/>
      <c r="C976" s="577"/>
      <c r="D976" s="577"/>
      <c r="E976" s="577"/>
      <c r="F976" s="577"/>
      <c r="G976" s="577"/>
      <c r="H976" s="376"/>
      <c r="I976" s="376"/>
      <c r="J976" s="376"/>
      <c r="K976" s="376"/>
      <c r="L976" s="376"/>
      <c r="M976" s="376"/>
      <c r="N976" s="376"/>
      <c r="O976" s="376"/>
      <c r="P976" s="378"/>
      <c r="Q976" s="378"/>
      <c r="R976" s="378"/>
      <c r="S976" s="378"/>
      <c r="T976" s="378"/>
      <c r="U976" s="378"/>
      <c r="V976" s="533"/>
      <c r="W976" s="418"/>
      <c r="X976" s="418"/>
      <c r="Y976" s="378">
        <f>IF(NFI_Expiration=1,IF($A976&lt;VLOOKUP(H$5,NFI,5,0),1,0)*Table_NFI[[#This Row],[Hygiene Kit]],Table_NFI[Hygiene Kit])</f>
        <v>0</v>
      </c>
      <c r="Z976" s="378">
        <f>IF(NFI_Expiration=1,IF($A976&lt;VLOOKUP(I$5,NFI,5,0),1,0)*Table_NFI[[#This Row],[NFI Core Kit]],Table_NFI[NFI Core Kit])</f>
        <v>0</v>
      </c>
      <c r="AA976" s="378">
        <f>IF(NFI_Expiration=1,IF($A976&lt;VLOOKUP(J$5,NFI,5,0),1,0)*Table_NFI[[#This Row],[Sanitary Kit]],Table_NFI[Sanitary Kit])</f>
        <v>0</v>
      </c>
      <c r="AB976" s="378">
        <f>IF(NFI_Expiration=1,IF($A976&lt;VLOOKUP(K$5,NFI,5,0),1,0)*Table_NFI[[#This Row],[Mosquito net]],Table_NFI[Mosquito net])</f>
        <v>0</v>
      </c>
      <c r="AC976" s="378">
        <f>IF(NFI_Expiration=1,IF($A976&lt;VLOOKUP(L$5,NFI,5,0),1,0)*Table_NFI[[#This Row],[Tarpaulin]],Table_NFI[[#This Row],[Tarpaulin]])</f>
        <v>0</v>
      </c>
      <c r="AD976" s="378">
        <f>IF(NFI_Expiration=1,IF($A976&lt;VLOOKUP(M$5,NFI,5,0),1,0)*Table_NFI[[#This Row],[Blanket]],Table_NFI[[#This Row],[Blanket]])</f>
        <v>0</v>
      </c>
      <c r="AE976" s="378">
        <f>IF(NFI_Expiration=1,IF($A976&lt;VLOOKUP(N$5,NFI,5,0),1,0)*Table_NFI[[#This Row],[Kitchen Set]],Table_NFI[Kitchen Set])</f>
        <v>0</v>
      </c>
      <c r="AF976" s="378">
        <f>IF(NFI_Expiration=1,IF($A976&lt;VLOOKUP(O$5,NFI,5,0),1,0)*Table_NFI[[#This Row],[Clothes Kit]],Table_NFI[Clothes Kit])</f>
        <v>0</v>
      </c>
      <c r="AG976" s="378">
        <f>IF(NFI_Expiration=1,IF($A976&lt;VLOOKUP(P$5,NFI,5,0),1,0)*Table_NFI[[#This Row],[Plastic Bucket]],Table_NFI[Plastic Bucket])</f>
        <v>0</v>
      </c>
      <c r="AH976" s="378">
        <f>IF(NFI_Expiration=1,IF($A976&lt;VLOOKUP(Q$5,NFI,5,0),1,0)*Table_NFI[[#This Row],[Plastic Mat]],Table_NFI[Plastic Mat])*IF(Table_NFI[[#This Row],[Distribution Date]]&gt;"2014-04-01",1,2.5)</f>
        <v>0</v>
      </c>
      <c r="AI976" s="378">
        <f>IF(NFI_Expiration=1,IF($A976&lt;VLOOKUP(R$5,NFI,5,0),1,0)*Table_NFI[[#This Row],[Winter Clothes Adult]],Table_NFI[Winter Clothes Adult])</f>
        <v>0</v>
      </c>
      <c r="AJ976" s="378">
        <f>IF(NFI_Expiration=1,IF($A976&lt;VLOOKUP(S$5,NFI,5,0),1,0)*Table_NFI[[#This Row],[Winter Clothes Children]],Table_NFI[Winter Clothes Children])</f>
        <v>0</v>
      </c>
      <c r="AK976" s="378">
        <f>IF(NFI_Expiration=1,IF($A976&lt;VLOOKUP(T$5,NFI,5,0),1,0)*Table_NFI[[#This Row],[Winter Items Other]],Table_NFI[Winter Items Other])</f>
        <v>0</v>
      </c>
      <c r="AL976" s="378">
        <f>IF(NFI_Expiration=1,IF($A976&lt;VLOOKUP(M$5,NFI,5,0),1,0)*Table_NFI[[#This Row],[Winter Blanket]],Table_NFI[[#This Row],[Winter Blanket]])</f>
        <v>0</v>
      </c>
      <c r="AM976" s="378">
        <f>IF(Table_NFI[[#This Row],[Winter Clothes Adult]]+Table_NFI[[#This Row],[Winter Clothes Children]]+Table_NFI[[#This Row],[Winter Items Other]]+Table_NFI[[#This Row],[Winter Blanket]]&gt;0,1,0)</f>
        <v>0</v>
      </c>
      <c r="AN976" s="418">
        <f>IF(NFI_Expiration=1,IF($A976&lt;VLOOKUP(V$5,NFI,5,0),1,0)*Table_NFI[[#This Row],[Jerry Can]],Table_NFI[Jerry Can])</f>
        <v>0</v>
      </c>
      <c r="AO976" s="579" t="str">
        <f>IFERROR(VLOOKUP(Table_NFI[[#This Row],[Camp Name]],CL,2,0),"")</f>
        <v/>
      </c>
      <c r="AP976" s="574" t="str">
        <f ca="1">IF(Table_NFI[[#This Row],[Pcode]]="","",IF(OFFSET(CampList[Opening Date],MATCH(Table_NFI[[#This Row],[Pcode]],CampList[CP_Pcode],0)-1,0,1,1)&gt;=NFI_Monitor_Date,1,0))</f>
        <v/>
      </c>
      <c r="AQ976" s="579" t="str">
        <f>IFERROR(VLOOKUP(Table_NFI[[#This Row],[Camp Name]],CL,3,0),"")</f>
        <v/>
      </c>
      <c r="AR976" s="378" t="str">
        <f ca="1">IF(Table_NFI[[#This Row],[Pcode]]="","",OFFSET(CampList[Priority],MATCH(Table_NFI[[#This Row],[Pcode]],CampList[CP_Pcode],0)-1,0,1,1))</f>
        <v/>
      </c>
      <c r="AS976" s="377" t="str">
        <f>IFERROR(Table_NFI[[#This Row],[Kitchen Set]]/VLOOKUP(Table_NFI[[#This Row],[Camp Name]],CL,4,0),"")</f>
        <v/>
      </c>
      <c r="AT976" s="572" t="s">
        <v>1095</v>
      </c>
      <c r="AU976" s="580"/>
    </row>
    <row r="977" spans="1:47" x14ac:dyDescent="0.25">
      <c r="A977" s="381" t="str">
        <f t="shared" si="15"/>
        <v/>
      </c>
      <c r="B977" s="571"/>
      <c r="C977" s="577"/>
      <c r="D977" s="577"/>
      <c r="E977" s="577"/>
      <c r="F977" s="577"/>
      <c r="G977" s="577"/>
      <c r="H977" s="376"/>
      <c r="I977" s="376"/>
      <c r="J977" s="376"/>
      <c r="K977" s="376"/>
      <c r="L977" s="376"/>
      <c r="M977" s="376"/>
      <c r="N977" s="376"/>
      <c r="O977" s="376"/>
      <c r="P977" s="378"/>
      <c r="Q977" s="378"/>
      <c r="R977" s="378"/>
      <c r="S977" s="378"/>
      <c r="T977" s="378"/>
      <c r="U977" s="378"/>
      <c r="V977" s="533"/>
      <c r="W977" s="418"/>
      <c r="X977" s="418"/>
      <c r="Y977" s="378">
        <f>IF(NFI_Expiration=1,IF($A977&lt;VLOOKUP(H$5,NFI,5,0),1,0)*Table_NFI[[#This Row],[Hygiene Kit]],Table_NFI[Hygiene Kit])</f>
        <v>0</v>
      </c>
      <c r="Z977" s="378">
        <f>IF(NFI_Expiration=1,IF($A977&lt;VLOOKUP(I$5,NFI,5,0),1,0)*Table_NFI[[#This Row],[NFI Core Kit]],Table_NFI[NFI Core Kit])</f>
        <v>0</v>
      </c>
      <c r="AA977" s="378">
        <f>IF(NFI_Expiration=1,IF($A977&lt;VLOOKUP(J$5,NFI,5,0),1,0)*Table_NFI[[#This Row],[Sanitary Kit]],Table_NFI[Sanitary Kit])</f>
        <v>0</v>
      </c>
      <c r="AB977" s="378">
        <f>IF(NFI_Expiration=1,IF($A977&lt;VLOOKUP(K$5,NFI,5,0),1,0)*Table_NFI[[#This Row],[Mosquito net]],Table_NFI[Mosquito net])</f>
        <v>0</v>
      </c>
      <c r="AC977" s="378">
        <f>IF(NFI_Expiration=1,IF($A977&lt;VLOOKUP(L$5,NFI,5,0),1,0)*Table_NFI[[#This Row],[Tarpaulin]],Table_NFI[[#This Row],[Tarpaulin]])</f>
        <v>0</v>
      </c>
      <c r="AD977" s="378">
        <f>IF(NFI_Expiration=1,IF($A977&lt;VLOOKUP(M$5,NFI,5,0),1,0)*Table_NFI[[#This Row],[Blanket]],Table_NFI[[#This Row],[Blanket]])</f>
        <v>0</v>
      </c>
      <c r="AE977" s="378">
        <f>IF(NFI_Expiration=1,IF($A977&lt;VLOOKUP(N$5,NFI,5,0),1,0)*Table_NFI[[#This Row],[Kitchen Set]],Table_NFI[Kitchen Set])</f>
        <v>0</v>
      </c>
      <c r="AF977" s="378">
        <f>IF(NFI_Expiration=1,IF($A977&lt;VLOOKUP(O$5,NFI,5,0),1,0)*Table_NFI[[#This Row],[Clothes Kit]],Table_NFI[Clothes Kit])</f>
        <v>0</v>
      </c>
      <c r="AG977" s="378">
        <f>IF(NFI_Expiration=1,IF($A977&lt;VLOOKUP(P$5,NFI,5,0),1,0)*Table_NFI[[#This Row],[Plastic Bucket]],Table_NFI[Plastic Bucket])</f>
        <v>0</v>
      </c>
      <c r="AH977" s="378">
        <f>IF(NFI_Expiration=1,IF($A977&lt;VLOOKUP(Q$5,NFI,5,0),1,0)*Table_NFI[[#This Row],[Plastic Mat]],Table_NFI[Plastic Mat])*IF(Table_NFI[[#This Row],[Distribution Date]]&gt;"2014-04-01",1,2.5)</f>
        <v>0</v>
      </c>
      <c r="AI977" s="378">
        <f>IF(NFI_Expiration=1,IF($A977&lt;VLOOKUP(R$5,NFI,5,0),1,0)*Table_NFI[[#This Row],[Winter Clothes Adult]],Table_NFI[Winter Clothes Adult])</f>
        <v>0</v>
      </c>
      <c r="AJ977" s="378">
        <f>IF(NFI_Expiration=1,IF($A977&lt;VLOOKUP(S$5,NFI,5,0),1,0)*Table_NFI[[#This Row],[Winter Clothes Children]],Table_NFI[Winter Clothes Children])</f>
        <v>0</v>
      </c>
      <c r="AK977" s="378">
        <f>IF(NFI_Expiration=1,IF($A977&lt;VLOOKUP(T$5,NFI,5,0),1,0)*Table_NFI[[#This Row],[Winter Items Other]],Table_NFI[Winter Items Other])</f>
        <v>0</v>
      </c>
      <c r="AL977" s="378">
        <f>IF(NFI_Expiration=1,IF($A977&lt;VLOOKUP(M$5,NFI,5,0),1,0)*Table_NFI[[#This Row],[Winter Blanket]],Table_NFI[[#This Row],[Winter Blanket]])</f>
        <v>0</v>
      </c>
      <c r="AM977" s="378">
        <f>IF(Table_NFI[[#This Row],[Winter Clothes Adult]]+Table_NFI[[#This Row],[Winter Clothes Children]]+Table_NFI[[#This Row],[Winter Items Other]]+Table_NFI[[#This Row],[Winter Blanket]]&gt;0,1,0)</f>
        <v>0</v>
      </c>
      <c r="AN977" s="418">
        <f>IF(NFI_Expiration=1,IF($A977&lt;VLOOKUP(V$5,NFI,5,0),1,0)*Table_NFI[[#This Row],[Jerry Can]],Table_NFI[Jerry Can])</f>
        <v>0</v>
      </c>
      <c r="AO977" s="579" t="str">
        <f>IFERROR(VLOOKUP(Table_NFI[[#This Row],[Camp Name]],CL,2,0),"")</f>
        <v/>
      </c>
      <c r="AP977" s="574" t="str">
        <f ca="1">IF(Table_NFI[[#This Row],[Pcode]]="","",IF(OFFSET(CampList[Opening Date],MATCH(Table_NFI[[#This Row],[Pcode]],CampList[CP_Pcode],0)-1,0,1,1)&gt;=NFI_Monitor_Date,1,0))</f>
        <v/>
      </c>
      <c r="AQ977" s="579" t="str">
        <f>IFERROR(VLOOKUP(Table_NFI[[#This Row],[Camp Name]],CL,3,0),"")</f>
        <v/>
      </c>
      <c r="AR977" s="378" t="str">
        <f ca="1">IF(Table_NFI[[#This Row],[Pcode]]="","",OFFSET(CampList[Priority],MATCH(Table_NFI[[#This Row],[Pcode]],CampList[CP_Pcode],0)-1,0,1,1))</f>
        <v/>
      </c>
      <c r="AS977" s="377" t="str">
        <f>IFERROR(Table_NFI[[#This Row],[Kitchen Set]]/VLOOKUP(Table_NFI[[#This Row],[Camp Name]],CL,4,0),"")</f>
        <v/>
      </c>
      <c r="AT977" s="572" t="s">
        <v>1095</v>
      </c>
      <c r="AU977" s="580"/>
    </row>
    <row r="978" spans="1:47" x14ac:dyDescent="0.25">
      <c r="A978" s="381" t="str">
        <f t="shared" si="15"/>
        <v/>
      </c>
      <c r="B978" s="571"/>
      <c r="C978" s="577"/>
      <c r="D978" s="577"/>
      <c r="E978" s="577"/>
      <c r="F978" s="577"/>
      <c r="G978" s="577"/>
      <c r="H978" s="376"/>
      <c r="I978" s="376"/>
      <c r="J978" s="376"/>
      <c r="K978" s="376"/>
      <c r="L978" s="376"/>
      <c r="M978" s="376"/>
      <c r="N978" s="376"/>
      <c r="O978" s="376"/>
      <c r="P978" s="378"/>
      <c r="Q978" s="378"/>
      <c r="R978" s="378"/>
      <c r="S978" s="378"/>
      <c r="T978" s="378"/>
      <c r="U978" s="378"/>
      <c r="V978" s="533"/>
      <c r="W978" s="418"/>
      <c r="X978" s="418"/>
      <c r="Y978" s="378">
        <f>IF(NFI_Expiration=1,IF($A978&lt;VLOOKUP(H$5,NFI,5,0),1,0)*Table_NFI[[#This Row],[Hygiene Kit]],Table_NFI[Hygiene Kit])</f>
        <v>0</v>
      </c>
      <c r="Z978" s="378">
        <f>IF(NFI_Expiration=1,IF($A978&lt;VLOOKUP(I$5,NFI,5,0),1,0)*Table_NFI[[#This Row],[NFI Core Kit]],Table_NFI[NFI Core Kit])</f>
        <v>0</v>
      </c>
      <c r="AA978" s="378">
        <f>IF(NFI_Expiration=1,IF($A978&lt;VLOOKUP(J$5,NFI,5,0),1,0)*Table_NFI[[#This Row],[Sanitary Kit]],Table_NFI[Sanitary Kit])</f>
        <v>0</v>
      </c>
      <c r="AB978" s="378">
        <f>IF(NFI_Expiration=1,IF($A978&lt;VLOOKUP(K$5,NFI,5,0),1,0)*Table_NFI[[#This Row],[Mosquito net]],Table_NFI[Mosquito net])</f>
        <v>0</v>
      </c>
      <c r="AC978" s="378">
        <f>IF(NFI_Expiration=1,IF($A978&lt;VLOOKUP(L$5,NFI,5,0),1,0)*Table_NFI[[#This Row],[Tarpaulin]],Table_NFI[[#This Row],[Tarpaulin]])</f>
        <v>0</v>
      </c>
      <c r="AD978" s="378">
        <f>IF(NFI_Expiration=1,IF($A978&lt;VLOOKUP(M$5,NFI,5,0),1,0)*Table_NFI[[#This Row],[Blanket]],Table_NFI[[#This Row],[Blanket]])</f>
        <v>0</v>
      </c>
      <c r="AE978" s="378">
        <f>IF(NFI_Expiration=1,IF($A978&lt;VLOOKUP(N$5,NFI,5,0),1,0)*Table_NFI[[#This Row],[Kitchen Set]],Table_NFI[Kitchen Set])</f>
        <v>0</v>
      </c>
      <c r="AF978" s="378">
        <f>IF(NFI_Expiration=1,IF($A978&lt;VLOOKUP(O$5,NFI,5,0),1,0)*Table_NFI[[#This Row],[Clothes Kit]],Table_NFI[Clothes Kit])</f>
        <v>0</v>
      </c>
      <c r="AG978" s="378">
        <f>IF(NFI_Expiration=1,IF($A978&lt;VLOOKUP(P$5,NFI,5,0),1,0)*Table_NFI[[#This Row],[Plastic Bucket]],Table_NFI[Plastic Bucket])</f>
        <v>0</v>
      </c>
      <c r="AH978" s="378">
        <f>IF(NFI_Expiration=1,IF($A978&lt;VLOOKUP(Q$5,NFI,5,0),1,0)*Table_NFI[[#This Row],[Plastic Mat]],Table_NFI[Plastic Mat])*IF(Table_NFI[[#This Row],[Distribution Date]]&gt;"2014-04-01",1,2.5)</f>
        <v>0</v>
      </c>
      <c r="AI978" s="378">
        <f>IF(NFI_Expiration=1,IF($A978&lt;VLOOKUP(R$5,NFI,5,0),1,0)*Table_NFI[[#This Row],[Winter Clothes Adult]],Table_NFI[Winter Clothes Adult])</f>
        <v>0</v>
      </c>
      <c r="AJ978" s="378">
        <f>IF(NFI_Expiration=1,IF($A978&lt;VLOOKUP(S$5,NFI,5,0),1,0)*Table_NFI[[#This Row],[Winter Clothes Children]],Table_NFI[Winter Clothes Children])</f>
        <v>0</v>
      </c>
      <c r="AK978" s="378">
        <f>IF(NFI_Expiration=1,IF($A978&lt;VLOOKUP(T$5,NFI,5,0),1,0)*Table_NFI[[#This Row],[Winter Items Other]],Table_NFI[Winter Items Other])</f>
        <v>0</v>
      </c>
      <c r="AL978" s="378">
        <f>IF(NFI_Expiration=1,IF($A978&lt;VLOOKUP(M$5,NFI,5,0),1,0)*Table_NFI[[#This Row],[Winter Blanket]],Table_NFI[[#This Row],[Winter Blanket]])</f>
        <v>0</v>
      </c>
      <c r="AM978" s="378">
        <f>IF(Table_NFI[[#This Row],[Winter Clothes Adult]]+Table_NFI[[#This Row],[Winter Clothes Children]]+Table_NFI[[#This Row],[Winter Items Other]]+Table_NFI[[#This Row],[Winter Blanket]]&gt;0,1,0)</f>
        <v>0</v>
      </c>
      <c r="AN978" s="418">
        <f>IF(NFI_Expiration=1,IF($A978&lt;VLOOKUP(V$5,NFI,5,0),1,0)*Table_NFI[[#This Row],[Jerry Can]],Table_NFI[Jerry Can])</f>
        <v>0</v>
      </c>
      <c r="AO978" s="579" t="str">
        <f>IFERROR(VLOOKUP(Table_NFI[[#This Row],[Camp Name]],CL,2,0),"")</f>
        <v/>
      </c>
      <c r="AP978" s="574" t="str">
        <f ca="1">IF(Table_NFI[[#This Row],[Pcode]]="","",IF(OFFSET(CampList[Opening Date],MATCH(Table_NFI[[#This Row],[Pcode]],CampList[CP_Pcode],0)-1,0,1,1)&gt;=NFI_Monitor_Date,1,0))</f>
        <v/>
      </c>
      <c r="AQ978" s="579" t="str">
        <f>IFERROR(VLOOKUP(Table_NFI[[#This Row],[Camp Name]],CL,3,0),"")</f>
        <v/>
      </c>
      <c r="AR978" s="378" t="str">
        <f ca="1">IF(Table_NFI[[#This Row],[Pcode]]="","",OFFSET(CampList[Priority],MATCH(Table_NFI[[#This Row],[Pcode]],CampList[CP_Pcode],0)-1,0,1,1))</f>
        <v/>
      </c>
      <c r="AS978" s="377" t="str">
        <f>IFERROR(Table_NFI[[#This Row],[Kitchen Set]]/VLOOKUP(Table_NFI[[#This Row],[Camp Name]],CL,4,0),"")</f>
        <v/>
      </c>
      <c r="AT978" s="572" t="s">
        <v>1095</v>
      </c>
      <c r="AU978" s="580"/>
    </row>
    <row r="979" spans="1:47" x14ac:dyDescent="0.25">
      <c r="A979" s="381" t="str">
        <f t="shared" si="15"/>
        <v/>
      </c>
      <c r="B979" s="571"/>
      <c r="C979" s="577"/>
      <c r="D979" s="577"/>
      <c r="E979" s="577"/>
      <c r="F979" s="577"/>
      <c r="G979" s="577"/>
      <c r="H979" s="376"/>
      <c r="I979" s="376"/>
      <c r="J979" s="376"/>
      <c r="K979" s="376"/>
      <c r="L979" s="376"/>
      <c r="M979" s="376"/>
      <c r="N979" s="376"/>
      <c r="O979" s="376"/>
      <c r="P979" s="378"/>
      <c r="Q979" s="378"/>
      <c r="R979" s="378"/>
      <c r="S979" s="378"/>
      <c r="T979" s="378"/>
      <c r="U979" s="378"/>
      <c r="V979" s="533"/>
      <c r="W979" s="418"/>
      <c r="X979" s="418"/>
      <c r="Y979" s="378">
        <f>IF(NFI_Expiration=1,IF($A979&lt;VLOOKUP(H$5,NFI,5,0),1,0)*Table_NFI[[#This Row],[Hygiene Kit]],Table_NFI[Hygiene Kit])</f>
        <v>0</v>
      </c>
      <c r="Z979" s="378">
        <f>IF(NFI_Expiration=1,IF($A979&lt;VLOOKUP(I$5,NFI,5,0),1,0)*Table_NFI[[#This Row],[NFI Core Kit]],Table_NFI[NFI Core Kit])</f>
        <v>0</v>
      </c>
      <c r="AA979" s="378">
        <f>IF(NFI_Expiration=1,IF($A979&lt;VLOOKUP(J$5,NFI,5,0),1,0)*Table_NFI[[#This Row],[Sanitary Kit]],Table_NFI[Sanitary Kit])</f>
        <v>0</v>
      </c>
      <c r="AB979" s="378">
        <f>IF(NFI_Expiration=1,IF($A979&lt;VLOOKUP(K$5,NFI,5,0),1,0)*Table_NFI[[#This Row],[Mosquito net]],Table_NFI[Mosquito net])</f>
        <v>0</v>
      </c>
      <c r="AC979" s="378">
        <f>IF(NFI_Expiration=1,IF($A979&lt;VLOOKUP(L$5,NFI,5,0),1,0)*Table_NFI[[#This Row],[Tarpaulin]],Table_NFI[[#This Row],[Tarpaulin]])</f>
        <v>0</v>
      </c>
      <c r="AD979" s="378">
        <f>IF(NFI_Expiration=1,IF($A979&lt;VLOOKUP(M$5,NFI,5,0),1,0)*Table_NFI[[#This Row],[Blanket]],Table_NFI[[#This Row],[Blanket]])</f>
        <v>0</v>
      </c>
      <c r="AE979" s="378">
        <f>IF(NFI_Expiration=1,IF($A979&lt;VLOOKUP(N$5,NFI,5,0),1,0)*Table_NFI[[#This Row],[Kitchen Set]],Table_NFI[Kitchen Set])</f>
        <v>0</v>
      </c>
      <c r="AF979" s="378">
        <f>IF(NFI_Expiration=1,IF($A979&lt;VLOOKUP(O$5,NFI,5,0),1,0)*Table_NFI[[#This Row],[Clothes Kit]],Table_NFI[Clothes Kit])</f>
        <v>0</v>
      </c>
      <c r="AG979" s="378">
        <f>IF(NFI_Expiration=1,IF($A979&lt;VLOOKUP(P$5,NFI,5,0),1,0)*Table_NFI[[#This Row],[Plastic Bucket]],Table_NFI[Plastic Bucket])</f>
        <v>0</v>
      </c>
      <c r="AH979" s="378">
        <f>IF(NFI_Expiration=1,IF($A979&lt;VLOOKUP(Q$5,NFI,5,0),1,0)*Table_NFI[[#This Row],[Plastic Mat]],Table_NFI[Plastic Mat])*IF(Table_NFI[[#This Row],[Distribution Date]]&gt;"2014-04-01",1,2.5)</f>
        <v>0</v>
      </c>
      <c r="AI979" s="378">
        <f>IF(NFI_Expiration=1,IF($A979&lt;VLOOKUP(R$5,NFI,5,0),1,0)*Table_NFI[[#This Row],[Winter Clothes Adult]],Table_NFI[Winter Clothes Adult])</f>
        <v>0</v>
      </c>
      <c r="AJ979" s="378">
        <f>IF(NFI_Expiration=1,IF($A979&lt;VLOOKUP(S$5,NFI,5,0),1,0)*Table_NFI[[#This Row],[Winter Clothes Children]],Table_NFI[Winter Clothes Children])</f>
        <v>0</v>
      </c>
      <c r="AK979" s="378">
        <f>IF(NFI_Expiration=1,IF($A979&lt;VLOOKUP(T$5,NFI,5,0),1,0)*Table_NFI[[#This Row],[Winter Items Other]],Table_NFI[Winter Items Other])</f>
        <v>0</v>
      </c>
      <c r="AL979" s="378">
        <f>IF(NFI_Expiration=1,IF($A979&lt;VLOOKUP(M$5,NFI,5,0),1,0)*Table_NFI[[#This Row],[Winter Blanket]],Table_NFI[[#This Row],[Winter Blanket]])</f>
        <v>0</v>
      </c>
      <c r="AM979" s="378">
        <f>IF(Table_NFI[[#This Row],[Winter Clothes Adult]]+Table_NFI[[#This Row],[Winter Clothes Children]]+Table_NFI[[#This Row],[Winter Items Other]]+Table_NFI[[#This Row],[Winter Blanket]]&gt;0,1,0)</f>
        <v>0</v>
      </c>
      <c r="AN979" s="418">
        <f>IF(NFI_Expiration=1,IF($A979&lt;VLOOKUP(V$5,NFI,5,0),1,0)*Table_NFI[[#This Row],[Jerry Can]],Table_NFI[Jerry Can])</f>
        <v>0</v>
      </c>
      <c r="AO979" s="579" t="str">
        <f>IFERROR(VLOOKUP(Table_NFI[[#This Row],[Camp Name]],CL,2,0),"")</f>
        <v/>
      </c>
      <c r="AP979" s="574" t="str">
        <f ca="1">IF(Table_NFI[[#This Row],[Pcode]]="","",IF(OFFSET(CampList[Opening Date],MATCH(Table_NFI[[#This Row],[Pcode]],CampList[CP_Pcode],0)-1,0,1,1)&gt;=NFI_Monitor_Date,1,0))</f>
        <v/>
      </c>
      <c r="AQ979" s="579" t="str">
        <f>IFERROR(VLOOKUP(Table_NFI[[#This Row],[Camp Name]],CL,3,0),"")</f>
        <v/>
      </c>
      <c r="AR979" s="378" t="str">
        <f ca="1">IF(Table_NFI[[#This Row],[Pcode]]="","",OFFSET(CampList[Priority],MATCH(Table_NFI[[#This Row],[Pcode]],CampList[CP_Pcode],0)-1,0,1,1))</f>
        <v/>
      </c>
      <c r="AS979" s="377" t="str">
        <f>IFERROR(Table_NFI[[#This Row],[Kitchen Set]]/VLOOKUP(Table_NFI[[#This Row],[Camp Name]],CL,4,0),"")</f>
        <v/>
      </c>
      <c r="AT979" s="572" t="s">
        <v>1095</v>
      </c>
      <c r="AU979" s="580"/>
    </row>
    <row r="980" spans="1:47" x14ac:dyDescent="0.25">
      <c r="A980" s="381" t="str">
        <f t="shared" si="15"/>
        <v/>
      </c>
      <c r="B980" s="571"/>
      <c r="C980" s="577"/>
      <c r="D980" s="577"/>
      <c r="E980" s="577"/>
      <c r="F980" s="577"/>
      <c r="G980" s="577"/>
      <c r="H980" s="376"/>
      <c r="I980" s="376"/>
      <c r="J980" s="376"/>
      <c r="K980" s="376"/>
      <c r="L980" s="376"/>
      <c r="M980" s="376"/>
      <c r="N980" s="376"/>
      <c r="O980" s="376"/>
      <c r="P980" s="378"/>
      <c r="Q980" s="378"/>
      <c r="R980" s="378"/>
      <c r="S980" s="378"/>
      <c r="T980" s="378"/>
      <c r="U980" s="378"/>
      <c r="V980" s="533"/>
      <c r="W980" s="418"/>
      <c r="X980" s="418"/>
      <c r="Y980" s="378">
        <f>IF(NFI_Expiration=1,IF($A980&lt;VLOOKUP(H$5,NFI,5,0),1,0)*Table_NFI[[#This Row],[Hygiene Kit]],Table_NFI[Hygiene Kit])</f>
        <v>0</v>
      </c>
      <c r="Z980" s="378">
        <f>IF(NFI_Expiration=1,IF($A980&lt;VLOOKUP(I$5,NFI,5,0),1,0)*Table_NFI[[#This Row],[NFI Core Kit]],Table_NFI[NFI Core Kit])</f>
        <v>0</v>
      </c>
      <c r="AA980" s="378">
        <f>IF(NFI_Expiration=1,IF($A980&lt;VLOOKUP(J$5,NFI,5,0),1,0)*Table_NFI[[#This Row],[Sanitary Kit]],Table_NFI[Sanitary Kit])</f>
        <v>0</v>
      </c>
      <c r="AB980" s="378">
        <f>IF(NFI_Expiration=1,IF($A980&lt;VLOOKUP(K$5,NFI,5,0),1,0)*Table_NFI[[#This Row],[Mosquito net]],Table_NFI[Mosquito net])</f>
        <v>0</v>
      </c>
      <c r="AC980" s="378">
        <f>IF(NFI_Expiration=1,IF($A980&lt;VLOOKUP(L$5,NFI,5,0),1,0)*Table_NFI[[#This Row],[Tarpaulin]],Table_NFI[[#This Row],[Tarpaulin]])</f>
        <v>0</v>
      </c>
      <c r="AD980" s="378">
        <f>IF(NFI_Expiration=1,IF($A980&lt;VLOOKUP(M$5,NFI,5,0),1,0)*Table_NFI[[#This Row],[Blanket]],Table_NFI[[#This Row],[Blanket]])</f>
        <v>0</v>
      </c>
      <c r="AE980" s="378">
        <f>IF(NFI_Expiration=1,IF($A980&lt;VLOOKUP(N$5,NFI,5,0),1,0)*Table_NFI[[#This Row],[Kitchen Set]],Table_NFI[Kitchen Set])</f>
        <v>0</v>
      </c>
      <c r="AF980" s="378">
        <f>IF(NFI_Expiration=1,IF($A980&lt;VLOOKUP(O$5,NFI,5,0),1,0)*Table_NFI[[#This Row],[Clothes Kit]],Table_NFI[Clothes Kit])</f>
        <v>0</v>
      </c>
      <c r="AG980" s="378">
        <f>IF(NFI_Expiration=1,IF($A980&lt;VLOOKUP(P$5,NFI,5,0),1,0)*Table_NFI[[#This Row],[Plastic Bucket]],Table_NFI[Plastic Bucket])</f>
        <v>0</v>
      </c>
      <c r="AH980" s="378">
        <f>IF(NFI_Expiration=1,IF($A980&lt;VLOOKUP(Q$5,NFI,5,0),1,0)*Table_NFI[[#This Row],[Plastic Mat]],Table_NFI[Plastic Mat])*IF(Table_NFI[[#This Row],[Distribution Date]]&gt;"2014-04-01",1,2.5)</f>
        <v>0</v>
      </c>
      <c r="AI980" s="378">
        <f>IF(NFI_Expiration=1,IF($A980&lt;VLOOKUP(R$5,NFI,5,0),1,0)*Table_NFI[[#This Row],[Winter Clothes Adult]],Table_NFI[Winter Clothes Adult])</f>
        <v>0</v>
      </c>
      <c r="AJ980" s="378">
        <f>IF(NFI_Expiration=1,IF($A980&lt;VLOOKUP(S$5,NFI,5,0),1,0)*Table_NFI[[#This Row],[Winter Clothes Children]],Table_NFI[Winter Clothes Children])</f>
        <v>0</v>
      </c>
      <c r="AK980" s="378">
        <f>IF(NFI_Expiration=1,IF($A980&lt;VLOOKUP(T$5,NFI,5,0),1,0)*Table_NFI[[#This Row],[Winter Items Other]],Table_NFI[Winter Items Other])</f>
        <v>0</v>
      </c>
      <c r="AL980" s="378">
        <f>IF(NFI_Expiration=1,IF($A980&lt;VLOOKUP(M$5,NFI,5,0),1,0)*Table_NFI[[#This Row],[Winter Blanket]],Table_NFI[[#This Row],[Winter Blanket]])</f>
        <v>0</v>
      </c>
      <c r="AM980" s="378">
        <f>IF(Table_NFI[[#This Row],[Winter Clothes Adult]]+Table_NFI[[#This Row],[Winter Clothes Children]]+Table_NFI[[#This Row],[Winter Items Other]]+Table_NFI[[#This Row],[Winter Blanket]]&gt;0,1,0)</f>
        <v>0</v>
      </c>
      <c r="AN980" s="418">
        <f>IF(NFI_Expiration=1,IF($A980&lt;VLOOKUP(V$5,NFI,5,0),1,0)*Table_NFI[[#This Row],[Jerry Can]],Table_NFI[Jerry Can])</f>
        <v>0</v>
      </c>
      <c r="AO980" s="579" t="str">
        <f>IFERROR(VLOOKUP(Table_NFI[[#This Row],[Camp Name]],CL,2,0),"")</f>
        <v/>
      </c>
      <c r="AP980" s="574" t="str">
        <f ca="1">IF(Table_NFI[[#This Row],[Pcode]]="","",IF(OFFSET(CampList[Opening Date],MATCH(Table_NFI[[#This Row],[Pcode]],CampList[CP_Pcode],0)-1,0,1,1)&gt;=NFI_Monitor_Date,1,0))</f>
        <v/>
      </c>
      <c r="AQ980" s="579" t="str">
        <f>IFERROR(VLOOKUP(Table_NFI[[#This Row],[Camp Name]],CL,3,0),"")</f>
        <v/>
      </c>
      <c r="AR980" s="378" t="str">
        <f ca="1">IF(Table_NFI[[#This Row],[Pcode]]="","",OFFSET(CampList[Priority],MATCH(Table_NFI[[#This Row],[Pcode]],CampList[CP_Pcode],0)-1,0,1,1))</f>
        <v/>
      </c>
      <c r="AS980" s="377" t="str">
        <f>IFERROR(Table_NFI[[#This Row],[Kitchen Set]]/VLOOKUP(Table_NFI[[#This Row],[Camp Name]],CL,4,0),"")</f>
        <v/>
      </c>
      <c r="AT980" s="572" t="s">
        <v>1095</v>
      </c>
      <c r="AU980" s="580"/>
    </row>
    <row r="981" spans="1:47" x14ac:dyDescent="0.25">
      <c r="A981" s="381" t="str">
        <f t="shared" si="15"/>
        <v/>
      </c>
      <c r="B981" s="571"/>
      <c r="C981" s="577"/>
      <c r="D981" s="577"/>
      <c r="E981" s="577"/>
      <c r="F981" s="577"/>
      <c r="G981" s="577"/>
      <c r="H981" s="376"/>
      <c r="I981" s="376"/>
      <c r="J981" s="376"/>
      <c r="K981" s="376"/>
      <c r="L981" s="376"/>
      <c r="M981" s="376"/>
      <c r="N981" s="376"/>
      <c r="O981" s="376"/>
      <c r="P981" s="378"/>
      <c r="Q981" s="378"/>
      <c r="R981" s="378"/>
      <c r="S981" s="378"/>
      <c r="T981" s="378"/>
      <c r="U981" s="378"/>
      <c r="V981" s="533"/>
      <c r="W981" s="418"/>
      <c r="X981" s="418"/>
      <c r="Y981" s="378">
        <f>IF(NFI_Expiration=1,IF($A981&lt;VLOOKUP(H$5,NFI,5,0),1,0)*Table_NFI[[#This Row],[Hygiene Kit]],Table_NFI[Hygiene Kit])</f>
        <v>0</v>
      </c>
      <c r="Z981" s="378">
        <f>IF(NFI_Expiration=1,IF($A981&lt;VLOOKUP(I$5,NFI,5,0),1,0)*Table_NFI[[#This Row],[NFI Core Kit]],Table_NFI[NFI Core Kit])</f>
        <v>0</v>
      </c>
      <c r="AA981" s="378">
        <f>IF(NFI_Expiration=1,IF($A981&lt;VLOOKUP(J$5,NFI,5,0),1,0)*Table_NFI[[#This Row],[Sanitary Kit]],Table_NFI[Sanitary Kit])</f>
        <v>0</v>
      </c>
      <c r="AB981" s="378">
        <f>IF(NFI_Expiration=1,IF($A981&lt;VLOOKUP(K$5,NFI,5,0),1,0)*Table_NFI[[#This Row],[Mosquito net]],Table_NFI[Mosquito net])</f>
        <v>0</v>
      </c>
      <c r="AC981" s="378">
        <f>IF(NFI_Expiration=1,IF($A981&lt;VLOOKUP(L$5,NFI,5,0),1,0)*Table_NFI[[#This Row],[Tarpaulin]],Table_NFI[[#This Row],[Tarpaulin]])</f>
        <v>0</v>
      </c>
      <c r="AD981" s="378">
        <f>IF(NFI_Expiration=1,IF($A981&lt;VLOOKUP(M$5,NFI,5,0),1,0)*Table_NFI[[#This Row],[Blanket]],Table_NFI[[#This Row],[Blanket]])</f>
        <v>0</v>
      </c>
      <c r="AE981" s="378">
        <f>IF(NFI_Expiration=1,IF($A981&lt;VLOOKUP(N$5,NFI,5,0),1,0)*Table_NFI[[#This Row],[Kitchen Set]],Table_NFI[Kitchen Set])</f>
        <v>0</v>
      </c>
      <c r="AF981" s="378">
        <f>IF(NFI_Expiration=1,IF($A981&lt;VLOOKUP(O$5,NFI,5,0),1,0)*Table_NFI[[#This Row],[Clothes Kit]],Table_NFI[Clothes Kit])</f>
        <v>0</v>
      </c>
      <c r="AG981" s="378">
        <f>IF(NFI_Expiration=1,IF($A981&lt;VLOOKUP(P$5,NFI,5,0),1,0)*Table_NFI[[#This Row],[Plastic Bucket]],Table_NFI[Plastic Bucket])</f>
        <v>0</v>
      </c>
      <c r="AH981" s="378">
        <f>IF(NFI_Expiration=1,IF($A981&lt;VLOOKUP(Q$5,NFI,5,0),1,0)*Table_NFI[[#This Row],[Plastic Mat]],Table_NFI[Plastic Mat])*IF(Table_NFI[[#This Row],[Distribution Date]]&gt;"2014-04-01",1,2.5)</f>
        <v>0</v>
      </c>
      <c r="AI981" s="378">
        <f>IF(NFI_Expiration=1,IF($A981&lt;VLOOKUP(R$5,NFI,5,0),1,0)*Table_NFI[[#This Row],[Winter Clothes Adult]],Table_NFI[Winter Clothes Adult])</f>
        <v>0</v>
      </c>
      <c r="AJ981" s="378">
        <f>IF(NFI_Expiration=1,IF($A981&lt;VLOOKUP(S$5,NFI,5,0),1,0)*Table_NFI[[#This Row],[Winter Clothes Children]],Table_NFI[Winter Clothes Children])</f>
        <v>0</v>
      </c>
      <c r="AK981" s="378">
        <f>IF(NFI_Expiration=1,IF($A981&lt;VLOOKUP(T$5,NFI,5,0),1,0)*Table_NFI[[#This Row],[Winter Items Other]],Table_NFI[Winter Items Other])</f>
        <v>0</v>
      </c>
      <c r="AL981" s="378">
        <f>IF(NFI_Expiration=1,IF($A981&lt;VLOOKUP(M$5,NFI,5,0),1,0)*Table_NFI[[#This Row],[Winter Blanket]],Table_NFI[[#This Row],[Winter Blanket]])</f>
        <v>0</v>
      </c>
      <c r="AM981" s="378">
        <f>IF(Table_NFI[[#This Row],[Winter Clothes Adult]]+Table_NFI[[#This Row],[Winter Clothes Children]]+Table_NFI[[#This Row],[Winter Items Other]]+Table_NFI[[#This Row],[Winter Blanket]]&gt;0,1,0)</f>
        <v>0</v>
      </c>
      <c r="AN981" s="418">
        <f>IF(NFI_Expiration=1,IF($A981&lt;VLOOKUP(V$5,NFI,5,0),1,0)*Table_NFI[[#This Row],[Jerry Can]],Table_NFI[Jerry Can])</f>
        <v>0</v>
      </c>
      <c r="AO981" s="579" t="str">
        <f>IFERROR(VLOOKUP(Table_NFI[[#This Row],[Camp Name]],CL,2,0),"")</f>
        <v/>
      </c>
      <c r="AP981" s="574" t="str">
        <f ca="1">IF(Table_NFI[[#This Row],[Pcode]]="","",IF(OFFSET(CampList[Opening Date],MATCH(Table_NFI[[#This Row],[Pcode]],CampList[CP_Pcode],0)-1,0,1,1)&gt;=NFI_Monitor_Date,1,0))</f>
        <v/>
      </c>
      <c r="AQ981" s="579" t="str">
        <f>IFERROR(VLOOKUP(Table_NFI[[#This Row],[Camp Name]],CL,3,0),"")</f>
        <v/>
      </c>
      <c r="AR981" s="378" t="str">
        <f ca="1">IF(Table_NFI[[#This Row],[Pcode]]="","",OFFSET(CampList[Priority],MATCH(Table_NFI[[#This Row],[Pcode]],CampList[CP_Pcode],0)-1,0,1,1))</f>
        <v/>
      </c>
      <c r="AS981" s="377" t="str">
        <f>IFERROR(Table_NFI[[#This Row],[Kitchen Set]]/VLOOKUP(Table_NFI[[#This Row],[Camp Name]],CL,4,0),"")</f>
        <v/>
      </c>
      <c r="AT981" s="572" t="s">
        <v>1095</v>
      </c>
      <c r="AU981" s="580"/>
    </row>
    <row r="982" spans="1:47" x14ac:dyDescent="0.25">
      <c r="A982" s="381" t="str">
        <f t="shared" si="15"/>
        <v/>
      </c>
      <c r="B982" s="571"/>
      <c r="C982" s="577"/>
      <c r="D982" s="577"/>
      <c r="E982" s="577"/>
      <c r="F982" s="577"/>
      <c r="G982" s="577"/>
      <c r="H982" s="376"/>
      <c r="I982" s="376"/>
      <c r="J982" s="376"/>
      <c r="K982" s="376"/>
      <c r="L982" s="376"/>
      <c r="M982" s="376"/>
      <c r="N982" s="376"/>
      <c r="O982" s="376"/>
      <c r="P982" s="378"/>
      <c r="Q982" s="378"/>
      <c r="R982" s="378"/>
      <c r="S982" s="378"/>
      <c r="T982" s="378"/>
      <c r="U982" s="378"/>
      <c r="V982" s="533"/>
      <c r="W982" s="418"/>
      <c r="X982" s="418"/>
      <c r="Y982" s="378">
        <f>IF(NFI_Expiration=1,IF($A982&lt;VLOOKUP(H$5,NFI,5,0),1,0)*Table_NFI[[#This Row],[Hygiene Kit]],Table_NFI[Hygiene Kit])</f>
        <v>0</v>
      </c>
      <c r="Z982" s="378">
        <f>IF(NFI_Expiration=1,IF($A982&lt;VLOOKUP(I$5,NFI,5,0),1,0)*Table_NFI[[#This Row],[NFI Core Kit]],Table_NFI[NFI Core Kit])</f>
        <v>0</v>
      </c>
      <c r="AA982" s="378">
        <f>IF(NFI_Expiration=1,IF($A982&lt;VLOOKUP(J$5,NFI,5,0),1,0)*Table_NFI[[#This Row],[Sanitary Kit]],Table_NFI[Sanitary Kit])</f>
        <v>0</v>
      </c>
      <c r="AB982" s="378">
        <f>IF(NFI_Expiration=1,IF($A982&lt;VLOOKUP(K$5,NFI,5,0),1,0)*Table_NFI[[#This Row],[Mosquito net]],Table_NFI[Mosquito net])</f>
        <v>0</v>
      </c>
      <c r="AC982" s="378">
        <f>IF(NFI_Expiration=1,IF($A982&lt;VLOOKUP(L$5,NFI,5,0),1,0)*Table_NFI[[#This Row],[Tarpaulin]],Table_NFI[[#This Row],[Tarpaulin]])</f>
        <v>0</v>
      </c>
      <c r="AD982" s="378">
        <f>IF(NFI_Expiration=1,IF($A982&lt;VLOOKUP(M$5,NFI,5,0),1,0)*Table_NFI[[#This Row],[Blanket]],Table_NFI[[#This Row],[Blanket]])</f>
        <v>0</v>
      </c>
      <c r="AE982" s="378">
        <f>IF(NFI_Expiration=1,IF($A982&lt;VLOOKUP(N$5,NFI,5,0),1,0)*Table_NFI[[#This Row],[Kitchen Set]],Table_NFI[Kitchen Set])</f>
        <v>0</v>
      </c>
      <c r="AF982" s="378">
        <f>IF(NFI_Expiration=1,IF($A982&lt;VLOOKUP(O$5,NFI,5,0),1,0)*Table_NFI[[#This Row],[Clothes Kit]],Table_NFI[Clothes Kit])</f>
        <v>0</v>
      </c>
      <c r="AG982" s="378">
        <f>IF(NFI_Expiration=1,IF($A982&lt;VLOOKUP(P$5,NFI,5,0),1,0)*Table_NFI[[#This Row],[Plastic Bucket]],Table_NFI[Plastic Bucket])</f>
        <v>0</v>
      </c>
      <c r="AH982" s="378">
        <f>IF(NFI_Expiration=1,IF($A982&lt;VLOOKUP(Q$5,NFI,5,0),1,0)*Table_NFI[[#This Row],[Plastic Mat]],Table_NFI[Plastic Mat])*IF(Table_NFI[[#This Row],[Distribution Date]]&gt;"2014-04-01",1,2.5)</f>
        <v>0</v>
      </c>
      <c r="AI982" s="378">
        <f>IF(NFI_Expiration=1,IF($A982&lt;VLOOKUP(R$5,NFI,5,0),1,0)*Table_NFI[[#This Row],[Winter Clothes Adult]],Table_NFI[Winter Clothes Adult])</f>
        <v>0</v>
      </c>
      <c r="AJ982" s="378">
        <f>IF(NFI_Expiration=1,IF($A982&lt;VLOOKUP(S$5,NFI,5,0),1,0)*Table_NFI[[#This Row],[Winter Clothes Children]],Table_NFI[Winter Clothes Children])</f>
        <v>0</v>
      </c>
      <c r="AK982" s="378">
        <f>IF(NFI_Expiration=1,IF($A982&lt;VLOOKUP(T$5,NFI,5,0),1,0)*Table_NFI[[#This Row],[Winter Items Other]],Table_NFI[Winter Items Other])</f>
        <v>0</v>
      </c>
      <c r="AL982" s="378">
        <f>IF(NFI_Expiration=1,IF($A982&lt;VLOOKUP(M$5,NFI,5,0),1,0)*Table_NFI[[#This Row],[Winter Blanket]],Table_NFI[[#This Row],[Winter Blanket]])</f>
        <v>0</v>
      </c>
      <c r="AM982" s="378">
        <f>IF(Table_NFI[[#This Row],[Winter Clothes Adult]]+Table_NFI[[#This Row],[Winter Clothes Children]]+Table_NFI[[#This Row],[Winter Items Other]]+Table_NFI[[#This Row],[Winter Blanket]]&gt;0,1,0)</f>
        <v>0</v>
      </c>
      <c r="AN982" s="418">
        <f>IF(NFI_Expiration=1,IF($A982&lt;VLOOKUP(V$5,NFI,5,0),1,0)*Table_NFI[[#This Row],[Jerry Can]],Table_NFI[Jerry Can])</f>
        <v>0</v>
      </c>
      <c r="AO982" s="579" t="str">
        <f>IFERROR(VLOOKUP(Table_NFI[[#This Row],[Camp Name]],CL,2,0),"")</f>
        <v/>
      </c>
      <c r="AP982" s="574" t="str">
        <f ca="1">IF(Table_NFI[[#This Row],[Pcode]]="","",IF(OFFSET(CampList[Opening Date],MATCH(Table_NFI[[#This Row],[Pcode]],CampList[CP_Pcode],0)-1,0,1,1)&gt;=NFI_Monitor_Date,1,0))</f>
        <v/>
      </c>
      <c r="AQ982" s="579" t="str">
        <f>IFERROR(VLOOKUP(Table_NFI[[#This Row],[Camp Name]],CL,3,0),"")</f>
        <v/>
      </c>
      <c r="AR982" s="378" t="str">
        <f ca="1">IF(Table_NFI[[#This Row],[Pcode]]="","",OFFSET(CampList[Priority],MATCH(Table_NFI[[#This Row],[Pcode]],CampList[CP_Pcode],0)-1,0,1,1))</f>
        <v/>
      </c>
      <c r="AS982" s="377" t="str">
        <f>IFERROR(Table_NFI[[#This Row],[Kitchen Set]]/VLOOKUP(Table_NFI[[#This Row],[Camp Name]],CL,4,0),"")</f>
        <v/>
      </c>
      <c r="AT982" s="572" t="s">
        <v>1095</v>
      </c>
      <c r="AU982" s="580"/>
    </row>
    <row r="983" spans="1:47" x14ac:dyDescent="0.25">
      <c r="A983" s="381" t="str">
        <f t="shared" si="15"/>
        <v/>
      </c>
      <c r="B983" s="571"/>
      <c r="C983" s="577"/>
      <c r="D983" s="577"/>
      <c r="E983" s="577"/>
      <c r="F983" s="577"/>
      <c r="G983" s="577"/>
      <c r="H983" s="376"/>
      <c r="I983" s="376"/>
      <c r="J983" s="376"/>
      <c r="K983" s="376"/>
      <c r="L983" s="376"/>
      <c r="M983" s="376"/>
      <c r="N983" s="376"/>
      <c r="O983" s="376"/>
      <c r="P983" s="378"/>
      <c r="Q983" s="378"/>
      <c r="R983" s="378"/>
      <c r="S983" s="378"/>
      <c r="T983" s="378"/>
      <c r="U983" s="378"/>
      <c r="V983" s="533"/>
      <c r="W983" s="418"/>
      <c r="X983" s="418"/>
      <c r="Y983" s="378">
        <f>IF(NFI_Expiration=1,IF($A983&lt;VLOOKUP(H$5,NFI,5,0),1,0)*Table_NFI[[#This Row],[Hygiene Kit]],Table_NFI[Hygiene Kit])</f>
        <v>0</v>
      </c>
      <c r="Z983" s="378">
        <f>IF(NFI_Expiration=1,IF($A983&lt;VLOOKUP(I$5,NFI,5,0),1,0)*Table_NFI[[#This Row],[NFI Core Kit]],Table_NFI[NFI Core Kit])</f>
        <v>0</v>
      </c>
      <c r="AA983" s="378">
        <f>IF(NFI_Expiration=1,IF($A983&lt;VLOOKUP(J$5,NFI,5,0),1,0)*Table_NFI[[#This Row],[Sanitary Kit]],Table_NFI[Sanitary Kit])</f>
        <v>0</v>
      </c>
      <c r="AB983" s="378">
        <f>IF(NFI_Expiration=1,IF($A983&lt;VLOOKUP(K$5,NFI,5,0),1,0)*Table_NFI[[#This Row],[Mosquito net]],Table_NFI[Mosquito net])</f>
        <v>0</v>
      </c>
      <c r="AC983" s="378">
        <f>IF(NFI_Expiration=1,IF($A983&lt;VLOOKUP(L$5,NFI,5,0),1,0)*Table_NFI[[#This Row],[Tarpaulin]],Table_NFI[[#This Row],[Tarpaulin]])</f>
        <v>0</v>
      </c>
      <c r="AD983" s="378">
        <f>IF(NFI_Expiration=1,IF($A983&lt;VLOOKUP(M$5,NFI,5,0),1,0)*Table_NFI[[#This Row],[Blanket]],Table_NFI[[#This Row],[Blanket]])</f>
        <v>0</v>
      </c>
      <c r="AE983" s="378">
        <f>IF(NFI_Expiration=1,IF($A983&lt;VLOOKUP(N$5,NFI,5,0),1,0)*Table_NFI[[#This Row],[Kitchen Set]],Table_NFI[Kitchen Set])</f>
        <v>0</v>
      </c>
      <c r="AF983" s="378">
        <f>IF(NFI_Expiration=1,IF($A983&lt;VLOOKUP(O$5,NFI,5,0),1,0)*Table_NFI[[#This Row],[Clothes Kit]],Table_NFI[Clothes Kit])</f>
        <v>0</v>
      </c>
      <c r="AG983" s="378">
        <f>IF(NFI_Expiration=1,IF($A983&lt;VLOOKUP(P$5,NFI,5,0),1,0)*Table_NFI[[#This Row],[Plastic Bucket]],Table_NFI[Plastic Bucket])</f>
        <v>0</v>
      </c>
      <c r="AH983" s="378">
        <f>IF(NFI_Expiration=1,IF($A983&lt;VLOOKUP(Q$5,NFI,5,0),1,0)*Table_NFI[[#This Row],[Plastic Mat]],Table_NFI[Plastic Mat])*IF(Table_NFI[[#This Row],[Distribution Date]]&gt;"2014-04-01",1,2.5)</f>
        <v>0</v>
      </c>
      <c r="AI983" s="378">
        <f>IF(NFI_Expiration=1,IF($A983&lt;VLOOKUP(R$5,NFI,5,0),1,0)*Table_NFI[[#This Row],[Winter Clothes Adult]],Table_NFI[Winter Clothes Adult])</f>
        <v>0</v>
      </c>
      <c r="AJ983" s="378">
        <f>IF(NFI_Expiration=1,IF($A983&lt;VLOOKUP(S$5,NFI,5,0),1,0)*Table_NFI[[#This Row],[Winter Clothes Children]],Table_NFI[Winter Clothes Children])</f>
        <v>0</v>
      </c>
      <c r="AK983" s="378">
        <f>IF(NFI_Expiration=1,IF($A983&lt;VLOOKUP(T$5,NFI,5,0),1,0)*Table_NFI[[#This Row],[Winter Items Other]],Table_NFI[Winter Items Other])</f>
        <v>0</v>
      </c>
      <c r="AL983" s="378">
        <f>IF(NFI_Expiration=1,IF($A983&lt;VLOOKUP(M$5,NFI,5,0),1,0)*Table_NFI[[#This Row],[Winter Blanket]],Table_NFI[[#This Row],[Winter Blanket]])</f>
        <v>0</v>
      </c>
      <c r="AM983" s="378">
        <f>IF(Table_NFI[[#This Row],[Winter Clothes Adult]]+Table_NFI[[#This Row],[Winter Clothes Children]]+Table_NFI[[#This Row],[Winter Items Other]]+Table_NFI[[#This Row],[Winter Blanket]]&gt;0,1,0)</f>
        <v>0</v>
      </c>
      <c r="AN983" s="418">
        <f>IF(NFI_Expiration=1,IF($A983&lt;VLOOKUP(V$5,NFI,5,0),1,0)*Table_NFI[[#This Row],[Jerry Can]],Table_NFI[Jerry Can])</f>
        <v>0</v>
      </c>
      <c r="AO983" s="579" t="str">
        <f>IFERROR(VLOOKUP(Table_NFI[[#This Row],[Camp Name]],CL,2,0),"")</f>
        <v/>
      </c>
      <c r="AP983" s="574" t="str">
        <f ca="1">IF(Table_NFI[[#This Row],[Pcode]]="","",IF(OFFSET(CampList[Opening Date],MATCH(Table_NFI[[#This Row],[Pcode]],CampList[CP_Pcode],0)-1,0,1,1)&gt;=NFI_Monitor_Date,1,0))</f>
        <v/>
      </c>
      <c r="AQ983" s="579" t="str">
        <f>IFERROR(VLOOKUP(Table_NFI[[#This Row],[Camp Name]],CL,3,0),"")</f>
        <v/>
      </c>
      <c r="AR983" s="378" t="str">
        <f ca="1">IF(Table_NFI[[#This Row],[Pcode]]="","",OFFSET(CampList[Priority],MATCH(Table_NFI[[#This Row],[Pcode]],CampList[CP_Pcode],0)-1,0,1,1))</f>
        <v/>
      </c>
      <c r="AS983" s="377" t="str">
        <f>IFERROR(Table_NFI[[#This Row],[Kitchen Set]]/VLOOKUP(Table_NFI[[#This Row],[Camp Name]],CL,4,0),"")</f>
        <v/>
      </c>
      <c r="AT983" s="572" t="s">
        <v>1095</v>
      </c>
      <c r="AU983" s="580"/>
    </row>
    <row r="984" spans="1:47" x14ac:dyDescent="0.25">
      <c r="A984" s="381" t="str">
        <f t="shared" si="15"/>
        <v/>
      </c>
      <c r="B984" s="571"/>
      <c r="C984" s="577"/>
      <c r="D984" s="577"/>
      <c r="E984" s="577"/>
      <c r="F984" s="577"/>
      <c r="G984" s="577"/>
      <c r="H984" s="376"/>
      <c r="I984" s="376"/>
      <c r="J984" s="376"/>
      <c r="K984" s="376"/>
      <c r="L984" s="376"/>
      <c r="M984" s="376"/>
      <c r="N984" s="376"/>
      <c r="O984" s="376"/>
      <c r="P984" s="378"/>
      <c r="Q984" s="378"/>
      <c r="R984" s="378"/>
      <c r="S984" s="378"/>
      <c r="T984" s="378"/>
      <c r="U984" s="378"/>
      <c r="V984" s="533"/>
      <c r="W984" s="418"/>
      <c r="X984" s="418"/>
      <c r="Y984" s="378">
        <f>IF(NFI_Expiration=1,IF($A984&lt;VLOOKUP(H$5,NFI,5,0),1,0)*Table_NFI[[#This Row],[Hygiene Kit]],Table_NFI[Hygiene Kit])</f>
        <v>0</v>
      </c>
      <c r="Z984" s="378">
        <f>IF(NFI_Expiration=1,IF($A984&lt;VLOOKUP(I$5,NFI,5,0),1,0)*Table_NFI[[#This Row],[NFI Core Kit]],Table_NFI[NFI Core Kit])</f>
        <v>0</v>
      </c>
      <c r="AA984" s="378">
        <f>IF(NFI_Expiration=1,IF($A984&lt;VLOOKUP(J$5,NFI,5,0),1,0)*Table_NFI[[#This Row],[Sanitary Kit]],Table_NFI[Sanitary Kit])</f>
        <v>0</v>
      </c>
      <c r="AB984" s="378">
        <f>IF(NFI_Expiration=1,IF($A984&lt;VLOOKUP(K$5,NFI,5,0),1,0)*Table_NFI[[#This Row],[Mosquito net]],Table_NFI[Mosquito net])</f>
        <v>0</v>
      </c>
      <c r="AC984" s="378">
        <f>IF(NFI_Expiration=1,IF($A984&lt;VLOOKUP(L$5,NFI,5,0),1,0)*Table_NFI[[#This Row],[Tarpaulin]],Table_NFI[[#This Row],[Tarpaulin]])</f>
        <v>0</v>
      </c>
      <c r="AD984" s="378">
        <f>IF(NFI_Expiration=1,IF($A984&lt;VLOOKUP(M$5,NFI,5,0),1,0)*Table_NFI[[#This Row],[Blanket]],Table_NFI[[#This Row],[Blanket]])</f>
        <v>0</v>
      </c>
      <c r="AE984" s="378">
        <f>IF(NFI_Expiration=1,IF($A984&lt;VLOOKUP(N$5,NFI,5,0),1,0)*Table_NFI[[#This Row],[Kitchen Set]],Table_NFI[Kitchen Set])</f>
        <v>0</v>
      </c>
      <c r="AF984" s="378">
        <f>IF(NFI_Expiration=1,IF($A984&lt;VLOOKUP(O$5,NFI,5,0),1,0)*Table_NFI[[#This Row],[Clothes Kit]],Table_NFI[Clothes Kit])</f>
        <v>0</v>
      </c>
      <c r="AG984" s="378">
        <f>IF(NFI_Expiration=1,IF($A984&lt;VLOOKUP(P$5,NFI,5,0),1,0)*Table_NFI[[#This Row],[Plastic Bucket]],Table_NFI[Plastic Bucket])</f>
        <v>0</v>
      </c>
      <c r="AH984" s="378">
        <f>IF(NFI_Expiration=1,IF($A984&lt;VLOOKUP(Q$5,NFI,5,0),1,0)*Table_NFI[[#This Row],[Plastic Mat]],Table_NFI[Plastic Mat])*IF(Table_NFI[[#This Row],[Distribution Date]]&gt;"2014-04-01",1,2.5)</f>
        <v>0</v>
      </c>
      <c r="AI984" s="378">
        <f>IF(NFI_Expiration=1,IF($A984&lt;VLOOKUP(R$5,NFI,5,0),1,0)*Table_NFI[[#This Row],[Winter Clothes Adult]],Table_NFI[Winter Clothes Adult])</f>
        <v>0</v>
      </c>
      <c r="AJ984" s="378">
        <f>IF(NFI_Expiration=1,IF($A984&lt;VLOOKUP(S$5,NFI,5,0),1,0)*Table_NFI[[#This Row],[Winter Clothes Children]],Table_NFI[Winter Clothes Children])</f>
        <v>0</v>
      </c>
      <c r="AK984" s="378">
        <f>IF(NFI_Expiration=1,IF($A984&lt;VLOOKUP(T$5,NFI,5,0),1,0)*Table_NFI[[#This Row],[Winter Items Other]],Table_NFI[Winter Items Other])</f>
        <v>0</v>
      </c>
      <c r="AL984" s="378">
        <f>IF(NFI_Expiration=1,IF($A984&lt;VLOOKUP(M$5,NFI,5,0),1,0)*Table_NFI[[#This Row],[Winter Blanket]],Table_NFI[[#This Row],[Winter Blanket]])</f>
        <v>0</v>
      </c>
      <c r="AM984" s="378">
        <f>IF(Table_NFI[[#This Row],[Winter Clothes Adult]]+Table_NFI[[#This Row],[Winter Clothes Children]]+Table_NFI[[#This Row],[Winter Items Other]]+Table_NFI[[#This Row],[Winter Blanket]]&gt;0,1,0)</f>
        <v>0</v>
      </c>
      <c r="AN984" s="418">
        <f>IF(NFI_Expiration=1,IF($A984&lt;VLOOKUP(V$5,NFI,5,0),1,0)*Table_NFI[[#This Row],[Jerry Can]],Table_NFI[Jerry Can])</f>
        <v>0</v>
      </c>
      <c r="AO984" s="579" t="str">
        <f>IFERROR(VLOOKUP(Table_NFI[[#This Row],[Camp Name]],CL,2,0),"")</f>
        <v/>
      </c>
      <c r="AP984" s="574" t="str">
        <f ca="1">IF(Table_NFI[[#This Row],[Pcode]]="","",IF(OFFSET(CampList[Opening Date],MATCH(Table_NFI[[#This Row],[Pcode]],CampList[CP_Pcode],0)-1,0,1,1)&gt;=NFI_Monitor_Date,1,0))</f>
        <v/>
      </c>
      <c r="AQ984" s="579" t="str">
        <f>IFERROR(VLOOKUP(Table_NFI[[#This Row],[Camp Name]],CL,3,0),"")</f>
        <v/>
      </c>
      <c r="AR984" s="378" t="str">
        <f ca="1">IF(Table_NFI[[#This Row],[Pcode]]="","",OFFSET(CampList[Priority],MATCH(Table_NFI[[#This Row],[Pcode]],CampList[CP_Pcode],0)-1,0,1,1))</f>
        <v/>
      </c>
      <c r="AS984" s="377" t="str">
        <f>IFERROR(Table_NFI[[#This Row],[Kitchen Set]]/VLOOKUP(Table_NFI[[#This Row],[Camp Name]],CL,4,0),"")</f>
        <v/>
      </c>
      <c r="AT984" s="572" t="s">
        <v>1095</v>
      </c>
      <c r="AU984" s="580"/>
    </row>
    <row r="985" spans="1:47" x14ac:dyDescent="0.25">
      <c r="A985" s="381" t="str">
        <f t="shared" si="15"/>
        <v/>
      </c>
      <c r="B985" s="571"/>
      <c r="C985" s="577"/>
      <c r="D985" s="577"/>
      <c r="E985" s="577"/>
      <c r="F985" s="577"/>
      <c r="G985" s="577"/>
      <c r="H985" s="376"/>
      <c r="I985" s="376"/>
      <c r="J985" s="376"/>
      <c r="K985" s="376"/>
      <c r="L985" s="376"/>
      <c r="M985" s="376"/>
      <c r="N985" s="376"/>
      <c r="O985" s="376"/>
      <c r="P985" s="378"/>
      <c r="Q985" s="378"/>
      <c r="R985" s="378"/>
      <c r="S985" s="378"/>
      <c r="T985" s="378"/>
      <c r="U985" s="378"/>
      <c r="V985" s="533"/>
      <c r="W985" s="418"/>
      <c r="X985" s="418"/>
      <c r="Y985" s="378">
        <f>IF(NFI_Expiration=1,IF($A985&lt;VLOOKUP(H$5,NFI,5,0),1,0)*Table_NFI[[#This Row],[Hygiene Kit]],Table_NFI[Hygiene Kit])</f>
        <v>0</v>
      </c>
      <c r="Z985" s="378">
        <f>IF(NFI_Expiration=1,IF($A985&lt;VLOOKUP(I$5,NFI,5,0),1,0)*Table_NFI[[#This Row],[NFI Core Kit]],Table_NFI[NFI Core Kit])</f>
        <v>0</v>
      </c>
      <c r="AA985" s="378">
        <f>IF(NFI_Expiration=1,IF($A985&lt;VLOOKUP(J$5,NFI,5,0),1,0)*Table_NFI[[#This Row],[Sanitary Kit]],Table_NFI[Sanitary Kit])</f>
        <v>0</v>
      </c>
      <c r="AB985" s="378">
        <f>IF(NFI_Expiration=1,IF($A985&lt;VLOOKUP(K$5,NFI,5,0),1,0)*Table_NFI[[#This Row],[Mosquito net]],Table_NFI[Mosquito net])</f>
        <v>0</v>
      </c>
      <c r="AC985" s="378">
        <f>IF(NFI_Expiration=1,IF($A985&lt;VLOOKUP(L$5,NFI,5,0),1,0)*Table_NFI[[#This Row],[Tarpaulin]],Table_NFI[[#This Row],[Tarpaulin]])</f>
        <v>0</v>
      </c>
      <c r="AD985" s="378">
        <f>IF(NFI_Expiration=1,IF($A985&lt;VLOOKUP(M$5,NFI,5,0),1,0)*Table_NFI[[#This Row],[Blanket]],Table_NFI[[#This Row],[Blanket]])</f>
        <v>0</v>
      </c>
      <c r="AE985" s="378">
        <f>IF(NFI_Expiration=1,IF($A985&lt;VLOOKUP(N$5,NFI,5,0),1,0)*Table_NFI[[#This Row],[Kitchen Set]],Table_NFI[Kitchen Set])</f>
        <v>0</v>
      </c>
      <c r="AF985" s="378">
        <f>IF(NFI_Expiration=1,IF($A985&lt;VLOOKUP(O$5,NFI,5,0),1,0)*Table_NFI[[#This Row],[Clothes Kit]],Table_NFI[Clothes Kit])</f>
        <v>0</v>
      </c>
      <c r="AG985" s="378">
        <f>IF(NFI_Expiration=1,IF($A985&lt;VLOOKUP(P$5,NFI,5,0),1,0)*Table_NFI[[#This Row],[Plastic Bucket]],Table_NFI[Plastic Bucket])</f>
        <v>0</v>
      </c>
      <c r="AH985" s="378">
        <f>IF(NFI_Expiration=1,IF($A985&lt;VLOOKUP(Q$5,NFI,5,0),1,0)*Table_NFI[[#This Row],[Plastic Mat]],Table_NFI[Plastic Mat])*IF(Table_NFI[[#This Row],[Distribution Date]]&gt;"2014-04-01",1,2.5)</f>
        <v>0</v>
      </c>
      <c r="AI985" s="378">
        <f>IF(NFI_Expiration=1,IF($A985&lt;VLOOKUP(R$5,NFI,5,0),1,0)*Table_NFI[[#This Row],[Winter Clothes Adult]],Table_NFI[Winter Clothes Adult])</f>
        <v>0</v>
      </c>
      <c r="AJ985" s="378">
        <f>IF(NFI_Expiration=1,IF($A985&lt;VLOOKUP(S$5,NFI,5,0),1,0)*Table_NFI[[#This Row],[Winter Clothes Children]],Table_NFI[Winter Clothes Children])</f>
        <v>0</v>
      </c>
      <c r="AK985" s="378">
        <f>IF(NFI_Expiration=1,IF($A985&lt;VLOOKUP(T$5,NFI,5,0),1,0)*Table_NFI[[#This Row],[Winter Items Other]],Table_NFI[Winter Items Other])</f>
        <v>0</v>
      </c>
      <c r="AL985" s="378">
        <f>IF(NFI_Expiration=1,IF($A985&lt;VLOOKUP(M$5,NFI,5,0),1,0)*Table_NFI[[#This Row],[Winter Blanket]],Table_NFI[[#This Row],[Winter Blanket]])</f>
        <v>0</v>
      </c>
      <c r="AM985" s="378">
        <f>IF(Table_NFI[[#This Row],[Winter Clothes Adult]]+Table_NFI[[#This Row],[Winter Clothes Children]]+Table_NFI[[#This Row],[Winter Items Other]]+Table_NFI[[#This Row],[Winter Blanket]]&gt;0,1,0)</f>
        <v>0</v>
      </c>
      <c r="AN985" s="418">
        <f>IF(NFI_Expiration=1,IF($A985&lt;VLOOKUP(V$5,NFI,5,0),1,0)*Table_NFI[[#This Row],[Jerry Can]],Table_NFI[Jerry Can])</f>
        <v>0</v>
      </c>
      <c r="AO985" s="579" t="str">
        <f>IFERROR(VLOOKUP(Table_NFI[[#This Row],[Camp Name]],CL,2,0),"")</f>
        <v/>
      </c>
      <c r="AP985" s="574" t="str">
        <f ca="1">IF(Table_NFI[[#This Row],[Pcode]]="","",IF(OFFSET(CampList[Opening Date],MATCH(Table_NFI[[#This Row],[Pcode]],CampList[CP_Pcode],0)-1,0,1,1)&gt;=NFI_Monitor_Date,1,0))</f>
        <v/>
      </c>
      <c r="AQ985" s="579" t="str">
        <f>IFERROR(VLOOKUP(Table_NFI[[#This Row],[Camp Name]],CL,3,0),"")</f>
        <v/>
      </c>
      <c r="AR985" s="378" t="str">
        <f ca="1">IF(Table_NFI[[#This Row],[Pcode]]="","",OFFSET(CampList[Priority],MATCH(Table_NFI[[#This Row],[Pcode]],CampList[CP_Pcode],0)-1,0,1,1))</f>
        <v/>
      </c>
      <c r="AS985" s="377" t="str">
        <f>IFERROR(Table_NFI[[#This Row],[Kitchen Set]]/VLOOKUP(Table_NFI[[#This Row],[Camp Name]],CL,4,0),"")</f>
        <v/>
      </c>
      <c r="AT985" s="572" t="s">
        <v>1095</v>
      </c>
      <c r="AU985" s="580"/>
    </row>
    <row r="986" spans="1:47" x14ac:dyDescent="0.25">
      <c r="A986" s="381" t="str">
        <f t="shared" si="15"/>
        <v/>
      </c>
      <c r="B986" s="571"/>
      <c r="C986" s="577"/>
      <c r="D986" s="577"/>
      <c r="E986" s="577"/>
      <c r="F986" s="577"/>
      <c r="G986" s="577"/>
      <c r="H986" s="376"/>
      <c r="I986" s="376"/>
      <c r="J986" s="376"/>
      <c r="K986" s="376"/>
      <c r="L986" s="376"/>
      <c r="M986" s="376"/>
      <c r="N986" s="376"/>
      <c r="O986" s="376"/>
      <c r="P986" s="378"/>
      <c r="Q986" s="378"/>
      <c r="R986" s="378"/>
      <c r="S986" s="378"/>
      <c r="T986" s="378"/>
      <c r="U986" s="378"/>
      <c r="V986" s="533"/>
      <c r="W986" s="418"/>
      <c r="X986" s="418"/>
      <c r="Y986" s="378">
        <f>IF(NFI_Expiration=1,IF($A986&lt;VLOOKUP(H$5,NFI,5,0),1,0)*Table_NFI[[#This Row],[Hygiene Kit]],Table_NFI[Hygiene Kit])</f>
        <v>0</v>
      </c>
      <c r="Z986" s="378">
        <f>IF(NFI_Expiration=1,IF($A986&lt;VLOOKUP(I$5,NFI,5,0),1,0)*Table_NFI[[#This Row],[NFI Core Kit]],Table_NFI[NFI Core Kit])</f>
        <v>0</v>
      </c>
      <c r="AA986" s="378">
        <f>IF(NFI_Expiration=1,IF($A986&lt;VLOOKUP(J$5,NFI,5,0),1,0)*Table_NFI[[#This Row],[Sanitary Kit]],Table_NFI[Sanitary Kit])</f>
        <v>0</v>
      </c>
      <c r="AB986" s="378">
        <f>IF(NFI_Expiration=1,IF($A986&lt;VLOOKUP(K$5,NFI,5,0),1,0)*Table_NFI[[#This Row],[Mosquito net]],Table_NFI[Mosquito net])</f>
        <v>0</v>
      </c>
      <c r="AC986" s="378">
        <f>IF(NFI_Expiration=1,IF($A986&lt;VLOOKUP(L$5,NFI,5,0),1,0)*Table_NFI[[#This Row],[Tarpaulin]],Table_NFI[[#This Row],[Tarpaulin]])</f>
        <v>0</v>
      </c>
      <c r="AD986" s="378">
        <f>IF(NFI_Expiration=1,IF($A986&lt;VLOOKUP(M$5,NFI,5,0),1,0)*Table_NFI[[#This Row],[Blanket]],Table_NFI[[#This Row],[Blanket]])</f>
        <v>0</v>
      </c>
      <c r="AE986" s="378">
        <f>IF(NFI_Expiration=1,IF($A986&lt;VLOOKUP(N$5,NFI,5,0),1,0)*Table_NFI[[#This Row],[Kitchen Set]],Table_NFI[Kitchen Set])</f>
        <v>0</v>
      </c>
      <c r="AF986" s="378">
        <f>IF(NFI_Expiration=1,IF($A986&lt;VLOOKUP(O$5,NFI,5,0),1,0)*Table_NFI[[#This Row],[Clothes Kit]],Table_NFI[Clothes Kit])</f>
        <v>0</v>
      </c>
      <c r="AG986" s="378">
        <f>IF(NFI_Expiration=1,IF($A986&lt;VLOOKUP(P$5,NFI,5,0),1,0)*Table_NFI[[#This Row],[Plastic Bucket]],Table_NFI[Plastic Bucket])</f>
        <v>0</v>
      </c>
      <c r="AH986" s="378">
        <f>IF(NFI_Expiration=1,IF($A986&lt;VLOOKUP(Q$5,NFI,5,0),1,0)*Table_NFI[[#This Row],[Plastic Mat]],Table_NFI[Plastic Mat])*IF(Table_NFI[[#This Row],[Distribution Date]]&gt;"2014-04-01",1,2.5)</f>
        <v>0</v>
      </c>
      <c r="AI986" s="378">
        <f>IF(NFI_Expiration=1,IF($A986&lt;VLOOKUP(R$5,NFI,5,0),1,0)*Table_NFI[[#This Row],[Winter Clothes Adult]],Table_NFI[Winter Clothes Adult])</f>
        <v>0</v>
      </c>
      <c r="AJ986" s="378">
        <f>IF(NFI_Expiration=1,IF($A986&lt;VLOOKUP(S$5,NFI,5,0),1,0)*Table_NFI[[#This Row],[Winter Clothes Children]],Table_NFI[Winter Clothes Children])</f>
        <v>0</v>
      </c>
      <c r="AK986" s="378">
        <f>IF(NFI_Expiration=1,IF($A986&lt;VLOOKUP(T$5,NFI,5,0),1,0)*Table_NFI[[#This Row],[Winter Items Other]],Table_NFI[Winter Items Other])</f>
        <v>0</v>
      </c>
      <c r="AL986" s="378">
        <f>IF(NFI_Expiration=1,IF($A986&lt;VLOOKUP(M$5,NFI,5,0),1,0)*Table_NFI[[#This Row],[Winter Blanket]],Table_NFI[[#This Row],[Winter Blanket]])</f>
        <v>0</v>
      </c>
      <c r="AM986" s="378">
        <f>IF(Table_NFI[[#This Row],[Winter Clothes Adult]]+Table_NFI[[#This Row],[Winter Clothes Children]]+Table_NFI[[#This Row],[Winter Items Other]]+Table_NFI[[#This Row],[Winter Blanket]]&gt;0,1,0)</f>
        <v>0</v>
      </c>
      <c r="AN986" s="418">
        <f>IF(NFI_Expiration=1,IF($A986&lt;VLOOKUP(V$5,NFI,5,0),1,0)*Table_NFI[[#This Row],[Jerry Can]],Table_NFI[Jerry Can])</f>
        <v>0</v>
      </c>
      <c r="AO986" s="579" t="str">
        <f>IFERROR(VLOOKUP(Table_NFI[[#This Row],[Camp Name]],CL,2,0),"")</f>
        <v/>
      </c>
      <c r="AP986" s="574" t="str">
        <f ca="1">IF(Table_NFI[[#This Row],[Pcode]]="","",IF(OFFSET(CampList[Opening Date],MATCH(Table_NFI[[#This Row],[Pcode]],CampList[CP_Pcode],0)-1,0,1,1)&gt;=NFI_Monitor_Date,1,0))</f>
        <v/>
      </c>
      <c r="AQ986" s="579" t="str">
        <f>IFERROR(VLOOKUP(Table_NFI[[#This Row],[Camp Name]],CL,3,0),"")</f>
        <v/>
      </c>
      <c r="AR986" s="378" t="str">
        <f ca="1">IF(Table_NFI[[#This Row],[Pcode]]="","",OFFSET(CampList[Priority],MATCH(Table_NFI[[#This Row],[Pcode]],CampList[CP_Pcode],0)-1,0,1,1))</f>
        <v/>
      </c>
      <c r="AS986" s="377" t="str">
        <f>IFERROR(Table_NFI[[#This Row],[Kitchen Set]]/VLOOKUP(Table_NFI[[#This Row],[Camp Name]],CL,4,0),"")</f>
        <v/>
      </c>
      <c r="AT986" s="572" t="s">
        <v>1095</v>
      </c>
      <c r="AU986" s="580"/>
    </row>
    <row r="987" spans="1:47" x14ac:dyDescent="0.25">
      <c r="A987" s="381" t="str">
        <f t="shared" si="15"/>
        <v/>
      </c>
      <c r="B987" s="571"/>
      <c r="C987" s="577"/>
      <c r="D987" s="577"/>
      <c r="E987" s="577"/>
      <c r="F987" s="577"/>
      <c r="G987" s="577"/>
      <c r="H987" s="376"/>
      <c r="I987" s="376"/>
      <c r="J987" s="376"/>
      <c r="K987" s="376"/>
      <c r="L987" s="376"/>
      <c r="M987" s="376"/>
      <c r="N987" s="376"/>
      <c r="O987" s="376"/>
      <c r="P987" s="378"/>
      <c r="Q987" s="378"/>
      <c r="R987" s="378"/>
      <c r="S987" s="378"/>
      <c r="T987" s="378"/>
      <c r="U987" s="378"/>
      <c r="V987" s="533"/>
      <c r="W987" s="418"/>
      <c r="X987" s="418"/>
      <c r="Y987" s="378">
        <f>IF(NFI_Expiration=1,IF($A987&lt;VLOOKUP(H$5,NFI,5,0),1,0)*Table_NFI[[#This Row],[Hygiene Kit]],Table_NFI[Hygiene Kit])</f>
        <v>0</v>
      </c>
      <c r="Z987" s="378">
        <f>IF(NFI_Expiration=1,IF($A987&lt;VLOOKUP(I$5,NFI,5,0),1,0)*Table_NFI[[#This Row],[NFI Core Kit]],Table_NFI[NFI Core Kit])</f>
        <v>0</v>
      </c>
      <c r="AA987" s="378">
        <f>IF(NFI_Expiration=1,IF($A987&lt;VLOOKUP(J$5,NFI,5,0),1,0)*Table_NFI[[#This Row],[Sanitary Kit]],Table_NFI[Sanitary Kit])</f>
        <v>0</v>
      </c>
      <c r="AB987" s="378">
        <f>IF(NFI_Expiration=1,IF($A987&lt;VLOOKUP(K$5,NFI,5,0),1,0)*Table_NFI[[#This Row],[Mosquito net]],Table_NFI[Mosquito net])</f>
        <v>0</v>
      </c>
      <c r="AC987" s="378">
        <f>IF(NFI_Expiration=1,IF($A987&lt;VLOOKUP(L$5,NFI,5,0),1,0)*Table_NFI[[#This Row],[Tarpaulin]],Table_NFI[[#This Row],[Tarpaulin]])</f>
        <v>0</v>
      </c>
      <c r="AD987" s="378">
        <f>IF(NFI_Expiration=1,IF($A987&lt;VLOOKUP(M$5,NFI,5,0),1,0)*Table_NFI[[#This Row],[Blanket]],Table_NFI[[#This Row],[Blanket]])</f>
        <v>0</v>
      </c>
      <c r="AE987" s="378">
        <f>IF(NFI_Expiration=1,IF($A987&lt;VLOOKUP(N$5,NFI,5,0),1,0)*Table_NFI[[#This Row],[Kitchen Set]],Table_NFI[Kitchen Set])</f>
        <v>0</v>
      </c>
      <c r="AF987" s="378">
        <f>IF(NFI_Expiration=1,IF($A987&lt;VLOOKUP(O$5,NFI,5,0),1,0)*Table_NFI[[#This Row],[Clothes Kit]],Table_NFI[Clothes Kit])</f>
        <v>0</v>
      </c>
      <c r="AG987" s="378">
        <f>IF(NFI_Expiration=1,IF($A987&lt;VLOOKUP(P$5,NFI,5,0),1,0)*Table_NFI[[#This Row],[Plastic Bucket]],Table_NFI[Plastic Bucket])</f>
        <v>0</v>
      </c>
      <c r="AH987" s="378">
        <f>IF(NFI_Expiration=1,IF($A987&lt;VLOOKUP(Q$5,NFI,5,0),1,0)*Table_NFI[[#This Row],[Plastic Mat]],Table_NFI[Plastic Mat])*IF(Table_NFI[[#This Row],[Distribution Date]]&gt;"2014-04-01",1,2.5)</f>
        <v>0</v>
      </c>
      <c r="AI987" s="378">
        <f>IF(NFI_Expiration=1,IF($A987&lt;VLOOKUP(R$5,NFI,5,0),1,0)*Table_NFI[[#This Row],[Winter Clothes Adult]],Table_NFI[Winter Clothes Adult])</f>
        <v>0</v>
      </c>
      <c r="AJ987" s="378">
        <f>IF(NFI_Expiration=1,IF($A987&lt;VLOOKUP(S$5,NFI,5,0),1,0)*Table_NFI[[#This Row],[Winter Clothes Children]],Table_NFI[Winter Clothes Children])</f>
        <v>0</v>
      </c>
      <c r="AK987" s="378">
        <f>IF(NFI_Expiration=1,IF($A987&lt;VLOOKUP(T$5,NFI,5,0),1,0)*Table_NFI[[#This Row],[Winter Items Other]],Table_NFI[Winter Items Other])</f>
        <v>0</v>
      </c>
      <c r="AL987" s="378">
        <f>IF(NFI_Expiration=1,IF($A987&lt;VLOOKUP(M$5,NFI,5,0),1,0)*Table_NFI[[#This Row],[Winter Blanket]],Table_NFI[[#This Row],[Winter Blanket]])</f>
        <v>0</v>
      </c>
      <c r="AM987" s="378">
        <f>IF(Table_NFI[[#This Row],[Winter Clothes Adult]]+Table_NFI[[#This Row],[Winter Clothes Children]]+Table_NFI[[#This Row],[Winter Items Other]]+Table_NFI[[#This Row],[Winter Blanket]]&gt;0,1,0)</f>
        <v>0</v>
      </c>
      <c r="AN987" s="418">
        <f>IF(NFI_Expiration=1,IF($A987&lt;VLOOKUP(V$5,NFI,5,0),1,0)*Table_NFI[[#This Row],[Jerry Can]],Table_NFI[Jerry Can])</f>
        <v>0</v>
      </c>
      <c r="AO987" s="579" t="str">
        <f>IFERROR(VLOOKUP(Table_NFI[[#This Row],[Camp Name]],CL,2,0),"")</f>
        <v/>
      </c>
      <c r="AP987" s="574" t="str">
        <f ca="1">IF(Table_NFI[[#This Row],[Pcode]]="","",IF(OFFSET(CampList[Opening Date],MATCH(Table_NFI[[#This Row],[Pcode]],CampList[CP_Pcode],0)-1,0,1,1)&gt;=NFI_Monitor_Date,1,0))</f>
        <v/>
      </c>
      <c r="AQ987" s="579" t="str">
        <f>IFERROR(VLOOKUP(Table_NFI[[#This Row],[Camp Name]],CL,3,0),"")</f>
        <v/>
      </c>
      <c r="AR987" s="378" t="str">
        <f ca="1">IF(Table_NFI[[#This Row],[Pcode]]="","",OFFSET(CampList[Priority],MATCH(Table_NFI[[#This Row],[Pcode]],CampList[CP_Pcode],0)-1,0,1,1))</f>
        <v/>
      </c>
      <c r="AS987" s="377" t="str">
        <f>IFERROR(Table_NFI[[#This Row],[Kitchen Set]]/VLOOKUP(Table_NFI[[#This Row],[Camp Name]],CL,4,0),"")</f>
        <v/>
      </c>
      <c r="AT987" s="572" t="s">
        <v>1095</v>
      </c>
      <c r="AU987" s="580"/>
    </row>
    <row r="988" spans="1:47" x14ac:dyDescent="0.25">
      <c r="A988" s="381" t="str">
        <f t="shared" si="15"/>
        <v/>
      </c>
      <c r="B988" s="571"/>
      <c r="C988" s="577"/>
      <c r="D988" s="577"/>
      <c r="E988" s="577"/>
      <c r="F988" s="577"/>
      <c r="G988" s="577"/>
      <c r="H988" s="376"/>
      <c r="I988" s="376"/>
      <c r="J988" s="376"/>
      <c r="K988" s="376"/>
      <c r="L988" s="376"/>
      <c r="M988" s="376"/>
      <c r="N988" s="376"/>
      <c r="O988" s="376"/>
      <c r="P988" s="378"/>
      <c r="Q988" s="378"/>
      <c r="R988" s="378"/>
      <c r="S988" s="378"/>
      <c r="T988" s="378"/>
      <c r="U988" s="378"/>
      <c r="V988" s="533"/>
      <c r="W988" s="418"/>
      <c r="X988" s="418"/>
      <c r="Y988" s="378">
        <f>IF(NFI_Expiration=1,IF($A988&lt;VLOOKUP(H$5,NFI,5,0),1,0)*Table_NFI[[#This Row],[Hygiene Kit]],Table_NFI[Hygiene Kit])</f>
        <v>0</v>
      </c>
      <c r="Z988" s="378">
        <f>IF(NFI_Expiration=1,IF($A988&lt;VLOOKUP(I$5,NFI,5,0),1,0)*Table_NFI[[#This Row],[NFI Core Kit]],Table_NFI[NFI Core Kit])</f>
        <v>0</v>
      </c>
      <c r="AA988" s="378">
        <f>IF(NFI_Expiration=1,IF($A988&lt;VLOOKUP(J$5,NFI,5,0),1,0)*Table_NFI[[#This Row],[Sanitary Kit]],Table_NFI[Sanitary Kit])</f>
        <v>0</v>
      </c>
      <c r="AB988" s="378">
        <f>IF(NFI_Expiration=1,IF($A988&lt;VLOOKUP(K$5,NFI,5,0),1,0)*Table_NFI[[#This Row],[Mosquito net]],Table_NFI[Mosquito net])</f>
        <v>0</v>
      </c>
      <c r="AC988" s="378">
        <f>IF(NFI_Expiration=1,IF($A988&lt;VLOOKUP(L$5,NFI,5,0),1,0)*Table_NFI[[#This Row],[Tarpaulin]],Table_NFI[[#This Row],[Tarpaulin]])</f>
        <v>0</v>
      </c>
      <c r="AD988" s="378">
        <f>IF(NFI_Expiration=1,IF($A988&lt;VLOOKUP(M$5,NFI,5,0),1,0)*Table_NFI[[#This Row],[Blanket]],Table_NFI[[#This Row],[Blanket]])</f>
        <v>0</v>
      </c>
      <c r="AE988" s="378">
        <f>IF(NFI_Expiration=1,IF($A988&lt;VLOOKUP(N$5,NFI,5,0),1,0)*Table_NFI[[#This Row],[Kitchen Set]],Table_NFI[Kitchen Set])</f>
        <v>0</v>
      </c>
      <c r="AF988" s="378">
        <f>IF(NFI_Expiration=1,IF($A988&lt;VLOOKUP(O$5,NFI,5,0),1,0)*Table_NFI[[#This Row],[Clothes Kit]],Table_NFI[Clothes Kit])</f>
        <v>0</v>
      </c>
      <c r="AG988" s="378">
        <f>IF(NFI_Expiration=1,IF($A988&lt;VLOOKUP(P$5,NFI,5,0),1,0)*Table_NFI[[#This Row],[Plastic Bucket]],Table_NFI[Plastic Bucket])</f>
        <v>0</v>
      </c>
      <c r="AH988" s="378">
        <f>IF(NFI_Expiration=1,IF($A988&lt;VLOOKUP(Q$5,NFI,5,0),1,0)*Table_NFI[[#This Row],[Plastic Mat]],Table_NFI[Plastic Mat])*IF(Table_NFI[[#This Row],[Distribution Date]]&gt;"2014-04-01",1,2.5)</f>
        <v>0</v>
      </c>
      <c r="AI988" s="378">
        <f>IF(NFI_Expiration=1,IF($A988&lt;VLOOKUP(R$5,NFI,5,0),1,0)*Table_NFI[[#This Row],[Winter Clothes Adult]],Table_NFI[Winter Clothes Adult])</f>
        <v>0</v>
      </c>
      <c r="AJ988" s="378">
        <f>IF(NFI_Expiration=1,IF($A988&lt;VLOOKUP(S$5,NFI,5,0),1,0)*Table_NFI[[#This Row],[Winter Clothes Children]],Table_NFI[Winter Clothes Children])</f>
        <v>0</v>
      </c>
      <c r="AK988" s="378">
        <f>IF(NFI_Expiration=1,IF($A988&lt;VLOOKUP(T$5,NFI,5,0),1,0)*Table_NFI[[#This Row],[Winter Items Other]],Table_NFI[Winter Items Other])</f>
        <v>0</v>
      </c>
      <c r="AL988" s="378">
        <f>IF(NFI_Expiration=1,IF($A988&lt;VLOOKUP(M$5,NFI,5,0),1,0)*Table_NFI[[#This Row],[Winter Blanket]],Table_NFI[[#This Row],[Winter Blanket]])</f>
        <v>0</v>
      </c>
      <c r="AM988" s="378">
        <f>IF(Table_NFI[[#This Row],[Winter Clothes Adult]]+Table_NFI[[#This Row],[Winter Clothes Children]]+Table_NFI[[#This Row],[Winter Items Other]]+Table_NFI[[#This Row],[Winter Blanket]]&gt;0,1,0)</f>
        <v>0</v>
      </c>
      <c r="AN988" s="418">
        <f>IF(NFI_Expiration=1,IF($A988&lt;VLOOKUP(V$5,NFI,5,0),1,0)*Table_NFI[[#This Row],[Jerry Can]],Table_NFI[Jerry Can])</f>
        <v>0</v>
      </c>
      <c r="AO988" s="579" t="str">
        <f>IFERROR(VLOOKUP(Table_NFI[[#This Row],[Camp Name]],CL,2,0),"")</f>
        <v/>
      </c>
      <c r="AP988" s="574" t="str">
        <f ca="1">IF(Table_NFI[[#This Row],[Pcode]]="","",IF(OFFSET(CampList[Opening Date],MATCH(Table_NFI[[#This Row],[Pcode]],CampList[CP_Pcode],0)-1,0,1,1)&gt;=NFI_Monitor_Date,1,0))</f>
        <v/>
      </c>
      <c r="AQ988" s="579" t="str">
        <f>IFERROR(VLOOKUP(Table_NFI[[#This Row],[Camp Name]],CL,3,0),"")</f>
        <v/>
      </c>
      <c r="AR988" s="378" t="str">
        <f ca="1">IF(Table_NFI[[#This Row],[Pcode]]="","",OFFSET(CampList[Priority],MATCH(Table_NFI[[#This Row],[Pcode]],CampList[CP_Pcode],0)-1,0,1,1))</f>
        <v/>
      </c>
      <c r="AS988" s="377" t="str">
        <f>IFERROR(Table_NFI[[#This Row],[Kitchen Set]]/VLOOKUP(Table_NFI[[#This Row],[Camp Name]],CL,4,0),"")</f>
        <v/>
      </c>
      <c r="AT988" s="572" t="s">
        <v>1095</v>
      </c>
      <c r="AU988" s="580"/>
    </row>
    <row r="989" spans="1:47" x14ac:dyDescent="0.25">
      <c r="A989" s="381" t="str">
        <f t="shared" si="15"/>
        <v/>
      </c>
      <c r="B989" s="571"/>
      <c r="C989" s="577"/>
      <c r="D989" s="577"/>
      <c r="E989" s="577"/>
      <c r="F989" s="577"/>
      <c r="G989" s="577"/>
      <c r="H989" s="376"/>
      <c r="I989" s="376"/>
      <c r="J989" s="376"/>
      <c r="K989" s="376"/>
      <c r="L989" s="376"/>
      <c r="M989" s="376"/>
      <c r="N989" s="376"/>
      <c r="O989" s="376"/>
      <c r="P989" s="378"/>
      <c r="Q989" s="378"/>
      <c r="R989" s="378"/>
      <c r="S989" s="378"/>
      <c r="T989" s="378"/>
      <c r="U989" s="378"/>
      <c r="V989" s="533"/>
      <c r="W989" s="418"/>
      <c r="X989" s="418"/>
      <c r="Y989" s="378">
        <f>IF(NFI_Expiration=1,IF($A989&lt;VLOOKUP(H$5,NFI,5,0),1,0)*Table_NFI[[#This Row],[Hygiene Kit]],Table_NFI[Hygiene Kit])</f>
        <v>0</v>
      </c>
      <c r="Z989" s="378">
        <f>IF(NFI_Expiration=1,IF($A989&lt;VLOOKUP(I$5,NFI,5,0),1,0)*Table_NFI[[#This Row],[NFI Core Kit]],Table_NFI[NFI Core Kit])</f>
        <v>0</v>
      </c>
      <c r="AA989" s="378">
        <f>IF(NFI_Expiration=1,IF($A989&lt;VLOOKUP(J$5,NFI,5,0),1,0)*Table_NFI[[#This Row],[Sanitary Kit]],Table_NFI[Sanitary Kit])</f>
        <v>0</v>
      </c>
      <c r="AB989" s="378">
        <f>IF(NFI_Expiration=1,IF($A989&lt;VLOOKUP(K$5,NFI,5,0),1,0)*Table_NFI[[#This Row],[Mosquito net]],Table_NFI[Mosquito net])</f>
        <v>0</v>
      </c>
      <c r="AC989" s="378">
        <f>IF(NFI_Expiration=1,IF($A989&lt;VLOOKUP(L$5,NFI,5,0),1,0)*Table_NFI[[#This Row],[Tarpaulin]],Table_NFI[[#This Row],[Tarpaulin]])</f>
        <v>0</v>
      </c>
      <c r="AD989" s="378">
        <f>IF(NFI_Expiration=1,IF($A989&lt;VLOOKUP(M$5,NFI,5,0),1,0)*Table_NFI[[#This Row],[Blanket]],Table_NFI[[#This Row],[Blanket]])</f>
        <v>0</v>
      </c>
      <c r="AE989" s="378">
        <f>IF(NFI_Expiration=1,IF($A989&lt;VLOOKUP(N$5,NFI,5,0),1,0)*Table_NFI[[#This Row],[Kitchen Set]],Table_NFI[Kitchen Set])</f>
        <v>0</v>
      </c>
      <c r="AF989" s="378">
        <f>IF(NFI_Expiration=1,IF($A989&lt;VLOOKUP(O$5,NFI,5,0),1,0)*Table_NFI[[#This Row],[Clothes Kit]],Table_NFI[Clothes Kit])</f>
        <v>0</v>
      </c>
      <c r="AG989" s="378">
        <f>IF(NFI_Expiration=1,IF($A989&lt;VLOOKUP(P$5,NFI,5,0),1,0)*Table_NFI[[#This Row],[Plastic Bucket]],Table_NFI[Plastic Bucket])</f>
        <v>0</v>
      </c>
      <c r="AH989" s="378">
        <f>IF(NFI_Expiration=1,IF($A989&lt;VLOOKUP(Q$5,NFI,5,0),1,0)*Table_NFI[[#This Row],[Plastic Mat]],Table_NFI[Plastic Mat])*IF(Table_NFI[[#This Row],[Distribution Date]]&gt;"2014-04-01",1,2.5)</f>
        <v>0</v>
      </c>
      <c r="AI989" s="378">
        <f>IF(NFI_Expiration=1,IF($A989&lt;VLOOKUP(R$5,NFI,5,0),1,0)*Table_NFI[[#This Row],[Winter Clothes Adult]],Table_NFI[Winter Clothes Adult])</f>
        <v>0</v>
      </c>
      <c r="AJ989" s="378">
        <f>IF(NFI_Expiration=1,IF($A989&lt;VLOOKUP(S$5,NFI,5,0),1,0)*Table_NFI[[#This Row],[Winter Clothes Children]],Table_NFI[Winter Clothes Children])</f>
        <v>0</v>
      </c>
      <c r="AK989" s="378">
        <f>IF(NFI_Expiration=1,IF($A989&lt;VLOOKUP(T$5,NFI,5,0),1,0)*Table_NFI[[#This Row],[Winter Items Other]],Table_NFI[Winter Items Other])</f>
        <v>0</v>
      </c>
      <c r="AL989" s="378">
        <f>IF(NFI_Expiration=1,IF($A989&lt;VLOOKUP(M$5,NFI,5,0),1,0)*Table_NFI[[#This Row],[Winter Blanket]],Table_NFI[[#This Row],[Winter Blanket]])</f>
        <v>0</v>
      </c>
      <c r="AM989" s="378">
        <f>IF(Table_NFI[[#This Row],[Winter Clothes Adult]]+Table_NFI[[#This Row],[Winter Clothes Children]]+Table_NFI[[#This Row],[Winter Items Other]]+Table_NFI[[#This Row],[Winter Blanket]]&gt;0,1,0)</f>
        <v>0</v>
      </c>
      <c r="AN989" s="418">
        <f>IF(NFI_Expiration=1,IF($A989&lt;VLOOKUP(V$5,NFI,5,0),1,0)*Table_NFI[[#This Row],[Jerry Can]],Table_NFI[Jerry Can])</f>
        <v>0</v>
      </c>
      <c r="AO989" s="579" t="str">
        <f>IFERROR(VLOOKUP(Table_NFI[[#This Row],[Camp Name]],CL,2,0),"")</f>
        <v/>
      </c>
      <c r="AP989" s="574" t="str">
        <f ca="1">IF(Table_NFI[[#This Row],[Pcode]]="","",IF(OFFSET(CampList[Opening Date],MATCH(Table_NFI[[#This Row],[Pcode]],CampList[CP_Pcode],0)-1,0,1,1)&gt;=NFI_Monitor_Date,1,0))</f>
        <v/>
      </c>
      <c r="AQ989" s="579" t="str">
        <f>IFERROR(VLOOKUP(Table_NFI[[#This Row],[Camp Name]],CL,3,0),"")</f>
        <v/>
      </c>
      <c r="AR989" s="378" t="str">
        <f ca="1">IF(Table_NFI[[#This Row],[Pcode]]="","",OFFSET(CampList[Priority],MATCH(Table_NFI[[#This Row],[Pcode]],CampList[CP_Pcode],0)-1,0,1,1))</f>
        <v/>
      </c>
      <c r="AS989" s="377" t="str">
        <f>IFERROR(Table_NFI[[#This Row],[Kitchen Set]]/VLOOKUP(Table_NFI[[#This Row],[Camp Name]],CL,4,0),"")</f>
        <v/>
      </c>
      <c r="AT989" s="572" t="s">
        <v>1095</v>
      </c>
      <c r="AU989" s="580"/>
    </row>
    <row r="990" spans="1:47" x14ac:dyDescent="0.25">
      <c r="A990" s="381" t="str">
        <f t="shared" si="15"/>
        <v/>
      </c>
      <c r="B990" s="571"/>
      <c r="C990" s="577"/>
      <c r="D990" s="577"/>
      <c r="E990" s="577"/>
      <c r="F990" s="577"/>
      <c r="G990" s="577"/>
      <c r="H990" s="376"/>
      <c r="I990" s="376"/>
      <c r="J990" s="376"/>
      <c r="K990" s="376"/>
      <c r="L990" s="376"/>
      <c r="M990" s="376"/>
      <c r="N990" s="376"/>
      <c r="O990" s="376"/>
      <c r="P990" s="378"/>
      <c r="Q990" s="378"/>
      <c r="R990" s="378"/>
      <c r="S990" s="378"/>
      <c r="T990" s="378"/>
      <c r="U990" s="378"/>
      <c r="V990" s="533"/>
      <c r="W990" s="418"/>
      <c r="X990" s="418"/>
      <c r="Y990" s="378">
        <f>IF(NFI_Expiration=1,IF($A990&lt;VLOOKUP(H$5,NFI,5,0),1,0)*Table_NFI[[#This Row],[Hygiene Kit]],Table_NFI[Hygiene Kit])</f>
        <v>0</v>
      </c>
      <c r="Z990" s="378">
        <f>IF(NFI_Expiration=1,IF($A990&lt;VLOOKUP(I$5,NFI,5,0),1,0)*Table_NFI[[#This Row],[NFI Core Kit]],Table_NFI[NFI Core Kit])</f>
        <v>0</v>
      </c>
      <c r="AA990" s="378">
        <f>IF(NFI_Expiration=1,IF($A990&lt;VLOOKUP(J$5,NFI,5,0),1,0)*Table_NFI[[#This Row],[Sanitary Kit]],Table_NFI[Sanitary Kit])</f>
        <v>0</v>
      </c>
      <c r="AB990" s="378">
        <f>IF(NFI_Expiration=1,IF($A990&lt;VLOOKUP(K$5,NFI,5,0),1,0)*Table_NFI[[#This Row],[Mosquito net]],Table_NFI[Mosquito net])</f>
        <v>0</v>
      </c>
      <c r="AC990" s="378">
        <f>IF(NFI_Expiration=1,IF($A990&lt;VLOOKUP(L$5,NFI,5,0),1,0)*Table_NFI[[#This Row],[Tarpaulin]],Table_NFI[[#This Row],[Tarpaulin]])</f>
        <v>0</v>
      </c>
      <c r="AD990" s="378">
        <f>IF(NFI_Expiration=1,IF($A990&lt;VLOOKUP(M$5,NFI,5,0),1,0)*Table_NFI[[#This Row],[Blanket]],Table_NFI[[#This Row],[Blanket]])</f>
        <v>0</v>
      </c>
      <c r="AE990" s="378">
        <f>IF(NFI_Expiration=1,IF($A990&lt;VLOOKUP(N$5,NFI,5,0),1,0)*Table_NFI[[#This Row],[Kitchen Set]],Table_NFI[Kitchen Set])</f>
        <v>0</v>
      </c>
      <c r="AF990" s="378">
        <f>IF(NFI_Expiration=1,IF($A990&lt;VLOOKUP(O$5,NFI,5,0),1,0)*Table_NFI[[#This Row],[Clothes Kit]],Table_NFI[Clothes Kit])</f>
        <v>0</v>
      </c>
      <c r="AG990" s="378">
        <f>IF(NFI_Expiration=1,IF($A990&lt;VLOOKUP(P$5,NFI,5,0),1,0)*Table_NFI[[#This Row],[Plastic Bucket]],Table_NFI[Plastic Bucket])</f>
        <v>0</v>
      </c>
      <c r="AH990" s="378">
        <f>IF(NFI_Expiration=1,IF($A990&lt;VLOOKUP(Q$5,NFI,5,0),1,0)*Table_NFI[[#This Row],[Plastic Mat]],Table_NFI[Plastic Mat])*IF(Table_NFI[[#This Row],[Distribution Date]]&gt;"2014-04-01",1,2.5)</f>
        <v>0</v>
      </c>
      <c r="AI990" s="378">
        <f>IF(NFI_Expiration=1,IF($A990&lt;VLOOKUP(R$5,NFI,5,0),1,0)*Table_NFI[[#This Row],[Winter Clothes Adult]],Table_NFI[Winter Clothes Adult])</f>
        <v>0</v>
      </c>
      <c r="AJ990" s="378">
        <f>IF(NFI_Expiration=1,IF($A990&lt;VLOOKUP(S$5,NFI,5,0),1,0)*Table_NFI[[#This Row],[Winter Clothes Children]],Table_NFI[Winter Clothes Children])</f>
        <v>0</v>
      </c>
      <c r="AK990" s="378">
        <f>IF(NFI_Expiration=1,IF($A990&lt;VLOOKUP(T$5,NFI,5,0),1,0)*Table_NFI[[#This Row],[Winter Items Other]],Table_NFI[Winter Items Other])</f>
        <v>0</v>
      </c>
      <c r="AL990" s="378">
        <f>IF(NFI_Expiration=1,IF($A990&lt;VLOOKUP(M$5,NFI,5,0),1,0)*Table_NFI[[#This Row],[Winter Blanket]],Table_NFI[[#This Row],[Winter Blanket]])</f>
        <v>0</v>
      </c>
      <c r="AM990" s="378">
        <f>IF(Table_NFI[[#This Row],[Winter Clothes Adult]]+Table_NFI[[#This Row],[Winter Clothes Children]]+Table_NFI[[#This Row],[Winter Items Other]]+Table_NFI[[#This Row],[Winter Blanket]]&gt;0,1,0)</f>
        <v>0</v>
      </c>
      <c r="AN990" s="418">
        <f>IF(NFI_Expiration=1,IF($A990&lt;VLOOKUP(V$5,NFI,5,0),1,0)*Table_NFI[[#This Row],[Jerry Can]],Table_NFI[Jerry Can])</f>
        <v>0</v>
      </c>
      <c r="AO990" s="579" t="str">
        <f>IFERROR(VLOOKUP(Table_NFI[[#This Row],[Camp Name]],CL,2,0),"")</f>
        <v/>
      </c>
      <c r="AP990" s="574" t="str">
        <f ca="1">IF(Table_NFI[[#This Row],[Pcode]]="","",IF(OFFSET(CampList[Opening Date],MATCH(Table_NFI[[#This Row],[Pcode]],CampList[CP_Pcode],0)-1,0,1,1)&gt;=NFI_Monitor_Date,1,0))</f>
        <v/>
      </c>
      <c r="AQ990" s="579" t="str">
        <f>IFERROR(VLOOKUP(Table_NFI[[#This Row],[Camp Name]],CL,3,0),"")</f>
        <v/>
      </c>
      <c r="AR990" s="378" t="str">
        <f ca="1">IF(Table_NFI[[#This Row],[Pcode]]="","",OFFSET(CampList[Priority],MATCH(Table_NFI[[#This Row],[Pcode]],CampList[CP_Pcode],0)-1,0,1,1))</f>
        <v/>
      </c>
      <c r="AS990" s="377" t="str">
        <f>IFERROR(Table_NFI[[#This Row],[Kitchen Set]]/VLOOKUP(Table_NFI[[#This Row],[Camp Name]],CL,4,0),"")</f>
        <v/>
      </c>
      <c r="AT990" s="572" t="s">
        <v>1095</v>
      </c>
      <c r="AU990" s="580"/>
    </row>
    <row r="991" spans="1:47" x14ac:dyDescent="0.25">
      <c r="A991" s="381" t="str">
        <f t="shared" si="15"/>
        <v/>
      </c>
      <c r="B991" s="571"/>
      <c r="C991" s="577"/>
      <c r="D991" s="577"/>
      <c r="E991" s="577"/>
      <c r="F991" s="577"/>
      <c r="G991" s="577"/>
      <c r="H991" s="376"/>
      <c r="I991" s="376"/>
      <c r="J991" s="376"/>
      <c r="K991" s="376"/>
      <c r="L991" s="376"/>
      <c r="M991" s="376"/>
      <c r="N991" s="376"/>
      <c r="O991" s="376"/>
      <c r="P991" s="378"/>
      <c r="Q991" s="378"/>
      <c r="R991" s="378"/>
      <c r="S991" s="378"/>
      <c r="T991" s="378"/>
      <c r="U991" s="378"/>
      <c r="V991" s="533"/>
      <c r="W991" s="418"/>
      <c r="X991" s="418"/>
      <c r="Y991" s="378">
        <f>IF(NFI_Expiration=1,IF($A991&lt;VLOOKUP(H$5,NFI,5,0),1,0)*Table_NFI[[#This Row],[Hygiene Kit]],Table_NFI[Hygiene Kit])</f>
        <v>0</v>
      </c>
      <c r="Z991" s="378">
        <f>IF(NFI_Expiration=1,IF($A991&lt;VLOOKUP(I$5,NFI,5,0),1,0)*Table_NFI[[#This Row],[NFI Core Kit]],Table_NFI[NFI Core Kit])</f>
        <v>0</v>
      </c>
      <c r="AA991" s="378">
        <f>IF(NFI_Expiration=1,IF($A991&lt;VLOOKUP(J$5,NFI,5,0),1,0)*Table_NFI[[#This Row],[Sanitary Kit]],Table_NFI[Sanitary Kit])</f>
        <v>0</v>
      </c>
      <c r="AB991" s="378">
        <f>IF(NFI_Expiration=1,IF($A991&lt;VLOOKUP(K$5,NFI,5,0),1,0)*Table_NFI[[#This Row],[Mosquito net]],Table_NFI[Mosquito net])</f>
        <v>0</v>
      </c>
      <c r="AC991" s="378">
        <f>IF(NFI_Expiration=1,IF($A991&lt;VLOOKUP(L$5,NFI,5,0),1,0)*Table_NFI[[#This Row],[Tarpaulin]],Table_NFI[[#This Row],[Tarpaulin]])</f>
        <v>0</v>
      </c>
      <c r="AD991" s="378">
        <f>IF(NFI_Expiration=1,IF($A991&lt;VLOOKUP(M$5,NFI,5,0),1,0)*Table_NFI[[#This Row],[Blanket]],Table_NFI[[#This Row],[Blanket]])</f>
        <v>0</v>
      </c>
      <c r="AE991" s="378">
        <f>IF(NFI_Expiration=1,IF($A991&lt;VLOOKUP(N$5,NFI,5,0),1,0)*Table_NFI[[#This Row],[Kitchen Set]],Table_NFI[Kitchen Set])</f>
        <v>0</v>
      </c>
      <c r="AF991" s="378">
        <f>IF(NFI_Expiration=1,IF($A991&lt;VLOOKUP(O$5,NFI,5,0),1,0)*Table_NFI[[#This Row],[Clothes Kit]],Table_NFI[Clothes Kit])</f>
        <v>0</v>
      </c>
      <c r="AG991" s="378">
        <f>IF(NFI_Expiration=1,IF($A991&lt;VLOOKUP(P$5,NFI,5,0),1,0)*Table_NFI[[#This Row],[Plastic Bucket]],Table_NFI[Plastic Bucket])</f>
        <v>0</v>
      </c>
      <c r="AH991" s="378">
        <f>IF(NFI_Expiration=1,IF($A991&lt;VLOOKUP(Q$5,NFI,5,0),1,0)*Table_NFI[[#This Row],[Plastic Mat]],Table_NFI[Plastic Mat])*IF(Table_NFI[[#This Row],[Distribution Date]]&gt;"2014-04-01",1,2.5)</f>
        <v>0</v>
      </c>
      <c r="AI991" s="378">
        <f>IF(NFI_Expiration=1,IF($A991&lt;VLOOKUP(R$5,NFI,5,0),1,0)*Table_NFI[[#This Row],[Winter Clothes Adult]],Table_NFI[Winter Clothes Adult])</f>
        <v>0</v>
      </c>
      <c r="AJ991" s="378">
        <f>IF(NFI_Expiration=1,IF($A991&lt;VLOOKUP(S$5,NFI,5,0),1,0)*Table_NFI[[#This Row],[Winter Clothes Children]],Table_NFI[Winter Clothes Children])</f>
        <v>0</v>
      </c>
      <c r="AK991" s="378">
        <f>IF(NFI_Expiration=1,IF($A991&lt;VLOOKUP(T$5,NFI,5,0),1,0)*Table_NFI[[#This Row],[Winter Items Other]],Table_NFI[Winter Items Other])</f>
        <v>0</v>
      </c>
      <c r="AL991" s="378">
        <f>IF(NFI_Expiration=1,IF($A991&lt;VLOOKUP(M$5,NFI,5,0),1,0)*Table_NFI[[#This Row],[Winter Blanket]],Table_NFI[[#This Row],[Winter Blanket]])</f>
        <v>0</v>
      </c>
      <c r="AM991" s="378">
        <f>IF(Table_NFI[[#This Row],[Winter Clothes Adult]]+Table_NFI[[#This Row],[Winter Clothes Children]]+Table_NFI[[#This Row],[Winter Items Other]]+Table_NFI[[#This Row],[Winter Blanket]]&gt;0,1,0)</f>
        <v>0</v>
      </c>
      <c r="AN991" s="418">
        <f>IF(NFI_Expiration=1,IF($A991&lt;VLOOKUP(V$5,NFI,5,0),1,0)*Table_NFI[[#This Row],[Jerry Can]],Table_NFI[Jerry Can])</f>
        <v>0</v>
      </c>
      <c r="AO991" s="579" t="str">
        <f>IFERROR(VLOOKUP(Table_NFI[[#This Row],[Camp Name]],CL,2,0),"")</f>
        <v/>
      </c>
      <c r="AP991" s="574" t="str">
        <f ca="1">IF(Table_NFI[[#This Row],[Pcode]]="","",IF(OFFSET(CampList[Opening Date],MATCH(Table_NFI[[#This Row],[Pcode]],CampList[CP_Pcode],0)-1,0,1,1)&gt;=NFI_Monitor_Date,1,0))</f>
        <v/>
      </c>
      <c r="AQ991" s="579" t="str">
        <f>IFERROR(VLOOKUP(Table_NFI[[#This Row],[Camp Name]],CL,3,0),"")</f>
        <v/>
      </c>
      <c r="AR991" s="378" t="str">
        <f ca="1">IF(Table_NFI[[#This Row],[Pcode]]="","",OFFSET(CampList[Priority],MATCH(Table_NFI[[#This Row],[Pcode]],CampList[CP_Pcode],0)-1,0,1,1))</f>
        <v/>
      </c>
      <c r="AS991" s="377" t="str">
        <f>IFERROR(Table_NFI[[#This Row],[Kitchen Set]]/VLOOKUP(Table_NFI[[#This Row],[Camp Name]],CL,4,0),"")</f>
        <v/>
      </c>
      <c r="AT991" s="572" t="s">
        <v>1095</v>
      </c>
      <c r="AU991" s="580"/>
    </row>
    <row r="992" spans="1:47" x14ac:dyDescent="0.25">
      <c r="A992" s="381" t="str">
        <f t="shared" si="15"/>
        <v/>
      </c>
      <c r="B992" s="571"/>
      <c r="C992" s="577"/>
      <c r="D992" s="577"/>
      <c r="E992" s="577"/>
      <c r="F992" s="577"/>
      <c r="G992" s="577"/>
      <c r="H992" s="376"/>
      <c r="I992" s="376"/>
      <c r="J992" s="376"/>
      <c r="K992" s="376"/>
      <c r="L992" s="376"/>
      <c r="M992" s="376"/>
      <c r="N992" s="376"/>
      <c r="O992" s="376"/>
      <c r="P992" s="378"/>
      <c r="Q992" s="378"/>
      <c r="R992" s="378"/>
      <c r="S992" s="378"/>
      <c r="T992" s="378"/>
      <c r="U992" s="378"/>
      <c r="V992" s="533"/>
      <c r="W992" s="418"/>
      <c r="X992" s="418"/>
      <c r="Y992" s="378">
        <f>IF(NFI_Expiration=1,IF($A992&lt;VLOOKUP(H$5,NFI,5,0),1,0)*Table_NFI[[#This Row],[Hygiene Kit]],Table_NFI[Hygiene Kit])</f>
        <v>0</v>
      </c>
      <c r="Z992" s="378">
        <f>IF(NFI_Expiration=1,IF($A992&lt;VLOOKUP(I$5,NFI,5,0),1,0)*Table_NFI[[#This Row],[NFI Core Kit]],Table_NFI[NFI Core Kit])</f>
        <v>0</v>
      </c>
      <c r="AA992" s="378">
        <f>IF(NFI_Expiration=1,IF($A992&lt;VLOOKUP(J$5,NFI,5,0),1,0)*Table_NFI[[#This Row],[Sanitary Kit]],Table_NFI[Sanitary Kit])</f>
        <v>0</v>
      </c>
      <c r="AB992" s="378">
        <f>IF(NFI_Expiration=1,IF($A992&lt;VLOOKUP(K$5,NFI,5,0),1,0)*Table_NFI[[#This Row],[Mosquito net]],Table_NFI[Mosquito net])</f>
        <v>0</v>
      </c>
      <c r="AC992" s="378">
        <f>IF(NFI_Expiration=1,IF($A992&lt;VLOOKUP(L$5,NFI,5,0),1,0)*Table_NFI[[#This Row],[Tarpaulin]],Table_NFI[[#This Row],[Tarpaulin]])</f>
        <v>0</v>
      </c>
      <c r="AD992" s="378">
        <f>IF(NFI_Expiration=1,IF($A992&lt;VLOOKUP(M$5,NFI,5,0),1,0)*Table_NFI[[#This Row],[Blanket]],Table_NFI[[#This Row],[Blanket]])</f>
        <v>0</v>
      </c>
      <c r="AE992" s="378">
        <f>IF(NFI_Expiration=1,IF($A992&lt;VLOOKUP(N$5,NFI,5,0),1,0)*Table_NFI[[#This Row],[Kitchen Set]],Table_NFI[Kitchen Set])</f>
        <v>0</v>
      </c>
      <c r="AF992" s="378">
        <f>IF(NFI_Expiration=1,IF($A992&lt;VLOOKUP(O$5,NFI,5,0),1,0)*Table_NFI[[#This Row],[Clothes Kit]],Table_NFI[Clothes Kit])</f>
        <v>0</v>
      </c>
      <c r="AG992" s="378">
        <f>IF(NFI_Expiration=1,IF($A992&lt;VLOOKUP(P$5,NFI,5,0),1,0)*Table_NFI[[#This Row],[Plastic Bucket]],Table_NFI[Plastic Bucket])</f>
        <v>0</v>
      </c>
      <c r="AH992" s="378">
        <f>IF(NFI_Expiration=1,IF($A992&lt;VLOOKUP(Q$5,NFI,5,0),1,0)*Table_NFI[[#This Row],[Plastic Mat]],Table_NFI[Plastic Mat])*IF(Table_NFI[[#This Row],[Distribution Date]]&gt;"2014-04-01",1,2.5)</f>
        <v>0</v>
      </c>
      <c r="AI992" s="378">
        <f>IF(NFI_Expiration=1,IF($A992&lt;VLOOKUP(R$5,NFI,5,0),1,0)*Table_NFI[[#This Row],[Winter Clothes Adult]],Table_NFI[Winter Clothes Adult])</f>
        <v>0</v>
      </c>
      <c r="AJ992" s="378">
        <f>IF(NFI_Expiration=1,IF($A992&lt;VLOOKUP(S$5,NFI,5,0),1,0)*Table_NFI[[#This Row],[Winter Clothes Children]],Table_NFI[Winter Clothes Children])</f>
        <v>0</v>
      </c>
      <c r="AK992" s="378">
        <f>IF(NFI_Expiration=1,IF($A992&lt;VLOOKUP(T$5,NFI,5,0),1,0)*Table_NFI[[#This Row],[Winter Items Other]],Table_NFI[Winter Items Other])</f>
        <v>0</v>
      </c>
      <c r="AL992" s="378">
        <f>IF(NFI_Expiration=1,IF($A992&lt;VLOOKUP(M$5,NFI,5,0),1,0)*Table_NFI[[#This Row],[Winter Blanket]],Table_NFI[[#This Row],[Winter Blanket]])</f>
        <v>0</v>
      </c>
      <c r="AM992" s="378">
        <f>IF(Table_NFI[[#This Row],[Winter Clothes Adult]]+Table_NFI[[#This Row],[Winter Clothes Children]]+Table_NFI[[#This Row],[Winter Items Other]]+Table_NFI[[#This Row],[Winter Blanket]]&gt;0,1,0)</f>
        <v>0</v>
      </c>
      <c r="AN992" s="418">
        <f>IF(NFI_Expiration=1,IF($A992&lt;VLOOKUP(V$5,NFI,5,0),1,0)*Table_NFI[[#This Row],[Jerry Can]],Table_NFI[Jerry Can])</f>
        <v>0</v>
      </c>
      <c r="AO992" s="579" t="str">
        <f>IFERROR(VLOOKUP(Table_NFI[[#This Row],[Camp Name]],CL,2,0),"")</f>
        <v/>
      </c>
      <c r="AP992" s="574" t="str">
        <f ca="1">IF(Table_NFI[[#This Row],[Pcode]]="","",IF(OFFSET(CampList[Opening Date],MATCH(Table_NFI[[#This Row],[Pcode]],CampList[CP_Pcode],0)-1,0,1,1)&gt;=NFI_Monitor_Date,1,0))</f>
        <v/>
      </c>
      <c r="AQ992" s="579" t="str">
        <f>IFERROR(VLOOKUP(Table_NFI[[#This Row],[Camp Name]],CL,3,0),"")</f>
        <v/>
      </c>
      <c r="AR992" s="378" t="str">
        <f ca="1">IF(Table_NFI[[#This Row],[Pcode]]="","",OFFSET(CampList[Priority],MATCH(Table_NFI[[#This Row],[Pcode]],CampList[CP_Pcode],0)-1,0,1,1))</f>
        <v/>
      </c>
      <c r="AS992" s="377" t="str">
        <f>IFERROR(Table_NFI[[#This Row],[Kitchen Set]]/VLOOKUP(Table_NFI[[#This Row],[Camp Name]],CL,4,0),"")</f>
        <v/>
      </c>
      <c r="AT992" s="572" t="s">
        <v>1095</v>
      </c>
      <c r="AU992" s="580"/>
    </row>
    <row r="993" spans="1:47" x14ac:dyDescent="0.25">
      <c r="A993" s="381" t="str">
        <f t="shared" si="15"/>
        <v/>
      </c>
      <c r="B993" s="571"/>
      <c r="C993" s="577"/>
      <c r="D993" s="577"/>
      <c r="E993" s="577"/>
      <c r="F993" s="577"/>
      <c r="G993" s="577"/>
      <c r="H993" s="376"/>
      <c r="I993" s="376"/>
      <c r="J993" s="376"/>
      <c r="K993" s="376"/>
      <c r="L993" s="376"/>
      <c r="M993" s="376"/>
      <c r="N993" s="376"/>
      <c r="O993" s="376"/>
      <c r="P993" s="378"/>
      <c r="Q993" s="378"/>
      <c r="R993" s="378"/>
      <c r="S993" s="378"/>
      <c r="T993" s="378"/>
      <c r="U993" s="378"/>
      <c r="V993" s="533"/>
      <c r="W993" s="418"/>
      <c r="X993" s="418"/>
      <c r="Y993" s="378">
        <f>IF(NFI_Expiration=1,IF($A993&lt;VLOOKUP(H$5,NFI,5,0),1,0)*Table_NFI[[#This Row],[Hygiene Kit]],Table_NFI[Hygiene Kit])</f>
        <v>0</v>
      </c>
      <c r="Z993" s="378">
        <f>IF(NFI_Expiration=1,IF($A993&lt;VLOOKUP(I$5,NFI,5,0),1,0)*Table_NFI[[#This Row],[NFI Core Kit]],Table_NFI[NFI Core Kit])</f>
        <v>0</v>
      </c>
      <c r="AA993" s="378">
        <f>IF(NFI_Expiration=1,IF($A993&lt;VLOOKUP(J$5,NFI,5,0),1,0)*Table_NFI[[#This Row],[Sanitary Kit]],Table_NFI[Sanitary Kit])</f>
        <v>0</v>
      </c>
      <c r="AB993" s="378">
        <f>IF(NFI_Expiration=1,IF($A993&lt;VLOOKUP(K$5,NFI,5,0),1,0)*Table_NFI[[#This Row],[Mosquito net]],Table_NFI[Mosquito net])</f>
        <v>0</v>
      </c>
      <c r="AC993" s="378">
        <f>IF(NFI_Expiration=1,IF($A993&lt;VLOOKUP(L$5,NFI,5,0),1,0)*Table_NFI[[#This Row],[Tarpaulin]],Table_NFI[[#This Row],[Tarpaulin]])</f>
        <v>0</v>
      </c>
      <c r="AD993" s="378">
        <f>IF(NFI_Expiration=1,IF($A993&lt;VLOOKUP(M$5,NFI,5,0),1,0)*Table_NFI[[#This Row],[Blanket]],Table_NFI[[#This Row],[Blanket]])</f>
        <v>0</v>
      </c>
      <c r="AE993" s="378">
        <f>IF(NFI_Expiration=1,IF($A993&lt;VLOOKUP(N$5,NFI,5,0),1,0)*Table_NFI[[#This Row],[Kitchen Set]],Table_NFI[Kitchen Set])</f>
        <v>0</v>
      </c>
      <c r="AF993" s="378">
        <f>IF(NFI_Expiration=1,IF($A993&lt;VLOOKUP(O$5,NFI,5,0),1,0)*Table_NFI[[#This Row],[Clothes Kit]],Table_NFI[Clothes Kit])</f>
        <v>0</v>
      </c>
      <c r="AG993" s="378">
        <f>IF(NFI_Expiration=1,IF($A993&lt;VLOOKUP(P$5,NFI,5,0),1,0)*Table_NFI[[#This Row],[Plastic Bucket]],Table_NFI[Plastic Bucket])</f>
        <v>0</v>
      </c>
      <c r="AH993" s="378">
        <f>IF(NFI_Expiration=1,IF($A993&lt;VLOOKUP(Q$5,NFI,5,0),1,0)*Table_NFI[[#This Row],[Plastic Mat]],Table_NFI[Plastic Mat])*IF(Table_NFI[[#This Row],[Distribution Date]]&gt;"2014-04-01",1,2.5)</f>
        <v>0</v>
      </c>
      <c r="AI993" s="378">
        <f>IF(NFI_Expiration=1,IF($A993&lt;VLOOKUP(R$5,NFI,5,0),1,0)*Table_NFI[[#This Row],[Winter Clothes Adult]],Table_NFI[Winter Clothes Adult])</f>
        <v>0</v>
      </c>
      <c r="AJ993" s="378">
        <f>IF(NFI_Expiration=1,IF($A993&lt;VLOOKUP(S$5,NFI,5,0),1,0)*Table_NFI[[#This Row],[Winter Clothes Children]],Table_NFI[Winter Clothes Children])</f>
        <v>0</v>
      </c>
      <c r="AK993" s="378">
        <f>IF(NFI_Expiration=1,IF($A993&lt;VLOOKUP(T$5,NFI,5,0),1,0)*Table_NFI[[#This Row],[Winter Items Other]],Table_NFI[Winter Items Other])</f>
        <v>0</v>
      </c>
      <c r="AL993" s="378">
        <f>IF(NFI_Expiration=1,IF($A993&lt;VLOOKUP(M$5,NFI,5,0),1,0)*Table_NFI[[#This Row],[Winter Blanket]],Table_NFI[[#This Row],[Winter Blanket]])</f>
        <v>0</v>
      </c>
      <c r="AM993" s="378">
        <f>IF(Table_NFI[[#This Row],[Winter Clothes Adult]]+Table_NFI[[#This Row],[Winter Clothes Children]]+Table_NFI[[#This Row],[Winter Items Other]]+Table_NFI[[#This Row],[Winter Blanket]]&gt;0,1,0)</f>
        <v>0</v>
      </c>
      <c r="AN993" s="418">
        <f>IF(NFI_Expiration=1,IF($A993&lt;VLOOKUP(V$5,NFI,5,0),1,0)*Table_NFI[[#This Row],[Jerry Can]],Table_NFI[Jerry Can])</f>
        <v>0</v>
      </c>
      <c r="AO993" s="579" t="str">
        <f>IFERROR(VLOOKUP(Table_NFI[[#This Row],[Camp Name]],CL,2,0),"")</f>
        <v/>
      </c>
      <c r="AP993" s="574" t="str">
        <f ca="1">IF(Table_NFI[[#This Row],[Pcode]]="","",IF(OFFSET(CampList[Opening Date],MATCH(Table_NFI[[#This Row],[Pcode]],CampList[CP_Pcode],0)-1,0,1,1)&gt;=NFI_Monitor_Date,1,0))</f>
        <v/>
      </c>
      <c r="AQ993" s="579" t="str">
        <f>IFERROR(VLOOKUP(Table_NFI[[#This Row],[Camp Name]],CL,3,0),"")</f>
        <v/>
      </c>
      <c r="AR993" s="378" t="str">
        <f ca="1">IF(Table_NFI[[#This Row],[Pcode]]="","",OFFSET(CampList[Priority],MATCH(Table_NFI[[#This Row],[Pcode]],CampList[CP_Pcode],0)-1,0,1,1))</f>
        <v/>
      </c>
      <c r="AS993" s="377" t="str">
        <f>IFERROR(Table_NFI[[#This Row],[Kitchen Set]]/VLOOKUP(Table_NFI[[#This Row],[Camp Name]],CL,4,0),"")</f>
        <v/>
      </c>
      <c r="AT993" s="572" t="s">
        <v>1095</v>
      </c>
      <c r="AU993" s="580"/>
    </row>
    <row r="994" spans="1:47" x14ac:dyDescent="0.25">
      <c r="A994" s="381" t="str">
        <f t="shared" si="15"/>
        <v/>
      </c>
      <c r="B994" s="571"/>
      <c r="C994" s="577"/>
      <c r="D994" s="577"/>
      <c r="E994" s="577"/>
      <c r="F994" s="577"/>
      <c r="G994" s="577"/>
      <c r="H994" s="376"/>
      <c r="I994" s="376"/>
      <c r="J994" s="376"/>
      <c r="K994" s="376"/>
      <c r="L994" s="376"/>
      <c r="M994" s="376"/>
      <c r="N994" s="376"/>
      <c r="O994" s="376"/>
      <c r="P994" s="378"/>
      <c r="Q994" s="378"/>
      <c r="R994" s="378"/>
      <c r="S994" s="378"/>
      <c r="T994" s="378"/>
      <c r="U994" s="378"/>
      <c r="V994" s="533"/>
      <c r="W994" s="418"/>
      <c r="X994" s="418"/>
      <c r="Y994" s="378">
        <f>IF(NFI_Expiration=1,IF($A994&lt;VLOOKUP(H$5,NFI,5,0),1,0)*Table_NFI[[#This Row],[Hygiene Kit]],Table_NFI[Hygiene Kit])</f>
        <v>0</v>
      </c>
      <c r="Z994" s="378">
        <f>IF(NFI_Expiration=1,IF($A994&lt;VLOOKUP(I$5,NFI,5,0),1,0)*Table_NFI[[#This Row],[NFI Core Kit]],Table_NFI[NFI Core Kit])</f>
        <v>0</v>
      </c>
      <c r="AA994" s="378">
        <f>IF(NFI_Expiration=1,IF($A994&lt;VLOOKUP(J$5,NFI,5,0),1,0)*Table_NFI[[#This Row],[Sanitary Kit]],Table_NFI[Sanitary Kit])</f>
        <v>0</v>
      </c>
      <c r="AB994" s="378">
        <f>IF(NFI_Expiration=1,IF($A994&lt;VLOOKUP(K$5,NFI,5,0),1,0)*Table_NFI[[#This Row],[Mosquito net]],Table_NFI[Mosquito net])</f>
        <v>0</v>
      </c>
      <c r="AC994" s="378">
        <f>IF(NFI_Expiration=1,IF($A994&lt;VLOOKUP(L$5,NFI,5,0),1,0)*Table_NFI[[#This Row],[Tarpaulin]],Table_NFI[[#This Row],[Tarpaulin]])</f>
        <v>0</v>
      </c>
      <c r="AD994" s="378">
        <f>IF(NFI_Expiration=1,IF($A994&lt;VLOOKUP(M$5,NFI,5,0),1,0)*Table_NFI[[#This Row],[Blanket]],Table_NFI[[#This Row],[Blanket]])</f>
        <v>0</v>
      </c>
      <c r="AE994" s="378">
        <f>IF(NFI_Expiration=1,IF($A994&lt;VLOOKUP(N$5,NFI,5,0),1,0)*Table_NFI[[#This Row],[Kitchen Set]],Table_NFI[Kitchen Set])</f>
        <v>0</v>
      </c>
      <c r="AF994" s="378">
        <f>IF(NFI_Expiration=1,IF($A994&lt;VLOOKUP(O$5,NFI,5,0),1,0)*Table_NFI[[#This Row],[Clothes Kit]],Table_NFI[Clothes Kit])</f>
        <v>0</v>
      </c>
      <c r="AG994" s="378">
        <f>IF(NFI_Expiration=1,IF($A994&lt;VLOOKUP(P$5,NFI,5,0),1,0)*Table_NFI[[#This Row],[Plastic Bucket]],Table_NFI[Plastic Bucket])</f>
        <v>0</v>
      </c>
      <c r="AH994" s="378">
        <f>IF(NFI_Expiration=1,IF($A994&lt;VLOOKUP(Q$5,NFI,5,0),1,0)*Table_NFI[[#This Row],[Plastic Mat]],Table_NFI[Plastic Mat])*IF(Table_NFI[[#This Row],[Distribution Date]]&gt;"2014-04-01",1,2.5)</f>
        <v>0</v>
      </c>
      <c r="AI994" s="378">
        <f>IF(NFI_Expiration=1,IF($A994&lt;VLOOKUP(R$5,NFI,5,0),1,0)*Table_NFI[[#This Row],[Winter Clothes Adult]],Table_NFI[Winter Clothes Adult])</f>
        <v>0</v>
      </c>
      <c r="AJ994" s="378">
        <f>IF(NFI_Expiration=1,IF($A994&lt;VLOOKUP(S$5,NFI,5,0),1,0)*Table_NFI[[#This Row],[Winter Clothes Children]],Table_NFI[Winter Clothes Children])</f>
        <v>0</v>
      </c>
      <c r="AK994" s="378">
        <f>IF(NFI_Expiration=1,IF($A994&lt;VLOOKUP(T$5,NFI,5,0),1,0)*Table_NFI[[#This Row],[Winter Items Other]],Table_NFI[Winter Items Other])</f>
        <v>0</v>
      </c>
      <c r="AL994" s="378">
        <f>IF(NFI_Expiration=1,IF($A994&lt;VLOOKUP(M$5,NFI,5,0),1,0)*Table_NFI[[#This Row],[Winter Blanket]],Table_NFI[[#This Row],[Winter Blanket]])</f>
        <v>0</v>
      </c>
      <c r="AM994" s="378">
        <f>IF(Table_NFI[[#This Row],[Winter Clothes Adult]]+Table_NFI[[#This Row],[Winter Clothes Children]]+Table_NFI[[#This Row],[Winter Items Other]]+Table_NFI[[#This Row],[Winter Blanket]]&gt;0,1,0)</f>
        <v>0</v>
      </c>
      <c r="AN994" s="418">
        <f>IF(NFI_Expiration=1,IF($A994&lt;VLOOKUP(V$5,NFI,5,0),1,0)*Table_NFI[[#This Row],[Jerry Can]],Table_NFI[Jerry Can])</f>
        <v>0</v>
      </c>
      <c r="AO994" s="579" t="str">
        <f>IFERROR(VLOOKUP(Table_NFI[[#This Row],[Camp Name]],CL,2,0),"")</f>
        <v/>
      </c>
      <c r="AP994" s="574" t="str">
        <f ca="1">IF(Table_NFI[[#This Row],[Pcode]]="","",IF(OFFSET(CampList[Opening Date],MATCH(Table_NFI[[#This Row],[Pcode]],CampList[CP_Pcode],0)-1,0,1,1)&gt;=NFI_Monitor_Date,1,0))</f>
        <v/>
      </c>
      <c r="AQ994" s="579" t="str">
        <f>IFERROR(VLOOKUP(Table_NFI[[#This Row],[Camp Name]],CL,3,0),"")</f>
        <v/>
      </c>
      <c r="AR994" s="378" t="str">
        <f ca="1">IF(Table_NFI[[#This Row],[Pcode]]="","",OFFSET(CampList[Priority],MATCH(Table_NFI[[#This Row],[Pcode]],CampList[CP_Pcode],0)-1,0,1,1))</f>
        <v/>
      </c>
      <c r="AS994" s="377" t="str">
        <f>IFERROR(Table_NFI[[#This Row],[Kitchen Set]]/VLOOKUP(Table_NFI[[#This Row],[Camp Name]],CL,4,0),"")</f>
        <v/>
      </c>
      <c r="AT994" s="572" t="s">
        <v>1095</v>
      </c>
      <c r="AU994" s="580"/>
    </row>
    <row r="995" spans="1:47" x14ac:dyDescent="0.25">
      <c r="A995" s="381" t="str">
        <f t="shared" si="15"/>
        <v/>
      </c>
      <c r="B995" s="571"/>
      <c r="C995" s="577"/>
      <c r="D995" s="577"/>
      <c r="E995" s="577"/>
      <c r="F995" s="577"/>
      <c r="G995" s="577"/>
      <c r="H995" s="376"/>
      <c r="I995" s="376"/>
      <c r="J995" s="376"/>
      <c r="K995" s="376"/>
      <c r="L995" s="376"/>
      <c r="M995" s="376"/>
      <c r="N995" s="376"/>
      <c r="O995" s="376"/>
      <c r="P995" s="378"/>
      <c r="Q995" s="378"/>
      <c r="R995" s="378"/>
      <c r="S995" s="378"/>
      <c r="T995" s="378"/>
      <c r="U995" s="378"/>
      <c r="V995" s="533"/>
      <c r="W995" s="418"/>
      <c r="X995" s="418"/>
      <c r="Y995" s="378">
        <f>IF(NFI_Expiration=1,IF($A995&lt;VLOOKUP(H$5,NFI,5,0),1,0)*Table_NFI[[#This Row],[Hygiene Kit]],Table_NFI[Hygiene Kit])</f>
        <v>0</v>
      </c>
      <c r="Z995" s="378">
        <f>IF(NFI_Expiration=1,IF($A995&lt;VLOOKUP(I$5,NFI,5,0),1,0)*Table_NFI[[#This Row],[NFI Core Kit]],Table_NFI[NFI Core Kit])</f>
        <v>0</v>
      </c>
      <c r="AA995" s="378">
        <f>IF(NFI_Expiration=1,IF($A995&lt;VLOOKUP(J$5,NFI,5,0),1,0)*Table_NFI[[#This Row],[Sanitary Kit]],Table_NFI[Sanitary Kit])</f>
        <v>0</v>
      </c>
      <c r="AB995" s="378">
        <f>IF(NFI_Expiration=1,IF($A995&lt;VLOOKUP(K$5,NFI,5,0),1,0)*Table_NFI[[#This Row],[Mosquito net]],Table_NFI[Mosquito net])</f>
        <v>0</v>
      </c>
      <c r="AC995" s="378">
        <f>IF(NFI_Expiration=1,IF($A995&lt;VLOOKUP(L$5,NFI,5,0),1,0)*Table_NFI[[#This Row],[Tarpaulin]],Table_NFI[[#This Row],[Tarpaulin]])</f>
        <v>0</v>
      </c>
      <c r="AD995" s="378">
        <f>IF(NFI_Expiration=1,IF($A995&lt;VLOOKUP(M$5,NFI,5,0),1,0)*Table_NFI[[#This Row],[Blanket]],Table_NFI[[#This Row],[Blanket]])</f>
        <v>0</v>
      </c>
      <c r="AE995" s="378">
        <f>IF(NFI_Expiration=1,IF($A995&lt;VLOOKUP(N$5,NFI,5,0),1,0)*Table_NFI[[#This Row],[Kitchen Set]],Table_NFI[Kitchen Set])</f>
        <v>0</v>
      </c>
      <c r="AF995" s="378">
        <f>IF(NFI_Expiration=1,IF($A995&lt;VLOOKUP(O$5,NFI,5,0),1,0)*Table_NFI[[#This Row],[Clothes Kit]],Table_NFI[Clothes Kit])</f>
        <v>0</v>
      </c>
      <c r="AG995" s="378">
        <f>IF(NFI_Expiration=1,IF($A995&lt;VLOOKUP(P$5,NFI,5,0),1,0)*Table_NFI[[#This Row],[Plastic Bucket]],Table_NFI[Plastic Bucket])</f>
        <v>0</v>
      </c>
      <c r="AH995" s="378">
        <f>IF(NFI_Expiration=1,IF($A995&lt;VLOOKUP(Q$5,NFI,5,0),1,0)*Table_NFI[[#This Row],[Plastic Mat]],Table_NFI[Plastic Mat])*IF(Table_NFI[[#This Row],[Distribution Date]]&gt;"2014-04-01",1,2.5)</f>
        <v>0</v>
      </c>
      <c r="AI995" s="378">
        <f>IF(NFI_Expiration=1,IF($A995&lt;VLOOKUP(R$5,NFI,5,0),1,0)*Table_NFI[[#This Row],[Winter Clothes Adult]],Table_NFI[Winter Clothes Adult])</f>
        <v>0</v>
      </c>
      <c r="AJ995" s="378">
        <f>IF(NFI_Expiration=1,IF($A995&lt;VLOOKUP(S$5,NFI,5,0),1,0)*Table_NFI[[#This Row],[Winter Clothes Children]],Table_NFI[Winter Clothes Children])</f>
        <v>0</v>
      </c>
      <c r="AK995" s="378">
        <f>IF(NFI_Expiration=1,IF($A995&lt;VLOOKUP(T$5,NFI,5,0),1,0)*Table_NFI[[#This Row],[Winter Items Other]],Table_NFI[Winter Items Other])</f>
        <v>0</v>
      </c>
      <c r="AL995" s="378">
        <f>IF(NFI_Expiration=1,IF($A995&lt;VLOOKUP(M$5,NFI,5,0),1,0)*Table_NFI[[#This Row],[Winter Blanket]],Table_NFI[[#This Row],[Winter Blanket]])</f>
        <v>0</v>
      </c>
      <c r="AM995" s="378">
        <f>IF(Table_NFI[[#This Row],[Winter Clothes Adult]]+Table_NFI[[#This Row],[Winter Clothes Children]]+Table_NFI[[#This Row],[Winter Items Other]]+Table_NFI[[#This Row],[Winter Blanket]]&gt;0,1,0)</f>
        <v>0</v>
      </c>
      <c r="AN995" s="418">
        <f>IF(NFI_Expiration=1,IF($A995&lt;VLOOKUP(V$5,NFI,5,0),1,0)*Table_NFI[[#This Row],[Jerry Can]],Table_NFI[Jerry Can])</f>
        <v>0</v>
      </c>
      <c r="AO995" s="579" t="str">
        <f>IFERROR(VLOOKUP(Table_NFI[[#This Row],[Camp Name]],CL,2,0),"")</f>
        <v/>
      </c>
      <c r="AP995" s="574" t="str">
        <f ca="1">IF(Table_NFI[[#This Row],[Pcode]]="","",IF(OFFSET(CampList[Opening Date],MATCH(Table_NFI[[#This Row],[Pcode]],CampList[CP_Pcode],0)-1,0,1,1)&gt;=NFI_Monitor_Date,1,0))</f>
        <v/>
      </c>
      <c r="AQ995" s="579" t="str">
        <f>IFERROR(VLOOKUP(Table_NFI[[#This Row],[Camp Name]],CL,3,0),"")</f>
        <v/>
      </c>
      <c r="AR995" s="378" t="str">
        <f ca="1">IF(Table_NFI[[#This Row],[Pcode]]="","",OFFSET(CampList[Priority],MATCH(Table_NFI[[#This Row],[Pcode]],CampList[CP_Pcode],0)-1,0,1,1))</f>
        <v/>
      </c>
      <c r="AS995" s="377" t="str">
        <f>IFERROR(Table_NFI[[#This Row],[Kitchen Set]]/VLOOKUP(Table_NFI[[#This Row],[Camp Name]],CL,4,0),"")</f>
        <v/>
      </c>
      <c r="AT995" s="572" t="s">
        <v>1095</v>
      </c>
      <c r="AU995" s="580"/>
    </row>
    <row r="996" spans="1:47" x14ac:dyDescent="0.25">
      <c r="A996" s="381" t="str">
        <f t="shared" si="15"/>
        <v/>
      </c>
      <c r="B996" s="571"/>
      <c r="C996" s="577"/>
      <c r="D996" s="577"/>
      <c r="E996" s="577"/>
      <c r="F996" s="577"/>
      <c r="G996" s="577"/>
      <c r="H996" s="376"/>
      <c r="I996" s="376"/>
      <c r="J996" s="376"/>
      <c r="K996" s="376"/>
      <c r="L996" s="376"/>
      <c r="M996" s="376"/>
      <c r="N996" s="376"/>
      <c r="O996" s="376"/>
      <c r="P996" s="378"/>
      <c r="Q996" s="378"/>
      <c r="R996" s="378"/>
      <c r="S996" s="378"/>
      <c r="T996" s="378"/>
      <c r="U996" s="378"/>
      <c r="V996" s="533"/>
      <c r="W996" s="418"/>
      <c r="X996" s="418"/>
      <c r="Y996" s="378">
        <f>IF(NFI_Expiration=1,IF($A996&lt;VLOOKUP(H$5,NFI,5,0),1,0)*Table_NFI[[#This Row],[Hygiene Kit]],Table_NFI[Hygiene Kit])</f>
        <v>0</v>
      </c>
      <c r="Z996" s="378">
        <f>IF(NFI_Expiration=1,IF($A996&lt;VLOOKUP(I$5,NFI,5,0),1,0)*Table_NFI[[#This Row],[NFI Core Kit]],Table_NFI[NFI Core Kit])</f>
        <v>0</v>
      </c>
      <c r="AA996" s="378">
        <f>IF(NFI_Expiration=1,IF($A996&lt;VLOOKUP(J$5,NFI,5,0),1,0)*Table_NFI[[#This Row],[Sanitary Kit]],Table_NFI[Sanitary Kit])</f>
        <v>0</v>
      </c>
      <c r="AB996" s="378">
        <f>IF(NFI_Expiration=1,IF($A996&lt;VLOOKUP(K$5,NFI,5,0),1,0)*Table_NFI[[#This Row],[Mosquito net]],Table_NFI[Mosquito net])</f>
        <v>0</v>
      </c>
      <c r="AC996" s="378">
        <f>IF(NFI_Expiration=1,IF($A996&lt;VLOOKUP(L$5,NFI,5,0),1,0)*Table_NFI[[#This Row],[Tarpaulin]],Table_NFI[[#This Row],[Tarpaulin]])</f>
        <v>0</v>
      </c>
      <c r="AD996" s="378">
        <f>IF(NFI_Expiration=1,IF($A996&lt;VLOOKUP(M$5,NFI,5,0),1,0)*Table_NFI[[#This Row],[Blanket]],Table_NFI[[#This Row],[Blanket]])</f>
        <v>0</v>
      </c>
      <c r="AE996" s="378">
        <f>IF(NFI_Expiration=1,IF($A996&lt;VLOOKUP(N$5,NFI,5,0),1,0)*Table_NFI[[#This Row],[Kitchen Set]],Table_NFI[Kitchen Set])</f>
        <v>0</v>
      </c>
      <c r="AF996" s="378">
        <f>IF(NFI_Expiration=1,IF($A996&lt;VLOOKUP(O$5,NFI,5,0),1,0)*Table_NFI[[#This Row],[Clothes Kit]],Table_NFI[Clothes Kit])</f>
        <v>0</v>
      </c>
      <c r="AG996" s="378">
        <f>IF(NFI_Expiration=1,IF($A996&lt;VLOOKUP(P$5,NFI,5,0),1,0)*Table_NFI[[#This Row],[Plastic Bucket]],Table_NFI[Plastic Bucket])</f>
        <v>0</v>
      </c>
      <c r="AH996" s="378">
        <f>IF(NFI_Expiration=1,IF($A996&lt;VLOOKUP(Q$5,NFI,5,0),1,0)*Table_NFI[[#This Row],[Plastic Mat]],Table_NFI[Plastic Mat])*IF(Table_NFI[[#This Row],[Distribution Date]]&gt;"2014-04-01",1,2.5)</f>
        <v>0</v>
      </c>
      <c r="AI996" s="378">
        <f>IF(NFI_Expiration=1,IF($A996&lt;VLOOKUP(R$5,NFI,5,0),1,0)*Table_NFI[[#This Row],[Winter Clothes Adult]],Table_NFI[Winter Clothes Adult])</f>
        <v>0</v>
      </c>
      <c r="AJ996" s="378">
        <f>IF(NFI_Expiration=1,IF($A996&lt;VLOOKUP(S$5,NFI,5,0),1,0)*Table_NFI[[#This Row],[Winter Clothes Children]],Table_NFI[Winter Clothes Children])</f>
        <v>0</v>
      </c>
      <c r="AK996" s="378">
        <f>IF(NFI_Expiration=1,IF($A996&lt;VLOOKUP(T$5,NFI,5,0),1,0)*Table_NFI[[#This Row],[Winter Items Other]],Table_NFI[Winter Items Other])</f>
        <v>0</v>
      </c>
      <c r="AL996" s="378">
        <f>IF(NFI_Expiration=1,IF($A996&lt;VLOOKUP(M$5,NFI,5,0),1,0)*Table_NFI[[#This Row],[Winter Blanket]],Table_NFI[[#This Row],[Winter Blanket]])</f>
        <v>0</v>
      </c>
      <c r="AM996" s="378">
        <f>IF(Table_NFI[[#This Row],[Winter Clothes Adult]]+Table_NFI[[#This Row],[Winter Clothes Children]]+Table_NFI[[#This Row],[Winter Items Other]]+Table_NFI[[#This Row],[Winter Blanket]]&gt;0,1,0)</f>
        <v>0</v>
      </c>
      <c r="AN996" s="418">
        <f>IF(NFI_Expiration=1,IF($A996&lt;VLOOKUP(V$5,NFI,5,0),1,0)*Table_NFI[[#This Row],[Jerry Can]],Table_NFI[Jerry Can])</f>
        <v>0</v>
      </c>
      <c r="AO996" s="579" t="str">
        <f>IFERROR(VLOOKUP(Table_NFI[[#This Row],[Camp Name]],CL,2,0),"")</f>
        <v/>
      </c>
      <c r="AP996" s="574" t="str">
        <f ca="1">IF(Table_NFI[[#This Row],[Pcode]]="","",IF(OFFSET(CampList[Opening Date],MATCH(Table_NFI[[#This Row],[Pcode]],CampList[CP_Pcode],0)-1,0,1,1)&gt;=NFI_Monitor_Date,1,0))</f>
        <v/>
      </c>
      <c r="AQ996" s="579" t="str">
        <f>IFERROR(VLOOKUP(Table_NFI[[#This Row],[Camp Name]],CL,3,0),"")</f>
        <v/>
      </c>
      <c r="AR996" s="378" t="str">
        <f ca="1">IF(Table_NFI[[#This Row],[Pcode]]="","",OFFSET(CampList[Priority],MATCH(Table_NFI[[#This Row],[Pcode]],CampList[CP_Pcode],0)-1,0,1,1))</f>
        <v/>
      </c>
      <c r="AS996" s="377" t="str">
        <f>IFERROR(Table_NFI[[#This Row],[Kitchen Set]]/VLOOKUP(Table_NFI[[#This Row],[Camp Name]],CL,4,0),"")</f>
        <v/>
      </c>
      <c r="AT996" s="572" t="s">
        <v>1095</v>
      </c>
      <c r="AU996" s="580"/>
    </row>
    <row r="997" spans="1:47" x14ac:dyDescent="0.25">
      <c r="A997" s="381" t="str">
        <f t="shared" si="15"/>
        <v/>
      </c>
      <c r="B997" s="571"/>
      <c r="C997" s="577"/>
      <c r="D997" s="577"/>
      <c r="E997" s="577"/>
      <c r="F997" s="577"/>
      <c r="G997" s="577"/>
      <c r="H997" s="376"/>
      <c r="I997" s="376"/>
      <c r="J997" s="376"/>
      <c r="K997" s="376"/>
      <c r="L997" s="376"/>
      <c r="M997" s="376"/>
      <c r="N997" s="376"/>
      <c r="O997" s="376"/>
      <c r="P997" s="378"/>
      <c r="Q997" s="378"/>
      <c r="R997" s="378"/>
      <c r="S997" s="378"/>
      <c r="T997" s="378"/>
      <c r="U997" s="378"/>
      <c r="V997" s="533"/>
      <c r="W997" s="418"/>
      <c r="X997" s="418"/>
      <c r="Y997" s="378">
        <f>IF(NFI_Expiration=1,IF($A997&lt;VLOOKUP(H$5,NFI,5,0),1,0)*Table_NFI[[#This Row],[Hygiene Kit]],Table_NFI[Hygiene Kit])</f>
        <v>0</v>
      </c>
      <c r="Z997" s="378">
        <f>IF(NFI_Expiration=1,IF($A997&lt;VLOOKUP(I$5,NFI,5,0),1,0)*Table_NFI[[#This Row],[NFI Core Kit]],Table_NFI[NFI Core Kit])</f>
        <v>0</v>
      </c>
      <c r="AA997" s="378">
        <f>IF(NFI_Expiration=1,IF($A997&lt;VLOOKUP(J$5,NFI,5,0),1,0)*Table_NFI[[#This Row],[Sanitary Kit]],Table_NFI[Sanitary Kit])</f>
        <v>0</v>
      </c>
      <c r="AB997" s="378">
        <f>IF(NFI_Expiration=1,IF($A997&lt;VLOOKUP(K$5,NFI,5,0),1,0)*Table_NFI[[#This Row],[Mosquito net]],Table_NFI[Mosquito net])</f>
        <v>0</v>
      </c>
      <c r="AC997" s="378">
        <f>IF(NFI_Expiration=1,IF($A997&lt;VLOOKUP(L$5,NFI,5,0),1,0)*Table_NFI[[#This Row],[Tarpaulin]],Table_NFI[[#This Row],[Tarpaulin]])</f>
        <v>0</v>
      </c>
      <c r="AD997" s="378">
        <f>IF(NFI_Expiration=1,IF($A997&lt;VLOOKUP(M$5,NFI,5,0),1,0)*Table_NFI[[#This Row],[Blanket]],Table_NFI[[#This Row],[Blanket]])</f>
        <v>0</v>
      </c>
      <c r="AE997" s="378">
        <f>IF(NFI_Expiration=1,IF($A997&lt;VLOOKUP(N$5,NFI,5,0),1,0)*Table_NFI[[#This Row],[Kitchen Set]],Table_NFI[Kitchen Set])</f>
        <v>0</v>
      </c>
      <c r="AF997" s="378">
        <f>IF(NFI_Expiration=1,IF($A997&lt;VLOOKUP(O$5,NFI,5,0),1,0)*Table_NFI[[#This Row],[Clothes Kit]],Table_NFI[Clothes Kit])</f>
        <v>0</v>
      </c>
      <c r="AG997" s="378">
        <f>IF(NFI_Expiration=1,IF($A997&lt;VLOOKUP(P$5,NFI,5,0),1,0)*Table_NFI[[#This Row],[Plastic Bucket]],Table_NFI[Plastic Bucket])</f>
        <v>0</v>
      </c>
      <c r="AH997" s="378">
        <f>IF(NFI_Expiration=1,IF($A997&lt;VLOOKUP(Q$5,NFI,5,0),1,0)*Table_NFI[[#This Row],[Plastic Mat]],Table_NFI[Plastic Mat])*IF(Table_NFI[[#This Row],[Distribution Date]]&gt;"2014-04-01",1,2.5)</f>
        <v>0</v>
      </c>
      <c r="AI997" s="378">
        <f>IF(NFI_Expiration=1,IF($A997&lt;VLOOKUP(R$5,NFI,5,0),1,0)*Table_NFI[[#This Row],[Winter Clothes Adult]],Table_NFI[Winter Clothes Adult])</f>
        <v>0</v>
      </c>
      <c r="AJ997" s="378">
        <f>IF(NFI_Expiration=1,IF($A997&lt;VLOOKUP(S$5,NFI,5,0),1,0)*Table_NFI[[#This Row],[Winter Clothes Children]],Table_NFI[Winter Clothes Children])</f>
        <v>0</v>
      </c>
      <c r="AK997" s="378">
        <f>IF(NFI_Expiration=1,IF($A997&lt;VLOOKUP(T$5,NFI,5,0),1,0)*Table_NFI[[#This Row],[Winter Items Other]],Table_NFI[Winter Items Other])</f>
        <v>0</v>
      </c>
      <c r="AL997" s="378">
        <f>IF(NFI_Expiration=1,IF($A997&lt;VLOOKUP(M$5,NFI,5,0),1,0)*Table_NFI[[#This Row],[Winter Blanket]],Table_NFI[[#This Row],[Winter Blanket]])</f>
        <v>0</v>
      </c>
      <c r="AM997" s="378">
        <f>IF(Table_NFI[[#This Row],[Winter Clothes Adult]]+Table_NFI[[#This Row],[Winter Clothes Children]]+Table_NFI[[#This Row],[Winter Items Other]]+Table_NFI[[#This Row],[Winter Blanket]]&gt;0,1,0)</f>
        <v>0</v>
      </c>
      <c r="AN997" s="418">
        <f>IF(NFI_Expiration=1,IF($A997&lt;VLOOKUP(V$5,NFI,5,0),1,0)*Table_NFI[[#This Row],[Jerry Can]],Table_NFI[Jerry Can])</f>
        <v>0</v>
      </c>
      <c r="AO997" s="579" t="str">
        <f>IFERROR(VLOOKUP(Table_NFI[[#This Row],[Camp Name]],CL,2,0),"")</f>
        <v/>
      </c>
      <c r="AP997" s="574" t="str">
        <f ca="1">IF(Table_NFI[[#This Row],[Pcode]]="","",IF(OFFSET(CampList[Opening Date],MATCH(Table_NFI[[#This Row],[Pcode]],CampList[CP_Pcode],0)-1,0,1,1)&gt;=NFI_Monitor_Date,1,0))</f>
        <v/>
      </c>
      <c r="AQ997" s="579" t="str">
        <f>IFERROR(VLOOKUP(Table_NFI[[#This Row],[Camp Name]],CL,3,0),"")</f>
        <v/>
      </c>
      <c r="AR997" s="378" t="str">
        <f ca="1">IF(Table_NFI[[#This Row],[Pcode]]="","",OFFSET(CampList[Priority],MATCH(Table_NFI[[#This Row],[Pcode]],CampList[CP_Pcode],0)-1,0,1,1))</f>
        <v/>
      </c>
      <c r="AS997" s="377" t="str">
        <f>IFERROR(Table_NFI[[#This Row],[Kitchen Set]]/VLOOKUP(Table_NFI[[#This Row],[Camp Name]],CL,4,0),"")</f>
        <v/>
      </c>
      <c r="AT997" s="572" t="s">
        <v>1095</v>
      </c>
      <c r="AU997" s="580"/>
    </row>
    <row r="998" spans="1:47" x14ac:dyDescent="0.25">
      <c r="A998" s="381" t="str">
        <f t="shared" si="15"/>
        <v/>
      </c>
      <c r="B998" s="571"/>
      <c r="C998" s="577"/>
      <c r="D998" s="577"/>
      <c r="E998" s="577"/>
      <c r="F998" s="577"/>
      <c r="G998" s="577"/>
      <c r="H998" s="376"/>
      <c r="I998" s="376"/>
      <c r="J998" s="376"/>
      <c r="K998" s="376"/>
      <c r="L998" s="376"/>
      <c r="M998" s="376"/>
      <c r="N998" s="376"/>
      <c r="O998" s="376"/>
      <c r="P998" s="378"/>
      <c r="Q998" s="378"/>
      <c r="R998" s="378"/>
      <c r="S998" s="378"/>
      <c r="T998" s="378"/>
      <c r="U998" s="378"/>
      <c r="V998" s="533"/>
      <c r="W998" s="418"/>
      <c r="X998" s="418"/>
      <c r="Y998" s="378">
        <f>IF(NFI_Expiration=1,IF($A998&lt;VLOOKUP(H$5,NFI,5,0),1,0)*Table_NFI[[#This Row],[Hygiene Kit]],Table_NFI[Hygiene Kit])</f>
        <v>0</v>
      </c>
      <c r="Z998" s="378">
        <f>IF(NFI_Expiration=1,IF($A998&lt;VLOOKUP(I$5,NFI,5,0),1,0)*Table_NFI[[#This Row],[NFI Core Kit]],Table_NFI[NFI Core Kit])</f>
        <v>0</v>
      </c>
      <c r="AA998" s="378">
        <f>IF(NFI_Expiration=1,IF($A998&lt;VLOOKUP(J$5,NFI,5,0),1,0)*Table_NFI[[#This Row],[Sanitary Kit]],Table_NFI[Sanitary Kit])</f>
        <v>0</v>
      </c>
      <c r="AB998" s="378">
        <f>IF(NFI_Expiration=1,IF($A998&lt;VLOOKUP(K$5,NFI,5,0),1,0)*Table_NFI[[#This Row],[Mosquito net]],Table_NFI[Mosquito net])</f>
        <v>0</v>
      </c>
      <c r="AC998" s="378">
        <f>IF(NFI_Expiration=1,IF($A998&lt;VLOOKUP(L$5,NFI,5,0),1,0)*Table_NFI[[#This Row],[Tarpaulin]],Table_NFI[[#This Row],[Tarpaulin]])</f>
        <v>0</v>
      </c>
      <c r="AD998" s="378">
        <f>IF(NFI_Expiration=1,IF($A998&lt;VLOOKUP(M$5,NFI,5,0),1,0)*Table_NFI[[#This Row],[Blanket]],Table_NFI[[#This Row],[Blanket]])</f>
        <v>0</v>
      </c>
      <c r="AE998" s="378">
        <f>IF(NFI_Expiration=1,IF($A998&lt;VLOOKUP(N$5,NFI,5,0),1,0)*Table_NFI[[#This Row],[Kitchen Set]],Table_NFI[Kitchen Set])</f>
        <v>0</v>
      </c>
      <c r="AF998" s="378">
        <f>IF(NFI_Expiration=1,IF($A998&lt;VLOOKUP(O$5,NFI,5,0),1,0)*Table_NFI[[#This Row],[Clothes Kit]],Table_NFI[Clothes Kit])</f>
        <v>0</v>
      </c>
      <c r="AG998" s="378">
        <f>IF(NFI_Expiration=1,IF($A998&lt;VLOOKUP(P$5,NFI,5,0),1,0)*Table_NFI[[#This Row],[Plastic Bucket]],Table_NFI[Plastic Bucket])</f>
        <v>0</v>
      </c>
      <c r="AH998" s="378">
        <f>IF(NFI_Expiration=1,IF($A998&lt;VLOOKUP(Q$5,NFI,5,0),1,0)*Table_NFI[[#This Row],[Plastic Mat]],Table_NFI[Plastic Mat])*IF(Table_NFI[[#This Row],[Distribution Date]]&gt;"2014-04-01",1,2.5)</f>
        <v>0</v>
      </c>
      <c r="AI998" s="378">
        <f>IF(NFI_Expiration=1,IF($A998&lt;VLOOKUP(R$5,NFI,5,0),1,0)*Table_NFI[[#This Row],[Winter Clothes Adult]],Table_NFI[Winter Clothes Adult])</f>
        <v>0</v>
      </c>
      <c r="AJ998" s="378">
        <f>IF(NFI_Expiration=1,IF($A998&lt;VLOOKUP(S$5,NFI,5,0),1,0)*Table_NFI[[#This Row],[Winter Clothes Children]],Table_NFI[Winter Clothes Children])</f>
        <v>0</v>
      </c>
      <c r="AK998" s="378">
        <f>IF(NFI_Expiration=1,IF($A998&lt;VLOOKUP(T$5,NFI,5,0),1,0)*Table_NFI[[#This Row],[Winter Items Other]],Table_NFI[Winter Items Other])</f>
        <v>0</v>
      </c>
      <c r="AL998" s="378">
        <f>IF(NFI_Expiration=1,IF($A998&lt;VLOOKUP(M$5,NFI,5,0),1,0)*Table_NFI[[#This Row],[Winter Blanket]],Table_NFI[[#This Row],[Winter Blanket]])</f>
        <v>0</v>
      </c>
      <c r="AM998" s="378">
        <f>IF(Table_NFI[[#This Row],[Winter Clothes Adult]]+Table_NFI[[#This Row],[Winter Clothes Children]]+Table_NFI[[#This Row],[Winter Items Other]]+Table_NFI[[#This Row],[Winter Blanket]]&gt;0,1,0)</f>
        <v>0</v>
      </c>
      <c r="AN998" s="418">
        <f>IF(NFI_Expiration=1,IF($A998&lt;VLOOKUP(V$5,NFI,5,0),1,0)*Table_NFI[[#This Row],[Jerry Can]],Table_NFI[Jerry Can])</f>
        <v>0</v>
      </c>
      <c r="AO998" s="579" t="str">
        <f>IFERROR(VLOOKUP(Table_NFI[[#This Row],[Camp Name]],CL,2,0),"")</f>
        <v/>
      </c>
      <c r="AP998" s="574" t="str">
        <f ca="1">IF(Table_NFI[[#This Row],[Pcode]]="","",IF(OFFSET(CampList[Opening Date],MATCH(Table_NFI[[#This Row],[Pcode]],CampList[CP_Pcode],0)-1,0,1,1)&gt;=NFI_Monitor_Date,1,0))</f>
        <v/>
      </c>
      <c r="AQ998" s="579" t="str">
        <f>IFERROR(VLOOKUP(Table_NFI[[#This Row],[Camp Name]],CL,3,0),"")</f>
        <v/>
      </c>
      <c r="AR998" s="378" t="str">
        <f ca="1">IF(Table_NFI[[#This Row],[Pcode]]="","",OFFSET(CampList[Priority],MATCH(Table_NFI[[#This Row],[Pcode]],CampList[CP_Pcode],0)-1,0,1,1))</f>
        <v/>
      </c>
      <c r="AS998" s="377" t="str">
        <f>IFERROR(Table_NFI[[#This Row],[Kitchen Set]]/VLOOKUP(Table_NFI[[#This Row],[Camp Name]],CL,4,0),"")</f>
        <v/>
      </c>
      <c r="AT998" s="572" t="s">
        <v>1095</v>
      </c>
      <c r="AU998" s="580"/>
    </row>
    <row r="999" spans="1:47" x14ac:dyDescent="0.25">
      <c r="A999" s="381" t="str">
        <f t="shared" si="15"/>
        <v/>
      </c>
      <c r="B999" s="571"/>
      <c r="C999" s="577"/>
      <c r="D999" s="577"/>
      <c r="E999" s="577"/>
      <c r="F999" s="577"/>
      <c r="G999" s="577"/>
      <c r="H999" s="376"/>
      <c r="I999" s="376"/>
      <c r="J999" s="376"/>
      <c r="K999" s="376"/>
      <c r="L999" s="376"/>
      <c r="M999" s="376"/>
      <c r="N999" s="376"/>
      <c r="O999" s="376"/>
      <c r="P999" s="378"/>
      <c r="Q999" s="378"/>
      <c r="R999" s="378"/>
      <c r="S999" s="378"/>
      <c r="T999" s="378"/>
      <c r="U999" s="378"/>
      <c r="V999" s="533"/>
      <c r="W999" s="418"/>
      <c r="X999" s="418"/>
      <c r="Y999" s="378">
        <f>IF(NFI_Expiration=1,IF($A999&lt;VLOOKUP(H$5,NFI,5,0),1,0)*Table_NFI[[#This Row],[Hygiene Kit]],Table_NFI[Hygiene Kit])</f>
        <v>0</v>
      </c>
      <c r="Z999" s="378">
        <f>IF(NFI_Expiration=1,IF($A999&lt;VLOOKUP(I$5,NFI,5,0),1,0)*Table_NFI[[#This Row],[NFI Core Kit]],Table_NFI[NFI Core Kit])</f>
        <v>0</v>
      </c>
      <c r="AA999" s="378">
        <f>IF(NFI_Expiration=1,IF($A999&lt;VLOOKUP(J$5,NFI,5,0),1,0)*Table_NFI[[#This Row],[Sanitary Kit]],Table_NFI[Sanitary Kit])</f>
        <v>0</v>
      </c>
      <c r="AB999" s="378">
        <f>IF(NFI_Expiration=1,IF($A999&lt;VLOOKUP(K$5,NFI,5,0),1,0)*Table_NFI[[#This Row],[Mosquito net]],Table_NFI[Mosquito net])</f>
        <v>0</v>
      </c>
      <c r="AC999" s="378">
        <f>IF(NFI_Expiration=1,IF($A999&lt;VLOOKUP(L$5,NFI,5,0),1,0)*Table_NFI[[#This Row],[Tarpaulin]],Table_NFI[[#This Row],[Tarpaulin]])</f>
        <v>0</v>
      </c>
      <c r="AD999" s="378">
        <f>IF(NFI_Expiration=1,IF($A999&lt;VLOOKUP(M$5,NFI,5,0),1,0)*Table_NFI[[#This Row],[Blanket]],Table_NFI[[#This Row],[Blanket]])</f>
        <v>0</v>
      </c>
      <c r="AE999" s="378">
        <f>IF(NFI_Expiration=1,IF($A999&lt;VLOOKUP(N$5,NFI,5,0),1,0)*Table_NFI[[#This Row],[Kitchen Set]],Table_NFI[Kitchen Set])</f>
        <v>0</v>
      </c>
      <c r="AF999" s="378">
        <f>IF(NFI_Expiration=1,IF($A999&lt;VLOOKUP(O$5,NFI,5,0),1,0)*Table_NFI[[#This Row],[Clothes Kit]],Table_NFI[Clothes Kit])</f>
        <v>0</v>
      </c>
      <c r="AG999" s="378">
        <f>IF(NFI_Expiration=1,IF($A999&lt;VLOOKUP(P$5,NFI,5,0),1,0)*Table_NFI[[#This Row],[Plastic Bucket]],Table_NFI[Plastic Bucket])</f>
        <v>0</v>
      </c>
      <c r="AH999" s="378">
        <f>IF(NFI_Expiration=1,IF($A999&lt;VLOOKUP(Q$5,NFI,5,0),1,0)*Table_NFI[[#This Row],[Plastic Mat]],Table_NFI[Plastic Mat])*IF(Table_NFI[[#This Row],[Distribution Date]]&gt;"2014-04-01",1,2.5)</f>
        <v>0</v>
      </c>
      <c r="AI999" s="378">
        <f>IF(NFI_Expiration=1,IF($A999&lt;VLOOKUP(R$5,NFI,5,0),1,0)*Table_NFI[[#This Row],[Winter Clothes Adult]],Table_NFI[Winter Clothes Adult])</f>
        <v>0</v>
      </c>
      <c r="AJ999" s="378">
        <f>IF(NFI_Expiration=1,IF($A999&lt;VLOOKUP(S$5,NFI,5,0),1,0)*Table_NFI[[#This Row],[Winter Clothes Children]],Table_NFI[Winter Clothes Children])</f>
        <v>0</v>
      </c>
      <c r="AK999" s="378">
        <f>IF(NFI_Expiration=1,IF($A999&lt;VLOOKUP(T$5,NFI,5,0),1,0)*Table_NFI[[#This Row],[Winter Items Other]],Table_NFI[Winter Items Other])</f>
        <v>0</v>
      </c>
      <c r="AL999" s="378">
        <f>IF(NFI_Expiration=1,IF($A999&lt;VLOOKUP(M$5,NFI,5,0),1,0)*Table_NFI[[#This Row],[Winter Blanket]],Table_NFI[[#This Row],[Winter Blanket]])</f>
        <v>0</v>
      </c>
      <c r="AM999" s="378">
        <f>IF(Table_NFI[[#This Row],[Winter Clothes Adult]]+Table_NFI[[#This Row],[Winter Clothes Children]]+Table_NFI[[#This Row],[Winter Items Other]]+Table_NFI[[#This Row],[Winter Blanket]]&gt;0,1,0)</f>
        <v>0</v>
      </c>
      <c r="AN999" s="418">
        <f>IF(NFI_Expiration=1,IF($A999&lt;VLOOKUP(V$5,NFI,5,0),1,0)*Table_NFI[[#This Row],[Jerry Can]],Table_NFI[Jerry Can])</f>
        <v>0</v>
      </c>
      <c r="AO999" s="579" t="str">
        <f>IFERROR(VLOOKUP(Table_NFI[[#This Row],[Camp Name]],CL,2,0),"")</f>
        <v/>
      </c>
      <c r="AP999" s="574" t="str">
        <f ca="1">IF(Table_NFI[[#This Row],[Pcode]]="","",IF(OFFSET(CampList[Opening Date],MATCH(Table_NFI[[#This Row],[Pcode]],CampList[CP_Pcode],0)-1,0,1,1)&gt;=NFI_Monitor_Date,1,0))</f>
        <v/>
      </c>
      <c r="AQ999" s="579" t="str">
        <f>IFERROR(VLOOKUP(Table_NFI[[#This Row],[Camp Name]],CL,3,0),"")</f>
        <v/>
      </c>
      <c r="AR999" s="378" t="str">
        <f ca="1">IF(Table_NFI[[#This Row],[Pcode]]="","",OFFSET(CampList[Priority],MATCH(Table_NFI[[#This Row],[Pcode]],CampList[CP_Pcode],0)-1,0,1,1))</f>
        <v/>
      </c>
      <c r="AS999" s="377" t="str">
        <f>IFERROR(Table_NFI[[#This Row],[Kitchen Set]]/VLOOKUP(Table_NFI[[#This Row],[Camp Name]],CL,4,0),"")</f>
        <v/>
      </c>
      <c r="AT999" s="572" t="s">
        <v>1095</v>
      </c>
      <c r="AU999" s="580"/>
    </row>
    <row r="1000" spans="1:47" x14ac:dyDescent="0.25">
      <c r="A1000" s="381" t="str">
        <f t="shared" si="15"/>
        <v/>
      </c>
      <c r="B1000" s="571"/>
      <c r="C1000" s="577"/>
      <c r="D1000" s="577"/>
      <c r="E1000" s="577"/>
      <c r="F1000" s="577"/>
      <c r="G1000" s="577"/>
      <c r="H1000" s="376"/>
      <c r="I1000" s="376"/>
      <c r="J1000" s="376"/>
      <c r="K1000" s="376"/>
      <c r="L1000" s="376"/>
      <c r="M1000" s="376"/>
      <c r="N1000" s="376"/>
      <c r="O1000" s="376"/>
      <c r="P1000" s="378"/>
      <c r="Q1000" s="378"/>
      <c r="R1000" s="378"/>
      <c r="S1000" s="378"/>
      <c r="T1000" s="378"/>
      <c r="U1000" s="378"/>
      <c r="V1000" s="533"/>
      <c r="W1000" s="418"/>
      <c r="X1000" s="418"/>
      <c r="Y1000" s="378">
        <f>IF(NFI_Expiration=1,IF($A1000&lt;VLOOKUP(H$5,NFI,5,0),1,0)*Table_NFI[[#This Row],[Hygiene Kit]],Table_NFI[Hygiene Kit])</f>
        <v>0</v>
      </c>
      <c r="Z1000" s="378">
        <f>IF(NFI_Expiration=1,IF($A1000&lt;VLOOKUP(I$5,NFI,5,0),1,0)*Table_NFI[[#This Row],[NFI Core Kit]],Table_NFI[NFI Core Kit])</f>
        <v>0</v>
      </c>
      <c r="AA1000" s="378">
        <f>IF(NFI_Expiration=1,IF($A1000&lt;VLOOKUP(J$5,NFI,5,0),1,0)*Table_NFI[[#This Row],[Sanitary Kit]],Table_NFI[Sanitary Kit])</f>
        <v>0</v>
      </c>
      <c r="AB1000" s="378">
        <f>IF(NFI_Expiration=1,IF($A1000&lt;VLOOKUP(K$5,NFI,5,0),1,0)*Table_NFI[[#This Row],[Mosquito net]],Table_NFI[Mosquito net])</f>
        <v>0</v>
      </c>
      <c r="AC1000" s="378">
        <f>IF(NFI_Expiration=1,IF($A1000&lt;VLOOKUP(L$5,NFI,5,0),1,0)*Table_NFI[[#This Row],[Tarpaulin]],Table_NFI[[#This Row],[Tarpaulin]])</f>
        <v>0</v>
      </c>
      <c r="AD1000" s="378">
        <f>IF(NFI_Expiration=1,IF($A1000&lt;VLOOKUP(M$5,NFI,5,0),1,0)*Table_NFI[[#This Row],[Blanket]],Table_NFI[[#This Row],[Blanket]])</f>
        <v>0</v>
      </c>
      <c r="AE1000" s="378">
        <f>IF(NFI_Expiration=1,IF($A1000&lt;VLOOKUP(N$5,NFI,5,0),1,0)*Table_NFI[[#This Row],[Kitchen Set]],Table_NFI[Kitchen Set])</f>
        <v>0</v>
      </c>
      <c r="AF1000" s="378">
        <f>IF(NFI_Expiration=1,IF($A1000&lt;VLOOKUP(O$5,NFI,5,0),1,0)*Table_NFI[[#This Row],[Clothes Kit]],Table_NFI[Clothes Kit])</f>
        <v>0</v>
      </c>
      <c r="AG1000" s="378">
        <f>IF(NFI_Expiration=1,IF($A1000&lt;VLOOKUP(P$5,NFI,5,0),1,0)*Table_NFI[[#This Row],[Plastic Bucket]],Table_NFI[Plastic Bucket])</f>
        <v>0</v>
      </c>
      <c r="AH1000" s="378">
        <f>IF(NFI_Expiration=1,IF($A1000&lt;VLOOKUP(Q$5,NFI,5,0),1,0)*Table_NFI[[#This Row],[Plastic Mat]],Table_NFI[Plastic Mat])*IF(Table_NFI[[#This Row],[Distribution Date]]&gt;"2014-04-01",1,2.5)</f>
        <v>0</v>
      </c>
      <c r="AI1000" s="378">
        <f>IF(NFI_Expiration=1,IF($A1000&lt;VLOOKUP(R$5,NFI,5,0),1,0)*Table_NFI[[#This Row],[Winter Clothes Adult]],Table_NFI[Winter Clothes Adult])</f>
        <v>0</v>
      </c>
      <c r="AJ1000" s="378">
        <f>IF(NFI_Expiration=1,IF($A1000&lt;VLOOKUP(S$5,NFI,5,0),1,0)*Table_NFI[[#This Row],[Winter Clothes Children]],Table_NFI[Winter Clothes Children])</f>
        <v>0</v>
      </c>
      <c r="AK1000" s="378">
        <f>IF(NFI_Expiration=1,IF($A1000&lt;VLOOKUP(T$5,NFI,5,0),1,0)*Table_NFI[[#This Row],[Winter Items Other]],Table_NFI[Winter Items Other])</f>
        <v>0</v>
      </c>
      <c r="AL1000" s="378">
        <f>IF(NFI_Expiration=1,IF($A1000&lt;VLOOKUP(M$5,NFI,5,0),1,0)*Table_NFI[[#This Row],[Winter Blanket]],Table_NFI[[#This Row],[Winter Blanket]])</f>
        <v>0</v>
      </c>
      <c r="AM1000" s="378">
        <f>IF(Table_NFI[[#This Row],[Winter Clothes Adult]]+Table_NFI[[#This Row],[Winter Clothes Children]]+Table_NFI[[#This Row],[Winter Items Other]]+Table_NFI[[#This Row],[Winter Blanket]]&gt;0,1,0)</f>
        <v>0</v>
      </c>
      <c r="AN1000" s="418">
        <f>IF(NFI_Expiration=1,IF($A1000&lt;VLOOKUP(V$5,NFI,5,0),1,0)*Table_NFI[[#This Row],[Jerry Can]],Table_NFI[Jerry Can])</f>
        <v>0</v>
      </c>
      <c r="AO1000" s="579" t="str">
        <f>IFERROR(VLOOKUP(Table_NFI[[#This Row],[Camp Name]],CL,2,0),"")</f>
        <v/>
      </c>
      <c r="AP1000" s="574" t="str">
        <f ca="1">IF(Table_NFI[[#This Row],[Pcode]]="","",IF(OFFSET(CampList[Opening Date],MATCH(Table_NFI[[#This Row],[Pcode]],CampList[CP_Pcode],0)-1,0,1,1)&gt;=NFI_Monitor_Date,1,0))</f>
        <v/>
      </c>
      <c r="AQ1000" s="579" t="str">
        <f>IFERROR(VLOOKUP(Table_NFI[[#This Row],[Camp Name]],CL,3,0),"")</f>
        <v/>
      </c>
      <c r="AR1000" s="378" t="str">
        <f ca="1">IF(Table_NFI[[#This Row],[Pcode]]="","",OFFSET(CampList[Priority],MATCH(Table_NFI[[#This Row],[Pcode]],CampList[CP_Pcode],0)-1,0,1,1))</f>
        <v/>
      </c>
      <c r="AS1000" s="377" t="str">
        <f>IFERROR(Table_NFI[[#This Row],[Kitchen Set]]/VLOOKUP(Table_NFI[[#This Row],[Camp Name]],CL,4,0),"")</f>
        <v/>
      </c>
      <c r="AT1000" s="572" t="s">
        <v>1095</v>
      </c>
      <c r="AU1000" s="580"/>
    </row>
    <row r="1001" spans="1:47" x14ac:dyDescent="0.25">
      <c r="A1001" s="381" t="str">
        <f t="shared" si="15"/>
        <v/>
      </c>
      <c r="B1001" s="571"/>
      <c r="C1001" s="572"/>
      <c r="D1001" s="572"/>
      <c r="E1001" s="572"/>
      <c r="F1001" s="572"/>
      <c r="G1001" s="572"/>
      <c r="H1001" s="375"/>
      <c r="I1001" s="375"/>
      <c r="J1001" s="375"/>
      <c r="K1001" s="375"/>
      <c r="L1001" s="376"/>
      <c r="M1001" s="376"/>
      <c r="N1001" s="376"/>
      <c r="O1001" s="376"/>
      <c r="P1001" s="378"/>
      <c r="Q1001" s="378"/>
      <c r="R1001" s="378"/>
      <c r="S1001" s="378"/>
      <c r="T1001" s="378"/>
      <c r="U1001" s="378"/>
      <c r="V1001" s="533"/>
      <c r="W1001" s="418"/>
      <c r="X1001" s="418"/>
      <c r="Y1001" s="378">
        <f>IF(NFI_Expiration=1,IF($A1001&lt;VLOOKUP(H$5,NFI,5,0),1,0)*Table_NFI[[#This Row],[Hygiene Kit]],Table_NFI[Hygiene Kit])</f>
        <v>0</v>
      </c>
      <c r="Z1001" s="378">
        <f>IF(NFI_Expiration=1,IF($A1001&lt;VLOOKUP(I$5,NFI,5,0),1,0)*Table_NFI[[#This Row],[NFI Core Kit]],Table_NFI[NFI Core Kit])</f>
        <v>0</v>
      </c>
      <c r="AA1001" s="378">
        <f>IF(NFI_Expiration=1,IF($A1001&lt;VLOOKUP(J$5,NFI,5,0),1,0)*Table_NFI[[#This Row],[Sanitary Kit]],Table_NFI[Sanitary Kit])</f>
        <v>0</v>
      </c>
      <c r="AB1001" s="378">
        <f>IF(NFI_Expiration=1,IF($A1001&lt;VLOOKUP(K$5,NFI,5,0),1,0)*Table_NFI[[#This Row],[Mosquito net]],Table_NFI[Mosquito net])</f>
        <v>0</v>
      </c>
      <c r="AC1001" s="378">
        <f>IF(NFI_Expiration=1,IF($A1001&lt;VLOOKUP(L$5,NFI,5,0),1,0)*Table_NFI[[#This Row],[Tarpaulin]],Table_NFI[[#This Row],[Tarpaulin]])</f>
        <v>0</v>
      </c>
      <c r="AD1001" s="378">
        <f>IF(NFI_Expiration=1,IF($A1001&lt;VLOOKUP(M$5,NFI,5,0),1,0)*Table_NFI[[#This Row],[Blanket]],Table_NFI[[#This Row],[Blanket]])</f>
        <v>0</v>
      </c>
      <c r="AE1001" s="378">
        <f>IF(NFI_Expiration=1,IF($A1001&lt;VLOOKUP(N$5,NFI,5,0),1,0)*Table_NFI[[#This Row],[Kitchen Set]],Table_NFI[Kitchen Set])</f>
        <v>0</v>
      </c>
      <c r="AF1001" s="378">
        <f>IF(NFI_Expiration=1,IF($A1001&lt;VLOOKUP(O$5,NFI,5,0),1,0)*Table_NFI[[#This Row],[Clothes Kit]],Table_NFI[Clothes Kit])</f>
        <v>0</v>
      </c>
      <c r="AG1001" s="378">
        <f>IF(NFI_Expiration=1,IF($A1001&lt;VLOOKUP(P$5,NFI,5,0),1,0)*Table_NFI[[#This Row],[Plastic Bucket]],Table_NFI[Plastic Bucket])</f>
        <v>0</v>
      </c>
      <c r="AH1001" s="378">
        <f>IF(NFI_Expiration=1,IF($A1001&lt;VLOOKUP(Q$5,NFI,5,0),1,0)*Table_NFI[[#This Row],[Plastic Mat]],Table_NFI[Plastic Mat])*IF(Table_NFI[[#This Row],[Distribution Date]]&gt;"2014-04-01",1,2.5)</f>
        <v>0</v>
      </c>
      <c r="AI1001" s="378">
        <f>IF(NFI_Expiration=1,IF($A1001&lt;VLOOKUP(R$5,NFI,5,0),1,0)*Table_NFI[[#This Row],[Winter Clothes Adult]],Table_NFI[Winter Clothes Adult])</f>
        <v>0</v>
      </c>
      <c r="AJ1001" s="378">
        <f>IF(NFI_Expiration=1,IF($A1001&lt;VLOOKUP(S$5,NFI,5,0),1,0)*Table_NFI[[#This Row],[Winter Clothes Children]],Table_NFI[Winter Clothes Children])</f>
        <v>0</v>
      </c>
      <c r="AK1001" s="378">
        <f>IF(NFI_Expiration=1,IF($A1001&lt;VLOOKUP(T$5,NFI,5,0),1,0)*Table_NFI[[#This Row],[Winter Items Other]],Table_NFI[Winter Items Other])</f>
        <v>0</v>
      </c>
      <c r="AL1001" s="378">
        <f>IF(NFI_Expiration=1,IF($A1001&lt;VLOOKUP(M$5,NFI,5,0),1,0)*Table_NFI[[#This Row],[Winter Blanket]],Table_NFI[[#This Row],[Winter Blanket]])</f>
        <v>0</v>
      </c>
      <c r="AM1001" s="378">
        <f>IF(Table_NFI[[#This Row],[Winter Clothes Adult]]+Table_NFI[[#This Row],[Winter Clothes Children]]+Table_NFI[[#This Row],[Winter Items Other]]+Table_NFI[[#This Row],[Winter Blanket]]&gt;0,1,0)</f>
        <v>0</v>
      </c>
      <c r="AN1001" s="418">
        <f>IF(NFI_Expiration=1,IF($A1001&lt;VLOOKUP(V$5,NFI,5,0),1,0)*Table_NFI[[#This Row],[Jerry Can]],Table_NFI[Jerry Can])</f>
        <v>0</v>
      </c>
      <c r="AO1001" s="579" t="str">
        <f>IFERROR(VLOOKUP(Table_NFI[[#This Row],[Camp Name]],CL,2,0),"")</f>
        <v/>
      </c>
      <c r="AP1001" s="574" t="str">
        <f ca="1">IF(Table_NFI[[#This Row],[Pcode]]="","",IF(OFFSET(CampList[Opening Date],MATCH(Table_NFI[[#This Row],[Pcode]],CampList[CP_Pcode],0)-1,0,1,1)&gt;=NFI_Monitor_Date,1,0))</f>
        <v/>
      </c>
      <c r="AQ1001" s="579" t="str">
        <f>IFERROR(VLOOKUP(Table_NFI[[#This Row],[Camp Name]],CL,3,0),"")</f>
        <v/>
      </c>
      <c r="AR1001" s="378" t="str">
        <f ca="1">IF(Table_NFI[[#This Row],[Pcode]]="","",OFFSET(CampList[Priority],MATCH(Table_NFI[[#This Row],[Pcode]],CampList[CP_Pcode],0)-1,0,1,1))</f>
        <v/>
      </c>
      <c r="AS1001" s="377" t="str">
        <f>IFERROR(Table_NFI[[#This Row],[Kitchen Set]]/VLOOKUP(Table_NFI[[#This Row],[Camp Name]],CL,4,0),"")</f>
        <v/>
      </c>
      <c r="AT1001" s="572"/>
      <c r="AU1001" s="575"/>
    </row>
    <row r="1002" spans="1:47" x14ac:dyDescent="0.25">
      <c r="A1002" s="381" t="str">
        <f t="shared" si="15"/>
        <v/>
      </c>
      <c r="B1002" s="571"/>
      <c r="C1002" s="572"/>
      <c r="D1002" s="572"/>
      <c r="E1002" s="572"/>
      <c r="F1002" s="572"/>
      <c r="G1002" s="572"/>
      <c r="H1002" s="375"/>
      <c r="I1002" s="375"/>
      <c r="J1002" s="375"/>
      <c r="K1002" s="375"/>
      <c r="L1002" s="376"/>
      <c r="M1002" s="376"/>
      <c r="N1002" s="376"/>
      <c r="O1002" s="376"/>
      <c r="P1002" s="378"/>
      <c r="Q1002" s="378"/>
      <c r="R1002" s="378"/>
      <c r="S1002" s="378"/>
      <c r="T1002" s="378"/>
      <c r="U1002" s="378"/>
      <c r="V1002" s="533"/>
      <c r="W1002" s="418"/>
      <c r="X1002" s="418"/>
      <c r="Y1002" s="378">
        <f>IF(NFI_Expiration=1,IF($A1002&lt;VLOOKUP(H$5,NFI,5,0),1,0)*Table_NFI[[#This Row],[Hygiene Kit]],Table_NFI[Hygiene Kit])</f>
        <v>0</v>
      </c>
      <c r="Z1002" s="378">
        <f>IF(NFI_Expiration=1,IF($A1002&lt;VLOOKUP(I$5,NFI,5,0),1,0)*Table_NFI[[#This Row],[NFI Core Kit]],Table_NFI[NFI Core Kit])</f>
        <v>0</v>
      </c>
      <c r="AA1002" s="378">
        <f>IF(NFI_Expiration=1,IF($A1002&lt;VLOOKUP(J$5,NFI,5,0),1,0)*Table_NFI[[#This Row],[Sanitary Kit]],Table_NFI[Sanitary Kit])</f>
        <v>0</v>
      </c>
      <c r="AB1002" s="378">
        <f>IF(NFI_Expiration=1,IF($A1002&lt;VLOOKUP(K$5,NFI,5,0),1,0)*Table_NFI[[#This Row],[Mosquito net]],Table_NFI[Mosquito net])</f>
        <v>0</v>
      </c>
      <c r="AC1002" s="378">
        <f>IF(NFI_Expiration=1,IF($A1002&lt;VLOOKUP(L$5,NFI,5,0),1,0)*Table_NFI[[#This Row],[Tarpaulin]],Table_NFI[[#This Row],[Tarpaulin]])</f>
        <v>0</v>
      </c>
      <c r="AD1002" s="378">
        <f>IF(NFI_Expiration=1,IF($A1002&lt;VLOOKUP(M$5,NFI,5,0),1,0)*Table_NFI[[#This Row],[Blanket]],Table_NFI[[#This Row],[Blanket]])</f>
        <v>0</v>
      </c>
      <c r="AE1002" s="378">
        <f>IF(NFI_Expiration=1,IF($A1002&lt;VLOOKUP(N$5,NFI,5,0),1,0)*Table_NFI[[#This Row],[Kitchen Set]],Table_NFI[Kitchen Set])</f>
        <v>0</v>
      </c>
      <c r="AF1002" s="378">
        <f>IF(NFI_Expiration=1,IF($A1002&lt;VLOOKUP(O$5,NFI,5,0),1,0)*Table_NFI[[#This Row],[Clothes Kit]],Table_NFI[Clothes Kit])</f>
        <v>0</v>
      </c>
      <c r="AG1002" s="378">
        <f>IF(NFI_Expiration=1,IF($A1002&lt;VLOOKUP(P$5,NFI,5,0),1,0)*Table_NFI[[#This Row],[Plastic Bucket]],Table_NFI[Plastic Bucket])</f>
        <v>0</v>
      </c>
      <c r="AH1002" s="378">
        <f>IF(NFI_Expiration=1,IF($A1002&lt;VLOOKUP(Q$5,NFI,5,0),1,0)*Table_NFI[[#This Row],[Plastic Mat]],Table_NFI[Plastic Mat])*IF(Table_NFI[[#This Row],[Distribution Date]]&gt;"2014-04-01",1,2.5)</f>
        <v>0</v>
      </c>
      <c r="AI1002" s="378">
        <f>IF(NFI_Expiration=1,IF($A1002&lt;VLOOKUP(R$5,NFI,5,0),1,0)*Table_NFI[[#This Row],[Winter Clothes Adult]],Table_NFI[Winter Clothes Adult])</f>
        <v>0</v>
      </c>
      <c r="AJ1002" s="378">
        <f>IF(NFI_Expiration=1,IF($A1002&lt;VLOOKUP(S$5,NFI,5,0),1,0)*Table_NFI[[#This Row],[Winter Clothes Children]],Table_NFI[Winter Clothes Children])</f>
        <v>0</v>
      </c>
      <c r="AK1002" s="378">
        <f>IF(NFI_Expiration=1,IF($A1002&lt;VLOOKUP(T$5,NFI,5,0),1,0)*Table_NFI[[#This Row],[Winter Items Other]],Table_NFI[Winter Items Other])</f>
        <v>0</v>
      </c>
      <c r="AL1002" s="378">
        <f>IF(NFI_Expiration=1,IF($A1002&lt;VLOOKUP(M$5,NFI,5,0),1,0)*Table_NFI[[#This Row],[Winter Blanket]],Table_NFI[[#This Row],[Winter Blanket]])</f>
        <v>0</v>
      </c>
      <c r="AM1002" s="378">
        <f>IF(Table_NFI[[#This Row],[Winter Clothes Adult]]+Table_NFI[[#This Row],[Winter Clothes Children]]+Table_NFI[[#This Row],[Winter Items Other]]+Table_NFI[[#This Row],[Winter Blanket]]&gt;0,1,0)</f>
        <v>0</v>
      </c>
      <c r="AN1002" s="418">
        <f>IF(NFI_Expiration=1,IF($A1002&lt;VLOOKUP(V$5,NFI,5,0),1,0)*Table_NFI[[#This Row],[Jerry Can]],Table_NFI[Jerry Can])</f>
        <v>0</v>
      </c>
      <c r="AO1002" s="579" t="str">
        <f>IFERROR(VLOOKUP(Table_NFI[[#This Row],[Camp Name]],CL,2,0),"")</f>
        <v/>
      </c>
      <c r="AP1002" s="574" t="str">
        <f ca="1">IF(Table_NFI[[#This Row],[Pcode]]="","",IF(OFFSET(CampList[Opening Date],MATCH(Table_NFI[[#This Row],[Pcode]],CampList[CP_Pcode],0)-1,0,1,1)&gt;=NFI_Monitor_Date,1,0))</f>
        <v/>
      </c>
      <c r="AQ1002" s="579" t="str">
        <f>IFERROR(VLOOKUP(Table_NFI[[#This Row],[Camp Name]],CL,3,0),"")</f>
        <v/>
      </c>
      <c r="AR1002" s="378" t="str">
        <f ca="1">IF(Table_NFI[[#This Row],[Pcode]]="","",OFFSET(CampList[Priority],MATCH(Table_NFI[[#This Row],[Pcode]],CampList[CP_Pcode],0)-1,0,1,1))</f>
        <v/>
      </c>
      <c r="AS1002" s="377" t="str">
        <f>IFERROR(Table_NFI[[#This Row],[Kitchen Set]]/VLOOKUP(Table_NFI[[#This Row],[Camp Name]],CL,4,0),"")</f>
        <v/>
      </c>
      <c r="AT1002" s="572"/>
      <c r="AU1002" s="575"/>
    </row>
    <row r="1003" spans="1:47" x14ac:dyDescent="0.25">
      <c r="A1003" s="381" t="str">
        <f t="shared" si="15"/>
        <v/>
      </c>
      <c r="B1003" s="571"/>
      <c r="C1003" s="572"/>
      <c r="D1003" s="572"/>
      <c r="E1003" s="572"/>
      <c r="F1003" s="572"/>
      <c r="G1003" s="572"/>
      <c r="H1003" s="375"/>
      <c r="I1003" s="375"/>
      <c r="J1003" s="375"/>
      <c r="K1003" s="375"/>
      <c r="L1003" s="376"/>
      <c r="M1003" s="376"/>
      <c r="N1003" s="376"/>
      <c r="O1003" s="376"/>
      <c r="P1003" s="378"/>
      <c r="Q1003" s="378"/>
      <c r="R1003" s="378"/>
      <c r="S1003" s="378"/>
      <c r="T1003" s="378"/>
      <c r="U1003" s="378"/>
      <c r="V1003" s="533"/>
      <c r="W1003" s="418"/>
      <c r="X1003" s="418"/>
      <c r="Y1003" s="378">
        <f>IF(NFI_Expiration=1,IF($A1003&lt;VLOOKUP(H$5,NFI,5,0),1,0)*Table_NFI[[#This Row],[Hygiene Kit]],Table_NFI[Hygiene Kit])</f>
        <v>0</v>
      </c>
      <c r="Z1003" s="378">
        <f>IF(NFI_Expiration=1,IF($A1003&lt;VLOOKUP(I$5,NFI,5,0),1,0)*Table_NFI[[#This Row],[NFI Core Kit]],Table_NFI[NFI Core Kit])</f>
        <v>0</v>
      </c>
      <c r="AA1003" s="378">
        <f>IF(NFI_Expiration=1,IF($A1003&lt;VLOOKUP(J$5,NFI,5,0),1,0)*Table_NFI[[#This Row],[Sanitary Kit]],Table_NFI[Sanitary Kit])</f>
        <v>0</v>
      </c>
      <c r="AB1003" s="378">
        <f>IF(NFI_Expiration=1,IF($A1003&lt;VLOOKUP(K$5,NFI,5,0),1,0)*Table_NFI[[#This Row],[Mosquito net]],Table_NFI[Mosquito net])</f>
        <v>0</v>
      </c>
      <c r="AC1003" s="378">
        <f>IF(NFI_Expiration=1,IF($A1003&lt;VLOOKUP(L$5,NFI,5,0),1,0)*Table_NFI[[#This Row],[Tarpaulin]],Table_NFI[[#This Row],[Tarpaulin]])</f>
        <v>0</v>
      </c>
      <c r="AD1003" s="378">
        <f>IF(NFI_Expiration=1,IF($A1003&lt;VLOOKUP(M$5,NFI,5,0),1,0)*Table_NFI[[#This Row],[Blanket]],Table_NFI[[#This Row],[Blanket]])</f>
        <v>0</v>
      </c>
      <c r="AE1003" s="378">
        <f>IF(NFI_Expiration=1,IF($A1003&lt;VLOOKUP(N$5,NFI,5,0),1,0)*Table_NFI[[#This Row],[Kitchen Set]],Table_NFI[Kitchen Set])</f>
        <v>0</v>
      </c>
      <c r="AF1003" s="378">
        <f>IF(NFI_Expiration=1,IF($A1003&lt;VLOOKUP(O$5,NFI,5,0),1,0)*Table_NFI[[#This Row],[Clothes Kit]],Table_NFI[Clothes Kit])</f>
        <v>0</v>
      </c>
      <c r="AG1003" s="378">
        <f>IF(NFI_Expiration=1,IF($A1003&lt;VLOOKUP(P$5,NFI,5,0),1,0)*Table_NFI[[#This Row],[Plastic Bucket]],Table_NFI[Plastic Bucket])</f>
        <v>0</v>
      </c>
      <c r="AH1003" s="378">
        <f>IF(NFI_Expiration=1,IF($A1003&lt;VLOOKUP(Q$5,NFI,5,0),1,0)*Table_NFI[[#This Row],[Plastic Mat]],Table_NFI[Plastic Mat])*IF(Table_NFI[[#This Row],[Distribution Date]]&gt;"2014-04-01",1,2.5)</f>
        <v>0</v>
      </c>
      <c r="AI1003" s="378">
        <f>IF(NFI_Expiration=1,IF($A1003&lt;VLOOKUP(R$5,NFI,5,0),1,0)*Table_NFI[[#This Row],[Winter Clothes Adult]],Table_NFI[Winter Clothes Adult])</f>
        <v>0</v>
      </c>
      <c r="AJ1003" s="378">
        <f>IF(NFI_Expiration=1,IF($A1003&lt;VLOOKUP(S$5,NFI,5,0),1,0)*Table_NFI[[#This Row],[Winter Clothes Children]],Table_NFI[Winter Clothes Children])</f>
        <v>0</v>
      </c>
      <c r="AK1003" s="378">
        <f>IF(NFI_Expiration=1,IF($A1003&lt;VLOOKUP(T$5,NFI,5,0),1,0)*Table_NFI[[#This Row],[Winter Items Other]],Table_NFI[Winter Items Other])</f>
        <v>0</v>
      </c>
      <c r="AL1003" s="378">
        <f>IF(NFI_Expiration=1,IF($A1003&lt;VLOOKUP(M$5,NFI,5,0),1,0)*Table_NFI[[#This Row],[Winter Blanket]],Table_NFI[[#This Row],[Winter Blanket]])</f>
        <v>0</v>
      </c>
      <c r="AM1003" s="378">
        <f>IF(Table_NFI[[#This Row],[Winter Clothes Adult]]+Table_NFI[[#This Row],[Winter Clothes Children]]+Table_NFI[[#This Row],[Winter Items Other]]+Table_NFI[[#This Row],[Winter Blanket]]&gt;0,1,0)</f>
        <v>0</v>
      </c>
      <c r="AN1003" s="418">
        <f>IF(NFI_Expiration=1,IF($A1003&lt;VLOOKUP(V$5,NFI,5,0),1,0)*Table_NFI[[#This Row],[Jerry Can]],Table_NFI[Jerry Can])</f>
        <v>0</v>
      </c>
      <c r="AO1003" s="579" t="str">
        <f>IFERROR(VLOOKUP(Table_NFI[[#This Row],[Camp Name]],CL,2,0),"")</f>
        <v/>
      </c>
      <c r="AP1003" s="574" t="str">
        <f ca="1">IF(Table_NFI[[#This Row],[Pcode]]="","",IF(OFFSET(CampList[Opening Date],MATCH(Table_NFI[[#This Row],[Pcode]],CampList[CP_Pcode],0)-1,0,1,1)&gt;=NFI_Monitor_Date,1,0))</f>
        <v/>
      </c>
      <c r="AQ1003" s="579" t="str">
        <f>IFERROR(VLOOKUP(Table_NFI[[#This Row],[Camp Name]],CL,3,0),"")</f>
        <v/>
      </c>
      <c r="AR1003" s="378" t="str">
        <f ca="1">IF(Table_NFI[[#This Row],[Pcode]]="","",OFFSET(CampList[Priority],MATCH(Table_NFI[[#This Row],[Pcode]],CampList[CP_Pcode],0)-1,0,1,1))</f>
        <v/>
      </c>
      <c r="AS1003" s="377" t="str">
        <f>IFERROR(Table_NFI[[#This Row],[Kitchen Set]]/VLOOKUP(Table_NFI[[#This Row],[Camp Name]],CL,4,0),"")</f>
        <v/>
      </c>
      <c r="AT1003" s="572"/>
      <c r="AU1003" s="575"/>
    </row>
    <row r="1004" spans="1:47" x14ac:dyDescent="0.25">
      <c r="A1004" s="381" t="str">
        <f t="shared" si="15"/>
        <v/>
      </c>
      <c r="B1004" s="571"/>
      <c r="C1004" s="572"/>
      <c r="D1004" s="572"/>
      <c r="E1004" s="572"/>
      <c r="F1004" s="572"/>
      <c r="G1004" s="572"/>
      <c r="H1004" s="375"/>
      <c r="I1004" s="375"/>
      <c r="J1004" s="375"/>
      <c r="K1004" s="375"/>
      <c r="L1004" s="376"/>
      <c r="M1004" s="376"/>
      <c r="N1004" s="376"/>
      <c r="O1004" s="376"/>
      <c r="P1004" s="378"/>
      <c r="Q1004" s="378"/>
      <c r="R1004" s="378"/>
      <c r="S1004" s="378"/>
      <c r="T1004" s="378"/>
      <c r="U1004" s="378"/>
      <c r="V1004" s="533"/>
      <c r="W1004" s="418"/>
      <c r="X1004" s="418"/>
      <c r="Y1004" s="378">
        <f>IF(NFI_Expiration=1,IF($A1004&lt;VLOOKUP(H$5,NFI,5,0),1,0)*Table_NFI[[#This Row],[Hygiene Kit]],Table_NFI[Hygiene Kit])</f>
        <v>0</v>
      </c>
      <c r="Z1004" s="378">
        <f>IF(NFI_Expiration=1,IF($A1004&lt;VLOOKUP(I$5,NFI,5,0),1,0)*Table_NFI[[#This Row],[NFI Core Kit]],Table_NFI[NFI Core Kit])</f>
        <v>0</v>
      </c>
      <c r="AA1004" s="378">
        <f>IF(NFI_Expiration=1,IF($A1004&lt;VLOOKUP(J$5,NFI,5,0),1,0)*Table_NFI[[#This Row],[Sanitary Kit]],Table_NFI[Sanitary Kit])</f>
        <v>0</v>
      </c>
      <c r="AB1004" s="378">
        <f>IF(NFI_Expiration=1,IF($A1004&lt;VLOOKUP(K$5,NFI,5,0),1,0)*Table_NFI[[#This Row],[Mosquito net]],Table_NFI[Mosquito net])</f>
        <v>0</v>
      </c>
      <c r="AC1004" s="378">
        <f>IF(NFI_Expiration=1,IF($A1004&lt;VLOOKUP(L$5,NFI,5,0),1,0)*Table_NFI[[#This Row],[Tarpaulin]],Table_NFI[[#This Row],[Tarpaulin]])</f>
        <v>0</v>
      </c>
      <c r="AD1004" s="378">
        <f>IF(NFI_Expiration=1,IF($A1004&lt;VLOOKUP(M$5,NFI,5,0),1,0)*Table_NFI[[#This Row],[Blanket]],Table_NFI[[#This Row],[Blanket]])</f>
        <v>0</v>
      </c>
      <c r="AE1004" s="378">
        <f>IF(NFI_Expiration=1,IF($A1004&lt;VLOOKUP(N$5,NFI,5,0),1,0)*Table_NFI[[#This Row],[Kitchen Set]],Table_NFI[Kitchen Set])</f>
        <v>0</v>
      </c>
      <c r="AF1004" s="378">
        <f>IF(NFI_Expiration=1,IF($A1004&lt;VLOOKUP(O$5,NFI,5,0),1,0)*Table_NFI[[#This Row],[Clothes Kit]],Table_NFI[Clothes Kit])</f>
        <v>0</v>
      </c>
      <c r="AG1004" s="378">
        <f>IF(NFI_Expiration=1,IF($A1004&lt;VLOOKUP(P$5,NFI,5,0),1,0)*Table_NFI[[#This Row],[Plastic Bucket]],Table_NFI[Plastic Bucket])</f>
        <v>0</v>
      </c>
      <c r="AH1004" s="378">
        <f>IF(NFI_Expiration=1,IF($A1004&lt;VLOOKUP(Q$5,NFI,5,0),1,0)*Table_NFI[[#This Row],[Plastic Mat]],Table_NFI[Plastic Mat])*IF(Table_NFI[[#This Row],[Distribution Date]]&gt;"2014-04-01",1,2.5)</f>
        <v>0</v>
      </c>
      <c r="AI1004" s="378">
        <f>IF(NFI_Expiration=1,IF($A1004&lt;VLOOKUP(R$5,NFI,5,0),1,0)*Table_NFI[[#This Row],[Winter Clothes Adult]],Table_NFI[Winter Clothes Adult])</f>
        <v>0</v>
      </c>
      <c r="AJ1004" s="378">
        <f>IF(NFI_Expiration=1,IF($A1004&lt;VLOOKUP(S$5,NFI,5,0),1,0)*Table_NFI[[#This Row],[Winter Clothes Children]],Table_NFI[Winter Clothes Children])</f>
        <v>0</v>
      </c>
      <c r="AK1004" s="378">
        <f>IF(NFI_Expiration=1,IF($A1004&lt;VLOOKUP(T$5,NFI,5,0),1,0)*Table_NFI[[#This Row],[Winter Items Other]],Table_NFI[Winter Items Other])</f>
        <v>0</v>
      </c>
      <c r="AL1004" s="378">
        <f>IF(NFI_Expiration=1,IF($A1004&lt;VLOOKUP(M$5,NFI,5,0),1,0)*Table_NFI[[#This Row],[Winter Blanket]],Table_NFI[[#This Row],[Winter Blanket]])</f>
        <v>0</v>
      </c>
      <c r="AM1004" s="378">
        <f>IF(Table_NFI[[#This Row],[Winter Clothes Adult]]+Table_NFI[[#This Row],[Winter Clothes Children]]+Table_NFI[[#This Row],[Winter Items Other]]+Table_NFI[[#This Row],[Winter Blanket]]&gt;0,1,0)</f>
        <v>0</v>
      </c>
      <c r="AN1004" s="418">
        <f>IF(NFI_Expiration=1,IF($A1004&lt;VLOOKUP(V$5,NFI,5,0),1,0)*Table_NFI[[#This Row],[Jerry Can]],Table_NFI[Jerry Can])</f>
        <v>0</v>
      </c>
      <c r="AO1004" s="579" t="str">
        <f>IFERROR(VLOOKUP(Table_NFI[[#This Row],[Camp Name]],CL,2,0),"")</f>
        <v/>
      </c>
      <c r="AP1004" s="574" t="str">
        <f ca="1">IF(Table_NFI[[#This Row],[Pcode]]="","",IF(OFFSET(CampList[Opening Date],MATCH(Table_NFI[[#This Row],[Pcode]],CampList[CP_Pcode],0)-1,0,1,1)&gt;=NFI_Monitor_Date,1,0))</f>
        <v/>
      </c>
      <c r="AQ1004" s="579" t="str">
        <f>IFERROR(VLOOKUP(Table_NFI[[#This Row],[Camp Name]],CL,3,0),"")</f>
        <v/>
      </c>
      <c r="AR1004" s="378" t="str">
        <f ca="1">IF(Table_NFI[[#This Row],[Pcode]]="","",OFFSET(CampList[Priority],MATCH(Table_NFI[[#This Row],[Pcode]],CampList[CP_Pcode],0)-1,0,1,1))</f>
        <v/>
      </c>
      <c r="AS1004" s="377" t="str">
        <f>IFERROR(Table_NFI[[#This Row],[Kitchen Set]]/VLOOKUP(Table_NFI[[#This Row],[Camp Name]],CL,4,0),"")</f>
        <v/>
      </c>
      <c r="AT1004" s="572"/>
      <c r="AU1004" s="575"/>
    </row>
    <row r="1005" spans="1:47" x14ac:dyDescent="0.25">
      <c r="A1005" s="381" t="str">
        <f t="shared" si="15"/>
        <v/>
      </c>
      <c r="B1005" s="571"/>
      <c r="C1005" s="572"/>
      <c r="D1005" s="572"/>
      <c r="E1005" s="572"/>
      <c r="F1005" s="572"/>
      <c r="G1005" s="572"/>
      <c r="H1005" s="375"/>
      <c r="I1005" s="375"/>
      <c r="J1005" s="375"/>
      <c r="K1005" s="375"/>
      <c r="L1005" s="376"/>
      <c r="M1005" s="376"/>
      <c r="N1005" s="376"/>
      <c r="O1005" s="376"/>
      <c r="P1005" s="378"/>
      <c r="Q1005" s="378"/>
      <c r="R1005" s="378"/>
      <c r="S1005" s="378"/>
      <c r="T1005" s="378"/>
      <c r="U1005" s="378"/>
      <c r="V1005" s="533"/>
      <c r="W1005" s="418"/>
      <c r="X1005" s="418"/>
      <c r="Y1005" s="378">
        <f>IF(NFI_Expiration=1,IF($A1005&lt;VLOOKUP(H$5,NFI,5,0),1,0)*Table_NFI[[#This Row],[Hygiene Kit]],Table_NFI[Hygiene Kit])</f>
        <v>0</v>
      </c>
      <c r="Z1005" s="378">
        <f>IF(NFI_Expiration=1,IF($A1005&lt;VLOOKUP(I$5,NFI,5,0),1,0)*Table_NFI[[#This Row],[NFI Core Kit]],Table_NFI[NFI Core Kit])</f>
        <v>0</v>
      </c>
      <c r="AA1005" s="378">
        <f>IF(NFI_Expiration=1,IF($A1005&lt;VLOOKUP(J$5,NFI,5,0),1,0)*Table_NFI[[#This Row],[Sanitary Kit]],Table_NFI[Sanitary Kit])</f>
        <v>0</v>
      </c>
      <c r="AB1005" s="378">
        <f>IF(NFI_Expiration=1,IF($A1005&lt;VLOOKUP(K$5,NFI,5,0),1,0)*Table_NFI[[#This Row],[Mosquito net]],Table_NFI[Mosquito net])</f>
        <v>0</v>
      </c>
      <c r="AC1005" s="378">
        <f>IF(NFI_Expiration=1,IF($A1005&lt;VLOOKUP(L$5,NFI,5,0),1,0)*Table_NFI[[#This Row],[Tarpaulin]],Table_NFI[[#This Row],[Tarpaulin]])</f>
        <v>0</v>
      </c>
      <c r="AD1005" s="378">
        <f>IF(NFI_Expiration=1,IF($A1005&lt;VLOOKUP(M$5,NFI,5,0),1,0)*Table_NFI[[#This Row],[Blanket]],Table_NFI[[#This Row],[Blanket]])</f>
        <v>0</v>
      </c>
      <c r="AE1005" s="378">
        <f>IF(NFI_Expiration=1,IF($A1005&lt;VLOOKUP(N$5,NFI,5,0),1,0)*Table_NFI[[#This Row],[Kitchen Set]],Table_NFI[Kitchen Set])</f>
        <v>0</v>
      </c>
      <c r="AF1005" s="378">
        <f>IF(NFI_Expiration=1,IF($A1005&lt;VLOOKUP(O$5,NFI,5,0),1,0)*Table_NFI[[#This Row],[Clothes Kit]],Table_NFI[Clothes Kit])</f>
        <v>0</v>
      </c>
      <c r="AG1005" s="378">
        <f>IF(NFI_Expiration=1,IF($A1005&lt;VLOOKUP(P$5,NFI,5,0),1,0)*Table_NFI[[#This Row],[Plastic Bucket]],Table_NFI[Plastic Bucket])</f>
        <v>0</v>
      </c>
      <c r="AH1005" s="378">
        <f>IF(NFI_Expiration=1,IF($A1005&lt;VLOOKUP(Q$5,NFI,5,0),1,0)*Table_NFI[[#This Row],[Plastic Mat]],Table_NFI[Plastic Mat])*IF(Table_NFI[[#This Row],[Distribution Date]]&gt;"2014-04-01",1,2.5)</f>
        <v>0</v>
      </c>
      <c r="AI1005" s="378">
        <f>IF(NFI_Expiration=1,IF($A1005&lt;VLOOKUP(R$5,NFI,5,0),1,0)*Table_NFI[[#This Row],[Winter Clothes Adult]],Table_NFI[Winter Clothes Adult])</f>
        <v>0</v>
      </c>
      <c r="AJ1005" s="378">
        <f>IF(NFI_Expiration=1,IF($A1005&lt;VLOOKUP(S$5,NFI,5,0),1,0)*Table_NFI[[#This Row],[Winter Clothes Children]],Table_NFI[Winter Clothes Children])</f>
        <v>0</v>
      </c>
      <c r="AK1005" s="378">
        <f>IF(NFI_Expiration=1,IF($A1005&lt;VLOOKUP(T$5,NFI,5,0),1,0)*Table_NFI[[#This Row],[Winter Items Other]],Table_NFI[Winter Items Other])</f>
        <v>0</v>
      </c>
      <c r="AL1005" s="378">
        <f>IF(NFI_Expiration=1,IF($A1005&lt;VLOOKUP(M$5,NFI,5,0),1,0)*Table_NFI[[#This Row],[Winter Blanket]],Table_NFI[[#This Row],[Winter Blanket]])</f>
        <v>0</v>
      </c>
      <c r="AM1005" s="378">
        <f>IF(Table_NFI[[#This Row],[Winter Clothes Adult]]+Table_NFI[[#This Row],[Winter Clothes Children]]+Table_NFI[[#This Row],[Winter Items Other]]+Table_NFI[[#This Row],[Winter Blanket]]&gt;0,1,0)</f>
        <v>0</v>
      </c>
      <c r="AN1005" s="418">
        <f>IF(NFI_Expiration=1,IF($A1005&lt;VLOOKUP(V$5,NFI,5,0),1,0)*Table_NFI[[#This Row],[Jerry Can]],Table_NFI[Jerry Can])</f>
        <v>0</v>
      </c>
      <c r="AO1005" s="579" t="str">
        <f>IFERROR(VLOOKUP(Table_NFI[[#This Row],[Camp Name]],CL,2,0),"")</f>
        <v/>
      </c>
      <c r="AP1005" s="574" t="str">
        <f ca="1">IF(Table_NFI[[#This Row],[Pcode]]="","",IF(OFFSET(CampList[Opening Date],MATCH(Table_NFI[[#This Row],[Pcode]],CampList[CP_Pcode],0)-1,0,1,1)&gt;=NFI_Monitor_Date,1,0))</f>
        <v/>
      </c>
      <c r="AQ1005" s="579" t="str">
        <f>IFERROR(VLOOKUP(Table_NFI[[#This Row],[Camp Name]],CL,3,0),"")</f>
        <v/>
      </c>
      <c r="AR1005" s="378" t="str">
        <f ca="1">IF(Table_NFI[[#This Row],[Pcode]]="","",OFFSET(CampList[Priority],MATCH(Table_NFI[[#This Row],[Pcode]],CampList[CP_Pcode],0)-1,0,1,1))</f>
        <v/>
      </c>
      <c r="AS1005" s="377" t="str">
        <f>IFERROR(Table_NFI[[#This Row],[Kitchen Set]]/VLOOKUP(Table_NFI[[#This Row],[Camp Name]],CL,4,0),"")</f>
        <v/>
      </c>
      <c r="AT1005" s="572"/>
      <c r="AU1005" s="575"/>
    </row>
    <row r="1006" spans="1:47" x14ac:dyDescent="0.25">
      <c r="A1006" s="381" t="str">
        <f t="shared" si="15"/>
        <v/>
      </c>
      <c r="B1006" s="571"/>
      <c r="C1006" s="572"/>
      <c r="D1006" s="572"/>
      <c r="E1006" s="572"/>
      <c r="F1006" s="572"/>
      <c r="G1006" s="572"/>
      <c r="H1006" s="375"/>
      <c r="I1006" s="375"/>
      <c r="J1006" s="375"/>
      <c r="K1006" s="375"/>
      <c r="L1006" s="376"/>
      <c r="M1006" s="376"/>
      <c r="N1006" s="376"/>
      <c r="O1006" s="376"/>
      <c r="P1006" s="378"/>
      <c r="Q1006" s="378"/>
      <c r="R1006" s="378"/>
      <c r="S1006" s="378"/>
      <c r="T1006" s="378"/>
      <c r="U1006" s="378"/>
      <c r="V1006" s="533"/>
      <c r="W1006" s="418"/>
      <c r="X1006" s="418"/>
      <c r="Y1006" s="378">
        <f>IF(NFI_Expiration=1,IF($A1006&lt;VLOOKUP(H$5,NFI,5,0),1,0)*Table_NFI[[#This Row],[Hygiene Kit]],Table_NFI[Hygiene Kit])</f>
        <v>0</v>
      </c>
      <c r="Z1006" s="378">
        <f>IF(NFI_Expiration=1,IF($A1006&lt;VLOOKUP(I$5,NFI,5,0),1,0)*Table_NFI[[#This Row],[NFI Core Kit]],Table_NFI[NFI Core Kit])</f>
        <v>0</v>
      </c>
      <c r="AA1006" s="378">
        <f>IF(NFI_Expiration=1,IF($A1006&lt;VLOOKUP(J$5,NFI,5,0),1,0)*Table_NFI[[#This Row],[Sanitary Kit]],Table_NFI[Sanitary Kit])</f>
        <v>0</v>
      </c>
      <c r="AB1006" s="378">
        <f>IF(NFI_Expiration=1,IF($A1006&lt;VLOOKUP(K$5,NFI,5,0),1,0)*Table_NFI[[#This Row],[Mosquito net]],Table_NFI[Mosquito net])</f>
        <v>0</v>
      </c>
      <c r="AC1006" s="378">
        <f>IF(NFI_Expiration=1,IF($A1006&lt;VLOOKUP(L$5,NFI,5,0),1,0)*Table_NFI[[#This Row],[Tarpaulin]],Table_NFI[[#This Row],[Tarpaulin]])</f>
        <v>0</v>
      </c>
      <c r="AD1006" s="378">
        <f>IF(NFI_Expiration=1,IF($A1006&lt;VLOOKUP(M$5,NFI,5,0),1,0)*Table_NFI[[#This Row],[Blanket]],Table_NFI[[#This Row],[Blanket]])</f>
        <v>0</v>
      </c>
      <c r="AE1006" s="378">
        <f>IF(NFI_Expiration=1,IF($A1006&lt;VLOOKUP(N$5,NFI,5,0),1,0)*Table_NFI[[#This Row],[Kitchen Set]],Table_NFI[Kitchen Set])</f>
        <v>0</v>
      </c>
      <c r="AF1006" s="378">
        <f>IF(NFI_Expiration=1,IF($A1006&lt;VLOOKUP(O$5,NFI,5,0),1,0)*Table_NFI[[#This Row],[Clothes Kit]],Table_NFI[Clothes Kit])</f>
        <v>0</v>
      </c>
      <c r="AG1006" s="378">
        <f>IF(NFI_Expiration=1,IF($A1006&lt;VLOOKUP(P$5,NFI,5,0),1,0)*Table_NFI[[#This Row],[Plastic Bucket]],Table_NFI[Plastic Bucket])</f>
        <v>0</v>
      </c>
      <c r="AH1006" s="378">
        <f>IF(NFI_Expiration=1,IF($A1006&lt;VLOOKUP(Q$5,NFI,5,0),1,0)*Table_NFI[[#This Row],[Plastic Mat]],Table_NFI[Plastic Mat])*IF(Table_NFI[[#This Row],[Distribution Date]]&gt;"2014-04-01",1,2.5)</f>
        <v>0</v>
      </c>
      <c r="AI1006" s="378">
        <f>IF(NFI_Expiration=1,IF($A1006&lt;VLOOKUP(R$5,NFI,5,0),1,0)*Table_NFI[[#This Row],[Winter Clothes Adult]],Table_NFI[Winter Clothes Adult])</f>
        <v>0</v>
      </c>
      <c r="AJ1006" s="378">
        <f>IF(NFI_Expiration=1,IF($A1006&lt;VLOOKUP(S$5,NFI,5,0),1,0)*Table_NFI[[#This Row],[Winter Clothes Children]],Table_NFI[Winter Clothes Children])</f>
        <v>0</v>
      </c>
      <c r="AK1006" s="378">
        <f>IF(NFI_Expiration=1,IF($A1006&lt;VLOOKUP(T$5,NFI,5,0),1,0)*Table_NFI[[#This Row],[Winter Items Other]],Table_NFI[Winter Items Other])</f>
        <v>0</v>
      </c>
      <c r="AL1006" s="378">
        <f>IF(NFI_Expiration=1,IF($A1006&lt;VLOOKUP(M$5,NFI,5,0),1,0)*Table_NFI[[#This Row],[Winter Blanket]],Table_NFI[[#This Row],[Winter Blanket]])</f>
        <v>0</v>
      </c>
      <c r="AM1006" s="378">
        <f>IF(Table_NFI[[#This Row],[Winter Clothes Adult]]+Table_NFI[[#This Row],[Winter Clothes Children]]+Table_NFI[[#This Row],[Winter Items Other]]+Table_NFI[[#This Row],[Winter Blanket]]&gt;0,1,0)</f>
        <v>0</v>
      </c>
      <c r="AN1006" s="418">
        <f>IF(NFI_Expiration=1,IF($A1006&lt;VLOOKUP(V$5,NFI,5,0),1,0)*Table_NFI[[#This Row],[Jerry Can]],Table_NFI[Jerry Can])</f>
        <v>0</v>
      </c>
      <c r="AO1006" s="579" t="str">
        <f>IFERROR(VLOOKUP(Table_NFI[[#This Row],[Camp Name]],CL,2,0),"")</f>
        <v/>
      </c>
      <c r="AP1006" s="574" t="str">
        <f ca="1">IF(Table_NFI[[#This Row],[Pcode]]="","",IF(OFFSET(CampList[Opening Date],MATCH(Table_NFI[[#This Row],[Pcode]],CampList[CP_Pcode],0)-1,0,1,1)&gt;=NFI_Monitor_Date,1,0))</f>
        <v/>
      </c>
      <c r="AQ1006" s="579" t="str">
        <f>IFERROR(VLOOKUP(Table_NFI[[#This Row],[Camp Name]],CL,3,0),"")</f>
        <v/>
      </c>
      <c r="AR1006" s="378" t="str">
        <f ca="1">IF(Table_NFI[[#This Row],[Pcode]]="","",OFFSET(CampList[Priority],MATCH(Table_NFI[[#This Row],[Pcode]],CampList[CP_Pcode],0)-1,0,1,1))</f>
        <v/>
      </c>
      <c r="AS1006" s="377" t="str">
        <f>IFERROR(Table_NFI[[#This Row],[Kitchen Set]]/VLOOKUP(Table_NFI[[#This Row],[Camp Name]],CL,4,0),"")</f>
        <v/>
      </c>
      <c r="AT1006" s="572"/>
      <c r="AU1006" s="575"/>
    </row>
    <row r="1007" spans="1:47" x14ac:dyDescent="0.25">
      <c r="A1007" s="381" t="str">
        <f t="shared" si="15"/>
        <v/>
      </c>
      <c r="B1007" s="571"/>
      <c r="C1007" s="572"/>
      <c r="D1007" s="572"/>
      <c r="E1007" s="572"/>
      <c r="F1007" s="572"/>
      <c r="G1007" s="572"/>
      <c r="H1007" s="375"/>
      <c r="I1007" s="375"/>
      <c r="J1007" s="375"/>
      <c r="K1007" s="375"/>
      <c r="L1007" s="376"/>
      <c r="M1007" s="376"/>
      <c r="N1007" s="376"/>
      <c r="O1007" s="376"/>
      <c r="P1007" s="378"/>
      <c r="Q1007" s="378"/>
      <c r="R1007" s="378"/>
      <c r="S1007" s="378"/>
      <c r="T1007" s="378"/>
      <c r="U1007" s="378"/>
      <c r="V1007" s="533"/>
      <c r="W1007" s="418"/>
      <c r="X1007" s="418"/>
      <c r="Y1007" s="378">
        <f>IF(NFI_Expiration=1,IF($A1007&lt;VLOOKUP(H$5,NFI,5,0),1,0)*Table_NFI[[#This Row],[Hygiene Kit]],Table_NFI[Hygiene Kit])</f>
        <v>0</v>
      </c>
      <c r="Z1007" s="378">
        <f>IF(NFI_Expiration=1,IF($A1007&lt;VLOOKUP(I$5,NFI,5,0),1,0)*Table_NFI[[#This Row],[NFI Core Kit]],Table_NFI[NFI Core Kit])</f>
        <v>0</v>
      </c>
      <c r="AA1007" s="378">
        <f>IF(NFI_Expiration=1,IF($A1007&lt;VLOOKUP(J$5,NFI,5,0),1,0)*Table_NFI[[#This Row],[Sanitary Kit]],Table_NFI[Sanitary Kit])</f>
        <v>0</v>
      </c>
      <c r="AB1007" s="378">
        <f>IF(NFI_Expiration=1,IF($A1007&lt;VLOOKUP(K$5,NFI,5,0),1,0)*Table_NFI[[#This Row],[Mosquito net]],Table_NFI[Mosquito net])</f>
        <v>0</v>
      </c>
      <c r="AC1007" s="378">
        <f>IF(NFI_Expiration=1,IF($A1007&lt;VLOOKUP(L$5,NFI,5,0),1,0)*Table_NFI[[#This Row],[Tarpaulin]],Table_NFI[[#This Row],[Tarpaulin]])</f>
        <v>0</v>
      </c>
      <c r="AD1007" s="378">
        <f>IF(NFI_Expiration=1,IF($A1007&lt;VLOOKUP(M$5,NFI,5,0),1,0)*Table_NFI[[#This Row],[Blanket]],Table_NFI[[#This Row],[Blanket]])</f>
        <v>0</v>
      </c>
      <c r="AE1007" s="378">
        <f>IF(NFI_Expiration=1,IF($A1007&lt;VLOOKUP(N$5,NFI,5,0),1,0)*Table_NFI[[#This Row],[Kitchen Set]],Table_NFI[Kitchen Set])</f>
        <v>0</v>
      </c>
      <c r="AF1007" s="378">
        <f>IF(NFI_Expiration=1,IF($A1007&lt;VLOOKUP(O$5,NFI,5,0),1,0)*Table_NFI[[#This Row],[Clothes Kit]],Table_NFI[Clothes Kit])</f>
        <v>0</v>
      </c>
      <c r="AG1007" s="378">
        <f>IF(NFI_Expiration=1,IF($A1007&lt;VLOOKUP(P$5,NFI,5,0),1,0)*Table_NFI[[#This Row],[Plastic Bucket]],Table_NFI[Plastic Bucket])</f>
        <v>0</v>
      </c>
      <c r="AH1007" s="378">
        <f>IF(NFI_Expiration=1,IF($A1007&lt;VLOOKUP(Q$5,NFI,5,0),1,0)*Table_NFI[[#This Row],[Plastic Mat]],Table_NFI[Plastic Mat])*IF(Table_NFI[[#This Row],[Distribution Date]]&gt;"2014-04-01",1,2.5)</f>
        <v>0</v>
      </c>
      <c r="AI1007" s="378">
        <f>IF(NFI_Expiration=1,IF($A1007&lt;VLOOKUP(R$5,NFI,5,0),1,0)*Table_NFI[[#This Row],[Winter Clothes Adult]],Table_NFI[Winter Clothes Adult])</f>
        <v>0</v>
      </c>
      <c r="AJ1007" s="378">
        <f>IF(NFI_Expiration=1,IF($A1007&lt;VLOOKUP(S$5,NFI,5,0),1,0)*Table_NFI[[#This Row],[Winter Clothes Children]],Table_NFI[Winter Clothes Children])</f>
        <v>0</v>
      </c>
      <c r="AK1007" s="378">
        <f>IF(NFI_Expiration=1,IF($A1007&lt;VLOOKUP(T$5,NFI,5,0),1,0)*Table_NFI[[#This Row],[Winter Items Other]],Table_NFI[Winter Items Other])</f>
        <v>0</v>
      </c>
      <c r="AL1007" s="378">
        <f>IF(NFI_Expiration=1,IF($A1007&lt;VLOOKUP(M$5,NFI,5,0),1,0)*Table_NFI[[#This Row],[Winter Blanket]],Table_NFI[[#This Row],[Winter Blanket]])</f>
        <v>0</v>
      </c>
      <c r="AM1007" s="378">
        <f>IF(Table_NFI[[#This Row],[Winter Clothes Adult]]+Table_NFI[[#This Row],[Winter Clothes Children]]+Table_NFI[[#This Row],[Winter Items Other]]+Table_NFI[[#This Row],[Winter Blanket]]&gt;0,1,0)</f>
        <v>0</v>
      </c>
      <c r="AN1007" s="418">
        <f>IF(NFI_Expiration=1,IF($A1007&lt;VLOOKUP(V$5,NFI,5,0),1,0)*Table_NFI[[#This Row],[Jerry Can]],Table_NFI[Jerry Can])</f>
        <v>0</v>
      </c>
      <c r="AO1007" s="579" t="str">
        <f>IFERROR(VLOOKUP(Table_NFI[[#This Row],[Camp Name]],CL,2,0),"")</f>
        <v/>
      </c>
      <c r="AP1007" s="574" t="str">
        <f ca="1">IF(Table_NFI[[#This Row],[Pcode]]="","",IF(OFFSET(CampList[Opening Date],MATCH(Table_NFI[[#This Row],[Pcode]],CampList[CP_Pcode],0)-1,0,1,1)&gt;=NFI_Monitor_Date,1,0))</f>
        <v/>
      </c>
      <c r="AQ1007" s="579" t="str">
        <f>IFERROR(VLOOKUP(Table_NFI[[#This Row],[Camp Name]],CL,3,0),"")</f>
        <v/>
      </c>
      <c r="AR1007" s="378" t="str">
        <f ca="1">IF(Table_NFI[[#This Row],[Pcode]]="","",OFFSET(CampList[Priority],MATCH(Table_NFI[[#This Row],[Pcode]],CampList[CP_Pcode],0)-1,0,1,1))</f>
        <v/>
      </c>
      <c r="AS1007" s="377" t="str">
        <f>IFERROR(Table_NFI[[#This Row],[Kitchen Set]]/VLOOKUP(Table_NFI[[#This Row],[Camp Name]],CL,4,0),"")</f>
        <v/>
      </c>
      <c r="AT1007" s="577"/>
      <c r="AU1007" s="580"/>
    </row>
    <row r="1008" spans="1:47" x14ac:dyDescent="0.25">
      <c r="A1008" s="381" t="str">
        <f t="shared" si="15"/>
        <v/>
      </c>
      <c r="B1008" s="571"/>
      <c r="C1008" s="577"/>
      <c r="D1008" s="577"/>
      <c r="E1008" s="577"/>
      <c r="F1008" s="572"/>
      <c r="G1008" s="577"/>
      <c r="H1008" s="376"/>
      <c r="I1008" s="376"/>
      <c r="J1008" s="376"/>
      <c r="K1008" s="376"/>
      <c r="L1008" s="376"/>
      <c r="M1008" s="376"/>
      <c r="N1008" s="376"/>
      <c r="O1008" s="376"/>
      <c r="P1008" s="378"/>
      <c r="Q1008" s="378"/>
      <c r="R1008" s="378"/>
      <c r="S1008" s="378"/>
      <c r="T1008" s="378"/>
      <c r="U1008" s="378"/>
      <c r="V1008" s="533"/>
      <c r="W1008" s="418"/>
      <c r="X1008" s="418"/>
      <c r="Y1008" s="378">
        <f>IF(NFI_Expiration=1,IF($A1008&lt;VLOOKUP(H$5,NFI,5,0),1,0)*Table_NFI[[#This Row],[Hygiene Kit]],Table_NFI[Hygiene Kit])</f>
        <v>0</v>
      </c>
      <c r="Z1008" s="378">
        <f>IF(NFI_Expiration=1,IF($A1008&lt;VLOOKUP(I$5,NFI,5,0),1,0)*Table_NFI[[#This Row],[NFI Core Kit]],Table_NFI[NFI Core Kit])</f>
        <v>0</v>
      </c>
      <c r="AA1008" s="378">
        <f>IF(NFI_Expiration=1,IF($A1008&lt;VLOOKUP(J$5,NFI,5,0),1,0)*Table_NFI[[#This Row],[Sanitary Kit]],Table_NFI[Sanitary Kit])</f>
        <v>0</v>
      </c>
      <c r="AB1008" s="378">
        <f>IF(NFI_Expiration=1,IF($A1008&lt;VLOOKUP(K$5,NFI,5,0),1,0)*Table_NFI[[#This Row],[Mosquito net]],Table_NFI[Mosquito net])</f>
        <v>0</v>
      </c>
      <c r="AC1008" s="378">
        <f>IF(NFI_Expiration=1,IF($A1008&lt;VLOOKUP(L$5,NFI,5,0),1,0)*Table_NFI[[#This Row],[Tarpaulin]],Table_NFI[[#This Row],[Tarpaulin]])</f>
        <v>0</v>
      </c>
      <c r="AD1008" s="378">
        <f>IF(NFI_Expiration=1,IF($A1008&lt;VLOOKUP(M$5,NFI,5,0),1,0)*Table_NFI[[#This Row],[Blanket]],Table_NFI[[#This Row],[Blanket]])</f>
        <v>0</v>
      </c>
      <c r="AE1008" s="378">
        <f>IF(NFI_Expiration=1,IF($A1008&lt;VLOOKUP(N$5,NFI,5,0),1,0)*Table_NFI[[#This Row],[Kitchen Set]],Table_NFI[Kitchen Set])</f>
        <v>0</v>
      </c>
      <c r="AF1008" s="378">
        <f>IF(NFI_Expiration=1,IF($A1008&lt;VLOOKUP(O$5,NFI,5,0),1,0)*Table_NFI[[#This Row],[Clothes Kit]],Table_NFI[Clothes Kit])</f>
        <v>0</v>
      </c>
      <c r="AG1008" s="378">
        <f>IF(NFI_Expiration=1,IF($A1008&lt;VLOOKUP(P$5,NFI,5,0),1,0)*Table_NFI[[#This Row],[Plastic Bucket]],Table_NFI[Plastic Bucket])</f>
        <v>0</v>
      </c>
      <c r="AH1008" s="378">
        <f>IF(NFI_Expiration=1,IF($A1008&lt;VLOOKUP(Q$5,NFI,5,0),1,0)*Table_NFI[[#This Row],[Plastic Mat]],Table_NFI[Plastic Mat])*IF(Table_NFI[[#This Row],[Distribution Date]]&gt;"2014-04-01",1,2.5)</f>
        <v>0</v>
      </c>
      <c r="AI1008" s="378">
        <f>IF(NFI_Expiration=1,IF($A1008&lt;VLOOKUP(R$5,NFI,5,0),1,0)*Table_NFI[[#This Row],[Winter Clothes Adult]],Table_NFI[Winter Clothes Adult])</f>
        <v>0</v>
      </c>
      <c r="AJ1008" s="378">
        <f>IF(NFI_Expiration=1,IF($A1008&lt;VLOOKUP(S$5,NFI,5,0),1,0)*Table_NFI[[#This Row],[Winter Clothes Children]],Table_NFI[Winter Clothes Children])</f>
        <v>0</v>
      </c>
      <c r="AK1008" s="378">
        <f>IF(NFI_Expiration=1,IF($A1008&lt;VLOOKUP(T$5,NFI,5,0),1,0)*Table_NFI[[#This Row],[Winter Items Other]],Table_NFI[Winter Items Other])</f>
        <v>0</v>
      </c>
      <c r="AL1008" s="378">
        <f>IF(NFI_Expiration=1,IF($A1008&lt;VLOOKUP(M$5,NFI,5,0),1,0)*Table_NFI[[#This Row],[Winter Blanket]],Table_NFI[[#This Row],[Winter Blanket]])</f>
        <v>0</v>
      </c>
      <c r="AM1008" s="378">
        <f>IF(Table_NFI[[#This Row],[Winter Clothes Adult]]+Table_NFI[[#This Row],[Winter Clothes Children]]+Table_NFI[[#This Row],[Winter Items Other]]+Table_NFI[[#This Row],[Winter Blanket]]&gt;0,1,0)</f>
        <v>0</v>
      </c>
      <c r="AN1008" s="418">
        <f>IF(NFI_Expiration=1,IF($A1008&lt;VLOOKUP(V$5,NFI,5,0),1,0)*Table_NFI[[#This Row],[Jerry Can]],Table_NFI[Jerry Can])</f>
        <v>0</v>
      </c>
      <c r="AO1008" s="579" t="str">
        <f>IFERROR(VLOOKUP(Table_NFI[[#This Row],[Camp Name]],CL,2,0),"")</f>
        <v/>
      </c>
      <c r="AP1008" s="574" t="str">
        <f ca="1">IF(Table_NFI[[#This Row],[Pcode]]="","",IF(OFFSET(CampList[Opening Date],MATCH(Table_NFI[[#This Row],[Pcode]],CampList[CP_Pcode],0)-1,0,1,1)&gt;=NFI_Monitor_Date,1,0))</f>
        <v/>
      </c>
      <c r="AQ1008" s="579" t="str">
        <f>IFERROR(VLOOKUP(Table_NFI[[#This Row],[Camp Name]],CL,3,0),"")</f>
        <v/>
      </c>
      <c r="AR1008" s="378" t="str">
        <f ca="1">IF(Table_NFI[[#This Row],[Pcode]]="","",OFFSET(CampList[Priority],MATCH(Table_NFI[[#This Row],[Pcode]],CampList[CP_Pcode],0)-1,0,1,1))</f>
        <v/>
      </c>
      <c r="AS1008" s="377" t="str">
        <f>IFERROR(Table_NFI[[#This Row],[Kitchen Set]]/VLOOKUP(Table_NFI[[#This Row],[Camp Name]],CL,4,0),"")</f>
        <v/>
      </c>
      <c r="AT1008" s="572"/>
      <c r="AU1008" s="601"/>
    </row>
    <row r="1009" spans="1:47" x14ac:dyDescent="0.25">
      <c r="A1009" s="381" t="str">
        <f t="shared" si="15"/>
        <v/>
      </c>
      <c r="B1009" s="571"/>
      <c r="C1009" s="572"/>
      <c r="D1009" s="572"/>
      <c r="E1009" s="572"/>
      <c r="F1009" s="572"/>
      <c r="G1009" s="572"/>
      <c r="H1009" s="375"/>
      <c r="I1009" s="375"/>
      <c r="J1009" s="375"/>
      <c r="K1009" s="375"/>
      <c r="L1009" s="376"/>
      <c r="M1009" s="376"/>
      <c r="N1009" s="376"/>
      <c r="O1009" s="376"/>
      <c r="P1009" s="378"/>
      <c r="Q1009" s="378"/>
      <c r="R1009" s="378"/>
      <c r="S1009" s="378"/>
      <c r="T1009" s="378"/>
      <c r="U1009" s="378"/>
      <c r="V1009" s="533"/>
      <c r="W1009" s="418"/>
      <c r="X1009" s="418"/>
      <c r="Y1009" s="378">
        <f>IF(NFI_Expiration=1,IF($A1009&lt;VLOOKUP(H$5,NFI,5,0),1,0)*Table_NFI[[#This Row],[Hygiene Kit]],Table_NFI[Hygiene Kit])</f>
        <v>0</v>
      </c>
      <c r="Z1009" s="378">
        <f>IF(NFI_Expiration=1,IF($A1009&lt;VLOOKUP(I$5,NFI,5,0),1,0)*Table_NFI[[#This Row],[NFI Core Kit]],Table_NFI[NFI Core Kit])</f>
        <v>0</v>
      </c>
      <c r="AA1009" s="378">
        <f>IF(NFI_Expiration=1,IF($A1009&lt;VLOOKUP(J$5,NFI,5,0),1,0)*Table_NFI[[#This Row],[Sanitary Kit]],Table_NFI[Sanitary Kit])</f>
        <v>0</v>
      </c>
      <c r="AB1009" s="378">
        <f>IF(NFI_Expiration=1,IF($A1009&lt;VLOOKUP(K$5,NFI,5,0),1,0)*Table_NFI[[#This Row],[Mosquito net]],Table_NFI[Mosquito net])</f>
        <v>0</v>
      </c>
      <c r="AC1009" s="378">
        <f>IF(NFI_Expiration=1,IF($A1009&lt;VLOOKUP(L$5,NFI,5,0),1,0)*Table_NFI[[#This Row],[Tarpaulin]],Table_NFI[[#This Row],[Tarpaulin]])</f>
        <v>0</v>
      </c>
      <c r="AD1009" s="378">
        <f>IF(NFI_Expiration=1,IF($A1009&lt;VLOOKUP(M$5,NFI,5,0),1,0)*Table_NFI[[#This Row],[Blanket]],Table_NFI[[#This Row],[Blanket]])</f>
        <v>0</v>
      </c>
      <c r="AE1009" s="378">
        <f>IF(NFI_Expiration=1,IF($A1009&lt;VLOOKUP(N$5,NFI,5,0),1,0)*Table_NFI[[#This Row],[Kitchen Set]],Table_NFI[Kitchen Set])</f>
        <v>0</v>
      </c>
      <c r="AF1009" s="378">
        <f>IF(NFI_Expiration=1,IF($A1009&lt;VLOOKUP(O$5,NFI,5,0),1,0)*Table_NFI[[#This Row],[Clothes Kit]],Table_NFI[Clothes Kit])</f>
        <v>0</v>
      </c>
      <c r="AG1009" s="378">
        <f>IF(NFI_Expiration=1,IF($A1009&lt;VLOOKUP(P$5,NFI,5,0),1,0)*Table_NFI[[#This Row],[Plastic Bucket]],Table_NFI[Plastic Bucket])</f>
        <v>0</v>
      </c>
      <c r="AH1009" s="378">
        <f>IF(NFI_Expiration=1,IF($A1009&lt;VLOOKUP(Q$5,NFI,5,0),1,0)*Table_NFI[[#This Row],[Plastic Mat]],Table_NFI[Plastic Mat])*IF(Table_NFI[[#This Row],[Distribution Date]]&gt;"2014-04-01",1,2.5)</f>
        <v>0</v>
      </c>
      <c r="AI1009" s="378">
        <f>IF(NFI_Expiration=1,IF($A1009&lt;VLOOKUP(R$5,NFI,5,0),1,0)*Table_NFI[[#This Row],[Winter Clothes Adult]],Table_NFI[Winter Clothes Adult])</f>
        <v>0</v>
      </c>
      <c r="AJ1009" s="378">
        <f>IF(NFI_Expiration=1,IF($A1009&lt;VLOOKUP(S$5,NFI,5,0),1,0)*Table_NFI[[#This Row],[Winter Clothes Children]],Table_NFI[Winter Clothes Children])</f>
        <v>0</v>
      </c>
      <c r="AK1009" s="378">
        <f>IF(NFI_Expiration=1,IF($A1009&lt;VLOOKUP(T$5,NFI,5,0),1,0)*Table_NFI[[#This Row],[Winter Items Other]],Table_NFI[Winter Items Other])</f>
        <v>0</v>
      </c>
      <c r="AL1009" s="378">
        <f>IF(NFI_Expiration=1,IF($A1009&lt;VLOOKUP(M$5,NFI,5,0),1,0)*Table_NFI[[#This Row],[Winter Blanket]],Table_NFI[[#This Row],[Winter Blanket]])</f>
        <v>0</v>
      </c>
      <c r="AM1009" s="378">
        <f>IF(Table_NFI[[#This Row],[Winter Clothes Adult]]+Table_NFI[[#This Row],[Winter Clothes Children]]+Table_NFI[[#This Row],[Winter Items Other]]+Table_NFI[[#This Row],[Winter Blanket]]&gt;0,1,0)</f>
        <v>0</v>
      </c>
      <c r="AN1009" s="418">
        <f>IF(NFI_Expiration=1,IF($A1009&lt;VLOOKUP(V$5,NFI,5,0),1,0)*Table_NFI[[#This Row],[Jerry Can]],Table_NFI[Jerry Can])</f>
        <v>0</v>
      </c>
      <c r="AO1009" s="579" t="str">
        <f>IFERROR(VLOOKUP(Table_NFI[[#This Row],[Camp Name]],CL,2,0),"")</f>
        <v/>
      </c>
      <c r="AP1009" s="574" t="str">
        <f ca="1">IF(Table_NFI[[#This Row],[Pcode]]="","",IF(OFFSET(CampList[Opening Date],MATCH(Table_NFI[[#This Row],[Pcode]],CampList[CP_Pcode],0)-1,0,1,1)&gt;=NFI_Monitor_Date,1,0))</f>
        <v/>
      </c>
      <c r="AQ1009" s="579" t="str">
        <f>IFERROR(VLOOKUP(Table_NFI[[#This Row],[Camp Name]],CL,3,0),"")</f>
        <v/>
      </c>
      <c r="AR1009" s="378" t="str">
        <f ca="1">IF(Table_NFI[[#This Row],[Pcode]]="","",OFFSET(CampList[Priority],MATCH(Table_NFI[[#This Row],[Pcode]],CampList[CP_Pcode],0)-1,0,1,1))</f>
        <v/>
      </c>
      <c r="AS1009" s="377" t="str">
        <f>IFERROR(Table_NFI[[#This Row],[Kitchen Set]]/VLOOKUP(Table_NFI[[#This Row],[Camp Name]],CL,4,0),"")</f>
        <v/>
      </c>
      <c r="AT1009" s="572"/>
      <c r="AU1009" s="575"/>
    </row>
    <row r="1010" spans="1:47" x14ac:dyDescent="0.25">
      <c r="A1010" s="381" t="str">
        <f t="shared" si="15"/>
        <v/>
      </c>
      <c r="B1010" s="571"/>
      <c r="C1010" s="577"/>
      <c r="D1010" s="577"/>
      <c r="E1010" s="572"/>
      <c r="F1010" s="572"/>
      <c r="G1010" s="572"/>
      <c r="H1010" s="376"/>
      <c r="I1010" s="376"/>
      <c r="J1010" s="376"/>
      <c r="K1010" s="376"/>
      <c r="L1010" s="376"/>
      <c r="M1010" s="376"/>
      <c r="N1010" s="376"/>
      <c r="O1010" s="376"/>
      <c r="P1010" s="378"/>
      <c r="Q1010" s="378"/>
      <c r="R1010" s="378"/>
      <c r="S1010" s="378"/>
      <c r="T1010" s="378"/>
      <c r="U1010" s="378"/>
      <c r="V1010" s="533"/>
      <c r="W1010" s="418"/>
      <c r="X1010" s="418"/>
      <c r="Y1010" s="378">
        <f>IF(NFI_Expiration=1,IF($A1010&lt;VLOOKUP(H$5,NFI,5,0),1,0)*Table_NFI[[#This Row],[Hygiene Kit]],Table_NFI[Hygiene Kit])</f>
        <v>0</v>
      </c>
      <c r="Z1010" s="378">
        <f>IF(NFI_Expiration=1,IF($A1010&lt;VLOOKUP(I$5,NFI,5,0),1,0)*Table_NFI[[#This Row],[NFI Core Kit]],Table_NFI[NFI Core Kit])</f>
        <v>0</v>
      </c>
      <c r="AA1010" s="378">
        <f>IF(NFI_Expiration=1,IF($A1010&lt;VLOOKUP(J$5,NFI,5,0),1,0)*Table_NFI[[#This Row],[Sanitary Kit]],Table_NFI[Sanitary Kit])</f>
        <v>0</v>
      </c>
      <c r="AB1010" s="378">
        <f>IF(NFI_Expiration=1,IF($A1010&lt;VLOOKUP(K$5,NFI,5,0),1,0)*Table_NFI[[#This Row],[Mosquito net]],Table_NFI[Mosquito net])</f>
        <v>0</v>
      </c>
      <c r="AC1010" s="378">
        <f>IF(NFI_Expiration=1,IF($A1010&lt;VLOOKUP(L$5,NFI,5,0),1,0)*Table_NFI[[#This Row],[Tarpaulin]],Table_NFI[[#This Row],[Tarpaulin]])</f>
        <v>0</v>
      </c>
      <c r="AD1010" s="378">
        <f>IF(NFI_Expiration=1,IF($A1010&lt;VLOOKUP(M$5,NFI,5,0),1,0)*Table_NFI[[#This Row],[Blanket]],Table_NFI[[#This Row],[Blanket]])</f>
        <v>0</v>
      </c>
      <c r="AE1010" s="378">
        <f>IF(NFI_Expiration=1,IF($A1010&lt;VLOOKUP(N$5,NFI,5,0),1,0)*Table_NFI[[#This Row],[Kitchen Set]],Table_NFI[Kitchen Set])</f>
        <v>0</v>
      </c>
      <c r="AF1010" s="378">
        <f>IF(NFI_Expiration=1,IF($A1010&lt;VLOOKUP(O$5,NFI,5,0),1,0)*Table_NFI[[#This Row],[Clothes Kit]],Table_NFI[Clothes Kit])</f>
        <v>0</v>
      </c>
      <c r="AG1010" s="378">
        <f>IF(NFI_Expiration=1,IF($A1010&lt;VLOOKUP(P$5,NFI,5,0),1,0)*Table_NFI[[#This Row],[Plastic Bucket]],Table_NFI[Plastic Bucket])</f>
        <v>0</v>
      </c>
      <c r="AH1010" s="378">
        <f>IF(NFI_Expiration=1,IF($A1010&lt;VLOOKUP(Q$5,NFI,5,0),1,0)*Table_NFI[[#This Row],[Plastic Mat]],Table_NFI[Plastic Mat])*IF(Table_NFI[[#This Row],[Distribution Date]]&gt;"2014-04-01",1,2.5)</f>
        <v>0</v>
      </c>
      <c r="AI1010" s="378">
        <f>IF(NFI_Expiration=1,IF($A1010&lt;VLOOKUP(R$5,NFI,5,0),1,0)*Table_NFI[[#This Row],[Winter Clothes Adult]],Table_NFI[Winter Clothes Adult])</f>
        <v>0</v>
      </c>
      <c r="AJ1010" s="378">
        <f>IF(NFI_Expiration=1,IF($A1010&lt;VLOOKUP(S$5,NFI,5,0),1,0)*Table_NFI[[#This Row],[Winter Clothes Children]],Table_NFI[Winter Clothes Children])</f>
        <v>0</v>
      </c>
      <c r="AK1010" s="378">
        <f>IF(NFI_Expiration=1,IF($A1010&lt;VLOOKUP(T$5,NFI,5,0),1,0)*Table_NFI[[#This Row],[Winter Items Other]],Table_NFI[Winter Items Other])</f>
        <v>0</v>
      </c>
      <c r="AL1010" s="378">
        <f>IF(NFI_Expiration=1,IF($A1010&lt;VLOOKUP(M$5,NFI,5,0),1,0)*Table_NFI[[#This Row],[Winter Blanket]],Table_NFI[[#This Row],[Winter Blanket]])</f>
        <v>0</v>
      </c>
      <c r="AM1010" s="378">
        <f>IF(Table_NFI[[#This Row],[Winter Clothes Adult]]+Table_NFI[[#This Row],[Winter Clothes Children]]+Table_NFI[[#This Row],[Winter Items Other]]+Table_NFI[[#This Row],[Winter Blanket]]&gt;0,1,0)</f>
        <v>0</v>
      </c>
      <c r="AN1010" s="418">
        <f>IF(NFI_Expiration=1,IF($A1010&lt;VLOOKUP(V$5,NFI,5,0),1,0)*Table_NFI[[#This Row],[Jerry Can]],Table_NFI[Jerry Can])</f>
        <v>0</v>
      </c>
      <c r="AO1010" s="579" t="str">
        <f>IFERROR(VLOOKUP(Table_NFI[[#This Row],[Camp Name]],CL,2,0),"")</f>
        <v/>
      </c>
      <c r="AP1010" s="574" t="str">
        <f ca="1">IF(Table_NFI[[#This Row],[Pcode]]="","",IF(OFFSET(CampList[Opening Date],MATCH(Table_NFI[[#This Row],[Pcode]],CampList[CP_Pcode],0)-1,0,1,1)&gt;=NFI_Monitor_Date,1,0))</f>
        <v/>
      </c>
      <c r="AQ1010" s="579" t="str">
        <f>IFERROR(VLOOKUP(Table_NFI[[#This Row],[Camp Name]],CL,3,0),"")</f>
        <v/>
      </c>
      <c r="AR1010" s="378" t="str">
        <f ca="1">IF(Table_NFI[[#This Row],[Pcode]]="","",OFFSET(CampList[Priority],MATCH(Table_NFI[[#This Row],[Pcode]],CampList[CP_Pcode],0)-1,0,1,1))</f>
        <v/>
      </c>
      <c r="AS1010" s="377" t="str">
        <f>IFERROR(Table_NFI[[#This Row],[Kitchen Set]]/VLOOKUP(Table_NFI[[#This Row],[Camp Name]],CL,4,0),"")</f>
        <v/>
      </c>
      <c r="AT1010" s="572"/>
      <c r="AU1010" s="575"/>
    </row>
    <row r="1011" spans="1:47" x14ac:dyDescent="0.25">
      <c r="A1011" s="381" t="str">
        <f t="shared" si="15"/>
        <v/>
      </c>
      <c r="B1011" s="571"/>
      <c r="C1011" s="572"/>
      <c r="D1011" s="572"/>
      <c r="E1011" s="572"/>
      <c r="F1011" s="572"/>
      <c r="G1011" s="572"/>
      <c r="H1011" s="375"/>
      <c r="I1011" s="375"/>
      <c r="J1011" s="375"/>
      <c r="K1011" s="375"/>
      <c r="L1011" s="376"/>
      <c r="M1011" s="376"/>
      <c r="N1011" s="376"/>
      <c r="O1011" s="376"/>
      <c r="P1011" s="378"/>
      <c r="Q1011" s="378"/>
      <c r="R1011" s="378"/>
      <c r="S1011" s="378"/>
      <c r="T1011" s="378"/>
      <c r="U1011" s="378"/>
      <c r="V1011" s="533"/>
      <c r="W1011" s="418"/>
      <c r="X1011" s="418"/>
      <c r="Y1011" s="378">
        <f>IF(NFI_Expiration=1,IF($A1011&lt;VLOOKUP(H$5,NFI,5,0),1,0)*Table_NFI[[#This Row],[Hygiene Kit]],Table_NFI[Hygiene Kit])</f>
        <v>0</v>
      </c>
      <c r="Z1011" s="378">
        <f>IF(NFI_Expiration=1,IF($A1011&lt;VLOOKUP(I$5,NFI,5,0),1,0)*Table_NFI[[#This Row],[NFI Core Kit]],Table_NFI[NFI Core Kit])</f>
        <v>0</v>
      </c>
      <c r="AA1011" s="378">
        <f>IF(NFI_Expiration=1,IF($A1011&lt;VLOOKUP(J$5,NFI,5,0),1,0)*Table_NFI[[#This Row],[Sanitary Kit]],Table_NFI[Sanitary Kit])</f>
        <v>0</v>
      </c>
      <c r="AB1011" s="378">
        <f>IF(NFI_Expiration=1,IF($A1011&lt;VLOOKUP(K$5,NFI,5,0),1,0)*Table_NFI[[#This Row],[Mosquito net]],Table_NFI[Mosquito net])</f>
        <v>0</v>
      </c>
      <c r="AC1011" s="378">
        <f>IF(NFI_Expiration=1,IF($A1011&lt;VLOOKUP(L$5,NFI,5,0),1,0)*Table_NFI[[#This Row],[Tarpaulin]],Table_NFI[[#This Row],[Tarpaulin]])</f>
        <v>0</v>
      </c>
      <c r="AD1011" s="378">
        <f>IF(NFI_Expiration=1,IF($A1011&lt;VLOOKUP(M$5,NFI,5,0),1,0)*Table_NFI[[#This Row],[Blanket]],Table_NFI[[#This Row],[Blanket]])</f>
        <v>0</v>
      </c>
      <c r="AE1011" s="378">
        <f>IF(NFI_Expiration=1,IF($A1011&lt;VLOOKUP(N$5,NFI,5,0),1,0)*Table_NFI[[#This Row],[Kitchen Set]],Table_NFI[Kitchen Set])</f>
        <v>0</v>
      </c>
      <c r="AF1011" s="378">
        <f>IF(NFI_Expiration=1,IF($A1011&lt;VLOOKUP(O$5,NFI,5,0),1,0)*Table_NFI[[#This Row],[Clothes Kit]],Table_NFI[Clothes Kit])</f>
        <v>0</v>
      </c>
      <c r="AG1011" s="378">
        <f>IF(NFI_Expiration=1,IF($A1011&lt;VLOOKUP(P$5,NFI,5,0),1,0)*Table_NFI[[#This Row],[Plastic Bucket]],Table_NFI[Plastic Bucket])</f>
        <v>0</v>
      </c>
      <c r="AH1011" s="378">
        <f>IF(NFI_Expiration=1,IF($A1011&lt;VLOOKUP(Q$5,NFI,5,0),1,0)*Table_NFI[[#This Row],[Plastic Mat]],Table_NFI[Plastic Mat])*IF(Table_NFI[[#This Row],[Distribution Date]]&gt;"2014-04-01",1,2.5)</f>
        <v>0</v>
      </c>
      <c r="AI1011" s="378">
        <f>IF(NFI_Expiration=1,IF($A1011&lt;VLOOKUP(R$5,NFI,5,0),1,0)*Table_NFI[[#This Row],[Winter Clothes Adult]],Table_NFI[Winter Clothes Adult])</f>
        <v>0</v>
      </c>
      <c r="AJ1011" s="378">
        <f>IF(NFI_Expiration=1,IF($A1011&lt;VLOOKUP(S$5,NFI,5,0),1,0)*Table_NFI[[#This Row],[Winter Clothes Children]],Table_NFI[Winter Clothes Children])</f>
        <v>0</v>
      </c>
      <c r="AK1011" s="378">
        <f>IF(NFI_Expiration=1,IF($A1011&lt;VLOOKUP(T$5,NFI,5,0),1,0)*Table_NFI[[#This Row],[Winter Items Other]],Table_NFI[Winter Items Other])</f>
        <v>0</v>
      </c>
      <c r="AL1011" s="378">
        <f>IF(NFI_Expiration=1,IF($A1011&lt;VLOOKUP(M$5,NFI,5,0),1,0)*Table_NFI[[#This Row],[Winter Blanket]],Table_NFI[[#This Row],[Winter Blanket]])</f>
        <v>0</v>
      </c>
      <c r="AM1011" s="378">
        <f>IF(Table_NFI[[#This Row],[Winter Clothes Adult]]+Table_NFI[[#This Row],[Winter Clothes Children]]+Table_NFI[[#This Row],[Winter Items Other]]+Table_NFI[[#This Row],[Winter Blanket]]&gt;0,1,0)</f>
        <v>0</v>
      </c>
      <c r="AN1011" s="418">
        <f>IF(NFI_Expiration=1,IF($A1011&lt;VLOOKUP(V$5,NFI,5,0),1,0)*Table_NFI[[#This Row],[Jerry Can]],Table_NFI[Jerry Can])</f>
        <v>0</v>
      </c>
      <c r="AO1011" s="579" t="str">
        <f>IFERROR(VLOOKUP(Table_NFI[[#This Row],[Camp Name]],CL,2,0),"")</f>
        <v/>
      </c>
      <c r="AP1011" s="574" t="str">
        <f ca="1">IF(Table_NFI[[#This Row],[Pcode]]="","",IF(OFFSET(CampList[Opening Date],MATCH(Table_NFI[[#This Row],[Pcode]],CampList[CP_Pcode],0)-1,0,1,1)&gt;=NFI_Monitor_Date,1,0))</f>
        <v/>
      </c>
      <c r="AQ1011" s="579" t="str">
        <f>IFERROR(VLOOKUP(Table_NFI[[#This Row],[Camp Name]],CL,3,0),"")</f>
        <v/>
      </c>
      <c r="AR1011" s="378" t="str">
        <f ca="1">IF(Table_NFI[[#This Row],[Pcode]]="","",OFFSET(CampList[Priority],MATCH(Table_NFI[[#This Row],[Pcode]],CampList[CP_Pcode],0)-1,0,1,1))</f>
        <v/>
      </c>
      <c r="AS1011" s="377" t="str">
        <f>IFERROR(Table_NFI[[#This Row],[Kitchen Set]]/VLOOKUP(Table_NFI[[#This Row],[Camp Name]],CL,4,0),"")</f>
        <v/>
      </c>
      <c r="AT1011" s="577"/>
      <c r="AU1011" s="580"/>
    </row>
    <row r="1012" spans="1:47" x14ac:dyDescent="0.25">
      <c r="A1012" s="381" t="str">
        <f t="shared" si="15"/>
        <v/>
      </c>
      <c r="B1012" s="571"/>
      <c r="C1012" s="572"/>
      <c r="D1012" s="572"/>
      <c r="E1012" s="572"/>
      <c r="F1012" s="572"/>
      <c r="G1012" s="572"/>
      <c r="H1012" s="375"/>
      <c r="I1012" s="375"/>
      <c r="J1012" s="375"/>
      <c r="K1012" s="375"/>
      <c r="L1012" s="376"/>
      <c r="M1012" s="376"/>
      <c r="N1012" s="376"/>
      <c r="O1012" s="376"/>
      <c r="P1012" s="378"/>
      <c r="Q1012" s="378"/>
      <c r="R1012" s="378"/>
      <c r="S1012" s="378"/>
      <c r="T1012" s="378"/>
      <c r="U1012" s="378"/>
      <c r="V1012" s="533"/>
      <c r="W1012" s="418"/>
      <c r="X1012" s="418"/>
      <c r="Y1012" s="378">
        <f>IF(NFI_Expiration=1,IF($A1012&lt;VLOOKUP(H$5,NFI,5,0),1,0)*Table_NFI[[#This Row],[Hygiene Kit]],Table_NFI[Hygiene Kit])</f>
        <v>0</v>
      </c>
      <c r="Z1012" s="378">
        <f>IF(NFI_Expiration=1,IF($A1012&lt;VLOOKUP(I$5,NFI,5,0),1,0)*Table_NFI[[#This Row],[NFI Core Kit]],Table_NFI[NFI Core Kit])</f>
        <v>0</v>
      </c>
      <c r="AA1012" s="378">
        <f>IF(NFI_Expiration=1,IF($A1012&lt;VLOOKUP(J$5,NFI,5,0),1,0)*Table_NFI[[#This Row],[Sanitary Kit]],Table_NFI[Sanitary Kit])</f>
        <v>0</v>
      </c>
      <c r="AB1012" s="378">
        <f>IF(NFI_Expiration=1,IF($A1012&lt;VLOOKUP(K$5,NFI,5,0),1,0)*Table_NFI[[#This Row],[Mosquito net]],Table_NFI[Mosquito net])</f>
        <v>0</v>
      </c>
      <c r="AC1012" s="378">
        <f>IF(NFI_Expiration=1,IF($A1012&lt;VLOOKUP(L$5,NFI,5,0),1,0)*Table_NFI[[#This Row],[Tarpaulin]],Table_NFI[[#This Row],[Tarpaulin]])</f>
        <v>0</v>
      </c>
      <c r="AD1012" s="378">
        <f>IF(NFI_Expiration=1,IF($A1012&lt;VLOOKUP(M$5,NFI,5,0),1,0)*Table_NFI[[#This Row],[Blanket]],Table_NFI[[#This Row],[Blanket]])</f>
        <v>0</v>
      </c>
      <c r="AE1012" s="378">
        <f>IF(NFI_Expiration=1,IF($A1012&lt;VLOOKUP(N$5,NFI,5,0),1,0)*Table_NFI[[#This Row],[Kitchen Set]],Table_NFI[Kitchen Set])</f>
        <v>0</v>
      </c>
      <c r="AF1012" s="378">
        <f>IF(NFI_Expiration=1,IF($A1012&lt;VLOOKUP(O$5,NFI,5,0),1,0)*Table_NFI[[#This Row],[Clothes Kit]],Table_NFI[Clothes Kit])</f>
        <v>0</v>
      </c>
      <c r="AG1012" s="378">
        <f>IF(NFI_Expiration=1,IF($A1012&lt;VLOOKUP(P$5,NFI,5,0),1,0)*Table_NFI[[#This Row],[Plastic Bucket]],Table_NFI[Plastic Bucket])</f>
        <v>0</v>
      </c>
      <c r="AH1012" s="378">
        <f>IF(NFI_Expiration=1,IF($A1012&lt;VLOOKUP(Q$5,NFI,5,0),1,0)*Table_NFI[[#This Row],[Plastic Mat]],Table_NFI[Plastic Mat])*IF(Table_NFI[[#This Row],[Distribution Date]]&gt;"2014-04-01",1,2.5)</f>
        <v>0</v>
      </c>
      <c r="AI1012" s="378">
        <f>IF(NFI_Expiration=1,IF($A1012&lt;VLOOKUP(R$5,NFI,5,0),1,0)*Table_NFI[[#This Row],[Winter Clothes Adult]],Table_NFI[Winter Clothes Adult])</f>
        <v>0</v>
      </c>
      <c r="AJ1012" s="378">
        <f>IF(NFI_Expiration=1,IF($A1012&lt;VLOOKUP(S$5,NFI,5,0),1,0)*Table_NFI[[#This Row],[Winter Clothes Children]],Table_NFI[Winter Clothes Children])</f>
        <v>0</v>
      </c>
      <c r="AK1012" s="378">
        <f>IF(NFI_Expiration=1,IF($A1012&lt;VLOOKUP(T$5,NFI,5,0),1,0)*Table_NFI[[#This Row],[Winter Items Other]],Table_NFI[Winter Items Other])</f>
        <v>0</v>
      </c>
      <c r="AL1012" s="378">
        <f>IF(NFI_Expiration=1,IF($A1012&lt;VLOOKUP(M$5,NFI,5,0),1,0)*Table_NFI[[#This Row],[Winter Blanket]],Table_NFI[[#This Row],[Winter Blanket]])</f>
        <v>0</v>
      </c>
      <c r="AM1012" s="378">
        <f>IF(Table_NFI[[#This Row],[Winter Clothes Adult]]+Table_NFI[[#This Row],[Winter Clothes Children]]+Table_NFI[[#This Row],[Winter Items Other]]+Table_NFI[[#This Row],[Winter Blanket]]&gt;0,1,0)</f>
        <v>0</v>
      </c>
      <c r="AN1012" s="418">
        <f>IF(NFI_Expiration=1,IF($A1012&lt;VLOOKUP(V$5,NFI,5,0),1,0)*Table_NFI[[#This Row],[Jerry Can]],Table_NFI[Jerry Can])</f>
        <v>0</v>
      </c>
      <c r="AO1012" s="579" t="str">
        <f>IFERROR(VLOOKUP(Table_NFI[[#This Row],[Camp Name]],CL,2,0),"")</f>
        <v/>
      </c>
      <c r="AP1012" s="574" t="str">
        <f ca="1">IF(Table_NFI[[#This Row],[Pcode]]="","",IF(OFFSET(CampList[Opening Date],MATCH(Table_NFI[[#This Row],[Pcode]],CampList[CP_Pcode],0)-1,0,1,1)&gt;=NFI_Monitor_Date,1,0))</f>
        <v/>
      </c>
      <c r="AQ1012" s="579" t="str">
        <f>IFERROR(VLOOKUP(Table_NFI[[#This Row],[Camp Name]],CL,3,0),"")</f>
        <v/>
      </c>
      <c r="AR1012" s="378" t="str">
        <f ca="1">IF(Table_NFI[[#This Row],[Pcode]]="","",OFFSET(CampList[Priority],MATCH(Table_NFI[[#This Row],[Pcode]],CampList[CP_Pcode],0)-1,0,1,1))</f>
        <v/>
      </c>
      <c r="AS1012" s="377" t="str">
        <f>IFERROR(Table_NFI[[#This Row],[Kitchen Set]]/VLOOKUP(Table_NFI[[#This Row],[Camp Name]],CL,4,0),"")</f>
        <v/>
      </c>
      <c r="AT1012" s="572"/>
      <c r="AU1012" s="575"/>
    </row>
    <row r="1013" spans="1:47" x14ac:dyDescent="0.25">
      <c r="A1013" s="381" t="str">
        <f t="shared" si="15"/>
        <v/>
      </c>
      <c r="B1013" s="571"/>
      <c r="C1013" s="572"/>
      <c r="D1013" s="572"/>
      <c r="E1013" s="572"/>
      <c r="F1013" s="572"/>
      <c r="G1013" s="572"/>
      <c r="H1013" s="375"/>
      <c r="I1013" s="375"/>
      <c r="J1013" s="375"/>
      <c r="K1013" s="375"/>
      <c r="L1013" s="376"/>
      <c r="M1013" s="376"/>
      <c r="N1013" s="376"/>
      <c r="O1013" s="376"/>
      <c r="P1013" s="378"/>
      <c r="Q1013" s="378"/>
      <c r="R1013" s="378"/>
      <c r="S1013" s="378"/>
      <c r="T1013" s="378"/>
      <c r="U1013" s="378"/>
      <c r="V1013" s="533"/>
      <c r="W1013" s="418"/>
      <c r="X1013" s="418"/>
      <c r="Y1013" s="378">
        <f>IF(NFI_Expiration=1,IF($A1013&lt;VLOOKUP(H$5,NFI,5,0),1,0)*Table_NFI[[#This Row],[Hygiene Kit]],Table_NFI[Hygiene Kit])</f>
        <v>0</v>
      </c>
      <c r="Z1013" s="378">
        <f>IF(NFI_Expiration=1,IF($A1013&lt;VLOOKUP(I$5,NFI,5,0),1,0)*Table_NFI[[#This Row],[NFI Core Kit]],Table_NFI[NFI Core Kit])</f>
        <v>0</v>
      </c>
      <c r="AA1013" s="378">
        <f>IF(NFI_Expiration=1,IF($A1013&lt;VLOOKUP(J$5,NFI,5,0),1,0)*Table_NFI[[#This Row],[Sanitary Kit]],Table_NFI[Sanitary Kit])</f>
        <v>0</v>
      </c>
      <c r="AB1013" s="378">
        <f>IF(NFI_Expiration=1,IF($A1013&lt;VLOOKUP(K$5,NFI,5,0),1,0)*Table_NFI[[#This Row],[Mosquito net]],Table_NFI[Mosquito net])</f>
        <v>0</v>
      </c>
      <c r="AC1013" s="378">
        <f>IF(NFI_Expiration=1,IF($A1013&lt;VLOOKUP(L$5,NFI,5,0),1,0)*Table_NFI[[#This Row],[Tarpaulin]],Table_NFI[[#This Row],[Tarpaulin]])</f>
        <v>0</v>
      </c>
      <c r="AD1013" s="378">
        <f>IF(NFI_Expiration=1,IF($A1013&lt;VLOOKUP(M$5,NFI,5,0),1,0)*Table_NFI[[#This Row],[Blanket]],Table_NFI[[#This Row],[Blanket]])</f>
        <v>0</v>
      </c>
      <c r="AE1013" s="378">
        <f>IF(NFI_Expiration=1,IF($A1013&lt;VLOOKUP(N$5,NFI,5,0),1,0)*Table_NFI[[#This Row],[Kitchen Set]],Table_NFI[Kitchen Set])</f>
        <v>0</v>
      </c>
      <c r="AF1013" s="378">
        <f>IF(NFI_Expiration=1,IF($A1013&lt;VLOOKUP(O$5,NFI,5,0),1,0)*Table_NFI[[#This Row],[Clothes Kit]],Table_NFI[Clothes Kit])</f>
        <v>0</v>
      </c>
      <c r="AG1013" s="378">
        <f>IF(NFI_Expiration=1,IF($A1013&lt;VLOOKUP(P$5,NFI,5,0),1,0)*Table_NFI[[#This Row],[Plastic Bucket]],Table_NFI[Plastic Bucket])</f>
        <v>0</v>
      </c>
      <c r="AH1013" s="378">
        <f>IF(NFI_Expiration=1,IF($A1013&lt;VLOOKUP(Q$5,NFI,5,0),1,0)*Table_NFI[[#This Row],[Plastic Mat]],Table_NFI[Plastic Mat])*IF(Table_NFI[[#This Row],[Distribution Date]]&gt;"2014-04-01",1,2.5)</f>
        <v>0</v>
      </c>
      <c r="AI1013" s="378">
        <f>IF(NFI_Expiration=1,IF($A1013&lt;VLOOKUP(R$5,NFI,5,0),1,0)*Table_NFI[[#This Row],[Winter Clothes Adult]],Table_NFI[Winter Clothes Adult])</f>
        <v>0</v>
      </c>
      <c r="AJ1013" s="378">
        <f>IF(NFI_Expiration=1,IF($A1013&lt;VLOOKUP(S$5,NFI,5,0),1,0)*Table_NFI[[#This Row],[Winter Clothes Children]],Table_NFI[Winter Clothes Children])</f>
        <v>0</v>
      </c>
      <c r="AK1013" s="378">
        <f>IF(NFI_Expiration=1,IF($A1013&lt;VLOOKUP(T$5,NFI,5,0),1,0)*Table_NFI[[#This Row],[Winter Items Other]],Table_NFI[Winter Items Other])</f>
        <v>0</v>
      </c>
      <c r="AL1013" s="378">
        <f>IF(NFI_Expiration=1,IF($A1013&lt;VLOOKUP(M$5,NFI,5,0),1,0)*Table_NFI[[#This Row],[Winter Blanket]],Table_NFI[[#This Row],[Winter Blanket]])</f>
        <v>0</v>
      </c>
      <c r="AM1013" s="378">
        <f>IF(Table_NFI[[#This Row],[Winter Clothes Adult]]+Table_NFI[[#This Row],[Winter Clothes Children]]+Table_NFI[[#This Row],[Winter Items Other]]+Table_NFI[[#This Row],[Winter Blanket]]&gt;0,1,0)</f>
        <v>0</v>
      </c>
      <c r="AN1013" s="418">
        <f>IF(NFI_Expiration=1,IF($A1013&lt;VLOOKUP(V$5,NFI,5,0),1,0)*Table_NFI[[#This Row],[Jerry Can]],Table_NFI[Jerry Can])</f>
        <v>0</v>
      </c>
      <c r="AO1013" s="579" t="str">
        <f>IFERROR(VLOOKUP(Table_NFI[[#This Row],[Camp Name]],CL,2,0),"")</f>
        <v/>
      </c>
      <c r="AP1013" s="574" t="str">
        <f ca="1">IF(Table_NFI[[#This Row],[Pcode]]="","",IF(OFFSET(CampList[Opening Date],MATCH(Table_NFI[[#This Row],[Pcode]],CampList[CP_Pcode],0)-1,0,1,1)&gt;=NFI_Monitor_Date,1,0))</f>
        <v/>
      </c>
      <c r="AQ1013" s="579" t="str">
        <f>IFERROR(VLOOKUP(Table_NFI[[#This Row],[Camp Name]],CL,3,0),"")</f>
        <v/>
      </c>
      <c r="AR1013" s="378" t="str">
        <f ca="1">IF(Table_NFI[[#This Row],[Pcode]]="","",OFFSET(CampList[Priority],MATCH(Table_NFI[[#This Row],[Pcode]],CampList[CP_Pcode],0)-1,0,1,1))</f>
        <v/>
      </c>
      <c r="AS1013" s="377" t="str">
        <f>IFERROR(Table_NFI[[#This Row],[Kitchen Set]]/VLOOKUP(Table_NFI[[#This Row],[Camp Name]],CL,4,0),"")</f>
        <v/>
      </c>
      <c r="AT1013" s="577"/>
      <c r="AU1013" s="580"/>
    </row>
    <row r="1014" spans="1:47" x14ac:dyDescent="0.25">
      <c r="A1014" s="381" t="str">
        <f t="shared" si="15"/>
        <v/>
      </c>
      <c r="B1014" s="571"/>
      <c r="C1014" s="572"/>
      <c r="D1014" s="577"/>
      <c r="E1014" s="577"/>
      <c r="F1014" s="577"/>
      <c r="G1014" s="577"/>
      <c r="H1014" s="376"/>
      <c r="I1014" s="376"/>
      <c r="J1014" s="376"/>
      <c r="K1014" s="376"/>
      <c r="L1014" s="376"/>
      <c r="M1014" s="376"/>
      <c r="N1014" s="376"/>
      <c r="O1014" s="376"/>
      <c r="P1014" s="378"/>
      <c r="Q1014" s="378"/>
      <c r="R1014" s="378"/>
      <c r="S1014" s="378"/>
      <c r="T1014" s="378"/>
      <c r="U1014" s="378"/>
      <c r="V1014" s="533"/>
      <c r="W1014" s="418"/>
      <c r="X1014" s="418"/>
      <c r="Y1014" s="378">
        <f>IF(NFI_Expiration=1,IF($A1014&lt;VLOOKUP(H$5,NFI,5,0),1,0)*Table_NFI[[#This Row],[Hygiene Kit]],Table_NFI[Hygiene Kit])</f>
        <v>0</v>
      </c>
      <c r="Z1014" s="378">
        <f>IF(NFI_Expiration=1,IF($A1014&lt;VLOOKUP(I$5,NFI,5,0),1,0)*Table_NFI[[#This Row],[NFI Core Kit]],Table_NFI[NFI Core Kit])</f>
        <v>0</v>
      </c>
      <c r="AA1014" s="378">
        <f>IF(NFI_Expiration=1,IF($A1014&lt;VLOOKUP(J$5,NFI,5,0),1,0)*Table_NFI[[#This Row],[Sanitary Kit]],Table_NFI[Sanitary Kit])</f>
        <v>0</v>
      </c>
      <c r="AB1014" s="378">
        <f>IF(NFI_Expiration=1,IF($A1014&lt;VLOOKUP(K$5,NFI,5,0),1,0)*Table_NFI[[#This Row],[Mosquito net]],Table_NFI[Mosquito net])</f>
        <v>0</v>
      </c>
      <c r="AC1014" s="378">
        <f>IF(NFI_Expiration=1,IF($A1014&lt;VLOOKUP(L$5,NFI,5,0),1,0)*Table_NFI[[#This Row],[Tarpaulin]],Table_NFI[[#This Row],[Tarpaulin]])</f>
        <v>0</v>
      </c>
      <c r="AD1014" s="378">
        <f>IF(NFI_Expiration=1,IF($A1014&lt;VLOOKUP(M$5,NFI,5,0),1,0)*Table_NFI[[#This Row],[Blanket]],Table_NFI[[#This Row],[Blanket]])</f>
        <v>0</v>
      </c>
      <c r="AE1014" s="378">
        <f>IF(NFI_Expiration=1,IF($A1014&lt;VLOOKUP(N$5,NFI,5,0),1,0)*Table_NFI[[#This Row],[Kitchen Set]],Table_NFI[Kitchen Set])</f>
        <v>0</v>
      </c>
      <c r="AF1014" s="378">
        <f>IF(NFI_Expiration=1,IF($A1014&lt;VLOOKUP(O$5,NFI,5,0),1,0)*Table_NFI[[#This Row],[Clothes Kit]],Table_NFI[Clothes Kit])</f>
        <v>0</v>
      </c>
      <c r="AG1014" s="378">
        <f>IF(NFI_Expiration=1,IF($A1014&lt;VLOOKUP(P$5,NFI,5,0),1,0)*Table_NFI[[#This Row],[Plastic Bucket]],Table_NFI[Plastic Bucket])</f>
        <v>0</v>
      </c>
      <c r="AH1014" s="378">
        <f>IF(NFI_Expiration=1,IF($A1014&lt;VLOOKUP(Q$5,NFI,5,0),1,0)*Table_NFI[[#This Row],[Plastic Mat]],Table_NFI[Plastic Mat])*IF(Table_NFI[[#This Row],[Distribution Date]]&gt;"2014-04-01",1,2.5)</f>
        <v>0</v>
      </c>
      <c r="AI1014" s="378">
        <f>IF(NFI_Expiration=1,IF($A1014&lt;VLOOKUP(R$5,NFI,5,0),1,0)*Table_NFI[[#This Row],[Winter Clothes Adult]],Table_NFI[Winter Clothes Adult])</f>
        <v>0</v>
      </c>
      <c r="AJ1014" s="378">
        <f>IF(NFI_Expiration=1,IF($A1014&lt;VLOOKUP(S$5,NFI,5,0),1,0)*Table_NFI[[#This Row],[Winter Clothes Children]],Table_NFI[Winter Clothes Children])</f>
        <v>0</v>
      </c>
      <c r="AK1014" s="378">
        <f>IF(NFI_Expiration=1,IF($A1014&lt;VLOOKUP(T$5,NFI,5,0),1,0)*Table_NFI[[#This Row],[Winter Items Other]],Table_NFI[Winter Items Other])</f>
        <v>0</v>
      </c>
      <c r="AL1014" s="378">
        <f>IF(NFI_Expiration=1,IF($A1014&lt;VLOOKUP(M$5,NFI,5,0),1,0)*Table_NFI[[#This Row],[Winter Blanket]],Table_NFI[[#This Row],[Winter Blanket]])</f>
        <v>0</v>
      </c>
      <c r="AM1014" s="378">
        <f>IF(Table_NFI[[#This Row],[Winter Clothes Adult]]+Table_NFI[[#This Row],[Winter Clothes Children]]+Table_NFI[[#This Row],[Winter Items Other]]+Table_NFI[[#This Row],[Winter Blanket]]&gt;0,1,0)</f>
        <v>0</v>
      </c>
      <c r="AN1014" s="418">
        <f>IF(NFI_Expiration=1,IF($A1014&lt;VLOOKUP(V$5,NFI,5,0),1,0)*Table_NFI[[#This Row],[Jerry Can]],Table_NFI[Jerry Can])</f>
        <v>0</v>
      </c>
      <c r="AO1014" s="579" t="str">
        <f>IFERROR(VLOOKUP(Table_NFI[[#This Row],[Camp Name]],CL,2,0),"")</f>
        <v/>
      </c>
      <c r="AP1014" s="574" t="str">
        <f ca="1">IF(Table_NFI[[#This Row],[Pcode]]="","",IF(OFFSET(CampList[Opening Date],MATCH(Table_NFI[[#This Row],[Pcode]],CampList[CP_Pcode],0)-1,0,1,1)&gt;=NFI_Monitor_Date,1,0))</f>
        <v/>
      </c>
      <c r="AQ1014" s="579" t="str">
        <f>IFERROR(VLOOKUP(Table_NFI[[#This Row],[Camp Name]],CL,3,0),"")</f>
        <v/>
      </c>
      <c r="AR1014" s="378" t="str">
        <f ca="1">IF(Table_NFI[[#This Row],[Pcode]]="","",OFFSET(CampList[Priority],MATCH(Table_NFI[[#This Row],[Pcode]],CampList[CP_Pcode],0)-1,0,1,1))</f>
        <v/>
      </c>
      <c r="AS1014" s="377" t="str">
        <f>IFERROR(Table_NFI[[#This Row],[Kitchen Set]]/VLOOKUP(Table_NFI[[#This Row],[Camp Name]],CL,4,0),"")</f>
        <v/>
      </c>
      <c r="AT1014" s="572"/>
      <c r="AU1014" s="592"/>
    </row>
    <row r="1015" spans="1:47" x14ac:dyDescent="0.25">
      <c r="A1015" s="381" t="str">
        <f t="shared" si="15"/>
        <v/>
      </c>
      <c r="B1015" s="571"/>
      <c r="C1015" s="572"/>
      <c r="D1015" s="577"/>
      <c r="E1015" s="577"/>
      <c r="F1015" s="577"/>
      <c r="G1015" s="577"/>
      <c r="H1015" s="376"/>
      <c r="I1015" s="376"/>
      <c r="J1015" s="376"/>
      <c r="K1015" s="376"/>
      <c r="L1015" s="376"/>
      <c r="M1015" s="376"/>
      <c r="N1015" s="376"/>
      <c r="O1015" s="376"/>
      <c r="P1015" s="378"/>
      <c r="Q1015" s="378"/>
      <c r="R1015" s="378"/>
      <c r="S1015" s="378"/>
      <c r="T1015" s="378"/>
      <c r="U1015" s="378"/>
      <c r="V1015" s="533"/>
      <c r="W1015" s="418"/>
      <c r="X1015" s="418"/>
      <c r="Y1015" s="378">
        <f>IF(NFI_Expiration=1,IF($A1015&lt;VLOOKUP(H$5,NFI,5,0),1,0)*Table_NFI[[#This Row],[Hygiene Kit]],Table_NFI[Hygiene Kit])</f>
        <v>0</v>
      </c>
      <c r="Z1015" s="378">
        <f>IF(NFI_Expiration=1,IF($A1015&lt;VLOOKUP(I$5,NFI,5,0),1,0)*Table_NFI[[#This Row],[NFI Core Kit]],Table_NFI[NFI Core Kit])</f>
        <v>0</v>
      </c>
      <c r="AA1015" s="378">
        <f>IF(NFI_Expiration=1,IF($A1015&lt;VLOOKUP(J$5,NFI,5,0),1,0)*Table_NFI[[#This Row],[Sanitary Kit]],Table_NFI[Sanitary Kit])</f>
        <v>0</v>
      </c>
      <c r="AB1015" s="378">
        <f>IF(NFI_Expiration=1,IF($A1015&lt;VLOOKUP(K$5,NFI,5,0),1,0)*Table_NFI[[#This Row],[Mosquito net]],Table_NFI[Mosquito net])</f>
        <v>0</v>
      </c>
      <c r="AC1015" s="378">
        <f>IF(NFI_Expiration=1,IF($A1015&lt;VLOOKUP(L$5,NFI,5,0),1,0)*Table_NFI[[#This Row],[Tarpaulin]],Table_NFI[[#This Row],[Tarpaulin]])</f>
        <v>0</v>
      </c>
      <c r="AD1015" s="378">
        <f>IF(NFI_Expiration=1,IF($A1015&lt;VLOOKUP(M$5,NFI,5,0),1,0)*Table_NFI[[#This Row],[Blanket]],Table_NFI[[#This Row],[Blanket]])</f>
        <v>0</v>
      </c>
      <c r="AE1015" s="378">
        <f>IF(NFI_Expiration=1,IF($A1015&lt;VLOOKUP(N$5,NFI,5,0),1,0)*Table_NFI[[#This Row],[Kitchen Set]],Table_NFI[Kitchen Set])</f>
        <v>0</v>
      </c>
      <c r="AF1015" s="378">
        <f>IF(NFI_Expiration=1,IF($A1015&lt;VLOOKUP(O$5,NFI,5,0),1,0)*Table_NFI[[#This Row],[Clothes Kit]],Table_NFI[Clothes Kit])</f>
        <v>0</v>
      </c>
      <c r="AG1015" s="378">
        <f>IF(NFI_Expiration=1,IF($A1015&lt;VLOOKUP(P$5,NFI,5,0),1,0)*Table_NFI[[#This Row],[Plastic Bucket]],Table_NFI[Plastic Bucket])</f>
        <v>0</v>
      </c>
      <c r="AH1015" s="378">
        <f>IF(NFI_Expiration=1,IF($A1015&lt;VLOOKUP(Q$5,NFI,5,0),1,0)*Table_NFI[[#This Row],[Plastic Mat]],Table_NFI[Plastic Mat])*IF(Table_NFI[[#This Row],[Distribution Date]]&gt;"2014-04-01",1,2.5)</f>
        <v>0</v>
      </c>
      <c r="AI1015" s="378">
        <f>IF(NFI_Expiration=1,IF($A1015&lt;VLOOKUP(R$5,NFI,5,0),1,0)*Table_NFI[[#This Row],[Winter Clothes Adult]],Table_NFI[Winter Clothes Adult])</f>
        <v>0</v>
      </c>
      <c r="AJ1015" s="378">
        <f>IF(NFI_Expiration=1,IF($A1015&lt;VLOOKUP(S$5,NFI,5,0),1,0)*Table_NFI[[#This Row],[Winter Clothes Children]],Table_NFI[Winter Clothes Children])</f>
        <v>0</v>
      </c>
      <c r="AK1015" s="378">
        <f>IF(NFI_Expiration=1,IF($A1015&lt;VLOOKUP(T$5,NFI,5,0),1,0)*Table_NFI[[#This Row],[Winter Items Other]],Table_NFI[Winter Items Other])</f>
        <v>0</v>
      </c>
      <c r="AL1015" s="378">
        <f>IF(NFI_Expiration=1,IF($A1015&lt;VLOOKUP(M$5,NFI,5,0),1,0)*Table_NFI[[#This Row],[Winter Blanket]],Table_NFI[[#This Row],[Winter Blanket]])</f>
        <v>0</v>
      </c>
      <c r="AM1015" s="378">
        <f>IF(Table_NFI[[#This Row],[Winter Clothes Adult]]+Table_NFI[[#This Row],[Winter Clothes Children]]+Table_NFI[[#This Row],[Winter Items Other]]+Table_NFI[[#This Row],[Winter Blanket]]&gt;0,1,0)</f>
        <v>0</v>
      </c>
      <c r="AN1015" s="418">
        <f>IF(NFI_Expiration=1,IF($A1015&lt;VLOOKUP(V$5,NFI,5,0),1,0)*Table_NFI[[#This Row],[Jerry Can]],Table_NFI[Jerry Can])</f>
        <v>0</v>
      </c>
      <c r="AO1015" s="579" t="str">
        <f>IFERROR(VLOOKUP(Table_NFI[[#This Row],[Camp Name]],CL,2,0),"")</f>
        <v/>
      </c>
      <c r="AP1015" s="574" t="str">
        <f ca="1">IF(Table_NFI[[#This Row],[Pcode]]="","",IF(OFFSET(CampList[Opening Date],MATCH(Table_NFI[[#This Row],[Pcode]],CampList[CP_Pcode],0)-1,0,1,1)&gt;=NFI_Monitor_Date,1,0))</f>
        <v/>
      </c>
      <c r="AQ1015" s="579" t="str">
        <f>IFERROR(VLOOKUP(Table_NFI[[#This Row],[Camp Name]],CL,3,0),"")</f>
        <v/>
      </c>
      <c r="AR1015" s="378" t="str">
        <f ca="1">IF(Table_NFI[[#This Row],[Pcode]]="","",OFFSET(CampList[Priority],MATCH(Table_NFI[[#This Row],[Pcode]],CampList[CP_Pcode],0)-1,0,1,1))</f>
        <v/>
      </c>
      <c r="AS1015" s="377" t="str">
        <f>IFERROR(Table_NFI[[#This Row],[Kitchen Set]]/VLOOKUP(Table_NFI[[#This Row],[Camp Name]],CL,4,0),"")</f>
        <v/>
      </c>
      <c r="AT1015" s="577"/>
      <c r="AU1015" s="601"/>
    </row>
    <row r="1016" spans="1:47" x14ac:dyDescent="0.25">
      <c r="A1016" s="381" t="str">
        <f t="shared" si="15"/>
        <v/>
      </c>
      <c r="B1016" s="571"/>
      <c r="C1016" s="572"/>
      <c r="D1016" s="577"/>
      <c r="E1016" s="577"/>
      <c r="F1016" s="577"/>
      <c r="G1016" s="577"/>
      <c r="H1016" s="376"/>
      <c r="I1016" s="376"/>
      <c r="J1016" s="376"/>
      <c r="K1016" s="376"/>
      <c r="L1016" s="376"/>
      <c r="M1016" s="376"/>
      <c r="N1016" s="376"/>
      <c r="O1016" s="376"/>
      <c r="P1016" s="378"/>
      <c r="Q1016" s="378"/>
      <c r="R1016" s="378"/>
      <c r="S1016" s="378"/>
      <c r="T1016" s="378"/>
      <c r="U1016" s="378"/>
      <c r="V1016" s="533"/>
      <c r="W1016" s="418"/>
      <c r="X1016" s="418"/>
      <c r="Y1016" s="378">
        <f>IF(NFI_Expiration=1,IF($A1016&lt;VLOOKUP(H$5,NFI,5,0),1,0)*Table_NFI[[#This Row],[Hygiene Kit]],Table_NFI[Hygiene Kit])</f>
        <v>0</v>
      </c>
      <c r="Z1016" s="378">
        <f>IF(NFI_Expiration=1,IF($A1016&lt;VLOOKUP(I$5,NFI,5,0),1,0)*Table_NFI[[#This Row],[NFI Core Kit]],Table_NFI[NFI Core Kit])</f>
        <v>0</v>
      </c>
      <c r="AA1016" s="378">
        <f>IF(NFI_Expiration=1,IF($A1016&lt;VLOOKUP(J$5,NFI,5,0),1,0)*Table_NFI[[#This Row],[Sanitary Kit]],Table_NFI[Sanitary Kit])</f>
        <v>0</v>
      </c>
      <c r="AB1016" s="378">
        <f>IF(NFI_Expiration=1,IF($A1016&lt;VLOOKUP(K$5,NFI,5,0),1,0)*Table_NFI[[#This Row],[Mosquito net]],Table_NFI[Mosquito net])</f>
        <v>0</v>
      </c>
      <c r="AC1016" s="378">
        <f>IF(NFI_Expiration=1,IF($A1016&lt;VLOOKUP(L$5,NFI,5,0),1,0)*Table_NFI[[#This Row],[Tarpaulin]],Table_NFI[[#This Row],[Tarpaulin]])</f>
        <v>0</v>
      </c>
      <c r="AD1016" s="378">
        <f>IF(NFI_Expiration=1,IF($A1016&lt;VLOOKUP(M$5,NFI,5,0),1,0)*Table_NFI[[#This Row],[Blanket]],Table_NFI[[#This Row],[Blanket]])</f>
        <v>0</v>
      </c>
      <c r="AE1016" s="378">
        <f>IF(NFI_Expiration=1,IF($A1016&lt;VLOOKUP(N$5,NFI,5,0),1,0)*Table_NFI[[#This Row],[Kitchen Set]],Table_NFI[Kitchen Set])</f>
        <v>0</v>
      </c>
      <c r="AF1016" s="378">
        <f>IF(NFI_Expiration=1,IF($A1016&lt;VLOOKUP(O$5,NFI,5,0),1,0)*Table_NFI[[#This Row],[Clothes Kit]],Table_NFI[Clothes Kit])</f>
        <v>0</v>
      </c>
      <c r="AG1016" s="378">
        <f>IF(NFI_Expiration=1,IF($A1016&lt;VLOOKUP(P$5,NFI,5,0),1,0)*Table_NFI[[#This Row],[Plastic Bucket]],Table_NFI[Plastic Bucket])</f>
        <v>0</v>
      </c>
      <c r="AH1016" s="378">
        <f>IF(NFI_Expiration=1,IF($A1016&lt;VLOOKUP(Q$5,NFI,5,0),1,0)*Table_NFI[[#This Row],[Plastic Mat]],Table_NFI[Plastic Mat])*IF(Table_NFI[[#This Row],[Distribution Date]]&gt;"2014-04-01",1,2.5)</f>
        <v>0</v>
      </c>
      <c r="AI1016" s="378">
        <f>IF(NFI_Expiration=1,IF($A1016&lt;VLOOKUP(R$5,NFI,5,0),1,0)*Table_NFI[[#This Row],[Winter Clothes Adult]],Table_NFI[Winter Clothes Adult])</f>
        <v>0</v>
      </c>
      <c r="AJ1016" s="378">
        <f>IF(NFI_Expiration=1,IF($A1016&lt;VLOOKUP(S$5,NFI,5,0),1,0)*Table_NFI[[#This Row],[Winter Clothes Children]],Table_NFI[Winter Clothes Children])</f>
        <v>0</v>
      </c>
      <c r="AK1016" s="378">
        <f>IF(NFI_Expiration=1,IF($A1016&lt;VLOOKUP(T$5,NFI,5,0),1,0)*Table_NFI[[#This Row],[Winter Items Other]],Table_NFI[Winter Items Other])</f>
        <v>0</v>
      </c>
      <c r="AL1016" s="378">
        <f>IF(NFI_Expiration=1,IF($A1016&lt;VLOOKUP(M$5,NFI,5,0),1,0)*Table_NFI[[#This Row],[Winter Blanket]],Table_NFI[[#This Row],[Winter Blanket]])</f>
        <v>0</v>
      </c>
      <c r="AM1016" s="378">
        <f>IF(Table_NFI[[#This Row],[Winter Clothes Adult]]+Table_NFI[[#This Row],[Winter Clothes Children]]+Table_NFI[[#This Row],[Winter Items Other]]+Table_NFI[[#This Row],[Winter Blanket]]&gt;0,1,0)</f>
        <v>0</v>
      </c>
      <c r="AN1016" s="418">
        <f>IF(NFI_Expiration=1,IF($A1016&lt;VLOOKUP(V$5,NFI,5,0),1,0)*Table_NFI[[#This Row],[Jerry Can]],Table_NFI[Jerry Can])</f>
        <v>0</v>
      </c>
      <c r="AO1016" s="579" t="str">
        <f>IFERROR(VLOOKUP(Table_NFI[[#This Row],[Camp Name]],CL,2,0),"")</f>
        <v/>
      </c>
      <c r="AP1016" s="574" t="str">
        <f ca="1">IF(Table_NFI[[#This Row],[Pcode]]="","",IF(OFFSET(CampList[Opening Date],MATCH(Table_NFI[[#This Row],[Pcode]],CampList[CP_Pcode],0)-1,0,1,1)&gt;=NFI_Monitor_Date,1,0))</f>
        <v/>
      </c>
      <c r="AQ1016" s="579" t="str">
        <f>IFERROR(VLOOKUP(Table_NFI[[#This Row],[Camp Name]],CL,3,0),"")</f>
        <v/>
      </c>
      <c r="AR1016" s="378" t="str">
        <f ca="1">IF(Table_NFI[[#This Row],[Pcode]]="","",OFFSET(CampList[Priority],MATCH(Table_NFI[[#This Row],[Pcode]],CampList[CP_Pcode],0)-1,0,1,1))</f>
        <v/>
      </c>
      <c r="AS1016" s="377" t="str">
        <f>IFERROR(Table_NFI[[#This Row],[Kitchen Set]]/VLOOKUP(Table_NFI[[#This Row],[Camp Name]],CL,4,0),"")</f>
        <v/>
      </c>
      <c r="AT1016" s="572"/>
      <c r="AU1016" s="575"/>
    </row>
    <row r="1017" spans="1:47" x14ac:dyDescent="0.25">
      <c r="A1017" s="381" t="str">
        <f t="shared" si="15"/>
        <v/>
      </c>
      <c r="B1017" s="571"/>
      <c r="C1017" s="572"/>
      <c r="D1017" s="577"/>
      <c r="E1017" s="577"/>
      <c r="F1017" s="577"/>
      <c r="G1017" s="577"/>
      <c r="H1017" s="376"/>
      <c r="I1017" s="376"/>
      <c r="J1017" s="376"/>
      <c r="K1017" s="376"/>
      <c r="L1017" s="376"/>
      <c r="M1017" s="376"/>
      <c r="N1017" s="376"/>
      <c r="O1017" s="376"/>
      <c r="P1017" s="378"/>
      <c r="Q1017" s="378"/>
      <c r="R1017" s="378"/>
      <c r="S1017" s="378"/>
      <c r="T1017" s="378"/>
      <c r="U1017" s="378"/>
      <c r="V1017" s="533"/>
      <c r="W1017" s="418"/>
      <c r="X1017" s="418"/>
      <c r="Y1017" s="378">
        <f>IF(NFI_Expiration=1,IF($A1017&lt;VLOOKUP(H$5,NFI,5,0),1,0)*Table_NFI[[#This Row],[Hygiene Kit]],Table_NFI[Hygiene Kit])</f>
        <v>0</v>
      </c>
      <c r="Z1017" s="378">
        <f>IF(NFI_Expiration=1,IF($A1017&lt;VLOOKUP(I$5,NFI,5,0),1,0)*Table_NFI[[#This Row],[NFI Core Kit]],Table_NFI[NFI Core Kit])</f>
        <v>0</v>
      </c>
      <c r="AA1017" s="378">
        <f>IF(NFI_Expiration=1,IF($A1017&lt;VLOOKUP(J$5,NFI,5,0),1,0)*Table_NFI[[#This Row],[Sanitary Kit]],Table_NFI[Sanitary Kit])</f>
        <v>0</v>
      </c>
      <c r="AB1017" s="378">
        <f>IF(NFI_Expiration=1,IF($A1017&lt;VLOOKUP(K$5,NFI,5,0),1,0)*Table_NFI[[#This Row],[Mosquito net]],Table_NFI[Mosquito net])</f>
        <v>0</v>
      </c>
      <c r="AC1017" s="378">
        <f>IF(NFI_Expiration=1,IF($A1017&lt;VLOOKUP(L$5,NFI,5,0),1,0)*Table_NFI[[#This Row],[Tarpaulin]],Table_NFI[[#This Row],[Tarpaulin]])</f>
        <v>0</v>
      </c>
      <c r="AD1017" s="378">
        <f>IF(NFI_Expiration=1,IF($A1017&lt;VLOOKUP(M$5,NFI,5,0),1,0)*Table_NFI[[#This Row],[Blanket]],Table_NFI[[#This Row],[Blanket]])</f>
        <v>0</v>
      </c>
      <c r="AE1017" s="378">
        <f>IF(NFI_Expiration=1,IF($A1017&lt;VLOOKUP(N$5,NFI,5,0),1,0)*Table_NFI[[#This Row],[Kitchen Set]],Table_NFI[Kitchen Set])</f>
        <v>0</v>
      </c>
      <c r="AF1017" s="378">
        <f>IF(NFI_Expiration=1,IF($A1017&lt;VLOOKUP(O$5,NFI,5,0),1,0)*Table_NFI[[#This Row],[Clothes Kit]],Table_NFI[Clothes Kit])</f>
        <v>0</v>
      </c>
      <c r="AG1017" s="378">
        <f>IF(NFI_Expiration=1,IF($A1017&lt;VLOOKUP(P$5,NFI,5,0),1,0)*Table_NFI[[#This Row],[Plastic Bucket]],Table_NFI[Plastic Bucket])</f>
        <v>0</v>
      </c>
      <c r="AH1017" s="378">
        <f>IF(NFI_Expiration=1,IF($A1017&lt;VLOOKUP(Q$5,NFI,5,0),1,0)*Table_NFI[[#This Row],[Plastic Mat]],Table_NFI[Plastic Mat])*IF(Table_NFI[[#This Row],[Distribution Date]]&gt;"2014-04-01",1,2.5)</f>
        <v>0</v>
      </c>
      <c r="AI1017" s="378">
        <f>IF(NFI_Expiration=1,IF($A1017&lt;VLOOKUP(R$5,NFI,5,0),1,0)*Table_NFI[[#This Row],[Winter Clothes Adult]],Table_NFI[Winter Clothes Adult])</f>
        <v>0</v>
      </c>
      <c r="AJ1017" s="378">
        <f>IF(NFI_Expiration=1,IF($A1017&lt;VLOOKUP(S$5,NFI,5,0),1,0)*Table_NFI[[#This Row],[Winter Clothes Children]],Table_NFI[Winter Clothes Children])</f>
        <v>0</v>
      </c>
      <c r="AK1017" s="378">
        <f>IF(NFI_Expiration=1,IF($A1017&lt;VLOOKUP(T$5,NFI,5,0),1,0)*Table_NFI[[#This Row],[Winter Items Other]],Table_NFI[Winter Items Other])</f>
        <v>0</v>
      </c>
      <c r="AL1017" s="378">
        <f>IF(NFI_Expiration=1,IF($A1017&lt;VLOOKUP(M$5,NFI,5,0),1,0)*Table_NFI[[#This Row],[Winter Blanket]],Table_NFI[[#This Row],[Winter Blanket]])</f>
        <v>0</v>
      </c>
      <c r="AM1017" s="378">
        <f>IF(Table_NFI[[#This Row],[Winter Clothes Adult]]+Table_NFI[[#This Row],[Winter Clothes Children]]+Table_NFI[[#This Row],[Winter Items Other]]+Table_NFI[[#This Row],[Winter Blanket]]&gt;0,1,0)</f>
        <v>0</v>
      </c>
      <c r="AN1017" s="418">
        <f>IF(NFI_Expiration=1,IF($A1017&lt;VLOOKUP(V$5,NFI,5,0),1,0)*Table_NFI[[#This Row],[Jerry Can]],Table_NFI[Jerry Can])</f>
        <v>0</v>
      </c>
      <c r="AO1017" s="579" t="str">
        <f>IFERROR(VLOOKUP(Table_NFI[[#This Row],[Camp Name]],CL,2,0),"")</f>
        <v/>
      </c>
      <c r="AP1017" s="574" t="str">
        <f ca="1">IF(Table_NFI[[#This Row],[Pcode]]="","",IF(OFFSET(CampList[Opening Date],MATCH(Table_NFI[[#This Row],[Pcode]],CampList[CP_Pcode],0)-1,0,1,1)&gt;=NFI_Monitor_Date,1,0))</f>
        <v/>
      </c>
      <c r="AQ1017" s="579" t="str">
        <f>IFERROR(VLOOKUP(Table_NFI[[#This Row],[Camp Name]],CL,3,0),"")</f>
        <v/>
      </c>
      <c r="AR1017" s="378" t="str">
        <f ca="1">IF(Table_NFI[[#This Row],[Pcode]]="","",OFFSET(CampList[Priority],MATCH(Table_NFI[[#This Row],[Pcode]],CampList[CP_Pcode],0)-1,0,1,1))</f>
        <v/>
      </c>
      <c r="AS1017" s="377" t="str">
        <f>IFERROR(Table_NFI[[#This Row],[Kitchen Set]]/VLOOKUP(Table_NFI[[#This Row],[Camp Name]],CL,4,0),"")</f>
        <v/>
      </c>
      <c r="AT1017" s="572"/>
      <c r="AU1017" s="575"/>
    </row>
    <row r="1018" spans="1:47" x14ac:dyDescent="0.25">
      <c r="A1018" s="381" t="str">
        <f t="shared" si="15"/>
        <v/>
      </c>
      <c r="B1018" s="571"/>
      <c r="C1018" s="572"/>
      <c r="D1018" s="577"/>
      <c r="E1018" s="577"/>
      <c r="F1018" s="577"/>
      <c r="G1018" s="577"/>
      <c r="H1018" s="376"/>
      <c r="I1018" s="376"/>
      <c r="J1018" s="376"/>
      <c r="K1018" s="376"/>
      <c r="L1018" s="376"/>
      <c r="M1018" s="376"/>
      <c r="N1018" s="376"/>
      <c r="O1018" s="376"/>
      <c r="P1018" s="378"/>
      <c r="Q1018" s="378"/>
      <c r="R1018" s="378"/>
      <c r="S1018" s="378"/>
      <c r="T1018" s="378"/>
      <c r="U1018" s="378"/>
      <c r="V1018" s="533"/>
      <c r="W1018" s="418"/>
      <c r="X1018" s="418"/>
      <c r="Y1018" s="378">
        <f>IF(NFI_Expiration=1,IF($A1018&lt;VLOOKUP(H$5,NFI,5,0),1,0)*Table_NFI[[#This Row],[Hygiene Kit]],Table_NFI[Hygiene Kit])</f>
        <v>0</v>
      </c>
      <c r="Z1018" s="378">
        <f>IF(NFI_Expiration=1,IF($A1018&lt;VLOOKUP(I$5,NFI,5,0),1,0)*Table_NFI[[#This Row],[NFI Core Kit]],Table_NFI[NFI Core Kit])</f>
        <v>0</v>
      </c>
      <c r="AA1018" s="378">
        <f>IF(NFI_Expiration=1,IF($A1018&lt;VLOOKUP(J$5,NFI,5,0),1,0)*Table_NFI[[#This Row],[Sanitary Kit]],Table_NFI[Sanitary Kit])</f>
        <v>0</v>
      </c>
      <c r="AB1018" s="378">
        <f>IF(NFI_Expiration=1,IF($A1018&lt;VLOOKUP(K$5,NFI,5,0),1,0)*Table_NFI[[#This Row],[Mosquito net]],Table_NFI[Mosquito net])</f>
        <v>0</v>
      </c>
      <c r="AC1018" s="378">
        <f>IF(NFI_Expiration=1,IF($A1018&lt;VLOOKUP(L$5,NFI,5,0),1,0)*Table_NFI[[#This Row],[Tarpaulin]],Table_NFI[[#This Row],[Tarpaulin]])</f>
        <v>0</v>
      </c>
      <c r="AD1018" s="378">
        <f>IF(NFI_Expiration=1,IF($A1018&lt;VLOOKUP(M$5,NFI,5,0),1,0)*Table_NFI[[#This Row],[Blanket]],Table_NFI[[#This Row],[Blanket]])</f>
        <v>0</v>
      </c>
      <c r="AE1018" s="378">
        <f>IF(NFI_Expiration=1,IF($A1018&lt;VLOOKUP(N$5,NFI,5,0),1,0)*Table_NFI[[#This Row],[Kitchen Set]],Table_NFI[Kitchen Set])</f>
        <v>0</v>
      </c>
      <c r="AF1018" s="378">
        <f>IF(NFI_Expiration=1,IF($A1018&lt;VLOOKUP(O$5,NFI,5,0),1,0)*Table_NFI[[#This Row],[Clothes Kit]],Table_NFI[Clothes Kit])</f>
        <v>0</v>
      </c>
      <c r="AG1018" s="378">
        <f>IF(NFI_Expiration=1,IF($A1018&lt;VLOOKUP(P$5,NFI,5,0),1,0)*Table_NFI[[#This Row],[Plastic Bucket]],Table_NFI[Plastic Bucket])</f>
        <v>0</v>
      </c>
      <c r="AH1018" s="378">
        <f>IF(NFI_Expiration=1,IF($A1018&lt;VLOOKUP(Q$5,NFI,5,0),1,0)*Table_NFI[[#This Row],[Plastic Mat]],Table_NFI[Plastic Mat])*IF(Table_NFI[[#This Row],[Distribution Date]]&gt;"2014-04-01",1,2.5)</f>
        <v>0</v>
      </c>
      <c r="AI1018" s="378">
        <f>IF(NFI_Expiration=1,IF($A1018&lt;VLOOKUP(R$5,NFI,5,0),1,0)*Table_NFI[[#This Row],[Winter Clothes Adult]],Table_NFI[Winter Clothes Adult])</f>
        <v>0</v>
      </c>
      <c r="AJ1018" s="378">
        <f>IF(NFI_Expiration=1,IF($A1018&lt;VLOOKUP(S$5,NFI,5,0),1,0)*Table_NFI[[#This Row],[Winter Clothes Children]],Table_NFI[Winter Clothes Children])</f>
        <v>0</v>
      </c>
      <c r="AK1018" s="378">
        <f>IF(NFI_Expiration=1,IF($A1018&lt;VLOOKUP(T$5,NFI,5,0),1,0)*Table_NFI[[#This Row],[Winter Items Other]],Table_NFI[Winter Items Other])</f>
        <v>0</v>
      </c>
      <c r="AL1018" s="378">
        <f>IF(NFI_Expiration=1,IF($A1018&lt;VLOOKUP(M$5,NFI,5,0),1,0)*Table_NFI[[#This Row],[Winter Blanket]],Table_NFI[[#This Row],[Winter Blanket]])</f>
        <v>0</v>
      </c>
      <c r="AM1018" s="378">
        <f>IF(Table_NFI[[#This Row],[Winter Clothes Adult]]+Table_NFI[[#This Row],[Winter Clothes Children]]+Table_NFI[[#This Row],[Winter Items Other]]+Table_NFI[[#This Row],[Winter Blanket]]&gt;0,1,0)</f>
        <v>0</v>
      </c>
      <c r="AN1018" s="418">
        <f>IF(NFI_Expiration=1,IF($A1018&lt;VLOOKUP(V$5,NFI,5,0),1,0)*Table_NFI[[#This Row],[Jerry Can]],Table_NFI[Jerry Can])</f>
        <v>0</v>
      </c>
      <c r="AO1018" s="579" t="str">
        <f>IFERROR(VLOOKUP(Table_NFI[[#This Row],[Camp Name]],CL,2,0),"")</f>
        <v/>
      </c>
      <c r="AP1018" s="574" t="str">
        <f ca="1">IF(Table_NFI[[#This Row],[Pcode]]="","",IF(OFFSET(CampList[Opening Date],MATCH(Table_NFI[[#This Row],[Pcode]],CampList[CP_Pcode],0)-1,0,1,1)&gt;=NFI_Monitor_Date,1,0))</f>
        <v/>
      </c>
      <c r="AQ1018" s="579" t="str">
        <f>IFERROR(VLOOKUP(Table_NFI[[#This Row],[Camp Name]],CL,3,0),"")</f>
        <v/>
      </c>
      <c r="AR1018" s="378" t="str">
        <f ca="1">IF(Table_NFI[[#This Row],[Pcode]]="","",OFFSET(CampList[Priority],MATCH(Table_NFI[[#This Row],[Pcode]],CampList[CP_Pcode],0)-1,0,1,1))</f>
        <v/>
      </c>
      <c r="AS1018" s="377" t="str">
        <f>IFERROR(Table_NFI[[#This Row],[Kitchen Set]]/VLOOKUP(Table_NFI[[#This Row],[Camp Name]],CL,4,0),"")</f>
        <v/>
      </c>
      <c r="AT1018" s="572"/>
      <c r="AU1018" s="601"/>
    </row>
    <row r="1019" spans="1:47" x14ac:dyDescent="0.25">
      <c r="A1019" s="381" t="str">
        <f t="shared" si="15"/>
        <v/>
      </c>
      <c r="B1019" s="571"/>
      <c r="C1019" s="572"/>
      <c r="D1019" s="577"/>
      <c r="E1019" s="577"/>
      <c r="F1019" s="577"/>
      <c r="G1019" s="577"/>
      <c r="H1019" s="376"/>
      <c r="I1019" s="376"/>
      <c r="J1019" s="376"/>
      <c r="K1019" s="376"/>
      <c r="L1019" s="376"/>
      <c r="M1019" s="376"/>
      <c r="N1019" s="376"/>
      <c r="O1019" s="376"/>
      <c r="P1019" s="378"/>
      <c r="Q1019" s="378"/>
      <c r="R1019" s="378"/>
      <c r="S1019" s="378"/>
      <c r="T1019" s="378"/>
      <c r="U1019" s="378"/>
      <c r="V1019" s="533"/>
      <c r="W1019" s="418"/>
      <c r="X1019" s="418"/>
      <c r="Y1019" s="378">
        <f>IF(NFI_Expiration=1,IF($A1019&lt;VLOOKUP(H$5,NFI,5,0),1,0)*Table_NFI[[#This Row],[Hygiene Kit]],Table_NFI[Hygiene Kit])</f>
        <v>0</v>
      </c>
      <c r="Z1019" s="378">
        <f>IF(NFI_Expiration=1,IF($A1019&lt;VLOOKUP(I$5,NFI,5,0),1,0)*Table_NFI[[#This Row],[NFI Core Kit]],Table_NFI[NFI Core Kit])</f>
        <v>0</v>
      </c>
      <c r="AA1019" s="378">
        <f>IF(NFI_Expiration=1,IF($A1019&lt;VLOOKUP(J$5,NFI,5,0),1,0)*Table_NFI[[#This Row],[Sanitary Kit]],Table_NFI[Sanitary Kit])</f>
        <v>0</v>
      </c>
      <c r="AB1019" s="378">
        <f>IF(NFI_Expiration=1,IF($A1019&lt;VLOOKUP(K$5,NFI,5,0),1,0)*Table_NFI[[#This Row],[Mosquito net]],Table_NFI[Mosquito net])</f>
        <v>0</v>
      </c>
      <c r="AC1019" s="378">
        <f>IF(NFI_Expiration=1,IF($A1019&lt;VLOOKUP(L$5,NFI,5,0),1,0)*Table_NFI[[#This Row],[Tarpaulin]],Table_NFI[[#This Row],[Tarpaulin]])</f>
        <v>0</v>
      </c>
      <c r="AD1019" s="378">
        <f>IF(NFI_Expiration=1,IF($A1019&lt;VLOOKUP(M$5,NFI,5,0),1,0)*Table_NFI[[#This Row],[Blanket]],Table_NFI[[#This Row],[Blanket]])</f>
        <v>0</v>
      </c>
      <c r="AE1019" s="378">
        <f>IF(NFI_Expiration=1,IF($A1019&lt;VLOOKUP(N$5,NFI,5,0),1,0)*Table_NFI[[#This Row],[Kitchen Set]],Table_NFI[Kitchen Set])</f>
        <v>0</v>
      </c>
      <c r="AF1019" s="378">
        <f>IF(NFI_Expiration=1,IF($A1019&lt;VLOOKUP(O$5,NFI,5,0),1,0)*Table_NFI[[#This Row],[Clothes Kit]],Table_NFI[Clothes Kit])</f>
        <v>0</v>
      </c>
      <c r="AG1019" s="378">
        <f>IF(NFI_Expiration=1,IF($A1019&lt;VLOOKUP(P$5,NFI,5,0),1,0)*Table_NFI[[#This Row],[Plastic Bucket]],Table_NFI[Plastic Bucket])</f>
        <v>0</v>
      </c>
      <c r="AH1019" s="378">
        <f>IF(NFI_Expiration=1,IF($A1019&lt;VLOOKUP(Q$5,NFI,5,0),1,0)*Table_NFI[[#This Row],[Plastic Mat]],Table_NFI[Plastic Mat])*IF(Table_NFI[[#This Row],[Distribution Date]]&gt;"2014-04-01",1,2.5)</f>
        <v>0</v>
      </c>
      <c r="AI1019" s="378">
        <f>IF(NFI_Expiration=1,IF($A1019&lt;VLOOKUP(R$5,NFI,5,0),1,0)*Table_NFI[[#This Row],[Winter Clothes Adult]],Table_NFI[Winter Clothes Adult])</f>
        <v>0</v>
      </c>
      <c r="AJ1019" s="378">
        <f>IF(NFI_Expiration=1,IF($A1019&lt;VLOOKUP(S$5,NFI,5,0),1,0)*Table_NFI[[#This Row],[Winter Clothes Children]],Table_NFI[Winter Clothes Children])</f>
        <v>0</v>
      </c>
      <c r="AK1019" s="378">
        <f>IF(NFI_Expiration=1,IF($A1019&lt;VLOOKUP(T$5,NFI,5,0),1,0)*Table_NFI[[#This Row],[Winter Items Other]],Table_NFI[Winter Items Other])</f>
        <v>0</v>
      </c>
      <c r="AL1019" s="378">
        <f>IF(NFI_Expiration=1,IF($A1019&lt;VLOOKUP(M$5,NFI,5,0),1,0)*Table_NFI[[#This Row],[Winter Blanket]],Table_NFI[[#This Row],[Winter Blanket]])</f>
        <v>0</v>
      </c>
      <c r="AM1019" s="378">
        <f>IF(Table_NFI[[#This Row],[Winter Clothes Adult]]+Table_NFI[[#This Row],[Winter Clothes Children]]+Table_NFI[[#This Row],[Winter Items Other]]+Table_NFI[[#This Row],[Winter Blanket]]&gt;0,1,0)</f>
        <v>0</v>
      </c>
      <c r="AN1019" s="418">
        <f>IF(NFI_Expiration=1,IF($A1019&lt;VLOOKUP(V$5,NFI,5,0),1,0)*Table_NFI[[#This Row],[Jerry Can]],Table_NFI[Jerry Can])</f>
        <v>0</v>
      </c>
      <c r="AO1019" s="579" t="str">
        <f>IFERROR(VLOOKUP(Table_NFI[[#This Row],[Camp Name]],CL,2,0),"")</f>
        <v/>
      </c>
      <c r="AP1019" s="574" t="str">
        <f ca="1">IF(Table_NFI[[#This Row],[Pcode]]="","",IF(OFFSET(CampList[Opening Date],MATCH(Table_NFI[[#This Row],[Pcode]],CampList[CP_Pcode],0)-1,0,1,1)&gt;=NFI_Monitor_Date,1,0))</f>
        <v/>
      </c>
      <c r="AQ1019" s="579" t="str">
        <f>IFERROR(VLOOKUP(Table_NFI[[#This Row],[Camp Name]],CL,3,0),"")</f>
        <v/>
      </c>
      <c r="AR1019" s="378" t="str">
        <f ca="1">IF(Table_NFI[[#This Row],[Pcode]]="","",OFFSET(CampList[Priority],MATCH(Table_NFI[[#This Row],[Pcode]],CampList[CP_Pcode],0)-1,0,1,1))</f>
        <v/>
      </c>
      <c r="AS1019" s="377" t="str">
        <f>IFERROR(Table_NFI[[#This Row],[Kitchen Set]]/VLOOKUP(Table_NFI[[#This Row],[Camp Name]],CL,4,0),"")</f>
        <v/>
      </c>
      <c r="AT1019" s="577"/>
      <c r="AU1019" s="580"/>
    </row>
    <row r="1020" spans="1:47" x14ac:dyDescent="0.25">
      <c r="A1020" s="381" t="str">
        <f t="shared" si="15"/>
        <v/>
      </c>
      <c r="B1020" s="571"/>
      <c r="C1020" s="572"/>
      <c r="D1020" s="577"/>
      <c r="E1020" s="577"/>
      <c r="F1020" s="577"/>
      <c r="G1020" s="577"/>
      <c r="H1020" s="376"/>
      <c r="I1020" s="376"/>
      <c r="J1020" s="376"/>
      <c r="K1020" s="376"/>
      <c r="L1020" s="376"/>
      <c r="M1020" s="376"/>
      <c r="N1020" s="376"/>
      <c r="O1020" s="376"/>
      <c r="P1020" s="378"/>
      <c r="Q1020" s="378"/>
      <c r="R1020" s="378"/>
      <c r="S1020" s="378"/>
      <c r="T1020" s="378"/>
      <c r="U1020" s="378"/>
      <c r="V1020" s="533"/>
      <c r="W1020" s="418"/>
      <c r="X1020" s="418"/>
      <c r="Y1020" s="378">
        <f>IF(NFI_Expiration=1,IF($A1020&lt;VLOOKUP(H$5,NFI,5,0),1,0)*Table_NFI[[#This Row],[Hygiene Kit]],Table_NFI[Hygiene Kit])</f>
        <v>0</v>
      </c>
      <c r="Z1020" s="378">
        <f>IF(NFI_Expiration=1,IF($A1020&lt;VLOOKUP(I$5,NFI,5,0),1,0)*Table_NFI[[#This Row],[NFI Core Kit]],Table_NFI[NFI Core Kit])</f>
        <v>0</v>
      </c>
      <c r="AA1020" s="378">
        <f>IF(NFI_Expiration=1,IF($A1020&lt;VLOOKUP(J$5,NFI,5,0),1,0)*Table_NFI[[#This Row],[Sanitary Kit]],Table_NFI[Sanitary Kit])</f>
        <v>0</v>
      </c>
      <c r="AB1020" s="378">
        <f>IF(NFI_Expiration=1,IF($A1020&lt;VLOOKUP(K$5,NFI,5,0),1,0)*Table_NFI[[#This Row],[Mosquito net]],Table_NFI[Mosquito net])</f>
        <v>0</v>
      </c>
      <c r="AC1020" s="378">
        <f>IF(NFI_Expiration=1,IF($A1020&lt;VLOOKUP(L$5,NFI,5,0),1,0)*Table_NFI[[#This Row],[Tarpaulin]],Table_NFI[[#This Row],[Tarpaulin]])</f>
        <v>0</v>
      </c>
      <c r="AD1020" s="378">
        <f>IF(NFI_Expiration=1,IF($A1020&lt;VLOOKUP(M$5,NFI,5,0),1,0)*Table_NFI[[#This Row],[Blanket]],Table_NFI[[#This Row],[Blanket]])</f>
        <v>0</v>
      </c>
      <c r="AE1020" s="378">
        <f>IF(NFI_Expiration=1,IF($A1020&lt;VLOOKUP(N$5,NFI,5,0),1,0)*Table_NFI[[#This Row],[Kitchen Set]],Table_NFI[Kitchen Set])</f>
        <v>0</v>
      </c>
      <c r="AF1020" s="378">
        <f>IF(NFI_Expiration=1,IF($A1020&lt;VLOOKUP(O$5,NFI,5,0),1,0)*Table_NFI[[#This Row],[Clothes Kit]],Table_NFI[Clothes Kit])</f>
        <v>0</v>
      </c>
      <c r="AG1020" s="378">
        <f>IF(NFI_Expiration=1,IF($A1020&lt;VLOOKUP(P$5,NFI,5,0),1,0)*Table_NFI[[#This Row],[Plastic Bucket]],Table_NFI[Plastic Bucket])</f>
        <v>0</v>
      </c>
      <c r="AH1020" s="378">
        <f>IF(NFI_Expiration=1,IF($A1020&lt;VLOOKUP(Q$5,NFI,5,0),1,0)*Table_NFI[[#This Row],[Plastic Mat]],Table_NFI[Plastic Mat])*IF(Table_NFI[[#This Row],[Distribution Date]]&gt;"2014-04-01",1,2.5)</f>
        <v>0</v>
      </c>
      <c r="AI1020" s="378">
        <f>IF(NFI_Expiration=1,IF($A1020&lt;VLOOKUP(R$5,NFI,5,0),1,0)*Table_NFI[[#This Row],[Winter Clothes Adult]],Table_NFI[Winter Clothes Adult])</f>
        <v>0</v>
      </c>
      <c r="AJ1020" s="378">
        <f>IF(NFI_Expiration=1,IF($A1020&lt;VLOOKUP(S$5,NFI,5,0),1,0)*Table_NFI[[#This Row],[Winter Clothes Children]],Table_NFI[Winter Clothes Children])</f>
        <v>0</v>
      </c>
      <c r="AK1020" s="378">
        <f>IF(NFI_Expiration=1,IF($A1020&lt;VLOOKUP(T$5,NFI,5,0),1,0)*Table_NFI[[#This Row],[Winter Items Other]],Table_NFI[Winter Items Other])</f>
        <v>0</v>
      </c>
      <c r="AL1020" s="378">
        <f>IF(NFI_Expiration=1,IF($A1020&lt;VLOOKUP(M$5,NFI,5,0),1,0)*Table_NFI[[#This Row],[Winter Blanket]],Table_NFI[[#This Row],[Winter Blanket]])</f>
        <v>0</v>
      </c>
      <c r="AM1020" s="378">
        <f>IF(Table_NFI[[#This Row],[Winter Clothes Adult]]+Table_NFI[[#This Row],[Winter Clothes Children]]+Table_NFI[[#This Row],[Winter Items Other]]+Table_NFI[[#This Row],[Winter Blanket]]&gt;0,1,0)</f>
        <v>0</v>
      </c>
      <c r="AN1020" s="418">
        <f>IF(NFI_Expiration=1,IF($A1020&lt;VLOOKUP(V$5,NFI,5,0),1,0)*Table_NFI[[#This Row],[Jerry Can]],Table_NFI[Jerry Can])</f>
        <v>0</v>
      </c>
      <c r="AO1020" s="579" t="str">
        <f>IFERROR(VLOOKUP(Table_NFI[[#This Row],[Camp Name]],CL,2,0),"")</f>
        <v/>
      </c>
      <c r="AP1020" s="574" t="str">
        <f ca="1">IF(Table_NFI[[#This Row],[Pcode]]="","",IF(OFFSET(CampList[Opening Date],MATCH(Table_NFI[[#This Row],[Pcode]],CampList[CP_Pcode],0)-1,0,1,1)&gt;=NFI_Monitor_Date,1,0))</f>
        <v/>
      </c>
      <c r="AQ1020" s="579" t="str">
        <f>IFERROR(VLOOKUP(Table_NFI[[#This Row],[Camp Name]],CL,3,0),"")</f>
        <v/>
      </c>
      <c r="AR1020" s="378" t="str">
        <f ca="1">IF(Table_NFI[[#This Row],[Pcode]]="","",OFFSET(CampList[Priority],MATCH(Table_NFI[[#This Row],[Pcode]],CampList[CP_Pcode],0)-1,0,1,1))</f>
        <v/>
      </c>
      <c r="AS1020" s="377" t="str">
        <f>IFERROR(Table_NFI[[#This Row],[Kitchen Set]]/VLOOKUP(Table_NFI[[#This Row],[Camp Name]],CL,4,0),"")</f>
        <v/>
      </c>
      <c r="AT1020" s="577"/>
      <c r="AU1020" s="580"/>
    </row>
    <row r="1021" spans="1:47" x14ac:dyDescent="0.25">
      <c r="A1021" s="381" t="str">
        <f t="shared" si="15"/>
        <v/>
      </c>
      <c r="B1021" s="571"/>
      <c r="C1021" s="572"/>
      <c r="D1021" s="577"/>
      <c r="E1021" s="577"/>
      <c r="F1021" s="577"/>
      <c r="G1021" s="577"/>
      <c r="H1021" s="376"/>
      <c r="I1021" s="376"/>
      <c r="J1021" s="376"/>
      <c r="K1021" s="376"/>
      <c r="L1021" s="376"/>
      <c r="M1021" s="376"/>
      <c r="N1021" s="376"/>
      <c r="O1021" s="376"/>
      <c r="P1021" s="378"/>
      <c r="Q1021" s="378"/>
      <c r="R1021" s="378"/>
      <c r="S1021" s="378"/>
      <c r="T1021" s="378"/>
      <c r="U1021" s="378"/>
      <c r="V1021" s="533"/>
      <c r="W1021" s="418"/>
      <c r="X1021" s="418"/>
      <c r="Y1021" s="378">
        <f>IF(NFI_Expiration=1,IF($A1021&lt;VLOOKUP(H$5,NFI,5,0),1,0)*Table_NFI[[#This Row],[Hygiene Kit]],Table_NFI[Hygiene Kit])</f>
        <v>0</v>
      </c>
      <c r="Z1021" s="378">
        <f>IF(NFI_Expiration=1,IF($A1021&lt;VLOOKUP(I$5,NFI,5,0),1,0)*Table_NFI[[#This Row],[NFI Core Kit]],Table_NFI[NFI Core Kit])</f>
        <v>0</v>
      </c>
      <c r="AA1021" s="378">
        <f>IF(NFI_Expiration=1,IF($A1021&lt;VLOOKUP(J$5,NFI,5,0),1,0)*Table_NFI[[#This Row],[Sanitary Kit]],Table_NFI[Sanitary Kit])</f>
        <v>0</v>
      </c>
      <c r="AB1021" s="378">
        <f>IF(NFI_Expiration=1,IF($A1021&lt;VLOOKUP(K$5,NFI,5,0),1,0)*Table_NFI[[#This Row],[Mosquito net]],Table_NFI[Mosquito net])</f>
        <v>0</v>
      </c>
      <c r="AC1021" s="378">
        <f>IF(NFI_Expiration=1,IF($A1021&lt;VLOOKUP(L$5,NFI,5,0),1,0)*Table_NFI[[#This Row],[Tarpaulin]],Table_NFI[[#This Row],[Tarpaulin]])</f>
        <v>0</v>
      </c>
      <c r="AD1021" s="378">
        <f>IF(NFI_Expiration=1,IF($A1021&lt;VLOOKUP(M$5,NFI,5,0),1,0)*Table_NFI[[#This Row],[Blanket]],Table_NFI[[#This Row],[Blanket]])</f>
        <v>0</v>
      </c>
      <c r="AE1021" s="378">
        <f>IF(NFI_Expiration=1,IF($A1021&lt;VLOOKUP(N$5,NFI,5,0),1,0)*Table_NFI[[#This Row],[Kitchen Set]],Table_NFI[Kitchen Set])</f>
        <v>0</v>
      </c>
      <c r="AF1021" s="378">
        <f>IF(NFI_Expiration=1,IF($A1021&lt;VLOOKUP(O$5,NFI,5,0),1,0)*Table_NFI[[#This Row],[Clothes Kit]],Table_NFI[Clothes Kit])</f>
        <v>0</v>
      </c>
      <c r="AG1021" s="378">
        <f>IF(NFI_Expiration=1,IF($A1021&lt;VLOOKUP(P$5,NFI,5,0),1,0)*Table_NFI[[#This Row],[Plastic Bucket]],Table_NFI[Plastic Bucket])</f>
        <v>0</v>
      </c>
      <c r="AH1021" s="378">
        <f>IF(NFI_Expiration=1,IF($A1021&lt;VLOOKUP(Q$5,NFI,5,0),1,0)*Table_NFI[[#This Row],[Plastic Mat]],Table_NFI[Plastic Mat])*IF(Table_NFI[[#This Row],[Distribution Date]]&gt;"2014-04-01",1,2.5)</f>
        <v>0</v>
      </c>
      <c r="AI1021" s="378">
        <f>IF(NFI_Expiration=1,IF($A1021&lt;VLOOKUP(R$5,NFI,5,0),1,0)*Table_NFI[[#This Row],[Winter Clothes Adult]],Table_NFI[Winter Clothes Adult])</f>
        <v>0</v>
      </c>
      <c r="AJ1021" s="378">
        <f>IF(NFI_Expiration=1,IF($A1021&lt;VLOOKUP(S$5,NFI,5,0),1,0)*Table_NFI[[#This Row],[Winter Clothes Children]],Table_NFI[Winter Clothes Children])</f>
        <v>0</v>
      </c>
      <c r="AK1021" s="378">
        <f>IF(NFI_Expiration=1,IF($A1021&lt;VLOOKUP(T$5,NFI,5,0),1,0)*Table_NFI[[#This Row],[Winter Items Other]],Table_NFI[Winter Items Other])</f>
        <v>0</v>
      </c>
      <c r="AL1021" s="378">
        <f>IF(NFI_Expiration=1,IF($A1021&lt;VLOOKUP(M$5,NFI,5,0),1,0)*Table_NFI[[#This Row],[Winter Blanket]],Table_NFI[[#This Row],[Winter Blanket]])</f>
        <v>0</v>
      </c>
      <c r="AM1021" s="378">
        <f>IF(Table_NFI[[#This Row],[Winter Clothes Adult]]+Table_NFI[[#This Row],[Winter Clothes Children]]+Table_NFI[[#This Row],[Winter Items Other]]+Table_NFI[[#This Row],[Winter Blanket]]&gt;0,1,0)</f>
        <v>0</v>
      </c>
      <c r="AN1021" s="418">
        <f>IF(NFI_Expiration=1,IF($A1021&lt;VLOOKUP(V$5,NFI,5,0),1,0)*Table_NFI[[#This Row],[Jerry Can]],Table_NFI[Jerry Can])</f>
        <v>0</v>
      </c>
      <c r="AO1021" s="579" t="str">
        <f>IFERROR(VLOOKUP(Table_NFI[[#This Row],[Camp Name]],CL,2,0),"")</f>
        <v/>
      </c>
      <c r="AP1021" s="574" t="str">
        <f ca="1">IF(Table_NFI[[#This Row],[Pcode]]="","",IF(OFFSET(CampList[Opening Date],MATCH(Table_NFI[[#This Row],[Pcode]],CampList[CP_Pcode],0)-1,0,1,1)&gt;=NFI_Monitor_Date,1,0))</f>
        <v/>
      </c>
      <c r="AQ1021" s="579" t="str">
        <f>IFERROR(VLOOKUP(Table_NFI[[#This Row],[Camp Name]],CL,3,0),"")</f>
        <v/>
      </c>
      <c r="AR1021" s="378" t="str">
        <f ca="1">IF(Table_NFI[[#This Row],[Pcode]]="","",OFFSET(CampList[Priority],MATCH(Table_NFI[[#This Row],[Pcode]],CampList[CP_Pcode],0)-1,0,1,1))</f>
        <v/>
      </c>
      <c r="AS1021" s="377" t="str">
        <f>IFERROR(Table_NFI[[#This Row],[Kitchen Set]]/VLOOKUP(Table_NFI[[#This Row],[Camp Name]],CL,4,0),"")</f>
        <v/>
      </c>
      <c r="AT1021" s="577"/>
      <c r="AU1021" s="580"/>
    </row>
    <row r="1022" spans="1:47" x14ac:dyDescent="0.25">
      <c r="A1022" s="381" t="str">
        <f t="shared" si="15"/>
        <v/>
      </c>
      <c r="B1022" s="571"/>
      <c r="C1022" s="572"/>
      <c r="D1022" s="577"/>
      <c r="E1022" s="577"/>
      <c r="F1022" s="577"/>
      <c r="G1022" s="577"/>
      <c r="H1022" s="376"/>
      <c r="I1022" s="376"/>
      <c r="J1022" s="376"/>
      <c r="K1022" s="376"/>
      <c r="L1022" s="376"/>
      <c r="M1022" s="376"/>
      <c r="N1022" s="376"/>
      <c r="O1022" s="376"/>
      <c r="P1022" s="378"/>
      <c r="Q1022" s="378"/>
      <c r="R1022" s="378"/>
      <c r="S1022" s="378"/>
      <c r="T1022" s="378"/>
      <c r="U1022" s="378"/>
      <c r="V1022" s="533"/>
      <c r="W1022" s="418"/>
      <c r="X1022" s="418"/>
      <c r="Y1022" s="378">
        <f>IF(NFI_Expiration=1,IF($A1022&lt;VLOOKUP(H$5,NFI,5,0),1,0)*Table_NFI[[#This Row],[Hygiene Kit]],Table_NFI[Hygiene Kit])</f>
        <v>0</v>
      </c>
      <c r="Z1022" s="378">
        <f>IF(NFI_Expiration=1,IF($A1022&lt;VLOOKUP(I$5,NFI,5,0),1,0)*Table_NFI[[#This Row],[NFI Core Kit]],Table_NFI[NFI Core Kit])</f>
        <v>0</v>
      </c>
      <c r="AA1022" s="378">
        <f>IF(NFI_Expiration=1,IF($A1022&lt;VLOOKUP(J$5,NFI,5,0),1,0)*Table_NFI[[#This Row],[Sanitary Kit]],Table_NFI[Sanitary Kit])</f>
        <v>0</v>
      </c>
      <c r="AB1022" s="378">
        <f>IF(NFI_Expiration=1,IF($A1022&lt;VLOOKUP(K$5,NFI,5,0),1,0)*Table_NFI[[#This Row],[Mosquito net]],Table_NFI[Mosquito net])</f>
        <v>0</v>
      </c>
      <c r="AC1022" s="378">
        <f>IF(NFI_Expiration=1,IF($A1022&lt;VLOOKUP(L$5,NFI,5,0),1,0)*Table_NFI[[#This Row],[Tarpaulin]],Table_NFI[[#This Row],[Tarpaulin]])</f>
        <v>0</v>
      </c>
      <c r="AD1022" s="378">
        <f>IF(NFI_Expiration=1,IF($A1022&lt;VLOOKUP(M$5,NFI,5,0),1,0)*Table_NFI[[#This Row],[Blanket]],Table_NFI[[#This Row],[Blanket]])</f>
        <v>0</v>
      </c>
      <c r="AE1022" s="378">
        <f>IF(NFI_Expiration=1,IF($A1022&lt;VLOOKUP(N$5,NFI,5,0),1,0)*Table_NFI[[#This Row],[Kitchen Set]],Table_NFI[Kitchen Set])</f>
        <v>0</v>
      </c>
      <c r="AF1022" s="378">
        <f>IF(NFI_Expiration=1,IF($A1022&lt;VLOOKUP(O$5,NFI,5,0),1,0)*Table_NFI[[#This Row],[Clothes Kit]],Table_NFI[Clothes Kit])</f>
        <v>0</v>
      </c>
      <c r="AG1022" s="378">
        <f>IF(NFI_Expiration=1,IF($A1022&lt;VLOOKUP(P$5,NFI,5,0),1,0)*Table_NFI[[#This Row],[Plastic Bucket]],Table_NFI[Plastic Bucket])</f>
        <v>0</v>
      </c>
      <c r="AH1022" s="378">
        <f>IF(NFI_Expiration=1,IF($A1022&lt;VLOOKUP(Q$5,NFI,5,0),1,0)*Table_NFI[[#This Row],[Plastic Mat]],Table_NFI[Plastic Mat])*IF(Table_NFI[[#This Row],[Distribution Date]]&gt;"2014-04-01",1,2.5)</f>
        <v>0</v>
      </c>
      <c r="AI1022" s="378">
        <f>IF(NFI_Expiration=1,IF($A1022&lt;VLOOKUP(R$5,NFI,5,0),1,0)*Table_NFI[[#This Row],[Winter Clothes Adult]],Table_NFI[Winter Clothes Adult])</f>
        <v>0</v>
      </c>
      <c r="AJ1022" s="378">
        <f>IF(NFI_Expiration=1,IF($A1022&lt;VLOOKUP(S$5,NFI,5,0),1,0)*Table_NFI[[#This Row],[Winter Clothes Children]],Table_NFI[Winter Clothes Children])</f>
        <v>0</v>
      </c>
      <c r="AK1022" s="378">
        <f>IF(NFI_Expiration=1,IF($A1022&lt;VLOOKUP(T$5,NFI,5,0),1,0)*Table_NFI[[#This Row],[Winter Items Other]],Table_NFI[Winter Items Other])</f>
        <v>0</v>
      </c>
      <c r="AL1022" s="378">
        <f>IF(NFI_Expiration=1,IF($A1022&lt;VLOOKUP(M$5,NFI,5,0),1,0)*Table_NFI[[#This Row],[Winter Blanket]],Table_NFI[[#This Row],[Winter Blanket]])</f>
        <v>0</v>
      </c>
      <c r="AM1022" s="378">
        <f>IF(Table_NFI[[#This Row],[Winter Clothes Adult]]+Table_NFI[[#This Row],[Winter Clothes Children]]+Table_NFI[[#This Row],[Winter Items Other]]+Table_NFI[[#This Row],[Winter Blanket]]&gt;0,1,0)</f>
        <v>0</v>
      </c>
      <c r="AN1022" s="418">
        <f>IF(NFI_Expiration=1,IF($A1022&lt;VLOOKUP(V$5,NFI,5,0),1,0)*Table_NFI[[#This Row],[Jerry Can]],Table_NFI[Jerry Can])</f>
        <v>0</v>
      </c>
      <c r="AO1022" s="579" t="str">
        <f>IFERROR(VLOOKUP(Table_NFI[[#This Row],[Camp Name]],CL,2,0),"")</f>
        <v/>
      </c>
      <c r="AP1022" s="574" t="str">
        <f ca="1">IF(Table_NFI[[#This Row],[Pcode]]="","",IF(OFFSET(CampList[Opening Date],MATCH(Table_NFI[[#This Row],[Pcode]],CampList[CP_Pcode],0)-1,0,1,1)&gt;=NFI_Monitor_Date,1,0))</f>
        <v/>
      </c>
      <c r="AQ1022" s="579" t="str">
        <f>IFERROR(VLOOKUP(Table_NFI[[#This Row],[Camp Name]],CL,3,0),"")</f>
        <v/>
      </c>
      <c r="AR1022" s="378" t="str">
        <f ca="1">IF(Table_NFI[[#This Row],[Pcode]]="","",OFFSET(CampList[Priority],MATCH(Table_NFI[[#This Row],[Pcode]],CampList[CP_Pcode],0)-1,0,1,1))</f>
        <v/>
      </c>
      <c r="AS1022" s="377" t="str">
        <f>IFERROR(Table_NFI[[#This Row],[Kitchen Set]]/VLOOKUP(Table_NFI[[#This Row],[Camp Name]],CL,4,0),"")</f>
        <v/>
      </c>
      <c r="AT1022" s="577"/>
      <c r="AU1022" s="580"/>
    </row>
    <row r="1023" spans="1:47" x14ac:dyDescent="0.25">
      <c r="A1023" s="381" t="str">
        <f t="shared" si="15"/>
        <v/>
      </c>
      <c r="B1023" s="571"/>
      <c r="C1023" s="572"/>
      <c r="D1023" s="577"/>
      <c r="E1023" s="577"/>
      <c r="F1023" s="577"/>
      <c r="G1023" s="577"/>
      <c r="H1023" s="376"/>
      <c r="I1023" s="376"/>
      <c r="J1023" s="376"/>
      <c r="K1023" s="376"/>
      <c r="L1023" s="376"/>
      <c r="M1023" s="376"/>
      <c r="N1023" s="376"/>
      <c r="O1023" s="376"/>
      <c r="P1023" s="378"/>
      <c r="Q1023" s="378"/>
      <c r="R1023" s="378"/>
      <c r="S1023" s="378"/>
      <c r="T1023" s="378"/>
      <c r="U1023" s="378"/>
      <c r="V1023" s="533"/>
      <c r="W1023" s="418"/>
      <c r="X1023" s="418"/>
      <c r="Y1023" s="378">
        <f>IF(NFI_Expiration=1,IF($A1023&lt;VLOOKUP(H$5,NFI,5,0),1,0)*Table_NFI[[#This Row],[Hygiene Kit]],Table_NFI[Hygiene Kit])</f>
        <v>0</v>
      </c>
      <c r="Z1023" s="378">
        <f>IF(NFI_Expiration=1,IF($A1023&lt;VLOOKUP(I$5,NFI,5,0),1,0)*Table_NFI[[#This Row],[NFI Core Kit]],Table_NFI[NFI Core Kit])</f>
        <v>0</v>
      </c>
      <c r="AA1023" s="378">
        <f>IF(NFI_Expiration=1,IF($A1023&lt;VLOOKUP(J$5,NFI,5,0),1,0)*Table_NFI[[#This Row],[Sanitary Kit]],Table_NFI[Sanitary Kit])</f>
        <v>0</v>
      </c>
      <c r="AB1023" s="378">
        <f>IF(NFI_Expiration=1,IF($A1023&lt;VLOOKUP(K$5,NFI,5,0),1,0)*Table_NFI[[#This Row],[Mosquito net]],Table_NFI[Mosquito net])</f>
        <v>0</v>
      </c>
      <c r="AC1023" s="378">
        <f>IF(NFI_Expiration=1,IF($A1023&lt;VLOOKUP(L$5,NFI,5,0),1,0)*Table_NFI[[#This Row],[Tarpaulin]],Table_NFI[[#This Row],[Tarpaulin]])</f>
        <v>0</v>
      </c>
      <c r="AD1023" s="378">
        <f>IF(NFI_Expiration=1,IF($A1023&lt;VLOOKUP(M$5,NFI,5,0),1,0)*Table_NFI[[#This Row],[Blanket]],Table_NFI[[#This Row],[Blanket]])</f>
        <v>0</v>
      </c>
      <c r="AE1023" s="378">
        <f>IF(NFI_Expiration=1,IF($A1023&lt;VLOOKUP(N$5,NFI,5,0),1,0)*Table_NFI[[#This Row],[Kitchen Set]],Table_NFI[Kitchen Set])</f>
        <v>0</v>
      </c>
      <c r="AF1023" s="378">
        <f>IF(NFI_Expiration=1,IF($A1023&lt;VLOOKUP(O$5,NFI,5,0),1,0)*Table_NFI[[#This Row],[Clothes Kit]],Table_NFI[Clothes Kit])</f>
        <v>0</v>
      </c>
      <c r="AG1023" s="378">
        <f>IF(NFI_Expiration=1,IF($A1023&lt;VLOOKUP(P$5,NFI,5,0),1,0)*Table_NFI[[#This Row],[Plastic Bucket]],Table_NFI[Plastic Bucket])</f>
        <v>0</v>
      </c>
      <c r="AH1023" s="378">
        <f>IF(NFI_Expiration=1,IF($A1023&lt;VLOOKUP(Q$5,NFI,5,0),1,0)*Table_NFI[[#This Row],[Plastic Mat]],Table_NFI[Plastic Mat])*IF(Table_NFI[[#This Row],[Distribution Date]]&gt;"2014-04-01",1,2.5)</f>
        <v>0</v>
      </c>
      <c r="AI1023" s="378">
        <f>IF(NFI_Expiration=1,IF($A1023&lt;VLOOKUP(R$5,NFI,5,0),1,0)*Table_NFI[[#This Row],[Winter Clothes Adult]],Table_NFI[Winter Clothes Adult])</f>
        <v>0</v>
      </c>
      <c r="AJ1023" s="378">
        <f>IF(NFI_Expiration=1,IF($A1023&lt;VLOOKUP(S$5,NFI,5,0),1,0)*Table_NFI[[#This Row],[Winter Clothes Children]],Table_NFI[Winter Clothes Children])</f>
        <v>0</v>
      </c>
      <c r="AK1023" s="378">
        <f>IF(NFI_Expiration=1,IF($A1023&lt;VLOOKUP(T$5,NFI,5,0),1,0)*Table_NFI[[#This Row],[Winter Items Other]],Table_NFI[Winter Items Other])</f>
        <v>0</v>
      </c>
      <c r="AL1023" s="378">
        <f>IF(NFI_Expiration=1,IF($A1023&lt;VLOOKUP(M$5,NFI,5,0),1,0)*Table_NFI[[#This Row],[Winter Blanket]],Table_NFI[[#This Row],[Winter Blanket]])</f>
        <v>0</v>
      </c>
      <c r="AM1023" s="378">
        <f>IF(Table_NFI[[#This Row],[Winter Clothes Adult]]+Table_NFI[[#This Row],[Winter Clothes Children]]+Table_NFI[[#This Row],[Winter Items Other]]+Table_NFI[[#This Row],[Winter Blanket]]&gt;0,1,0)</f>
        <v>0</v>
      </c>
      <c r="AN1023" s="418">
        <f>IF(NFI_Expiration=1,IF($A1023&lt;VLOOKUP(V$5,NFI,5,0),1,0)*Table_NFI[[#This Row],[Jerry Can]],Table_NFI[Jerry Can])</f>
        <v>0</v>
      </c>
      <c r="AO1023" s="579" t="str">
        <f>IFERROR(VLOOKUP(Table_NFI[[#This Row],[Camp Name]],CL,2,0),"")</f>
        <v/>
      </c>
      <c r="AP1023" s="574" t="str">
        <f ca="1">IF(Table_NFI[[#This Row],[Pcode]]="","",IF(OFFSET(CampList[Opening Date],MATCH(Table_NFI[[#This Row],[Pcode]],CampList[CP_Pcode],0)-1,0,1,1)&gt;=NFI_Monitor_Date,1,0))</f>
        <v/>
      </c>
      <c r="AQ1023" s="579" t="str">
        <f>IFERROR(VLOOKUP(Table_NFI[[#This Row],[Camp Name]],CL,3,0),"")</f>
        <v/>
      </c>
      <c r="AR1023" s="378" t="str">
        <f ca="1">IF(Table_NFI[[#This Row],[Pcode]]="","",OFFSET(CampList[Priority],MATCH(Table_NFI[[#This Row],[Pcode]],CampList[CP_Pcode],0)-1,0,1,1))</f>
        <v/>
      </c>
      <c r="AS1023" s="377" t="str">
        <f>IFERROR(Table_NFI[[#This Row],[Kitchen Set]]/VLOOKUP(Table_NFI[[#This Row],[Camp Name]],CL,4,0),"")</f>
        <v/>
      </c>
      <c r="AT1023" s="577"/>
      <c r="AU1023" s="580"/>
    </row>
    <row r="1024" spans="1:47" x14ac:dyDescent="0.25">
      <c r="A1024" s="381" t="str">
        <f t="shared" si="15"/>
        <v/>
      </c>
      <c r="B1024" s="571"/>
      <c r="C1024" s="572"/>
      <c r="D1024" s="577"/>
      <c r="E1024" s="577"/>
      <c r="F1024" s="577"/>
      <c r="G1024" s="577"/>
      <c r="H1024" s="376"/>
      <c r="I1024" s="376"/>
      <c r="J1024" s="376"/>
      <c r="K1024" s="376"/>
      <c r="L1024" s="376"/>
      <c r="M1024" s="376"/>
      <c r="N1024" s="376"/>
      <c r="O1024" s="376"/>
      <c r="P1024" s="378"/>
      <c r="Q1024" s="378"/>
      <c r="R1024" s="378"/>
      <c r="S1024" s="378"/>
      <c r="T1024" s="378"/>
      <c r="U1024" s="378"/>
      <c r="V1024" s="533"/>
      <c r="W1024" s="418"/>
      <c r="X1024" s="418"/>
      <c r="Y1024" s="378">
        <f>IF(NFI_Expiration=1,IF($A1024&lt;VLOOKUP(H$5,NFI,5,0),1,0)*Table_NFI[[#This Row],[Hygiene Kit]],Table_NFI[Hygiene Kit])</f>
        <v>0</v>
      </c>
      <c r="Z1024" s="378">
        <f>IF(NFI_Expiration=1,IF($A1024&lt;VLOOKUP(I$5,NFI,5,0),1,0)*Table_NFI[[#This Row],[NFI Core Kit]],Table_NFI[NFI Core Kit])</f>
        <v>0</v>
      </c>
      <c r="AA1024" s="378">
        <f>IF(NFI_Expiration=1,IF($A1024&lt;VLOOKUP(J$5,NFI,5,0),1,0)*Table_NFI[[#This Row],[Sanitary Kit]],Table_NFI[Sanitary Kit])</f>
        <v>0</v>
      </c>
      <c r="AB1024" s="378">
        <f>IF(NFI_Expiration=1,IF($A1024&lt;VLOOKUP(K$5,NFI,5,0),1,0)*Table_NFI[[#This Row],[Mosquito net]],Table_NFI[Mosquito net])</f>
        <v>0</v>
      </c>
      <c r="AC1024" s="378">
        <f>IF(NFI_Expiration=1,IF($A1024&lt;VLOOKUP(L$5,NFI,5,0),1,0)*Table_NFI[[#This Row],[Tarpaulin]],Table_NFI[[#This Row],[Tarpaulin]])</f>
        <v>0</v>
      </c>
      <c r="AD1024" s="378">
        <f>IF(NFI_Expiration=1,IF($A1024&lt;VLOOKUP(M$5,NFI,5,0),1,0)*Table_NFI[[#This Row],[Blanket]],Table_NFI[[#This Row],[Blanket]])</f>
        <v>0</v>
      </c>
      <c r="AE1024" s="378">
        <f>IF(NFI_Expiration=1,IF($A1024&lt;VLOOKUP(N$5,NFI,5,0),1,0)*Table_NFI[[#This Row],[Kitchen Set]],Table_NFI[Kitchen Set])</f>
        <v>0</v>
      </c>
      <c r="AF1024" s="378">
        <f>IF(NFI_Expiration=1,IF($A1024&lt;VLOOKUP(O$5,NFI,5,0),1,0)*Table_NFI[[#This Row],[Clothes Kit]],Table_NFI[Clothes Kit])</f>
        <v>0</v>
      </c>
      <c r="AG1024" s="378">
        <f>IF(NFI_Expiration=1,IF($A1024&lt;VLOOKUP(P$5,NFI,5,0),1,0)*Table_NFI[[#This Row],[Plastic Bucket]],Table_NFI[Plastic Bucket])</f>
        <v>0</v>
      </c>
      <c r="AH1024" s="378">
        <f>IF(NFI_Expiration=1,IF($A1024&lt;VLOOKUP(Q$5,NFI,5,0),1,0)*Table_NFI[[#This Row],[Plastic Mat]],Table_NFI[Plastic Mat])*IF(Table_NFI[[#This Row],[Distribution Date]]&gt;"2014-04-01",1,2.5)</f>
        <v>0</v>
      </c>
      <c r="AI1024" s="378">
        <f>IF(NFI_Expiration=1,IF($A1024&lt;VLOOKUP(R$5,NFI,5,0),1,0)*Table_NFI[[#This Row],[Winter Clothes Adult]],Table_NFI[Winter Clothes Adult])</f>
        <v>0</v>
      </c>
      <c r="AJ1024" s="378">
        <f>IF(NFI_Expiration=1,IF($A1024&lt;VLOOKUP(S$5,NFI,5,0),1,0)*Table_NFI[[#This Row],[Winter Clothes Children]],Table_NFI[Winter Clothes Children])</f>
        <v>0</v>
      </c>
      <c r="AK1024" s="378">
        <f>IF(NFI_Expiration=1,IF($A1024&lt;VLOOKUP(T$5,NFI,5,0),1,0)*Table_NFI[[#This Row],[Winter Items Other]],Table_NFI[Winter Items Other])</f>
        <v>0</v>
      </c>
      <c r="AL1024" s="378">
        <f>IF(NFI_Expiration=1,IF($A1024&lt;VLOOKUP(M$5,NFI,5,0),1,0)*Table_NFI[[#This Row],[Winter Blanket]],Table_NFI[[#This Row],[Winter Blanket]])</f>
        <v>0</v>
      </c>
      <c r="AM1024" s="378">
        <f>IF(Table_NFI[[#This Row],[Winter Clothes Adult]]+Table_NFI[[#This Row],[Winter Clothes Children]]+Table_NFI[[#This Row],[Winter Items Other]]+Table_NFI[[#This Row],[Winter Blanket]]&gt;0,1,0)</f>
        <v>0</v>
      </c>
      <c r="AN1024" s="418">
        <f>IF(NFI_Expiration=1,IF($A1024&lt;VLOOKUP(V$5,NFI,5,0),1,0)*Table_NFI[[#This Row],[Jerry Can]],Table_NFI[Jerry Can])</f>
        <v>0</v>
      </c>
      <c r="AO1024" s="579" t="str">
        <f>IFERROR(VLOOKUP(Table_NFI[[#This Row],[Camp Name]],CL,2,0),"")</f>
        <v/>
      </c>
      <c r="AP1024" s="574" t="str">
        <f ca="1">IF(Table_NFI[[#This Row],[Pcode]]="","",IF(OFFSET(CampList[Opening Date],MATCH(Table_NFI[[#This Row],[Pcode]],CampList[CP_Pcode],0)-1,0,1,1)&gt;=NFI_Monitor_Date,1,0))</f>
        <v/>
      </c>
      <c r="AQ1024" s="579" t="str">
        <f>IFERROR(VLOOKUP(Table_NFI[[#This Row],[Camp Name]],CL,3,0),"")</f>
        <v/>
      </c>
      <c r="AR1024" s="378" t="str">
        <f ca="1">IF(Table_NFI[[#This Row],[Pcode]]="","",OFFSET(CampList[Priority],MATCH(Table_NFI[[#This Row],[Pcode]],CampList[CP_Pcode],0)-1,0,1,1))</f>
        <v/>
      </c>
      <c r="AS1024" s="377" t="str">
        <f>IFERROR(Table_NFI[[#This Row],[Kitchen Set]]/VLOOKUP(Table_NFI[[#This Row],[Camp Name]],CL,4,0),"")</f>
        <v/>
      </c>
      <c r="AT1024" s="577"/>
      <c r="AU1024" s="580"/>
    </row>
    <row r="1025" spans="1:47" x14ac:dyDescent="0.25">
      <c r="A1025" s="381" t="str">
        <f t="shared" si="15"/>
        <v/>
      </c>
      <c r="B1025" s="571"/>
      <c r="C1025" s="572"/>
      <c r="D1025" s="577"/>
      <c r="E1025" s="577"/>
      <c r="F1025" s="577"/>
      <c r="G1025" s="577"/>
      <c r="H1025" s="376"/>
      <c r="I1025" s="376"/>
      <c r="J1025" s="376"/>
      <c r="K1025" s="376"/>
      <c r="L1025" s="376"/>
      <c r="M1025" s="376"/>
      <c r="N1025" s="376"/>
      <c r="O1025" s="376"/>
      <c r="P1025" s="378"/>
      <c r="Q1025" s="378"/>
      <c r="R1025" s="378"/>
      <c r="S1025" s="378"/>
      <c r="T1025" s="378"/>
      <c r="U1025" s="378"/>
      <c r="V1025" s="533"/>
      <c r="W1025" s="418"/>
      <c r="X1025" s="418"/>
      <c r="Y1025" s="378">
        <f>IF(NFI_Expiration=1,IF($A1025&lt;VLOOKUP(H$5,NFI,5,0),1,0)*Table_NFI[[#This Row],[Hygiene Kit]],Table_NFI[Hygiene Kit])</f>
        <v>0</v>
      </c>
      <c r="Z1025" s="378">
        <f>IF(NFI_Expiration=1,IF($A1025&lt;VLOOKUP(I$5,NFI,5,0),1,0)*Table_NFI[[#This Row],[NFI Core Kit]],Table_NFI[NFI Core Kit])</f>
        <v>0</v>
      </c>
      <c r="AA1025" s="378">
        <f>IF(NFI_Expiration=1,IF($A1025&lt;VLOOKUP(J$5,NFI,5,0),1,0)*Table_NFI[[#This Row],[Sanitary Kit]],Table_NFI[Sanitary Kit])</f>
        <v>0</v>
      </c>
      <c r="AB1025" s="378">
        <f>IF(NFI_Expiration=1,IF($A1025&lt;VLOOKUP(K$5,NFI,5,0),1,0)*Table_NFI[[#This Row],[Mosquito net]],Table_NFI[Mosquito net])</f>
        <v>0</v>
      </c>
      <c r="AC1025" s="378">
        <f>IF(NFI_Expiration=1,IF($A1025&lt;VLOOKUP(L$5,NFI,5,0),1,0)*Table_NFI[[#This Row],[Tarpaulin]],Table_NFI[[#This Row],[Tarpaulin]])</f>
        <v>0</v>
      </c>
      <c r="AD1025" s="378">
        <f>IF(NFI_Expiration=1,IF($A1025&lt;VLOOKUP(M$5,NFI,5,0),1,0)*Table_NFI[[#This Row],[Blanket]],Table_NFI[[#This Row],[Blanket]])</f>
        <v>0</v>
      </c>
      <c r="AE1025" s="378">
        <f>IF(NFI_Expiration=1,IF($A1025&lt;VLOOKUP(N$5,NFI,5,0),1,0)*Table_NFI[[#This Row],[Kitchen Set]],Table_NFI[Kitchen Set])</f>
        <v>0</v>
      </c>
      <c r="AF1025" s="378">
        <f>IF(NFI_Expiration=1,IF($A1025&lt;VLOOKUP(O$5,NFI,5,0),1,0)*Table_NFI[[#This Row],[Clothes Kit]],Table_NFI[Clothes Kit])</f>
        <v>0</v>
      </c>
      <c r="AG1025" s="378">
        <f>IF(NFI_Expiration=1,IF($A1025&lt;VLOOKUP(P$5,NFI,5,0),1,0)*Table_NFI[[#This Row],[Plastic Bucket]],Table_NFI[Plastic Bucket])</f>
        <v>0</v>
      </c>
      <c r="AH1025" s="378">
        <f>IF(NFI_Expiration=1,IF($A1025&lt;VLOOKUP(Q$5,NFI,5,0),1,0)*Table_NFI[[#This Row],[Plastic Mat]],Table_NFI[Plastic Mat])*IF(Table_NFI[[#This Row],[Distribution Date]]&gt;"2014-04-01",1,2.5)</f>
        <v>0</v>
      </c>
      <c r="AI1025" s="378">
        <f>IF(NFI_Expiration=1,IF($A1025&lt;VLOOKUP(R$5,NFI,5,0),1,0)*Table_NFI[[#This Row],[Winter Clothes Adult]],Table_NFI[Winter Clothes Adult])</f>
        <v>0</v>
      </c>
      <c r="AJ1025" s="378">
        <f>IF(NFI_Expiration=1,IF($A1025&lt;VLOOKUP(S$5,NFI,5,0),1,0)*Table_NFI[[#This Row],[Winter Clothes Children]],Table_NFI[Winter Clothes Children])</f>
        <v>0</v>
      </c>
      <c r="AK1025" s="378">
        <f>IF(NFI_Expiration=1,IF($A1025&lt;VLOOKUP(T$5,NFI,5,0),1,0)*Table_NFI[[#This Row],[Winter Items Other]],Table_NFI[Winter Items Other])</f>
        <v>0</v>
      </c>
      <c r="AL1025" s="378">
        <f>IF(NFI_Expiration=1,IF($A1025&lt;VLOOKUP(M$5,NFI,5,0),1,0)*Table_NFI[[#This Row],[Winter Blanket]],Table_NFI[[#This Row],[Winter Blanket]])</f>
        <v>0</v>
      </c>
      <c r="AM1025" s="378">
        <f>IF(Table_NFI[[#This Row],[Winter Clothes Adult]]+Table_NFI[[#This Row],[Winter Clothes Children]]+Table_NFI[[#This Row],[Winter Items Other]]+Table_NFI[[#This Row],[Winter Blanket]]&gt;0,1,0)</f>
        <v>0</v>
      </c>
      <c r="AN1025" s="418">
        <f>IF(NFI_Expiration=1,IF($A1025&lt;VLOOKUP(V$5,NFI,5,0),1,0)*Table_NFI[[#This Row],[Jerry Can]],Table_NFI[Jerry Can])</f>
        <v>0</v>
      </c>
      <c r="AO1025" s="579" t="str">
        <f>IFERROR(VLOOKUP(Table_NFI[[#This Row],[Camp Name]],CL,2,0),"")</f>
        <v/>
      </c>
      <c r="AP1025" s="574" t="str">
        <f ca="1">IF(Table_NFI[[#This Row],[Pcode]]="","",IF(OFFSET(CampList[Opening Date],MATCH(Table_NFI[[#This Row],[Pcode]],CampList[CP_Pcode],0)-1,0,1,1)&gt;=NFI_Monitor_Date,1,0))</f>
        <v/>
      </c>
      <c r="AQ1025" s="579" t="str">
        <f>IFERROR(VLOOKUP(Table_NFI[[#This Row],[Camp Name]],CL,3,0),"")</f>
        <v/>
      </c>
      <c r="AR1025" s="378" t="str">
        <f ca="1">IF(Table_NFI[[#This Row],[Pcode]]="","",OFFSET(CampList[Priority],MATCH(Table_NFI[[#This Row],[Pcode]],CampList[CP_Pcode],0)-1,0,1,1))</f>
        <v/>
      </c>
      <c r="AS1025" s="377" t="str">
        <f>IFERROR(Table_NFI[[#This Row],[Kitchen Set]]/VLOOKUP(Table_NFI[[#This Row],[Camp Name]],CL,4,0),"")</f>
        <v/>
      </c>
      <c r="AT1025" s="577"/>
      <c r="AU1025" s="580"/>
    </row>
    <row r="1026" spans="1:47" x14ac:dyDescent="0.25">
      <c r="A1026" s="381" t="str">
        <f t="shared" si="15"/>
        <v/>
      </c>
      <c r="B1026" s="571"/>
      <c r="C1026" s="572"/>
      <c r="D1026" s="577"/>
      <c r="E1026" s="577"/>
      <c r="F1026" s="577"/>
      <c r="G1026" s="577"/>
      <c r="H1026" s="376"/>
      <c r="I1026" s="376"/>
      <c r="J1026" s="376"/>
      <c r="K1026" s="376"/>
      <c r="L1026" s="376"/>
      <c r="M1026" s="376"/>
      <c r="N1026" s="376"/>
      <c r="O1026" s="376"/>
      <c r="P1026" s="378"/>
      <c r="Q1026" s="378"/>
      <c r="R1026" s="378"/>
      <c r="S1026" s="378"/>
      <c r="T1026" s="378"/>
      <c r="U1026" s="378"/>
      <c r="V1026" s="533"/>
      <c r="W1026" s="418"/>
      <c r="X1026" s="418"/>
      <c r="Y1026" s="378">
        <f>IF(NFI_Expiration=1,IF($A1026&lt;VLOOKUP(H$5,NFI,5,0),1,0)*Table_NFI[[#This Row],[Hygiene Kit]],Table_NFI[Hygiene Kit])</f>
        <v>0</v>
      </c>
      <c r="Z1026" s="378">
        <f>IF(NFI_Expiration=1,IF($A1026&lt;VLOOKUP(I$5,NFI,5,0),1,0)*Table_NFI[[#This Row],[NFI Core Kit]],Table_NFI[NFI Core Kit])</f>
        <v>0</v>
      </c>
      <c r="AA1026" s="378">
        <f>IF(NFI_Expiration=1,IF($A1026&lt;VLOOKUP(J$5,NFI,5,0),1,0)*Table_NFI[[#This Row],[Sanitary Kit]],Table_NFI[Sanitary Kit])</f>
        <v>0</v>
      </c>
      <c r="AB1026" s="378">
        <f>IF(NFI_Expiration=1,IF($A1026&lt;VLOOKUP(K$5,NFI,5,0),1,0)*Table_NFI[[#This Row],[Mosquito net]],Table_NFI[Mosquito net])</f>
        <v>0</v>
      </c>
      <c r="AC1026" s="378">
        <f>IF(NFI_Expiration=1,IF($A1026&lt;VLOOKUP(L$5,NFI,5,0),1,0)*Table_NFI[[#This Row],[Tarpaulin]],Table_NFI[[#This Row],[Tarpaulin]])</f>
        <v>0</v>
      </c>
      <c r="AD1026" s="378">
        <f>IF(NFI_Expiration=1,IF($A1026&lt;VLOOKUP(M$5,NFI,5,0),1,0)*Table_NFI[[#This Row],[Blanket]],Table_NFI[[#This Row],[Blanket]])</f>
        <v>0</v>
      </c>
      <c r="AE1026" s="378">
        <f>IF(NFI_Expiration=1,IF($A1026&lt;VLOOKUP(N$5,NFI,5,0),1,0)*Table_NFI[[#This Row],[Kitchen Set]],Table_NFI[Kitchen Set])</f>
        <v>0</v>
      </c>
      <c r="AF1026" s="378">
        <f>IF(NFI_Expiration=1,IF($A1026&lt;VLOOKUP(O$5,NFI,5,0),1,0)*Table_NFI[[#This Row],[Clothes Kit]],Table_NFI[Clothes Kit])</f>
        <v>0</v>
      </c>
      <c r="AG1026" s="378">
        <f>IF(NFI_Expiration=1,IF($A1026&lt;VLOOKUP(P$5,NFI,5,0),1,0)*Table_NFI[[#This Row],[Plastic Bucket]],Table_NFI[Plastic Bucket])</f>
        <v>0</v>
      </c>
      <c r="AH1026" s="378">
        <f>IF(NFI_Expiration=1,IF($A1026&lt;VLOOKUP(Q$5,NFI,5,0),1,0)*Table_NFI[[#This Row],[Plastic Mat]],Table_NFI[Plastic Mat])*IF(Table_NFI[[#This Row],[Distribution Date]]&gt;"2014-04-01",1,2.5)</f>
        <v>0</v>
      </c>
      <c r="AI1026" s="378">
        <f>IF(NFI_Expiration=1,IF($A1026&lt;VLOOKUP(R$5,NFI,5,0),1,0)*Table_NFI[[#This Row],[Winter Clothes Adult]],Table_NFI[Winter Clothes Adult])</f>
        <v>0</v>
      </c>
      <c r="AJ1026" s="378">
        <f>IF(NFI_Expiration=1,IF($A1026&lt;VLOOKUP(S$5,NFI,5,0),1,0)*Table_NFI[[#This Row],[Winter Clothes Children]],Table_NFI[Winter Clothes Children])</f>
        <v>0</v>
      </c>
      <c r="AK1026" s="378">
        <f>IF(NFI_Expiration=1,IF($A1026&lt;VLOOKUP(T$5,NFI,5,0),1,0)*Table_NFI[[#This Row],[Winter Items Other]],Table_NFI[Winter Items Other])</f>
        <v>0</v>
      </c>
      <c r="AL1026" s="378">
        <f>IF(NFI_Expiration=1,IF($A1026&lt;VLOOKUP(M$5,NFI,5,0),1,0)*Table_NFI[[#This Row],[Winter Blanket]],Table_NFI[[#This Row],[Winter Blanket]])</f>
        <v>0</v>
      </c>
      <c r="AM1026" s="378">
        <f>IF(Table_NFI[[#This Row],[Winter Clothes Adult]]+Table_NFI[[#This Row],[Winter Clothes Children]]+Table_NFI[[#This Row],[Winter Items Other]]+Table_NFI[[#This Row],[Winter Blanket]]&gt;0,1,0)</f>
        <v>0</v>
      </c>
      <c r="AN1026" s="418">
        <f>IF(NFI_Expiration=1,IF($A1026&lt;VLOOKUP(V$5,NFI,5,0),1,0)*Table_NFI[[#This Row],[Jerry Can]],Table_NFI[Jerry Can])</f>
        <v>0</v>
      </c>
      <c r="AO1026" s="579" t="str">
        <f>IFERROR(VLOOKUP(Table_NFI[[#This Row],[Camp Name]],CL,2,0),"")</f>
        <v/>
      </c>
      <c r="AP1026" s="574" t="str">
        <f ca="1">IF(Table_NFI[[#This Row],[Pcode]]="","",IF(OFFSET(CampList[Opening Date],MATCH(Table_NFI[[#This Row],[Pcode]],CampList[CP_Pcode],0)-1,0,1,1)&gt;=NFI_Monitor_Date,1,0))</f>
        <v/>
      </c>
      <c r="AQ1026" s="579" t="str">
        <f>IFERROR(VLOOKUP(Table_NFI[[#This Row],[Camp Name]],CL,3,0),"")</f>
        <v/>
      </c>
      <c r="AR1026" s="378" t="str">
        <f ca="1">IF(Table_NFI[[#This Row],[Pcode]]="","",OFFSET(CampList[Priority],MATCH(Table_NFI[[#This Row],[Pcode]],CampList[CP_Pcode],0)-1,0,1,1))</f>
        <v/>
      </c>
      <c r="AS1026" s="377" t="str">
        <f>IFERROR(Table_NFI[[#This Row],[Kitchen Set]]/VLOOKUP(Table_NFI[[#This Row],[Camp Name]],CL,4,0),"")</f>
        <v/>
      </c>
      <c r="AT1026" s="577"/>
      <c r="AU1026" s="580"/>
    </row>
    <row r="1027" spans="1:47" x14ac:dyDescent="0.25">
      <c r="A1027" s="381" t="str">
        <f t="shared" si="15"/>
        <v/>
      </c>
      <c r="B1027" s="571"/>
      <c r="C1027" s="572"/>
      <c r="D1027" s="577"/>
      <c r="E1027" s="577"/>
      <c r="F1027" s="577"/>
      <c r="G1027" s="577"/>
      <c r="H1027" s="376"/>
      <c r="I1027" s="376"/>
      <c r="J1027" s="376"/>
      <c r="K1027" s="376"/>
      <c r="L1027" s="376"/>
      <c r="M1027" s="376"/>
      <c r="N1027" s="376"/>
      <c r="O1027" s="376"/>
      <c r="P1027" s="378"/>
      <c r="Q1027" s="378"/>
      <c r="R1027" s="378"/>
      <c r="S1027" s="378"/>
      <c r="T1027" s="378"/>
      <c r="U1027" s="378"/>
      <c r="V1027" s="533"/>
      <c r="W1027" s="418"/>
      <c r="X1027" s="418"/>
      <c r="Y1027" s="378">
        <f>IF(NFI_Expiration=1,IF($A1027&lt;VLOOKUP(H$5,NFI,5,0),1,0)*Table_NFI[[#This Row],[Hygiene Kit]],Table_NFI[Hygiene Kit])</f>
        <v>0</v>
      </c>
      <c r="Z1027" s="378">
        <f>IF(NFI_Expiration=1,IF($A1027&lt;VLOOKUP(I$5,NFI,5,0),1,0)*Table_NFI[[#This Row],[NFI Core Kit]],Table_NFI[NFI Core Kit])</f>
        <v>0</v>
      </c>
      <c r="AA1027" s="378">
        <f>IF(NFI_Expiration=1,IF($A1027&lt;VLOOKUP(J$5,NFI,5,0),1,0)*Table_NFI[[#This Row],[Sanitary Kit]],Table_NFI[Sanitary Kit])</f>
        <v>0</v>
      </c>
      <c r="AB1027" s="378">
        <f>IF(NFI_Expiration=1,IF($A1027&lt;VLOOKUP(K$5,NFI,5,0),1,0)*Table_NFI[[#This Row],[Mosquito net]],Table_NFI[Mosquito net])</f>
        <v>0</v>
      </c>
      <c r="AC1027" s="378">
        <f>IF(NFI_Expiration=1,IF($A1027&lt;VLOOKUP(L$5,NFI,5,0),1,0)*Table_NFI[[#This Row],[Tarpaulin]],Table_NFI[[#This Row],[Tarpaulin]])</f>
        <v>0</v>
      </c>
      <c r="AD1027" s="378">
        <f>IF(NFI_Expiration=1,IF($A1027&lt;VLOOKUP(M$5,NFI,5,0),1,0)*Table_NFI[[#This Row],[Blanket]],Table_NFI[[#This Row],[Blanket]])</f>
        <v>0</v>
      </c>
      <c r="AE1027" s="378">
        <f>IF(NFI_Expiration=1,IF($A1027&lt;VLOOKUP(N$5,NFI,5,0),1,0)*Table_NFI[[#This Row],[Kitchen Set]],Table_NFI[Kitchen Set])</f>
        <v>0</v>
      </c>
      <c r="AF1027" s="378">
        <f>IF(NFI_Expiration=1,IF($A1027&lt;VLOOKUP(O$5,NFI,5,0),1,0)*Table_NFI[[#This Row],[Clothes Kit]],Table_NFI[Clothes Kit])</f>
        <v>0</v>
      </c>
      <c r="AG1027" s="378">
        <f>IF(NFI_Expiration=1,IF($A1027&lt;VLOOKUP(P$5,NFI,5,0),1,0)*Table_NFI[[#This Row],[Plastic Bucket]],Table_NFI[Plastic Bucket])</f>
        <v>0</v>
      </c>
      <c r="AH1027" s="378">
        <f>IF(NFI_Expiration=1,IF($A1027&lt;VLOOKUP(Q$5,NFI,5,0),1,0)*Table_NFI[[#This Row],[Plastic Mat]],Table_NFI[Plastic Mat])*IF(Table_NFI[[#This Row],[Distribution Date]]&gt;"2014-04-01",1,2.5)</f>
        <v>0</v>
      </c>
      <c r="AI1027" s="378">
        <f>IF(NFI_Expiration=1,IF($A1027&lt;VLOOKUP(R$5,NFI,5,0),1,0)*Table_NFI[[#This Row],[Winter Clothes Adult]],Table_NFI[Winter Clothes Adult])</f>
        <v>0</v>
      </c>
      <c r="AJ1027" s="378">
        <f>IF(NFI_Expiration=1,IF($A1027&lt;VLOOKUP(S$5,NFI,5,0),1,0)*Table_NFI[[#This Row],[Winter Clothes Children]],Table_NFI[Winter Clothes Children])</f>
        <v>0</v>
      </c>
      <c r="AK1027" s="378">
        <f>IF(NFI_Expiration=1,IF($A1027&lt;VLOOKUP(T$5,NFI,5,0),1,0)*Table_NFI[[#This Row],[Winter Items Other]],Table_NFI[Winter Items Other])</f>
        <v>0</v>
      </c>
      <c r="AL1027" s="378">
        <f>IF(NFI_Expiration=1,IF($A1027&lt;VLOOKUP(M$5,NFI,5,0),1,0)*Table_NFI[[#This Row],[Winter Blanket]],Table_NFI[[#This Row],[Winter Blanket]])</f>
        <v>0</v>
      </c>
      <c r="AM1027" s="378">
        <f>IF(Table_NFI[[#This Row],[Winter Clothes Adult]]+Table_NFI[[#This Row],[Winter Clothes Children]]+Table_NFI[[#This Row],[Winter Items Other]]+Table_NFI[[#This Row],[Winter Blanket]]&gt;0,1,0)</f>
        <v>0</v>
      </c>
      <c r="AN1027" s="418">
        <f>IF(NFI_Expiration=1,IF($A1027&lt;VLOOKUP(V$5,NFI,5,0),1,0)*Table_NFI[[#This Row],[Jerry Can]],Table_NFI[Jerry Can])</f>
        <v>0</v>
      </c>
      <c r="AO1027" s="579" t="str">
        <f>IFERROR(VLOOKUP(Table_NFI[[#This Row],[Camp Name]],CL,2,0),"")</f>
        <v/>
      </c>
      <c r="AP1027" s="574" t="str">
        <f ca="1">IF(Table_NFI[[#This Row],[Pcode]]="","",IF(OFFSET(CampList[Opening Date],MATCH(Table_NFI[[#This Row],[Pcode]],CampList[CP_Pcode],0)-1,0,1,1)&gt;=NFI_Monitor_Date,1,0))</f>
        <v/>
      </c>
      <c r="AQ1027" s="579" t="str">
        <f>IFERROR(VLOOKUP(Table_NFI[[#This Row],[Camp Name]],CL,3,0),"")</f>
        <v/>
      </c>
      <c r="AR1027" s="378" t="str">
        <f ca="1">IF(Table_NFI[[#This Row],[Pcode]]="","",OFFSET(CampList[Priority],MATCH(Table_NFI[[#This Row],[Pcode]],CampList[CP_Pcode],0)-1,0,1,1))</f>
        <v/>
      </c>
      <c r="AS1027" s="377" t="str">
        <f>IFERROR(Table_NFI[[#This Row],[Kitchen Set]]/VLOOKUP(Table_NFI[[#This Row],[Camp Name]],CL,4,0),"")</f>
        <v/>
      </c>
      <c r="AT1027" s="572"/>
      <c r="AU1027" s="575"/>
    </row>
    <row r="1028" spans="1:47" x14ac:dyDescent="0.25">
      <c r="A1028" s="381" t="str">
        <f t="shared" si="15"/>
        <v/>
      </c>
      <c r="B1028" s="571"/>
      <c r="C1028" s="572"/>
      <c r="D1028" s="577"/>
      <c r="E1028" s="577"/>
      <c r="F1028" s="577"/>
      <c r="G1028" s="577"/>
      <c r="H1028" s="376"/>
      <c r="I1028" s="376"/>
      <c r="J1028" s="376"/>
      <c r="K1028" s="376"/>
      <c r="L1028" s="376"/>
      <c r="M1028" s="376"/>
      <c r="N1028" s="376"/>
      <c r="O1028" s="376"/>
      <c r="P1028" s="378"/>
      <c r="Q1028" s="378"/>
      <c r="R1028" s="378"/>
      <c r="S1028" s="378"/>
      <c r="T1028" s="378"/>
      <c r="U1028" s="378"/>
      <c r="V1028" s="533"/>
      <c r="W1028" s="418"/>
      <c r="X1028" s="418"/>
      <c r="Y1028" s="378">
        <f>IF(NFI_Expiration=1,IF($A1028&lt;VLOOKUP(H$5,NFI,5,0),1,0)*Table_NFI[[#This Row],[Hygiene Kit]],Table_NFI[Hygiene Kit])</f>
        <v>0</v>
      </c>
      <c r="Z1028" s="378">
        <f>IF(NFI_Expiration=1,IF($A1028&lt;VLOOKUP(I$5,NFI,5,0),1,0)*Table_NFI[[#This Row],[NFI Core Kit]],Table_NFI[NFI Core Kit])</f>
        <v>0</v>
      </c>
      <c r="AA1028" s="378">
        <f>IF(NFI_Expiration=1,IF($A1028&lt;VLOOKUP(J$5,NFI,5,0),1,0)*Table_NFI[[#This Row],[Sanitary Kit]],Table_NFI[Sanitary Kit])</f>
        <v>0</v>
      </c>
      <c r="AB1028" s="378">
        <f>IF(NFI_Expiration=1,IF($A1028&lt;VLOOKUP(K$5,NFI,5,0),1,0)*Table_NFI[[#This Row],[Mosquito net]],Table_NFI[Mosquito net])</f>
        <v>0</v>
      </c>
      <c r="AC1028" s="378">
        <f>IF(NFI_Expiration=1,IF($A1028&lt;VLOOKUP(L$5,NFI,5,0),1,0)*Table_NFI[[#This Row],[Tarpaulin]],Table_NFI[[#This Row],[Tarpaulin]])</f>
        <v>0</v>
      </c>
      <c r="AD1028" s="378">
        <f>IF(NFI_Expiration=1,IF($A1028&lt;VLOOKUP(M$5,NFI,5,0),1,0)*Table_NFI[[#This Row],[Blanket]],Table_NFI[[#This Row],[Blanket]])</f>
        <v>0</v>
      </c>
      <c r="AE1028" s="378">
        <f>IF(NFI_Expiration=1,IF($A1028&lt;VLOOKUP(N$5,NFI,5,0),1,0)*Table_NFI[[#This Row],[Kitchen Set]],Table_NFI[Kitchen Set])</f>
        <v>0</v>
      </c>
      <c r="AF1028" s="378">
        <f>IF(NFI_Expiration=1,IF($A1028&lt;VLOOKUP(O$5,NFI,5,0),1,0)*Table_NFI[[#This Row],[Clothes Kit]],Table_NFI[Clothes Kit])</f>
        <v>0</v>
      </c>
      <c r="AG1028" s="378">
        <f>IF(NFI_Expiration=1,IF($A1028&lt;VLOOKUP(P$5,NFI,5,0),1,0)*Table_NFI[[#This Row],[Plastic Bucket]],Table_NFI[Plastic Bucket])</f>
        <v>0</v>
      </c>
      <c r="AH1028" s="378">
        <f>IF(NFI_Expiration=1,IF($A1028&lt;VLOOKUP(Q$5,NFI,5,0),1,0)*Table_NFI[[#This Row],[Plastic Mat]],Table_NFI[Plastic Mat])*IF(Table_NFI[[#This Row],[Distribution Date]]&gt;"2014-04-01",1,2.5)</f>
        <v>0</v>
      </c>
      <c r="AI1028" s="378">
        <f>IF(NFI_Expiration=1,IF($A1028&lt;VLOOKUP(R$5,NFI,5,0),1,0)*Table_NFI[[#This Row],[Winter Clothes Adult]],Table_NFI[Winter Clothes Adult])</f>
        <v>0</v>
      </c>
      <c r="AJ1028" s="378">
        <f>IF(NFI_Expiration=1,IF($A1028&lt;VLOOKUP(S$5,NFI,5,0),1,0)*Table_NFI[[#This Row],[Winter Clothes Children]],Table_NFI[Winter Clothes Children])</f>
        <v>0</v>
      </c>
      <c r="AK1028" s="378">
        <f>IF(NFI_Expiration=1,IF($A1028&lt;VLOOKUP(T$5,NFI,5,0),1,0)*Table_NFI[[#This Row],[Winter Items Other]],Table_NFI[Winter Items Other])</f>
        <v>0</v>
      </c>
      <c r="AL1028" s="378">
        <f>IF(NFI_Expiration=1,IF($A1028&lt;VLOOKUP(M$5,NFI,5,0),1,0)*Table_NFI[[#This Row],[Winter Blanket]],Table_NFI[[#This Row],[Winter Blanket]])</f>
        <v>0</v>
      </c>
      <c r="AM1028" s="378">
        <f>IF(Table_NFI[[#This Row],[Winter Clothes Adult]]+Table_NFI[[#This Row],[Winter Clothes Children]]+Table_NFI[[#This Row],[Winter Items Other]]+Table_NFI[[#This Row],[Winter Blanket]]&gt;0,1,0)</f>
        <v>0</v>
      </c>
      <c r="AN1028" s="418">
        <f>IF(NFI_Expiration=1,IF($A1028&lt;VLOOKUP(V$5,NFI,5,0),1,0)*Table_NFI[[#This Row],[Jerry Can]],Table_NFI[Jerry Can])</f>
        <v>0</v>
      </c>
      <c r="AO1028" s="579" t="str">
        <f>IFERROR(VLOOKUP(Table_NFI[[#This Row],[Camp Name]],CL,2,0),"")</f>
        <v/>
      </c>
      <c r="AP1028" s="574" t="str">
        <f ca="1">IF(Table_NFI[[#This Row],[Pcode]]="","",IF(OFFSET(CampList[Opening Date],MATCH(Table_NFI[[#This Row],[Pcode]],CampList[CP_Pcode],0)-1,0,1,1)&gt;=NFI_Monitor_Date,1,0))</f>
        <v/>
      </c>
      <c r="AQ1028" s="579" t="str">
        <f>IFERROR(VLOOKUP(Table_NFI[[#This Row],[Camp Name]],CL,3,0),"")</f>
        <v/>
      </c>
      <c r="AR1028" s="378" t="str">
        <f ca="1">IF(Table_NFI[[#This Row],[Pcode]]="","",OFFSET(CampList[Priority],MATCH(Table_NFI[[#This Row],[Pcode]],CampList[CP_Pcode],0)-1,0,1,1))</f>
        <v/>
      </c>
      <c r="AS1028" s="377" t="str">
        <f>IFERROR(Table_NFI[[#This Row],[Kitchen Set]]/VLOOKUP(Table_NFI[[#This Row],[Camp Name]],CL,4,0),"")</f>
        <v/>
      </c>
      <c r="AT1028" s="577"/>
      <c r="AU1028" s="580"/>
    </row>
    <row r="1029" spans="1:47" x14ac:dyDescent="0.25">
      <c r="A1029" s="381" t="str">
        <f t="shared" si="15"/>
        <v/>
      </c>
      <c r="B1029" s="571"/>
      <c r="C1029" s="572"/>
      <c r="D1029" s="577"/>
      <c r="E1029" s="577"/>
      <c r="F1029" s="577"/>
      <c r="G1029" s="577"/>
      <c r="H1029" s="376"/>
      <c r="I1029" s="376"/>
      <c r="J1029" s="376"/>
      <c r="K1029" s="376"/>
      <c r="L1029" s="376"/>
      <c r="M1029" s="376"/>
      <c r="N1029" s="376"/>
      <c r="O1029" s="376"/>
      <c r="P1029" s="378"/>
      <c r="Q1029" s="378"/>
      <c r="R1029" s="378"/>
      <c r="S1029" s="378"/>
      <c r="T1029" s="378"/>
      <c r="U1029" s="378"/>
      <c r="V1029" s="533"/>
      <c r="W1029" s="418"/>
      <c r="X1029" s="418"/>
      <c r="Y1029" s="378">
        <f>IF(NFI_Expiration=1,IF($A1029&lt;VLOOKUP(H$5,NFI,5,0),1,0)*Table_NFI[[#This Row],[Hygiene Kit]],Table_NFI[Hygiene Kit])</f>
        <v>0</v>
      </c>
      <c r="Z1029" s="378">
        <f>IF(NFI_Expiration=1,IF($A1029&lt;VLOOKUP(I$5,NFI,5,0),1,0)*Table_NFI[[#This Row],[NFI Core Kit]],Table_NFI[NFI Core Kit])</f>
        <v>0</v>
      </c>
      <c r="AA1029" s="378">
        <f>IF(NFI_Expiration=1,IF($A1029&lt;VLOOKUP(J$5,NFI,5,0),1,0)*Table_NFI[[#This Row],[Sanitary Kit]],Table_NFI[Sanitary Kit])</f>
        <v>0</v>
      </c>
      <c r="AB1029" s="378">
        <f>IF(NFI_Expiration=1,IF($A1029&lt;VLOOKUP(K$5,NFI,5,0),1,0)*Table_NFI[[#This Row],[Mosquito net]],Table_NFI[Mosquito net])</f>
        <v>0</v>
      </c>
      <c r="AC1029" s="378">
        <f>IF(NFI_Expiration=1,IF($A1029&lt;VLOOKUP(L$5,NFI,5,0),1,0)*Table_NFI[[#This Row],[Tarpaulin]],Table_NFI[[#This Row],[Tarpaulin]])</f>
        <v>0</v>
      </c>
      <c r="AD1029" s="378">
        <f>IF(NFI_Expiration=1,IF($A1029&lt;VLOOKUP(M$5,NFI,5,0),1,0)*Table_NFI[[#This Row],[Blanket]],Table_NFI[[#This Row],[Blanket]])</f>
        <v>0</v>
      </c>
      <c r="AE1029" s="378">
        <f>IF(NFI_Expiration=1,IF($A1029&lt;VLOOKUP(N$5,NFI,5,0),1,0)*Table_NFI[[#This Row],[Kitchen Set]],Table_NFI[Kitchen Set])</f>
        <v>0</v>
      </c>
      <c r="AF1029" s="378">
        <f>IF(NFI_Expiration=1,IF($A1029&lt;VLOOKUP(O$5,NFI,5,0),1,0)*Table_NFI[[#This Row],[Clothes Kit]],Table_NFI[Clothes Kit])</f>
        <v>0</v>
      </c>
      <c r="AG1029" s="378">
        <f>IF(NFI_Expiration=1,IF($A1029&lt;VLOOKUP(P$5,NFI,5,0),1,0)*Table_NFI[[#This Row],[Plastic Bucket]],Table_NFI[Plastic Bucket])</f>
        <v>0</v>
      </c>
      <c r="AH1029" s="378">
        <f>IF(NFI_Expiration=1,IF($A1029&lt;VLOOKUP(Q$5,NFI,5,0),1,0)*Table_NFI[[#This Row],[Plastic Mat]],Table_NFI[Plastic Mat])*IF(Table_NFI[[#This Row],[Distribution Date]]&gt;"2014-04-01",1,2.5)</f>
        <v>0</v>
      </c>
      <c r="AI1029" s="378">
        <f>IF(NFI_Expiration=1,IF($A1029&lt;VLOOKUP(R$5,NFI,5,0),1,0)*Table_NFI[[#This Row],[Winter Clothes Adult]],Table_NFI[Winter Clothes Adult])</f>
        <v>0</v>
      </c>
      <c r="AJ1029" s="378">
        <f>IF(NFI_Expiration=1,IF($A1029&lt;VLOOKUP(S$5,NFI,5,0),1,0)*Table_NFI[[#This Row],[Winter Clothes Children]],Table_NFI[Winter Clothes Children])</f>
        <v>0</v>
      </c>
      <c r="AK1029" s="378">
        <f>IF(NFI_Expiration=1,IF($A1029&lt;VLOOKUP(T$5,NFI,5,0),1,0)*Table_NFI[[#This Row],[Winter Items Other]],Table_NFI[Winter Items Other])</f>
        <v>0</v>
      </c>
      <c r="AL1029" s="378">
        <f>IF(NFI_Expiration=1,IF($A1029&lt;VLOOKUP(M$5,NFI,5,0),1,0)*Table_NFI[[#This Row],[Winter Blanket]],Table_NFI[[#This Row],[Winter Blanket]])</f>
        <v>0</v>
      </c>
      <c r="AM1029" s="378">
        <f>IF(Table_NFI[[#This Row],[Winter Clothes Adult]]+Table_NFI[[#This Row],[Winter Clothes Children]]+Table_NFI[[#This Row],[Winter Items Other]]+Table_NFI[[#This Row],[Winter Blanket]]&gt;0,1,0)</f>
        <v>0</v>
      </c>
      <c r="AN1029" s="418">
        <f>IF(NFI_Expiration=1,IF($A1029&lt;VLOOKUP(V$5,NFI,5,0),1,0)*Table_NFI[[#This Row],[Jerry Can]],Table_NFI[Jerry Can])</f>
        <v>0</v>
      </c>
      <c r="AO1029" s="579" t="str">
        <f>IFERROR(VLOOKUP(Table_NFI[[#This Row],[Camp Name]],CL,2,0),"")</f>
        <v/>
      </c>
      <c r="AP1029" s="574" t="str">
        <f ca="1">IF(Table_NFI[[#This Row],[Pcode]]="","",IF(OFFSET(CampList[Opening Date],MATCH(Table_NFI[[#This Row],[Pcode]],CampList[CP_Pcode],0)-1,0,1,1)&gt;=NFI_Monitor_Date,1,0))</f>
        <v/>
      </c>
      <c r="AQ1029" s="579" t="str">
        <f>IFERROR(VLOOKUP(Table_NFI[[#This Row],[Camp Name]],CL,3,0),"")</f>
        <v/>
      </c>
      <c r="AR1029" s="378" t="str">
        <f ca="1">IF(Table_NFI[[#This Row],[Pcode]]="","",OFFSET(CampList[Priority],MATCH(Table_NFI[[#This Row],[Pcode]],CampList[CP_Pcode],0)-1,0,1,1))</f>
        <v/>
      </c>
      <c r="AS1029" s="377" t="str">
        <f>IFERROR(Table_NFI[[#This Row],[Kitchen Set]]/VLOOKUP(Table_NFI[[#This Row],[Camp Name]],CL,4,0),"")</f>
        <v/>
      </c>
      <c r="AT1029" s="577"/>
      <c r="AU1029" s="580"/>
    </row>
    <row r="1030" spans="1:47" x14ac:dyDescent="0.25">
      <c r="A1030" s="381" t="str">
        <f t="shared" ref="A1030:A1093" si="16">IF(ISBLANK(B1030),"",(Report_Date-B1030)/30)</f>
        <v/>
      </c>
      <c r="B1030" s="571"/>
      <c r="C1030" s="572"/>
      <c r="D1030" s="577"/>
      <c r="E1030" s="577"/>
      <c r="F1030" s="577"/>
      <c r="G1030" s="577"/>
      <c r="H1030" s="376"/>
      <c r="I1030" s="376"/>
      <c r="J1030" s="376"/>
      <c r="K1030" s="376"/>
      <c r="L1030" s="376"/>
      <c r="M1030" s="376"/>
      <c r="N1030" s="376"/>
      <c r="O1030" s="376"/>
      <c r="P1030" s="378"/>
      <c r="Q1030" s="378"/>
      <c r="R1030" s="378"/>
      <c r="S1030" s="378"/>
      <c r="T1030" s="378"/>
      <c r="U1030" s="378"/>
      <c r="V1030" s="533"/>
      <c r="W1030" s="418"/>
      <c r="X1030" s="418"/>
      <c r="Y1030" s="378">
        <f>IF(NFI_Expiration=1,IF($A1030&lt;VLOOKUP(H$5,NFI,5,0),1,0)*Table_NFI[[#This Row],[Hygiene Kit]],Table_NFI[Hygiene Kit])</f>
        <v>0</v>
      </c>
      <c r="Z1030" s="378">
        <f>IF(NFI_Expiration=1,IF($A1030&lt;VLOOKUP(I$5,NFI,5,0),1,0)*Table_NFI[[#This Row],[NFI Core Kit]],Table_NFI[NFI Core Kit])</f>
        <v>0</v>
      </c>
      <c r="AA1030" s="378">
        <f>IF(NFI_Expiration=1,IF($A1030&lt;VLOOKUP(J$5,NFI,5,0),1,0)*Table_NFI[[#This Row],[Sanitary Kit]],Table_NFI[Sanitary Kit])</f>
        <v>0</v>
      </c>
      <c r="AB1030" s="378">
        <f>IF(NFI_Expiration=1,IF($A1030&lt;VLOOKUP(K$5,NFI,5,0),1,0)*Table_NFI[[#This Row],[Mosquito net]],Table_NFI[Mosquito net])</f>
        <v>0</v>
      </c>
      <c r="AC1030" s="378">
        <f>IF(NFI_Expiration=1,IF($A1030&lt;VLOOKUP(L$5,NFI,5,0),1,0)*Table_NFI[[#This Row],[Tarpaulin]],Table_NFI[[#This Row],[Tarpaulin]])</f>
        <v>0</v>
      </c>
      <c r="AD1030" s="378">
        <f>IF(NFI_Expiration=1,IF($A1030&lt;VLOOKUP(M$5,NFI,5,0),1,0)*Table_NFI[[#This Row],[Blanket]],Table_NFI[[#This Row],[Blanket]])</f>
        <v>0</v>
      </c>
      <c r="AE1030" s="378">
        <f>IF(NFI_Expiration=1,IF($A1030&lt;VLOOKUP(N$5,NFI,5,0),1,0)*Table_NFI[[#This Row],[Kitchen Set]],Table_NFI[Kitchen Set])</f>
        <v>0</v>
      </c>
      <c r="AF1030" s="378">
        <f>IF(NFI_Expiration=1,IF($A1030&lt;VLOOKUP(O$5,NFI,5,0),1,0)*Table_NFI[[#This Row],[Clothes Kit]],Table_NFI[Clothes Kit])</f>
        <v>0</v>
      </c>
      <c r="AG1030" s="378">
        <f>IF(NFI_Expiration=1,IF($A1030&lt;VLOOKUP(P$5,NFI,5,0),1,0)*Table_NFI[[#This Row],[Plastic Bucket]],Table_NFI[Plastic Bucket])</f>
        <v>0</v>
      </c>
      <c r="AH1030" s="378">
        <f>IF(NFI_Expiration=1,IF($A1030&lt;VLOOKUP(Q$5,NFI,5,0),1,0)*Table_NFI[[#This Row],[Plastic Mat]],Table_NFI[Plastic Mat])*IF(Table_NFI[[#This Row],[Distribution Date]]&gt;"2014-04-01",1,2.5)</f>
        <v>0</v>
      </c>
      <c r="AI1030" s="378">
        <f>IF(NFI_Expiration=1,IF($A1030&lt;VLOOKUP(R$5,NFI,5,0),1,0)*Table_NFI[[#This Row],[Winter Clothes Adult]],Table_NFI[Winter Clothes Adult])</f>
        <v>0</v>
      </c>
      <c r="AJ1030" s="378">
        <f>IF(NFI_Expiration=1,IF($A1030&lt;VLOOKUP(S$5,NFI,5,0),1,0)*Table_NFI[[#This Row],[Winter Clothes Children]],Table_NFI[Winter Clothes Children])</f>
        <v>0</v>
      </c>
      <c r="AK1030" s="378">
        <f>IF(NFI_Expiration=1,IF($A1030&lt;VLOOKUP(T$5,NFI,5,0),1,0)*Table_NFI[[#This Row],[Winter Items Other]],Table_NFI[Winter Items Other])</f>
        <v>0</v>
      </c>
      <c r="AL1030" s="378">
        <f>IF(NFI_Expiration=1,IF($A1030&lt;VLOOKUP(M$5,NFI,5,0),1,0)*Table_NFI[[#This Row],[Winter Blanket]],Table_NFI[[#This Row],[Winter Blanket]])</f>
        <v>0</v>
      </c>
      <c r="AM1030" s="378">
        <f>IF(Table_NFI[[#This Row],[Winter Clothes Adult]]+Table_NFI[[#This Row],[Winter Clothes Children]]+Table_NFI[[#This Row],[Winter Items Other]]+Table_NFI[[#This Row],[Winter Blanket]]&gt;0,1,0)</f>
        <v>0</v>
      </c>
      <c r="AN1030" s="418">
        <f>IF(NFI_Expiration=1,IF($A1030&lt;VLOOKUP(V$5,NFI,5,0),1,0)*Table_NFI[[#This Row],[Jerry Can]],Table_NFI[Jerry Can])</f>
        <v>0</v>
      </c>
      <c r="AO1030" s="579" t="str">
        <f>IFERROR(VLOOKUP(Table_NFI[[#This Row],[Camp Name]],CL,2,0),"")</f>
        <v/>
      </c>
      <c r="AP1030" s="574" t="str">
        <f ca="1">IF(Table_NFI[[#This Row],[Pcode]]="","",IF(OFFSET(CampList[Opening Date],MATCH(Table_NFI[[#This Row],[Pcode]],CampList[CP_Pcode],0)-1,0,1,1)&gt;=NFI_Monitor_Date,1,0))</f>
        <v/>
      </c>
      <c r="AQ1030" s="579" t="str">
        <f>IFERROR(VLOOKUP(Table_NFI[[#This Row],[Camp Name]],CL,3,0),"")</f>
        <v/>
      </c>
      <c r="AR1030" s="378" t="str">
        <f ca="1">IF(Table_NFI[[#This Row],[Pcode]]="","",OFFSET(CampList[Priority],MATCH(Table_NFI[[#This Row],[Pcode]],CampList[CP_Pcode],0)-1,0,1,1))</f>
        <v/>
      </c>
      <c r="AS1030" s="377" t="str">
        <f>IFERROR(Table_NFI[[#This Row],[Kitchen Set]]/VLOOKUP(Table_NFI[[#This Row],[Camp Name]],CL,4,0),"")</f>
        <v/>
      </c>
      <c r="AT1030" s="577"/>
      <c r="AU1030" s="580"/>
    </row>
    <row r="1031" spans="1:47" x14ac:dyDescent="0.25">
      <c r="A1031" s="381" t="str">
        <f t="shared" si="16"/>
        <v/>
      </c>
      <c r="B1031" s="571"/>
      <c r="C1031" s="572"/>
      <c r="D1031" s="577"/>
      <c r="E1031" s="577"/>
      <c r="F1031" s="577"/>
      <c r="G1031" s="577"/>
      <c r="H1031" s="376"/>
      <c r="I1031" s="376"/>
      <c r="J1031" s="376"/>
      <c r="K1031" s="376"/>
      <c r="L1031" s="376"/>
      <c r="M1031" s="376"/>
      <c r="N1031" s="376"/>
      <c r="O1031" s="376"/>
      <c r="P1031" s="378"/>
      <c r="Q1031" s="378"/>
      <c r="R1031" s="378"/>
      <c r="S1031" s="378"/>
      <c r="T1031" s="378"/>
      <c r="U1031" s="378"/>
      <c r="V1031" s="533"/>
      <c r="W1031" s="418"/>
      <c r="X1031" s="418"/>
      <c r="Y1031" s="378">
        <f>IF(NFI_Expiration=1,IF($A1031&lt;VLOOKUP(H$5,NFI,5,0),1,0)*Table_NFI[[#This Row],[Hygiene Kit]],Table_NFI[Hygiene Kit])</f>
        <v>0</v>
      </c>
      <c r="Z1031" s="378">
        <f>IF(NFI_Expiration=1,IF($A1031&lt;VLOOKUP(I$5,NFI,5,0),1,0)*Table_NFI[[#This Row],[NFI Core Kit]],Table_NFI[NFI Core Kit])</f>
        <v>0</v>
      </c>
      <c r="AA1031" s="378">
        <f>IF(NFI_Expiration=1,IF($A1031&lt;VLOOKUP(J$5,NFI,5,0),1,0)*Table_NFI[[#This Row],[Sanitary Kit]],Table_NFI[Sanitary Kit])</f>
        <v>0</v>
      </c>
      <c r="AB1031" s="378">
        <f>IF(NFI_Expiration=1,IF($A1031&lt;VLOOKUP(K$5,NFI,5,0),1,0)*Table_NFI[[#This Row],[Mosquito net]],Table_NFI[Mosquito net])</f>
        <v>0</v>
      </c>
      <c r="AC1031" s="378">
        <f>IF(NFI_Expiration=1,IF($A1031&lt;VLOOKUP(L$5,NFI,5,0),1,0)*Table_NFI[[#This Row],[Tarpaulin]],Table_NFI[[#This Row],[Tarpaulin]])</f>
        <v>0</v>
      </c>
      <c r="AD1031" s="378">
        <f>IF(NFI_Expiration=1,IF($A1031&lt;VLOOKUP(M$5,NFI,5,0),1,0)*Table_NFI[[#This Row],[Blanket]],Table_NFI[[#This Row],[Blanket]])</f>
        <v>0</v>
      </c>
      <c r="AE1031" s="378">
        <f>IF(NFI_Expiration=1,IF($A1031&lt;VLOOKUP(N$5,NFI,5,0),1,0)*Table_NFI[[#This Row],[Kitchen Set]],Table_NFI[Kitchen Set])</f>
        <v>0</v>
      </c>
      <c r="AF1031" s="378">
        <f>IF(NFI_Expiration=1,IF($A1031&lt;VLOOKUP(O$5,NFI,5,0),1,0)*Table_NFI[[#This Row],[Clothes Kit]],Table_NFI[Clothes Kit])</f>
        <v>0</v>
      </c>
      <c r="AG1031" s="378">
        <f>IF(NFI_Expiration=1,IF($A1031&lt;VLOOKUP(P$5,NFI,5,0),1,0)*Table_NFI[[#This Row],[Plastic Bucket]],Table_NFI[Plastic Bucket])</f>
        <v>0</v>
      </c>
      <c r="AH1031" s="378">
        <f>IF(NFI_Expiration=1,IF($A1031&lt;VLOOKUP(Q$5,NFI,5,0),1,0)*Table_NFI[[#This Row],[Plastic Mat]],Table_NFI[Plastic Mat])*IF(Table_NFI[[#This Row],[Distribution Date]]&gt;"2014-04-01",1,2.5)</f>
        <v>0</v>
      </c>
      <c r="AI1031" s="378">
        <f>IF(NFI_Expiration=1,IF($A1031&lt;VLOOKUP(R$5,NFI,5,0),1,0)*Table_NFI[[#This Row],[Winter Clothes Adult]],Table_NFI[Winter Clothes Adult])</f>
        <v>0</v>
      </c>
      <c r="AJ1031" s="378">
        <f>IF(NFI_Expiration=1,IF($A1031&lt;VLOOKUP(S$5,NFI,5,0),1,0)*Table_NFI[[#This Row],[Winter Clothes Children]],Table_NFI[Winter Clothes Children])</f>
        <v>0</v>
      </c>
      <c r="AK1031" s="378">
        <f>IF(NFI_Expiration=1,IF($A1031&lt;VLOOKUP(T$5,NFI,5,0),1,0)*Table_NFI[[#This Row],[Winter Items Other]],Table_NFI[Winter Items Other])</f>
        <v>0</v>
      </c>
      <c r="AL1031" s="378">
        <f>IF(NFI_Expiration=1,IF($A1031&lt;VLOOKUP(M$5,NFI,5,0),1,0)*Table_NFI[[#This Row],[Winter Blanket]],Table_NFI[[#This Row],[Winter Blanket]])</f>
        <v>0</v>
      </c>
      <c r="AM1031" s="378">
        <f>IF(Table_NFI[[#This Row],[Winter Clothes Adult]]+Table_NFI[[#This Row],[Winter Clothes Children]]+Table_NFI[[#This Row],[Winter Items Other]]+Table_NFI[[#This Row],[Winter Blanket]]&gt;0,1,0)</f>
        <v>0</v>
      </c>
      <c r="AN1031" s="418">
        <f>IF(NFI_Expiration=1,IF($A1031&lt;VLOOKUP(V$5,NFI,5,0),1,0)*Table_NFI[[#This Row],[Jerry Can]],Table_NFI[Jerry Can])</f>
        <v>0</v>
      </c>
      <c r="AO1031" s="579" t="str">
        <f>IFERROR(VLOOKUP(Table_NFI[[#This Row],[Camp Name]],CL,2,0),"")</f>
        <v/>
      </c>
      <c r="AP1031" s="574" t="str">
        <f ca="1">IF(Table_NFI[[#This Row],[Pcode]]="","",IF(OFFSET(CampList[Opening Date],MATCH(Table_NFI[[#This Row],[Pcode]],CampList[CP_Pcode],0)-1,0,1,1)&gt;=NFI_Monitor_Date,1,0))</f>
        <v/>
      </c>
      <c r="AQ1031" s="579" t="str">
        <f>IFERROR(VLOOKUP(Table_NFI[[#This Row],[Camp Name]],CL,3,0),"")</f>
        <v/>
      </c>
      <c r="AR1031" s="378" t="str">
        <f ca="1">IF(Table_NFI[[#This Row],[Pcode]]="","",OFFSET(CampList[Priority],MATCH(Table_NFI[[#This Row],[Pcode]],CampList[CP_Pcode],0)-1,0,1,1))</f>
        <v/>
      </c>
      <c r="AS1031" s="377" t="str">
        <f>IFERROR(Table_NFI[[#This Row],[Kitchen Set]]/VLOOKUP(Table_NFI[[#This Row],[Camp Name]],CL,4,0),"")</f>
        <v/>
      </c>
      <c r="AT1031" s="572"/>
      <c r="AU1031" s="601"/>
    </row>
    <row r="1032" spans="1:47" x14ac:dyDescent="0.25">
      <c r="A1032" s="381" t="str">
        <f t="shared" si="16"/>
        <v/>
      </c>
      <c r="B1032" s="571"/>
      <c r="C1032" s="577"/>
      <c r="D1032" s="577"/>
      <c r="E1032" s="577"/>
      <c r="F1032" s="577"/>
      <c r="G1032" s="577"/>
      <c r="H1032" s="376"/>
      <c r="I1032" s="376"/>
      <c r="J1032" s="376"/>
      <c r="K1032" s="376"/>
      <c r="L1032" s="376"/>
      <c r="M1032" s="376"/>
      <c r="N1032" s="376"/>
      <c r="O1032" s="376"/>
      <c r="P1032" s="378"/>
      <c r="Q1032" s="378"/>
      <c r="R1032" s="378"/>
      <c r="S1032" s="378"/>
      <c r="T1032" s="378"/>
      <c r="U1032" s="378"/>
      <c r="V1032" s="533"/>
      <c r="W1032" s="418"/>
      <c r="X1032" s="418"/>
      <c r="Y1032" s="378">
        <f>IF(NFI_Expiration=1,IF($A1032&lt;VLOOKUP(H$5,NFI,5,0),1,0)*Table_NFI[[#This Row],[Hygiene Kit]],Table_NFI[Hygiene Kit])</f>
        <v>0</v>
      </c>
      <c r="Z1032" s="378">
        <f>IF(NFI_Expiration=1,IF($A1032&lt;VLOOKUP(I$5,NFI,5,0),1,0)*Table_NFI[[#This Row],[NFI Core Kit]],Table_NFI[NFI Core Kit])</f>
        <v>0</v>
      </c>
      <c r="AA1032" s="378">
        <f>IF(NFI_Expiration=1,IF($A1032&lt;VLOOKUP(J$5,NFI,5,0),1,0)*Table_NFI[[#This Row],[Sanitary Kit]],Table_NFI[Sanitary Kit])</f>
        <v>0</v>
      </c>
      <c r="AB1032" s="378">
        <f>IF(NFI_Expiration=1,IF($A1032&lt;VLOOKUP(K$5,NFI,5,0),1,0)*Table_NFI[[#This Row],[Mosquito net]],Table_NFI[Mosquito net])</f>
        <v>0</v>
      </c>
      <c r="AC1032" s="378">
        <f>IF(NFI_Expiration=1,IF($A1032&lt;VLOOKUP(L$5,NFI,5,0),1,0)*Table_NFI[[#This Row],[Tarpaulin]],Table_NFI[[#This Row],[Tarpaulin]])</f>
        <v>0</v>
      </c>
      <c r="AD1032" s="378">
        <f>IF(NFI_Expiration=1,IF($A1032&lt;VLOOKUP(M$5,NFI,5,0),1,0)*Table_NFI[[#This Row],[Blanket]],Table_NFI[[#This Row],[Blanket]])</f>
        <v>0</v>
      </c>
      <c r="AE1032" s="378">
        <f>IF(NFI_Expiration=1,IF($A1032&lt;VLOOKUP(N$5,NFI,5,0),1,0)*Table_NFI[[#This Row],[Kitchen Set]],Table_NFI[Kitchen Set])</f>
        <v>0</v>
      </c>
      <c r="AF1032" s="378">
        <f>IF(NFI_Expiration=1,IF($A1032&lt;VLOOKUP(O$5,NFI,5,0),1,0)*Table_NFI[[#This Row],[Clothes Kit]],Table_NFI[Clothes Kit])</f>
        <v>0</v>
      </c>
      <c r="AG1032" s="378">
        <f>IF(NFI_Expiration=1,IF($A1032&lt;VLOOKUP(P$5,NFI,5,0),1,0)*Table_NFI[[#This Row],[Plastic Bucket]],Table_NFI[Plastic Bucket])</f>
        <v>0</v>
      </c>
      <c r="AH1032" s="378">
        <f>IF(NFI_Expiration=1,IF($A1032&lt;VLOOKUP(Q$5,NFI,5,0),1,0)*Table_NFI[[#This Row],[Plastic Mat]],Table_NFI[Plastic Mat])*IF(Table_NFI[[#This Row],[Distribution Date]]&gt;"2014-04-01",1,2.5)</f>
        <v>0</v>
      </c>
      <c r="AI1032" s="378">
        <f>IF(NFI_Expiration=1,IF($A1032&lt;VLOOKUP(R$5,NFI,5,0),1,0)*Table_NFI[[#This Row],[Winter Clothes Adult]],Table_NFI[Winter Clothes Adult])</f>
        <v>0</v>
      </c>
      <c r="AJ1032" s="378">
        <f>IF(NFI_Expiration=1,IF($A1032&lt;VLOOKUP(S$5,NFI,5,0),1,0)*Table_NFI[[#This Row],[Winter Clothes Children]],Table_NFI[Winter Clothes Children])</f>
        <v>0</v>
      </c>
      <c r="AK1032" s="378">
        <f>IF(NFI_Expiration=1,IF($A1032&lt;VLOOKUP(T$5,NFI,5,0),1,0)*Table_NFI[[#This Row],[Winter Items Other]],Table_NFI[Winter Items Other])</f>
        <v>0</v>
      </c>
      <c r="AL1032" s="378">
        <f>IF(NFI_Expiration=1,IF($A1032&lt;VLOOKUP(M$5,NFI,5,0),1,0)*Table_NFI[[#This Row],[Winter Blanket]],Table_NFI[[#This Row],[Winter Blanket]])</f>
        <v>0</v>
      </c>
      <c r="AM1032" s="378">
        <f>IF(Table_NFI[[#This Row],[Winter Clothes Adult]]+Table_NFI[[#This Row],[Winter Clothes Children]]+Table_NFI[[#This Row],[Winter Items Other]]+Table_NFI[[#This Row],[Winter Blanket]]&gt;0,1,0)</f>
        <v>0</v>
      </c>
      <c r="AN1032" s="418">
        <f>IF(NFI_Expiration=1,IF($A1032&lt;VLOOKUP(V$5,NFI,5,0),1,0)*Table_NFI[[#This Row],[Jerry Can]],Table_NFI[Jerry Can])</f>
        <v>0</v>
      </c>
      <c r="AO1032" s="579" t="str">
        <f>IFERROR(VLOOKUP(Table_NFI[[#This Row],[Camp Name]],CL,2,0),"")</f>
        <v/>
      </c>
      <c r="AP1032" s="574" t="str">
        <f ca="1">IF(Table_NFI[[#This Row],[Pcode]]="","",IF(OFFSET(CampList[Opening Date],MATCH(Table_NFI[[#This Row],[Pcode]],CampList[CP_Pcode],0)-1,0,1,1)&gt;=NFI_Monitor_Date,1,0))</f>
        <v/>
      </c>
      <c r="AQ1032" s="579" t="str">
        <f>IFERROR(VLOOKUP(Table_NFI[[#This Row],[Camp Name]],CL,3,0),"")</f>
        <v/>
      </c>
      <c r="AR1032" s="378" t="str">
        <f ca="1">IF(Table_NFI[[#This Row],[Pcode]]="","",OFFSET(CampList[Priority],MATCH(Table_NFI[[#This Row],[Pcode]],CampList[CP_Pcode],0)-1,0,1,1))</f>
        <v/>
      </c>
      <c r="AS1032" s="377" t="str">
        <f>IFERROR(Table_NFI[[#This Row],[Kitchen Set]]/VLOOKUP(Table_NFI[[#This Row],[Camp Name]],CL,4,0),"")</f>
        <v/>
      </c>
      <c r="AT1032" s="577"/>
      <c r="AU1032" s="580"/>
    </row>
    <row r="1033" spans="1:47" x14ac:dyDescent="0.25">
      <c r="A1033" s="381" t="str">
        <f t="shared" si="16"/>
        <v/>
      </c>
      <c r="B1033" s="571"/>
      <c r="C1033" s="572"/>
      <c r="D1033" s="572"/>
      <c r="E1033" s="572"/>
      <c r="F1033" s="572"/>
      <c r="G1033" s="374"/>
      <c r="H1033" s="375"/>
      <c r="I1033" s="376"/>
      <c r="J1033" s="378"/>
      <c r="K1033" s="378"/>
      <c r="L1033" s="376"/>
      <c r="M1033" s="376"/>
      <c r="N1033" s="376"/>
      <c r="O1033" s="376"/>
      <c r="P1033" s="378"/>
      <c r="Q1033" s="378"/>
      <c r="R1033" s="378"/>
      <c r="S1033" s="378"/>
      <c r="T1033" s="378"/>
      <c r="U1033" s="378"/>
      <c r="V1033" s="533"/>
      <c r="W1033" s="418"/>
      <c r="X1033" s="418"/>
      <c r="Y1033" s="378">
        <f>IF(NFI_Expiration=1,IF($A1033&lt;VLOOKUP(H$5,NFI,5,0),1,0)*Table_NFI[[#This Row],[Hygiene Kit]],Table_NFI[Hygiene Kit])</f>
        <v>0</v>
      </c>
      <c r="Z1033" s="378">
        <f>IF(NFI_Expiration=1,IF($A1033&lt;VLOOKUP(I$5,NFI,5,0),1,0)*Table_NFI[[#This Row],[NFI Core Kit]],Table_NFI[NFI Core Kit])</f>
        <v>0</v>
      </c>
      <c r="AA1033" s="378">
        <f>IF(NFI_Expiration=1,IF($A1033&lt;VLOOKUP(J$5,NFI,5,0),1,0)*Table_NFI[[#This Row],[Sanitary Kit]],Table_NFI[Sanitary Kit])</f>
        <v>0</v>
      </c>
      <c r="AB1033" s="378">
        <f>IF(NFI_Expiration=1,IF($A1033&lt;VLOOKUP(K$5,NFI,5,0),1,0)*Table_NFI[[#This Row],[Mosquito net]],Table_NFI[Mosquito net])</f>
        <v>0</v>
      </c>
      <c r="AC1033" s="378">
        <f>IF(NFI_Expiration=1,IF($A1033&lt;VLOOKUP(L$5,NFI,5,0),1,0)*Table_NFI[[#This Row],[Tarpaulin]],Table_NFI[[#This Row],[Tarpaulin]])</f>
        <v>0</v>
      </c>
      <c r="AD1033" s="378">
        <f>IF(NFI_Expiration=1,IF($A1033&lt;VLOOKUP(M$5,NFI,5,0),1,0)*Table_NFI[[#This Row],[Blanket]],Table_NFI[[#This Row],[Blanket]])</f>
        <v>0</v>
      </c>
      <c r="AE1033" s="378">
        <f>IF(NFI_Expiration=1,IF($A1033&lt;VLOOKUP(N$5,NFI,5,0),1,0)*Table_NFI[[#This Row],[Kitchen Set]],Table_NFI[Kitchen Set])</f>
        <v>0</v>
      </c>
      <c r="AF1033" s="378">
        <f>IF(NFI_Expiration=1,IF($A1033&lt;VLOOKUP(O$5,NFI,5,0),1,0)*Table_NFI[[#This Row],[Clothes Kit]],Table_NFI[Clothes Kit])</f>
        <v>0</v>
      </c>
      <c r="AG1033" s="378">
        <f>IF(NFI_Expiration=1,IF($A1033&lt;VLOOKUP(P$5,NFI,5,0),1,0)*Table_NFI[[#This Row],[Plastic Bucket]],Table_NFI[Plastic Bucket])</f>
        <v>0</v>
      </c>
      <c r="AH1033" s="378">
        <f>IF(NFI_Expiration=1,IF($A1033&lt;VLOOKUP(Q$5,NFI,5,0),1,0)*Table_NFI[[#This Row],[Plastic Mat]],Table_NFI[Plastic Mat])*IF(Table_NFI[[#This Row],[Distribution Date]]&gt;"2014-04-01",1,2.5)</f>
        <v>0</v>
      </c>
      <c r="AI1033" s="378">
        <f>IF(NFI_Expiration=1,IF($A1033&lt;VLOOKUP(R$5,NFI,5,0),1,0)*Table_NFI[[#This Row],[Winter Clothes Adult]],Table_NFI[Winter Clothes Adult])</f>
        <v>0</v>
      </c>
      <c r="AJ1033" s="378">
        <f>IF(NFI_Expiration=1,IF($A1033&lt;VLOOKUP(S$5,NFI,5,0),1,0)*Table_NFI[[#This Row],[Winter Clothes Children]],Table_NFI[Winter Clothes Children])</f>
        <v>0</v>
      </c>
      <c r="AK1033" s="378">
        <f>IF(NFI_Expiration=1,IF($A1033&lt;VLOOKUP(T$5,NFI,5,0),1,0)*Table_NFI[[#This Row],[Winter Items Other]],Table_NFI[Winter Items Other])</f>
        <v>0</v>
      </c>
      <c r="AL1033" s="378">
        <f>IF(NFI_Expiration=1,IF($A1033&lt;VLOOKUP(M$5,NFI,5,0),1,0)*Table_NFI[[#This Row],[Winter Blanket]],Table_NFI[[#This Row],[Winter Blanket]])</f>
        <v>0</v>
      </c>
      <c r="AM1033" s="378">
        <f>IF(Table_NFI[[#This Row],[Winter Clothes Adult]]+Table_NFI[[#This Row],[Winter Clothes Children]]+Table_NFI[[#This Row],[Winter Items Other]]+Table_NFI[[#This Row],[Winter Blanket]]&gt;0,1,0)</f>
        <v>0</v>
      </c>
      <c r="AN1033" s="418">
        <f>IF(NFI_Expiration=1,IF($A1033&lt;VLOOKUP(V$5,NFI,5,0),1,0)*Table_NFI[[#This Row],[Jerry Can]],Table_NFI[Jerry Can])</f>
        <v>0</v>
      </c>
      <c r="AO1033" s="579" t="str">
        <f>IFERROR(VLOOKUP(Table_NFI[[#This Row],[Camp Name]],CL,2,0),"")</f>
        <v/>
      </c>
      <c r="AP1033" s="574" t="str">
        <f ca="1">IF(Table_NFI[[#This Row],[Pcode]]="","",IF(OFFSET(CampList[Opening Date],MATCH(Table_NFI[[#This Row],[Pcode]],CampList[CP_Pcode],0)-1,0,1,1)&gt;=NFI_Monitor_Date,1,0))</f>
        <v/>
      </c>
      <c r="AQ1033" s="579" t="str">
        <f>IFERROR(VLOOKUP(Table_NFI[[#This Row],[Camp Name]],CL,3,0),"")</f>
        <v/>
      </c>
      <c r="AR1033" s="378" t="str">
        <f ca="1">IF(Table_NFI[[#This Row],[Pcode]]="","",OFFSET(CampList[Priority],MATCH(Table_NFI[[#This Row],[Pcode]],CampList[CP_Pcode],0)-1,0,1,1))</f>
        <v/>
      </c>
      <c r="AS1033" s="377" t="str">
        <f>IFERROR(Table_NFI[[#This Row],[Kitchen Set]]/VLOOKUP(Table_NFI[[#This Row],[Camp Name]],CL,4,0),"")</f>
        <v/>
      </c>
      <c r="AT1033" s="577"/>
      <c r="AU1033" s="580"/>
    </row>
    <row r="1034" spans="1:47" x14ac:dyDescent="0.25">
      <c r="A1034" s="381" t="str">
        <f t="shared" si="16"/>
        <v/>
      </c>
      <c r="B1034" s="571"/>
      <c r="C1034" s="572"/>
      <c r="D1034" s="577"/>
      <c r="E1034" s="577"/>
      <c r="F1034" s="577"/>
      <c r="G1034" s="577"/>
      <c r="H1034" s="376"/>
      <c r="I1034" s="376"/>
      <c r="J1034" s="376"/>
      <c r="K1034" s="376"/>
      <c r="L1034" s="376"/>
      <c r="M1034" s="376"/>
      <c r="N1034" s="376"/>
      <c r="O1034" s="376"/>
      <c r="P1034" s="378"/>
      <c r="Q1034" s="378"/>
      <c r="R1034" s="378"/>
      <c r="S1034" s="378"/>
      <c r="T1034" s="378"/>
      <c r="U1034" s="378"/>
      <c r="V1034" s="533"/>
      <c r="W1034" s="418"/>
      <c r="X1034" s="418"/>
      <c r="Y1034" s="378">
        <f>IF(NFI_Expiration=1,IF($A1034&lt;VLOOKUP(H$5,NFI,5,0),1,0)*Table_NFI[[#This Row],[Hygiene Kit]],Table_NFI[Hygiene Kit])</f>
        <v>0</v>
      </c>
      <c r="Z1034" s="378">
        <f>IF(NFI_Expiration=1,IF($A1034&lt;VLOOKUP(I$5,NFI,5,0),1,0)*Table_NFI[[#This Row],[NFI Core Kit]],Table_NFI[NFI Core Kit])</f>
        <v>0</v>
      </c>
      <c r="AA1034" s="378">
        <f>IF(NFI_Expiration=1,IF($A1034&lt;VLOOKUP(J$5,NFI,5,0),1,0)*Table_NFI[[#This Row],[Sanitary Kit]],Table_NFI[Sanitary Kit])</f>
        <v>0</v>
      </c>
      <c r="AB1034" s="378">
        <f>IF(NFI_Expiration=1,IF($A1034&lt;VLOOKUP(K$5,NFI,5,0),1,0)*Table_NFI[[#This Row],[Mosquito net]],Table_NFI[Mosquito net])</f>
        <v>0</v>
      </c>
      <c r="AC1034" s="378">
        <f>IF(NFI_Expiration=1,IF($A1034&lt;VLOOKUP(L$5,NFI,5,0),1,0)*Table_NFI[[#This Row],[Tarpaulin]],Table_NFI[[#This Row],[Tarpaulin]])</f>
        <v>0</v>
      </c>
      <c r="AD1034" s="378">
        <f>IF(NFI_Expiration=1,IF($A1034&lt;VLOOKUP(M$5,NFI,5,0),1,0)*Table_NFI[[#This Row],[Blanket]],Table_NFI[[#This Row],[Blanket]])</f>
        <v>0</v>
      </c>
      <c r="AE1034" s="378">
        <f>IF(NFI_Expiration=1,IF($A1034&lt;VLOOKUP(N$5,NFI,5,0),1,0)*Table_NFI[[#This Row],[Kitchen Set]],Table_NFI[Kitchen Set])</f>
        <v>0</v>
      </c>
      <c r="AF1034" s="378">
        <f>IF(NFI_Expiration=1,IF($A1034&lt;VLOOKUP(O$5,NFI,5,0),1,0)*Table_NFI[[#This Row],[Clothes Kit]],Table_NFI[Clothes Kit])</f>
        <v>0</v>
      </c>
      <c r="AG1034" s="378">
        <f>IF(NFI_Expiration=1,IF($A1034&lt;VLOOKUP(P$5,NFI,5,0),1,0)*Table_NFI[[#This Row],[Plastic Bucket]],Table_NFI[Plastic Bucket])</f>
        <v>0</v>
      </c>
      <c r="AH1034" s="378">
        <f>IF(NFI_Expiration=1,IF($A1034&lt;VLOOKUP(Q$5,NFI,5,0),1,0)*Table_NFI[[#This Row],[Plastic Mat]],Table_NFI[Plastic Mat])*IF(Table_NFI[[#This Row],[Distribution Date]]&gt;"2014-04-01",1,2.5)</f>
        <v>0</v>
      </c>
      <c r="AI1034" s="378">
        <f>IF(NFI_Expiration=1,IF($A1034&lt;VLOOKUP(R$5,NFI,5,0),1,0)*Table_NFI[[#This Row],[Winter Clothes Adult]],Table_NFI[Winter Clothes Adult])</f>
        <v>0</v>
      </c>
      <c r="AJ1034" s="378">
        <f>IF(NFI_Expiration=1,IF($A1034&lt;VLOOKUP(S$5,NFI,5,0),1,0)*Table_NFI[[#This Row],[Winter Clothes Children]],Table_NFI[Winter Clothes Children])</f>
        <v>0</v>
      </c>
      <c r="AK1034" s="378">
        <f>IF(NFI_Expiration=1,IF($A1034&lt;VLOOKUP(T$5,NFI,5,0),1,0)*Table_NFI[[#This Row],[Winter Items Other]],Table_NFI[Winter Items Other])</f>
        <v>0</v>
      </c>
      <c r="AL1034" s="378">
        <f>IF(NFI_Expiration=1,IF($A1034&lt;VLOOKUP(M$5,NFI,5,0),1,0)*Table_NFI[[#This Row],[Winter Blanket]],Table_NFI[[#This Row],[Winter Blanket]])</f>
        <v>0</v>
      </c>
      <c r="AM1034" s="378">
        <f>IF(Table_NFI[[#This Row],[Winter Clothes Adult]]+Table_NFI[[#This Row],[Winter Clothes Children]]+Table_NFI[[#This Row],[Winter Items Other]]+Table_NFI[[#This Row],[Winter Blanket]]&gt;0,1,0)</f>
        <v>0</v>
      </c>
      <c r="AN1034" s="418">
        <f>IF(NFI_Expiration=1,IF($A1034&lt;VLOOKUP(V$5,NFI,5,0),1,0)*Table_NFI[[#This Row],[Jerry Can]],Table_NFI[Jerry Can])</f>
        <v>0</v>
      </c>
      <c r="AO1034" s="579" t="str">
        <f>IFERROR(VLOOKUP(Table_NFI[[#This Row],[Camp Name]],CL,2,0),"")</f>
        <v/>
      </c>
      <c r="AP1034" s="574" t="str">
        <f ca="1">IF(Table_NFI[[#This Row],[Pcode]]="","",IF(OFFSET(CampList[Opening Date],MATCH(Table_NFI[[#This Row],[Pcode]],CampList[CP_Pcode],0)-1,0,1,1)&gt;=NFI_Monitor_Date,1,0))</f>
        <v/>
      </c>
      <c r="AQ1034" s="579" t="str">
        <f>IFERROR(VLOOKUP(Table_NFI[[#This Row],[Camp Name]],CL,3,0),"")</f>
        <v/>
      </c>
      <c r="AR1034" s="378" t="str">
        <f ca="1">IF(Table_NFI[[#This Row],[Pcode]]="","",OFFSET(CampList[Priority],MATCH(Table_NFI[[#This Row],[Pcode]],CampList[CP_Pcode],0)-1,0,1,1))</f>
        <v/>
      </c>
      <c r="AS1034" s="377" t="str">
        <f>IFERROR(Table_NFI[[#This Row],[Kitchen Set]]/VLOOKUP(Table_NFI[[#This Row],[Camp Name]],CL,4,0),"")</f>
        <v/>
      </c>
      <c r="AT1034" s="577"/>
      <c r="AU1034" s="580"/>
    </row>
    <row r="1035" spans="1:47" x14ac:dyDescent="0.25">
      <c r="A1035" s="381" t="str">
        <f t="shared" si="16"/>
        <v/>
      </c>
      <c r="B1035" s="571"/>
      <c r="C1035" s="572"/>
      <c r="D1035" s="572"/>
      <c r="E1035" s="572"/>
      <c r="F1035" s="572"/>
      <c r="G1035" s="572"/>
      <c r="H1035" s="375"/>
      <c r="I1035" s="378"/>
      <c r="J1035" s="378"/>
      <c r="K1035" s="378"/>
      <c r="L1035" s="376"/>
      <c r="M1035" s="376"/>
      <c r="N1035" s="376"/>
      <c r="O1035" s="376"/>
      <c r="P1035" s="378"/>
      <c r="Q1035" s="378"/>
      <c r="R1035" s="378"/>
      <c r="S1035" s="378"/>
      <c r="T1035" s="378"/>
      <c r="U1035" s="378"/>
      <c r="V1035" s="533"/>
      <c r="W1035" s="418"/>
      <c r="X1035" s="418"/>
      <c r="Y1035" s="378">
        <f>IF(NFI_Expiration=1,IF($A1035&lt;VLOOKUP(H$5,NFI,5,0),1,0)*Table_NFI[[#This Row],[Hygiene Kit]],Table_NFI[Hygiene Kit])</f>
        <v>0</v>
      </c>
      <c r="Z1035" s="378">
        <f>IF(NFI_Expiration=1,IF($A1035&lt;VLOOKUP(I$5,NFI,5,0),1,0)*Table_NFI[[#This Row],[NFI Core Kit]],Table_NFI[NFI Core Kit])</f>
        <v>0</v>
      </c>
      <c r="AA1035" s="378">
        <f>IF(NFI_Expiration=1,IF($A1035&lt;VLOOKUP(J$5,NFI,5,0),1,0)*Table_NFI[[#This Row],[Sanitary Kit]],Table_NFI[Sanitary Kit])</f>
        <v>0</v>
      </c>
      <c r="AB1035" s="378">
        <f>IF(NFI_Expiration=1,IF($A1035&lt;VLOOKUP(K$5,NFI,5,0),1,0)*Table_NFI[[#This Row],[Mosquito net]],Table_NFI[Mosquito net])</f>
        <v>0</v>
      </c>
      <c r="AC1035" s="378">
        <f>IF(NFI_Expiration=1,IF($A1035&lt;VLOOKUP(L$5,NFI,5,0),1,0)*Table_NFI[[#This Row],[Tarpaulin]],Table_NFI[[#This Row],[Tarpaulin]])</f>
        <v>0</v>
      </c>
      <c r="AD1035" s="378">
        <f>IF(NFI_Expiration=1,IF($A1035&lt;VLOOKUP(M$5,NFI,5,0),1,0)*Table_NFI[[#This Row],[Blanket]],Table_NFI[[#This Row],[Blanket]])</f>
        <v>0</v>
      </c>
      <c r="AE1035" s="378">
        <f>IF(NFI_Expiration=1,IF($A1035&lt;VLOOKUP(N$5,NFI,5,0),1,0)*Table_NFI[[#This Row],[Kitchen Set]],Table_NFI[Kitchen Set])</f>
        <v>0</v>
      </c>
      <c r="AF1035" s="378">
        <f>IF(NFI_Expiration=1,IF($A1035&lt;VLOOKUP(O$5,NFI,5,0),1,0)*Table_NFI[[#This Row],[Clothes Kit]],Table_NFI[Clothes Kit])</f>
        <v>0</v>
      </c>
      <c r="AG1035" s="378">
        <f>IF(NFI_Expiration=1,IF($A1035&lt;VLOOKUP(P$5,NFI,5,0),1,0)*Table_NFI[[#This Row],[Plastic Bucket]],Table_NFI[Plastic Bucket])</f>
        <v>0</v>
      </c>
      <c r="AH1035" s="378">
        <f>IF(NFI_Expiration=1,IF($A1035&lt;VLOOKUP(Q$5,NFI,5,0),1,0)*Table_NFI[[#This Row],[Plastic Mat]],Table_NFI[Plastic Mat])*IF(Table_NFI[[#This Row],[Distribution Date]]&gt;"2014-04-01",1,2.5)</f>
        <v>0</v>
      </c>
      <c r="AI1035" s="378">
        <f>IF(NFI_Expiration=1,IF($A1035&lt;VLOOKUP(R$5,NFI,5,0),1,0)*Table_NFI[[#This Row],[Winter Clothes Adult]],Table_NFI[Winter Clothes Adult])</f>
        <v>0</v>
      </c>
      <c r="AJ1035" s="378">
        <f>IF(NFI_Expiration=1,IF($A1035&lt;VLOOKUP(S$5,NFI,5,0),1,0)*Table_NFI[[#This Row],[Winter Clothes Children]],Table_NFI[Winter Clothes Children])</f>
        <v>0</v>
      </c>
      <c r="AK1035" s="378">
        <f>IF(NFI_Expiration=1,IF($A1035&lt;VLOOKUP(T$5,NFI,5,0),1,0)*Table_NFI[[#This Row],[Winter Items Other]],Table_NFI[Winter Items Other])</f>
        <v>0</v>
      </c>
      <c r="AL1035" s="378">
        <f>IF(NFI_Expiration=1,IF($A1035&lt;VLOOKUP(M$5,NFI,5,0),1,0)*Table_NFI[[#This Row],[Winter Blanket]],Table_NFI[[#This Row],[Winter Blanket]])</f>
        <v>0</v>
      </c>
      <c r="AM1035" s="378">
        <f>IF(Table_NFI[[#This Row],[Winter Clothes Adult]]+Table_NFI[[#This Row],[Winter Clothes Children]]+Table_NFI[[#This Row],[Winter Items Other]]+Table_NFI[[#This Row],[Winter Blanket]]&gt;0,1,0)</f>
        <v>0</v>
      </c>
      <c r="AN1035" s="418">
        <f>IF(NFI_Expiration=1,IF($A1035&lt;VLOOKUP(V$5,NFI,5,0),1,0)*Table_NFI[[#This Row],[Jerry Can]],Table_NFI[Jerry Can])</f>
        <v>0</v>
      </c>
      <c r="AO1035" s="579" t="str">
        <f>IFERROR(VLOOKUP(Table_NFI[[#This Row],[Camp Name]],CL,2,0),"")</f>
        <v/>
      </c>
      <c r="AP1035" s="574" t="str">
        <f ca="1">IF(Table_NFI[[#This Row],[Pcode]]="","",IF(OFFSET(CampList[Opening Date],MATCH(Table_NFI[[#This Row],[Pcode]],CampList[CP_Pcode],0)-1,0,1,1)&gt;=NFI_Monitor_Date,1,0))</f>
        <v/>
      </c>
      <c r="AQ1035" s="579" t="str">
        <f>IFERROR(VLOOKUP(Table_NFI[[#This Row],[Camp Name]],CL,3,0),"")</f>
        <v/>
      </c>
      <c r="AR1035" s="378" t="str">
        <f ca="1">IF(Table_NFI[[#This Row],[Pcode]]="","",OFFSET(CampList[Priority],MATCH(Table_NFI[[#This Row],[Pcode]],CampList[CP_Pcode],0)-1,0,1,1))</f>
        <v/>
      </c>
      <c r="AS1035" s="377" t="str">
        <f>IFERROR(Table_NFI[[#This Row],[Kitchen Set]]/VLOOKUP(Table_NFI[[#This Row],[Camp Name]],CL,4,0),"")</f>
        <v/>
      </c>
      <c r="AT1035" s="577"/>
      <c r="AU1035" s="580"/>
    </row>
    <row r="1036" spans="1:47" x14ac:dyDescent="0.25">
      <c r="A1036" s="381" t="str">
        <f t="shared" si="16"/>
        <v/>
      </c>
      <c r="B1036" s="571"/>
      <c r="C1036" s="572"/>
      <c r="D1036" s="577"/>
      <c r="E1036" s="577"/>
      <c r="F1036" s="577"/>
      <c r="G1036" s="577"/>
      <c r="H1036" s="376"/>
      <c r="I1036" s="376"/>
      <c r="J1036" s="376"/>
      <c r="K1036" s="376"/>
      <c r="L1036" s="376"/>
      <c r="M1036" s="376"/>
      <c r="N1036" s="376"/>
      <c r="O1036" s="376"/>
      <c r="P1036" s="378"/>
      <c r="Q1036" s="378"/>
      <c r="R1036" s="378"/>
      <c r="S1036" s="378"/>
      <c r="T1036" s="378"/>
      <c r="U1036" s="378"/>
      <c r="V1036" s="533"/>
      <c r="W1036" s="418"/>
      <c r="X1036" s="418"/>
      <c r="Y1036" s="378">
        <f>IF(NFI_Expiration=1,IF($A1036&lt;VLOOKUP(H$5,NFI,5,0),1,0)*Table_NFI[[#This Row],[Hygiene Kit]],Table_NFI[Hygiene Kit])</f>
        <v>0</v>
      </c>
      <c r="Z1036" s="378">
        <f>IF(NFI_Expiration=1,IF($A1036&lt;VLOOKUP(I$5,NFI,5,0),1,0)*Table_NFI[[#This Row],[NFI Core Kit]],Table_NFI[NFI Core Kit])</f>
        <v>0</v>
      </c>
      <c r="AA1036" s="378">
        <f>IF(NFI_Expiration=1,IF($A1036&lt;VLOOKUP(J$5,NFI,5,0),1,0)*Table_NFI[[#This Row],[Sanitary Kit]],Table_NFI[Sanitary Kit])</f>
        <v>0</v>
      </c>
      <c r="AB1036" s="378">
        <f>IF(NFI_Expiration=1,IF($A1036&lt;VLOOKUP(K$5,NFI,5,0),1,0)*Table_NFI[[#This Row],[Mosquito net]],Table_NFI[Mosquito net])</f>
        <v>0</v>
      </c>
      <c r="AC1036" s="378">
        <f>IF(NFI_Expiration=1,IF($A1036&lt;VLOOKUP(L$5,NFI,5,0),1,0)*Table_NFI[[#This Row],[Tarpaulin]],Table_NFI[[#This Row],[Tarpaulin]])</f>
        <v>0</v>
      </c>
      <c r="AD1036" s="378">
        <f>IF(NFI_Expiration=1,IF($A1036&lt;VLOOKUP(M$5,NFI,5,0),1,0)*Table_NFI[[#This Row],[Blanket]],Table_NFI[[#This Row],[Blanket]])</f>
        <v>0</v>
      </c>
      <c r="AE1036" s="378">
        <f>IF(NFI_Expiration=1,IF($A1036&lt;VLOOKUP(N$5,NFI,5,0),1,0)*Table_NFI[[#This Row],[Kitchen Set]],Table_NFI[Kitchen Set])</f>
        <v>0</v>
      </c>
      <c r="AF1036" s="378">
        <f>IF(NFI_Expiration=1,IF($A1036&lt;VLOOKUP(O$5,NFI,5,0),1,0)*Table_NFI[[#This Row],[Clothes Kit]],Table_NFI[Clothes Kit])</f>
        <v>0</v>
      </c>
      <c r="AG1036" s="378">
        <f>IF(NFI_Expiration=1,IF($A1036&lt;VLOOKUP(P$5,NFI,5,0),1,0)*Table_NFI[[#This Row],[Plastic Bucket]],Table_NFI[Plastic Bucket])</f>
        <v>0</v>
      </c>
      <c r="AH1036" s="378">
        <f>IF(NFI_Expiration=1,IF($A1036&lt;VLOOKUP(Q$5,NFI,5,0),1,0)*Table_NFI[[#This Row],[Plastic Mat]],Table_NFI[Plastic Mat])*IF(Table_NFI[[#This Row],[Distribution Date]]&gt;"2014-04-01",1,2.5)</f>
        <v>0</v>
      </c>
      <c r="AI1036" s="378">
        <f>IF(NFI_Expiration=1,IF($A1036&lt;VLOOKUP(R$5,NFI,5,0),1,0)*Table_NFI[[#This Row],[Winter Clothes Adult]],Table_NFI[Winter Clothes Adult])</f>
        <v>0</v>
      </c>
      <c r="AJ1036" s="378">
        <f>IF(NFI_Expiration=1,IF($A1036&lt;VLOOKUP(S$5,NFI,5,0),1,0)*Table_NFI[[#This Row],[Winter Clothes Children]],Table_NFI[Winter Clothes Children])</f>
        <v>0</v>
      </c>
      <c r="AK1036" s="378">
        <f>IF(NFI_Expiration=1,IF($A1036&lt;VLOOKUP(T$5,NFI,5,0),1,0)*Table_NFI[[#This Row],[Winter Items Other]],Table_NFI[Winter Items Other])</f>
        <v>0</v>
      </c>
      <c r="AL1036" s="378">
        <f>IF(NFI_Expiration=1,IF($A1036&lt;VLOOKUP(M$5,NFI,5,0),1,0)*Table_NFI[[#This Row],[Winter Blanket]],Table_NFI[[#This Row],[Winter Blanket]])</f>
        <v>0</v>
      </c>
      <c r="AM1036" s="378">
        <f>IF(Table_NFI[[#This Row],[Winter Clothes Adult]]+Table_NFI[[#This Row],[Winter Clothes Children]]+Table_NFI[[#This Row],[Winter Items Other]]+Table_NFI[[#This Row],[Winter Blanket]]&gt;0,1,0)</f>
        <v>0</v>
      </c>
      <c r="AN1036" s="418">
        <f>IF(NFI_Expiration=1,IF($A1036&lt;VLOOKUP(V$5,NFI,5,0),1,0)*Table_NFI[[#This Row],[Jerry Can]],Table_NFI[Jerry Can])</f>
        <v>0</v>
      </c>
      <c r="AO1036" s="579" t="str">
        <f>IFERROR(VLOOKUP(Table_NFI[[#This Row],[Camp Name]],CL,2,0),"")</f>
        <v/>
      </c>
      <c r="AP1036" s="574" t="str">
        <f ca="1">IF(Table_NFI[[#This Row],[Pcode]]="","",IF(OFFSET(CampList[Opening Date],MATCH(Table_NFI[[#This Row],[Pcode]],CampList[CP_Pcode],0)-1,0,1,1)&gt;=NFI_Monitor_Date,1,0))</f>
        <v/>
      </c>
      <c r="AQ1036" s="579" t="str">
        <f>IFERROR(VLOOKUP(Table_NFI[[#This Row],[Camp Name]],CL,3,0),"")</f>
        <v/>
      </c>
      <c r="AR1036" s="378" t="str">
        <f ca="1">IF(Table_NFI[[#This Row],[Pcode]]="","",OFFSET(CampList[Priority],MATCH(Table_NFI[[#This Row],[Pcode]],CampList[CP_Pcode],0)-1,0,1,1))</f>
        <v/>
      </c>
      <c r="AS1036" s="377" t="str">
        <f>IFERROR(Table_NFI[[#This Row],[Kitchen Set]]/VLOOKUP(Table_NFI[[#This Row],[Camp Name]],CL,4,0),"")</f>
        <v/>
      </c>
      <c r="AT1036" s="577"/>
      <c r="AU1036" s="580"/>
    </row>
    <row r="1037" spans="1:47" x14ac:dyDescent="0.25">
      <c r="A1037" s="381" t="str">
        <f t="shared" si="16"/>
        <v/>
      </c>
      <c r="B1037" s="571"/>
      <c r="C1037" s="572"/>
      <c r="D1037" s="572"/>
      <c r="E1037" s="572"/>
      <c r="F1037" s="572"/>
      <c r="G1037" s="572"/>
      <c r="H1037" s="376"/>
      <c r="I1037" s="376"/>
      <c r="J1037" s="376"/>
      <c r="K1037" s="376"/>
      <c r="L1037" s="376"/>
      <c r="M1037" s="376"/>
      <c r="N1037" s="376"/>
      <c r="O1037" s="376"/>
      <c r="P1037" s="378"/>
      <c r="Q1037" s="378"/>
      <c r="R1037" s="378"/>
      <c r="S1037" s="378"/>
      <c r="T1037" s="378"/>
      <c r="U1037" s="378"/>
      <c r="V1037" s="533"/>
      <c r="W1037" s="418"/>
      <c r="X1037" s="418"/>
      <c r="Y1037" s="378">
        <f>IF(NFI_Expiration=1,IF($A1037&lt;VLOOKUP(H$5,NFI,5,0),1,0)*Table_NFI[[#This Row],[Hygiene Kit]],Table_NFI[Hygiene Kit])</f>
        <v>0</v>
      </c>
      <c r="Z1037" s="378">
        <f>IF(NFI_Expiration=1,IF($A1037&lt;VLOOKUP(I$5,NFI,5,0),1,0)*Table_NFI[[#This Row],[NFI Core Kit]],Table_NFI[NFI Core Kit])</f>
        <v>0</v>
      </c>
      <c r="AA1037" s="378">
        <f>IF(NFI_Expiration=1,IF($A1037&lt;VLOOKUP(J$5,NFI,5,0),1,0)*Table_NFI[[#This Row],[Sanitary Kit]],Table_NFI[Sanitary Kit])</f>
        <v>0</v>
      </c>
      <c r="AB1037" s="378">
        <f>IF(NFI_Expiration=1,IF($A1037&lt;VLOOKUP(K$5,NFI,5,0),1,0)*Table_NFI[[#This Row],[Mosquito net]],Table_NFI[Mosquito net])</f>
        <v>0</v>
      </c>
      <c r="AC1037" s="378">
        <f>IF(NFI_Expiration=1,IF($A1037&lt;VLOOKUP(L$5,NFI,5,0),1,0)*Table_NFI[[#This Row],[Tarpaulin]],Table_NFI[[#This Row],[Tarpaulin]])</f>
        <v>0</v>
      </c>
      <c r="AD1037" s="378">
        <f>IF(NFI_Expiration=1,IF($A1037&lt;VLOOKUP(M$5,NFI,5,0),1,0)*Table_NFI[[#This Row],[Blanket]],Table_NFI[[#This Row],[Blanket]])</f>
        <v>0</v>
      </c>
      <c r="AE1037" s="378">
        <f>IF(NFI_Expiration=1,IF($A1037&lt;VLOOKUP(N$5,NFI,5,0),1,0)*Table_NFI[[#This Row],[Kitchen Set]],Table_NFI[Kitchen Set])</f>
        <v>0</v>
      </c>
      <c r="AF1037" s="378">
        <f>IF(NFI_Expiration=1,IF($A1037&lt;VLOOKUP(O$5,NFI,5,0),1,0)*Table_NFI[[#This Row],[Clothes Kit]],Table_NFI[Clothes Kit])</f>
        <v>0</v>
      </c>
      <c r="AG1037" s="378">
        <f>IF(NFI_Expiration=1,IF($A1037&lt;VLOOKUP(P$5,NFI,5,0),1,0)*Table_NFI[[#This Row],[Plastic Bucket]],Table_NFI[Plastic Bucket])</f>
        <v>0</v>
      </c>
      <c r="AH1037" s="378">
        <f>IF(NFI_Expiration=1,IF($A1037&lt;VLOOKUP(Q$5,NFI,5,0),1,0)*Table_NFI[[#This Row],[Plastic Mat]],Table_NFI[Plastic Mat])*IF(Table_NFI[[#This Row],[Distribution Date]]&gt;"2014-04-01",1,2.5)</f>
        <v>0</v>
      </c>
      <c r="AI1037" s="378">
        <f>IF(NFI_Expiration=1,IF($A1037&lt;VLOOKUP(R$5,NFI,5,0),1,0)*Table_NFI[[#This Row],[Winter Clothes Adult]],Table_NFI[Winter Clothes Adult])</f>
        <v>0</v>
      </c>
      <c r="AJ1037" s="378">
        <f>IF(NFI_Expiration=1,IF($A1037&lt;VLOOKUP(S$5,NFI,5,0),1,0)*Table_NFI[[#This Row],[Winter Clothes Children]],Table_NFI[Winter Clothes Children])</f>
        <v>0</v>
      </c>
      <c r="AK1037" s="378">
        <f>IF(NFI_Expiration=1,IF($A1037&lt;VLOOKUP(T$5,NFI,5,0),1,0)*Table_NFI[[#This Row],[Winter Items Other]],Table_NFI[Winter Items Other])</f>
        <v>0</v>
      </c>
      <c r="AL1037" s="378">
        <f>IF(NFI_Expiration=1,IF($A1037&lt;VLOOKUP(M$5,NFI,5,0),1,0)*Table_NFI[[#This Row],[Winter Blanket]],Table_NFI[[#This Row],[Winter Blanket]])</f>
        <v>0</v>
      </c>
      <c r="AM1037" s="378">
        <f>IF(Table_NFI[[#This Row],[Winter Clothes Adult]]+Table_NFI[[#This Row],[Winter Clothes Children]]+Table_NFI[[#This Row],[Winter Items Other]]+Table_NFI[[#This Row],[Winter Blanket]]&gt;0,1,0)</f>
        <v>0</v>
      </c>
      <c r="AN1037" s="418">
        <f>IF(NFI_Expiration=1,IF($A1037&lt;VLOOKUP(V$5,NFI,5,0),1,0)*Table_NFI[[#This Row],[Jerry Can]],Table_NFI[Jerry Can])</f>
        <v>0</v>
      </c>
      <c r="AO1037" s="579" t="str">
        <f>IFERROR(VLOOKUP(Table_NFI[[#This Row],[Camp Name]],CL,2,0),"")</f>
        <v/>
      </c>
      <c r="AP1037" s="574" t="str">
        <f ca="1">IF(Table_NFI[[#This Row],[Pcode]]="","",IF(OFFSET(CampList[Opening Date],MATCH(Table_NFI[[#This Row],[Pcode]],CampList[CP_Pcode],0)-1,0,1,1)&gt;=NFI_Monitor_Date,1,0))</f>
        <v/>
      </c>
      <c r="AQ1037" s="579" t="str">
        <f>IFERROR(VLOOKUP(Table_NFI[[#This Row],[Camp Name]],CL,3,0),"")</f>
        <v/>
      </c>
      <c r="AR1037" s="378" t="str">
        <f ca="1">IF(Table_NFI[[#This Row],[Pcode]]="","",OFFSET(CampList[Priority],MATCH(Table_NFI[[#This Row],[Pcode]],CampList[CP_Pcode],0)-1,0,1,1))</f>
        <v/>
      </c>
      <c r="AS1037" s="377" t="str">
        <f>IFERROR(Table_NFI[[#This Row],[Kitchen Set]]/VLOOKUP(Table_NFI[[#This Row],[Camp Name]],CL,4,0),"")</f>
        <v/>
      </c>
      <c r="AT1037" s="577"/>
      <c r="AU1037" s="580"/>
    </row>
    <row r="1038" spans="1:47" x14ac:dyDescent="0.25">
      <c r="A1038" s="381" t="str">
        <f t="shared" si="16"/>
        <v/>
      </c>
      <c r="B1038" s="571"/>
      <c r="C1038" s="572"/>
      <c r="D1038" s="572"/>
      <c r="E1038" s="572"/>
      <c r="F1038" s="572"/>
      <c r="G1038" s="572"/>
      <c r="H1038" s="376"/>
      <c r="I1038" s="376"/>
      <c r="J1038" s="376"/>
      <c r="K1038" s="376"/>
      <c r="L1038" s="376"/>
      <c r="M1038" s="376"/>
      <c r="N1038" s="376"/>
      <c r="O1038" s="376"/>
      <c r="P1038" s="378"/>
      <c r="Q1038" s="378"/>
      <c r="R1038" s="378"/>
      <c r="S1038" s="378"/>
      <c r="T1038" s="378"/>
      <c r="U1038" s="378"/>
      <c r="V1038" s="533"/>
      <c r="W1038" s="418"/>
      <c r="X1038" s="418"/>
      <c r="Y1038" s="378">
        <f>IF(NFI_Expiration=1,IF($A1038&lt;VLOOKUP(H$5,NFI,5,0),1,0)*Table_NFI[[#This Row],[Hygiene Kit]],Table_NFI[Hygiene Kit])</f>
        <v>0</v>
      </c>
      <c r="Z1038" s="378">
        <f>IF(NFI_Expiration=1,IF($A1038&lt;VLOOKUP(I$5,NFI,5,0),1,0)*Table_NFI[[#This Row],[NFI Core Kit]],Table_NFI[NFI Core Kit])</f>
        <v>0</v>
      </c>
      <c r="AA1038" s="378">
        <f>IF(NFI_Expiration=1,IF($A1038&lt;VLOOKUP(J$5,NFI,5,0),1,0)*Table_NFI[[#This Row],[Sanitary Kit]],Table_NFI[Sanitary Kit])</f>
        <v>0</v>
      </c>
      <c r="AB1038" s="378">
        <f>IF(NFI_Expiration=1,IF($A1038&lt;VLOOKUP(K$5,NFI,5,0),1,0)*Table_NFI[[#This Row],[Mosquito net]],Table_NFI[Mosquito net])</f>
        <v>0</v>
      </c>
      <c r="AC1038" s="378">
        <f>IF(NFI_Expiration=1,IF($A1038&lt;VLOOKUP(L$5,NFI,5,0),1,0)*Table_NFI[[#This Row],[Tarpaulin]],Table_NFI[[#This Row],[Tarpaulin]])</f>
        <v>0</v>
      </c>
      <c r="AD1038" s="378">
        <f>IF(NFI_Expiration=1,IF($A1038&lt;VLOOKUP(M$5,NFI,5,0),1,0)*Table_NFI[[#This Row],[Blanket]],Table_NFI[[#This Row],[Blanket]])</f>
        <v>0</v>
      </c>
      <c r="AE1038" s="378">
        <f>IF(NFI_Expiration=1,IF($A1038&lt;VLOOKUP(N$5,NFI,5,0),1,0)*Table_NFI[[#This Row],[Kitchen Set]],Table_NFI[Kitchen Set])</f>
        <v>0</v>
      </c>
      <c r="AF1038" s="378">
        <f>IF(NFI_Expiration=1,IF($A1038&lt;VLOOKUP(O$5,NFI,5,0),1,0)*Table_NFI[[#This Row],[Clothes Kit]],Table_NFI[Clothes Kit])</f>
        <v>0</v>
      </c>
      <c r="AG1038" s="378">
        <f>IF(NFI_Expiration=1,IF($A1038&lt;VLOOKUP(P$5,NFI,5,0),1,0)*Table_NFI[[#This Row],[Plastic Bucket]],Table_NFI[Plastic Bucket])</f>
        <v>0</v>
      </c>
      <c r="AH1038" s="378">
        <f>IF(NFI_Expiration=1,IF($A1038&lt;VLOOKUP(Q$5,NFI,5,0),1,0)*Table_NFI[[#This Row],[Plastic Mat]],Table_NFI[Plastic Mat])*IF(Table_NFI[[#This Row],[Distribution Date]]&gt;"2014-04-01",1,2.5)</f>
        <v>0</v>
      </c>
      <c r="AI1038" s="378">
        <f>IF(NFI_Expiration=1,IF($A1038&lt;VLOOKUP(R$5,NFI,5,0),1,0)*Table_NFI[[#This Row],[Winter Clothes Adult]],Table_NFI[Winter Clothes Adult])</f>
        <v>0</v>
      </c>
      <c r="AJ1038" s="378">
        <f>IF(NFI_Expiration=1,IF($A1038&lt;VLOOKUP(S$5,NFI,5,0),1,0)*Table_NFI[[#This Row],[Winter Clothes Children]],Table_NFI[Winter Clothes Children])</f>
        <v>0</v>
      </c>
      <c r="AK1038" s="378">
        <f>IF(NFI_Expiration=1,IF($A1038&lt;VLOOKUP(T$5,NFI,5,0),1,0)*Table_NFI[[#This Row],[Winter Items Other]],Table_NFI[Winter Items Other])</f>
        <v>0</v>
      </c>
      <c r="AL1038" s="378">
        <f>IF(NFI_Expiration=1,IF($A1038&lt;VLOOKUP(M$5,NFI,5,0),1,0)*Table_NFI[[#This Row],[Winter Blanket]],Table_NFI[[#This Row],[Winter Blanket]])</f>
        <v>0</v>
      </c>
      <c r="AM1038" s="378">
        <f>IF(Table_NFI[[#This Row],[Winter Clothes Adult]]+Table_NFI[[#This Row],[Winter Clothes Children]]+Table_NFI[[#This Row],[Winter Items Other]]+Table_NFI[[#This Row],[Winter Blanket]]&gt;0,1,0)</f>
        <v>0</v>
      </c>
      <c r="AN1038" s="418">
        <f>IF(NFI_Expiration=1,IF($A1038&lt;VLOOKUP(V$5,NFI,5,0),1,0)*Table_NFI[[#This Row],[Jerry Can]],Table_NFI[Jerry Can])</f>
        <v>0</v>
      </c>
      <c r="AO1038" s="579" t="str">
        <f>IFERROR(VLOOKUP(Table_NFI[[#This Row],[Camp Name]],CL,2,0),"")</f>
        <v/>
      </c>
      <c r="AP1038" s="574" t="str">
        <f ca="1">IF(Table_NFI[[#This Row],[Pcode]]="","",IF(OFFSET(CampList[Opening Date],MATCH(Table_NFI[[#This Row],[Pcode]],CampList[CP_Pcode],0)-1,0,1,1)&gt;=NFI_Monitor_Date,1,0))</f>
        <v/>
      </c>
      <c r="AQ1038" s="579" t="str">
        <f>IFERROR(VLOOKUP(Table_NFI[[#This Row],[Camp Name]],CL,3,0),"")</f>
        <v/>
      </c>
      <c r="AR1038" s="378" t="str">
        <f ca="1">IF(Table_NFI[[#This Row],[Pcode]]="","",OFFSET(CampList[Priority],MATCH(Table_NFI[[#This Row],[Pcode]],CampList[CP_Pcode],0)-1,0,1,1))</f>
        <v/>
      </c>
      <c r="AS1038" s="377" t="str">
        <f>IFERROR(Table_NFI[[#This Row],[Kitchen Set]]/VLOOKUP(Table_NFI[[#This Row],[Camp Name]],CL,4,0),"")</f>
        <v/>
      </c>
      <c r="AT1038" s="577"/>
      <c r="AU1038" s="580"/>
    </row>
    <row r="1039" spans="1:47" x14ac:dyDescent="0.25">
      <c r="A1039" s="381" t="str">
        <f t="shared" si="16"/>
        <v/>
      </c>
      <c r="B1039" s="571"/>
      <c r="C1039" s="572"/>
      <c r="D1039" s="572"/>
      <c r="E1039" s="572"/>
      <c r="F1039" s="572"/>
      <c r="G1039" s="572"/>
      <c r="H1039" s="375"/>
      <c r="I1039" s="378"/>
      <c r="J1039" s="378"/>
      <c r="K1039" s="378"/>
      <c r="L1039" s="376"/>
      <c r="M1039" s="376"/>
      <c r="N1039" s="376"/>
      <c r="O1039" s="376"/>
      <c r="P1039" s="378"/>
      <c r="Q1039" s="378"/>
      <c r="R1039" s="378"/>
      <c r="S1039" s="378"/>
      <c r="T1039" s="378"/>
      <c r="U1039" s="378"/>
      <c r="V1039" s="533"/>
      <c r="W1039" s="418"/>
      <c r="X1039" s="418"/>
      <c r="Y1039" s="378">
        <f>IF(NFI_Expiration=1,IF($A1039&lt;VLOOKUP(H$5,NFI,5,0),1,0)*Table_NFI[[#This Row],[Hygiene Kit]],Table_NFI[Hygiene Kit])</f>
        <v>0</v>
      </c>
      <c r="Z1039" s="378">
        <f>IF(NFI_Expiration=1,IF($A1039&lt;VLOOKUP(I$5,NFI,5,0),1,0)*Table_NFI[[#This Row],[NFI Core Kit]],Table_NFI[NFI Core Kit])</f>
        <v>0</v>
      </c>
      <c r="AA1039" s="378">
        <f>IF(NFI_Expiration=1,IF($A1039&lt;VLOOKUP(J$5,NFI,5,0),1,0)*Table_NFI[[#This Row],[Sanitary Kit]],Table_NFI[Sanitary Kit])</f>
        <v>0</v>
      </c>
      <c r="AB1039" s="378">
        <f>IF(NFI_Expiration=1,IF($A1039&lt;VLOOKUP(K$5,NFI,5,0),1,0)*Table_NFI[[#This Row],[Mosquito net]],Table_NFI[Mosquito net])</f>
        <v>0</v>
      </c>
      <c r="AC1039" s="378">
        <f>IF(NFI_Expiration=1,IF($A1039&lt;VLOOKUP(L$5,NFI,5,0),1,0)*Table_NFI[[#This Row],[Tarpaulin]],Table_NFI[[#This Row],[Tarpaulin]])</f>
        <v>0</v>
      </c>
      <c r="AD1039" s="378">
        <f>IF(NFI_Expiration=1,IF($A1039&lt;VLOOKUP(M$5,NFI,5,0),1,0)*Table_NFI[[#This Row],[Blanket]],Table_NFI[[#This Row],[Blanket]])</f>
        <v>0</v>
      </c>
      <c r="AE1039" s="378">
        <f>IF(NFI_Expiration=1,IF($A1039&lt;VLOOKUP(N$5,NFI,5,0),1,0)*Table_NFI[[#This Row],[Kitchen Set]],Table_NFI[Kitchen Set])</f>
        <v>0</v>
      </c>
      <c r="AF1039" s="378">
        <f>IF(NFI_Expiration=1,IF($A1039&lt;VLOOKUP(O$5,NFI,5,0),1,0)*Table_NFI[[#This Row],[Clothes Kit]],Table_NFI[Clothes Kit])</f>
        <v>0</v>
      </c>
      <c r="AG1039" s="378">
        <f>IF(NFI_Expiration=1,IF($A1039&lt;VLOOKUP(P$5,NFI,5,0),1,0)*Table_NFI[[#This Row],[Plastic Bucket]],Table_NFI[Plastic Bucket])</f>
        <v>0</v>
      </c>
      <c r="AH1039" s="378">
        <f>IF(NFI_Expiration=1,IF($A1039&lt;VLOOKUP(Q$5,NFI,5,0),1,0)*Table_NFI[[#This Row],[Plastic Mat]],Table_NFI[Plastic Mat])*IF(Table_NFI[[#This Row],[Distribution Date]]&gt;"2014-04-01",1,2.5)</f>
        <v>0</v>
      </c>
      <c r="AI1039" s="378">
        <f>IF(NFI_Expiration=1,IF($A1039&lt;VLOOKUP(R$5,NFI,5,0),1,0)*Table_NFI[[#This Row],[Winter Clothes Adult]],Table_NFI[Winter Clothes Adult])</f>
        <v>0</v>
      </c>
      <c r="AJ1039" s="378">
        <f>IF(NFI_Expiration=1,IF($A1039&lt;VLOOKUP(S$5,NFI,5,0),1,0)*Table_NFI[[#This Row],[Winter Clothes Children]],Table_NFI[Winter Clothes Children])</f>
        <v>0</v>
      </c>
      <c r="AK1039" s="378">
        <f>IF(NFI_Expiration=1,IF($A1039&lt;VLOOKUP(T$5,NFI,5,0),1,0)*Table_NFI[[#This Row],[Winter Items Other]],Table_NFI[Winter Items Other])</f>
        <v>0</v>
      </c>
      <c r="AL1039" s="378">
        <f>IF(NFI_Expiration=1,IF($A1039&lt;VLOOKUP(M$5,NFI,5,0),1,0)*Table_NFI[[#This Row],[Winter Blanket]],Table_NFI[[#This Row],[Winter Blanket]])</f>
        <v>0</v>
      </c>
      <c r="AM1039" s="378">
        <f>IF(Table_NFI[[#This Row],[Winter Clothes Adult]]+Table_NFI[[#This Row],[Winter Clothes Children]]+Table_NFI[[#This Row],[Winter Items Other]]+Table_NFI[[#This Row],[Winter Blanket]]&gt;0,1,0)</f>
        <v>0</v>
      </c>
      <c r="AN1039" s="418">
        <f>IF(NFI_Expiration=1,IF($A1039&lt;VLOOKUP(V$5,NFI,5,0),1,0)*Table_NFI[[#This Row],[Jerry Can]],Table_NFI[Jerry Can])</f>
        <v>0</v>
      </c>
      <c r="AO1039" s="579" t="str">
        <f>IFERROR(VLOOKUP(Table_NFI[[#This Row],[Camp Name]],CL,2,0),"")</f>
        <v/>
      </c>
      <c r="AP1039" s="574" t="str">
        <f ca="1">IF(Table_NFI[[#This Row],[Pcode]]="","",IF(OFFSET(CampList[Opening Date],MATCH(Table_NFI[[#This Row],[Pcode]],CampList[CP_Pcode],0)-1,0,1,1)&gt;=NFI_Monitor_Date,1,0))</f>
        <v/>
      </c>
      <c r="AQ1039" s="579" t="str">
        <f>IFERROR(VLOOKUP(Table_NFI[[#This Row],[Camp Name]],CL,3,0),"")</f>
        <v/>
      </c>
      <c r="AR1039" s="378" t="str">
        <f ca="1">IF(Table_NFI[[#This Row],[Pcode]]="","",OFFSET(CampList[Priority],MATCH(Table_NFI[[#This Row],[Pcode]],CampList[CP_Pcode],0)-1,0,1,1))</f>
        <v/>
      </c>
      <c r="AS1039" s="377" t="str">
        <f>IFERROR(Table_NFI[[#This Row],[Kitchen Set]]/VLOOKUP(Table_NFI[[#This Row],[Camp Name]],CL,4,0),"")</f>
        <v/>
      </c>
      <c r="AT1039" s="577"/>
      <c r="AU1039" s="575"/>
    </row>
    <row r="1040" spans="1:47" x14ac:dyDescent="0.25">
      <c r="A1040" s="381" t="str">
        <f t="shared" si="16"/>
        <v/>
      </c>
      <c r="B1040" s="571"/>
      <c r="C1040" s="572"/>
      <c r="D1040" s="577"/>
      <c r="E1040" s="577"/>
      <c r="F1040" s="577"/>
      <c r="G1040" s="577"/>
      <c r="H1040" s="376"/>
      <c r="I1040" s="376"/>
      <c r="J1040" s="376"/>
      <c r="K1040" s="376"/>
      <c r="L1040" s="376"/>
      <c r="M1040" s="376"/>
      <c r="N1040" s="376"/>
      <c r="O1040" s="376"/>
      <c r="P1040" s="378"/>
      <c r="Q1040" s="378"/>
      <c r="R1040" s="378"/>
      <c r="S1040" s="378"/>
      <c r="T1040" s="378"/>
      <c r="U1040" s="378"/>
      <c r="V1040" s="533"/>
      <c r="W1040" s="418"/>
      <c r="X1040" s="418"/>
      <c r="Y1040" s="378">
        <f>IF(NFI_Expiration=1,IF($A1040&lt;VLOOKUP(H$5,NFI,5,0),1,0)*Table_NFI[[#This Row],[Hygiene Kit]],Table_NFI[Hygiene Kit])</f>
        <v>0</v>
      </c>
      <c r="Z1040" s="378">
        <f>IF(NFI_Expiration=1,IF($A1040&lt;VLOOKUP(I$5,NFI,5,0),1,0)*Table_NFI[[#This Row],[NFI Core Kit]],Table_NFI[NFI Core Kit])</f>
        <v>0</v>
      </c>
      <c r="AA1040" s="378">
        <f>IF(NFI_Expiration=1,IF($A1040&lt;VLOOKUP(J$5,NFI,5,0),1,0)*Table_NFI[[#This Row],[Sanitary Kit]],Table_NFI[Sanitary Kit])</f>
        <v>0</v>
      </c>
      <c r="AB1040" s="378">
        <f>IF(NFI_Expiration=1,IF($A1040&lt;VLOOKUP(K$5,NFI,5,0),1,0)*Table_NFI[[#This Row],[Mosquito net]],Table_NFI[Mosquito net])</f>
        <v>0</v>
      </c>
      <c r="AC1040" s="378">
        <f>IF(NFI_Expiration=1,IF($A1040&lt;VLOOKUP(L$5,NFI,5,0),1,0)*Table_NFI[[#This Row],[Tarpaulin]],Table_NFI[[#This Row],[Tarpaulin]])</f>
        <v>0</v>
      </c>
      <c r="AD1040" s="378">
        <f>IF(NFI_Expiration=1,IF($A1040&lt;VLOOKUP(M$5,NFI,5,0),1,0)*Table_NFI[[#This Row],[Blanket]],Table_NFI[[#This Row],[Blanket]])</f>
        <v>0</v>
      </c>
      <c r="AE1040" s="378">
        <f>IF(NFI_Expiration=1,IF($A1040&lt;VLOOKUP(N$5,NFI,5,0),1,0)*Table_NFI[[#This Row],[Kitchen Set]],Table_NFI[Kitchen Set])</f>
        <v>0</v>
      </c>
      <c r="AF1040" s="378">
        <f>IF(NFI_Expiration=1,IF($A1040&lt;VLOOKUP(O$5,NFI,5,0),1,0)*Table_NFI[[#This Row],[Clothes Kit]],Table_NFI[Clothes Kit])</f>
        <v>0</v>
      </c>
      <c r="AG1040" s="378">
        <f>IF(NFI_Expiration=1,IF($A1040&lt;VLOOKUP(P$5,NFI,5,0),1,0)*Table_NFI[[#This Row],[Plastic Bucket]],Table_NFI[Plastic Bucket])</f>
        <v>0</v>
      </c>
      <c r="AH1040" s="378">
        <f>IF(NFI_Expiration=1,IF($A1040&lt;VLOOKUP(Q$5,NFI,5,0),1,0)*Table_NFI[[#This Row],[Plastic Mat]],Table_NFI[Plastic Mat])*IF(Table_NFI[[#This Row],[Distribution Date]]&gt;"2014-04-01",1,2.5)</f>
        <v>0</v>
      </c>
      <c r="AI1040" s="378">
        <f>IF(NFI_Expiration=1,IF($A1040&lt;VLOOKUP(R$5,NFI,5,0),1,0)*Table_NFI[[#This Row],[Winter Clothes Adult]],Table_NFI[Winter Clothes Adult])</f>
        <v>0</v>
      </c>
      <c r="AJ1040" s="378">
        <f>IF(NFI_Expiration=1,IF($A1040&lt;VLOOKUP(S$5,NFI,5,0),1,0)*Table_NFI[[#This Row],[Winter Clothes Children]],Table_NFI[Winter Clothes Children])</f>
        <v>0</v>
      </c>
      <c r="AK1040" s="378">
        <f>IF(NFI_Expiration=1,IF($A1040&lt;VLOOKUP(T$5,NFI,5,0),1,0)*Table_NFI[[#This Row],[Winter Items Other]],Table_NFI[Winter Items Other])</f>
        <v>0</v>
      </c>
      <c r="AL1040" s="378">
        <f>IF(NFI_Expiration=1,IF($A1040&lt;VLOOKUP(M$5,NFI,5,0),1,0)*Table_NFI[[#This Row],[Winter Blanket]],Table_NFI[[#This Row],[Winter Blanket]])</f>
        <v>0</v>
      </c>
      <c r="AM1040" s="378">
        <f>IF(Table_NFI[[#This Row],[Winter Clothes Adult]]+Table_NFI[[#This Row],[Winter Clothes Children]]+Table_NFI[[#This Row],[Winter Items Other]]+Table_NFI[[#This Row],[Winter Blanket]]&gt;0,1,0)</f>
        <v>0</v>
      </c>
      <c r="AN1040" s="418">
        <f>IF(NFI_Expiration=1,IF($A1040&lt;VLOOKUP(V$5,NFI,5,0),1,0)*Table_NFI[[#This Row],[Jerry Can]],Table_NFI[Jerry Can])</f>
        <v>0</v>
      </c>
      <c r="AO1040" s="579" t="str">
        <f>IFERROR(VLOOKUP(Table_NFI[[#This Row],[Camp Name]],CL,2,0),"")</f>
        <v/>
      </c>
      <c r="AP1040" s="574" t="str">
        <f ca="1">IF(Table_NFI[[#This Row],[Pcode]]="","",IF(OFFSET(CampList[Opening Date],MATCH(Table_NFI[[#This Row],[Pcode]],CampList[CP_Pcode],0)-1,0,1,1)&gt;=NFI_Monitor_Date,1,0))</f>
        <v/>
      </c>
      <c r="AQ1040" s="579" t="str">
        <f>IFERROR(VLOOKUP(Table_NFI[[#This Row],[Camp Name]],CL,3,0),"")</f>
        <v/>
      </c>
      <c r="AR1040" s="378" t="str">
        <f ca="1">IF(Table_NFI[[#This Row],[Pcode]]="","",OFFSET(CampList[Priority],MATCH(Table_NFI[[#This Row],[Pcode]],CampList[CP_Pcode],0)-1,0,1,1))</f>
        <v/>
      </c>
      <c r="AS1040" s="377" t="str">
        <f>IFERROR(Table_NFI[[#This Row],[Kitchen Set]]/VLOOKUP(Table_NFI[[#This Row],[Camp Name]],CL,4,0),"")</f>
        <v/>
      </c>
      <c r="AT1040" s="577"/>
      <c r="AU1040" s="580"/>
    </row>
    <row r="1041" spans="1:47" x14ac:dyDescent="0.25">
      <c r="A1041" s="381" t="str">
        <f t="shared" si="16"/>
        <v/>
      </c>
      <c r="B1041" s="571"/>
      <c r="C1041" s="572"/>
      <c r="D1041" s="572"/>
      <c r="E1041" s="572"/>
      <c r="F1041" s="374"/>
      <c r="G1041" s="374"/>
      <c r="H1041" s="375"/>
      <c r="I1041" s="375"/>
      <c r="J1041" s="375"/>
      <c r="K1041" s="375"/>
      <c r="L1041" s="376"/>
      <c r="M1041" s="376"/>
      <c r="N1041" s="376"/>
      <c r="O1041" s="376"/>
      <c r="P1041" s="378"/>
      <c r="Q1041" s="378"/>
      <c r="R1041" s="378"/>
      <c r="S1041" s="378"/>
      <c r="T1041" s="378"/>
      <c r="U1041" s="378"/>
      <c r="V1041" s="533"/>
      <c r="W1041" s="418"/>
      <c r="X1041" s="418"/>
      <c r="Y1041" s="378">
        <f>IF(NFI_Expiration=1,IF($A1041&lt;VLOOKUP(H$5,NFI,5,0),1,0)*Table_NFI[[#This Row],[Hygiene Kit]],Table_NFI[Hygiene Kit])</f>
        <v>0</v>
      </c>
      <c r="Z1041" s="378">
        <f>IF(NFI_Expiration=1,IF($A1041&lt;VLOOKUP(I$5,NFI,5,0),1,0)*Table_NFI[[#This Row],[NFI Core Kit]],Table_NFI[NFI Core Kit])</f>
        <v>0</v>
      </c>
      <c r="AA1041" s="378">
        <f>IF(NFI_Expiration=1,IF($A1041&lt;VLOOKUP(J$5,NFI,5,0),1,0)*Table_NFI[[#This Row],[Sanitary Kit]],Table_NFI[Sanitary Kit])</f>
        <v>0</v>
      </c>
      <c r="AB1041" s="378">
        <f>IF(NFI_Expiration=1,IF($A1041&lt;VLOOKUP(K$5,NFI,5,0),1,0)*Table_NFI[[#This Row],[Mosquito net]],Table_NFI[Mosquito net])</f>
        <v>0</v>
      </c>
      <c r="AC1041" s="378">
        <f>IF(NFI_Expiration=1,IF($A1041&lt;VLOOKUP(L$5,NFI,5,0),1,0)*Table_NFI[[#This Row],[Tarpaulin]],Table_NFI[[#This Row],[Tarpaulin]])</f>
        <v>0</v>
      </c>
      <c r="AD1041" s="378">
        <f>IF(NFI_Expiration=1,IF($A1041&lt;VLOOKUP(M$5,NFI,5,0),1,0)*Table_NFI[[#This Row],[Blanket]],Table_NFI[[#This Row],[Blanket]])</f>
        <v>0</v>
      </c>
      <c r="AE1041" s="378">
        <f>IF(NFI_Expiration=1,IF($A1041&lt;VLOOKUP(N$5,NFI,5,0),1,0)*Table_NFI[[#This Row],[Kitchen Set]],Table_NFI[Kitchen Set])</f>
        <v>0</v>
      </c>
      <c r="AF1041" s="378">
        <f>IF(NFI_Expiration=1,IF($A1041&lt;VLOOKUP(O$5,NFI,5,0),1,0)*Table_NFI[[#This Row],[Clothes Kit]],Table_NFI[Clothes Kit])</f>
        <v>0</v>
      </c>
      <c r="AG1041" s="378">
        <f>IF(NFI_Expiration=1,IF($A1041&lt;VLOOKUP(P$5,NFI,5,0),1,0)*Table_NFI[[#This Row],[Plastic Bucket]],Table_NFI[Plastic Bucket])</f>
        <v>0</v>
      </c>
      <c r="AH1041" s="378">
        <f>IF(NFI_Expiration=1,IF($A1041&lt;VLOOKUP(Q$5,NFI,5,0),1,0)*Table_NFI[[#This Row],[Plastic Mat]],Table_NFI[Plastic Mat])*IF(Table_NFI[[#This Row],[Distribution Date]]&gt;"2014-04-01",1,2.5)</f>
        <v>0</v>
      </c>
      <c r="AI1041" s="378">
        <f>IF(NFI_Expiration=1,IF($A1041&lt;VLOOKUP(R$5,NFI,5,0),1,0)*Table_NFI[[#This Row],[Winter Clothes Adult]],Table_NFI[Winter Clothes Adult])</f>
        <v>0</v>
      </c>
      <c r="AJ1041" s="378">
        <f>IF(NFI_Expiration=1,IF($A1041&lt;VLOOKUP(S$5,NFI,5,0),1,0)*Table_NFI[[#This Row],[Winter Clothes Children]],Table_NFI[Winter Clothes Children])</f>
        <v>0</v>
      </c>
      <c r="AK1041" s="378">
        <f>IF(NFI_Expiration=1,IF($A1041&lt;VLOOKUP(T$5,NFI,5,0),1,0)*Table_NFI[[#This Row],[Winter Items Other]],Table_NFI[Winter Items Other])</f>
        <v>0</v>
      </c>
      <c r="AL1041" s="378">
        <f>IF(NFI_Expiration=1,IF($A1041&lt;VLOOKUP(M$5,NFI,5,0),1,0)*Table_NFI[[#This Row],[Winter Blanket]],Table_NFI[[#This Row],[Winter Blanket]])</f>
        <v>0</v>
      </c>
      <c r="AM1041" s="378">
        <f>IF(Table_NFI[[#This Row],[Winter Clothes Adult]]+Table_NFI[[#This Row],[Winter Clothes Children]]+Table_NFI[[#This Row],[Winter Items Other]]+Table_NFI[[#This Row],[Winter Blanket]]&gt;0,1,0)</f>
        <v>0</v>
      </c>
      <c r="AN1041" s="418">
        <f>IF(NFI_Expiration=1,IF($A1041&lt;VLOOKUP(V$5,NFI,5,0),1,0)*Table_NFI[[#This Row],[Jerry Can]],Table_NFI[Jerry Can])</f>
        <v>0</v>
      </c>
      <c r="AO1041" s="579" t="str">
        <f>IFERROR(VLOOKUP(Table_NFI[[#This Row],[Camp Name]],CL,2,0),"")</f>
        <v/>
      </c>
      <c r="AP1041" s="574" t="str">
        <f ca="1">IF(Table_NFI[[#This Row],[Pcode]]="","",IF(OFFSET(CampList[Opening Date],MATCH(Table_NFI[[#This Row],[Pcode]],CampList[CP_Pcode],0)-1,0,1,1)&gt;=NFI_Monitor_Date,1,0))</f>
        <v/>
      </c>
      <c r="AQ1041" s="579" t="str">
        <f>IFERROR(VLOOKUP(Table_NFI[[#This Row],[Camp Name]],CL,3,0),"")</f>
        <v/>
      </c>
      <c r="AR1041" s="378" t="str">
        <f ca="1">IF(Table_NFI[[#This Row],[Pcode]]="","",OFFSET(CampList[Priority],MATCH(Table_NFI[[#This Row],[Pcode]],CampList[CP_Pcode],0)-1,0,1,1))</f>
        <v/>
      </c>
      <c r="AS1041" s="377" t="str">
        <f>IFERROR(Table_NFI[[#This Row],[Kitchen Set]]/VLOOKUP(Table_NFI[[#This Row],[Camp Name]],CL,4,0),"")</f>
        <v/>
      </c>
      <c r="AT1041" s="572"/>
      <c r="AU1041" s="592"/>
    </row>
    <row r="1042" spans="1:47" x14ac:dyDescent="0.25">
      <c r="A1042" s="381" t="str">
        <f t="shared" si="16"/>
        <v/>
      </c>
      <c r="B1042" s="571"/>
      <c r="C1042" s="572"/>
      <c r="D1042" s="572"/>
      <c r="E1042" s="572"/>
      <c r="F1042" s="374"/>
      <c r="G1042" s="374"/>
      <c r="H1042" s="375"/>
      <c r="I1042" s="375"/>
      <c r="J1042" s="375"/>
      <c r="K1042" s="375"/>
      <c r="L1042" s="376"/>
      <c r="M1042" s="376"/>
      <c r="N1042" s="376"/>
      <c r="O1042" s="376"/>
      <c r="P1042" s="378"/>
      <c r="Q1042" s="378"/>
      <c r="R1042" s="378"/>
      <c r="S1042" s="378"/>
      <c r="T1042" s="378"/>
      <c r="U1042" s="378"/>
      <c r="V1042" s="533"/>
      <c r="W1042" s="418"/>
      <c r="X1042" s="418"/>
      <c r="Y1042" s="378">
        <f>IF(NFI_Expiration=1,IF($A1042&lt;VLOOKUP(H$5,NFI,5,0),1,0)*Table_NFI[[#This Row],[Hygiene Kit]],Table_NFI[Hygiene Kit])</f>
        <v>0</v>
      </c>
      <c r="Z1042" s="378">
        <f>IF(NFI_Expiration=1,IF($A1042&lt;VLOOKUP(I$5,NFI,5,0),1,0)*Table_NFI[[#This Row],[NFI Core Kit]],Table_NFI[NFI Core Kit])</f>
        <v>0</v>
      </c>
      <c r="AA1042" s="378">
        <f>IF(NFI_Expiration=1,IF($A1042&lt;VLOOKUP(J$5,NFI,5,0),1,0)*Table_NFI[[#This Row],[Sanitary Kit]],Table_NFI[Sanitary Kit])</f>
        <v>0</v>
      </c>
      <c r="AB1042" s="378">
        <f>IF(NFI_Expiration=1,IF($A1042&lt;VLOOKUP(K$5,NFI,5,0),1,0)*Table_NFI[[#This Row],[Mosquito net]],Table_NFI[Mosquito net])</f>
        <v>0</v>
      </c>
      <c r="AC1042" s="378">
        <f>IF(NFI_Expiration=1,IF($A1042&lt;VLOOKUP(L$5,NFI,5,0),1,0)*Table_NFI[[#This Row],[Tarpaulin]],Table_NFI[[#This Row],[Tarpaulin]])</f>
        <v>0</v>
      </c>
      <c r="AD1042" s="378">
        <f>IF(NFI_Expiration=1,IF($A1042&lt;VLOOKUP(M$5,NFI,5,0),1,0)*Table_NFI[[#This Row],[Blanket]],Table_NFI[[#This Row],[Blanket]])</f>
        <v>0</v>
      </c>
      <c r="AE1042" s="378">
        <f>IF(NFI_Expiration=1,IF($A1042&lt;VLOOKUP(N$5,NFI,5,0),1,0)*Table_NFI[[#This Row],[Kitchen Set]],Table_NFI[Kitchen Set])</f>
        <v>0</v>
      </c>
      <c r="AF1042" s="378">
        <f>IF(NFI_Expiration=1,IF($A1042&lt;VLOOKUP(O$5,NFI,5,0),1,0)*Table_NFI[[#This Row],[Clothes Kit]],Table_NFI[Clothes Kit])</f>
        <v>0</v>
      </c>
      <c r="AG1042" s="378">
        <f>IF(NFI_Expiration=1,IF($A1042&lt;VLOOKUP(P$5,NFI,5,0),1,0)*Table_NFI[[#This Row],[Plastic Bucket]],Table_NFI[Plastic Bucket])</f>
        <v>0</v>
      </c>
      <c r="AH1042" s="378">
        <f>IF(NFI_Expiration=1,IF($A1042&lt;VLOOKUP(Q$5,NFI,5,0),1,0)*Table_NFI[[#This Row],[Plastic Mat]],Table_NFI[Plastic Mat])*IF(Table_NFI[[#This Row],[Distribution Date]]&gt;"2014-04-01",1,2.5)</f>
        <v>0</v>
      </c>
      <c r="AI1042" s="378">
        <f>IF(NFI_Expiration=1,IF($A1042&lt;VLOOKUP(R$5,NFI,5,0),1,0)*Table_NFI[[#This Row],[Winter Clothes Adult]],Table_NFI[Winter Clothes Adult])</f>
        <v>0</v>
      </c>
      <c r="AJ1042" s="378">
        <f>IF(NFI_Expiration=1,IF($A1042&lt;VLOOKUP(S$5,NFI,5,0),1,0)*Table_NFI[[#This Row],[Winter Clothes Children]],Table_NFI[Winter Clothes Children])</f>
        <v>0</v>
      </c>
      <c r="AK1042" s="378">
        <f>IF(NFI_Expiration=1,IF($A1042&lt;VLOOKUP(T$5,NFI,5,0),1,0)*Table_NFI[[#This Row],[Winter Items Other]],Table_NFI[Winter Items Other])</f>
        <v>0</v>
      </c>
      <c r="AL1042" s="378">
        <f>IF(NFI_Expiration=1,IF($A1042&lt;VLOOKUP(M$5,NFI,5,0),1,0)*Table_NFI[[#This Row],[Winter Blanket]],Table_NFI[[#This Row],[Winter Blanket]])</f>
        <v>0</v>
      </c>
      <c r="AM1042" s="378">
        <f>IF(Table_NFI[[#This Row],[Winter Clothes Adult]]+Table_NFI[[#This Row],[Winter Clothes Children]]+Table_NFI[[#This Row],[Winter Items Other]]+Table_NFI[[#This Row],[Winter Blanket]]&gt;0,1,0)</f>
        <v>0</v>
      </c>
      <c r="AN1042" s="418">
        <f>IF(NFI_Expiration=1,IF($A1042&lt;VLOOKUP(V$5,NFI,5,0),1,0)*Table_NFI[[#This Row],[Jerry Can]],Table_NFI[Jerry Can])</f>
        <v>0</v>
      </c>
      <c r="AO1042" s="579" t="str">
        <f>IFERROR(VLOOKUP(Table_NFI[[#This Row],[Camp Name]],CL,2,0),"")</f>
        <v/>
      </c>
      <c r="AP1042" s="574" t="str">
        <f ca="1">IF(Table_NFI[[#This Row],[Pcode]]="","",IF(OFFSET(CampList[Opening Date],MATCH(Table_NFI[[#This Row],[Pcode]],CampList[CP_Pcode],0)-1,0,1,1)&gt;=NFI_Monitor_Date,1,0))</f>
        <v/>
      </c>
      <c r="AQ1042" s="579" t="str">
        <f>IFERROR(VLOOKUP(Table_NFI[[#This Row],[Camp Name]],CL,3,0),"")</f>
        <v/>
      </c>
      <c r="AR1042" s="378" t="str">
        <f ca="1">IF(Table_NFI[[#This Row],[Pcode]]="","",OFFSET(CampList[Priority],MATCH(Table_NFI[[#This Row],[Pcode]],CampList[CP_Pcode],0)-1,0,1,1))</f>
        <v/>
      </c>
      <c r="AS1042" s="377" t="str">
        <f>IFERROR(Table_NFI[[#This Row],[Kitchen Set]]/VLOOKUP(Table_NFI[[#This Row],[Camp Name]],CL,4,0),"")</f>
        <v/>
      </c>
      <c r="AT1042" s="572"/>
      <c r="AU1042" s="575"/>
    </row>
    <row r="1043" spans="1:47" x14ac:dyDescent="0.25">
      <c r="A1043" s="381" t="str">
        <f t="shared" si="16"/>
        <v/>
      </c>
      <c r="B1043" s="571"/>
      <c r="C1043" s="577"/>
      <c r="D1043" s="577"/>
      <c r="E1043" s="577"/>
      <c r="F1043" s="577"/>
      <c r="G1043" s="577"/>
      <c r="H1043" s="376"/>
      <c r="I1043" s="376"/>
      <c r="J1043" s="376"/>
      <c r="K1043" s="376"/>
      <c r="L1043" s="376"/>
      <c r="M1043" s="376"/>
      <c r="N1043" s="376"/>
      <c r="O1043" s="376"/>
      <c r="P1043" s="378"/>
      <c r="Q1043" s="378"/>
      <c r="R1043" s="378"/>
      <c r="S1043" s="378"/>
      <c r="T1043" s="378"/>
      <c r="U1043" s="378"/>
      <c r="V1043" s="533"/>
      <c r="W1043" s="418"/>
      <c r="X1043" s="418"/>
      <c r="Y1043" s="378">
        <f>IF(NFI_Expiration=1,IF($A1043&lt;VLOOKUP(H$5,NFI,5,0),1,0)*Table_NFI[[#This Row],[Hygiene Kit]],Table_NFI[Hygiene Kit])</f>
        <v>0</v>
      </c>
      <c r="Z1043" s="378">
        <f>IF(NFI_Expiration=1,IF($A1043&lt;VLOOKUP(I$5,NFI,5,0),1,0)*Table_NFI[[#This Row],[NFI Core Kit]],Table_NFI[NFI Core Kit])</f>
        <v>0</v>
      </c>
      <c r="AA1043" s="378">
        <f>IF(NFI_Expiration=1,IF($A1043&lt;VLOOKUP(J$5,NFI,5,0),1,0)*Table_NFI[[#This Row],[Sanitary Kit]],Table_NFI[Sanitary Kit])</f>
        <v>0</v>
      </c>
      <c r="AB1043" s="378">
        <f>IF(NFI_Expiration=1,IF($A1043&lt;VLOOKUP(K$5,NFI,5,0),1,0)*Table_NFI[[#This Row],[Mosquito net]],Table_NFI[Mosquito net])</f>
        <v>0</v>
      </c>
      <c r="AC1043" s="378">
        <f>IF(NFI_Expiration=1,IF($A1043&lt;VLOOKUP(L$5,NFI,5,0),1,0)*Table_NFI[[#This Row],[Tarpaulin]],Table_NFI[[#This Row],[Tarpaulin]])</f>
        <v>0</v>
      </c>
      <c r="AD1043" s="378">
        <f>IF(NFI_Expiration=1,IF($A1043&lt;VLOOKUP(M$5,NFI,5,0),1,0)*Table_NFI[[#This Row],[Blanket]],Table_NFI[[#This Row],[Blanket]])</f>
        <v>0</v>
      </c>
      <c r="AE1043" s="378">
        <f>IF(NFI_Expiration=1,IF($A1043&lt;VLOOKUP(N$5,NFI,5,0),1,0)*Table_NFI[[#This Row],[Kitchen Set]],Table_NFI[Kitchen Set])</f>
        <v>0</v>
      </c>
      <c r="AF1043" s="378">
        <f>IF(NFI_Expiration=1,IF($A1043&lt;VLOOKUP(O$5,NFI,5,0),1,0)*Table_NFI[[#This Row],[Clothes Kit]],Table_NFI[Clothes Kit])</f>
        <v>0</v>
      </c>
      <c r="AG1043" s="378">
        <f>IF(NFI_Expiration=1,IF($A1043&lt;VLOOKUP(P$5,NFI,5,0),1,0)*Table_NFI[[#This Row],[Plastic Bucket]],Table_NFI[Plastic Bucket])</f>
        <v>0</v>
      </c>
      <c r="AH1043" s="378">
        <f>IF(NFI_Expiration=1,IF($A1043&lt;VLOOKUP(Q$5,NFI,5,0),1,0)*Table_NFI[[#This Row],[Plastic Mat]],Table_NFI[Plastic Mat])*IF(Table_NFI[[#This Row],[Distribution Date]]&gt;"2014-04-01",1,2.5)</f>
        <v>0</v>
      </c>
      <c r="AI1043" s="378">
        <f>IF(NFI_Expiration=1,IF($A1043&lt;VLOOKUP(R$5,NFI,5,0),1,0)*Table_NFI[[#This Row],[Winter Clothes Adult]],Table_NFI[Winter Clothes Adult])</f>
        <v>0</v>
      </c>
      <c r="AJ1043" s="378">
        <f>IF(NFI_Expiration=1,IF($A1043&lt;VLOOKUP(S$5,NFI,5,0),1,0)*Table_NFI[[#This Row],[Winter Clothes Children]],Table_NFI[Winter Clothes Children])</f>
        <v>0</v>
      </c>
      <c r="AK1043" s="378">
        <f>IF(NFI_Expiration=1,IF($A1043&lt;VLOOKUP(T$5,NFI,5,0),1,0)*Table_NFI[[#This Row],[Winter Items Other]],Table_NFI[Winter Items Other])</f>
        <v>0</v>
      </c>
      <c r="AL1043" s="378">
        <f>IF(NFI_Expiration=1,IF($A1043&lt;VLOOKUP(M$5,NFI,5,0),1,0)*Table_NFI[[#This Row],[Winter Blanket]],Table_NFI[[#This Row],[Winter Blanket]])</f>
        <v>0</v>
      </c>
      <c r="AM1043" s="378">
        <f>IF(Table_NFI[[#This Row],[Winter Clothes Adult]]+Table_NFI[[#This Row],[Winter Clothes Children]]+Table_NFI[[#This Row],[Winter Items Other]]+Table_NFI[[#This Row],[Winter Blanket]]&gt;0,1,0)</f>
        <v>0</v>
      </c>
      <c r="AN1043" s="418">
        <f>IF(NFI_Expiration=1,IF($A1043&lt;VLOOKUP(V$5,NFI,5,0),1,0)*Table_NFI[[#This Row],[Jerry Can]],Table_NFI[Jerry Can])</f>
        <v>0</v>
      </c>
      <c r="AO1043" s="579" t="str">
        <f>IFERROR(VLOOKUP(Table_NFI[[#This Row],[Camp Name]],CL,2,0),"")</f>
        <v/>
      </c>
      <c r="AP1043" s="574" t="str">
        <f ca="1">IF(Table_NFI[[#This Row],[Pcode]]="","",IF(OFFSET(CampList[Opening Date],MATCH(Table_NFI[[#This Row],[Pcode]],CampList[CP_Pcode],0)-1,0,1,1)&gt;=NFI_Monitor_Date,1,0))</f>
        <v/>
      </c>
      <c r="AQ1043" s="579" t="str">
        <f>IFERROR(VLOOKUP(Table_NFI[[#This Row],[Camp Name]],CL,3,0),"")</f>
        <v/>
      </c>
      <c r="AR1043" s="378" t="str">
        <f ca="1">IF(Table_NFI[[#This Row],[Pcode]]="","",OFFSET(CampList[Priority],MATCH(Table_NFI[[#This Row],[Pcode]],CampList[CP_Pcode],0)-1,0,1,1))</f>
        <v/>
      </c>
      <c r="AS1043" s="377" t="str">
        <f>IFERROR(Table_NFI[[#This Row],[Kitchen Set]]/VLOOKUP(Table_NFI[[#This Row],[Camp Name]],CL,4,0),"")</f>
        <v/>
      </c>
      <c r="AT1043" s="572"/>
      <c r="AU1043" s="575"/>
    </row>
    <row r="1044" spans="1:47" x14ac:dyDescent="0.25">
      <c r="A1044" s="381" t="str">
        <f t="shared" si="16"/>
        <v/>
      </c>
      <c r="B1044" s="571"/>
      <c r="C1044" s="572"/>
      <c r="D1044" s="572"/>
      <c r="E1044" s="572"/>
      <c r="F1044" s="572"/>
      <c r="G1044" s="572"/>
      <c r="H1044" s="375"/>
      <c r="I1044" s="375"/>
      <c r="J1044" s="375"/>
      <c r="K1044" s="375"/>
      <c r="L1044" s="376"/>
      <c r="M1044" s="376"/>
      <c r="N1044" s="376"/>
      <c r="O1044" s="376"/>
      <c r="P1044" s="378"/>
      <c r="Q1044" s="378"/>
      <c r="R1044" s="378"/>
      <c r="S1044" s="378"/>
      <c r="T1044" s="378"/>
      <c r="U1044" s="378"/>
      <c r="V1044" s="533"/>
      <c r="W1044" s="418"/>
      <c r="X1044" s="418"/>
      <c r="Y1044" s="378">
        <f>IF(NFI_Expiration=1,IF($A1044&lt;VLOOKUP(H$5,NFI,5,0),1,0)*Table_NFI[[#This Row],[Hygiene Kit]],Table_NFI[Hygiene Kit])</f>
        <v>0</v>
      </c>
      <c r="Z1044" s="378">
        <f>IF(NFI_Expiration=1,IF($A1044&lt;VLOOKUP(I$5,NFI,5,0),1,0)*Table_NFI[[#This Row],[NFI Core Kit]],Table_NFI[NFI Core Kit])</f>
        <v>0</v>
      </c>
      <c r="AA1044" s="378">
        <f>IF(NFI_Expiration=1,IF($A1044&lt;VLOOKUP(J$5,NFI,5,0),1,0)*Table_NFI[[#This Row],[Sanitary Kit]],Table_NFI[Sanitary Kit])</f>
        <v>0</v>
      </c>
      <c r="AB1044" s="378">
        <f>IF(NFI_Expiration=1,IF($A1044&lt;VLOOKUP(K$5,NFI,5,0),1,0)*Table_NFI[[#This Row],[Mosquito net]],Table_NFI[Mosquito net])</f>
        <v>0</v>
      </c>
      <c r="AC1044" s="378">
        <f>IF(NFI_Expiration=1,IF($A1044&lt;VLOOKUP(L$5,NFI,5,0),1,0)*Table_NFI[[#This Row],[Tarpaulin]],Table_NFI[[#This Row],[Tarpaulin]])</f>
        <v>0</v>
      </c>
      <c r="AD1044" s="378">
        <f>IF(NFI_Expiration=1,IF($A1044&lt;VLOOKUP(M$5,NFI,5,0),1,0)*Table_NFI[[#This Row],[Blanket]],Table_NFI[[#This Row],[Blanket]])</f>
        <v>0</v>
      </c>
      <c r="AE1044" s="378">
        <f>IF(NFI_Expiration=1,IF($A1044&lt;VLOOKUP(N$5,NFI,5,0),1,0)*Table_NFI[[#This Row],[Kitchen Set]],Table_NFI[Kitchen Set])</f>
        <v>0</v>
      </c>
      <c r="AF1044" s="378">
        <f>IF(NFI_Expiration=1,IF($A1044&lt;VLOOKUP(O$5,NFI,5,0),1,0)*Table_NFI[[#This Row],[Clothes Kit]],Table_NFI[Clothes Kit])</f>
        <v>0</v>
      </c>
      <c r="AG1044" s="378">
        <f>IF(NFI_Expiration=1,IF($A1044&lt;VLOOKUP(P$5,NFI,5,0),1,0)*Table_NFI[[#This Row],[Plastic Bucket]],Table_NFI[Plastic Bucket])</f>
        <v>0</v>
      </c>
      <c r="AH1044" s="378">
        <f>IF(NFI_Expiration=1,IF($A1044&lt;VLOOKUP(Q$5,NFI,5,0),1,0)*Table_NFI[[#This Row],[Plastic Mat]],Table_NFI[Plastic Mat])*IF(Table_NFI[[#This Row],[Distribution Date]]&gt;"2014-04-01",1,2.5)</f>
        <v>0</v>
      </c>
      <c r="AI1044" s="378">
        <f>IF(NFI_Expiration=1,IF($A1044&lt;VLOOKUP(R$5,NFI,5,0),1,0)*Table_NFI[[#This Row],[Winter Clothes Adult]],Table_NFI[Winter Clothes Adult])</f>
        <v>0</v>
      </c>
      <c r="AJ1044" s="378">
        <f>IF(NFI_Expiration=1,IF($A1044&lt;VLOOKUP(S$5,NFI,5,0),1,0)*Table_NFI[[#This Row],[Winter Clothes Children]],Table_NFI[Winter Clothes Children])</f>
        <v>0</v>
      </c>
      <c r="AK1044" s="378">
        <f>IF(NFI_Expiration=1,IF($A1044&lt;VLOOKUP(T$5,NFI,5,0),1,0)*Table_NFI[[#This Row],[Winter Items Other]],Table_NFI[Winter Items Other])</f>
        <v>0</v>
      </c>
      <c r="AL1044" s="378">
        <f>IF(NFI_Expiration=1,IF($A1044&lt;VLOOKUP(M$5,NFI,5,0),1,0)*Table_NFI[[#This Row],[Winter Blanket]],Table_NFI[[#This Row],[Winter Blanket]])</f>
        <v>0</v>
      </c>
      <c r="AM1044" s="378">
        <f>IF(Table_NFI[[#This Row],[Winter Clothes Adult]]+Table_NFI[[#This Row],[Winter Clothes Children]]+Table_NFI[[#This Row],[Winter Items Other]]+Table_NFI[[#This Row],[Winter Blanket]]&gt;0,1,0)</f>
        <v>0</v>
      </c>
      <c r="AN1044" s="418">
        <f>IF(NFI_Expiration=1,IF($A1044&lt;VLOOKUP(V$5,NFI,5,0),1,0)*Table_NFI[[#This Row],[Jerry Can]],Table_NFI[Jerry Can])</f>
        <v>0</v>
      </c>
      <c r="AO1044" s="579" t="str">
        <f>IFERROR(VLOOKUP(Table_NFI[[#This Row],[Camp Name]],CL,2,0),"")</f>
        <v/>
      </c>
      <c r="AP1044" s="574" t="str">
        <f ca="1">IF(Table_NFI[[#This Row],[Pcode]]="","",IF(OFFSET(CampList[Opening Date],MATCH(Table_NFI[[#This Row],[Pcode]],CampList[CP_Pcode],0)-1,0,1,1)&gt;=NFI_Monitor_Date,1,0))</f>
        <v/>
      </c>
      <c r="AQ1044" s="579" t="str">
        <f>IFERROR(VLOOKUP(Table_NFI[[#This Row],[Camp Name]],CL,3,0),"")</f>
        <v/>
      </c>
      <c r="AR1044" s="378" t="str">
        <f ca="1">IF(Table_NFI[[#This Row],[Pcode]]="","",OFFSET(CampList[Priority],MATCH(Table_NFI[[#This Row],[Pcode]],CampList[CP_Pcode],0)-1,0,1,1))</f>
        <v/>
      </c>
      <c r="AS1044" s="377" t="str">
        <f>IFERROR(Table_NFI[[#This Row],[Kitchen Set]]/VLOOKUP(Table_NFI[[#This Row],[Camp Name]],CL,4,0),"")</f>
        <v/>
      </c>
      <c r="AT1044" s="572"/>
      <c r="AU1044" s="575"/>
    </row>
    <row r="1045" spans="1:47" x14ac:dyDescent="0.25">
      <c r="A1045" s="381" t="str">
        <f t="shared" si="16"/>
        <v/>
      </c>
      <c r="B1045" s="571"/>
      <c r="C1045" s="572"/>
      <c r="D1045" s="572"/>
      <c r="E1045" s="572"/>
      <c r="F1045" s="572"/>
      <c r="G1045" s="572"/>
      <c r="H1045" s="375"/>
      <c r="I1045" s="378"/>
      <c r="J1045" s="375"/>
      <c r="K1045" s="375"/>
      <c r="L1045" s="376"/>
      <c r="M1045" s="376"/>
      <c r="N1045" s="376"/>
      <c r="O1045" s="376"/>
      <c r="P1045" s="378"/>
      <c r="Q1045" s="378"/>
      <c r="R1045" s="378"/>
      <c r="S1045" s="378"/>
      <c r="T1045" s="378"/>
      <c r="U1045" s="378"/>
      <c r="V1045" s="533"/>
      <c r="W1045" s="418"/>
      <c r="X1045" s="418"/>
      <c r="Y1045" s="378">
        <f>IF(NFI_Expiration=1,IF($A1045&lt;VLOOKUP(H$5,NFI,5,0),1,0)*Table_NFI[[#This Row],[Hygiene Kit]],Table_NFI[Hygiene Kit])</f>
        <v>0</v>
      </c>
      <c r="Z1045" s="378">
        <f>IF(NFI_Expiration=1,IF($A1045&lt;VLOOKUP(I$5,NFI,5,0),1,0)*Table_NFI[[#This Row],[NFI Core Kit]],Table_NFI[NFI Core Kit])</f>
        <v>0</v>
      </c>
      <c r="AA1045" s="378">
        <f>IF(NFI_Expiration=1,IF($A1045&lt;VLOOKUP(J$5,NFI,5,0),1,0)*Table_NFI[[#This Row],[Sanitary Kit]],Table_NFI[Sanitary Kit])</f>
        <v>0</v>
      </c>
      <c r="AB1045" s="378">
        <f>IF(NFI_Expiration=1,IF($A1045&lt;VLOOKUP(K$5,NFI,5,0),1,0)*Table_NFI[[#This Row],[Mosquito net]],Table_NFI[Mosquito net])</f>
        <v>0</v>
      </c>
      <c r="AC1045" s="378">
        <f>IF(NFI_Expiration=1,IF($A1045&lt;VLOOKUP(L$5,NFI,5,0),1,0)*Table_NFI[[#This Row],[Tarpaulin]],Table_NFI[[#This Row],[Tarpaulin]])</f>
        <v>0</v>
      </c>
      <c r="AD1045" s="378">
        <f>IF(NFI_Expiration=1,IF($A1045&lt;VLOOKUP(M$5,NFI,5,0),1,0)*Table_NFI[[#This Row],[Blanket]],Table_NFI[[#This Row],[Blanket]])</f>
        <v>0</v>
      </c>
      <c r="AE1045" s="378">
        <f>IF(NFI_Expiration=1,IF($A1045&lt;VLOOKUP(N$5,NFI,5,0),1,0)*Table_NFI[[#This Row],[Kitchen Set]],Table_NFI[Kitchen Set])</f>
        <v>0</v>
      </c>
      <c r="AF1045" s="378">
        <f>IF(NFI_Expiration=1,IF($A1045&lt;VLOOKUP(O$5,NFI,5,0),1,0)*Table_NFI[[#This Row],[Clothes Kit]],Table_NFI[Clothes Kit])</f>
        <v>0</v>
      </c>
      <c r="AG1045" s="378">
        <f>IF(NFI_Expiration=1,IF($A1045&lt;VLOOKUP(P$5,NFI,5,0),1,0)*Table_NFI[[#This Row],[Plastic Bucket]],Table_NFI[Plastic Bucket])</f>
        <v>0</v>
      </c>
      <c r="AH1045" s="378">
        <f>IF(NFI_Expiration=1,IF($A1045&lt;VLOOKUP(Q$5,NFI,5,0),1,0)*Table_NFI[[#This Row],[Plastic Mat]],Table_NFI[Plastic Mat])*IF(Table_NFI[[#This Row],[Distribution Date]]&gt;"2014-04-01",1,2.5)</f>
        <v>0</v>
      </c>
      <c r="AI1045" s="378">
        <f>IF(NFI_Expiration=1,IF($A1045&lt;VLOOKUP(R$5,NFI,5,0),1,0)*Table_NFI[[#This Row],[Winter Clothes Adult]],Table_NFI[Winter Clothes Adult])</f>
        <v>0</v>
      </c>
      <c r="AJ1045" s="378">
        <f>IF(NFI_Expiration=1,IF($A1045&lt;VLOOKUP(S$5,NFI,5,0),1,0)*Table_NFI[[#This Row],[Winter Clothes Children]],Table_NFI[Winter Clothes Children])</f>
        <v>0</v>
      </c>
      <c r="AK1045" s="378">
        <f>IF(NFI_Expiration=1,IF($A1045&lt;VLOOKUP(T$5,NFI,5,0),1,0)*Table_NFI[[#This Row],[Winter Items Other]],Table_NFI[Winter Items Other])</f>
        <v>0</v>
      </c>
      <c r="AL1045" s="378">
        <f>IF(NFI_Expiration=1,IF($A1045&lt;VLOOKUP(M$5,NFI,5,0),1,0)*Table_NFI[[#This Row],[Winter Blanket]],Table_NFI[[#This Row],[Winter Blanket]])</f>
        <v>0</v>
      </c>
      <c r="AM1045" s="378">
        <f>IF(Table_NFI[[#This Row],[Winter Clothes Adult]]+Table_NFI[[#This Row],[Winter Clothes Children]]+Table_NFI[[#This Row],[Winter Items Other]]+Table_NFI[[#This Row],[Winter Blanket]]&gt;0,1,0)</f>
        <v>0</v>
      </c>
      <c r="AN1045" s="418">
        <f>IF(NFI_Expiration=1,IF($A1045&lt;VLOOKUP(V$5,NFI,5,0),1,0)*Table_NFI[[#This Row],[Jerry Can]],Table_NFI[Jerry Can])</f>
        <v>0</v>
      </c>
      <c r="AO1045" s="579" t="str">
        <f>IFERROR(VLOOKUP(Table_NFI[[#This Row],[Camp Name]],CL,2,0),"")</f>
        <v/>
      </c>
      <c r="AP1045" s="574" t="str">
        <f ca="1">IF(Table_NFI[[#This Row],[Pcode]]="","",IF(OFFSET(CampList[Opening Date],MATCH(Table_NFI[[#This Row],[Pcode]],CampList[CP_Pcode],0)-1,0,1,1)&gt;=NFI_Monitor_Date,1,0))</f>
        <v/>
      </c>
      <c r="AQ1045" s="579" t="str">
        <f>IFERROR(VLOOKUP(Table_NFI[[#This Row],[Camp Name]],CL,3,0),"")</f>
        <v/>
      </c>
      <c r="AR1045" s="378" t="str">
        <f ca="1">IF(Table_NFI[[#This Row],[Pcode]]="","",OFFSET(CampList[Priority],MATCH(Table_NFI[[#This Row],[Pcode]],CampList[CP_Pcode],0)-1,0,1,1))</f>
        <v/>
      </c>
      <c r="AS1045" s="377" t="str">
        <f>IFERROR(Table_NFI[[#This Row],[Kitchen Set]]/VLOOKUP(Table_NFI[[#This Row],[Camp Name]],CL,4,0),"")</f>
        <v/>
      </c>
      <c r="AT1045" s="577"/>
      <c r="AU1045" s="592"/>
    </row>
    <row r="1046" spans="1:47" x14ac:dyDescent="0.25">
      <c r="A1046" s="381" t="str">
        <f t="shared" si="16"/>
        <v/>
      </c>
      <c r="B1046" s="571"/>
      <c r="C1046" s="572"/>
      <c r="D1046" s="572"/>
      <c r="E1046" s="572"/>
      <c r="F1046" s="572"/>
      <c r="G1046" s="572"/>
      <c r="H1046" s="375"/>
      <c r="I1046" s="378"/>
      <c r="J1046" s="375"/>
      <c r="K1046" s="375"/>
      <c r="L1046" s="376"/>
      <c r="M1046" s="376"/>
      <c r="N1046" s="376"/>
      <c r="O1046" s="376"/>
      <c r="P1046" s="378"/>
      <c r="Q1046" s="378"/>
      <c r="R1046" s="378"/>
      <c r="S1046" s="378"/>
      <c r="T1046" s="378"/>
      <c r="U1046" s="378"/>
      <c r="V1046" s="533"/>
      <c r="W1046" s="418"/>
      <c r="X1046" s="418"/>
      <c r="Y1046" s="378">
        <f>IF(NFI_Expiration=1,IF($A1046&lt;VLOOKUP(H$5,NFI,5,0),1,0)*Table_NFI[[#This Row],[Hygiene Kit]],Table_NFI[Hygiene Kit])</f>
        <v>0</v>
      </c>
      <c r="Z1046" s="378">
        <f>IF(NFI_Expiration=1,IF($A1046&lt;VLOOKUP(I$5,NFI,5,0),1,0)*Table_NFI[[#This Row],[NFI Core Kit]],Table_NFI[NFI Core Kit])</f>
        <v>0</v>
      </c>
      <c r="AA1046" s="378">
        <f>IF(NFI_Expiration=1,IF($A1046&lt;VLOOKUP(J$5,NFI,5,0),1,0)*Table_NFI[[#This Row],[Sanitary Kit]],Table_NFI[Sanitary Kit])</f>
        <v>0</v>
      </c>
      <c r="AB1046" s="378">
        <f>IF(NFI_Expiration=1,IF($A1046&lt;VLOOKUP(K$5,NFI,5,0),1,0)*Table_NFI[[#This Row],[Mosquito net]],Table_NFI[Mosquito net])</f>
        <v>0</v>
      </c>
      <c r="AC1046" s="378">
        <f>IF(NFI_Expiration=1,IF($A1046&lt;VLOOKUP(L$5,NFI,5,0),1,0)*Table_NFI[[#This Row],[Tarpaulin]],Table_NFI[[#This Row],[Tarpaulin]])</f>
        <v>0</v>
      </c>
      <c r="AD1046" s="378">
        <f>IF(NFI_Expiration=1,IF($A1046&lt;VLOOKUP(M$5,NFI,5,0),1,0)*Table_NFI[[#This Row],[Blanket]],Table_NFI[[#This Row],[Blanket]])</f>
        <v>0</v>
      </c>
      <c r="AE1046" s="378">
        <f>IF(NFI_Expiration=1,IF($A1046&lt;VLOOKUP(N$5,NFI,5,0),1,0)*Table_NFI[[#This Row],[Kitchen Set]],Table_NFI[Kitchen Set])</f>
        <v>0</v>
      </c>
      <c r="AF1046" s="378">
        <f>IF(NFI_Expiration=1,IF($A1046&lt;VLOOKUP(O$5,NFI,5,0),1,0)*Table_NFI[[#This Row],[Clothes Kit]],Table_NFI[Clothes Kit])</f>
        <v>0</v>
      </c>
      <c r="AG1046" s="378">
        <f>IF(NFI_Expiration=1,IF($A1046&lt;VLOOKUP(P$5,NFI,5,0),1,0)*Table_NFI[[#This Row],[Plastic Bucket]],Table_NFI[Plastic Bucket])</f>
        <v>0</v>
      </c>
      <c r="AH1046" s="378">
        <f>IF(NFI_Expiration=1,IF($A1046&lt;VLOOKUP(Q$5,NFI,5,0),1,0)*Table_NFI[[#This Row],[Plastic Mat]],Table_NFI[Plastic Mat])*IF(Table_NFI[[#This Row],[Distribution Date]]&gt;"2014-04-01",1,2.5)</f>
        <v>0</v>
      </c>
      <c r="AI1046" s="378">
        <f>IF(NFI_Expiration=1,IF($A1046&lt;VLOOKUP(R$5,NFI,5,0),1,0)*Table_NFI[[#This Row],[Winter Clothes Adult]],Table_NFI[Winter Clothes Adult])</f>
        <v>0</v>
      </c>
      <c r="AJ1046" s="378">
        <f>IF(NFI_Expiration=1,IF($A1046&lt;VLOOKUP(S$5,NFI,5,0),1,0)*Table_NFI[[#This Row],[Winter Clothes Children]],Table_NFI[Winter Clothes Children])</f>
        <v>0</v>
      </c>
      <c r="AK1046" s="378">
        <f>IF(NFI_Expiration=1,IF($A1046&lt;VLOOKUP(T$5,NFI,5,0),1,0)*Table_NFI[[#This Row],[Winter Items Other]],Table_NFI[Winter Items Other])</f>
        <v>0</v>
      </c>
      <c r="AL1046" s="378">
        <f>IF(NFI_Expiration=1,IF($A1046&lt;VLOOKUP(M$5,NFI,5,0),1,0)*Table_NFI[[#This Row],[Winter Blanket]],Table_NFI[[#This Row],[Winter Blanket]])</f>
        <v>0</v>
      </c>
      <c r="AM1046" s="378">
        <f>IF(Table_NFI[[#This Row],[Winter Clothes Adult]]+Table_NFI[[#This Row],[Winter Clothes Children]]+Table_NFI[[#This Row],[Winter Items Other]]+Table_NFI[[#This Row],[Winter Blanket]]&gt;0,1,0)</f>
        <v>0</v>
      </c>
      <c r="AN1046" s="418">
        <f>IF(NFI_Expiration=1,IF($A1046&lt;VLOOKUP(V$5,NFI,5,0),1,0)*Table_NFI[[#This Row],[Jerry Can]],Table_NFI[Jerry Can])</f>
        <v>0</v>
      </c>
      <c r="AO1046" s="579" t="str">
        <f>IFERROR(VLOOKUP(Table_NFI[[#This Row],[Camp Name]],CL,2,0),"")</f>
        <v/>
      </c>
      <c r="AP1046" s="574" t="str">
        <f ca="1">IF(Table_NFI[[#This Row],[Pcode]]="","",IF(OFFSET(CampList[Opening Date],MATCH(Table_NFI[[#This Row],[Pcode]],CampList[CP_Pcode],0)-1,0,1,1)&gt;=NFI_Monitor_Date,1,0))</f>
        <v/>
      </c>
      <c r="AQ1046" s="579" t="str">
        <f>IFERROR(VLOOKUP(Table_NFI[[#This Row],[Camp Name]],CL,3,0),"")</f>
        <v/>
      </c>
      <c r="AR1046" s="378" t="str">
        <f ca="1">IF(Table_NFI[[#This Row],[Pcode]]="","",OFFSET(CampList[Priority],MATCH(Table_NFI[[#This Row],[Pcode]],CampList[CP_Pcode],0)-1,0,1,1))</f>
        <v/>
      </c>
      <c r="AS1046" s="377" t="str">
        <f>IFERROR(Table_NFI[[#This Row],[Kitchen Set]]/VLOOKUP(Table_NFI[[#This Row],[Camp Name]],CL,4,0),"")</f>
        <v/>
      </c>
      <c r="AT1046" s="572"/>
      <c r="AU1046" s="592"/>
    </row>
    <row r="1047" spans="1:47" x14ac:dyDescent="0.25">
      <c r="A1047" s="381" t="str">
        <f t="shared" si="16"/>
        <v/>
      </c>
      <c r="B1047" s="571"/>
      <c r="C1047" s="572"/>
      <c r="D1047" s="572"/>
      <c r="E1047" s="572"/>
      <c r="F1047" s="572"/>
      <c r="G1047" s="572"/>
      <c r="H1047" s="375"/>
      <c r="I1047" s="375"/>
      <c r="J1047" s="375"/>
      <c r="K1047" s="375"/>
      <c r="L1047" s="376"/>
      <c r="M1047" s="376"/>
      <c r="N1047" s="376"/>
      <c r="O1047" s="376"/>
      <c r="P1047" s="378"/>
      <c r="Q1047" s="378"/>
      <c r="R1047" s="378"/>
      <c r="S1047" s="378"/>
      <c r="T1047" s="378"/>
      <c r="U1047" s="378"/>
      <c r="V1047" s="533"/>
      <c r="W1047" s="418"/>
      <c r="X1047" s="418"/>
      <c r="Y1047" s="378">
        <f>IF(NFI_Expiration=1,IF($A1047&lt;VLOOKUP(H$5,NFI,5,0),1,0)*Table_NFI[[#This Row],[Hygiene Kit]],Table_NFI[Hygiene Kit])</f>
        <v>0</v>
      </c>
      <c r="Z1047" s="378">
        <f>IF(NFI_Expiration=1,IF($A1047&lt;VLOOKUP(I$5,NFI,5,0),1,0)*Table_NFI[[#This Row],[NFI Core Kit]],Table_NFI[NFI Core Kit])</f>
        <v>0</v>
      </c>
      <c r="AA1047" s="378">
        <f>IF(NFI_Expiration=1,IF($A1047&lt;VLOOKUP(J$5,NFI,5,0),1,0)*Table_NFI[[#This Row],[Sanitary Kit]],Table_NFI[Sanitary Kit])</f>
        <v>0</v>
      </c>
      <c r="AB1047" s="378">
        <f>IF(NFI_Expiration=1,IF($A1047&lt;VLOOKUP(K$5,NFI,5,0),1,0)*Table_NFI[[#This Row],[Mosquito net]],Table_NFI[Mosquito net])</f>
        <v>0</v>
      </c>
      <c r="AC1047" s="378">
        <f>IF(NFI_Expiration=1,IF($A1047&lt;VLOOKUP(L$5,NFI,5,0),1,0)*Table_NFI[[#This Row],[Tarpaulin]],Table_NFI[[#This Row],[Tarpaulin]])</f>
        <v>0</v>
      </c>
      <c r="AD1047" s="378">
        <f>IF(NFI_Expiration=1,IF($A1047&lt;VLOOKUP(M$5,NFI,5,0),1,0)*Table_NFI[[#This Row],[Blanket]],Table_NFI[[#This Row],[Blanket]])</f>
        <v>0</v>
      </c>
      <c r="AE1047" s="378">
        <f>IF(NFI_Expiration=1,IF($A1047&lt;VLOOKUP(N$5,NFI,5,0),1,0)*Table_NFI[[#This Row],[Kitchen Set]],Table_NFI[Kitchen Set])</f>
        <v>0</v>
      </c>
      <c r="AF1047" s="378">
        <f>IF(NFI_Expiration=1,IF($A1047&lt;VLOOKUP(O$5,NFI,5,0),1,0)*Table_NFI[[#This Row],[Clothes Kit]],Table_NFI[Clothes Kit])</f>
        <v>0</v>
      </c>
      <c r="AG1047" s="378">
        <f>IF(NFI_Expiration=1,IF($A1047&lt;VLOOKUP(P$5,NFI,5,0),1,0)*Table_NFI[[#This Row],[Plastic Bucket]],Table_NFI[Plastic Bucket])</f>
        <v>0</v>
      </c>
      <c r="AH1047" s="378">
        <f>IF(NFI_Expiration=1,IF($A1047&lt;VLOOKUP(Q$5,NFI,5,0),1,0)*Table_NFI[[#This Row],[Plastic Mat]],Table_NFI[Plastic Mat])*IF(Table_NFI[[#This Row],[Distribution Date]]&gt;"2014-04-01",1,2.5)</f>
        <v>0</v>
      </c>
      <c r="AI1047" s="378">
        <f>IF(NFI_Expiration=1,IF($A1047&lt;VLOOKUP(R$5,NFI,5,0),1,0)*Table_NFI[[#This Row],[Winter Clothes Adult]],Table_NFI[Winter Clothes Adult])</f>
        <v>0</v>
      </c>
      <c r="AJ1047" s="378">
        <f>IF(NFI_Expiration=1,IF($A1047&lt;VLOOKUP(S$5,NFI,5,0),1,0)*Table_NFI[[#This Row],[Winter Clothes Children]],Table_NFI[Winter Clothes Children])</f>
        <v>0</v>
      </c>
      <c r="AK1047" s="378">
        <f>IF(NFI_Expiration=1,IF($A1047&lt;VLOOKUP(T$5,NFI,5,0),1,0)*Table_NFI[[#This Row],[Winter Items Other]],Table_NFI[Winter Items Other])</f>
        <v>0</v>
      </c>
      <c r="AL1047" s="378">
        <f>IF(NFI_Expiration=1,IF($A1047&lt;VLOOKUP(M$5,NFI,5,0),1,0)*Table_NFI[[#This Row],[Winter Blanket]],Table_NFI[[#This Row],[Winter Blanket]])</f>
        <v>0</v>
      </c>
      <c r="AM1047" s="378">
        <f>IF(Table_NFI[[#This Row],[Winter Clothes Adult]]+Table_NFI[[#This Row],[Winter Clothes Children]]+Table_NFI[[#This Row],[Winter Items Other]]+Table_NFI[[#This Row],[Winter Blanket]]&gt;0,1,0)</f>
        <v>0</v>
      </c>
      <c r="AN1047" s="418">
        <f>IF(NFI_Expiration=1,IF($A1047&lt;VLOOKUP(V$5,NFI,5,0),1,0)*Table_NFI[[#This Row],[Jerry Can]],Table_NFI[Jerry Can])</f>
        <v>0</v>
      </c>
      <c r="AO1047" s="579" t="str">
        <f>IFERROR(VLOOKUP(Table_NFI[[#This Row],[Camp Name]],CL,2,0),"")</f>
        <v/>
      </c>
      <c r="AP1047" s="574" t="str">
        <f ca="1">IF(Table_NFI[[#This Row],[Pcode]]="","",IF(OFFSET(CampList[Opening Date],MATCH(Table_NFI[[#This Row],[Pcode]],CampList[CP_Pcode],0)-1,0,1,1)&gt;=NFI_Monitor_Date,1,0))</f>
        <v/>
      </c>
      <c r="AQ1047" s="579" t="str">
        <f>IFERROR(VLOOKUP(Table_NFI[[#This Row],[Camp Name]],CL,3,0),"")</f>
        <v/>
      </c>
      <c r="AR1047" s="378" t="str">
        <f ca="1">IF(Table_NFI[[#This Row],[Pcode]]="","",OFFSET(CampList[Priority],MATCH(Table_NFI[[#This Row],[Pcode]],CampList[CP_Pcode],0)-1,0,1,1))</f>
        <v/>
      </c>
      <c r="AS1047" s="377" t="str">
        <f>IFERROR(Table_NFI[[#This Row],[Kitchen Set]]/VLOOKUP(Table_NFI[[#This Row],[Camp Name]],CL,4,0),"")</f>
        <v/>
      </c>
      <c r="AT1047" s="577"/>
      <c r="AU1047" s="580"/>
    </row>
    <row r="1048" spans="1:47" x14ac:dyDescent="0.25">
      <c r="A1048" s="381" t="str">
        <f t="shared" si="16"/>
        <v/>
      </c>
      <c r="B1048" s="571"/>
      <c r="C1048" s="572"/>
      <c r="D1048" s="572"/>
      <c r="E1048" s="572"/>
      <c r="F1048" s="572"/>
      <c r="G1048" s="572"/>
      <c r="H1048" s="375"/>
      <c r="I1048" s="375"/>
      <c r="J1048" s="375"/>
      <c r="K1048" s="375"/>
      <c r="L1048" s="376"/>
      <c r="M1048" s="376"/>
      <c r="N1048" s="376"/>
      <c r="O1048" s="376"/>
      <c r="P1048" s="378"/>
      <c r="Q1048" s="378"/>
      <c r="R1048" s="378"/>
      <c r="S1048" s="378"/>
      <c r="T1048" s="378"/>
      <c r="U1048" s="378"/>
      <c r="V1048" s="533"/>
      <c r="W1048" s="418"/>
      <c r="X1048" s="418"/>
      <c r="Y1048" s="378">
        <f>IF(NFI_Expiration=1,IF($A1048&lt;VLOOKUP(H$5,NFI,5,0),1,0)*Table_NFI[[#This Row],[Hygiene Kit]],Table_NFI[Hygiene Kit])</f>
        <v>0</v>
      </c>
      <c r="Z1048" s="378">
        <f>IF(NFI_Expiration=1,IF($A1048&lt;VLOOKUP(I$5,NFI,5,0),1,0)*Table_NFI[[#This Row],[NFI Core Kit]],Table_NFI[NFI Core Kit])</f>
        <v>0</v>
      </c>
      <c r="AA1048" s="378">
        <f>IF(NFI_Expiration=1,IF($A1048&lt;VLOOKUP(J$5,NFI,5,0),1,0)*Table_NFI[[#This Row],[Sanitary Kit]],Table_NFI[Sanitary Kit])</f>
        <v>0</v>
      </c>
      <c r="AB1048" s="378">
        <f>IF(NFI_Expiration=1,IF($A1048&lt;VLOOKUP(K$5,NFI,5,0),1,0)*Table_NFI[[#This Row],[Mosquito net]],Table_NFI[Mosquito net])</f>
        <v>0</v>
      </c>
      <c r="AC1048" s="378">
        <f>IF(NFI_Expiration=1,IF($A1048&lt;VLOOKUP(L$5,NFI,5,0),1,0)*Table_NFI[[#This Row],[Tarpaulin]],Table_NFI[[#This Row],[Tarpaulin]])</f>
        <v>0</v>
      </c>
      <c r="AD1048" s="378">
        <f>IF(NFI_Expiration=1,IF($A1048&lt;VLOOKUP(M$5,NFI,5,0),1,0)*Table_NFI[[#This Row],[Blanket]],Table_NFI[[#This Row],[Blanket]])</f>
        <v>0</v>
      </c>
      <c r="AE1048" s="378">
        <f>IF(NFI_Expiration=1,IF($A1048&lt;VLOOKUP(N$5,NFI,5,0),1,0)*Table_NFI[[#This Row],[Kitchen Set]],Table_NFI[Kitchen Set])</f>
        <v>0</v>
      </c>
      <c r="AF1048" s="378">
        <f>IF(NFI_Expiration=1,IF($A1048&lt;VLOOKUP(O$5,NFI,5,0),1,0)*Table_NFI[[#This Row],[Clothes Kit]],Table_NFI[Clothes Kit])</f>
        <v>0</v>
      </c>
      <c r="AG1048" s="378">
        <f>IF(NFI_Expiration=1,IF($A1048&lt;VLOOKUP(P$5,NFI,5,0),1,0)*Table_NFI[[#This Row],[Plastic Bucket]],Table_NFI[Plastic Bucket])</f>
        <v>0</v>
      </c>
      <c r="AH1048" s="378">
        <f>IF(NFI_Expiration=1,IF($A1048&lt;VLOOKUP(Q$5,NFI,5,0),1,0)*Table_NFI[[#This Row],[Plastic Mat]],Table_NFI[Plastic Mat])*IF(Table_NFI[[#This Row],[Distribution Date]]&gt;"2014-04-01",1,2.5)</f>
        <v>0</v>
      </c>
      <c r="AI1048" s="378">
        <f>IF(NFI_Expiration=1,IF($A1048&lt;VLOOKUP(R$5,NFI,5,0),1,0)*Table_NFI[[#This Row],[Winter Clothes Adult]],Table_NFI[Winter Clothes Adult])</f>
        <v>0</v>
      </c>
      <c r="AJ1048" s="378">
        <f>IF(NFI_Expiration=1,IF($A1048&lt;VLOOKUP(S$5,NFI,5,0),1,0)*Table_NFI[[#This Row],[Winter Clothes Children]],Table_NFI[Winter Clothes Children])</f>
        <v>0</v>
      </c>
      <c r="AK1048" s="378">
        <f>IF(NFI_Expiration=1,IF($A1048&lt;VLOOKUP(T$5,NFI,5,0),1,0)*Table_NFI[[#This Row],[Winter Items Other]],Table_NFI[Winter Items Other])</f>
        <v>0</v>
      </c>
      <c r="AL1048" s="378">
        <f>IF(NFI_Expiration=1,IF($A1048&lt;VLOOKUP(M$5,NFI,5,0),1,0)*Table_NFI[[#This Row],[Winter Blanket]],Table_NFI[[#This Row],[Winter Blanket]])</f>
        <v>0</v>
      </c>
      <c r="AM1048" s="378">
        <f>IF(Table_NFI[[#This Row],[Winter Clothes Adult]]+Table_NFI[[#This Row],[Winter Clothes Children]]+Table_NFI[[#This Row],[Winter Items Other]]+Table_NFI[[#This Row],[Winter Blanket]]&gt;0,1,0)</f>
        <v>0</v>
      </c>
      <c r="AN1048" s="418">
        <f>IF(NFI_Expiration=1,IF($A1048&lt;VLOOKUP(V$5,NFI,5,0),1,0)*Table_NFI[[#This Row],[Jerry Can]],Table_NFI[Jerry Can])</f>
        <v>0</v>
      </c>
      <c r="AO1048" s="579" t="str">
        <f>IFERROR(VLOOKUP(Table_NFI[[#This Row],[Camp Name]],CL,2,0),"")</f>
        <v/>
      </c>
      <c r="AP1048" s="574" t="str">
        <f ca="1">IF(Table_NFI[[#This Row],[Pcode]]="","",IF(OFFSET(CampList[Opening Date],MATCH(Table_NFI[[#This Row],[Pcode]],CampList[CP_Pcode],0)-1,0,1,1)&gt;=NFI_Monitor_Date,1,0))</f>
        <v/>
      </c>
      <c r="AQ1048" s="579" t="str">
        <f>IFERROR(VLOOKUP(Table_NFI[[#This Row],[Camp Name]],CL,3,0),"")</f>
        <v/>
      </c>
      <c r="AR1048" s="378" t="str">
        <f ca="1">IF(Table_NFI[[#This Row],[Pcode]]="","",OFFSET(CampList[Priority],MATCH(Table_NFI[[#This Row],[Pcode]],CampList[CP_Pcode],0)-1,0,1,1))</f>
        <v/>
      </c>
      <c r="AS1048" s="377" t="str">
        <f>IFERROR(Table_NFI[[#This Row],[Kitchen Set]]/VLOOKUP(Table_NFI[[#This Row],[Camp Name]],CL,4,0),"")</f>
        <v/>
      </c>
      <c r="AT1048" s="572"/>
      <c r="AU1048" s="575"/>
    </row>
    <row r="1049" spans="1:47" x14ac:dyDescent="0.25">
      <c r="A1049" s="381" t="str">
        <f t="shared" si="16"/>
        <v/>
      </c>
      <c r="B1049" s="571"/>
      <c r="C1049" s="572"/>
      <c r="D1049" s="572"/>
      <c r="E1049" s="572"/>
      <c r="F1049" s="572"/>
      <c r="G1049" s="572"/>
      <c r="H1049" s="375"/>
      <c r="I1049" s="375"/>
      <c r="J1049" s="375"/>
      <c r="K1049" s="375"/>
      <c r="L1049" s="376"/>
      <c r="M1049" s="376"/>
      <c r="N1049" s="376"/>
      <c r="O1049" s="376"/>
      <c r="P1049" s="378"/>
      <c r="Q1049" s="378"/>
      <c r="R1049" s="378"/>
      <c r="S1049" s="378"/>
      <c r="T1049" s="378"/>
      <c r="U1049" s="378"/>
      <c r="V1049" s="533"/>
      <c r="W1049" s="418"/>
      <c r="X1049" s="418"/>
      <c r="Y1049" s="378">
        <f>IF(NFI_Expiration=1,IF($A1049&lt;VLOOKUP(H$5,NFI,5,0),1,0)*Table_NFI[[#This Row],[Hygiene Kit]],Table_NFI[Hygiene Kit])</f>
        <v>0</v>
      </c>
      <c r="Z1049" s="378">
        <f>IF(NFI_Expiration=1,IF($A1049&lt;VLOOKUP(I$5,NFI,5,0),1,0)*Table_NFI[[#This Row],[NFI Core Kit]],Table_NFI[NFI Core Kit])</f>
        <v>0</v>
      </c>
      <c r="AA1049" s="378">
        <f>IF(NFI_Expiration=1,IF($A1049&lt;VLOOKUP(J$5,NFI,5,0),1,0)*Table_NFI[[#This Row],[Sanitary Kit]],Table_NFI[Sanitary Kit])</f>
        <v>0</v>
      </c>
      <c r="AB1049" s="378">
        <f>IF(NFI_Expiration=1,IF($A1049&lt;VLOOKUP(K$5,NFI,5,0),1,0)*Table_NFI[[#This Row],[Mosquito net]],Table_NFI[Mosquito net])</f>
        <v>0</v>
      </c>
      <c r="AC1049" s="378">
        <f>IF(NFI_Expiration=1,IF($A1049&lt;VLOOKUP(L$5,NFI,5,0),1,0)*Table_NFI[[#This Row],[Tarpaulin]],Table_NFI[[#This Row],[Tarpaulin]])</f>
        <v>0</v>
      </c>
      <c r="AD1049" s="378">
        <f>IF(NFI_Expiration=1,IF($A1049&lt;VLOOKUP(M$5,NFI,5,0),1,0)*Table_NFI[[#This Row],[Blanket]],Table_NFI[[#This Row],[Blanket]])</f>
        <v>0</v>
      </c>
      <c r="AE1049" s="378">
        <f>IF(NFI_Expiration=1,IF($A1049&lt;VLOOKUP(N$5,NFI,5,0),1,0)*Table_NFI[[#This Row],[Kitchen Set]],Table_NFI[Kitchen Set])</f>
        <v>0</v>
      </c>
      <c r="AF1049" s="378">
        <f>IF(NFI_Expiration=1,IF($A1049&lt;VLOOKUP(O$5,NFI,5,0),1,0)*Table_NFI[[#This Row],[Clothes Kit]],Table_NFI[Clothes Kit])</f>
        <v>0</v>
      </c>
      <c r="AG1049" s="378">
        <f>IF(NFI_Expiration=1,IF($A1049&lt;VLOOKUP(P$5,NFI,5,0),1,0)*Table_NFI[[#This Row],[Plastic Bucket]],Table_NFI[Plastic Bucket])</f>
        <v>0</v>
      </c>
      <c r="AH1049" s="378">
        <f>IF(NFI_Expiration=1,IF($A1049&lt;VLOOKUP(Q$5,NFI,5,0),1,0)*Table_NFI[[#This Row],[Plastic Mat]],Table_NFI[Plastic Mat])*IF(Table_NFI[[#This Row],[Distribution Date]]&gt;"2014-04-01",1,2.5)</f>
        <v>0</v>
      </c>
      <c r="AI1049" s="378">
        <f>IF(NFI_Expiration=1,IF($A1049&lt;VLOOKUP(R$5,NFI,5,0),1,0)*Table_NFI[[#This Row],[Winter Clothes Adult]],Table_NFI[Winter Clothes Adult])</f>
        <v>0</v>
      </c>
      <c r="AJ1049" s="378">
        <f>IF(NFI_Expiration=1,IF($A1049&lt;VLOOKUP(S$5,NFI,5,0),1,0)*Table_NFI[[#This Row],[Winter Clothes Children]],Table_NFI[Winter Clothes Children])</f>
        <v>0</v>
      </c>
      <c r="AK1049" s="378">
        <f>IF(NFI_Expiration=1,IF($A1049&lt;VLOOKUP(T$5,NFI,5,0),1,0)*Table_NFI[[#This Row],[Winter Items Other]],Table_NFI[Winter Items Other])</f>
        <v>0</v>
      </c>
      <c r="AL1049" s="378">
        <f>IF(NFI_Expiration=1,IF($A1049&lt;VLOOKUP(M$5,NFI,5,0),1,0)*Table_NFI[[#This Row],[Winter Blanket]],Table_NFI[[#This Row],[Winter Blanket]])</f>
        <v>0</v>
      </c>
      <c r="AM1049" s="378">
        <f>IF(Table_NFI[[#This Row],[Winter Clothes Adult]]+Table_NFI[[#This Row],[Winter Clothes Children]]+Table_NFI[[#This Row],[Winter Items Other]]+Table_NFI[[#This Row],[Winter Blanket]]&gt;0,1,0)</f>
        <v>0</v>
      </c>
      <c r="AN1049" s="418">
        <f>IF(NFI_Expiration=1,IF($A1049&lt;VLOOKUP(V$5,NFI,5,0),1,0)*Table_NFI[[#This Row],[Jerry Can]],Table_NFI[Jerry Can])</f>
        <v>0</v>
      </c>
      <c r="AO1049" s="579" t="str">
        <f>IFERROR(VLOOKUP(Table_NFI[[#This Row],[Camp Name]],CL,2,0),"")</f>
        <v/>
      </c>
      <c r="AP1049" s="574" t="str">
        <f ca="1">IF(Table_NFI[[#This Row],[Pcode]]="","",IF(OFFSET(CampList[Opening Date],MATCH(Table_NFI[[#This Row],[Pcode]],CampList[CP_Pcode],0)-1,0,1,1)&gt;=NFI_Monitor_Date,1,0))</f>
        <v/>
      </c>
      <c r="AQ1049" s="579" t="str">
        <f>IFERROR(VLOOKUP(Table_NFI[[#This Row],[Camp Name]],CL,3,0),"")</f>
        <v/>
      </c>
      <c r="AR1049" s="378" t="str">
        <f ca="1">IF(Table_NFI[[#This Row],[Pcode]]="","",OFFSET(CampList[Priority],MATCH(Table_NFI[[#This Row],[Pcode]],CampList[CP_Pcode],0)-1,0,1,1))</f>
        <v/>
      </c>
      <c r="AS1049" s="377" t="str">
        <f>IFERROR(Table_NFI[[#This Row],[Kitchen Set]]/VLOOKUP(Table_NFI[[#This Row],[Camp Name]],CL,4,0),"")</f>
        <v/>
      </c>
      <c r="AT1049" s="577"/>
      <c r="AU1049" s="592"/>
    </row>
    <row r="1050" spans="1:47" x14ac:dyDescent="0.25">
      <c r="A1050" s="381" t="str">
        <f t="shared" si="16"/>
        <v/>
      </c>
      <c r="B1050" s="571"/>
      <c r="C1050" s="572"/>
      <c r="D1050" s="572"/>
      <c r="E1050" s="572"/>
      <c r="F1050" s="572"/>
      <c r="G1050" s="572"/>
      <c r="H1050" s="375"/>
      <c r="I1050" s="375"/>
      <c r="J1050" s="375"/>
      <c r="K1050" s="375"/>
      <c r="L1050" s="376"/>
      <c r="M1050" s="376"/>
      <c r="N1050" s="376"/>
      <c r="O1050" s="376"/>
      <c r="P1050" s="378"/>
      <c r="Q1050" s="378"/>
      <c r="R1050" s="378"/>
      <c r="S1050" s="378"/>
      <c r="T1050" s="378"/>
      <c r="U1050" s="378"/>
      <c r="V1050" s="533"/>
      <c r="W1050" s="418"/>
      <c r="X1050" s="418"/>
      <c r="Y1050" s="378">
        <f>IF(NFI_Expiration=1,IF($A1050&lt;VLOOKUP(H$5,NFI,5,0),1,0)*Table_NFI[[#This Row],[Hygiene Kit]],Table_NFI[Hygiene Kit])</f>
        <v>0</v>
      </c>
      <c r="Z1050" s="378">
        <f>IF(NFI_Expiration=1,IF($A1050&lt;VLOOKUP(I$5,NFI,5,0),1,0)*Table_NFI[[#This Row],[NFI Core Kit]],Table_NFI[NFI Core Kit])</f>
        <v>0</v>
      </c>
      <c r="AA1050" s="378">
        <f>IF(NFI_Expiration=1,IF($A1050&lt;VLOOKUP(J$5,NFI,5,0),1,0)*Table_NFI[[#This Row],[Sanitary Kit]],Table_NFI[Sanitary Kit])</f>
        <v>0</v>
      </c>
      <c r="AB1050" s="378">
        <f>IF(NFI_Expiration=1,IF($A1050&lt;VLOOKUP(K$5,NFI,5,0),1,0)*Table_NFI[[#This Row],[Mosquito net]],Table_NFI[Mosquito net])</f>
        <v>0</v>
      </c>
      <c r="AC1050" s="378">
        <f>IF(NFI_Expiration=1,IF($A1050&lt;VLOOKUP(L$5,NFI,5,0),1,0)*Table_NFI[[#This Row],[Tarpaulin]],Table_NFI[[#This Row],[Tarpaulin]])</f>
        <v>0</v>
      </c>
      <c r="AD1050" s="378">
        <f>IF(NFI_Expiration=1,IF($A1050&lt;VLOOKUP(M$5,NFI,5,0),1,0)*Table_NFI[[#This Row],[Blanket]],Table_NFI[[#This Row],[Blanket]])</f>
        <v>0</v>
      </c>
      <c r="AE1050" s="378">
        <f>IF(NFI_Expiration=1,IF($A1050&lt;VLOOKUP(N$5,NFI,5,0),1,0)*Table_NFI[[#This Row],[Kitchen Set]],Table_NFI[Kitchen Set])</f>
        <v>0</v>
      </c>
      <c r="AF1050" s="378">
        <f>IF(NFI_Expiration=1,IF($A1050&lt;VLOOKUP(O$5,NFI,5,0),1,0)*Table_NFI[[#This Row],[Clothes Kit]],Table_NFI[Clothes Kit])</f>
        <v>0</v>
      </c>
      <c r="AG1050" s="378">
        <f>IF(NFI_Expiration=1,IF($A1050&lt;VLOOKUP(P$5,NFI,5,0),1,0)*Table_NFI[[#This Row],[Plastic Bucket]],Table_NFI[Plastic Bucket])</f>
        <v>0</v>
      </c>
      <c r="AH1050" s="378">
        <f>IF(NFI_Expiration=1,IF($A1050&lt;VLOOKUP(Q$5,NFI,5,0),1,0)*Table_NFI[[#This Row],[Plastic Mat]],Table_NFI[Plastic Mat])*IF(Table_NFI[[#This Row],[Distribution Date]]&gt;"2014-04-01",1,2.5)</f>
        <v>0</v>
      </c>
      <c r="AI1050" s="378">
        <f>IF(NFI_Expiration=1,IF($A1050&lt;VLOOKUP(R$5,NFI,5,0),1,0)*Table_NFI[[#This Row],[Winter Clothes Adult]],Table_NFI[Winter Clothes Adult])</f>
        <v>0</v>
      </c>
      <c r="AJ1050" s="378">
        <f>IF(NFI_Expiration=1,IF($A1050&lt;VLOOKUP(S$5,NFI,5,0),1,0)*Table_NFI[[#This Row],[Winter Clothes Children]],Table_NFI[Winter Clothes Children])</f>
        <v>0</v>
      </c>
      <c r="AK1050" s="378">
        <f>IF(NFI_Expiration=1,IF($A1050&lt;VLOOKUP(T$5,NFI,5,0),1,0)*Table_NFI[[#This Row],[Winter Items Other]],Table_NFI[Winter Items Other])</f>
        <v>0</v>
      </c>
      <c r="AL1050" s="378">
        <f>IF(NFI_Expiration=1,IF($A1050&lt;VLOOKUP(M$5,NFI,5,0),1,0)*Table_NFI[[#This Row],[Winter Blanket]],Table_NFI[[#This Row],[Winter Blanket]])</f>
        <v>0</v>
      </c>
      <c r="AM1050" s="378">
        <f>IF(Table_NFI[[#This Row],[Winter Clothes Adult]]+Table_NFI[[#This Row],[Winter Clothes Children]]+Table_NFI[[#This Row],[Winter Items Other]]+Table_NFI[[#This Row],[Winter Blanket]]&gt;0,1,0)</f>
        <v>0</v>
      </c>
      <c r="AN1050" s="418">
        <f>IF(NFI_Expiration=1,IF($A1050&lt;VLOOKUP(V$5,NFI,5,0),1,0)*Table_NFI[[#This Row],[Jerry Can]],Table_NFI[Jerry Can])</f>
        <v>0</v>
      </c>
      <c r="AO1050" s="579" t="str">
        <f>IFERROR(VLOOKUP(Table_NFI[[#This Row],[Camp Name]],CL,2,0),"")</f>
        <v/>
      </c>
      <c r="AP1050" s="574" t="str">
        <f ca="1">IF(Table_NFI[[#This Row],[Pcode]]="","",IF(OFFSET(CampList[Opening Date],MATCH(Table_NFI[[#This Row],[Pcode]],CampList[CP_Pcode],0)-1,0,1,1)&gt;=NFI_Monitor_Date,1,0))</f>
        <v/>
      </c>
      <c r="AQ1050" s="579" t="str">
        <f>IFERROR(VLOOKUP(Table_NFI[[#This Row],[Camp Name]],CL,3,0),"")</f>
        <v/>
      </c>
      <c r="AR1050" s="378" t="str">
        <f ca="1">IF(Table_NFI[[#This Row],[Pcode]]="","",OFFSET(CampList[Priority],MATCH(Table_NFI[[#This Row],[Pcode]],CampList[CP_Pcode],0)-1,0,1,1))</f>
        <v/>
      </c>
      <c r="AS1050" s="377" t="str">
        <f>IFERROR(Table_NFI[[#This Row],[Kitchen Set]]/VLOOKUP(Table_NFI[[#This Row],[Camp Name]],CL,4,0),"")</f>
        <v/>
      </c>
      <c r="AT1050" s="577"/>
      <c r="AU1050" s="592"/>
    </row>
    <row r="1051" spans="1:47" x14ac:dyDescent="0.25">
      <c r="A1051" s="381" t="str">
        <f t="shared" si="16"/>
        <v/>
      </c>
      <c r="B1051" s="571"/>
      <c r="C1051" s="572"/>
      <c r="D1051" s="572"/>
      <c r="E1051" s="572"/>
      <c r="F1051" s="572"/>
      <c r="G1051" s="572"/>
      <c r="H1051" s="375"/>
      <c r="I1051" s="378"/>
      <c r="J1051" s="375"/>
      <c r="K1051" s="375"/>
      <c r="L1051" s="376"/>
      <c r="M1051" s="376"/>
      <c r="N1051" s="376"/>
      <c r="O1051" s="376"/>
      <c r="P1051" s="378"/>
      <c r="Q1051" s="378"/>
      <c r="R1051" s="378"/>
      <c r="S1051" s="378"/>
      <c r="T1051" s="378"/>
      <c r="U1051" s="378"/>
      <c r="V1051" s="533"/>
      <c r="W1051" s="602"/>
      <c r="X1051" s="602"/>
      <c r="Y1051" s="378">
        <f>IF(NFI_Expiration=1,IF($A1051&lt;VLOOKUP(H$5,NFI,5,0),1,0)*Table_NFI[[#This Row],[Hygiene Kit]],Table_NFI[Hygiene Kit])</f>
        <v>0</v>
      </c>
      <c r="Z1051" s="378">
        <f>IF(NFI_Expiration=1,IF($A1051&lt;VLOOKUP(I$5,NFI,5,0),1,0)*Table_NFI[[#This Row],[NFI Core Kit]],Table_NFI[NFI Core Kit])</f>
        <v>0</v>
      </c>
      <c r="AA1051" s="378">
        <f>IF(NFI_Expiration=1,IF($A1051&lt;VLOOKUP(J$5,NFI,5,0),1,0)*Table_NFI[[#This Row],[Sanitary Kit]],Table_NFI[Sanitary Kit])</f>
        <v>0</v>
      </c>
      <c r="AB1051" s="378">
        <f>IF(NFI_Expiration=1,IF($A1051&lt;VLOOKUP(K$5,NFI,5,0),1,0)*Table_NFI[[#This Row],[Mosquito net]],Table_NFI[Mosquito net])</f>
        <v>0</v>
      </c>
      <c r="AC1051" s="378">
        <f>IF(NFI_Expiration=1,IF($A1051&lt;VLOOKUP(L$5,NFI,5,0),1,0)*Table_NFI[[#This Row],[Tarpaulin]],Table_NFI[[#This Row],[Tarpaulin]])</f>
        <v>0</v>
      </c>
      <c r="AD1051" s="378">
        <f>IF(NFI_Expiration=1,IF($A1051&lt;VLOOKUP(M$5,NFI,5,0),1,0)*Table_NFI[[#This Row],[Blanket]],Table_NFI[[#This Row],[Blanket]])</f>
        <v>0</v>
      </c>
      <c r="AE1051" s="378">
        <f>IF(NFI_Expiration=1,IF($A1051&lt;VLOOKUP(N$5,NFI,5,0),1,0)*Table_NFI[[#This Row],[Kitchen Set]],Table_NFI[Kitchen Set])</f>
        <v>0</v>
      </c>
      <c r="AF1051" s="378">
        <f>IF(NFI_Expiration=1,IF($A1051&lt;VLOOKUP(O$5,NFI,5,0),1,0)*Table_NFI[[#This Row],[Clothes Kit]],Table_NFI[Clothes Kit])</f>
        <v>0</v>
      </c>
      <c r="AG1051" s="378">
        <f>IF(NFI_Expiration=1,IF($A1051&lt;VLOOKUP(P$5,NFI,5,0),1,0)*Table_NFI[[#This Row],[Plastic Bucket]],Table_NFI[Plastic Bucket])</f>
        <v>0</v>
      </c>
      <c r="AH1051" s="378">
        <f>IF(NFI_Expiration=1,IF($A1051&lt;VLOOKUP(Q$5,NFI,5,0),1,0)*Table_NFI[[#This Row],[Plastic Mat]],Table_NFI[Plastic Mat])*IF(Table_NFI[[#This Row],[Distribution Date]]&gt;"2014-04-01",1,2.5)</f>
        <v>0</v>
      </c>
      <c r="AI1051" s="378">
        <f>IF(NFI_Expiration=1,IF($A1051&lt;VLOOKUP(R$5,NFI,5,0),1,0)*Table_NFI[[#This Row],[Winter Clothes Adult]],Table_NFI[Winter Clothes Adult])</f>
        <v>0</v>
      </c>
      <c r="AJ1051" s="378">
        <f>IF(NFI_Expiration=1,IF($A1051&lt;VLOOKUP(S$5,NFI,5,0),1,0)*Table_NFI[[#This Row],[Winter Clothes Children]],Table_NFI[Winter Clothes Children])</f>
        <v>0</v>
      </c>
      <c r="AK1051" s="378">
        <f>IF(NFI_Expiration=1,IF($A1051&lt;VLOOKUP(T$5,NFI,5,0),1,0)*Table_NFI[[#This Row],[Winter Items Other]],Table_NFI[Winter Items Other])</f>
        <v>0</v>
      </c>
      <c r="AL1051" s="378">
        <f>IF(NFI_Expiration=1,IF($A1051&lt;VLOOKUP(M$5,NFI,5,0),1,0)*Table_NFI[[#This Row],[Winter Blanket]],Table_NFI[[#This Row],[Winter Blanket]])</f>
        <v>0</v>
      </c>
      <c r="AM1051" s="378">
        <f>IF(Table_NFI[[#This Row],[Winter Clothes Adult]]+Table_NFI[[#This Row],[Winter Clothes Children]]+Table_NFI[[#This Row],[Winter Items Other]]+Table_NFI[[#This Row],[Winter Blanket]]&gt;0,1,0)</f>
        <v>0</v>
      </c>
      <c r="AN1051" s="418">
        <f>IF(NFI_Expiration=1,IF($A1051&lt;VLOOKUP(V$5,NFI,5,0),1,0)*Table_NFI[[#This Row],[Jerry Can]],Table_NFI[Jerry Can])</f>
        <v>0</v>
      </c>
      <c r="AO1051" s="579" t="str">
        <f>IFERROR(VLOOKUP(Table_NFI[[#This Row],[Camp Name]],CL,2,0),"")</f>
        <v/>
      </c>
      <c r="AP1051" s="574" t="str">
        <f ca="1">IF(Table_NFI[[#This Row],[Pcode]]="","",IF(OFFSET(CampList[Opening Date],MATCH(Table_NFI[[#This Row],[Pcode]],CampList[CP_Pcode],0)-1,0,1,1)&gt;=NFI_Monitor_Date,1,0))</f>
        <v/>
      </c>
      <c r="AQ1051" s="579" t="str">
        <f>IFERROR(VLOOKUP(Table_NFI[[#This Row],[Camp Name]],CL,3,0),"")</f>
        <v/>
      </c>
      <c r="AR1051" s="378" t="str">
        <f ca="1">IF(Table_NFI[[#This Row],[Pcode]]="","",OFFSET(CampList[Priority],MATCH(Table_NFI[[#This Row],[Pcode]],CampList[CP_Pcode],0)-1,0,1,1))</f>
        <v/>
      </c>
      <c r="AS1051" s="377" t="str">
        <f>IFERROR(Table_NFI[[#This Row],[Kitchen Set]]/VLOOKUP(Table_NFI[[#This Row],[Camp Name]],CL,4,0),"")</f>
        <v/>
      </c>
      <c r="AT1051" s="572"/>
      <c r="AU1051" s="575"/>
    </row>
    <row r="1052" spans="1:47" x14ac:dyDescent="0.25">
      <c r="A1052" s="381" t="str">
        <f t="shared" si="16"/>
        <v/>
      </c>
      <c r="B1052" s="571"/>
      <c r="C1052" s="577"/>
      <c r="D1052" s="577"/>
      <c r="E1052" s="577"/>
      <c r="F1052" s="577"/>
      <c r="G1052" s="577"/>
      <c r="H1052" s="376"/>
      <c r="I1052" s="376"/>
      <c r="J1052" s="376"/>
      <c r="K1052" s="376"/>
      <c r="L1052" s="376"/>
      <c r="M1052" s="376"/>
      <c r="N1052" s="376"/>
      <c r="O1052" s="376"/>
      <c r="P1052" s="378"/>
      <c r="Q1052" s="378"/>
      <c r="R1052" s="378"/>
      <c r="S1052" s="378"/>
      <c r="T1052" s="378"/>
      <c r="U1052" s="378"/>
      <c r="V1052" s="533"/>
      <c r="W1052" s="602"/>
      <c r="X1052" s="602"/>
      <c r="Y1052" s="378">
        <f>IF(NFI_Expiration=1,IF($A1052&lt;VLOOKUP(H$5,NFI,5,0),1,0)*Table_NFI[[#This Row],[Hygiene Kit]],Table_NFI[Hygiene Kit])</f>
        <v>0</v>
      </c>
      <c r="Z1052" s="378">
        <f>IF(NFI_Expiration=1,IF($A1052&lt;VLOOKUP(I$5,NFI,5,0),1,0)*Table_NFI[[#This Row],[NFI Core Kit]],Table_NFI[NFI Core Kit])</f>
        <v>0</v>
      </c>
      <c r="AA1052" s="378">
        <f>IF(NFI_Expiration=1,IF($A1052&lt;VLOOKUP(J$5,NFI,5,0),1,0)*Table_NFI[[#This Row],[Sanitary Kit]],Table_NFI[Sanitary Kit])</f>
        <v>0</v>
      </c>
      <c r="AB1052" s="378">
        <f>IF(NFI_Expiration=1,IF($A1052&lt;VLOOKUP(K$5,NFI,5,0),1,0)*Table_NFI[[#This Row],[Mosquito net]],Table_NFI[Mosquito net])</f>
        <v>0</v>
      </c>
      <c r="AC1052" s="378">
        <f>IF(NFI_Expiration=1,IF($A1052&lt;VLOOKUP(L$5,NFI,5,0),1,0)*Table_NFI[[#This Row],[Tarpaulin]],Table_NFI[[#This Row],[Tarpaulin]])</f>
        <v>0</v>
      </c>
      <c r="AD1052" s="378">
        <f>IF(NFI_Expiration=1,IF($A1052&lt;VLOOKUP(M$5,NFI,5,0),1,0)*Table_NFI[[#This Row],[Blanket]],Table_NFI[[#This Row],[Blanket]])</f>
        <v>0</v>
      </c>
      <c r="AE1052" s="378">
        <f>IF(NFI_Expiration=1,IF($A1052&lt;VLOOKUP(N$5,NFI,5,0),1,0)*Table_NFI[[#This Row],[Kitchen Set]],Table_NFI[Kitchen Set])</f>
        <v>0</v>
      </c>
      <c r="AF1052" s="378">
        <f>IF(NFI_Expiration=1,IF($A1052&lt;VLOOKUP(O$5,NFI,5,0),1,0)*Table_NFI[[#This Row],[Clothes Kit]],Table_NFI[Clothes Kit])</f>
        <v>0</v>
      </c>
      <c r="AG1052" s="378">
        <f>IF(NFI_Expiration=1,IF($A1052&lt;VLOOKUP(P$5,NFI,5,0),1,0)*Table_NFI[[#This Row],[Plastic Bucket]],Table_NFI[Plastic Bucket])</f>
        <v>0</v>
      </c>
      <c r="AH1052" s="378">
        <f>IF(NFI_Expiration=1,IF($A1052&lt;VLOOKUP(Q$5,NFI,5,0),1,0)*Table_NFI[[#This Row],[Plastic Mat]],Table_NFI[Plastic Mat])*IF(Table_NFI[[#This Row],[Distribution Date]]&gt;"2014-04-01",1,2.5)</f>
        <v>0</v>
      </c>
      <c r="AI1052" s="378">
        <f>IF(NFI_Expiration=1,IF($A1052&lt;VLOOKUP(R$5,NFI,5,0),1,0)*Table_NFI[[#This Row],[Winter Clothes Adult]],Table_NFI[Winter Clothes Adult])</f>
        <v>0</v>
      </c>
      <c r="AJ1052" s="378">
        <f>IF(NFI_Expiration=1,IF($A1052&lt;VLOOKUP(S$5,NFI,5,0),1,0)*Table_NFI[[#This Row],[Winter Clothes Children]],Table_NFI[Winter Clothes Children])</f>
        <v>0</v>
      </c>
      <c r="AK1052" s="378">
        <f>IF(NFI_Expiration=1,IF($A1052&lt;VLOOKUP(T$5,NFI,5,0),1,0)*Table_NFI[[#This Row],[Winter Items Other]],Table_NFI[Winter Items Other])</f>
        <v>0</v>
      </c>
      <c r="AL1052" s="378">
        <f>IF(NFI_Expiration=1,IF($A1052&lt;VLOOKUP(M$5,NFI,5,0),1,0)*Table_NFI[[#This Row],[Winter Blanket]],Table_NFI[[#This Row],[Winter Blanket]])</f>
        <v>0</v>
      </c>
      <c r="AM1052" s="378">
        <f>IF(Table_NFI[[#This Row],[Winter Clothes Adult]]+Table_NFI[[#This Row],[Winter Clothes Children]]+Table_NFI[[#This Row],[Winter Items Other]]+Table_NFI[[#This Row],[Winter Blanket]]&gt;0,1,0)</f>
        <v>0</v>
      </c>
      <c r="AN1052" s="418">
        <f>IF(NFI_Expiration=1,IF($A1052&lt;VLOOKUP(V$5,NFI,5,0),1,0)*Table_NFI[[#This Row],[Jerry Can]],Table_NFI[Jerry Can])</f>
        <v>0</v>
      </c>
      <c r="AO1052" s="579" t="str">
        <f>IFERROR(VLOOKUP(Table_NFI[[#This Row],[Camp Name]],CL,2,0),"")</f>
        <v/>
      </c>
      <c r="AP1052" s="574" t="str">
        <f ca="1">IF(Table_NFI[[#This Row],[Pcode]]="","",IF(OFFSET(CampList[Opening Date],MATCH(Table_NFI[[#This Row],[Pcode]],CampList[CP_Pcode],0)-1,0,1,1)&gt;=NFI_Monitor_Date,1,0))</f>
        <v/>
      </c>
      <c r="AQ1052" s="579" t="str">
        <f>IFERROR(VLOOKUP(Table_NFI[[#This Row],[Camp Name]],CL,3,0),"")</f>
        <v/>
      </c>
      <c r="AR1052" s="378" t="str">
        <f ca="1">IF(Table_NFI[[#This Row],[Pcode]]="","",OFFSET(CampList[Priority],MATCH(Table_NFI[[#This Row],[Pcode]],CampList[CP_Pcode],0)-1,0,1,1))</f>
        <v/>
      </c>
      <c r="AS1052" s="377" t="str">
        <f>IFERROR(Table_NFI[[#This Row],[Kitchen Set]]/VLOOKUP(Table_NFI[[#This Row],[Camp Name]],CL,4,0),"")</f>
        <v/>
      </c>
      <c r="AT1052" s="577"/>
      <c r="AU1052" s="580"/>
    </row>
    <row r="1053" spans="1:47" x14ac:dyDescent="0.25">
      <c r="A1053" s="381" t="str">
        <f t="shared" si="16"/>
        <v/>
      </c>
      <c r="B1053" s="571"/>
      <c r="C1053" s="577"/>
      <c r="D1053" s="577"/>
      <c r="E1053" s="577"/>
      <c r="F1053" s="577"/>
      <c r="G1053" s="577"/>
      <c r="H1053" s="376"/>
      <c r="I1053" s="376"/>
      <c r="J1053" s="376"/>
      <c r="K1053" s="376"/>
      <c r="L1053" s="376"/>
      <c r="M1053" s="376"/>
      <c r="N1053" s="376"/>
      <c r="O1053" s="376"/>
      <c r="P1053" s="378"/>
      <c r="Q1053" s="378"/>
      <c r="R1053" s="378"/>
      <c r="S1053" s="378"/>
      <c r="T1053" s="378"/>
      <c r="U1053" s="378"/>
      <c r="V1053" s="533"/>
      <c r="W1053" s="602"/>
      <c r="X1053" s="602"/>
      <c r="Y1053" s="378">
        <f>IF(NFI_Expiration=1,IF($A1053&lt;VLOOKUP(H$5,NFI,5,0),1,0)*Table_NFI[[#This Row],[Hygiene Kit]],Table_NFI[Hygiene Kit])</f>
        <v>0</v>
      </c>
      <c r="Z1053" s="378">
        <f>IF(NFI_Expiration=1,IF($A1053&lt;VLOOKUP(I$5,NFI,5,0),1,0)*Table_NFI[[#This Row],[NFI Core Kit]],Table_NFI[NFI Core Kit])</f>
        <v>0</v>
      </c>
      <c r="AA1053" s="378">
        <f>IF(NFI_Expiration=1,IF($A1053&lt;VLOOKUP(J$5,NFI,5,0),1,0)*Table_NFI[[#This Row],[Sanitary Kit]],Table_NFI[Sanitary Kit])</f>
        <v>0</v>
      </c>
      <c r="AB1053" s="378">
        <f>IF(NFI_Expiration=1,IF($A1053&lt;VLOOKUP(K$5,NFI,5,0),1,0)*Table_NFI[[#This Row],[Mosquito net]],Table_NFI[Mosquito net])</f>
        <v>0</v>
      </c>
      <c r="AC1053" s="378">
        <f>IF(NFI_Expiration=1,IF($A1053&lt;VLOOKUP(L$5,NFI,5,0),1,0)*Table_NFI[[#This Row],[Tarpaulin]],Table_NFI[[#This Row],[Tarpaulin]])</f>
        <v>0</v>
      </c>
      <c r="AD1053" s="378">
        <f>IF(NFI_Expiration=1,IF($A1053&lt;VLOOKUP(M$5,NFI,5,0),1,0)*Table_NFI[[#This Row],[Blanket]],Table_NFI[[#This Row],[Blanket]])</f>
        <v>0</v>
      </c>
      <c r="AE1053" s="378">
        <f>IF(NFI_Expiration=1,IF($A1053&lt;VLOOKUP(N$5,NFI,5,0),1,0)*Table_NFI[[#This Row],[Kitchen Set]],Table_NFI[Kitchen Set])</f>
        <v>0</v>
      </c>
      <c r="AF1053" s="378">
        <f>IF(NFI_Expiration=1,IF($A1053&lt;VLOOKUP(O$5,NFI,5,0),1,0)*Table_NFI[[#This Row],[Clothes Kit]],Table_NFI[Clothes Kit])</f>
        <v>0</v>
      </c>
      <c r="AG1053" s="378">
        <f>IF(NFI_Expiration=1,IF($A1053&lt;VLOOKUP(P$5,NFI,5,0),1,0)*Table_NFI[[#This Row],[Plastic Bucket]],Table_NFI[Plastic Bucket])</f>
        <v>0</v>
      </c>
      <c r="AH1053" s="378">
        <f>IF(NFI_Expiration=1,IF($A1053&lt;VLOOKUP(Q$5,NFI,5,0),1,0)*Table_NFI[[#This Row],[Plastic Mat]],Table_NFI[Plastic Mat])*IF(Table_NFI[[#This Row],[Distribution Date]]&gt;"2014-04-01",1,2.5)</f>
        <v>0</v>
      </c>
      <c r="AI1053" s="378">
        <f>IF(NFI_Expiration=1,IF($A1053&lt;VLOOKUP(R$5,NFI,5,0),1,0)*Table_NFI[[#This Row],[Winter Clothes Adult]],Table_NFI[Winter Clothes Adult])</f>
        <v>0</v>
      </c>
      <c r="AJ1053" s="378">
        <f>IF(NFI_Expiration=1,IF($A1053&lt;VLOOKUP(S$5,NFI,5,0),1,0)*Table_NFI[[#This Row],[Winter Clothes Children]],Table_NFI[Winter Clothes Children])</f>
        <v>0</v>
      </c>
      <c r="AK1053" s="378">
        <f>IF(NFI_Expiration=1,IF($A1053&lt;VLOOKUP(T$5,NFI,5,0),1,0)*Table_NFI[[#This Row],[Winter Items Other]],Table_NFI[Winter Items Other])</f>
        <v>0</v>
      </c>
      <c r="AL1053" s="378">
        <f>IF(NFI_Expiration=1,IF($A1053&lt;VLOOKUP(M$5,NFI,5,0),1,0)*Table_NFI[[#This Row],[Winter Blanket]],Table_NFI[[#This Row],[Winter Blanket]])</f>
        <v>0</v>
      </c>
      <c r="AM1053" s="378">
        <f>IF(Table_NFI[[#This Row],[Winter Clothes Adult]]+Table_NFI[[#This Row],[Winter Clothes Children]]+Table_NFI[[#This Row],[Winter Items Other]]+Table_NFI[[#This Row],[Winter Blanket]]&gt;0,1,0)</f>
        <v>0</v>
      </c>
      <c r="AN1053" s="418">
        <f>IF(NFI_Expiration=1,IF($A1053&lt;VLOOKUP(V$5,NFI,5,0),1,0)*Table_NFI[[#This Row],[Jerry Can]],Table_NFI[Jerry Can])</f>
        <v>0</v>
      </c>
      <c r="AO1053" s="579" t="str">
        <f>IFERROR(VLOOKUP(Table_NFI[[#This Row],[Camp Name]],CL,2,0),"")</f>
        <v/>
      </c>
      <c r="AP1053" s="574" t="str">
        <f ca="1">IF(Table_NFI[[#This Row],[Pcode]]="","",IF(OFFSET(CampList[Opening Date],MATCH(Table_NFI[[#This Row],[Pcode]],CampList[CP_Pcode],0)-1,0,1,1)&gt;=NFI_Monitor_Date,1,0))</f>
        <v/>
      </c>
      <c r="AQ1053" s="579" t="str">
        <f>IFERROR(VLOOKUP(Table_NFI[[#This Row],[Camp Name]],CL,3,0),"")</f>
        <v/>
      </c>
      <c r="AR1053" s="378" t="str">
        <f ca="1">IF(Table_NFI[[#This Row],[Pcode]]="","",OFFSET(CampList[Priority],MATCH(Table_NFI[[#This Row],[Pcode]],CampList[CP_Pcode],0)-1,0,1,1))</f>
        <v/>
      </c>
      <c r="AS1053" s="377" t="str">
        <f>IFERROR(Table_NFI[[#This Row],[Kitchen Set]]/VLOOKUP(Table_NFI[[#This Row],[Camp Name]],CL,4,0),"")</f>
        <v/>
      </c>
      <c r="AT1053" s="577"/>
      <c r="AU1053" s="575"/>
    </row>
    <row r="1054" spans="1:47" x14ac:dyDescent="0.25">
      <c r="A1054" s="381" t="str">
        <f t="shared" si="16"/>
        <v/>
      </c>
      <c r="B1054" s="571"/>
      <c r="C1054" s="577"/>
      <c r="D1054" s="577"/>
      <c r="E1054" s="577"/>
      <c r="F1054" s="577"/>
      <c r="G1054" s="577"/>
      <c r="H1054" s="376"/>
      <c r="I1054" s="376"/>
      <c r="J1054" s="376"/>
      <c r="K1054" s="376"/>
      <c r="L1054" s="376"/>
      <c r="M1054" s="376"/>
      <c r="N1054" s="376"/>
      <c r="O1054" s="376"/>
      <c r="P1054" s="378"/>
      <c r="Q1054" s="378"/>
      <c r="R1054" s="378"/>
      <c r="S1054" s="378"/>
      <c r="T1054" s="378"/>
      <c r="U1054" s="378"/>
      <c r="V1054" s="533"/>
      <c r="W1054" s="602"/>
      <c r="X1054" s="602"/>
      <c r="Y1054" s="378">
        <f>IF(NFI_Expiration=1,IF($A1054&lt;VLOOKUP(H$5,NFI,5,0),1,0)*Table_NFI[[#This Row],[Hygiene Kit]],Table_NFI[Hygiene Kit])</f>
        <v>0</v>
      </c>
      <c r="Z1054" s="378">
        <f>IF(NFI_Expiration=1,IF($A1054&lt;VLOOKUP(I$5,NFI,5,0),1,0)*Table_NFI[[#This Row],[NFI Core Kit]],Table_NFI[NFI Core Kit])</f>
        <v>0</v>
      </c>
      <c r="AA1054" s="378">
        <f>IF(NFI_Expiration=1,IF($A1054&lt;VLOOKUP(J$5,NFI,5,0),1,0)*Table_NFI[[#This Row],[Sanitary Kit]],Table_NFI[Sanitary Kit])</f>
        <v>0</v>
      </c>
      <c r="AB1054" s="378">
        <f>IF(NFI_Expiration=1,IF($A1054&lt;VLOOKUP(K$5,NFI,5,0),1,0)*Table_NFI[[#This Row],[Mosquito net]],Table_NFI[Mosquito net])</f>
        <v>0</v>
      </c>
      <c r="AC1054" s="378">
        <f>IF(NFI_Expiration=1,IF($A1054&lt;VLOOKUP(L$5,NFI,5,0),1,0)*Table_NFI[[#This Row],[Tarpaulin]],Table_NFI[[#This Row],[Tarpaulin]])</f>
        <v>0</v>
      </c>
      <c r="AD1054" s="378">
        <f>IF(NFI_Expiration=1,IF($A1054&lt;VLOOKUP(M$5,NFI,5,0),1,0)*Table_NFI[[#This Row],[Blanket]],Table_NFI[[#This Row],[Blanket]])</f>
        <v>0</v>
      </c>
      <c r="AE1054" s="378">
        <f>IF(NFI_Expiration=1,IF($A1054&lt;VLOOKUP(N$5,NFI,5,0),1,0)*Table_NFI[[#This Row],[Kitchen Set]],Table_NFI[Kitchen Set])</f>
        <v>0</v>
      </c>
      <c r="AF1054" s="378">
        <f>IF(NFI_Expiration=1,IF($A1054&lt;VLOOKUP(O$5,NFI,5,0),1,0)*Table_NFI[[#This Row],[Clothes Kit]],Table_NFI[Clothes Kit])</f>
        <v>0</v>
      </c>
      <c r="AG1054" s="378">
        <f>IF(NFI_Expiration=1,IF($A1054&lt;VLOOKUP(P$5,NFI,5,0),1,0)*Table_NFI[[#This Row],[Plastic Bucket]],Table_NFI[Plastic Bucket])</f>
        <v>0</v>
      </c>
      <c r="AH1054" s="378">
        <f>IF(NFI_Expiration=1,IF($A1054&lt;VLOOKUP(Q$5,NFI,5,0),1,0)*Table_NFI[[#This Row],[Plastic Mat]],Table_NFI[Plastic Mat])*IF(Table_NFI[[#This Row],[Distribution Date]]&gt;"2014-04-01",1,2.5)</f>
        <v>0</v>
      </c>
      <c r="AI1054" s="378">
        <f>IF(NFI_Expiration=1,IF($A1054&lt;VLOOKUP(R$5,NFI,5,0),1,0)*Table_NFI[[#This Row],[Winter Clothes Adult]],Table_NFI[Winter Clothes Adult])</f>
        <v>0</v>
      </c>
      <c r="AJ1054" s="378">
        <f>IF(NFI_Expiration=1,IF($A1054&lt;VLOOKUP(S$5,NFI,5,0),1,0)*Table_NFI[[#This Row],[Winter Clothes Children]],Table_NFI[Winter Clothes Children])</f>
        <v>0</v>
      </c>
      <c r="AK1054" s="378">
        <f>IF(NFI_Expiration=1,IF($A1054&lt;VLOOKUP(T$5,NFI,5,0),1,0)*Table_NFI[[#This Row],[Winter Items Other]],Table_NFI[Winter Items Other])</f>
        <v>0</v>
      </c>
      <c r="AL1054" s="378">
        <f>IF(NFI_Expiration=1,IF($A1054&lt;VLOOKUP(M$5,NFI,5,0),1,0)*Table_NFI[[#This Row],[Winter Blanket]],Table_NFI[[#This Row],[Winter Blanket]])</f>
        <v>0</v>
      </c>
      <c r="AM1054" s="378">
        <f>IF(Table_NFI[[#This Row],[Winter Clothes Adult]]+Table_NFI[[#This Row],[Winter Clothes Children]]+Table_NFI[[#This Row],[Winter Items Other]]+Table_NFI[[#This Row],[Winter Blanket]]&gt;0,1,0)</f>
        <v>0</v>
      </c>
      <c r="AN1054" s="418">
        <f>IF(NFI_Expiration=1,IF($A1054&lt;VLOOKUP(V$5,NFI,5,0),1,0)*Table_NFI[[#This Row],[Jerry Can]],Table_NFI[Jerry Can])</f>
        <v>0</v>
      </c>
      <c r="AO1054" s="579" t="str">
        <f>IFERROR(VLOOKUP(Table_NFI[[#This Row],[Camp Name]],CL,2,0),"")</f>
        <v/>
      </c>
      <c r="AP1054" s="574" t="str">
        <f ca="1">IF(Table_NFI[[#This Row],[Pcode]]="","",IF(OFFSET(CampList[Opening Date],MATCH(Table_NFI[[#This Row],[Pcode]],CampList[CP_Pcode],0)-1,0,1,1)&gt;=NFI_Monitor_Date,1,0))</f>
        <v/>
      </c>
      <c r="AQ1054" s="579" t="str">
        <f>IFERROR(VLOOKUP(Table_NFI[[#This Row],[Camp Name]],CL,3,0),"")</f>
        <v/>
      </c>
      <c r="AR1054" s="378" t="str">
        <f ca="1">IF(Table_NFI[[#This Row],[Pcode]]="","",OFFSET(CampList[Priority],MATCH(Table_NFI[[#This Row],[Pcode]],CampList[CP_Pcode],0)-1,0,1,1))</f>
        <v/>
      </c>
      <c r="AS1054" s="377" t="str">
        <f>IFERROR(Table_NFI[[#This Row],[Kitchen Set]]/VLOOKUP(Table_NFI[[#This Row],[Camp Name]],CL,4,0),"")</f>
        <v/>
      </c>
      <c r="AT1054" s="572"/>
      <c r="AU1054" s="575"/>
    </row>
    <row r="1055" spans="1:47" x14ac:dyDescent="0.25">
      <c r="A1055" s="381" t="str">
        <f t="shared" si="16"/>
        <v/>
      </c>
      <c r="B1055" s="571"/>
      <c r="C1055" s="577"/>
      <c r="D1055" s="577"/>
      <c r="E1055" s="577"/>
      <c r="F1055" s="577"/>
      <c r="G1055" s="577"/>
      <c r="H1055" s="376"/>
      <c r="I1055" s="376"/>
      <c r="J1055" s="376"/>
      <c r="K1055" s="376"/>
      <c r="L1055" s="376"/>
      <c r="M1055" s="376"/>
      <c r="N1055" s="376"/>
      <c r="O1055" s="376"/>
      <c r="P1055" s="378"/>
      <c r="Q1055" s="378"/>
      <c r="R1055" s="378"/>
      <c r="S1055" s="378"/>
      <c r="T1055" s="378"/>
      <c r="U1055" s="378"/>
      <c r="V1055" s="533"/>
      <c r="W1055" s="602"/>
      <c r="X1055" s="602"/>
      <c r="Y1055" s="378">
        <f>IF(NFI_Expiration=1,IF($A1055&lt;VLOOKUP(H$5,NFI,5,0),1,0)*Table_NFI[[#This Row],[Hygiene Kit]],Table_NFI[Hygiene Kit])</f>
        <v>0</v>
      </c>
      <c r="Z1055" s="378">
        <f>IF(NFI_Expiration=1,IF($A1055&lt;VLOOKUP(I$5,NFI,5,0),1,0)*Table_NFI[[#This Row],[NFI Core Kit]],Table_NFI[NFI Core Kit])</f>
        <v>0</v>
      </c>
      <c r="AA1055" s="378">
        <f>IF(NFI_Expiration=1,IF($A1055&lt;VLOOKUP(J$5,NFI,5,0),1,0)*Table_NFI[[#This Row],[Sanitary Kit]],Table_NFI[Sanitary Kit])</f>
        <v>0</v>
      </c>
      <c r="AB1055" s="378">
        <f>IF(NFI_Expiration=1,IF($A1055&lt;VLOOKUP(K$5,NFI,5,0),1,0)*Table_NFI[[#This Row],[Mosquito net]],Table_NFI[Mosquito net])</f>
        <v>0</v>
      </c>
      <c r="AC1055" s="378">
        <f>IF(NFI_Expiration=1,IF($A1055&lt;VLOOKUP(L$5,NFI,5,0),1,0)*Table_NFI[[#This Row],[Tarpaulin]],Table_NFI[[#This Row],[Tarpaulin]])</f>
        <v>0</v>
      </c>
      <c r="AD1055" s="378">
        <f>IF(NFI_Expiration=1,IF($A1055&lt;VLOOKUP(M$5,NFI,5,0),1,0)*Table_NFI[[#This Row],[Blanket]],Table_NFI[[#This Row],[Blanket]])</f>
        <v>0</v>
      </c>
      <c r="AE1055" s="378">
        <f>IF(NFI_Expiration=1,IF($A1055&lt;VLOOKUP(N$5,NFI,5,0),1,0)*Table_NFI[[#This Row],[Kitchen Set]],Table_NFI[Kitchen Set])</f>
        <v>0</v>
      </c>
      <c r="AF1055" s="378">
        <f>IF(NFI_Expiration=1,IF($A1055&lt;VLOOKUP(O$5,NFI,5,0),1,0)*Table_NFI[[#This Row],[Clothes Kit]],Table_NFI[Clothes Kit])</f>
        <v>0</v>
      </c>
      <c r="AG1055" s="378">
        <f>IF(NFI_Expiration=1,IF($A1055&lt;VLOOKUP(P$5,NFI,5,0),1,0)*Table_NFI[[#This Row],[Plastic Bucket]],Table_NFI[Plastic Bucket])</f>
        <v>0</v>
      </c>
      <c r="AH1055" s="378">
        <f>IF(NFI_Expiration=1,IF($A1055&lt;VLOOKUP(Q$5,NFI,5,0),1,0)*Table_NFI[[#This Row],[Plastic Mat]],Table_NFI[Plastic Mat])*IF(Table_NFI[[#This Row],[Distribution Date]]&gt;"2014-04-01",1,2.5)</f>
        <v>0</v>
      </c>
      <c r="AI1055" s="378">
        <f>IF(NFI_Expiration=1,IF($A1055&lt;VLOOKUP(R$5,NFI,5,0),1,0)*Table_NFI[[#This Row],[Winter Clothes Adult]],Table_NFI[Winter Clothes Adult])</f>
        <v>0</v>
      </c>
      <c r="AJ1055" s="378">
        <f>IF(NFI_Expiration=1,IF($A1055&lt;VLOOKUP(S$5,NFI,5,0),1,0)*Table_NFI[[#This Row],[Winter Clothes Children]],Table_NFI[Winter Clothes Children])</f>
        <v>0</v>
      </c>
      <c r="AK1055" s="378">
        <f>IF(NFI_Expiration=1,IF($A1055&lt;VLOOKUP(T$5,NFI,5,0),1,0)*Table_NFI[[#This Row],[Winter Items Other]],Table_NFI[Winter Items Other])</f>
        <v>0</v>
      </c>
      <c r="AL1055" s="378">
        <f>IF(NFI_Expiration=1,IF($A1055&lt;VLOOKUP(M$5,NFI,5,0),1,0)*Table_NFI[[#This Row],[Winter Blanket]],Table_NFI[[#This Row],[Winter Blanket]])</f>
        <v>0</v>
      </c>
      <c r="AM1055" s="378">
        <f>IF(Table_NFI[[#This Row],[Winter Clothes Adult]]+Table_NFI[[#This Row],[Winter Clothes Children]]+Table_NFI[[#This Row],[Winter Items Other]]+Table_NFI[[#This Row],[Winter Blanket]]&gt;0,1,0)</f>
        <v>0</v>
      </c>
      <c r="AN1055" s="418">
        <f>IF(NFI_Expiration=1,IF($A1055&lt;VLOOKUP(V$5,NFI,5,0),1,0)*Table_NFI[[#This Row],[Jerry Can]],Table_NFI[Jerry Can])</f>
        <v>0</v>
      </c>
      <c r="AO1055" s="579" t="str">
        <f>IFERROR(VLOOKUP(Table_NFI[[#This Row],[Camp Name]],CL,2,0),"")</f>
        <v/>
      </c>
      <c r="AP1055" s="574" t="str">
        <f ca="1">IF(Table_NFI[[#This Row],[Pcode]]="","",IF(OFFSET(CampList[Opening Date],MATCH(Table_NFI[[#This Row],[Pcode]],CampList[CP_Pcode],0)-1,0,1,1)&gt;=NFI_Monitor_Date,1,0))</f>
        <v/>
      </c>
      <c r="AQ1055" s="579" t="str">
        <f>IFERROR(VLOOKUP(Table_NFI[[#This Row],[Camp Name]],CL,3,0),"")</f>
        <v/>
      </c>
      <c r="AR1055" s="378" t="str">
        <f ca="1">IF(Table_NFI[[#This Row],[Pcode]]="","",OFFSET(CampList[Priority],MATCH(Table_NFI[[#This Row],[Pcode]],CampList[CP_Pcode],0)-1,0,1,1))</f>
        <v/>
      </c>
      <c r="AS1055" s="377" t="str">
        <f>IFERROR(Table_NFI[[#This Row],[Kitchen Set]]/VLOOKUP(Table_NFI[[#This Row],[Camp Name]],CL,4,0),"")</f>
        <v/>
      </c>
      <c r="AT1055" s="577"/>
      <c r="AU1055" s="580"/>
    </row>
    <row r="1056" spans="1:47" x14ac:dyDescent="0.25">
      <c r="A1056" s="381" t="str">
        <f t="shared" si="16"/>
        <v/>
      </c>
      <c r="B1056" s="571"/>
      <c r="C1056" s="577"/>
      <c r="D1056" s="577"/>
      <c r="E1056" s="577"/>
      <c r="F1056" s="577"/>
      <c r="G1056" s="577"/>
      <c r="H1056" s="376"/>
      <c r="I1056" s="376"/>
      <c r="J1056" s="376"/>
      <c r="K1056" s="376"/>
      <c r="L1056" s="376"/>
      <c r="M1056" s="376"/>
      <c r="N1056" s="376"/>
      <c r="O1056" s="376"/>
      <c r="P1056" s="378"/>
      <c r="Q1056" s="378"/>
      <c r="R1056" s="378"/>
      <c r="S1056" s="378"/>
      <c r="T1056" s="378"/>
      <c r="U1056" s="378"/>
      <c r="V1056" s="533"/>
      <c r="W1056" s="602"/>
      <c r="X1056" s="602"/>
      <c r="Y1056" s="378">
        <f>IF(NFI_Expiration=1,IF($A1056&lt;VLOOKUP(H$5,NFI,5,0),1,0)*Table_NFI[[#This Row],[Hygiene Kit]],Table_NFI[Hygiene Kit])</f>
        <v>0</v>
      </c>
      <c r="Z1056" s="378">
        <f>IF(NFI_Expiration=1,IF($A1056&lt;VLOOKUP(I$5,NFI,5,0),1,0)*Table_NFI[[#This Row],[NFI Core Kit]],Table_NFI[NFI Core Kit])</f>
        <v>0</v>
      </c>
      <c r="AA1056" s="378">
        <f>IF(NFI_Expiration=1,IF($A1056&lt;VLOOKUP(J$5,NFI,5,0),1,0)*Table_NFI[[#This Row],[Sanitary Kit]],Table_NFI[Sanitary Kit])</f>
        <v>0</v>
      </c>
      <c r="AB1056" s="378">
        <f>IF(NFI_Expiration=1,IF($A1056&lt;VLOOKUP(K$5,NFI,5,0),1,0)*Table_NFI[[#This Row],[Mosquito net]],Table_NFI[Mosquito net])</f>
        <v>0</v>
      </c>
      <c r="AC1056" s="378">
        <f>IF(NFI_Expiration=1,IF($A1056&lt;VLOOKUP(L$5,NFI,5,0),1,0)*Table_NFI[[#This Row],[Tarpaulin]],Table_NFI[[#This Row],[Tarpaulin]])</f>
        <v>0</v>
      </c>
      <c r="AD1056" s="378">
        <f>IF(NFI_Expiration=1,IF($A1056&lt;VLOOKUP(M$5,NFI,5,0),1,0)*Table_NFI[[#This Row],[Blanket]],Table_NFI[[#This Row],[Blanket]])</f>
        <v>0</v>
      </c>
      <c r="AE1056" s="378">
        <f>IF(NFI_Expiration=1,IF($A1056&lt;VLOOKUP(N$5,NFI,5,0),1,0)*Table_NFI[[#This Row],[Kitchen Set]],Table_NFI[Kitchen Set])</f>
        <v>0</v>
      </c>
      <c r="AF1056" s="378">
        <f>IF(NFI_Expiration=1,IF($A1056&lt;VLOOKUP(O$5,NFI,5,0),1,0)*Table_NFI[[#This Row],[Clothes Kit]],Table_NFI[Clothes Kit])</f>
        <v>0</v>
      </c>
      <c r="AG1056" s="378">
        <f>IF(NFI_Expiration=1,IF($A1056&lt;VLOOKUP(P$5,NFI,5,0),1,0)*Table_NFI[[#This Row],[Plastic Bucket]],Table_NFI[Plastic Bucket])</f>
        <v>0</v>
      </c>
      <c r="AH1056" s="378">
        <f>IF(NFI_Expiration=1,IF($A1056&lt;VLOOKUP(Q$5,NFI,5,0),1,0)*Table_NFI[[#This Row],[Plastic Mat]],Table_NFI[Plastic Mat])*IF(Table_NFI[[#This Row],[Distribution Date]]&gt;"2014-04-01",1,2.5)</f>
        <v>0</v>
      </c>
      <c r="AI1056" s="378">
        <f>IF(NFI_Expiration=1,IF($A1056&lt;VLOOKUP(R$5,NFI,5,0),1,0)*Table_NFI[[#This Row],[Winter Clothes Adult]],Table_NFI[Winter Clothes Adult])</f>
        <v>0</v>
      </c>
      <c r="AJ1056" s="378">
        <f>IF(NFI_Expiration=1,IF($A1056&lt;VLOOKUP(S$5,NFI,5,0),1,0)*Table_NFI[[#This Row],[Winter Clothes Children]],Table_NFI[Winter Clothes Children])</f>
        <v>0</v>
      </c>
      <c r="AK1056" s="378">
        <f>IF(NFI_Expiration=1,IF($A1056&lt;VLOOKUP(T$5,NFI,5,0),1,0)*Table_NFI[[#This Row],[Winter Items Other]],Table_NFI[Winter Items Other])</f>
        <v>0</v>
      </c>
      <c r="AL1056" s="378">
        <f>IF(NFI_Expiration=1,IF($A1056&lt;VLOOKUP(M$5,NFI,5,0),1,0)*Table_NFI[[#This Row],[Winter Blanket]],Table_NFI[[#This Row],[Winter Blanket]])</f>
        <v>0</v>
      </c>
      <c r="AM1056" s="378">
        <f>IF(Table_NFI[[#This Row],[Winter Clothes Adult]]+Table_NFI[[#This Row],[Winter Clothes Children]]+Table_NFI[[#This Row],[Winter Items Other]]+Table_NFI[[#This Row],[Winter Blanket]]&gt;0,1,0)</f>
        <v>0</v>
      </c>
      <c r="AN1056" s="418">
        <f>IF(NFI_Expiration=1,IF($A1056&lt;VLOOKUP(V$5,NFI,5,0),1,0)*Table_NFI[[#This Row],[Jerry Can]],Table_NFI[Jerry Can])</f>
        <v>0</v>
      </c>
      <c r="AO1056" s="579" t="str">
        <f>IFERROR(VLOOKUP(Table_NFI[[#This Row],[Camp Name]],CL,2,0),"")</f>
        <v/>
      </c>
      <c r="AP1056" s="574" t="str">
        <f ca="1">IF(Table_NFI[[#This Row],[Pcode]]="","",IF(OFFSET(CampList[Opening Date],MATCH(Table_NFI[[#This Row],[Pcode]],CampList[CP_Pcode],0)-1,0,1,1)&gt;=NFI_Monitor_Date,1,0))</f>
        <v/>
      </c>
      <c r="AQ1056" s="579" t="str">
        <f>IFERROR(VLOOKUP(Table_NFI[[#This Row],[Camp Name]],CL,3,0),"")</f>
        <v/>
      </c>
      <c r="AR1056" s="378" t="str">
        <f ca="1">IF(Table_NFI[[#This Row],[Pcode]]="","",OFFSET(CampList[Priority],MATCH(Table_NFI[[#This Row],[Pcode]],CampList[CP_Pcode],0)-1,0,1,1))</f>
        <v/>
      </c>
      <c r="AS1056" s="377" t="str">
        <f>IFERROR(Table_NFI[[#This Row],[Kitchen Set]]/VLOOKUP(Table_NFI[[#This Row],[Camp Name]],CL,4,0),"")</f>
        <v/>
      </c>
      <c r="AT1056" s="572"/>
      <c r="AU1056" s="580"/>
    </row>
    <row r="1057" spans="1:47" x14ac:dyDescent="0.25">
      <c r="A1057" s="381" t="str">
        <f t="shared" si="16"/>
        <v/>
      </c>
      <c r="B1057" s="571"/>
      <c r="C1057" s="577"/>
      <c r="D1057" s="577"/>
      <c r="E1057" s="577"/>
      <c r="F1057" s="577"/>
      <c r="G1057" s="577"/>
      <c r="H1057" s="376"/>
      <c r="I1057" s="376"/>
      <c r="J1057" s="376"/>
      <c r="K1057" s="376"/>
      <c r="L1057" s="376"/>
      <c r="M1057" s="376"/>
      <c r="N1057" s="376"/>
      <c r="O1057" s="376"/>
      <c r="P1057" s="378"/>
      <c r="Q1057" s="378"/>
      <c r="R1057" s="378"/>
      <c r="S1057" s="378"/>
      <c r="T1057" s="378"/>
      <c r="U1057" s="378"/>
      <c r="V1057" s="533"/>
      <c r="W1057" s="602"/>
      <c r="X1057" s="602"/>
      <c r="Y1057" s="378">
        <f>IF(NFI_Expiration=1,IF($A1057&lt;VLOOKUP(H$5,NFI,5,0),1,0)*Table_NFI[[#This Row],[Hygiene Kit]],Table_NFI[Hygiene Kit])</f>
        <v>0</v>
      </c>
      <c r="Z1057" s="378">
        <f>IF(NFI_Expiration=1,IF($A1057&lt;VLOOKUP(I$5,NFI,5,0),1,0)*Table_NFI[[#This Row],[NFI Core Kit]],Table_NFI[NFI Core Kit])</f>
        <v>0</v>
      </c>
      <c r="AA1057" s="378">
        <f>IF(NFI_Expiration=1,IF($A1057&lt;VLOOKUP(J$5,NFI,5,0),1,0)*Table_NFI[[#This Row],[Sanitary Kit]],Table_NFI[Sanitary Kit])</f>
        <v>0</v>
      </c>
      <c r="AB1057" s="378">
        <f>IF(NFI_Expiration=1,IF($A1057&lt;VLOOKUP(K$5,NFI,5,0),1,0)*Table_NFI[[#This Row],[Mosquito net]],Table_NFI[Mosquito net])</f>
        <v>0</v>
      </c>
      <c r="AC1057" s="378">
        <f>IF(NFI_Expiration=1,IF($A1057&lt;VLOOKUP(L$5,NFI,5,0),1,0)*Table_NFI[[#This Row],[Tarpaulin]],Table_NFI[[#This Row],[Tarpaulin]])</f>
        <v>0</v>
      </c>
      <c r="AD1057" s="378">
        <f>IF(NFI_Expiration=1,IF($A1057&lt;VLOOKUP(M$5,NFI,5,0),1,0)*Table_NFI[[#This Row],[Blanket]],Table_NFI[[#This Row],[Blanket]])</f>
        <v>0</v>
      </c>
      <c r="AE1057" s="378">
        <f>IF(NFI_Expiration=1,IF($A1057&lt;VLOOKUP(N$5,NFI,5,0),1,0)*Table_NFI[[#This Row],[Kitchen Set]],Table_NFI[Kitchen Set])</f>
        <v>0</v>
      </c>
      <c r="AF1057" s="378">
        <f>IF(NFI_Expiration=1,IF($A1057&lt;VLOOKUP(O$5,NFI,5,0),1,0)*Table_NFI[[#This Row],[Clothes Kit]],Table_NFI[Clothes Kit])</f>
        <v>0</v>
      </c>
      <c r="AG1057" s="378">
        <f>IF(NFI_Expiration=1,IF($A1057&lt;VLOOKUP(P$5,NFI,5,0),1,0)*Table_NFI[[#This Row],[Plastic Bucket]],Table_NFI[Plastic Bucket])</f>
        <v>0</v>
      </c>
      <c r="AH1057" s="378">
        <f>IF(NFI_Expiration=1,IF($A1057&lt;VLOOKUP(Q$5,NFI,5,0),1,0)*Table_NFI[[#This Row],[Plastic Mat]],Table_NFI[Plastic Mat])*IF(Table_NFI[[#This Row],[Distribution Date]]&gt;"2014-04-01",1,2.5)</f>
        <v>0</v>
      </c>
      <c r="AI1057" s="378">
        <f>IF(NFI_Expiration=1,IF($A1057&lt;VLOOKUP(R$5,NFI,5,0),1,0)*Table_NFI[[#This Row],[Winter Clothes Adult]],Table_NFI[Winter Clothes Adult])</f>
        <v>0</v>
      </c>
      <c r="AJ1057" s="378">
        <f>IF(NFI_Expiration=1,IF($A1057&lt;VLOOKUP(S$5,NFI,5,0),1,0)*Table_NFI[[#This Row],[Winter Clothes Children]],Table_NFI[Winter Clothes Children])</f>
        <v>0</v>
      </c>
      <c r="AK1057" s="378">
        <f>IF(NFI_Expiration=1,IF($A1057&lt;VLOOKUP(T$5,NFI,5,0),1,0)*Table_NFI[[#This Row],[Winter Items Other]],Table_NFI[Winter Items Other])</f>
        <v>0</v>
      </c>
      <c r="AL1057" s="378">
        <f>IF(NFI_Expiration=1,IF($A1057&lt;VLOOKUP(M$5,NFI,5,0),1,0)*Table_NFI[[#This Row],[Winter Blanket]],Table_NFI[[#This Row],[Winter Blanket]])</f>
        <v>0</v>
      </c>
      <c r="AM1057" s="378">
        <f>IF(Table_NFI[[#This Row],[Winter Clothes Adult]]+Table_NFI[[#This Row],[Winter Clothes Children]]+Table_NFI[[#This Row],[Winter Items Other]]+Table_NFI[[#This Row],[Winter Blanket]]&gt;0,1,0)</f>
        <v>0</v>
      </c>
      <c r="AN1057" s="418">
        <f>IF(NFI_Expiration=1,IF($A1057&lt;VLOOKUP(V$5,NFI,5,0),1,0)*Table_NFI[[#This Row],[Jerry Can]],Table_NFI[Jerry Can])</f>
        <v>0</v>
      </c>
      <c r="AO1057" s="579" t="str">
        <f>IFERROR(VLOOKUP(Table_NFI[[#This Row],[Camp Name]],CL,2,0),"")</f>
        <v/>
      </c>
      <c r="AP1057" s="574" t="str">
        <f ca="1">IF(Table_NFI[[#This Row],[Pcode]]="","",IF(OFFSET(CampList[Opening Date],MATCH(Table_NFI[[#This Row],[Pcode]],CampList[CP_Pcode],0)-1,0,1,1)&gt;=NFI_Monitor_Date,1,0))</f>
        <v/>
      </c>
      <c r="AQ1057" s="579" t="str">
        <f>IFERROR(VLOOKUP(Table_NFI[[#This Row],[Camp Name]],CL,3,0),"")</f>
        <v/>
      </c>
      <c r="AR1057" s="378" t="str">
        <f ca="1">IF(Table_NFI[[#This Row],[Pcode]]="","",OFFSET(CampList[Priority],MATCH(Table_NFI[[#This Row],[Pcode]],CampList[CP_Pcode],0)-1,0,1,1))</f>
        <v/>
      </c>
      <c r="AS1057" s="377" t="str">
        <f>IFERROR(Table_NFI[[#This Row],[Kitchen Set]]/VLOOKUP(Table_NFI[[#This Row],[Camp Name]],CL,4,0),"")</f>
        <v/>
      </c>
      <c r="AT1057" s="572"/>
      <c r="AU1057" s="575"/>
    </row>
    <row r="1058" spans="1:47" x14ac:dyDescent="0.25">
      <c r="A1058" s="381" t="str">
        <f t="shared" si="16"/>
        <v/>
      </c>
      <c r="B1058" s="571"/>
      <c r="C1058" s="577"/>
      <c r="D1058" s="577"/>
      <c r="E1058" s="577"/>
      <c r="F1058" s="577"/>
      <c r="G1058" s="577"/>
      <c r="H1058" s="376"/>
      <c r="I1058" s="376"/>
      <c r="J1058" s="376"/>
      <c r="K1058" s="376"/>
      <c r="L1058" s="376"/>
      <c r="M1058" s="376"/>
      <c r="N1058" s="376"/>
      <c r="O1058" s="376"/>
      <c r="P1058" s="378"/>
      <c r="Q1058" s="378"/>
      <c r="R1058" s="378"/>
      <c r="S1058" s="378"/>
      <c r="T1058" s="378"/>
      <c r="U1058" s="378"/>
      <c r="V1058" s="533"/>
      <c r="W1058" s="602"/>
      <c r="X1058" s="602"/>
      <c r="Y1058" s="378">
        <f>IF(NFI_Expiration=1,IF($A1058&lt;VLOOKUP(H$5,NFI,5,0),1,0)*Table_NFI[[#This Row],[Hygiene Kit]],Table_NFI[Hygiene Kit])</f>
        <v>0</v>
      </c>
      <c r="Z1058" s="378">
        <f>IF(NFI_Expiration=1,IF($A1058&lt;VLOOKUP(I$5,NFI,5,0),1,0)*Table_NFI[[#This Row],[NFI Core Kit]],Table_NFI[NFI Core Kit])</f>
        <v>0</v>
      </c>
      <c r="AA1058" s="378">
        <f>IF(NFI_Expiration=1,IF($A1058&lt;VLOOKUP(J$5,NFI,5,0),1,0)*Table_NFI[[#This Row],[Sanitary Kit]],Table_NFI[Sanitary Kit])</f>
        <v>0</v>
      </c>
      <c r="AB1058" s="378">
        <f>IF(NFI_Expiration=1,IF($A1058&lt;VLOOKUP(K$5,NFI,5,0),1,0)*Table_NFI[[#This Row],[Mosquito net]],Table_NFI[Mosquito net])</f>
        <v>0</v>
      </c>
      <c r="AC1058" s="378">
        <f>IF(NFI_Expiration=1,IF($A1058&lt;VLOOKUP(L$5,NFI,5,0),1,0)*Table_NFI[[#This Row],[Tarpaulin]],Table_NFI[[#This Row],[Tarpaulin]])</f>
        <v>0</v>
      </c>
      <c r="AD1058" s="378">
        <f>IF(NFI_Expiration=1,IF($A1058&lt;VLOOKUP(M$5,NFI,5,0),1,0)*Table_NFI[[#This Row],[Blanket]],Table_NFI[[#This Row],[Blanket]])</f>
        <v>0</v>
      </c>
      <c r="AE1058" s="378">
        <f>IF(NFI_Expiration=1,IF($A1058&lt;VLOOKUP(N$5,NFI,5,0),1,0)*Table_NFI[[#This Row],[Kitchen Set]],Table_NFI[Kitchen Set])</f>
        <v>0</v>
      </c>
      <c r="AF1058" s="378">
        <f>IF(NFI_Expiration=1,IF($A1058&lt;VLOOKUP(O$5,NFI,5,0),1,0)*Table_NFI[[#This Row],[Clothes Kit]],Table_NFI[Clothes Kit])</f>
        <v>0</v>
      </c>
      <c r="AG1058" s="378">
        <f>IF(NFI_Expiration=1,IF($A1058&lt;VLOOKUP(P$5,NFI,5,0),1,0)*Table_NFI[[#This Row],[Plastic Bucket]],Table_NFI[Plastic Bucket])</f>
        <v>0</v>
      </c>
      <c r="AH1058" s="378">
        <f>IF(NFI_Expiration=1,IF($A1058&lt;VLOOKUP(Q$5,NFI,5,0),1,0)*Table_NFI[[#This Row],[Plastic Mat]],Table_NFI[Plastic Mat])*IF(Table_NFI[[#This Row],[Distribution Date]]&gt;"2014-04-01",1,2.5)</f>
        <v>0</v>
      </c>
      <c r="AI1058" s="378">
        <f>IF(NFI_Expiration=1,IF($A1058&lt;VLOOKUP(R$5,NFI,5,0),1,0)*Table_NFI[[#This Row],[Winter Clothes Adult]],Table_NFI[Winter Clothes Adult])</f>
        <v>0</v>
      </c>
      <c r="AJ1058" s="378">
        <f>IF(NFI_Expiration=1,IF($A1058&lt;VLOOKUP(S$5,NFI,5,0),1,0)*Table_NFI[[#This Row],[Winter Clothes Children]],Table_NFI[Winter Clothes Children])</f>
        <v>0</v>
      </c>
      <c r="AK1058" s="378">
        <f>IF(NFI_Expiration=1,IF($A1058&lt;VLOOKUP(T$5,NFI,5,0),1,0)*Table_NFI[[#This Row],[Winter Items Other]],Table_NFI[Winter Items Other])</f>
        <v>0</v>
      </c>
      <c r="AL1058" s="378">
        <f>IF(NFI_Expiration=1,IF($A1058&lt;VLOOKUP(M$5,NFI,5,0),1,0)*Table_NFI[[#This Row],[Winter Blanket]],Table_NFI[[#This Row],[Winter Blanket]])</f>
        <v>0</v>
      </c>
      <c r="AM1058" s="378">
        <f>IF(Table_NFI[[#This Row],[Winter Clothes Adult]]+Table_NFI[[#This Row],[Winter Clothes Children]]+Table_NFI[[#This Row],[Winter Items Other]]+Table_NFI[[#This Row],[Winter Blanket]]&gt;0,1,0)</f>
        <v>0</v>
      </c>
      <c r="AN1058" s="418">
        <f>IF(NFI_Expiration=1,IF($A1058&lt;VLOOKUP(V$5,NFI,5,0),1,0)*Table_NFI[[#This Row],[Jerry Can]],Table_NFI[Jerry Can])</f>
        <v>0</v>
      </c>
      <c r="AO1058" s="579" t="str">
        <f>IFERROR(VLOOKUP(Table_NFI[[#This Row],[Camp Name]],CL,2,0),"")</f>
        <v/>
      </c>
      <c r="AP1058" s="574" t="str">
        <f ca="1">IF(Table_NFI[[#This Row],[Pcode]]="","",IF(OFFSET(CampList[Opening Date],MATCH(Table_NFI[[#This Row],[Pcode]],CampList[CP_Pcode],0)-1,0,1,1)&gt;=NFI_Monitor_Date,1,0))</f>
        <v/>
      </c>
      <c r="AQ1058" s="579" t="str">
        <f>IFERROR(VLOOKUP(Table_NFI[[#This Row],[Camp Name]],CL,3,0),"")</f>
        <v/>
      </c>
      <c r="AR1058" s="378" t="str">
        <f ca="1">IF(Table_NFI[[#This Row],[Pcode]]="","",OFFSET(CampList[Priority],MATCH(Table_NFI[[#This Row],[Pcode]],CampList[CP_Pcode],0)-1,0,1,1))</f>
        <v/>
      </c>
      <c r="AS1058" s="377" t="str">
        <f>IFERROR(Table_NFI[[#This Row],[Kitchen Set]]/VLOOKUP(Table_NFI[[#This Row],[Camp Name]],CL,4,0),"")</f>
        <v/>
      </c>
      <c r="AT1058" s="572"/>
      <c r="AU1058" s="575"/>
    </row>
    <row r="1059" spans="1:47" x14ac:dyDescent="0.25">
      <c r="A1059" s="381" t="str">
        <f t="shared" si="16"/>
        <v/>
      </c>
      <c r="B1059" s="571"/>
      <c r="C1059" s="577"/>
      <c r="D1059" s="577"/>
      <c r="E1059" s="577"/>
      <c r="F1059" s="577"/>
      <c r="G1059" s="577"/>
      <c r="H1059" s="376"/>
      <c r="I1059" s="376"/>
      <c r="J1059" s="376"/>
      <c r="K1059" s="376"/>
      <c r="L1059" s="376"/>
      <c r="M1059" s="376"/>
      <c r="N1059" s="376"/>
      <c r="O1059" s="376"/>
      <c r="P1059" s="378"/>
      <c r="Q1059" s="378"/>
      <c r="R1059" s="378"/>
      <c r="S1059" s="378"/>
      <c r="T1059" s="378"/>
      <c r="U1059" s="378"/>
      <c r="V1059" s="533"/>
      <c r="W1059" s="602"/>
      <c r="X1059" s="602"/>
      <c r="Y1059" s="378">
        <f>IF(NFI_Expiration=1,IF($A1059&lt;VLOOKUP(H$5,NFI,5,0),1,0)*Table_NFI[[#This Row],[Hygiene Kit]],Table_NFI[Hygiene Kit])</f>
        <v>0</v>
      </c>
      <c r="Z1059" s="378">
        <f>IF(NFI_Expiration=1,IF($A1059&lt;VLOOKUP(I$5,NFI,5,0),1,0)*Table_NFI[[#This Row],[NFI Core Kit]],Table_NFI[NFI Core Kit])</f>
        <v>0</v>
      </c>
      <c r="AA1059" s="378">
        <f>IF(NFI_Expiration=1,IF($A1059&lt;VLOOKUP(J$5,NFI,5,0),1,0)*Table_NFI[[#This Row],[Sanitary Kit]],Table_NFI[Sanitary Kit])</f>
        <v>0</v>
      </c>
      <c r="AB1059" s="378">
        <f>IF(NFI_Expiration=1,IF($A1059&lt;VLOOKUP(K$5,NFI,5,0),1,0)*Table_NFI[[#This Row],[Mosquito net]],Table_NFI[Mosquito net])</f>
        <v>0</v>
      </c>
      <c r="AC1059" s="378">
        <f>IF(NFI_Expiration=1,IF($A1059&lt;VLOOKUP(L$5,NFI,5,0),1,0)*Table_NFI[[#This Row],[Tarpaulin]],Table_NFI[[#This Row],[Tarpaulin]])</f>
        <v>0</v>
      </c>
      <c r="AD1059" s="378">
        <f>IF(NFI_Expiration=1,IF($A1059&lt;VLOOKUP(M$5,NFI,5,0),1,0)*Table_NFI[[#This Row],[Blanket]],Table_NFI[[#This Row],[Blanket]])</f>
        <v>0</v>
      </c>
      <c r="AE1059" s="378">
        <f>IF(NFI_Expiration=1,IF($A1059&lt;VLOOKUP(N$5,NFI,5,0),1,0)*Table_NFI[[#This Row],[Kitchen Set]],Table_NFI[Kitchen Set])</f>
        <v>0</v>
      </c>
      <c r="AF1059" s="378">
        <f>IF(NFI_Expiration=1,IF($A1059&lt;VLOOKUP(O$5,NFI,5,0),1,0)*Table_NFI[[#This Row],[Clothes Kit]],Table_NFI[Clothes Kit])</f>
        <v>0</v>
      </c>
      <c r="AG1059" s="378">
        <f>IF(NFI_Expiration=1,IF($A1059&lt;VLOOKUP(P$5,NFI,5,0),1,0)*Table_NFI[[#This Row],[Plastic Bucket]],Table_NFI[Plastic Bucket])</f>
        <v>0</v>
      </c>
      <c r="AH1059" s="378">
        <f>IF(NFI_Expiration=1,IF($A1059&lt;VLOOKUP(Q$5,NFI,5,0),1,0)*Table_NFI[[#This Row],[Plastic Mat]],Table_NFI[Plastic Mat])*IF(Table_NFI[[#This Row],[Distribution Date]]&gt;"2014-04-01",1,2.5)</f>
        <v>0</v>
      </c>
      <c r="AI1059" s="378">
        <f>IF(NFI_Expiration=1,IF($A1059&lt;VLOOKUP(R$5,NFI,5,0),1,0)*Table_NFI[[#This Row],[Winter Clothes Adult]],Table_NFI[Winter Clothes Adult])</f>
        <v>0</v>
      </c>
      <c r="AJ1059" s="378">
        <f>IF(NFI_Expiration=1,IF($A1059&lt;VLOOKUP(S$5,NFI,5,0),1,0)*Table_NFI[[#This Row],[Winter Clothes Children]],Table_NFI[Winter Clothes Children])</f>
        <v>0</v>
      </c>
      <c r="AK1059" s="378">
        <f>IF(NFI_Expiration=1,IF($A1059&lt;VLOOKUP(T$5,NFI,5,0),1,0)*Table_NFI[[#This Row],[Winter Items Other]],Table_NFI[Winter Items Other])</f>
        <v>0</v>
      </c>
      <c r="AL1059" s="378">
        <f>IF(NFI_Expiration=1,IF($A1059&lt;VLOOKUP(M$5,NFI,5,0),1,0)*Table_NFI[[#This Row],[Winter Blanket]],Table_NFI[[#This Row],[Winter Blanket]])</f>
        <v>0</v>
      </c>
      <c r="AM1059" s="378">
        <f>IF(Table_NFI[[#This Row],[Winter Clothes Adult]]+Table_NFI[[#This Row],[Winter Clothes Children]]+Table_NFI[[#This Row],[Winter Items Other]]+Table_NFI[[#This Row],[Winter Blanket]]&gt;0,1,0)</f>
        <v>0</v>
      </c>
      <c r="AN1059" s="418">
        <f>IF(NFI_Expiration=1,IF($A1059&lt;VLOOKUP(V$5,NFI,5,0),1,0)*Table_NFI[[#This Row],[Jerry Can]],Table_NFI[Jerry Can])</f>
        <v>0</v>
      </c>
      <c r="AO1059" s="579" t="str">
        <f>IFERROR(VLOOKUP(Table_NFI[[#This Row],[Camp Name]],CL,2,0),"")</f>
        <v/>
      </c>
      <c r="AP1059" s="574" t="str">
        <f ca="1">IF(Table_NFI[[#This Row],[Pcode]]="","",IF(OFFSET(CampList[Opening Date],MATCH(Table_NFI[[#This Row],[Pcode]],CampList[CP_Pcode],0)-1,0,1,1)&gt;=NFI_Monitor_Date,1,0))</f>
        <v/>
      </c>
      <c r="AQ1059" s="579" t="str">
        <f>IFERROR(VLOOKUP(Table_NFI[[#This Row],[Camp Name]],CL,3,0),"")</f>
        <v/>
      </c>
      <c r="AR1059" s="378" t="str">
        <f ca="1">IF(Table_NFI[[#This Row],[Pcode]]="","",OFFSET(CampList[Priority],MATCH(Table_NFI[[#This Row],[Pcode]],CampList[CP_Pcode],0)-1,0,1,1))</f>
        <v/>
      </c>
      <c r="AS1059" s="377" t="str">
        <f>IFERROR(Table_NFI[[#This Row],[Kitchen Set]]/VLOOKUP(Table_NFI[[#This Row],[Camp Name]],CL,4,0),"")</f>
        <v/>
      </c>
      <c r="AT1059" s="572"/>
      <c r="AU1059" s="601"/>
    </row>
    <row r="1060" spans="1:47" x14ac:dyDescent="0.25">
      <c r="A1060" s="381" t="str">
        <f t="shared" si="16"/>
        <v/>
      </c>
      <c r="B1060" s="571"/>
      <c r="C1060" s="577"/>
      <c r="D1060" s="577"/>
      <c r="E1060" s="577"/>
      <c r="F1060" s="577"/>
      <c r="G1060" s="577"/>
      <c r="H1060" s="376"/>
      <c r="I1060" s="376"/>
      <c r="J1060" s="376"/>
      <c r="K1060" s="376"/>
      <c r="L1060" s="376"/>
      <c r="M1060" s="376"/>
      <c r="N1060" s="376"/>
      <c r="O1060" s="376"/>
      <c r="P1060" s="378"/>
      <c r="Q1060" s="378"/>
      <c r="R1060" s="378"/>
      <c r="S1060" s="378"/>
      <c r="T1060" s="378"/>
      <c r="U1060" s="378"/>
      <c r="V1060" s="533"/>
      <c r="W1060" s="602"/>
      <c r="X1060" s="602"/>
      <c r="Y1060" s="378">
        <f>IF(NFI_Expiration=1,IF($A1060&lt;VLOOKUP(H$5,NFI,5,0),1,0)*Table_NFI[[#This Row],[Hygiene Kit]],Table_NFI[Hygiene Kit])</f>
        <v>0</v>
      </c>
      <c r="Z1060" s="378">
        <f>IF(NFI_Expiration=1,IF($A1060&lt;VLOOKUP(I$5,NFI,5,0),1,0)*Table_NFI[[#This Row],[NFI Core Kit]],Table_NFI[NFI Core Kit])</f>
        <v>0</v>
      </c>
      <c r="AA1060" s="378">
        <f>IF(NFI_Expiration=1,IF($A1060&lt;VLOOKUP(J$5,NFI,5,0),1,0)*Table_NFI[[#This Row],[Sanitary Kit]],Table_NFI[Sanitary Kit])</f>
        <v>0</v>
      </c>
      <c r="AB1060" s="378">
        <f>IF(NFI_Expiration=1,IF($A1060&lt;VLOOKUP(K$5,NFI,5,0),1,0)*Table_NFI[[#This Row],[Mosquito net]],Table_NFI[Mosquito net])</f>
        <v>0</v>
      </c>
      <c r="AC1060" s="378">
        <f>IF(NFI_Expiration=1,IF($A1060&lt;VLOOKUP(L$5,NFI,5,0),1,0)*Table_NFI[[#This Row],[Tarpaulin]],Table_NFI[[#This Row],[Tarpaulin]])</f>
        <v>0</v>
      </c>
      <c r="AD1060" s="378">
        <f>IF(NFI_Expiration=1,IF($A1060&lt;VLOOKUP(M$5,NFI,5,0),1,0)*Table_NFI[[#This Row],[Blanket]],Table_NFI[[#This Row],[Blanket]])</f>
        <v>0</v>
      </c>
      <c r="AE1060" s="378">
        <f>IF(NFI_Expiration=1,IF($A1060&lt;VLOOKUP(N$5,NFI,5,0),1,0)*Table_NFI[[#This Row],[Kitchen Set]],Table_NFI[Kitchen Set])</f>
        <v>0</v>
      </c>
      <c r="AF1060" s="378">
        <f>IF(NFI_Expiration=1,IF($A1060&lt;VLOOKUP(O$5,NFI,5,0),1,0)*Table_NFI[[#This Row],[Clothes Kit]],Table_NFI[Clothes Kit])</f>
        <v>0</v>
      </c>
      <c r="AG1060" s="378">
        <f>IF(NFI_Expiration=1,IF($A1060&lt;VLOOKUP(P$5,NFI,5,0),1,0)*Table_NFI[[#This Row],[Plastic Bucket]],Table_NFI[Plastic Bucket])</f>
        <v>0</v>
      </c>
      <c r="AH1060" s="378">
        <f>IF(NFI_Expiration=1,IF($A1060&lt;VLOOKUP(Q$5,NFI,5,0),1,0)*Table_NFI[[#This Row],[Plastic Mat]],Table_NFI[Plastic Mat])*IF(Table_NFI[[#This Row],[Distribution Date]]&gt;"2014-04-01",1,2.5)</f>
        <v>0</v>
      </c>
      <c r="AI1060" s="378">
        <f>IF(NFI_Expiration=1,IF($A1060&lt;VLOOKUP(R$5,NFI,5,0),1,0)*Table_NFI[[#This Row],[Winter Clothes Adult]],Table_NFI[Winter Clothes Adult])</f>
        <v>0</v>
      </c>
      <c r="AJ1060" s="378">
        <f>IF(NFI_Expiration=1,IF($A1060&lt;VLOOKUP(S$5,NFI,5,0),1,0)*Table_NFI[[#This Row],[Winter Clothes Children]],Table_NFI[Winter Clothes Children])</f>
        <v>0</v>
      </c>
      <c r="AK1060" s="378">
        <f>IF(NFI_Expiration=1,IF($A1060&lt;VLOOKUP(T$5,NFI,5,0),1,0)*Table_NFI[[#This Row],[Winter Items Other]],Table_NFI[Winter Items Other])</f>
        <v>0</v>
      </c>
      <c r="AL1060" s="378">
        <f>IF(NFI_Expiration=1,IF($A1060&lt;VLOOKUP(M$5,NFI,5,0),1,0)*Table_NFI[[#This Row],[Winter Blanket]],Table_NFI[[#This Row],[Winter Blanket]])</f>
        <v>0</v>
      </c>
      <c r="AM1060" s="378">
        <f>IF(Table_NFI[[#This Row],[Winter Clothes Adult]]+Table_NFI[[#This Row],[Winter Clothes Children]]+Table_NFI[[#This Row],[Winter Items Other]]+Table_NFI[[#This Row],[Winter Blanket]]&gt;0,1,0)</f>
        <v>0</v>
      </c>
      <c r="AN1060" s="418">
        <f>IF(NFI_Expiration=1,IF($A1060&lt;VLOOKUP(V$5,NFI,5,0),1,0)*Table_NFI[[#This Row],[Jerry Can]],Table_NFI[Jerry Can])</f>
        <v>0</v>
      </c>
      <c r="AO1060" s="579" t="str">
        <f>IFERROR(VLOOKUP(Table_NFI[[#This Row],[Camp Name]],CL,2,0),"")</f>
        <v/>
      </c>
      <c r="AP1060" s="574" t="str">
        <f ca="1">IF(Table_NFI[[#This Row],[Pcode]]="","",IF(OFFSET(CampList[Opening Date],MATCH(Table_NFI[[#This Row],[Pcode]],CampList[CP_Pcode],0)-1,0,1,1)&gt;=NFI_Monitor_Date,1,0))</f>
        <v/>
      </c>
      <c r="AQ1060" s="579" t="str">
        <f>IFERROR(VLOOKUP(Table_NFI[[#This Row],[Camp Name]],CL,3,0),"")</f>
        <v/>
      </c>
      <c r="AR1060" s="378" t="str">
        <f ca="1">IF(Table_NFI[[#This Row],[Pcode]]="","",OFFSET(CampList[Priority],MATCH(Table_NFI[[#This Row],[Pcode]],CampList[CP_Pcode],0)-1,0,1,1))</f>
        <v/>
      </c>
      <c r="AS1060" s="377" t="str">
        <f>IFERROR(Table_NFI[[#This Row],[Kitchen Set]]/VLOOKUP(Table_NFI[[#This Row],[Camp Name]],CL,4,0),"")</f>
        <v/>
      </c>
      <c r="AT1060" s="572"/>
      <c r="AU1060" s="575"/>
    </row>
    <row r="1061" spans="1:47" x14ac:dyDescent="0.25">
      <c r="A1061" s="381" t="str">
        <f t="shared" si="16"/>
        <v/>
      </c>
      <c r="B1061" s="571"/>
      <c r="C1061" s="577"/>
      <c r="D1061" s="577"/>
      <c r="E1061" s="577"/>
      <c r="F1061" s="577"/>
      <c r="G1061" s="577"/>
      <c r="H1061" s="376"/>
      <c r="I1061" s="376"/>
      <c r="J1061" s="376"/>
      <c r="K1061" s="376"/>
      <c r="L1061" s="376"/>
      <c r="M1061" s="376"/>
      <c r="N1061" s="376"/>
      <c r="O1061" s="376"/>
      <c r="P1061" s="378"/>
      <c r="Q1061" s="378"/>
      <c r="R1061" s="378"/>
      <c r="S1061" s="378"/>
      <c r="T1061" s="378"/>
      <c r="U1061" s="378"/>
      <c r="V1061" s="533"/>
      <c r="W1061" s="602"/>
      <c r="X1061" s="602"/>
      <c r="Y1061" s="378">
        <f>IF(NFI_Expiration=1,IF($A1061&lt;VLOOKUP(H$5,NFI,5,0),1,0)*Table_NFI[[#This Row],[Hygiene Kit]],Table_NFI[Hygiene Kit])</f>
        <v>0</v>
      </c>
      <c r="Z1061" s="378">
        <f>IF(NFI_Expiration=1,IF($A1061&lt;VLOOKUP(I$5,NFI,5,0),1,0)*Table_NFI[[#This Row],[NFI Core Kit]],Table_NFI[NFI Core Kit])</f>
        <v>0</v>
      </c>
      <c r="AA1061" s="378">
        <f>IF(NFI_Expiration=1,IF($A1061&lt;VLOOKUP(J$5,NFI,5,0),1,0)*Table_NFI[[#This Row],[Sanitary Kit]],Table_NFI[Sanitary Kit])</f>
        <v>0</v>
      </c>
      <c r="AB1061" s="378">
        <f>IF(NFI_Expiration=1,IF($A1061&lt;VLOOKUP(K$5,NFI,5,0),1,0)*Table_NFI[[#This Row],[Mosquito net]],Table_NFI[Mosquito net])</f>
        <v>0</v>
      </c>
      <c r="AC1061" s="378">
        <f>IF(NFI_Expiration=1,IF($A1061&lt;VLOOKUP(L$5,NFI,5,0),1,0)*Table_NFI[[#This Row],[Tarpaulin]],Table_NFI[[#This Row],[Tarpaulin]])</f>
        <v>0</v>
      </c>
      <c r="AD1061" s="378">
        <f>IF(NFI_Expiration=1,IF($A1061&lt;VLOOKUP(M$5,NFI,5,0),1,0)*Table_NFI[[#This Row],[Blanket]],Table_NFI[[#This Row],[Blanket]])</f>
        <v>0</v>
      </c>
      <c r="AE1061" s="378">
        <f>IF(NFI_Expiration=1,IF($A1061&lt;VLOOKUP(N$5,NFI,5,0),1,0)*Table_NFI[[#This Row],[Kitchen Set]],Table_NFI[Kitchen Set])</f>
        <v>0</v>
      </c>
      <c r="AF1061" s="378">
        <f>IF(NFI_Expiration=1,IF($A1061&lt;VLOOKUP(O$5,NFI,5,0),1,0)*Table_NFI[[#This Row],[Clothes Kit]],Table_NFI[Clothes Kit])</f>
        <v>0</v>
      </c>
      <c r="AG1061" s="378">
        <f>IF(NFI_Expiration=1,IF($A1061&lt;VLOOKUP(P$5,NFI,5,0),1,0)*Table_NFI[[#This Row],[Plastic Bucket]],Table_NFI[Plastic Bucket])</f>
        <v>0</v>
      </c>
      <c r="AH1061" s="378">
        <f>IF(NFI_Expiration=1,IF($A1061&lt;VLOOKUP(Q$5,NFI,5,0),1,0)*Table_NFI[[#This Row],[Plastic Mat]],Table_NFI[Plastic Mat])*IF(Table_NFI[[#This Row],[Distribution Date]]&gt;"2014-04-01",1,2.5)</f>
        <v>0</v>
      </c>
      <c r="AI1061" s="378">
        <f>IF(NFI_Expiration=1,IF($A1061&lt;VLOOKUP(R$5,NFI,5,0),1,0)*Table_NFI[[#This Row],[Winter Clothes Adult]],Table_NFI[Winter Clothes Adult])</f>
        <v>0</v>
      </c>
      <c r="AJ1061" s="378">
        <f>IF(NFI_Expiration=1,IF($A1061&lt;VLOOKUP(S$5,NFI,5,0),1,0)*Table_NFI[[#This Row],[Winter Clothes Children]],Table_NFI[Winter Clothes Children])</f>
        <v>0</v>
      </c>
      <c r="AK1061" s="378">
        <f>IF(NFI_Expiration=1,IF($A1061&lt;VLOOKUP(T$5,NFI,5,0),1,0)*Table_NFI[[#This Row],[Winter Items Other]],Table_NFI[Winter Items Other])</f>
        <v>0</v>
      </c>
      <c r="AL1061" s="378">
        <f>IF(NFI_Expiration=1,IF($A1061&lt;VLOOKUP(M$5,NFI,5,0),1,0)*Table_NFI[[#This Row],[Winter Blanket]],Table_NFI[[#This Row],[Winter Blanket]])</f>
        <v>0</v>
      </c>
      <c r="AM1061" s="378">
        <f>IF(Table_NFI[[#This Row],[Winter Clothes Adult]]+Table_NFI[[#This Row],[Winter Clothes Children]]+Table_NFI[[#This Row],[Winter Items Other]]+Table_NFI[[#This Row],[Winter Blanket]]&gt;0,1,0)</f>
        <v>0</v>
      </c>
      <c r="AN1061" s="418">
        <f>IF(NFI_Expiration=1,IF($A1061&lt;VLOOKUP(V$5,NFI,5,0),1,0)*Table_NFI[[#This Row],[Jerry Can]],Table_NFI[Jerry Can])</f>
        <v>0</v>
      </c>
      <c r="AO1061" s="579" t="str">
        <f>IFERROR(VLOOKUP(Table_NFI[[#This Row],[Camp Name]],CL,2,0),"")</f>
        <v/>
      </c>
      <c r="AP1061" s="574" t="str">
        <f ca="1">IF(Table_NFI[[#This Row],[Pcode]]="","",IF(OFFSET(CampList[Opening Date],MATCH(Table_NFI[[#This Row],[Pcode]],CampList[CP_Pcode],0)-1,0,1,1)&gt;=NFI_Monitor_Date,1,0))</f>
        <v/>
      </c>
      <c r="AQ1061" s="579" t="str">
        <f>IFERROR(VLOOKUP(Table_NFI[[#This Row],[Camp Name]],CL,3,0),"")</f>
        <v/>
      </c>
      <c r="AR1061" s="378" t="str">
        <f ca="1">IF(Table_NFI[[#This Row],[Pcode]]="","",OFFSET(CampList[Priority],MATCH(Table_NFI[[#This Row],[Pcode]],CampList[CP_Pcode],0)-1,0,1,1))</f>
        <v/>
      </c>
      <c r="AS1061" s="377" t="str">
        <f>IFERROR(Table_NFI[[#This Row],[Kitchen Set]]/VLOOKUP(Table_NFI[[#This Row],[Camp Name]],CL,4,0),"")</f>
        <v/>
      </c>
      <c r="AT1061" s="577"/>
      <c r="AU1061" s="580"/>
    </row>
    <row r="1062" spans="1:47" x14ac:dyDescent="0.25">
      <c r="A1062" s="381" t="str">
        <f t="shared" si="16"/>
        <v/>
      </c>
      <c r="B1062" s="571"/>
      <c r="C1062" s="577"/>
      <c r="D1062" s="577"/>
      <c r="E1062" s="577"/>
      <c r="F1062" s="577"/>
      <c r="G1062" s="577"/>
      <c r="H1062" s="376"/>
      <c r="I1062" s="376"/>
      <c r="J1062" s="376"/>
      <c r="K1062" s="376"/>
      <c r="L1062" s="376"/>
      <c r="M1062" s="376"/>
      <c r="N1062" s="376"/>
      <c r="O1062" s="376"/>
      <c r="P1062" s="378"/>
      <c r="Q1062" s="378"/>
      <c r="R1062" s="378"/>
      <c r="S1062" s="378"/>
      <c r="T1062" s="378"/>
      <c r="U1062" s="378"/>
      <c r="V1062" s="533"/>
      <c r="W1062" s="602"/>
      <c r="X1062" s="602"/>
      <c r="Y1062" s="378">
        <f>IF(NFI_Expiration=1,IF($A1062&lt;VLOOKUP(H$5,NFI,5,0),1,0)*Table_NFI[[#This Row],[Hygiene Kit]],Table_NFI[Hygiene Kit])</f>
        <v>0</v>
      </c>
      <c r="Z1062" s="378">
        <f>IF(NFI_Expiration=1,IF($A1062&lt;VLOOKUP(I$5,NFI,5,0),1,0)*Table_NFI[[#This Row],[NFI Core Kit]],Table_NFI[NFI Core Kit])</f>
        <v>0</v>
      </c>
      <c r="AA1062" s="378">
        <f>IF(NFI_Expiration=1,IF($A1062&lt;VLOOKUP(J$5,NFI,5,0),1,0)*Table_NFI[[#This Row],[Sanitary Kit]],Table_NFI[Sanitary Kit])</f>
        <v>0</v>
      </c>
      <c r="AB1062" s="378">
        <f>IF(NFI_Expiration=1,IF($A1062&lt;VLOOKUP(K$5,NFI,5,0),1,0)*Table_NFI[[#This Row],[Mosquito net]],Table_NFI[Mosquito net])</f>
        <v>0</v>
      </c>
      <c r="AC1062" s="378">
        <f>IF(NFI_Expiration=1,IF($A1062&lt;VLOOKUP(L$5,NFI,5,0),1,0)*Table_NFI[[#This Row],[Tarpaulin]],Table_NFI[[#This Row],[Tarpaulin]])</f>
        <v>0</v>
      </c>
      <c r="AD1062" s="378">
        <f>IF(NFI_Expiration=1,IF($A1062&lt;VLOOKUP(M$5,NFI,5,0),1,0)*Table_NFI[[#This Row],[Blanket]],Table_NFI[[#This Row],[Blanket]])</f>
        <v>0</v>
      </c>
      <c r="AE1062" s="378">
        <f>IF(NFI_Expiration=1,IF($A1062&lt;VLOOKUP(N$5,NFI,5,0),1,0)*Table_NFI[[#This Row],[Kitchen Set]],Table_NFI[Kitchen Set])</f>
        <v>0</v>
      </c>
      <c r="AF1062" s="378">
        <f>IF(NFI_Expiration=1,IF($A1062&lt;VLOOKUP(O$5,NFI,5,0),1,0)*Table_NFI[[#This Row],[Clothes Kit]],Table_NFI[Clothes Kit])</f>
        <v>0</v>
      </c>
      <c r="AG1062" s="378">
        <f>IF(NFI_Expiration=1,IF($A1062&lt;VLOOKUP(P$5,NFI,5,0),1,0)*Table_NFI[[#This Row],[Plastic Bucket]],Table_NFI[Plastic Bucket])</f>
        <v>0</v>
      </c>
      <c r="AH1062" s="378">
        <f>IF(NFI_Expiration=1,IF($A1062&lt;VLOOKUP(Q$5,NFI,5,0),1,0)*Table_NFI[[#This Row],[Plastic Mat]],Table_NFI[Plastic Mat])*IF(Table_NFI[[#This Row],[Distribution Date]]&gt;"2014-04-01",1,2.5)</f>
        <v>0</v>
      </c>
      <c r="AI1062" s="378">
        <f>IF(NFI_Expiration=1,IF($A1062&lt;VLOOKUP(R$5,NFI,5,0),1,0)*Table_NFI[[#This Row],[Winter Clothes Adult]],Table_NFI[Winter Clothes Adult])</f>
        <v>0</v>
      </c>
      <c r="AJ1062" s="378">
        <f>IF(NFI_Expiration=1,IF($A1062&lt;VLOOKUP(S$5,NFI,5,0),1,0)*Table_NFI[[#This Row],[Winter Clothes Children]],Table_NFI[Winter Clothes Children])</f>
        <v>0</v>
      </c>
      <c r="AK1062" s="378">
        <f>IF(NFI_Expiration=1,IF($A1062&lt;VLOOKUP(T$5,NFI,5,0),1,0)*Table_NFI[[#This Row],[Winter Items Other]],Table_NFI[Winter Items Other])</f>
        <v>0</v>
      </c>
      <c r="AL1062" s="378">
        <f>IF(NFI_Expiration=1,IF($A1062&lt;VLOOKUP(M$5,NFI,5,0),1,0)*Table_NFI[[#This Row],[Winter Blanket]],Table_NFI[[#This Row],[Winter Blanket]])</f>
        <v>0</v>
      </c>
      <c r="AM1062" s="378">
        <f>IF(Table_NFI[[#This Row],[Winter Clothes Adult]]+Table_NFI[[#This Row],[Winter Clothes Children]]+Table_NFI[[#This Row],[Winter Items Other]]+Table_NFI[[#This Row],[Winter Blanket]]&gt;0,1,0)</f>
        <v>0</v>
      </c>
      <c r="AN1062" s="418">
        <f>IF(NFI_Expiration=1,IF($A1062&lt;VLOOKUP(V$5,NFI,5,0),1,0)*Table_NFI[[#This Row],[Jerry Can]],Table_NFI[Jerry Can])</f>
        <v>0</v>
      </c>
      <c r="AO1062" s="579" t="str">
        <f>IFERROR(VLOOKUP(Table_NFI[[#This Row],[Camp Name]],CL,2,0),"")</f>
        <v/>
      </c>
      <c r="AP1062" s="574" t="str">
        <f ca="1">IF(Table_NFI[[#This Row],[Pcode]]="","",IF(OFFSET(CampList[Opening Date],MATCH(Table_NFI[[#This Row],[Pcode]],CampList[CP_Pcode],0)-1,0,1,1)&gt;=NFI_Monitor_Date,1,0))</f>
        <v/>
      </c>
      <c r="AQ1062" s="579" t="str">
        <f>IFERROR(VLOOKUP(Table_NFI[[#This Row],[Camp Name]],CL,3,0),"")</f>
        <v/>
      </c>
      <c r="AR1062" s="378" t="str">
        <f ca="1">IF(Table_NFI[[#This Row],[Pcode]]="","",OFFSET(CampList[Priority],MATCH(Table_NFI[[#This Row],[Pcode]],CampList[CP_Pcode],0)-1,0,1,1))</f>
        <v/>
      </c>
      <c r="AS1062" s="377" t="str">
        <f>IFERROR(Table_NFI[[#This Row],[Kitchen Set]]/VLOOKUP(Table_NFI[[#This Row],[Camp Name]],CL,4,0),"")</f>
        <v/>
      </c>
      <c r="AT1062" s="572"/>
      <c r="AU1062" s="580"/>
    </row>
    <row r="1063" spans="1:47" x14ac:dyDescent="0.25">
      <c r="A1063" s="381" t="str">
        <f t="shared" si="16"/>
        <v/>
      </c>
      <c r="B1063" s="571"/>
      <c r="C1063" s="577"/>
      <c r="D1063" s="577"/>
      <c r="E1063" s="577"/>
      <c r="F1063" s="577"/>
      <c r="G1063" s="577"/>
      <c r="H1063" s="376"/>
      <c r="I1063" s="376"/>
      <c r="J1063" s="376"/>
      <c r="K1063" s="376"/>
      <c r="L1063" s="376"/>
      <c r="M1063" s="376"/>
      <c r="N1063" s="376"/>
      <c r="O1063" s="376"/>
      <c r="P1063" s="378"/>
      <c r="Q1063" s="378"/>
      <c r="R1063" s="378"/>
      <c r="S1063" s="378"/>
      <c r="T1063" s="378"/>
      <c r="U1063" s="378"/>
      <c r="V1063" s="533"/>
      <c r="W1063" s="602"/>
      <c r="X1063" s="602"/>
      <c r="Y1063" s="378">
        <f>IF(NFI_Expiration=1,IF($A1063&lt;VLOOKUP(H$5,NFI,5,0),1,0)*Table_NFI[[#This Row],[Hygiene Kit]],Table_NFI[Hygiene Kit])</f>
        <v>0</v>
      </c>
      <c r="Z1063" s="378">
        <f>IF(NFI_Expiration=1,IF($A1063&lt;VLOOKUP(I$5,NFI,5,0),1,0)*Table_NFI[[#This Row],[NFI Core Kit]],Table_NFI[NFI Core Kit])</f>
        <v>0</v>
      </c>
      <c r="AA1063" s="378">
        <f>IF(NFI_Expiration=1,IF($A1063&lt;VLOOKUP(J$5,NFI,5,0),1,0)*Table_NFI[[#This Row],[Sanitary Kit]],Table_NFI[Sanitary Kit])</f>
        <v>0</v>
      </c>
      <c r="AB1063" s="378">
        <f>IF(NFI_Expiration=1,IF($A1063&lt;VLOOKUP(K$5,NFI,5,0),1,0)*Table_NFI[[#This Row],[Mosquito net]],Table_NFI[Mosquito net])</f>
        <v>0</v>
      </c>
      <c r="AC1063" s="378">
        <f>IF(NFI_Expiration=1,IF($A1063&lt;VLOOKUP(L$5,NFI,5,0),1,0)*Table_NFI[[#This Row],[Tarpaulin]],Table_NFI[[#This Row],[Tarpaulin]])</f>
        <v>0</v>
      </c>
      <c r="AD1063" s="378">
        <f>IF(NFI_Expiration=1,IF($A1063&lt;VLOOKUP(M$5,NFI,5,0),1,0)*Table_NFI[[#This Row],[Blanket]],Table_NFI[[#This Row],[Blanket]])</f>
        <v>0</v>
      </c>
      <c r="AE1063" s="378">
        <f>IF(NFI_Expiration=1,IF($A1063&lt;VLOOKUP(N$5,NFI,5,0),1,0)*Table_NFI[[#This Row],[Kitchen Set]],Table_NFI[Kitchen Set])</f>
        <v>0</v>
      </c>
      <c r="AF1063" s="378">
        <f>IF(NFI_Expiration=1,IF($A1063&lt;VLOOKUP(O$5,NFI,5,0),1,0)*Table_NFI[[#This Row],[Clothes Kit]],Table_NFI[Clothes Kit])</f>
        <v>0</v>
      </c>
      <c r="AG1063" s="378">
        <f>IF(NFI_Expiration=1,IF($A1063&lt;VLOOKUP(P$5,NFI,5,0),1,0)*Table_NFI[[#This Row],[Plastic Bucket]],Table_NFI[Plastic Bucket])</f>
        <v>0</v>
      </c>
      <c r="AH1063" s="378">
        <f>IF(NFI_Expiration=1,IF($A1063&lt;VLOOKUP(Q$5,NFI,5,0),1,0)*Table_NFI[[#This Row],[Plastic Mat]],Table_NFI[Plastic Mat])*IF(Table_NFI[[#This Row],[Distribution Date]]&gt;"2014-04-01",1,2.5)</f>
        <v>0</v>
      </c>
      <c r="AI1063" s="378">
        <f>IF(NFI_Expiration=1,IF($A1063&lt;VLOOKUP(R$5,NFI,5,0),1,0)*Table_NFI[[#This Row],[Winter Clothes Adult]],Table_NFI[Winter Clothes Adult])</f>
        <v>0</v>
      </c>
      <c r="AJ1063" s="378">
        <f>IF(NFI_Expiration=1,IF($A1063&lt;VLOOKUP(S$5,NFI,5,0),1,0)*Table_NFI[[#This Row],[Winter Clothes Children]],Table_NFI[Winter Clothes Children])</f>
        <v>0</v>
      </c>
      <c r="AK1063" s="378">
        <f>IF(NFI_Expiration=1,IF($A1063&lt;VLOOKUP(T$5,NFI,5,0),1,0)*Table_NFI[[#This Row],[Winter Items Other]],Table_NFI[Winter Items Other])</f>
        <v>0</v>
      </c>
      <c r="AL1063" s="378">
        <f>IF(NFI_Expiration=1,IF($A1063&lt;VLOOKUP(M$5,NFI,5,0),1,0)*Table_NFI[[#This Row],[Winter Blanket]],Table_NFI[[#This Row],[Winter Blanket]])</f>
        <v>0</v>
      </c>
      <c r="AM1063" s="378">
        <f>IF(Table_NFI[[#This Row],[Winter Clothes Adult]]+Table_NFI[[#This Row],[Winter Clothes Children]]+Table_NFI[[#This Row],[Winter Items Other]]+Table_NFI[[#This Row],[Winter Blanket]]&gt;0,1,0)</f>
        <v>0</v>
      </c>
      <c r="AN1063" s="418">
        <f>IF(NFI_Expiration=1,IF($A1063&lt;VLOOKUP(V$5,NFI,5,0),1,0)*Table_NFI[[#This Row],[Jerry Can]],Table_NFI[Jerry Can])</f>
        <v>0</v>
      </c>
      <c r="AO1063" s="579" t="str">
        <f>IFERROR(VLOOKUP(Table_NFI[[#This Row],[Camp Name]],CL,2,0),"")</f>
        <v/>
      </c>
      <c r="AP1063" s="574" t="str">
        <f ca="1">IF(Table_NFI[[#This Row],[Pcode]]="","",IF(OFFSET(CampList[Opening Date],MATCH(Table_NFI[[#This Row],[Pcode]],CampList[CP_Pcode],0)-1,0,1,1)&gt;=NFI_Monitor_Date,1,0))</f>
        <v/>
      </c>
      <c r="AQ1063" s="579" t="str">
        <f>IFERROR(VLOOKUP(Table_NFI[[#This Row],[Camp Name]],CL,3,0),"")</f>
        <v/>
      </c>
      <c r="AR1063" s="378" t="str">
        <f ca="1">IF(Table_NFI[[#This Row],[Pcode]]="","",OFFSET(CampList[Priority],MATCH(Table_NFI[[#This Row],[Pcode]],CampList[CP_Pcode],0)-1,0,1,1))</f>
        <v/>
      </c>
      <c r="AS1063" s="377" t="str">
        <f>IFERROR(Table_NFI[[#This Row],[Kitchen Set]]/VLOOKUP(Table_NFI[[#This Row],[Camp Name]],CL,4,0),"")</f>
        <v/>
      </c>
      <c r="AT1063" s="572"/>
      <c r="AU1063" s="575"/>
    </row>
    <row r="1064" spans="1:47" x14ac:dyDescent="0.25">
      <c r="A1064" s="381" t="str">
        <f t="shared" si="16"/>
        <v/>
      </c>
      <c r="B1064" s="571"/>
      <c r="C1064" s="577"/>
      <c r="D1064" s="577"/>
      <c r="E1064" s="577"/>
      <c r="F1064" s="577"/>
      <c r="G1064" s="577"/>
      <c r="H1064" s="376"/>
      <c r="I1064" s="376"/>
      <c r="J1064" s="376"/>
      <c r="K1064" s="376"/>
      <c r="L1064" s="376"/>
      <c r="M1064" s="376"/>
      <c r="N1064" s="376"/>
      <c r="O1064" s="376"/>
      <c r="P1064" s="378"/>
      <c r="Q1064" s="378"/>
      <c r="R1064" s="378"/>
      <c r="S1064" s="378"/>
      <c r="T1064" s="378"/>
      <c r="U1064" s="378"/>
      <c r="V1064" s="533"/>
      <c r="W1064" s="602"/>
      <c r="X1064" s="602"/>
      <c r="Y1064" s="378">
        <f>IF(NFI_Expiration=1,IF($A1064&lt;VLOOKUP(H$5,NFI,5,0),1,0)*Table_NFI[[#This Row],[Hygiene Kit]],Table_NFI[Hygiene Kit])</f>
        <v>0</v>
      </c>
      <c r="Z1064" s="378">
        <f>IF(NFI_Expiration=1,IF($A1064&lt;VLOOKUP(I$5,NFI,5,0),1,0)*Table_NFI[[#This Row],[NFI Core Kit]],Table_NFI[NFI Core Kit])</f>
        <v>0</v>
      </c>
      <c r="AA1064" s="378">
        <f>IF(NFI_Expiration=1,IF($A1064&lt;VLOOKUP(J$5,NFI,5,0),1,0)*Table_NFI[[#This Row],[Sanitary Kit]],Table_NFI[Sanitary Kit])</f>
        <v>0</v>
      </c>
      <c r="AB1064" s="378">
        <f>IF(NFI_Expiration=1,IF($A1064&lt;VLOOKUP(K$5,NFI,5,0),1,0)*Table_NFI[[#This Row],[Mosquito net]],Table_NFI[Mosquito net])</f>
        <v>0</v>
      </c>
      <c r="AC1064" s="378">
        <f>IF(NFI_Expiration=1,IF($A1064&lt;VLOOKUP(L$5,NFI,5,0),1,0)*Table_NFI[[#This Row],[Tarpaulin]],Table_NFI[[#This Row],[Tarpaulin]])</f>
        <v>0</v>
      </c>
      <c r="AD1064" s="378">
        <f>IF(NFI_Expiration=1,IF($A1064&lt;VLOOKUP(M$5,NFI,5,0),1,0)*Table_NFI[[#This Row],[Blanket]],Table_NFI[[#This Row],[Blanket]])</f>
        <v>0</v>
      </c>
      <c r="AE1064" s="378">
        <f>IF(NFI_Expiration=1,IF($A1064&lt;VLOOKUP(N$5,NFI,5,0),1,0)*Table_NFI[[#This Row],[Kitchen Set]],Table_NFI[Kitchen Set])</f>
        <v>0</v>
      </c>
      <c r="AF1064" s="378">
        <f>IF(NFI_Expiration=1,IF($A1064&lt;VLOOKUP(O$5,NFI,5,0),1,0)*Table_NFI[[#This Row],[Clothes Kit]],Table_NFI[Clothes Kit])</f>
        <v>0</v>
      </c>
      <c r="AG1064" s="378">
        <f>IF(NFI_Expiration=1,IF($A1064&lt;VLOOKUP(P$5,NFI,5,0),1,0)*Table_NFI[[#This Row],[Plastic Bucket]],Table_NFI[Plastic Bucket])</f>
        <v>0</v>
      </c>
      <c r="AH1064" s="378">
        <f>IF(NFI_Expiration=1,IF($A1064&lt;VLOOKUP(Q$5,NFI,5,0),1,0)*Table_NFI[[#This Row],[Plastic Mat]],Table_NFI[Plastic Mat])*IF(Table_NFI[[#This Row],[Distribution Date]]&gt;"2014-04-01",1,2.5)</f>
        <v>0</v>
      </c>
      <c r="AI1064" s="378">
        <f>IF(NFI_Expiration=1,IF($A1064&lt;VLOOKUP(R$5,NFI,5,0),1,0)*Table_NFI[[#This Row],[Winter Clothes Adult]],Table_NFI[Winter Clothes Adult])</f>
        <v>0</v>
      </c>
      <c r="AJ1064" s="378">
        <f>IF(NFI_Expiration=1,IF($A1064&lt;VLOOKUP(S$5,NFI,5,0),1,0)*Table_NFI[[#This Row],[Winter Clothes Children]],Table_NFI[Winter Clothes Children])</f>
        <v>0</v>
      </c>
      <c r="AK1064" s="378">
        <f>IF(NFI_Expiration=1,IF($A1064&lt;VLOOKUP(T$5,NFI,5,0),1,0)*Table_NFI[[#This Row],[Winter Items Other]],Table_NFI[Winter Items Other])</f>
        <v>0</v>
      </c>
      <c r="AL1064" s="378">
        <f>IF(NFI_Expiration=1,IF($A1064&lt;VLOOKUP(M$5,NFI,5,0),1,0)*Table_NFI[[#This Row],[Winter Blanket]],Table_NFI[[#This Row],[Winter Blanket]])</f>
        <v>0</v>
      </c>
      <c r="AM1064" s="378">
        <f>IF(Table_NFI[[#This Row],[Winter Clothes Adult]]+Table_NFI[[#This Row],[Winter Clothes Children]]+Table_NFI[[#This Row],[Winter Items Other]]+Table_NFI[[#This Row],[Winter Blanket]]&gt;0,1,0)</f>
        <v>0</v>
      </c>
      <c r="AN1064" s="418">
        <f>IF(NFI_Expiration=1,IF($A1064&lt;VLOOKUP(V$5,NFI,5,0),1,0)*Table_NFI[[#This Row],[Jerry Can]],Table_NFI[Jerry Can])</f>
        <v>0</v>
      </c>
      <c r="AO1064" s="579" t="str">
        <f>IFERROR(VLOOKUP(Table_NFI[[#This Row],[Camp Name]],CL,2,0),"")</f>
        <v/>
      </c>
      <c r="AP1064" s="574" t="str">
        <f ca="1">IF(Table_NFI[[#This Row],[Pcode]]="","",IF(OFFSET(CampList[Opening Date],MATCH(Table_NFI[[#This Row],[Pcode]],CampList[CP_Pcode],0)-1,0,1,1)&gt;=NFI_Monitor_Date,1,0))</f>
        <v/>
      </c>
      <c r="AQ1064" s="579" t="str">
        <f>IFERROR(VLOOKUP(Table_NFI[[#This Row],[Camp Name]],CL,3,0),"")</f>
        <v/>
      </c>
      <c r="AR1064" s="378" t="str">
        <f ca="1">IF(Table_NFI[[#This Row],[Pcode]]="","",OFFSET(CampList[Priority],MATCH(Table_NFI[[#This Row],[Pcode]],CampList[CP_Pcode],0)-1,0,1,1))</f>
        <v/>
      </c>
      <c r="AS1064" s="377" t="str">
        <f>IFERROR(Table_NFI[[#This Row],[Kitchen Set]]/VLOOKUP(Table_NFI[[#This Row],[Camp Name]],CL,4,0),"")</f>
        <v/>
      </c>
      <c r="AT1064" s="577"/>
      <c r="AU1064" s="580"/>
    </row>
    <row r="1065" spans="1:47" x14ac:dyDescent="0.25">
      <c r="A1065" s="381" t="str">
        <f t="shared" si="16"/>
        <v/>
      </c>
      <c r="B1065" s="571"/>
      <c r="C1065" s="577"/>
      <c r="D1065" s="577"/>
      <c r="E1065" s="577"/>
      <c r="F1065" s="577"/>
      <c r="G1065" s="577"/>
      <c r="H1065" s="376"/>
      <c r="I1065" s="376"/>
      <c r="J1065" s="376"/>
      <c r="K1065" s="376"/>
      <c r="L1065" s="376"/>
      <c r="M1065" s="376"/>
      <c r="N1065" s="376"/>
      <c r="O1065" s="376"/>
      <c r="P1065" s="378"/>
      <c r="Q1065" s="378"/>
      <c r="R1065" s="378"/>
      <c r="S1065" s="378"/>
      <c r="T1065" s="378"/>
      <c r="U1065" s="378"/>
      <c r="V1065" s="533"/>
      <c r="W1065" s="602"/>
      <c r="X1065" s="602"/>
      <c r="Y1065" s="378">
        <f>IF(NFI_Expiration=1,IF($A1065&lt;VLOOKUP(H$5,NFI,5,0),1,0)*Table_NFI[[#This Row],[Hygiene Kit]],Table_NFI[Hygiene Kit])</f>
        <v>0</v>
      </c>
      <c r="Z1065" s="378">
        <f>IF(NFI_Expiration=1,IF($A1065&lt;VLOOKUP(I$5,NFI,5,0),1,0)*Table_NFI[[#This Row],[NFI Core Kit]],Table_NFI[NFI Core Kit])</f>
        <v>0</v>
      </c>
      <c r="AA1065" s="378">
        <f>IF(NFI_Expiration=1,IF($A1065&lt;VLOOKUP(J$5,NFI,5,0),1,0)*Table_NFI[[#This Row],[Sanitary Kit]],Table_NFI[Sanitary Kit])</f>
        <v>0</v>
      </c>
      <c r="AB1065" s="378">
        <f>IF(NFI_Expiration=1,IF($A1065&lt;VLOOKUP(K$5,NFI,5,0),1,0)*Table_NFI[[#This Row],[Mosquito net]],Table_NFI[Mosquito net])</f>
        <v>0</v>
      </c>
      <c r="AC1065" s="378">
        <f>IF(NFI_Expiration=1,IF($A1065&lt;VLOOKUP(L$5,NFI,5,0),1,0)*Table_NFI[[#This Row],[Tarpaulin]],Table_NFI[[#This Row],[Tarpaulin]])</f>
        <v>0</v>
      </c>
      <c r="AD1065" s="378">
        <f>IF(NFI_Expiration=1,IF($A1065&lt;VLOOKUP(M$5,NFI,5,0),1,0)*Table_NFI[[#This Row],[Blanket]],Table_NFI[[#This Row],[Blanket]])</f>
        <v>0</v>
      </c>
      <c r="AE1065" s="378">
        <f>IF(NFI_Expiration=1,IF($A1065&lt;VLOOKUP(N$5,NFI,5,0),1,0)*Table_NFI[[#This Row],[Kitchen Set]],Table_NFI[Kitchen Set])</f>
        <v>0</v>
      </c>
      <c r="AF1065" s="378">
        <f>IF(NFI_Expiration=1,IF($A1065&lt;VLOOKUP(O$5,NFI,5,0),1,0)*Table_NFI[[#This Row],[Clothes Kit]],Table_NFI[Clothes Kit])</f>
        <v>0</v>
      </c>
      <c r="AG1065" s="378">
        <f>IF(NFI_Expiration=1,IF($A1065&lt;VLOOKUP(P$5,NFI,5,0),1,0)*Table_NFI[[#This Row],[Plastic Bucket]],Table_NFI[Plastic Bucket])</f>
        <v>0</v>
      </c>
      <c r="AH1065" s="378">
        <f>IF(NFI_Expiration=1,IF($A1065&lt;VLOOKUP(Q$5,NFI,5,0),1,0)*Table_NFI[[#This Row],[Plastic Mat]],Table_NFI[Plastic Mat])*IF(Table_NFI[[#This Row],[Distribution Date]]&gt;"2014-04-01",1,2.5)</f>
        <v>0</v>
      </c>
      <c r="AI1065" s="378">
        <f>IF(NFI_Expiration=1,IF($A1065&lt;VLOOKUP(R$5,NFI,5,0),1,0)*Table_NFI[[#This Row],[Winter Clothes Adult]],Table_NFI[Winter Clothes Adult])</f>
        <v>0</v>
      </c>
      <c r="AJ1065" s="378">
        <f>IF(NFI_Expiration=1,IF($A1065&lt;VLOOKUP(S$5,NFI,5,0),1,0)*Table_NFI[[#This Row],[Winter Clothes Children]],Table_NFI[Winter Clothes Children])</f>
        <v>0</v>
      </c>
      <c r="AK1065" s="378">
        <f>IF(NFI_Expiration=1,IF($A1065&lt;VLOOKUP(T$5,NFI,5,0),1,0)*Table_NFI[[#This Row],[Winter Items Other]],Table_NFI[Winter Items Other])</f>
        <v>0</v>
      </c>
      <c r="AL1065" s="378">
        <f>IF(NFI_Expiration=1,IF($A1065&lt;VLOOKUP(M$5,NFI,5,0),1,0)*Table_NFI[[#This Row],[Winter Blanket]],Table_NFI[[#This Row],[Winter Blanket]])</f>
        <v>0</v>
      </c>
      <c r="AM1065" s="378">
        <f>IF(Table_NFI[[#This Row],[Winter Clothes Adult]]+Table_NFI[[#This Row],[Winter Clothes Children]]+Table_NFI[[#This Row],[Winter Items Other]]+Table_NFI[[#This Row],[Winter Blanket]]&gt;0,1,0)</f>
        <v>0</v>
      </c>
      <c r="AN1065" s="418">
        <f>IF(NFI_Expiration=1,IF($A1065&lt;VLOOKUP(V$5,NFI,5,0),1,0)*Table_NFI[[#This Row],[Jerry Can]],Table_NFI[Jerry Can])</f>
        <v>0</v>
      </c>
      <c r="AO1065" s="579" t="str">
        <f>IFERROR(VLOOKUP(Table_NFI[[#This Row],[Camp Name]],CL,2,0),"")</f>
        <v/>
      </c>
      <c r="AP1065" s="574" t="str">
        <f ca="1">IF(Table_NFI[[#This Row],[Pcode]]="","",IF(OFFSET(CampList[Opening Date],MATCH(Table_NFI[[#This Row],[Pcode]],CampList[CP_Pcode],0)-1,0,1,1)&gt;=NFI_Monitor_Date,1,0))</f>
        <v/>
      </c>
      <c r="AQ1065" s="579" t="str">
        <f>IFERROR(VLOOKUP(Table_NFI[[#This Row],[Camp Name]],CL,3,0),"")</f>
        <v/>
      </c>
      <c r="AR1065" s="378" t="str">
        <f ca="1">IF(Table_NFI[[#This Row],[Pcode]]="","",OFFSET(CampList[Priority],MATCH(Table_NFI[[#This Row],[Pcode]],CampList[CP_Pcode],0)-1,0,1,1))</f>
        <v/>
      </c>
      <c r="AS1065" s="377" t="str">
        <f>IFERROR(Table_NFI[[#This Row],[Kitchen Set]]/VLOOKUP(Table_NFI[[#This Row],[Camp Name]],CL,4,0),"")</f>
        <v/>
      </c>
      <c r="AT1065" s="572"/>
      <c r="AU1065" s="575"/>
    </row>
    <row r="1066" spans="1:47" x14ac:dyDescent="0.25">
      <c r="A1066" s="381" t="str">
        <f t="shared" si="16"/>
        <v/>
      </c>
      <c r="B1066" s="571"/>
      <c r="C1066" s="577"/>
      <c r="D1066" s="577"/>
      <c r="E1066" s="577"/>
      <c r="F1066" s="577"/>
      <c r="G1066" s="577"/>
      <c r="H1066" s="376"/>
      <c r="I1066" s="376"/>
      <c r="J1066" s="376"/>
      <c r="K1066" s="376"/>
      <c r="L1066" s="376"/>
      <c r="M1066" s="376"/>
      <c r="N1066" s="376"/>
      <c r="O1066" s="376"/>
      <c r="P1066" s="378"/>
      <c r="Q1066" s="378"/>
      <c r="R1066" s="378"/>
      <c r="S1066" s="378"/>
      <c r="T1066" s="378"/>
      <c r="U1066" s="378"/>
      <c r="V1066" s="533"/>
      <c r="W1066" s="602"/>
      <c r="X1066" s="602"/>
      <c r="Y1066" s="378">
        <f>IF(NFI_Expiration=1,IF($A1066&lt;VLOOKUP(H$5,NFI,5,0),1,0)*Table_NFI[[#This Row],[Hygiene Kit]],Table_NFI[Hygiene Kit])</f>
        <v>0</v>
      </c>
      <c r="Z1066" s="378">
        <f>IF(NFI_Expiration=1,IF($A1066&lt;VLOOKUP(I$5,NFI,5,0),1,0)*Table_NFI[[#This Row],[NFI Core Kit]],Table_NFI[NFI Core Kit])</f>
        <v>0</v>
      </c>
      <c r="AA1066" s="378">
        <f>IF(NFI_Expiration=1,IF($A1066&lt;VLOOKUP(J$5,NFI,5,0),1,0)*Table_NFI[[#This Row],[Sanitary Kit]],Table_NFI[Sanitary Kit])</f>
        <v>0</v>
      </c>
      <c r="AB1066" s="378">
        <f>IF(NFI_Expiration=1,IF($A1066&lt;VLOOKUP(K$5,NFI,5,0),1,0)*Table_NFI[[#This Row],[Mosquito net]],Table_NFI[Mosquito net])</f>
        <v>0</v>
      </c>
      <c r="AC1066" s="378">
        <f>IF(NFI_Expiration=1,IF($A1066&lt;VLOOKUP(L$5,NFI,5,0),1,0)*Table_NFI[[#This Row],[Tarpaulin]],Table_NFI[[#This Row],[Tarpaulin]])</f>
        <v>0</v>
      </c>
      <c r="AD1066" s="378">
        <f>IF(NFI_Expiration=1,IF($A1066&lt;VLOOKUP(M$5,NFI,5,0),1,0)*Table_NFI[[#This Row],[Blanket]],Table_NFI[[#This Row],[Blanket]])</f>
        <v>0</v>
      </c>
      <c r="AE1066" s="378">
        <f>IF(NFI_Expiration=1,IF($A1066&lt;VLOOKUP(N$5,NFI,5,0),1,0)*Table_NFI[[#This Row],[Kitchen Set]],Table_NFI[Kitchen Set])</f>
        <v>0</v>
      </c>
      <c r="AF1066" s="378">
        <f>IF(NFI_Expiration=1,IF($A1066&lt;VLOOKUP(O$5,NFI,5,0),1,0)*Table_NFI[[#This Row],[Clothes Kit]],Table_NFI[Clothes Kit])</f>
        <v>0</v>
      </c>
      <c r="AG1066" s="378">
        <f>IF(NFI_Expiration=1,IF($A1066&lt;VLOOKUP(P$5,NFI,5,0),1,0)*Table_NFI[[#This Row],[Plastic Bucket]],Table_NFI[Plastic Bucket])</f>
        <v>0</v>
      </c>
      <c r="AH1066" s="378">
        <f>IF(NFI_Expiration=1,IF($A1066&lt;VLOOKUP(Q$5,NFI,5,0),1,0)*Table_NFI[[#This Row],[Plastic Mat]],Table_NFI[Plastic Mat])*IF(Table_NFI[[#This Row],[Distribution Date]]&gt;"2014-04-01",1,2.5)</f>
        <v>0</v>
      </c>
      <c r="AI1066" s="378">
        <f>IF(NFI_Expiration=1,IF($A1066&lt;VLOOKUP(R$5,NFI,5,0),1,0)*Table_NFI[[#This Row],[Winter Clothes Adult]],Table_NFI[Winter Clothes Adult])</f>
        <v>0</v>
      </c>
      <c r="AJ1066" s="378">
        <f>IF(NFI_Expiration=1,IF($A1066&lt;VLOOKUP(S$5,NFI,5,0),1,0)*Table_NFI[[#This Row],[Winter Clothes Children]],Table_NFI[Winter Clothes Children])</f>
        <v>0</v>
      </c>
      <c r="AK1066" s="378">
        <f>IF(NFI_Expiration=1,IF($A1066&lt;VLOOKUP(T$5,NFI,5,0),1,0)*Table_NFI[[#This Row],[Winter Items Other]],Table_NFI[Winter Items Other])</f>
        <v>0</v>
      </c>
      <c r="AL1066" s="378">
        <f>IF(NFI_Expiration=1,IF($A1066&lt;VLOOKUP(M$5,NFI,5,0),1,0)*Table_NFI[[#This Row],[Winter Blanket]],Table_NFI[[#This Row],[Winter Blanket]])</f>
        <v>0</v>
      </c>
      <c r="AM1066" s="378">
        <f>IF(Table_NFI[[#This Row],[Winter Clothes Adult]]+Table_NFI[[#This Row],[Winter Clothes Children]]+Table_NFI[[#This Row],[Winter Items Other]]+Table_NFI[[#This Row],[Winter Blanket]]&gt;0,1,0)</f>
        <v>0</v>
      </c>
      <c r="AN1066" s="418">
        <f>IF(NFI_Expiration=1,IF($A1066&lt;VLOOKUP(V$5,NFI,5,0),1,0)*Table_NFI[[#This Row],[Jerry Can]],Table_NFI[Jerry Can])</f>
        <v>0</v>
      </c>
      <c r="AO1066" s="579" t="str">
        <f>IFERROR(VLOOKUP(Table_NFI[[#This Row],[Camp Name]],CL,2,0),"")</f>
        <v/>
      </c>
      <c r="AP1066" s="574" t="str">
        <f ca="1">IF(Table_NFI[[#This Row],[Pcode]]="","",IF(OFFSET(CampList[Opening Date],MATCH(Table_NFI[[#This Row],[Pcode]],CampList[CP_Pcode],0)-1,0,1,1)&gt;=NFI_Monitor_Date,1,0))</f>
        <v/>
      </c>
      <c r="AQ1066" s="579" t="str">
        <f>IFERROR(VLOOKUP(Table_NFI[[#This Row],[Camp Name]],CL,3,0),"")</f>
        <v/>
      </c>
      <c r="AR1066" s="378" t="str">
        <f ca="1">IF(Table_NFI[[#This Row],[Pcode]]="","",OFFSET(CampList[Priority],MATCH(Table_NFI[[#This Row],[Pcode]],CampList[CP_Pcode],0)-1,0,1,1))</f>
        <v/>
      </c>
      <c r="AS1066" s="377" t="str">
        <f>IFERROR(Table_NFI[[#This Row],[Kitchen Set]]/VLOOKUP(Table_NFI[[#This Row],[Camp Name]],CL,4,0),"")</f>
        <v/>
      </c>
      <c r="AT1066" s="572"/>
      <c r="AU1066" s="575"/>
    </row>
    <row r="1067" spans="1:47" x14ac:dyDescent="0.25">
      <c r="A1067" s="381" t="str">
        <f t="shared" si="16"/>
        <v/>
      </c>
      <c r="B1067" s="571"/>
      <c r="C1067" s="577"/>
      <c r="D1067" s="577"/>
      <c r="E1067" s="577"/>
      <c r="F1067" s="577"/>
      <c r="G1067" s="577"/>
      <c r="H1067" s="376"/>
      <c r="I1067" s="376"/>
      <c r="J1067" s="376"/>
      <c r="K1067" s="376"/>
      <c r="L1067" s="376"/>
      <c r="M1067" s="376"/>
      <c r="N1067" s="376"/>
      <c r="O1067" s="376"/>
      <c r="P1067" s="378"/>
      <c r="Q1067" s="378"/>
      <c r="R1067" s="378"/>
      <c r="S1067" s="378"/>
      <c r="T1067" s="378"/>
      <c r="U1067" s="378"/>
      <c r="V1067" s="533"/>
      <c r="W1067" s="602"/>
      <c r="X1067" s="602"/>
      <c r="Y1067" s="378">
        <f>IF(NFI_Expiration=1,IF($A1067&lt;VLOOKUP(H$5,NFI,5,0),1,0)*Table_NFI[[#This Row],[Hygiene Kit]],Table_NFI[Hygiene Kit])</f>
        <v>0</v>
      </c>
      <c r="Z1067" s="378">
        <f>IF(NFI_Expiration=1,IF($A1067&lt;VLOOKUP(I$5,NFI,5,0),1,0)*Table_NFI[[#This Row],[NFI Core Kit]],Table_NFI[NFI Core Kit])</f>
        <v>0</v>
      </c>
      <c r="AA1067" s="378">
        <f>IF(NFI_Expiration=1,IF($A1067&lt;VLOOKUP(J$5,NFI,5,0),1,0)*Table_NFI[[#This Row],[Sanitary Kit]],Table_NFI[Sanitary Kit])</f>
        <v>0</v>
      </c>
      <c r="AB1067" s="378">
        <f>IF(NFI_Expiration=1,IF($A1067&lt;VLOOKUP(K$5,NFI,5,0),1,0)*Table_NFI[[#This Row],[Mosquito net]],Table_NFI[Mosquito net])</f>
        <v>0</v>
      </c>
      <c r="AC1067" s="378">
        <f>IF(NFI_Expiration=1,IF($A1067&lt;VLOOKUP(L$5,NFI,5,0),1,0)*Table_NFI[[#This Row],[Tarpaulin]],Table_NFI[[#This Row],[Tarpaulin]])</f>
        <v>0</v>
      </c>
      <c r="AD1067" s="378">
        <f>IF(NFI_Expiration=1,IF($A1067&lt;VLOOKUP(M$5,NFI,5,0),1,0)*Table_NFI[[#This Row],[Blanket]],Table_NFI[[#This Row],[Blanket]])</f>
        <v>0</v>
      </c>
      <c r="AE1067" s="378">
        <f>IF(NFI_Expiration=1,IF($A1067&lt;VLOOKUP(N$5,NFI,5,0),1,0)*Table_NFI[[#This Row],[Kitchen Set]],Table_NFI[Kitchen Set])</f>
        <v>0</v>
      </c>
      <c r="AF1067" s="378">
        <f>IF(NFI_Expiration=1,IF($A1067&lt;VLOOKUP(O$5,NFI,5,0),1,0)*Table_NFI[[#This Row],[Clothes Kit]],Table_NFI[Clothes Kit])</f>
        <v>0</v>
      </c>
      <c r="AG1067" s="378">
        <f>IF(NFI_Expiration=1,IF($A1067&lt;VLOOKUP(P$5,NFI,5,0),1,0)*Table_NFI[[#This Row],[Plastic Bucket]],Table_NFI[Plastic Bucket])</f>
        <v>0</v>
      </c>
      <c r="AH1067" s="378">
        <f>IF(NFI_Expiration=1,IF($A1067&lt;VLOOKUP(Q$5,NFI,5,0),1,0)*Table_NFI[[#This Row],[Plastic Mat]],Table_NFI[Plastic Mat])*IF(Table_NFI[[#This Row],[Distribution Date]]&gt;"2014-04-01",1,2.5)</f>
        <v>0</v>
      </c>
      <c r="AI1067" s="378">
        <f>IF(NFI_Expiration=1,IF($A1067&lt;VLOOKUP(R$5,NFI,5,0),1,0)*Table_NFI[[#This Row],[Winter Clothes Adult]],Table_NFI[Winter Clothes Adult])</f>
        <v>0</v>
      </c>
      <c r="AJ1067" s="378">
        <f>IF(NFI_Expiration=1,IF($A1067&lt;VLOOKUP(S$5,NFI,5,0),1,0)*Table_NFI[[#This Row],[Winter Clothes Children]],Table_NFI[Winter Clothes Children])</f>
        <v>0</v>
      </c>
      <c r="AK1067" s="378">
        <f>IF(NFI_Expiration=1,IF($A1067&lt;VLOOKUP(T$5,NFI,5,0),1,0)*Table_NFI[[#This Row],[Winter Items Other]],Table_NFI[Winter Items Other])</f>
        <v>0</v>
      </c>
      <c r="AL1067" s="378">
        <f>IF(NFI_Expiration=1,IF($A1067&lt;VLOOKUP(M$5,NFI,5,0),1,0)*Table_NFI[[#This Row],[Winter Blanket]],Table_NFI[[#This Row],[Winter Blanket]])</f>
        <v>0</v>
      </c>
      <c r="AM1067" s="378">
        <f>IF(Table_NFI[[#This Row],[Winter Clothes Adult]]+Table_NFI[[#This Row],[Winter Clothes Children]]+Table_NFI[[#This Row],[Winter Items Other]]+Table_NFI[[#This Row],[Winter Blanket]]&gt;0,1,0)</f>
        <v>0</v>
      </c>
      <c r="AN1067" s="418">
        <f>IF(NFI_Expiration=1,IF($A1067&lt;VLOOKUP(V$5,NFI,5,0),1,0)*Table_NFI[[#This Row],[Jerry Can]],Table_NFI[Jerry Can])</f>
        <v>0</v>
      </c>
      <c r="AO1067" s="579" t="str">
        <f>IFERROR(VLOOKUP(Table_NFI[[#This Row],[Camp Name]],CL,2,0),"")</f>
        <v/>
      </c>
      <c r="AP1067" s="574" t="str">
        <f ca="1">IF(Table_NFI[[#This Row],[Pcode]]="","",IF(OFFSET(CampList[Opening Date],MATCH(Table_NFI[[#This Row],[Pcode]],CampList[CP_Pcode],0)-1,0,1,1)&gt;=NFI_Monitor_Date,1,0))</f>
        <v/>
      </c>
      <c r="AQ1067" s="579" t="str">
        <f>IFERROR(VLOOKUP(Table_NFI[[#This Row],[Camp Name]],CL,3,0),"")</f>
        <v/>
      </c>
      <c r="AR1067" s="378" t="str">
        <f ca="1">IF(Table_NFI[[#This Row],[Pcode]]="","",OFFSET(CampList[Priority],MATCH(Table_NFI[[#This Row],[Pcode]],CampList[CP_Pcode],0)-1,0,1,1))</f>
        <v/>
      </c>
      <c r="AS1067" s="377" t="str">
        <f>IFERROR(Table_NFI[[#This Row],[Kitchen Set]]/VLOOKUP(Table_NFI[[#This Row],[Camp Name]],CL,4,0),"")</f>
        <v/>
      </c>
      <c r="AT1067" s="572"/>
      <c r="AU1067" s="575"/>
    </row>
    <row r="1068" spans="1:47" x14ac:dyDescent="0.25">
      <c r="A1068" s="381" t="str">
        <f t="shared" si="16"/>
        <v/>
      </c>
      <c r="B1068" s="571"/>
      <c r="C1068" s="577"/>
      <c r="D1068" s="577"/>
      <c r="E1068" s="577"/>
      <c r="F1068" s="577"/>
      <c r="G1068" s="577"/>
      <c r="H1068" s="376"/>
      <c r="I1068" s="376"/>
      <c r="J1068" s="376"/>
      <c r="K1068" s="376"/>
      <c r="L1068" s="376"/>
      <c r="M1068" s="376"/>
      <c r="N1068" s="376"/>
      <c r="O1068" s="376"/>
      <c r="P1068" s="378"/>
      <c r="Q1068" s="378"/>
      <c r="R1068" s="378"/>
      <c r="S1068" s="378"/>
      <c r="T1068" s="378"/>
      <c r="U1068" s="378"/>
      <c r="V1068" s="533"/>
      <c r="W1068" s="602"/>
      <c r="X1068" s="602"/>
      <c r="Y1068" s="378">
        <f>IF(NFI_Expiration=1,IF($A1068&lt;VLOOKUP(H$5,NFI,5,0),1,0)*Table_NFI[[#This Row],[Hygiene Kit]],Table_NFI[Hygiene Kit])</f>
        <v>0</v>
      </c>
      <c r="Z1068" s="378">
        <f>IF(NFI_Expiration=1,IF($A1068&lt;VLOOKUP(I$5,NFI,5,0),1,0)*Table_NFI[[#This Row],[NFI Core Kit]],Table_NFI[NFI Core Kit])</f>
        <v>0</v>
      </c>
      <c r="AA1068" s="378">
        <f>IF(NFI_Expiration=1,IF($A1068&lt;VLOOKUP(J$5,NFI,5,0),1,0)*Table_NFI[[#This Row],[Sanitary Kit]],Table_NFI[Sanitary Kit])</f>
        <v>0</v>
      </c>
      <c r="AB1068" s="378">
        <f>IF(NFI_Expiration=1,IF($A1068&lt;VLOOKUP(K$5,NFI,5,0),1,0)*Table_NFI[[#This Row],[Mosquito net]],Table_NFI[Mosquito net])</f>
        <v>0</v>
      </c>
      <c r="AC1068" s="378">
        <f>IF(NFI_Expiration=1,IF($A1068&lt;VLOOKUP(L$5,NFI,5,0),1,0)*Table_NFI[[#This Row],[Tarpaulin]],Table_NFI[[#This Row],[Tarpaulin]])</f>
        <v>0</v>
      </c>
      <c r="AD1068" s="378">
        <f>IF(NFI_Expiration=1,IF($A1068&lt;VLOOKUP(M$5,NFI,5,0),1,0)*Table_NFI[[#This Row],[Blanket]],Table_NFI[[#This Row],[Blanket]])</f>
        <v>0</v>
      </c>
      <c r="AE1068" s="378">
        <f>IF(NFI_Expiration=1,IF($A1068&lt;VLOOKUP(N$5,NFI,5,0),1,0)*Table_NFI[[#This Row],[Kitchen Set]],Table_NFI[Kitchen Set])</f>
        <v>0</v>
      </c>
      <c r="AF1068" s="378">
        <f>IF(NFI_Expiration=1,IF($A1068&lt;VLOOKUP(O$5,NFI,5,0),1,0)*Table_NFI[[#This Row],[Clothes Kit]],Table_NFI[Clothes Kit])</f>
        <v>0</v>
      </c>
      <c r="AG1068" s="378">
        <f>IF(NFI_Expiration=1,IF($A1068&lt;VLOOKUP(P$5,NFI,5,0),1,0)*Table_NFI[[#This Row],[Plastic Bucket]],Table_NFI[Plastic Bucket])</f>
        <v>0</v>
      </c>
      <c r="AH1068" s="378">
        <f>IF(NFI_Expiration=1,IF($A1068&lt;VLOOKUP(Q$5,NFI,5,0),1,0)*Table_NFI[[#This Row],[Plastic Mat]],Table_NFI[Plastic Mat])*IF(Table_NFI[[#This Row],[Distribution Date]]&gt;"2014-04-01",1,2.5)</f>
        <v>0</v>
      </c>
      <c r="AI1068" s="378">
        <f>IF(NFI_Expiration=1,IF($A1068&lt;VLOOKUP(R$5,NFI,5,0),1,0)*Table_NFI[[#This Row],[Winter Clothes Adult]],Table_NFI[Winter Clothes Adult])</f>
        <v>0</v>
      </c>
      <c r="AJ1068" s="378">
        <f>IF(NFI_Expiration=1,IF($A1068&lt;VLOOKUP(S$5,NFI,5,0),1,0)*Table_NFI[[#This Row],[Winter Clothes Children]],Table_NFI[Winter Clothes Children])</f>
        <v>0</v>
      </c>
      <c r="AK1068" s="378">
        <f>IF(NFI_Expiration=1,IF($A1068&lt;VLOOKUP(T$5,NFI,5,0),1,0)*Table_NFI[[#This Row],[Winter Items Other]],Table_NFI[Winter Items Other])</f>
        <v>0</v>
      </c>
      <c r="AL1068" s="378">
        <f>IF(NFI_Expiration=1,IF($A1068&lt;VLOOKUP(M$5,NFI,5,0),1,0)*Table_NFI[[#This Row],[Winter Blanket]],Table_NFI[[#This Row],[Winter Blanket]])</f>
        <v>0</v>
      </c>
      <c r="AM1068" s="378">
        <f>IF(Table_NFI[[#This Row],[Winter Clothes Adult]]+Table_NFI[[#This Row],[Winter Clothes Children]]+Table_NFI[[#This Row],[Winter Items Other]]+Table_NFI[[#This Row],[Winter Blanket]]&gt;0,1,0)</f>
        <v>0</v>
      </c>
      <c r="AN1068" s="418">
        <f>IF(NFI_Expiration=1,IF($A1068&lt;VLOOKUP(V$5,NFI,5,0),1,0)*Table_NFI[[#This Row],[Jerry Can]],Table_NFI[Jerry Can])</f>
        <v>0</v>
      </c>
      <c r="AO1068" s="579" t="str">
        <f>IFERROR(VLOOKUP(Table_NFI[[#This Row],[Camp Name]],CL,2,0),"")</f>
        <v/>
      </c>
      <c r="AP1068" s="574" t="str">
        <f ca="1">IF(Table_NFI[[#This Row],[Pcode]]="","",IF(OFFSET(CampList[Opening Date],MATCH(Table_NFI[[#This Row],[Pcode]],CampList[CP_Pcode],0)-1,0,1,1)&gt;=NFI_Monitor_Date,1,0))</f>
        <v/>
      </c>
      <c r="AQ1068" s="579" t="str">
        <f>IFERROR(VLOOKUP(Table_NFI[[#This Row],[Camp Name]],CL,3,0),"")</f>
        <v/>
      </c>
      <c r="AR1068" s="378" t="str">
        <f ca="1">IF(Table_NFI[[#This Row],[Pcode]]="","",OFFSET(CampList[Priority],MATCH(Table_NFI[[#This Row],[Pcode]],CampList[CP_Pcode],0)-1,0,1,1))</f>
        <v/>
      </c>
      <c r="AS1068" s="377" t="str">
        <f>IFERROR(Table_NFI[[#This Row],[Kitchen Set]]/VLOOKUP(Table_NFI[[#This Row],[Camp Name]],CL,4,0),"")</f>
        <v/>
      </c>
      <c r="AT1068" s="572"/>
      <c r="AU1068" s="575"/>
    </row>
    <row r="1069" spans="1:47" x14ac:dyDescent="0.25">
      <c r="A1069" s="381" t="str">
        <f t="shared" si="16"/>
        <v/>
      </c>
      <c r="B1069" s="571"/>
      <c r="C1069" s="577"/>
      <c r="D1069" s="577"/>
      <c r="E1069" s="577"/>
      <c r="F1069" s="577"/>
      <c r="G1069" s="577"/>
      <c r="H1069" s="376"/>
      <c r="I1069" s="376"/>
      <c r="J1069" s="376"/>
      <c r="K1069" s="376"/>
      <c r="L1069" s="376"/>
      <c r="M1069" s="376"/>
      <c r="N1069" s="376"/>
      <c r="O1069" s="376"/>
      <c r="P1069" s="378"/>
      <c r="Q1069" s="378"/>
      <c r="R1069" s="378"/>
      <c r="S1069" s="378"/>
      <c r="T1069" s="378"/>
      <c r="U1069" s="378"/>
      <c r="V1069" s="533"/>
      <c r="W1069" s="602"/>
      <c r="X1069" s="602"/>
      <c r="Y1069" s="378">
        <f>IF(NFI_Expiration=1,IF($A1069&lt;VLOOKUP(H$5,NFI,5,0),1,0)*Table_NFI[[#This Row],[Hygiene Kit]],Table_NFI[Hygiene Kit])</f>
        <v>0</v>
      </c>
      <c r="Z1069" s="378">
        <f>IF(NFI_Expiration=1,IF($A1069&lt;VLOOKUP(I$5,NFI,5,0),1,0)*Table_NFI[[#This Row],[NFI Core Kit]],Table_NFI[NFI Core Kit])</f>
        <v>0</v>
      </c>
      <c r="AA1069" s="378">
        <f>IF(NFI_Expiration=1,IF($A1069&lt;VLOOKUP(J$5,NFI,5,0),1,0)*Table_NFI[[#This Row],[Sanitary Kit]],Table_NFI[Sanitary Kit])</f>
        <v>0</v>
      </c>
      <c r="AB1069" s="378">
        <f>IF(NFI_Expiration=1,IF($A1069&lt;VLOOKUP(K$5,NFI,5,0),1,0)*Table_NFI[[#This Row],[Mosquito net]],Table_NFI[Mosquito net])</f>
        <v>0</v>
      </c>
      <c r="AC1069" s="378">
        <f>IF(NFI_Expiration=1,IF($A1069&lt;VLOOKUP(L$5,NFI,5,0),1,0)*Table_NFI[[#This Row],[Tarpaulin]],Table_NFI[[#This Row],[Tarpaulin]])</f>
        <v>0</v>
      </c>
      <c r="AD1069" s="378">
        <f>IF(NFI_Expiration=1,IF($A1069&lt;VLOOKUP(M$5,NFI,5,0),1,0)*Table_NFI[[#This Row],[Blanket]],Table_NFI[[#This Row],[Blanket]])</f>
        <v>0</v>
      </c>
      <c r="AE1069" s="378">
        <f>IF(NFI_Expiration=1,IF($A1069&lt;VLOOKUP(N$5,NFI,5,0),1,0)*Table_NFI[[#This Row],[Kitchen Set]],Table_NFI[Kitchen Set])</f>
        <v>0</v>
      </c>
      <c r="AF1069" s="378">
        <f>IF(NFI_Expiration=1,IF($A1069&lt;VLOOKUP(O$5,NFI,5,0),1,0)*Table_NFI[[#This Row],[Clothes Kit]],Table_NFI[Clothes Kit])</f>
        <v>0</v>
      </c>
      <c r="AG1069" s="378">
        <f>IF(NFI_Expiration=1,IF($A1069&lt;VLOOKUP(P$5,NFI,5,0),1,0)*Table_NFI[[#This Row],[Plastic Bucket]],Table_NFI[Plastic Bucket])</f>
        <v>0</v>
      </c>
      <c r="AH1069" s="378">
        <f>IF(NFI_Expiration=1,IF($A1069&lt;VLOOKUP(Q$5,NFI,5,0),1,0)*Table_NFI[[#This Row],[Plastic Mat]],Table_NFI[Plastic Mat])*IF(Table_NFI[[#This Row],[Distribution Date]]&gt;"2014-04-01",1,2.5)</f>
        <v>0</v>
      </c>
      <c r="AI1069" s="378">
        <f>IF(NFI_Expiration=1,IF($A1069&lt;VLOOKUP(R$5,NFI,5,0),1,0)*Table_NFI[[#This Row],[Winter Clothes Adult]],Table_NFI[Winter Clothes Adult])</f>
        <v>0</v>
      </c>
      <c r="AJ1069" s="378">
        <f>IF(NFI_Expiration=1,IF($A1069&lt;VLOOKUP(S$5,NFI,5,0),1,0)*Table_NFI[[#This Row],[Winter Clothes Children]],Table_NFI[Winter Clothes Children])</f>
        <v>0</v>
      </c>
      <c r="AK1069" s="378">
        <f>IF(NFI_Expiration=1,IF($A1069&lt;VLOOKUP(T$5,NFI,5,0),1,0)*Table_NFI[[#This Row],[Winter Items Other]],Table_NFI[Winter Items Other])</f>
        <v>0</v>
      </c>
      <c r="AL1069" s="378">
        <f>IF(NFI_Expiration=1,IF($A1069&lt;VLOOKUP(M$5,NFI,5,0),1,0)*Table_NFI[[#This Row],[Winter Blanket]],Table_NFI[[#This Row],[Winter Blanket]])</f>
        <v>0</v>
      </c>
      <c r="AM1069" s="378">
        <f>IF(Table_NFI[[#This Row],[Winter Clothes Adult]]+Table_NFI[[#This Row],[Winter Clothes Children]]+Table_NFI[[#This Row],[Winter Items Other]]+Table_NFI[[#This Row],[Winter Blanket]]&gt;0,1,0)</f>
        <v>0</v>
      </c>
      <c r="AN1069" s="418">
        <f>IF(NFI_Expiration=1,IF($A1069&lt;VLOOKUP(V$5,NFI,5,0),1,0)*Table_NFI[[#This Row],[Jerry Can]],Table_NFI[Jerry Can])</f>
        <v>0</v>
      </c>
      <c r="AO1069" s="579" t="str">
        <f>IFERROR(VLOOKUP(Table_NFI[[#This Row],[Camp Name]],CL,2,0),"")</f>
        <v/>
      </c>
      <c r="AP1069" s="574" t="str">
        <f ca="1">IF(Table_NFI[[#This Row],[Pcode]]="","",IF(OFFSET(CampList[Opening Date],MATCH(Table_NFI[[#This Row],[Pcode]],CampList[CP_Pcode],0)-1,0,1,1)&gt;=NFI_Monitor_Date,1,0))</f>
        <v/>
      </c>
      <c r="AQ1069" s="579" t="str">
        <f>IFERROR(VLOOKUP(Table_NFI[[#This Row],[Camp Name]],CL,3,0),"")</f>
        <v/>
      </c>
      <c r="AR1069" s="378" t="str">
        <f ca="1">IF(Table_NFI[[#This Row],[Pcode]]="","",OFFSET(CampList[Priority],MATCH(Table_NFI[[#This Row],[Pcode]],CampList[CP_Pcode],0)-1,0,1,1))</f>
        <v/>
      </c>
      <c r="AS1069" s="377" t="str">
        <f>IFERROR(Table_NFI[[#This Row],[Kitchen Set]]/VLOOKUP(Table_NFI[[#This Row],[Camp Name]],CL,4,0),"")</f>
        <v/>
      </c>
      <c r="AT1069" s="572"/>
      <c r="AU1069" s="575"/>
    </row>
    <row r="1070" spans="1:47" x14ac:dyDescent="0.25">
      <c r="A1070" s="381" t="str">
        <f t="shared" si="16"/>
        <v/>
      </c>
      <c r="B1070" s="571"/>
      <c r="C1070" s="577"/>
      <c r="D1070" s="577"/>
      <c r="E1070" s="577"/>
      <c r="F1070" s="577"/>
      <c r="G1070" s="577"/>
      <c r="H1070" s="376"/>
      <c r="I1070" s="376"/>
      <c r="J1070" s="376"/>
      <c r="K1070" s="376"/>
      <c r="L1070" s="376"/>
      <c r="M1070" s="376"/>
      <c r="N1070" s="376"/>
      <c r="O1070" s="376"/>
      <c r="P1070" s="378"/>
      <c r="Q1070" s="378"/>
      <c r="R1070" s="378"/>
      <c r="S1070" s="378"/>
      <c r="T1070" s="378"/>
      <c r="U1070" s="378"/>
      <c r="V1070" s="533"/>
      <c r="W1070" s="602"/>
      <c r="X1070" s="602"/>
      <c r="Y1070" s="378">
        <f>IF(NFI_Expiration=1,IF($A1070&lt;VLOOKUP(H$5,NFI,5,0),1,0)*Table_NFI[[#This Row],[Hygiene Kit]],Table_NFI[Hygiene Kit])</f>
        <v>0</v>
      </c>
      <c r="Z1070" s="378">
        <f>IF(NFI_Expiration=1,IF($A1070&lt;VLOOKUP(I$5,NFI,5,0),1,0)*Table_NFI[[#This Row],[NFI Core Kit]],Table_NFI[NFI Core Kit])</f>
        <v>0</v>
      </c>
      <c r="AA1070" s="378">
        <f>IF(NFI_Expiration=1,IF($A1070&lt;VLOOKUP(J$5,NFI,5,0),1,0)*Table_NFI[[#This Row],[Sanitary Kit]],Table_NFI[Sanitary Kit])</f>
        <v>0</v>
      </c>
      <c r="AB1070" s="378">
        <f>IF(NFI_Expiration=1,IF($A1070&lt;VLOOKUP(K$5,NFI,5,0),1,0)*Table_NFI[[#This Row],[Mosquito net]],Table_NFI[Mosquito net])</f>
        <v>0</v>
      </c>
      <c r="AC1070" s="378">
        <f>IF(NFI_Expiration=1,IF($A1070&lt;VLOOKUP(L$5,NFI,5,0),1,0)*Table_NFI[[#This Row],[Tarpaulin]],Table_NFI[[#This Row],[Tarpaulin]])</f>
        <v>0</v>
      </c>
      <c r="AD1070" s="378">
        <f>IF(NFI_Expiration=1,IF($A1070&lt;VLOOKUP(M$5,NFI,5,0),1,0)*Table_NFI[[#This Row],[Blanket]],Table_NFI[[#This Row],[Blanket]])</f>
        <v>0</v>
      </c>
      <c r="AE1070" s="378">
        <f>IF(NFI_Expiration=1,IF($A1070&lt;VLOOKUP(N$5,NFI,5,0),1,0)*Table_NFI[[#This Row],[Kitchen Set]],Table_NFI[Kitchen Set])</f>
        <v>0</v>
      </c>
      <c r="AF1070" s="378">
        <f>IF(NFI_Expiration=1,IF($A1070&lt;VLOOKUP(O$5,NFI,5,0),1,0)*Table_NFI[[#This Row],[Clothes Kit]],Table_NFI[Clothes Kit])</f>
        <v>0</v>
      </c>
      <c r="AG1070" s="378">
        <f>IF(NFI_Expiration=1,IF($A1070&lt;VLOOKUP(P$5,NFI,5,0),1,0)*Table_NFI[[#This Row],[Plastic Bucket]],Table_NFI[Plastic Bucket])</f>
        <v>0</v>
      </c>
      <c r="AH1070" s="378">
        <f>IF(NFI_Expiration=1,IF($A1070&lt;VLOOKUP(Q$5,NFI,5,0),1,0)*Table_NFI[[#This Row],[Plastic Mat]],Table_NFI[Plastic Mat])*IF(Table_NFI[[#This Row],[Distribution Date]]&gt;"2014-04-01",1,2.5)</f>
        <v>0</v>
      </c>
      <c r="AI1070" s="378">
        <f>IF(NFI_Expiration=1,IF($A1070&lt;VLOOKUP(R$5,NFI,5,0),1,0)*Table_NFI[[#This Row],[Winter Clothes Adult]],Table_NFI[Winter Clothes Adult])</f>
        <v>0</v>
      </c>
      <c r="AJ1070" s="378">
        <f>IF(NFI_Expiration=1,IF($A1070&lt;VLOOKUP(S$5,NFI,5,0),1,0)*Table_NFI[[#This Row],[Winter Clothes Children]],Table_NFI[Winter Clothes Children])</f>
        <v>0</v>
      </c>
      <c r="AK1070" s="378">
        <f>IF(NFI_Expiration=1,IF($A1070&lt;VLOOKUP(T$5,NFI,5,0),1,0)*Table_NFI[[#This Row],[Winter Items Other]],Table_NFI[Winter Items Other])</f>
        <v>0</v>
      </c>
      <c r="AL1070" s="378">
        <f>IF(NFI_Expiration=1,IF($A1070&lt;VLOOKUP(M$5,NFI,5,0),1,0)*Table_NFI[[#This Row],[Winter Blanket]],Table_NFI[[#This Row],[Winter Blanket]])</f>
        <v>0</v>
      </c>
      <c r="AM1070" s="378">
        <f>IF(Table_NFI[[#This Row],[Winter Clothes Adult]]+Table_NFI[[#This Row],[Winter Clothes Children]]+Table_NFI[[#This Row],[Winter Items Other]]+Table_NFI[[#This Row],[Winter Blanket]]&gt;0,1,0)</f>
        <v>0</v>
      </c>
      <c r="AN1070" s="418">
        <f>IF(NFI_Expiration=1,IF($A1070&lt;VLOOKUP(V$5,NFI,5,0),1,0)*Table_NFI[[#This Row],[Jerry Can]],Table_NFI[Jerry Can])</f>
        <v>0</v>
      </c>
      <c r="AO1070" s="579" t="str">
        <f>IFERROR(VLOOKUP(Table_NFI[[#This Row],[Camp Name]],CL,2,0),"")</f>
        <v/>
      </c>
      <c r="AP1070" s="574" t="str">
        <f ca="1">IF(Table_NFI[[#This Row],[Pcode]]="","",IF(OFFSET(CampList[Opening Date],MATCH(Table_NFI[[#This Row],[Pcode]],CampList[CP_Pcode],0)-1,0,1,1)&gt;=NFI_Monitor_Date,1,0))</f>
        <v/>
      </c>
      <c r="AQ1070" s="579" t="str">
        <f>IFERROR(VLOOKUP(Table_NFI[[#This Row],[Camp Name]],CL,3,0),"")</f>
        <v/>
      </c>
      <c r="AR1070" s="378" t="str">
        <f ca="1">IF(Table_NFI[[#This Row],[Pcode]]="","",OFFSET(CampList[Priority],MATCH(Table_NFI[[#This Row],[Pcode]],CampList[CP_Pcode],0)-1,0,1,1))</f>
        <v/>
      </c>
      <c r="AS1070" s="377" t="str">
        <f>IFERROR(Table_NFI[[#This Row],[Kitchen Set]]/VLOOKUP(Table_NFI[[#This Row],[Camp Name]],CL,4,0),"")</f>
        <v/>
      </c>
      <c r="AT1070" s="572"/>
      <c r="AU1070" s="575"/>
    </row>
    <row r="1071" spans="1:47" x14ac:dyDescent="0.25">
      <c r="A1071" s="381" t="str">
        <f t="shared" si="16"/>
        <v/>
      </c>
      <c r="B1071" s="571"/>
      <c r="C1071" s="577"/>
      <c r="D1071" s="577"/>
      <c r="E1071" s="577"/>
      <c r="F1071" s="577"/>
      <c r="G1071" s="577"/>
      <c r="H1071" s="376"/>
      <c r="I1071" s="376"/>
      <c r="J1071" s="376"/>
      <c r="K1071" s="376"/>
      <c r="L1071" s="376"/>
      <c r="M1071" s="376"/>
      <c r="N1071" s="376"/>
      <c r="O1071" s="376"/>
      <c r="P1071" s="378"/>
      <c r="Q1071" s="378"/>
      <c r="R1071" s="378"/>
      <c r="S1071" s="378"/>
      <c r="T1071" s="378"/>
      <c r="U1071" s="378"/>
      <c r="V1071" s="533"/>
      <c r="W1071" s="602"/>
      <c r="X1071" s="602"/>
      <c r="Y1071" s="378">
        <f>IF(NFI_Expiration=1,IF($A1071&lt;VLOOKUP(H$5,NFI,5,0),1,0)*Table_NFI[[#This Row],[Hygiene Kit]],Table_NFI[Hygiene Kit])</f>
        <v>0</v>
      </c>
      <c r="Z1071" s="378">
        <f>IF(NFI_Expiration=1,IF($A1071&lt;VLOOKUP(I$5,NFI,5,0),1,0)*Table_NFI[[#This Row],[NFI Core Kit]],Table_NFI[NFI Core Kit])</f>
        <v>0</v>
      </c>
      <c r="AA1071" s="378">
        <f>IF(NFI_Expiration=1,IF($A1071&lt;VLOOKUP(J$5,NFI,5,0),1,0)*Table_NFI[[#This Row],[Sanitary Kit]],Table_NFI[Sanitary Kit])</f>
        <v>0</v>
      </c>
      <c r="AB1071" s="378">
        <f>IF(NFI_Expiration=1,IF($A1071&lt;VLOOKUP(K$5,NFI,5,0),1,0)*Table_NFI[[#This Row],[Mosquito net]],Table_NFI[Mosquito net])</f>
        <v>0</v>
      </c>
      <c r="AC1071" s="378">
        <f>IF(NFI_Expiration=1,IF($A1071&lt;VLOOKUP(L$5,NFI,5,0),1,0)*Table_NFI[[#This Row],[Tarpaulin]],Table_NFI[[#This Row],[Tarpaulin]])</f>
        <v>0</v>
      </c>
      <c r="AD1071" s="378">
        <f>IF(NFI_Expiration=1,IF($A1071&lt;VLOOKUP(M$5,NFI,5,0),1,0)*Table_NFI[[#This Row],[Blanket]],Table_NFI[[#This Row],[Blanket]])</f>
        <v>0</v>
      </c>
      <c r="AE1071" s="378">
        <f>IF(NFI_Expiration=1,IF($A1071&lt;VLOOKUP(N$5,NFI,5,0),1,0)*Table_NFI[[#This Row],[Kitchen Set]],Table_NFI[Kitchen Set])</f>
        <v>0</v>
      </c>
      <c r="AF1071" s="378">
        <f>IF(NFI_Expiration=1,IF($A1071&lt;VLOOKUP(O$5,NFI,5,0),1,0)*Table_NFI[[#This Row],[Clothes Kit]],Table_NFI[Clothes Kit])</f>
        <v>0</v>
      </c>
      <c r="AG1071" s="378">
        <f>IF(NFI_Expiration=1,IF($A1071&lt;VLOOKUP(P$5,NFI,5,0),1,0)*Table_NFI[[#This Row],[Plastic Bucket]],Table_NFI[Plastic Bucket])</f>
        <v>0</v>
      </c>
      <c r="AH1071" s="378">
        <f>IF(NFI_Expiration=1,IF($A1071&lt;VLOOKUP(Q$5,NFI,5,0),1,0)*Table_NFI[[#This Row],[Plastic Mat]],Table_NFI[Plastic Mat])*IF(Table_NFI[[#This Row],[Distribution Date]]&gt;"2014-04-01",1,2.5)</f>
        <v>0</v>
      </c>
      <c r="AI1071" s="378">
        <f>IF(NFI_Expiration=1,IF($A1071&lt;VLOOKUP(R$5,NFI,5,0),1,0)*Table_NFI[[#This Row],[Winter Clothes Adult]],Table_NFI[Winter Clothes Adult])</f>
        <v>0</v>
      </c>
      <c r="AJ1071" s="378">
        <f>IF(NFI_Expiration=1,IF($A1071&lt;VLOOKUP(S$5,NFI,5,0),1,0)*Table_NFI[[#This Row],[Winter Clothes Children]],Table_NFI[Winter Clothes Children])</f>
        <v>0</v>
      </c>
      <c r="AK1071" s="378">
        <f>IF(NFI_Expiration=1,IF($A1071&lt;VLOOKUP(T$5,NFI,5,0),1,0)*Table_NFI[[#This Row],[Winter Items Other]],Table_NFI[Winter Items Other])</f>
        <v>0</v>
      </c>
      <c r="AL1071" s="378">
        <f>IF(NFI_Expiration=1,IF($A1071&lt;VLOOKUP(M$5,NFI,5,0),1,0)*Table_NFI[[#This Row],[Winter Blanket]],Table_NFI[[#This Row],[Winter Blanket]])</f>
        <v>0</v>
      </c>
      <c r="AM1071" s="378">
        <f>IF(Table_NFI[[#This Row],[Winter Clothes Adult]]+Table_NFI[[#This Row],[Winter Clothes Children]]+Table_NFI[[#This Row],[Winter Items Other]]+Table_NFI[[#This Row],[Winter Blanket]]&gt;0,1,0)</f>
        <v>0</v>
      </c>
      <c r="AN1071" s="418">
        <f>IF(NFI_Expiration=1,IF($A1071&lt;VLOOKUP(V$5,NFI,5,0),1,0)*Table_NFI[[#This Row],[Jerry Can]],Table_NFI[Jerry Can])</f>
        <v>0</v>
      </c>
      <c r="AO1071" s="579" t="str">
        <f>IFERROR(VLOOKUP(Table_NFI[[#This Row],[Camp Name]],CL,2,0),"")</f>
        <v/>
      </c>
      <c r="AP1071" s="574" t="str">
        <f ca="1">IF(Table_NFI[[#This Row],[Pcode]]="","",IF(OFFSET(CampList[Opening Date],MATCH(Table_NFI[[#This Row],[Pcode]],CampList[CP_Pcode],0)-1,0,1,1)&gt;=NFI_Monitor_Date,1,0))</f>
        <v/>
      </c>
      <c r="AQ1071" s="579" t="str">
        <f>IFERROR(VLOOKUP(Table_NFI[[#This Row],[Camp Name]],CL,3,0),"")</f>
        <v/>
      </c>
      <c r="AR1071" s="378" t="str">
        <f ca="1">IF(Table_NFI[[#This Row],[Pcode]]="","",OFFSET(CampList[Priority],MATCH(Table_NFI[[#This Row],[Pcode]],CampList[CP_Pcode],0)-1,0,1,1))</f>
        <v/>
      </c>
      <c r="AS1071" s="377" t="str">
        <f>IFERROR(Table_NFI[[#This Row],[Kitchen Set]]/VLOOKUP(Table_NFI[[#This Row],[Camp Name]],CL,4,0),"")</f>
        <v/>
      </c>
      <c r="AT1071" s="572"/>
      <c r="AU1071" s="575"/>
    </row>
    <row r="1072" spans="1:47" x14ac:dyDescent="0.25">
      <c r="A1072" s="381" t="str">
        <f t="shared" si="16"/>
        <v/>
      </c>
      <c r="B1072" s="571"/>
      <c r="C1072" s="577"/>
      <c r="D1072" s="577"/>
      <c r="E1072" s="577"/>
      <c r="F1072" s="577"/>
      <c r="G1072" s="577"/>
      <c r="H1072" s="376"/>
      <c r="I1072" s="376"/>
      <c r="J1072" s="376"/>
      <c r="K1072" s="376"/>
      <c r="L1072" s="376"/>
      <c r="M1072" s="376"/>
      <c r="N1072" s="376"/>
      <c r="O1072" s="376"/>
      <c r="P1072" s="378"/>
      <c r="Q1072" s="378"/>
      <c r="R1072" s="378"/>
      <c r="S1072" s="378"/>
      <c r="T1072" s="378"/>
      <c r="U1072" s="378"/>
      <c r="V1072" s="533"/>
      <c r="W1072" s="602"/>
      <c r="X1072" s="602"/>
      <c r="Y1072" s="378">
        <f>IF(NFI_Expiration=1,IF($A1072&lt;VLOOKUP(H$5,NFI,5,0),1,0)*Table_NFI[[#This Row],[Hygiene Kit]],Table_NFI[Hygiene Kit])</f>
        <v>0</v>
      </c>
      <c r="Z1072" s="378">
        <f>IF(NFI_Expiration=1,IF($A1072&lt;VLOOKUP(I$5,NFI,5,0),1,0)*Table_NFI[[#This Row],[NFI Core Kit]],Table_NFI[NFI Core Kit])</f>
        <v>0</v>
      </c>
      <c r="AA1072" s="378">
        <f>IF(NFI_Expiration=1,IF($A1072&lt;VLOOKUP(J$5,NFI,5,0),1,0)*Table_NFI[[#This Row],[Sanitary Kit]],Table_NFI[Sanitary Kit])</f>
        <v>0</v>
      </c>
      <c r="AB1072" s="378">
        <f>IF(NFI_Expiration=1,IF($A1072&lt;VLOOKUP(K$5,NFI,5,0),1,0)*Table_NFI[[#This Row],[Mosquito net]],Table_NFI[Mosquito net])</f>
        <v>0</v>
      </c>
      <c r="AC1072" s="378">
        <f>IF(NFI_Expiration=1,IF($A1072&lt;VLOOKUP(L$5,NFI,5,0),1,0)*Table_NFI[[#This Row],[Tarpaulin]],Table_NFI[[#This Row],[Tarpaulin]])</f>
        <v>0</v>
      </c>
      <c r="AD1072" s="378">
        <f>IF(NFI_Expiration=1,IF($A1072&lt;VLOOKUP(M$5,NFI,5,0),1,0)*Table_NFI[[#This Row],[Blanket]],Table_NFI[[#This Row],[Blanket]])</f>
        <v>0</v>
      </c>
      <c r="AE1072" s="378">
        <f>IF(NFI_Expiration=1,IF($A1072&lt;VLOOKUP(N$5,NFI,5,0),1,0)*Table_NFI[[#This Row],[Kitchen Set]],Table_NFI[Kitchen Set])</f>
        <v>0</v>
      </c>
      <c r="AF1072" s="378">
        <f>IF(NFI_Expiration=1,IF($A1072&lt;VLOOKUP(O$5,NFI,5,0),1,0)*Table_NFI[[#This Row],[Clothes Kit]],Table_NFI[Clothes Kit])</f>
        <v>0</v>
      </c>
      <c r="AG1072" s="378">
        <f>IF(NFI_Expiration=1,IF($A1072&lt;VLOOKUP(P$5,NFI,5,0),1,0)*Table_NFI[[#This Row],[Plastic Bucket]],Table_NFI[Plastic Bucket])</f>
        <v>0</v>
      </c>
      <c r="AH1072" s="378">
        <f>IF(NFI_Expiration=1,IF($A1072&lt;VLOOKUP(Q$5,NFI,5,0),1,0)*Table_NFI[[#This Row],[Plastic Mat]],Table_NFI[Plastic Mat])*IF(Table_NFI[[#This Row],[Distribution Date]]&gt;"2014-04-01",1,2.5)</f>
        <v>0</v>
      </c>
      <c r="AI1072" s="378">
        <f>IF(NFI_Expiration=1,IF($A1072&lt;VLOOKUP(R$5,NFI,5,0),1,0)*Table_NFI[[#This Row],[Winter Clothes Adult]],Table_NFI[Winter Clothes Adult])</f>
        <v>0</v>
      </c>
      <c r="AJ1072" s="378">
        <f>IF(NFI_Expiration=1,IF($A1072&lt;VLOOKUP(S$5,NFI,5,0),1,0)*Table_NFI[[#This Row],[Winter Clothes Children]],Table_NFI[Winter Clothes Children])</f>
        <v>0</v>
      </c>
      <c r="AK1072" s="378">
        <f>IF(NFI_Expiration=1,IF($A1072&lt;VLOOKUP(T$5,NFI,5,0),1,0)*Table_NFI[[#This Row],[Winter Items Other]],Table_NFI[Winter Items Other])</f>
        <v>0</v>
      </c>
      <c r="AL1072" s="378">
        <f>IF(NFI_Expiration=1,IF($A1072&lt;VLOOKUP(M$5,NFI,5,0),1,0)*Table_NFI[[#This Row],[Winter Blanket]],Table_NFI[[#This Row],[Winter Blanket]])</f>
        <v>0</v>
      </c>
      <c r="AM1072" s="378">
        <f>IF(Table_NFI[[#This Row],[Winter Clothes Adult]]+Table_NFI[[#This Row],[Winter Clothes Children]]+Table_NFI[[#This Row],[Winter Items Other]]+Table_NFI[[#This Row],[Winter Blanket]]&gt;0,1,0)</f>
        <v>0</v>
      </c>
      <c r="AN1072" s="418">
        <f>IF(NFI_Expiration=1,IF($A1072&lt;VLOOKUP(V$5,NFI,5,0),1,0)*Table_NFI[[#This Row],[Jerry Can]],Table_NFI[Jerry Can])</f>
        <v>0</v>
      </c>
      <c r="AO1072" s="579" t="str">
        <f>IFERROR(VLOOKUP(Table_NFI[[#This Row],[Camp Name]],CL,2,0),"")</f>
        <v/>
      </c>
      <c r="AP1072" s="574" t="str">
        <f ca="1">IF(Table_NFI[[#This Row],[Pcode]]="","",IF(OFFSET(CampList[Opening Date],MATCH(Table_NFI[[#This Row],[Pcode]],CampList[CP_Pcode],0)-1,0,1,1)&gt;=NFI_Monitor_Date,1,0))</f>
        <v/>
      </c>
      <c r="AQ1072" s="579" t="str">
        <f>IFERROR(VLOOKUP(Table_NFI[[#This Row],[Camp Name]],CL,3,0),"")</f>
        <v/>
      </c>
      <c r="AR1072" s="378" t="str">
        <f ca="1">IF(Table_NFI[[#This Row],[Pcode]]="","",OFFSET(CampList[Priority],MATCH(Table_NFI[[#This Row],[Pcode]],CampList[CP_Pcode],0)-1,0,1,1))</f>
        <v/>
      </c>
      <c r="AS1072" s="377" t="str">
        <f>IFERROR(Table_NFI[[#This Row],[Kitchen Set]]/VLOOKUP(Table_NFI[[#This Row],[Camp Name]],CL,4,0),"")</f>
        <v/>
      </c>
      <c r="AT1072" s="572"/>
      <c r="AU1072" s="575"/>
    </row>
    <row r="1073" spans="1:47" x14ac:dyDescent="0.25">
      <c r="A1073" s="381" t="str">
        <f t="shared" si="16"/>
        <v/>
      </c>
      <c r="B1073" s="571"/>
      <c r="C1073" s="577"/>
      <c r="D1073" s="577"/>
      <c r="E1073" s="577"/>
      <c r="F1073" s="577"/>
      <c r="G1073" s="577"/>
      <c r="H1073" s="376"/>
      <c r="I1073" s="376"/>
      <c r="J1073" s="376"/>
      <c r="K1073" s="376"/>
      <c r="L1073" s="376"/>
      <c r="M1073" s="376"/>
      <c r="N1073" s="376"/>
      <c r="O1073" s="376"/>
      <c r="P1073" s="378"/>
      <c r="Q1073" s="378"/>
      <c r="R1073" s="378"/>
      <c r="S1073" s="378"/>
      <c r="T1073" s="378"/>
      <c r="U1073" s="378"/>
      <c r="V1073" s="533"/>
      <c r="W1073" s="602"/>
      <c r="X1073" s="602"/>
      <c r="Y1073" s="378">
        <f>IF(NFI_Expiration=1,IF($A1073&lt;VLOOKUP(H$5,NFI,5,0),1,0)*Table_NFI[[#This Row],[Hygiene Kit]],Table_NFI[Hygiene Kit])</f>
        <v>0</v>
      </c>
      <c r="Z1073" s="378">
        <f>IF(NFI_Expiration=1,IF($A1073&lt;VLOOKUP(I$5,NFI,5,0),1,0)*Table_NFI[[#This Row],[NFI Core Kit]],Table_NFI[NFI Core Kit])</f>
        <v>0</v>
      </c>
      <c r="AA1073" s="378">
        <f>IF(NFI_Expiration=1,IF($A1073&lt;VLOOKUP(J$5,NFI,5,0),1,0)*Table_NFI[[#This Row],[Sanitary Kit]],Table_NFI[Sanitary Kit])</f>
        <v>0</v>
      </c>
      <c r="AB1073" s="378">
        <f>IF(NFI_Expiration=1,IF($A1073&lt;VLOOKUP(K$5,NFI,5,0),1,0)*Table_NFI[[#This Row],[Mosquito net]],Table_NFI[Mosquito net])</f>
        <v>0</v>
      </c>
      <c r="AC1073" s="378">
        <f>IF(NFI_Expiration=1,IF($A1073&lt;VLOOKUP(L$5,NFI,5,0),1,0)*Table_NFI[[#This Row],[Tarpaulin]],Table_NFI[[#This Row],[Tarpaulin]])</f>
        <v>0</v>
      </c>
      <c r="AD1073" s="378">
        <f>IF(NFI_Expiration=1,IF($A1073&lt;VLOOKUP(M$5,NFI,5,0),1,0)*Table_NFI[[#This Row],[Blanket]],Table_NFI[[#This Row],[Blanket]])</f>
        <v>0</v>
      </c>
      <c r="AE1073" s="378">
        <f>IF(NFI_Expiration=1,IF($A1073&lt;VLOOKUP(N$5,NFI,5,0),1,0)*Table_NFI[[#This Row],[Kitchen Set]],Table_NFI[Kitchen Set])</f>
        <v>0</v>
      </c>
      <c r="AF1073" s="378">
        <f>IF(NFI_Expiration=1,IF($A1073&lt;VLOOKUP(O$5,NFI,5,0),1,0)*Table_NFI[[#This Row],[Clothes Kit]],Table_NFI[Clothes Kit])</f>
        <v>0</v>
      </c>
      <c r="AG1073" s="378">
        <f>IF(NFI_Expiration=1,IF($A1073&lt;VLOOKUP(P$5,NFI,5,0),1,0)*Table_NFI[[#This Row],[Plastic Bucket]],Table_NFI[Plastic Bucket])</f>
        <v>0</v>
      </c>
      <c r="AH1073" s="378">
        <f>IF(NFI_Expiration=1,IF($A1073&lt;VLOOKUP(Q$5,NFI,5,0),1,0)*Table_NFI[[#This Row],[Plastic Mat]],Table_NFI[Plastic Mat])*IF(Table_NFI[[#This Row],[Distribution Date]]&gt;"2014-04-01",1,2.5)</f>
        <v>0</v>
      </c>
      <c r="AI1073" s="378">
        <f>IF(NFI_Expiration=1,IF($A1073&lt;VLOOKUP(R$5,NFI,5,0),1,0)*Table_NFI[[#This Row],[Winter Clothes Adult]],Table_NFI[Winter Clothes Adult])</f>
        <v>0</v>
      </c>
      <c r="AJ1073" s="378">
        <f>IF(NFI_Expiration=1,IF($A1073&lt;VLOOKUP(S$5,NFI,5,0),1,0)*Table_NFI[[#This Row],[Winter Clothes Children]],Table_NFI[Winter Clothes Children])</f>
        <v>0</v>
      </c>
      <c r="AK1073" s="378">
        <f>IF(NFI_Expiration=1,IF($A1073&lt;VLOOKUP(T$5,NFI,5,0),1,0)*Table_NFI[[#This Row],[Winter Items Other]],Table_NFI[Winter Items Other])</f>
        <v>0</v>
      </c>
      <c r="AL1073" s="378">
        <f>IF(NFI_Expiration=1,IF($A1073&lt;VLOOKUP(M$5,NFI,5,0),1,0)*Table_NFI[[#This Row],[Winter Blanket]],Table_NFI[[#This Row],[Winter Blanket]])</f>
        <v>0</v>
      </c>
      <c r="AM1073" s="378">
        <f>IF(Table_NFI[[#This Row],[Winter Clothes Adult]]+Table_NFI[[#This Row],[Winter Clothes Children]]+Table_NFI[[#This Row],[Winter Items Other]]+Table_NFI[[#This Row],[Winter Blanket]]&gt;0,1,0)</f>
        <v>0</v>
      </c>
      <c r="AN1073" s="418">
        <f>IF(NFI_Expiration=1,IF($A1073&lt;VLOOKUP(V$5,NFI,5,0),1,0)*Table_NFI[[#This Row],[Jerry Can]],Table_NFI[Jerry Can])</f>
        <v>0</v>
      </c>
      <c r="AO1073" s="579" t="str">
        <f>IFERROR(VLOOKUP(Table_NFI[[#This Row],[Camp Name]],CL,2,0),"")</f>
        <v/>
      </c>
      <c r="AP1073" s="574" t="str">
        <f ca="1">IF(Table_NFI[[#This Row],[Pcode]]="","",IF(OFFSET(CampList[Opening Date],MATCH(Table_NFI[[#This Row],[Pcode]],CampList[CP_Pcode],0)-1,0,1,1)&gt;=NFI_Monitor_Date,1,0))</f>
        <v/>
      </c>
      <c r="AQ1073" s="579" t="str">
        <f>IFERROR(VLOOKUP(Table_NFI[[#This Row],[Camp Name]],CL,3,0),"")</f>
        <v/>
      </c>
      <c r="AR1073" s="378" t="str">
        <f ca="1">IF(Table_NFI[[#This Row],[Pcode]]="","",OFFSET(CampList[Priority],MATCH(Table_NFI[[#This Row],[Pcode]],CampList[CP_Pcode],0)-1,0,1,1))</f>
        <v/>
      </c>
      <c r="AS1073" s="377" t="str">
        <f>IFERROR(Table_NFI[[#This Row],[Kitchen Set]]/VLOOKUP(Table_NFI[[#This Row],[Camp Name]],CL,4,0),"")</f>
        <v/>
      </c>
      <c r="AT1073" s="577"/>
      <c r="AU1073" s="580"/>
    </row>
    <row r="1074" spans="1:47" x14ac:dyDescent="0.25">
      <c r="A1074" s="381" t="str">
        <f t="shared" si="16"/>
        <v/>
      </c>
      <c r="B1074" s="571"/>
      <c r="C1074" s="577"/>
      <c r="D1074" s="577"/>
      <c r="E1074" s="577"/>
      <c r="F1074" s="577"/>
      <c r="G1074" s="577"/>
      <c r="H1074" s="376"/>
      <c r="I1074" s="376"/>
      <c r="J1074" s="376"/>
      <c r="K1074" s="376"/>
      <c r="L1074" s="376"/>
      <c r="M1074" s="376"/>
      <c r="N1074" s="376"/>
      <c r="O1074" s="376"/>
      <c r="P1074" s="378"/>
      <c r="Q1074" s="378"/>
      <c r="R1074" s="378"/>
      <c r="S1074" s="378"/>
      <c r="T1074" s="378"/>
      <c r="U1074" s="378"/>
      <c r="V1074" s="533"/>
      <c r="W1074" s="602"/>
      <c r="X1074" s="602"/>
      <c r="Y1074" s="378">
        <f>IF(NFI_Expiration=1,IF($A1074&lt;VLOOKUP(H$5,NFI,5,0),1,0)*Table_NFI[[#This Row],[Hygiene Kit]],Table_NFI[Hygiene Kit])</f>
        <v>0</v>
      </c>
      <c r="Z1074" s="378">
        <f>IF(NFI_Expiration=1,IF($A1074&lt;VLOOKUP(I$5,NFI,5,0),1,0)*Table_NFI[[#This Row],[NFI Core Kit]],Table_NFI[NFI Core Kit])</f>
        <v>0</v>
      </c>
      <c r="AA1074" s="378">
        <f>IF(NFI_Expiration=1,IF($A1074&lt;VLOOKUP(J$5,NFI,5,0),1,0)*Table_NFI[[#This Row],[Sanitary Kit]],Table_NFI[Sanitary Kit])</f>
        <v>0</v>
      </c>
      <c r="AB1074" s="378">
        <f>IF(NFI_Expiration=1,IF($A1074&lt;VLOOKUP(K$5,NFI,5,0),1,0)*Table_NFI[[#This Row],[Mosquito net]],Table_NFI[Mosquito net])</f>
        <v>0</v>
      </c>
      <c r="AC1074" s="378">
        <f>IF(NFI_Expiration=1,IF($A1074&lt;VLOOKUP(L$5,NFI,5,0),1,0)*Table_NFI[[#This Row],[Tarpaulin]],Table_NFI[[#This Row],[Tarpaulin]])</f>
        <v>0</v>
      </c>
      <c r="AD1074" s="378">
        <f>IF(NFI_Expiration=1,IF($A1074&lt;VLOOKUP(M$5,NFI,5,0),1,0)*Table_NFI[[#This Row],[Blanket]],Table_NFI[[#This Row],[Blanket]])</f>
        <v>0</v>
      </c>
      <c r="AE1074" s="378">
        <f>IF(NFI_Expiration=1,IF($A1074&lt;VLOOKUP(N$5,NFI,5,0),1,0)*Table_NFI[[#This Row],[Kitchen Set]],Table_NFI[Kitchen Set])</f>
        <v>0</v>
      </c>
      <c r="AF1074" s="378">
        <f>IF(NFI_Expiration=1,IF($A1074&lt;VLOOKUP(O$5,NFI,5,0),1,0)*Table_NFI[[#This Row],[Clothes Kit]],Table_NFI[Clothes Kit])</f>
        <v>0</v>
      </c>
      <c r="AG1074" s="378">
        <f>IF(NFI_Expiration=1,IF($A1074&lt;VLOOKUP(P$5,NFI,5,0),1,0)*Table_NFI[[#This Row],[Plastic Bucket]],Table_NFI[Plastic Bucket])</f>
        <v>0</v>
      </c>
      <c r="AH1074" s="378">
        <f>IF(NFI_Expiration=1,IF($A1074&lt;VLOOKUP(Q$5,NFI,5,0),1,0)*Table_NFI[[#This Row],[Plastic Mat]],Table_NFI[Plastic Mat])*IF(Table_NFI[[#This Row],[Distribution Date]]&gt;"2014-04-01",1,2.5)</f>
        <v>0</v>
      </c>
      <c r="AI1074" s="378">
        <f>IF(NFI_Expiration=1,IF($A1074&lt;VLOOKUP(R$5,NFI,5,0),1,0)*Table_NFI[[#This Row],[Winter Clothes Adult]],Table_NFI[Winter Clothes Adult])</f>
        <v>0</v>
      </c>
      <c r="AJ1074" s="378">
        <f>IF(NFI_Expiration=1,IF($A1074&lt;VLOOKUP(S$5,NFI,5,0),1,0)*Table_NFI[[#This Row],[Winter Clothes Children]],Table_NFI[Winter Clothes Children])</f>
        <v>0</v>
      </c>
      <c r="AK1074" s="378">
        <f>IF(NFI_Expiration=1,IF($A1074&lt;VLOOKUP(T$5,NFI,5,0),1,0)*Table_NFI[[#This Row],[Winter Items Other]],Table_NFI[Winter Items Other])</f>
        <v>0</v>
      </c>
      <c r="AL1074" s="378">
        <f>IF(NFI_Expiration=1,IF($A1074&lt;VLOOKUP(M$5,NFI,5,0),1,0)*Table_NFI[[#This Row],[Winter Blanket]],Table_NFI[[#This Row],[Winter Blanket]])</f>
        <v>0</v>
      </c>
      <c r="AM1074" s="378">
        <f>IF(Table_NFI[[#This Row],[Winter Clothes Adult]]+Table_NFI[[#This Row],[Winter Clothes Children]]+Table_NFI[[#This Row],[Winter Items Other]]+Table_NFI[[#This Row],[Winter Blanket]]&gt;0,1,0)</f>
        <v>0</v>
      </c>
      <c r="AN1074" s="418">
        <f>IF(NFI_Expiration=1,IF($A1074&lt;VLOOKUP(V$5,NFI,5,0),1,0)*Table_NFI[[#This Row],[Jerry Can]],Table_NFI[Jerry Can])</f>
        <v>0</v>
      </c>
      <c r="AO1074" s="579" t="str">
        <f>IFERROR(VLOOKUP(Table_NFI[[#This Row],[Camp Name]],CL,2,0),"")</f>
        <v/>
      </c>
      <c r="AP1074" s="574" t="str">
        <f ca="1">IF(Table_NFI[[#This Row],[Pcode]]="","",IF(OFFSET(CampList[Opening Date],MATCH(Table_NFI[[#This Row],[Pcode]],CampList[CP_Pcode],0)-1,0,1,1)&gt;=NFI_Monitor_Date,1,0))</f>
        <v/>
      </c>
      <c r="AQ1074" s="579" t="str">
        <f>IFERROR(VLOOKUP(Table_NFI[[#This Row],[Camp Name]],CL,3,0),"")</f>
        <v/>
      </c>
      <c r="AR1074" s="378" t="str">
        <f ca="1">IF(Table_NFI[[#This Row],[Pcode]]="","",OFFSET(CampList[Priority],MATCH(Table_NFI[[#This Row],[Pcode]],CampList[CP_Pcode],0)-1,0,1,1))</f>
        <v/>
      </c>
      <c r="AS1074" s="377" t="str">
        <f>IFERROR(Table_NFI[[#This Row],[Kitchen Set]]/VLOOKUP(Table_NFI[[#This Row],[Camp Name]],CL,4,0),"")</f>
        <v/>
      </c>
      <c r="AT1074" s="577"/>
      <c r="AU1074" s="580"/>
    </row>
    <row r="1075" spans="1:47" x14ac:dyDescent="0.25">
      <c r="A1075" s="381" t="str">
        <f t="shared" si="16"/>
        <v/>
      </c>
      <c r="B1075" s="571"/>
      <c r="C1075" s="577"/>
      <c r="D1075" s="577"/>
      <c r="E1075" s="577"/>
      <c r="F1075" s="577"/>
      <c r="G1075" s="577"/>
      <c r="H1075" s="376"/>
      <c r="I1075" s="376"/>
      <c r="J1075" s="376"/>
      <c r="K1075" s="376"/>
      <c r="L1075" s="376"/>
      <c r="M1075" s="376"/>
      <c r="N1075" s="376"/>
      <c r="O1075" s="376"/>
      <c r="P1075" s="378"/>
      <c r="Q1075" s="378"/>
      <c r="R1075" s="378"/>
      <c r="S1075" s="378"/>
      <c r="T1075" s="378"/>
      <c r="U1075" s="378"/>
      <c r="V1075" s="533"/>
      <c r="W1075" s="602"/>
      <c r="X1075" s="602"/>
      <c r="Y1075" s="378">
        <f>IF(NFI_Expiration=1,IF($A1075&lt;VLOOKUP(H$5,NFI,5,0),1,0)*Table_NFI[[#This Row],[Hygiene Kit]],Table_NFI[Hygiene Kit])</f>
        <v>0</v>
      </c>
      <c r="Z1075" s="378">
        <f>IF(NFI_Expiration=1,IF($A1075&lt;VLOOKUP(I$5,NFI,5,0),1,0)*Table_NFI[[#This Row],[NFI Core Kit]],Table_NFI[NFI Core Kit])</f>
        <v>0</v>
      </c>
      <c r="AA1075" s="378">
        <f>IF(NFI_Expiration=1,IF($A1075&lt;VLOOKUP(J$5,NFI,5,0),1,0)*Table_NFI[[#This Row],[Sanitary Kit]],Table_NFI[Sanitary Kit])</f>
        <v>0</v>
      </c>
      <c r="AB1075" s="378">
        <f>IF(NFI_Expiration=1,IF($A1075&lt;VLOOKUP(K$5,NFI,5,0),1,0)*Table_NFI[[#This Row],[Mosquito net]],Table_NFI[Mosquito net])</f>
        <v>0</v>
      </c>
      <c r="AC1075" s="378">
        <f>IF(NFI_Expiration=1,IF($A1075&lt;VLOOKUP(L$5,NFI,5,0),1,0)*Table_NFI[[#This Row],[Tarpaulin]],Table_NFI[[#This Row],[Tarpaulin]])</f>
        <v>0</v>
      </c>
      <c r="AD1075" s="378">
        <f>IF(NFI_Expiration=1,IF($A1075&lt;VLOOKUP(M$5,NFI,5,0),1,0)*Table_NFI[[#This Row],[Blanket]],Table_NFI[[#This Row],[Blanket]])</f>
        <v>0</v>
      </c>
      <c r="AE1075" s="378">
        <f>IF(NFI_Expiration=1,IF($A1075&lt;VLOOKUP(N$5,NFI,5,0),1,0)*Table_NFI[[#This Row],[Kitchen Set]],Table_NFI[Kitchen Set])</f>
        <v>0</v>
      </c>
      <c r="AF1075" s="378">
        <f>IF(NFI_Expiration=1,IF($A1075&lt;VLOOKUP(O$5,NFI,5,0),1,0)*Table_NFI[[#This Row],[Clothes Kit]],Table_NFI[Clothes Kit])</f>
        <v>0</v>
      </c>
      <c r="AG1075" s="378">
        <f>IF(NFI_Expiration=1,IF($A1075&lt;VLOOKUP(P$5,NFI,5,0),1,0)*Table_NFI[[#This Row],[Plastic Bucket]],Table_NFI[Plastic Bucket])</f>
        <v>0</v>
      </c>
      <c r="AH1075" s="378">
        <f>IF(NFI_Expiration=1,IF($A1075&lt;VLOOKUP(Q$5,NFI,5,0),1,0)*Table_NFI[[#This Row],[Plastic Mat]],Table_NFI[Plastic Mat])*IF(Table_NFI[[#This Row],[Distribution Date]]&gt;"2014-04-01",1,2.5)</f>
        <v>0</v>
      </c>
      <c r="AI1075" s="378">
        <f>IF(NFI_Expiration=1,IF($A1075&lt;VLOOKUP(R$5,NFI,5,0),1,0)*Table_NFI[[#This Row],[Winter Clothes Adult]],Table_NFI[Winter Clothes Adult])</f>
        <v>0</v>
      </c>
      <c r="AJ1075" s="378">
        <f>IF(NFI_Expiration=1,IF($A1075&lt;VLOOKUP(S$5,NFI,5,0),1,0)*Table_NFI[[#This Row],[Winter Clothes Children]],Table_NFI[Winter Clothes Children])</f>
        <v>0</v>
      </c>
      <c r="AK1075" s="378">
        <f>IF(NFI_Expiration=1,IF($A1075&lt;VLOOKUP(T$5,NFI,5,0),1,0)*Table_NFI[[#This Row],[Winter Items Other]],Table_NFI[Winter Items Other])</f>
        <v>0</v>
      </c>
      <c r="AL1075" s="378">
        <f>IF(NFI_Expiration=1,IF($A1075&lt;VLOOKUP(M$5,NFI,5,0),1,0)*Table_NFI[[#This Row],[Winter Blanket]],Table_NFI[[#This Row],[Winter Blanket]])</f>
        <v>0</v>
      </c>
      <c r="AM1075" s="378">
        <f>IF(Table_NFI[[#This Row],[Winter Clothes Adult]]+Table_NFI[[#This Row],[Winter Clothes Children]]+Table_NFI[[#This Row],[Winter Items Other]]+Table_NFI[[#This Row],[Winter Blanket]]&gt;0,1,0)</f>
        <v>0</v>
      </c>
      <c r="AN1075" s="418">
        <f>IF(NFI_Expiration=1,IF($A1075&lt;VLOOKUP(V$5,NFI,5,0),1,0)*Table_NFI[[#This Row],[Jerry Can]],Table_NFI[Jerry Can])</f>
        <v>0</v>
      </c>
      <c r="AO1075" s="579" t="str">
        <f>IFERROR(VLOOKUP(Table_NFI[[#This Row],[Camp Name]],CL,2,0),"")</f>
        <v/>
      </c>
      <c r="AP1075" s="574" t="str">
        <f ca="1">IF(Table_NFI[[#This Row],[Pcode]]="","",IF(OFFSET(CampList[Opening Date],MATCH(Table_NFI[[#This Row],[Pcode]],CampList[CP_Pcode],0)-1,0,1,1)&gt;=NFI_Monitor_Date,1,0))</f>
        <v/>
      </c>
      <c r="AQ1075" s="579" t="str">
        <f>IFERROR(VLOOKUP(Table_NFI[[#This Row],[Camp Name]],CL,3,0),"")</f>
        <v/>
      </c>
      <c r="AR1075" s="378" t="str">
        <f ca="1">IF(Table_NFI[[#This Row],[Pcode]]="","",OFFSET(CampList[Priority],MATCH(Table_NFI[[#This Row],[Pcode]],CampList[CP_Pcode],0)-1,0,1,1))</f>
        <v/>
      </c>
      <c r="AS1075" s="377" t="str">
        <f>IFERROR(Table_NFI[[#This Row],[Kitchen Set]]/VLOOKUP(Table_NFI[[#This Row],[Camp Name]],CL,4,0),"")</f>
        <v/>
      </c>
      <c r="AT1075" s="577"/>
      <c r="AU1075" s="580"/>
    </row>
    <row r="1076" spans="1:47" x14ac:dyDescent="0.25">
      <c r="A1076" s="381" t="str">
        <f t="shared" si="16"/>
        <v/>
      </c>
      <c r="B1076" s="571"/>
      <c r="C1076" s="577"/>
      <c r="D1076" s="577"/>
      <c r="E1076" s="577"/>
      <c r="F1076" s="577"/>
      <c r="G1076" s="577"/>
      <c r="H1076" s="376"/>
      <c r="I1076" s="376"/>
      <c r="J1076" s="376"/>
      <c r="K1076" s="376"/>
      <c r="L1076" s="376"/>
      <c r="M1076" s="376"/>
      <c r="N1076" s="376"/>
      <c r="O1076" s="376"/>
      <c r="P1076" s="378"/>
      <c r="Q1076" s="378"/>
      <c r="R1076" s="378"/>
      <c r="S1076" s="378"/>
      <c r="T1076" s="378"/>
      <c r="U1076" s="378"/>
      <c r="V1076" s="533"/>
      <c r="W1076" s="602"/>
      <c r="X1076" s="602"/>
      <c r="Y1076" s="378">
        <f>IF(NFI_Expiration=1,IF($A1076&lt;VLOOKUP(H$5,NFI,5,0),1,0)*Table_NFI[[#This Row],[Hygiene Kit]],Table_NFI[Hygiene Kit])</f>
        <v>0</v>
      </c>
      <c r="Z1076" s="378">
        <f>IF(NFI_Expiration=1,IF($A1076&lt;VLOOKUP(I$5,NFI,5,0),1,0)*Table_NFI[[#This Row],[NFI Core Kit]],Table_NFI[NFI Core Kit])</f>
        <v>0</v>
      </c>
      <c r="AA1076" s="378">
        <f>IF(NFI_Expiration=1,IF($A1076&lt;VLOOKUP(J$5,NFI,5,0),1,0)*Table_NFI[[#This Row],[Sanitary Kit]],Table_NFI[Sanitary Kit])</f>
        <v>0</v>
      </c>
      <c r="AB1076" s="378">
        <f>IF(NFI_Expiration=1,IF($A1076&lt;VLOOKUP(K$5,NFI,5,0),1,0)*Table_NFI[[#This Row],[Mosquito net]],Table_NFI[Mosquito net])</f>
        <v>0</v>
      </c>
      <c r="AC1076" s="378">
        <f>IF(NFI_Expiration=1,IF($A1076&lt;VLOOKUP(L$5,NFI,5,0),1,0)*Table_NFI[[#This Row],[Tarpaulin]],Table_NFI[[#This Row],[Tarpaulin]])</f>
        <v>0</v>
      </c>
      <c r="AD1076" s="378">
        <f>IF(NFI_Expiration=1,IF($A1076&lt;VLOOKUP(M$5,NFI,5,0),1,0)*Table_NFI[[#This Row],[Blanket]],Table_NFI[[#This Row],[Blanket]])</f>
        <v>0</v>
      </c>
      <c r="AE1076" s="378">
        <f>IF(NFI_Expiration=1,IF($A1076&lt;VLOOKUP(N$5,NFI,5,0),1,0)*Table_NFI[[#This Row],[Kitchen Set]],Table_NFI[Kitchen Set])</f>
        <v>0</v>
      </c>
      <c r="AF1076" s="378">
        <f>IF(NFI_Expiration=1,IF($A1076&lt;VLOOKUP(O$5,NFI,5,0),1,0)*Table_NFI[[#This Row],[Clothes Kit]],Table_NFI[Clothes Kit])</f>
        <v>0</v>
      </c>
      <c r="AG1076" s="378">
        <f>IF(NFI_Expiration=1,IF($A1076&lt;VLOOKUP(P$5,NFI,5,0),1,0)*Table_NFI[[#This Row],[Plastic Bucket]],Table_NFI[Plastic Bucket])</f>
        <v>0</v>
      </c>
      <c r="AH1076" s="378">
        <f>IF(NFI_Expiration=1,IF($A1076&lt;VLOOKUP(Q$5,NFI,5,0),1,0)*Table_NFI[[#This Row],[Plastic Mat]],Table_NFI[Plastic Mat])*IF(Table_NFI[[#This Row],[Distribution Date]]&gt;"2014-04-01",1,2.5)</f>
        <v>0</v>
      </c>
      <c r="AI1076" s="378">
        <f>IF(NFI_Expiration=1,IF($A1076&lt;VLOOKUP(R$5,NFI,5,0),1,0)*Table_NFI[[#This Row],[Winter Clothes Adult]],Table_NFI[Winter Clothes Adult])</f>
        <v>0</v>
      </c>
      <c r="AJ1076" s="378">
        <f>IF(NFI_Expiration=1,IF($A1076&lt;VLOOKUP(S$5,NFI,5,0),1,0)*Table_NFI[[#This Row],[Winter Clothes Children]],Table_NFI[Winter Clothes Children])</f>
        <v>0</v>
      </c>
      <c r="AK1076" s="378">
        <f>IF(NFI_Expiration=1,IF($A1076&lt;VLOOKUP(T$5,NFI,5,0),1,0)*Table_NFI[[#This Row],[Winter Items Other]],Table_NFI[Winter Items Other])</f>
        <v>0</v>
      </c>
      <c r="AL1076" s="378">
        <f>IF(NFI_Expiration=1,IF($A1076&lt;VLOOKUP(M$5,NFI,5,0),1,0)*Table_NFI[[#This Row],[Winter Blanket]],Table_NFI[[#This Row],[Winter Blanket]])</f>
        <v>0</v>
      </c>
      <c r="AM1076" s="378">
        <f>IF(Table_NFI[[#This Row],[Winter Clothes Adult]]+Table_NFI[[#This Row],[Winter Clothes Children]]+Table_NFI[[#This Row],[Winter Items Other]]+Table_NFI[[#This Row],[Winter Blanket]]&gt;0,1,0)</f>
        <v>0</v>
      </c>
      <c r="AN1076" s="418">
        <f>IF(NFI_Expiration=1,IF($A1076&lt;VLOOKUP(V$5,NFI,5,0),1,0)*Table_NFI[[#This Row],[Jerry Can]],Table_NFI[Jerry Can])</f>
        <v>0</v>
      </c>
      <c r="AO1076" s="579" t="str">
        <f>IFERROR(VLOOKUP(Table_NFI[[#This Row],[Camp Name]],CL,2,0),"")</f>
        <v/>
      </c>
      <c r="AP1076" s="574" t="str">
        <f ca="1">IF(Table_NFI[[#This Row],[Pcode]]="","",IF(OFFSET(CampList[Opening Date],MATCH(Table_NFI[[#This Row],[Pcode]],CampList[CP_Pcode],0)-1,0,1,1)&gt;=NFI_Monitor_Date,1,0))</f>
        <v/>
      </c>
      <c r="AQ1076" s="579" t="str">
        <f>IFERROR(VLOOKUP(Table_NFI[[#This Row],[Camp Name]],CL,3,0),"")</f>
        <v/>
      </c>
      <c r="AR1076" s="378" t="str">
        <f ca="1">IF(Table_NFI[[#This Row],[Pcode]]="","",OFFSET(CampList[Priority],MATCH(Table_NFI[[#This Row],[Pcode]],CampList[CP_Pcode],0)-1,0,1,1))</f>
        <v/>
      </c>
      <c r="AS1076" s="377" t="str">
        <f>IFERROR(Table_NFI[[#This Row],[Kitchen Set]]/VLOOKUP(Table_NFI[[#This Row],[Camp Name]],CL,4,0),"")</f>
        <v/>
      </c>
      <c r="AT1076" s="577"/>
      <c r="AU1076" s="580"/>
    </row>
    <row r="1077" spans="1:47" x14ac:dyDescent="0.25">
      <c r="A1077" s="381" t="str">
        <f t="shared" si="16"/>
        <v/>
      </c>
      <c r="B1077" s="571"/>
      <c r="C1077" s="577"/>
      <c r="D1077" s="577"/>
      <c r="E1077" s="577"/>
      <c r="F1077" s="577"/>
      <c r="G1077" s="577"/>
      <c r="H1077" s="376"/>
      <c r="I1077" s="376"/>
      <c r="J1077" s="376"/>
      <c r="K1077" s="376"/>
      <c r="L1077" s="376"/>
      <c r="M1077" s="376"/>
      <c r="N1077" s="376"/>
      <c r="O1077" s="376"/>
      <c r="P1077" s="378"/>
      <c r="Q1077" s="378"/>
      <c r="R1077" s="378"/>
      <c r="S1077" s="378"/>
      <c r="T1077" s="378"/>
      <c r="U1077" s="378"/>
      <c r="V1077" s="533"/>
      <c r="W1077" s="602"/>
      <c r="X1077" s="602"/>
      <c r="Y1077" s="378">
        <f>IF(NFI_Expiration=1,IF($A1077&lt;VLOOKUP(H$5,NFI,5,0),1,0)*Table_NFI[[#This Row],[Hygiene Kit]],Table_NFI[Hygiene Kit])</f>
        <v>0</v>
      </c>
      <c r="Z1077" s="378">
        <f>IF(NFI_Expiration=1,IF($A1077&lt;VLOOKUP(I$5,NFI,5,0),1,0)*Table_NFI[[#This Row],[NFI Core Kit]],Table_NFI[NFI Core Kit])</f>
        <v>0</v>
      </c>
      <c r="AA1077" s="378">
        <f>IF(NFI_Expiration=1,IF($A1077&lt;VLOOKUP(J$5,NFI,5,0),1,0)*Table_NFI[[#This Row],[Sanitary Kit]],Table_NFI[Sanitary Kit])</f>
        <v>0</v>
      </c>
      <c r="AB1077" s="378">
        <f>IF(NFI_Expiration=1,IF($A1077&lt;VLOOKUP(K$5,NFI,5,0),1,0)*Table_NFI[[#This Row],[Mosquito net]],Table_NFI[Mosquito net])</f>
        <v>0</v>
      </c>
      <c r="AC1077" s="378">
        <f>IF(NFI_Expiration=1,IF($A1077&lt;VLOOKUP(L$5,NFI,5,0),1,0)*Table_NFI[[#This Row],[Tarpaulin]],Table_NFI[[#This Row],[Tarpaulin]])</f>
        <v>0</v>
      </c>
      <c r="AD1077" s="378">
        <f>IF(NFI_Expiration=1,IF($A1077&lt;VLOOKUP(M$5,NFI,5,0),1,0)*Table_NFI[[#This Row],[Blanket]],Table_NFI[[#This Row],[Blanket]])</f>
        <v>0</v>
      </c>
      <c r="AE1077" s="378">
        <f>IF(NFI_Expiration=1,IF($A1077&lt;VLOOKUP(N$5,NFI,5,0),1,0)*Table_NFI[[#This Row],[Kitchen Set]],Table_NFI[Kitchen Set])</f>
        <v>0</v>
      </c>
      <c r="AF1077" s="378">
        <f>IF(NFI_Expiration=1,IF($A1077&lt;VLOOKUP(O$5,NFI,5,0),1,0)*Table_NFI[[#This Row],[Clothes Kit]],Table_NFI[Clothes Kit])</f>
        <v>0</v>
      </c>
      <c r="AG1077" s="378">
        <f>IF(NFI_Expiration=1,IF($A1077&lt;VLOOKUP(P$5,NFI,5,0),1,0)*Table_NFI[[#This Row],[Plastic Bucket]],Table_NFI[Plastic Bucket])</f>
        <v>0</v>
      </c>
      <c r="AH1077" s="378">
        <f>IF(NFI_Expiration=1,IF($A1077&lt;VLOOKUP(Q$5,NFI,5,0),1,0)*Table_NFI[[#This Row],[Plastic Mat]],Table_NFI[Plastic Mat])*IF(Table_NFI[[#This Row],[Distribution Date]]&gt;"2014-04-01",1,2.5)</f>
        <v>0</v>
      </c>
      <c r="AI1077" s="378">
        <f>IF(NFI_Expiration=1,IF($A1077&lt;VLOOKUP(R$5,NFI,5,0),1,0)*Table_NFI[[#This Row],[Winter Clothes Adult]],Table_NFI[Winter Clothes Adult])</f>
        <v>0</v>
      </c>
      <c r="AJ1077" s="378">
        <f>IF(NFI_Expiration=1,IF($A1077&lt;VLOOKUP(S$5,NFI,5,0),1,0)*Table_NFI[[#This Row],[Winter Clothes Children]],Table_NFI[Winter Clothes Children])</f>
        <v>0</v>
      </c>
      <c r="AK1077" s="378">
        <f>IF(NFI_Expiration=1,IF($A1077&lt;VLOOKUP(T$5,NFI,5,0),1,0)*Table_NFI[[#This Row],[Winter Items Other]],Table_NFI[Winter Items Other])</f>
        <v>0</v>
      </c>
      <c r="AL1077" s="378">
        <f>IF(NFI_Expiration=1,IF($A1077&lt;VLOOKUP(M$5,NFI,5,0),1,0)*Table_NFI[[#This Row],[Winter Blanket]],Table_NFI[[#This Row],[Winter Blanket]])</f>
        <v>0</v>
      </c>
      <c r="AM1077" s="378">
        <f>IF(Table_NFI[[#This Row],[Winter Clothes Adult]]+Table_NFI[[#This Row],[Winter Clothes Children]]+Table_NFI[[#This Row],[Winter Items Other]]+Table_NFI[[#This Row],[Winter Blanket]]&gt;0,1,0)</f>
        <v>0</v>
      </c>
      <c r="AN1077" s="418">
        <f>IF(NFI_Expiration=1,IF($A1077&lt;VLOOKUP(V$5,NFI,5,0),1,0)*Table_NFI[[#This Row],[Jerry Can]],Table_NFI[Jerry Can])</f>
        <v>0</v>
      </c>
      <c r="AO1077" s="579" t="str">
        <f>IFERROR(VLOOKUP(Table_NFI[[#This Row],[Camp Name]],CL,2,0),"")</f>
        <v/>
      </c>
      <c r="AP1077" s="574" t="str">
        <f ca="1">IF(Table_NFI[[#This Row],[Pcode]]="","",IF(OFFSET(CampList[Opening Date],MATCH(Table_NFI[[#This Row],[Pcode]],CampList[CP_Pcode],0)-1,0,1,1)&gt;=NFI_Monitor_Date,1,0))</f>
        <v/>
      </c>
      <c r="AQ1077" s="579" t="str">
        <f>IFERROR(VLOOKUP(Table_NFI[[#This Row],[Camp Name]],CL,3,0),"")</f>
        <v/>
      </c>
      <c r="AR1077" s="378" t="str">
        <f ca="1">IF(Table_NFI[[#This Row],[Pcode]]="","",OFFSET(CampList[Priority],MATCH(Table_NFI[[#This Row],[Pcode]],CampList[CP_Pcode],0)-1,0,1,1))</f>
        <v/>
      </c>
      <c r="AS1077" s="377" t="str">
        <f>IFERROR(Table_NFI[[#This Row],[Kitchen Set]]/VLOOKUP(Table_NFI[[#This Row],[Camp Name]],CL,4,0),"")</f>
        <v/>
      </c>
      <c r="AT1077" s="577"/>
      <c r="AU1077" s="580"/>
    </row>
    <row r="1078" spans="1:47" x14ac:dyDescent="0.25">
      <c r="A1078" s="381" t="str">
        <f t="shared" si="16"/>
        <v/>
      </c>
      <c r="B1078" s="571"/>
      <c r="C1078" s="577"/>
      <c r="D1078" s="577"/>
      <c r="E1078" s="577"/>
      <c r="F1078" s="577"/>
      <c r="G1078" s="577"/>
      <c r="H1078" s="376"/>
      <c r="I1078" s="376"/>
      <c r="J1078" s="376"/>
      <c r="K1078" s="376"/>
      <c r="L1078" s="376"/>
      <c r="M1078" s="376"/>
      <c r="N1078" s="376"/>
      <c r="O1078" s="376"/>
      <c r="P1078" s="378"/>
      <c r="Q1078" s="378"/>
      <c r="R1078" s="378"/>
      <c r="S1078" s="378"/>
      <c r="T1078" s="378"/>
      <c r="U1078" s="378"/>
      <c r="V1078" s="533"/>
      <c r="W1078" s="602"/>
      <c r="X1078" s="602"/>
      <c r="Y1078" s="378">
        <f>IF(NFI_Expiration=1,IF($A1078&lt;VLOOKUP(H$5,NFI,5,0),1,0)*Table_NFI[[#This Row],[Hygiene Kit]],Table_NFI[Hygiene Kit])</f>
        <v>0</v>
      </c>
      <c r="Z1078" s="378">
        <f>IF(NFI_Expiration=1,IF($A1078&lt;VLOOKUP(I$5,NFI,5,0),1,0)*Table_NFI[[#This Row],[NFI Core Kit]],Table_NFI[NFI Core Kit])</f>
        <v>0</v>
      </c>
      <c r="AA1078" s="378">
        <f>IF(NFI_Expiration=1,IF($A1078&lt;VLOOKUP(J$5,NFI,5,0),1,0)*Table_NFI[[#This Row],[Sanitary Kit]],Table_NFI[Sanitary Kit])</f>
        <v>0</v>
      </c>
      <c r="AB1078" s="378">
        <f>IF(NFI_Expiration=1,IF($A1078&lt;VLOOKUP(K$5,NFI,5,0),1,0)*Table_NFI[[#This Row],[Mosquito net]],Table_NFI[Mosquito net])</f>
        <v>0</v>
      </c>
      <c r="AC1078" s="378">
        <f>IF(NFI_Expiration=1,IF($A1078&lt;VLOOKUP(L$5,NFI,5,0),1,0)*Table_NFI[[#This Row],[Tarpaulin]],Table_NFI[[#This Row],[Tarpaulin]])</f>
        <v>0</v>
      </c>
      <c r="AD1078" s="378">
        <f>IF(NFI_Expiration=1,IF($A1078&lt;VLOOKUP(M$5,NFI,5,0),1,0)*Table_NFI[[#This Row],[Blanket]],Table_NFI[[#This Row],[Blanket]])</f>
        <v>0</v>
      </c>
      <c r="AE1078" s="378">
        <f>IF(NFI_Expiration=1,IF($A1078&lt;VLOOKUP(N$5,NFI,5,0),1,0)*Table_NFI[[#This Row],[Kitchen Set]],Table_NFI[Kitchen Set])</f>
        <v>0</v>
      </c>
      <c r="AF1078" s="378">
        <f>IF(NFI_Expiration=1,IF($A1078&lt;VLOOKUP(O$5,NFI,5,0),1,0)*Table_NFI[[#This Row],[Clothes Kit]],Table_NFI[Clothes Kit])</f>
        <v>0</v>
      </c>
      <c r="AG1078" s="378">
        <f>IF(NFI_Expiration=1,IF($A1078&lt;VLOOKUP(P$5,NFI,5,0),1,0)*Table_NFI[[#This Row],[Plastic Bucket]],Table_NFI[Plastic Bucket])</f>
        <v>0</v>
      </c>
      <c r="AH1078" s="378">
        <f>IF(NFI_Expiration=1,IF($A1078&lt;VLOOKUP(Q$5,NFI,5,0),1,0)*Table_NFI[[#This Row],[Plastic Mat]],Table_NFI[Plastic Mat])*IF(Table_NFI[[#This Row],[Distribution Date]]&gt;"2014-04-01",1,2.5)</f>
        <v>0</v>
      </c>
      <c r="AI1078" s="378">
        <f>IF(NFI_Expiration=1,IF($A1078&lt;VLOOKUP(R$5,NFI,5,0),1,0)*Table_NFI[[#This Row],[Winter Clothes Adult]],Table_NFI[Winter Clothes Adult])</f>
        <v>0</v>
      </c>
      <c r="AJ1078" s="378">
        <f>IF(NFI_Expiration=1,IF($A1078&lt;VLOOKUP(S$5,NFI,5,0),1,0)*Table_NFI[[#This Row],[Winter Clothes Children]],Table_NFI[Winter Clothes Children])</f>
        <v>0</v>
      </c>
      <c r="AK1078" s="378">
        <f>IF(NFI_Expiration=1,IF($A1078&lt;VLOOKUP(T$5,NFI,5,0),1,0)*Table_NFI[[#This Row],[Winter Items Other]],Table_NFI[Winter Items Other])</f>
        <v>0</v>
      </c>
      <c r="AL1078" s="378">
        <f>IF(NFI_Expiration=1,IF($A1078&lt;VLOOKUP(M$5,NFI,5,0),1,0)*Table_NFI[[#This Row],[Winter Blanket]],Table_NFI[[#This Row],[Winter Blanket]])</f>
        <v>0</v>
      </c>
      <c r="AM1078" s="378">
        <f>IF(Table_NFI[[#This Row],[Winter Clothes Adult]]+Table_NFI[[#This Row],[Winter Clothes Children]]+Table_NFI[[#This Row],[Winter Items Other]]+Table_NFI[[#This Row],[Winter Blanket]]&gt;0,1,0)</f>
        <v>0</v>
      </c>
      <c r="AN1078" s="418">
        <f>IF(NFI_Expiration=1,IF($A1078&lt;VLOOKUP(V$5,NFI,5,0),1,0)*Table_NFI[[#This Row],[Jerry Can]],Table_NFI[Jerry Can])</f>
        <v>0</v>
      </c>
      <c r="AO1078" s="579" t="str">
        <f>IFERROR(VLOOKUP(Table_NFI[[#This Row],[Camp Name]],CL,2,0),"")</f>
        <v/>
      </c>
      <c r="AP1078" s="574" t="str">
        <f ca="1">IF(Table_NFI[[#This Row],[Pcode]]="","",IF(OFFSET(CampList[Opening Date],MATCH(Table_NFI[[#This Row],[Pcode]],CampList[CP_Pcode],0)-1,0,1,1)&gt;=NFI_Monitor_Date,1,0))</f>
        <v/>
      </c>
      <c r="AQ1078" s="579" t="str">
        <f>IFERROR(VLOOKUP(Table_NFI[[#This Row],[Camp Name]],CL,3,0),"")</f>
        <v/>
      </c>
      <c r="AR1078" s="378" t="str">
        <f ca="1">IF(Table_NFI[[#This Row],[Pcode]]="","",OFFSET(CampList[Priority],MATCH(Table_NFI[[#This Row],[Pcode]],CampList[CP_Pcode],0)-1,0,1,1))</f>
        <v/>
      </c>
      <c r="AS1078" s="377" t="str">
        <f>IFERROR(Table_NFI[[#This Row],[Kitchen Set]]/VLOOKUP(Table_NFI[[#This Row],[Camp Name]],CL,4,0),"")</f>
        <v/>
      </c>
      <c r="AT1078" s="577"/>
      <c r="AU1078" s="580"/>
    </row>
    <row r="1079" spans="1:47" x14ac:dyDescent="0.25">
      <c r="A1079" s="381" t="str">
        <f t="shared" si="16"/>
        <v/>
      </c>
      <c r="B1079" s="571"/>
      <c r="C1079" s="577"/>
      <c r="D1079" s="577"/>
      <c r="E1079" s="577"/>
      <c r="F1079" s="577"/>
      <c r="G1079" s="577"/>
      <c r="H1079" s="376"/>
      <c r="I1079" s="376"/>
      <c r="J1079" s="376"/>
      <c r="K1079" s="376"/>
      <c r="L1079" s="376"/>
      <c r="M1079" s="376"/>
      <c r="N1079" s="376"/>
      <c r="O1079" s="376"/>
      <c r="P1079" s="378"/>
      <c r="Q1079" s="378"/>
      <c r="R1079" s="378"/>
      <c r="S1079" s="378"/>
      <c r="T1079" s="378"/>
      <c r="U1079" s="378"/>
      <c r="V1079" s="533"/>
      <c r="W1079" s="602"/>
      <c r="X1079" s="602"/>
      <c r="Y1079" s="378">
        <f>IF(NFI_Expiration=1,IF($A1079&lt;VLOOKUP(H$5,NFI,5,0),1,0)*Table_NFI[[#This Row],[Hygiene Kit]],Table_NFI[Hygiene Kit])</f>
        <v>0</v>
      </c>
      <c r="Z1079" s="378">
        <f>IF(NFI_Expiration=1,IF($A1079&lt;VLOOKUP(I$5,NFI,5,0),1,0)*Table_NFI[[#This Row],[NFI Core Kit]],Table_NFI[NFI Core Kit])</f>
        <v>0</v>
      </c>
      <c r="AA1079" s="378">
        <f>IF(NFI_Expiration=1,IF($A1079&lt;VLOOKUP(J$5,NFI,5,0),1,0)*Table_NFI[[#This Row],[Sanitary Kit]],Table_NFI[Sanitary Kit])</f>
        <v>0</v>
      </c>
      <c r="AB1079" s="378">
        <f>IF(NFI_Expiration=1,IF($A1079&lt;VLOOKUP(K$5,NFI,5,0),1,0)*Table_NFI[[#This Row],[Mosquito net]],Table_NFI[Mosquito net])</f>
        <v>0</v>
      </c>
      <c r="AC1079" s="378">
        <f>IF(NFI_Expiration=1,IF($A1079&lt;VLOOKUP(L$5,NFI,5,0),1,0)*Table_NFI[[#This Row],[Tarpaulin]],Table_NFI[[#This Row],[Tarpaulin]])</f>
        <v>0</v>
      </c>
      <c r="AD1079" s="378">
        <f>IF(NFI_Expiration=1,IF($A1079&lt;VLOOKUP(M$5,NFI,5,0),1,0)*Table_NFI[[#This Row],[Blanket]],Table_NFI[[#This Row],[Blanket]])</f>
        <v>0</v>
      </c>
      <c r="AE1079" s="378">
        <f>IF(NFI_Expiration=1,IF($A1079&lt;VLOOKUP(N$5,NFI,5,0),1,0)*Table_NFI[[#This Row],[Kitchen Set]],Table_NFI[Kitchen Set])</f>
        <v>0</v>
      </c>
      <c r="AF1079" s="378">
        <f>IF(NFI_Expiration=1,IF($A1079&lt;VLOOKUP(O$5,NFI,5,0),1,0)*Table_NFI[[#This Row],[Clothes Kit]],Table_NFI[Clothes Kit])</f>
        <v>0</v>
      </c>
      <c r="AG1079" s="378">
        <f>IF(NFI_Expiration=1,IF($A1079&lt;VLOOKUP(P$5,NFI,5,0),1,0)*Table_NFI[[#This Row],[Plastic Bucket]],Table_NFI[Plastic Bucket])</f>
        <v>0</v>
      </c>
      <c r="AH1079" s="378">
        <f>IF(NFI_Expiration=1,IF($A1079&lt;VLOOKUP(Q$5,NFI,5,0),1,0)*Table_NFI[[#This Row],[Plastic Mat]],Table_NFI[Plastic Mat])*IF(Table_NFI[[#This Row],[Distribution Date]]&gt;"2014-04-01",1,2.5)</f>
        <v>0</v>
      </c>
      <c r="AI1079" s="378">
        <f>IF(NFI_Expiration=1,IF($A1079&lt;VLOOKUP(R$5,NFI,5,0),1,0)*Table_NFI[[#This Row],[Winter Clothes Adult]],Table_NFI[Winter Clothes Adult])</f>
        <v>0</v>
      </c>
      <c r="AJ1079" s="378">
        <f>IF(NFI_Expiration=1,IF($A1079&lt;VLOOKUP(S$5,NFI,5,0),1,0)*Table_NFI[[#This Row],[Winter Clothes Children]],Table_NFI[Winter Clothes Children])</f>
        <v>0</v>
      </c>
      <c r="AK1079" s="378">
        <f>IF(NFI_Expiration=1,IF($A1079&lt;VLOOKUP(T$5,NFI,5,0),1,0)*Table_NFI[[#This Row],[Winter Items Other]],Table_NFI[Winter Items Other])</f>
        <v>0</v>
      </c>
      <c r="AL1079" s="378">
        <f>IF(NFI_Expiration=1,IF($A1079&lt;VLOOKUP(M$5,NFI,5,0),1,0)*Table_NFI[[#This Row],[Winter Blanket]],Table_NFI[[#This Row],[Winter Blanket]])</f>
        <v>0</v>
      </c>
      <c r="AM1079" s="378">
        <f>IF(Table_NFI[[#This Row],[Winter Clothes Adult]]+Table_NFI[[#This Row],[Winter Clothes Children]]+Table_NFI[[#This Row],[Winter Items Other]]+Table_NFI[[#This Row],[Winter Blanket]]&gt;0,1,0)</f>
        <v>0</v>
      </c>
      <c r="AN1079" s="418">
        <f>IF(NFI_Expiration=1,IF($A1079&lt;VLOOKUP(V$5,NFI,5,0),1,0)*Table_NFI[[#This Row],[Jerry Can]],Table_NFI[Jerry Can])</f>
        <v>0</v>
      </c>
      <c r="AO1079" s="579" t="str">
        <f>IFERROR(VLOOKUP(Table_NFI[[#This Row],[Camp Name]],CL,2,0),"")</f>
        <v/>
      </c>
      <c r="AP1079" s="574" t="str">
        <f ca="1">IF(Table_NFI[[#This Row],[Pcode]]="","",IF(OFFSET(CampList[Opening Date],MATCH(Table_NFI[[#This Row],[Pcode]],CampList[CP_Pcode],0)-1,0,1,1)&gt;=NFI_Monitor_Date,1,0))</f>
        <v/>
      </c>
      <c r="AQ1079" s="579" t="str">
        <f>IFERROR(VLOOKUP(Table_NFI[[#This Row],[Camp Name]],CL,3,0),"")</f>
        <v/>
      </c>
      <c r="AR1079" s="378" t="str">
        <f ca="1">IF(Table_NFI[[#This Row],[Pcode]]="","",OFFSET(CampList[Priority],MATCH(Table_NFI[[#This Row],[Pcode]],CampList[CP_Pcode],0)-1,0,1,1))</f>
        <v/>
      </c>
      <c r="AS1079" s="377" t="str">
        <f>IFERROR(Table_NFI[[#This Row],[Kitchen Set]]/VLOOKUP(Table_NFI[[#This Row],[Camp Name]],CL,4,0),"")</f>
        <v/>
      </c>
      <c r="AT1079" s="577"/>
      <c r="AU1079" s="580"/>
    </row>
    <row r="1080" spans="1:47" x14ac:dyDescent="0.25">
      <c r="A1080" s="381" t="str">
        <f t="shared" si="16"/>
        <v/>
      </c>
      <c r="B1080" s="571"/>
      <c r="C1080" s="577"/>
      <c r="D1080" s="577"/>
      <c r="E1080" s="577"/>
      <c r="F1080" s="577"/>
      <c r="G1080" s="577"/>
      <c r="H1080" s="376"/>
      <c r="I1080" s="376"/>
      <c r="J1080" s="376"/>
      <c r="K1080" s="376"/>
      <c r="L1080" s="376"/>
      <c r="M1080" s="376"/>
      <c r="N1080" s="376"/>
      <c r="O1080" s="376"/>
      <c r="P1080" s="378"/>
      <c r="Q1080" s="378"/>
      <c r="R1080" s="378"/>
      <c r="S1080" s="378"/>
      <c r="T1080" s="378"/>
      <c r="U1080" s="378"/>
      <c r="V1080" s="533"/>
      <c r="W1080" s="602"/>
      <c r="X1080" s="602"/>
      <c r="Y1080" s="378">
        <f>IF(NFI_Expiration=1,IF($A1080&lt;VLOOKUP(H$5,NFI,5,0),1,0)*Table_NFI[[#This Row],[Hygiene Kit]],Table_NFI[Hygiene Kit])</f>
        <v>0</v>
      </c>
      <c r="Z1080" s="378">
        <f>IF(NFI_Expiration=1,IF($A1080&lt;VLOOKUP(I$5,NFI,5,0),1,0)*Table_NFI[[#This Row],[NFI Core Kit]],Table_NFI[NFI Core Kit])</f>
        <v>0</v>
      </c>
      <c r="AA1080" s="378">
        <f>IF(NFI_Expiration=1,IF($A1080&lt;VLOOKUP(J$5,NFI,5,0),1,0)*Table_NFI[[#This Row],[Sanitary Kit]],Table_NFI[Sanitary Kit])</f>
        <v>0</v>
      </c>
      <c r="AB1080" s="378">
        <f>IF(NFI_Expiration=1,IF($A1080&lt;VLOOKUP(K$5,NFI,5,0),1,0)*Table_NFI[[#This Row],[Mosquito net]],Table_NFI[Mosquito net])</f>
        <v>0</v>
      </c>
      <c r="AC1080" s="378">
        <f>IF(NFI_Expiration=1,IF($A1080&lt;VLOOKUP(L$5,NFI,5,0),1,0)*Table_NFI[[#This Row],[Tarpaulin]],Table_NFI[[#This Row],[Tarpaulin]])</f>
        <v>0</v>
      </c>
      <c r="AD1080" s="378">
        <f>IF(NFI_Expiration=1,IF($A1080&lt;VLOOKUP(M$5,NFI,5,0),1,0)*Table_NFI[[#This Row],[Blanket]],Table_NFI[[#This Row],[Blanket]])</f>
        <v>0</v>
      </c>
      <c r="AE1080" s="378">
        <f>IF(NFI_Expiration=1,IF($A1080&lt;VLOOKUP(N$5,NFI,5,0),1,0)*Table_NFI[[#This Row],[Kitchen Set]],Table_NFI[Kitchen Set])</f>
        <v>0</v>
      </c>
      <c r="AF1080" s="378">
        <f>IF(NFI_Expiration=1,IF($A1080&lt;VLOOKUP(O$5,NFI,5,0),1,0)*Table_NFI[[#This Row],[Clothes Kit]],Table_NFI[Clothes Kit])</f>
        <v>0</v>
      </c>
      <c r="AG1080" s="378">
        <f>IF(NFI_Expiration=1,IF($A1080&lt;VLOOKUP(P$5,NFI,5,0),1,0)*Table_NFI[[#This Row],[Plastic Bucket]],Table_NFI[Plastic Bucket])</f>
        <v>0</v>
      </c>
      <c r="AH1080" s="378">
        <f>IF(NFI_Expiration=1,IF($A1080&lt;VLOOKUP(Q$5,NFI,5,0),1,0)*Table_NFI[[#This Row],[Plastic Mat]],Table_NFI[Plastic Mat])*IF(Table_NFI[[#This Row],[Distribution Date]]&gt;"2014-04-01",1,2.5)</f>
        <v>0</v>
      </c>
      <c r="AI1080" s="378">
        <f>IF(NFI_Expiration=1,IF($A1080&lt;VLOOKUP(R$5,NFI,5,0),1,0)*Table_NFI[[#This Row],[Winter Clothes Adult]],Table_NFI[Winter Clothes Adult])</f>
        <v>0</v>
      </c>
      <c r="AJ1080" s="378">
        <f>IF(NFI_Expiration=1,IF($A1080&lt;VLOOKUP(S$5,NFI,5,0),1,0)*Table_NFI[[#This Row],[Winter Clothes Children]],Table_NFI[Winter Clothes Children])</f>
        <v>0</v>
      </c>
      <c r="AK1080" s="378">
        <f>IF(NFI_Expiration=1,IF($A1080&lt;VLOOKUP(T$5,NFI,5,0),1,0)*Table_NFI[[#This Row],[Winter Items Other]],Table_NFI[Winter Items Other])</f>
        <v>0</v>
      </c>
      <c r="AL1080" s="378">
        <f>IF(NFI_Expiration=1,IF($A1080&lt;VLOOKUP(M$5,NFI,5,0),1,0)*Table_NFI[[#This Row],[Winter Blanket]],Table_NFI[[#This Row],[Winter Blanket]])</f>
        <v>0</v>
      </c>
      <c r="AM1080" s="378">
        <f>IF(Table_NFI[[#This Row],[Winter Clothes Adult]]+Table_NFI[[#This Row],[Winter Clothes Children]]+Table_NFI[[#This Row],[Winter Items Other]]+Table_NFI[[#This Row],[Winter Blanket]]&gt;0,1,0)</f>
        <v>0</v>
      </c>
      <c r="AN1080" s="418">
        <f>IF(NFI_Expiration=1,IF($A1080&lt;VLOOKUP(V$5,NFI,5,0),1,0)*Table_NFI[[#This Row],[Jerry Can]],Table_NFI[Jerry Can])</f>
        <v>0</v>
      </c>
      <c r="AO1080" s="579" t="str">
        <f>IFERROR(VLOOKUP(Table_NFI[[#This Row],[Camp Name]],CL,2,0),"")</f>
        <v/>
      </c>
      <c r="AP1080" s="574" t="str">
        <f ca="1">IF(Table_NFI[[#This Row],[Pcode]]="","",IF(OFFSET(CampList[Opening Date],MATCH(Table_NFI[[#This Row],[Pcode]],CampList[CP_Pcode],0)-1,0,1,1)&gt;=NFI_Monitor_Date,1,0))</f>
        <v/>
      </c>
      <c r="AQ1080" s="579" t="str">
        <f>IFERROR(VLOOKUP(Table_NFI[[#This Row],[Camp Name]],CL,3,0),"")</f>
        <v/>
      </c>
      <c r="AR1080" s="378" t="str">
        <f ca="1">IF(Table_NFI[[#This Row],[Pcode]]="","",OFFSET(CampList[Priority],MATCH(Table_NFI[[#This Row],[Pcode]],CampList[CP_Pcode],0)-1,0,1,1))</f>
        <v/>
      </c>
      <c r="AS1080" s="377" t="str">
        <f>IFERROR(Table_NFI[[#This Row],[Kitchen Set]]/VLOOKUP(Table_NFI[[#This Row],[Camp Name]],CL,4,0),"")</f>
        <v/>
      </c>
      <c r="AT1080" s="577"/>
      <c r="AU1080" s="580"/>
    </row>
    <row r="1081" spans="1:47" x14ac:dyDescent="0.25">
      <c r="A1081" s="381" t="str">
        <f t="shared" si="16"/>
        <v/>
      </c>
      <c r="B1081" s="571"/>
      <c r="C1081" s="577"/>
      <c r="D1081" s="577"/>
      <c r="E1081" s="577"/>
      <c r="F1081" s="577"/>
      <c r="G1081" s="577"/>
      <c r="H1081" s="376"/>
      <c r="I1081" s="376"/>
      <c r="J1081" s="376"/>
      <c r="K1081" s="376"/>
      <c r="L1081" s="376"/>
      <c r="M1081" s="376"/>
      <c r="N1081" s="376"/>
      <c r="O1081" s="376"/>
      <c r="P1081" s="378"/>
      <c r="Q1081" s="378"/>
      <c r="R1081" s="378"/>
      <c r="S1081" s="378"/>
      <c r="T1081" s="378"/>
      <c r="U1081" s="378"/>
      <c r="V1081" s="533"/>
      <c r="W1081" s="602"/>
      <c r="X1081" s="602"/>
      <c r="Y1081" s="378">
        <f>IF(NFI_Expiration=1,IF($A1081&lt;VLOOKUP(H$5,NFI,5,0),1,0)*Table_NFI[[#This Row],[Hygiene Kit]],Table_NFI[Hygiene Kit])</f>
        <v>0</v>
      </c>
      <c r="Z1081" s="378">
        <f>IF(NFI_Expiration=1,IF($A1081&lt;VLOOKUP(I$5,NFI,5,0),1,0)*Table_NFI[[#This Row],[NFI Core Kit]],Table_NFI[NFI Core Kit])</f>
        <v>0</v>
      </c>
      <c r="AA1081" s="378">
        <f>IF(NFI_Expiration=1,IF($A1081&lt;VLOOKUP(J$5,NFI,5,0),1,0)*Table_NFI[[#This Row],[Sanitary Kit]],Table_NFI[Sanitary Kit])</f>
        <v>0</v>
      </c>
      <c r="AB1081" s="378">
        <f>IF(NFI_Expiration=1,IF($A1081&lt;VLOOKUP(K$5,NFI,5,0),1,0)*Table_NFI[[#This Row],[Mosquito net]],Table_NFI[Mosquito net])</f>
        <v>0</v>
      </c>
      <c r="AC1081" s="378">
        <f>IF(NFI_Expiration=1,IF($A1081&lt;VLOOKUP(L$5,NFI,5,0),1,0)*Table_NFI[[#This Row],[Tarpaulin]],Table_NFI[[#This Row],[Tarpaulin]])</f>
        <v>0</v>
      </c>
      <c r="AD1081" s="378">
        <f>IF(NFI_Expiration=1,IF($A1081&lt;VLOOKUP(M$5,NFI,5,0),1,0)*Table_NFI[[#This Row],[Blanket]],Table_NFI[[#This Row],[Blanket]])</f>
        <v>0</v>
      </c>
      <c r="AE1081" s="378">
        <f>IF(NFI_Expiration=1,IF($A1081&lt;VLOOKUP(N$5,NFI,5,0),1,0)*Table_NFI[[#This Row],[Kitchen Set]],Table_NFI[Kitchen Set])</f>
        <v>0</v>
      </c>
      <c r="AF1081" s="378">
        <f>IF(NFI_Expiration=1,IF($A1081&lt;VLOOKUP(O$5,NFI,5,0),1,0)*Table_NFI[[#This Row],[Clothes Kit]],Table_NFI[Clothes Kit])</f>
        <v>0</v>
      </c>
      <c r="AG1081" s="378">
        <f>IF(NFI_Expiration=1,IF($A1081&lt;VLOOKUP(P$5,NFI,5,0),1,0)*Table_NFI[[#This Row],[Plastic Bucket]],Table_NFI[Plastic Bucket])</f>
        <v>0</v>
      </c>
      <c r="AH1081" s="378">
        <f>IF(NFI_Expiration=1,IF($A1081&lt;VLOOKUP(Q$5,NFI,5,0),1,0)*Table_NFI[[#This Row],[Plastic Mat]],Table_NFI[Plastic Mat])*IF(Table_NFI[[#This Row],[Distribution Date]]&gt;"2014-04-01",1,2.5)</f>
        <v>0</v>
      </c>
      <c r="AI1081" s="378">
        <f>IF(NFI_Expiration=1,IF($A1081&lt;VLOOKUP(R$5,NFI,5,0),1,0)*Table_NFI[[#This Row],[Winter Clothes Adult]],Table_NFI[Winter Clothes Adult])</f>
        <v>0</v>
      </c>
      <c r="AJ1081" s="378">
        <f>IF(NFI_Expiration=1,IF($A1081&lt;VLOOKUP(S$5,NFI,5,0),1,0)*Table_NFI[[#This Row],[Winter Clothes Children]],Table_NFI[Winter Clothes Children])</f>
        <v>0</v>
      </c>
      <c r="AK1081" s="378">
        <f>IF(NFI_Expiration=1,IF($A1081&lt;VLOOKUP(T$5,NFI,5,0),1,0)*Table_NFI[[#This Row],[Winter Items Other]],Table_NFI[Winter Items Other])</f>
        <v>0</v>
      </c>
      <c r="AL1081" s="378">
        <f>IF(NFI_Expiration=1,IF($A1081&lt;VLOOKUP(M$5,NFI,5,0),1,0)*Table_NFI[[#This Row],[Winter Blanket]],Table_NFI[[#This Row],[Winter Blanket]])</f>
        <v>0</v>
      </c>
      <c r="AM1081" s="378">
        <f>IF(Table_NFI[[#This Row],[Winter Clothes Adult]]+Table_NFI[[#This Row],[Winter Clothes Children]]+Table_NFI[[#This Row],[Winter Items Other]]+Table_NFI[[#This Row],[Winter Blanket]]&gt;0,1,0)</f>
        <v>0</v>
      </c>
      <c r="AN1081" s="418">
        <f>IF(NFI_Expiration=1,IF($A1081&lt;VLOOKUP(V$5,NFI,5,0),1,0)*Table_NFI[[#This Row],[Jerry Can]],Table_NFI[Jerry Can])</f>
        <v>0</v>
      </c>
      <c r="AO1081" s="579" t="str">
        <f>IFERROR(VLOOKUP(Table_NFI[[#This Row],[Camp Name]],CL,2,0),"")</f>
        <v/>
      </c>
      <c r="AP1081" s="574" t="str">
        <f ca="1">IF(Table_NFI[[#This Row],[Pcode]]="","",IF(OFFSET(CampList[Opening Date],MATCH(Table_NFI[[#This Row],[Pcode]],CampList[CP_Pcode],0)-1,0,1,1)&gt;=NFI_Monitor_Date,1,0))</f>
        <v/>
      </c>
      <c r="AQ1081" s="579" t="str">
        <f>IFERROR(VLOOKUP(Table_NFI[[#This Row],[Camp Name]],CL,3,0),"")</f>
        <v/>
      </c>
      <c r="AR1081" s="378" t="str">
        <f ca="1">IF(Table_NFI[[#This Row],[Pcode]]="","",OFFSET(CampList[Priority],MATCH(Table_NFI[[#This Row],[Pcode]],CampList[CP_Pcode],0)-1,0,1,1))</f>
        <v/>
      </c>
      <c r="AS1081" s="377" t="str">
        <f>IFERROR(Table_NFI[[#This Row],[Kitchen Set]]/VLOOKUP(Table_NFI[[#This Row],[Camp Name]],CL,4,0),"")</f>
        <v/>
      </c>
      <c r="AT1081" s="577"/>
      <c r="AU1081" s="580"/>
    </row>
    <row r="1082" spans="1:47" x14ac:dyDescent="0.25">
      <c r="A1082" s="381" t="str">
        <f t="shared" si="16"/>
        <v/>
      </c>
      <c r="B1082" s="571"/>
      <c r="C1082" s="577"/>
      <c r="D1082" s="577"/>
      <c r="E1082" s="577"/>
      <c r="F1082" s="577"/>
      <c r="G1082" s="577"/>
      <c r="H1082" s="376"/>
      <c r="I1082" s="376"/>
      <c r="J1082" s="376"/>
      <c r="K1082" s="376"/>
      <c r="L1082" s="376"/>
      <c r="M1082" s="376"/>
      <c r="N1082" s="376"/>
      <c r="O1082" s="376"/>
      <c r="P1082" s="378"/>
      <c r="Q1082" s="378"/>
      <c r="R1082" s="378"/>
      <c r="S1082" s="378"/>
      <c r="T1082" s="378"/>
      <c r="U1082" s="378"/>
      <c r="V1082" s="533"/>
      <c r="W1082" s="602"/>
      <c r="X1082" s="602"/>
      <c r="Y1082" s="378">
        <f>IF(NFI_Expiration=1,IF($A1082&lt;VLOOKUP(H$5,NFI,5,0),1,0)*Table_NFI[[#This Row],[Hygiene Kit]],Table_NFI[Hygiene Kit])</f>
        <v>0</v>
      </c>
      <c r="Z1082" s="378">
        <f>IF(NFI_Expiration=1,IF($A1082&lt;VLOOKUP(I$5,NFI,5,0),1,0)*Table_NFI[[#This Row],[NFI Core Kit]],Table_NFI[NFI Core Kit])</f>
        <v>0</v>
      </c>
      <c r="AA1082" s="378">
        <f>IF(NFI_Expiration=1,IF($A1082&lt;VLOOKUP(J$5,NFI,5,0),1,0)*Table_NFI[[#This Row],[Sanitary Kit]],Table_NFI[Sanitary Kit])</f>
        <v>0</v>
      </c>
      <c r="AB1082" s="378">
        <f>IF(NFI_Expiration=1,IF($A1082&lt;VLOOKUP(K$5,NFI,5,0),1,0)*Table_NFI[[#This Row],[Mosquito net]],Table_NFI[Mosquito net])</f>
        <v>0</v>
      </c>
      <c r="AC1082" s="378">
        <f>IF(NFI_Expiration=1,IF($A1082&lt;VLOOKUP(L$5,NFI,5,0),1,0)*Table_NFI[[#This Row],[Tarpaulin]],Table_NFI[[#This Row],[Tarpaulin]])</f>
        <v>0</v>
      </c>
      <c r="AD1082" s="378">
        <f>IF(NFI_Expiration=1,IF($A1082&lt;VLOOKUP(M$5,NFI,5,0),1,0)*Table_NFI[[#This Row],[Blanket]],Table_NFI[[#This Row],[Blanket]])</f>
        <v>0</v>
      </c>
      <c r="AE1082" s="378">
        <f>IF(NFI_Expiration=1,IF($A1082&lt;VLOOKUP(N$5,NFI,5,0),1,0)*Table_NFI[[#This Row],[Kitchen Set]],Table_NFI[Kitchen Set])</f>
        <v>0</v>
      </c>
      <c r="AF1082" s="378">
        <f>IF(NFI_Expiration=1,IF($A1082&lt;VLOOKUP(O$5,NFI,5,0),1,0)*Table_NFI[[#This Row],[Clothes Kit]],Table_NFI[Clothes Kit])</f>
        <v>0</v>
      </c>
      <c r="AG1082" s="378">
        <f>IF(NFI_Expiration=1,IF($A1082&lt;VLOOKUP(P$5,NFI,5,0),1,0)*Table_NFI[[#This Row],[Plastic Bucket]],Table_NFI[Plastic Bucket])</f>
        <v>0</v>
      </c>
      <c r="AH1082" s="378">
        <f>IF(NFI_Expiration=1,IF($A1082&lt;VLOOKUP(Q$5,NFI,5,0),1,0)*Table_NFI[[#This Row],[Plastic Mat]],Table_NFI[Plastic Mat])*IF(Table_NFI[[#This Row],[Distribution Date]]&gt;"2014-04-01",1,2.5)</f>
        <v>0</v>
      </c>
      <c r="AI1082" s="378">
        <f>IF(NFI_Expiration=1,IF($A1082&lt;VLOOKUP(R$5,NFI,5,0),1,0)*Table_NFI[[#This Row],[Winter Clothes Adult]],Table_NFI[Winter Clothes Adult])</f>
        <v>0</v>
      </c>
      <c r="AJ1082" s="378">
        <f>IF(NFI_Expiration=1,IF($A1082&lt;VLOOKUP(S$5,NFI,5,0),1,0)*Table_NFI[[#This Row],[Winter Clothes Children]],Table_NFI[Winter Clothes Children])</f>
        <v>0</v>
      </c>
      <c r="AK1082" s="378">
        <f>IF(NFI_Expiration=1,IF($A1082&lt;VLOOKUP(T$5,NFI,5,0),1,0)*Table_NFI[[#This Row],[Winter Items Other]],Table_NFI[Winter Items Other])</f>
        <v>0</v>
      </c>
      <c r="AL1082" s="378">
        <f>IF(NFI_Expiration=1,IF($A1082&lt;VLOOKUP(M$5,NFI,5,0),1,0)*Table_NFI[[#This Row],[Winter Blanket]],Table_NFI[[#This Row],[Winter Blanket]])</f>
        <v>0</v>
      </c>
      <c r="AM1082" s="378">
        <f>IF(Table_NFI[[#This Row],[Winter Clothes Adult]]+Table_NFI[[#This Row],[Winter Clothes Children]]+Table_NFI[[#This Row],[Winter Items Other]]+Table_NFI[[#This Row],[Winter Blanket]]&gt;0,1,0)</f>
        <v>0</v>
      </c>
      <c r="AN1082" s="418">
        <f>IF(NFI_Expiration=1,IF($A1082&lt;VLOOKUP(V$5,NFI,5,0),1,0)*Table_NFI[[#This Row],[Jerry Can]],Table_NFI[Jerry Can])</f>
        <v>0</v>
      </c>
      <c r="AO1082" s="579" t="str">
        <f>IFERROR(VLOOKUP(Table_NFI[[#This Row],[Camp Name]],CL,2,0),"")</f>
        <v/>
      </c>
      <c r="AP1082" s="574" t="str">
        <f ca="1">IF(Table_NFI[[#This Row],[Pcode]]="","",IF(OFFSET(CampList[Opening Date],MATCH(Table_NFI[[#This Row],[Pcode]],CampList[CP_Pcode],0)-1,0,1,1)&gt;=NFI_Monitor_Date,1,0))</f>
        <v/>
      </c>
      <c r="AQ1082" s="579" t="str">
        <f>IFERROR(VLOOKUP(Table_NFI[[#This Row],[Camp Name]],CL,3,0),"")</f>
        <v/>
      </c>
      <c r="AR1082" s="378" t="str">
        <f ca="1">IF(Table_NFI[[#This Row],[Pcode]]="","",OFFSET(CampList[Priority],MATCH(Table_NFI[[#This Row],[Pcode]],CampList[CP_Pcode],0)-1,0,1,1))</f>
        <v/>
      </c>
      <c r="AS1082" s="377" t="str">
        <f>IFERROR(Table_NFI[[#This Row],[Kitchen Set]]/VLOOKUP(Table_NFI[[#This Row],[Camp Name]],CL,4,0),"")</f>
        <v/>
      </c>
      <c r="AT1082" s="577"/>
      <c r="AU1082" s="580"/>
    </row>
    <row r="1083" spans="1:47" x14ac:dyDescent="0.25">
      <c r="A1083" s="381" t="str">
        <f t="shared" si="16"/>
        <v/>
      </c>
      <c r="B1083" s="571"/>
      <c r="C1083" s="577"/>
      <c r="D1083" s="577"/>
      <c r="E1083" s="577"/>
      <c r="F1083" s="577"/>
      <c r="G1083" s="577"/>
      <c r="H1083" s="376"/>
      <c r="I1083" s="376"/>
      <c r="J1083" s="376"/>
      <c r="K1083" s="376"/>
      <c r="L1083" s="376"/>
      <c r="M1083" s="376"/>
      <c r="N1083" s="376"/>
      <c r="O1083" s="376"/>
      <c r="P1083" s="378"/>
      <c r="Q1083" s="378"/>
      <c r="R1083" s="378"/>
      <c r="S1083" s="378"/>
      <c r="T1083" s="378"/>
      <c r="U1083" s="378"/>
      <c r="V1083" s="533"/>
      <c r="W1083" s="602"/>
      <c r="X1083" s="602"/>
      <c r="Y1083" s="378">
        <f>IF(NFI_Expiration=1,IF($A1083&lt;VLOOKUP(H$5,NFI,5,0),1,0)*Table_NFI[[#This Row],[Hygiene Kit]],Table_NFI[Hygiene Kit])</f>
        <v>0</v>
      </c>
      <c r="Z1083" s="378">
        <f>IF(NFI_Expiration=1,IF($A1083&lt;VLOOKUP(I$5,NFI,5,0),1,0)*Table_NFI[[#This Row],[NFI Core Kit]],Table_NFI[NFI Core Kit])</f>
        <v>0</v>
      </c>
      <c r="AA1083" s="378">
        <f>IF(NFI_Expiration=1,IF($A1083&lt;VLOOKUP(J$5,NFI,5,0),1,0)*Table_NFI[[#This Row],[Sanitary Kit]],Table_NFI[Sanitary Kit])</f>
        <v>0</v>
      </c>
      <c r="AB1083" s="378">
        <f>IF(NFI_Expiration=1,IF($A1083&lt;VLOOKUP(K$5,NFI,5,0),1,0)*Table_NFI[[#This Row],[Mosquito net]],Table_NFI[Mosquito net])</f>
        <v>0</v>
      </c>
      <c r="AC1083" s="378">
        <f>IF(NFI_Expiration=1,IF($A1083&lt;VLOOKUP(L$5,NFI,5,0),1,0)*Table_NFI[[#This Row],[Tarpaulin]],Table_NFI[[#This Row],[Tarpaulin]])</f>
        <v>0</v>
      </c>
      <c r="AD1083" s="378">
        <f>IF(NFI_Expiration=1,IF($A1083&lt;VLOOKUP(M$5,NFI,5,0),1,0)*Table_NFI[[#This Row],[Blanket]],Table_NFI[[#This Row],[Blanket]])</f>
        <v>0</v>
      </c>
      <c r="AE1083" s="378">
        <f>IF(NFI_Expiration=1,IF($A1083&lt;VLOOKUP(N$5,NFI,5,0),1,0)*Table_NFI[[#This Row],[Kitchen Set]],Table_NFI[Kitchen Set])</f>
        <v>0</v>
      </c>
      <c r="AF1083" s="378">
        <f>IF(NFI_Expiration=1,IF($A1083&lt;VLOOKUP(O$5,NFI,5,0),1,0)*Table_NFI[[#This Row],[Clothes Kit]],Table_NFI[Clothes Kit])</f>
        <v>0</v>
      </c>
      <c r="AG1083" s="378">
        <f>IF(NFI_Expiration=1,IF($A1083&lt;VLOOKUP(P$5,NFI,5,0),1,0)*Table_NFI[[#This Row],[Plastic Bucket]],Table_NFI[Plastic Bucket])</f>
        <v>0</v>
      </c>
      <c r="AH1083" s="378">
        <f>IF(NFI_Expiration=1,IF($A1083&lt;VLOOKUP(Q$5,NFI,5,0),1,0)*Table_NFI[[#This Row],[Plastic Mat]],Table_NFI[Plastic Mat])*IF(Table_NFI[[#This Row],[Distribution Date]]&gt;"2014-04-01",1,2.5)</f>
        <v>0</v>
      </c>
      <c r="AI1083" s="378">
        <f>IF(NFI_Expiration=1,IF($A1083&lt;VLOOKUP(R$5,NFI,5,0),1,0)*Table_NFI[[#This Row],[Winter Clothes Adult]],Table_NFI[Winter Clothes Adult])</f>
        <v>0</v>
      </c>
      <c r="AJ1083" s="378">
        <f>IF(NFI_Expiration=1,IF($A1083&lt;VLOOKUP(S$5,NFI,5,0),1,0)*Table_NFI[[#This Row],[Winter Clothes Children]],Table_NFI[Winter Clothes Children])</f>
        <v>0</v>
      </c>
      <c r="AK1083" s="378">
        <f>IF(NFI_Expiration=1,IF($A1083&lt;VLOOKUP(T$5,NFI,5,0),1,0)*Table_NFI[[#This Row],[Winter Items Other]],Table_NFI[Winter Items Other])</f>
        <v>0</v>
      </c>
      <c r="AL1083" s="378">
        <f>IF(NFI_Expiration=1,IF($A1083&lt;VLOOKUP(M$5,NFI,5,0),1,0)*Table_NFI[[#This Row],[Winter Blanket]],Table_NFI[[#This Row],[Winter Blanket]])</f>
        <v>0</v>
      </c>
      <c r="AM1083" s="378">
        <f>IF(Table_NFI[[#This Row],[Winter Clothes Adult]]+Table_NFI[[#This Row],[Winter Clothes Children]]+Table_NFI[[#This Row],[Winter Items Other]]+Table_NFI[[#This Row],[Winter Blanket]]&gt;0,1,0)</f>
        <v>0</v>
      </c>
      <c r="AN1083" s="418">
        <f>IF(NFI_Expiration=1,IF($A1083&lt;VLOOKUP(V$5,NFI,5,0),1,0)*Table_NFI[[#This Row],[Jerry Can]],Table_NFI[Jerry Can])</f>
        <v>0</v>
      </c>
      <c r="AO1083" s="579" t="str">
        <f>IFERROR(VLOOKUP(Table_NFI[[#This Row],[Camp Name]],CL,2,0),"")</f>
        <v/>
      </c>
      <c r="AP1083" s="574" t="str">
        <f ca="1">IF(Table_NFI[[#This Row],[Pcode]]="","",IF(OFFSET(CampList[Opening Date],MATCH(Table_NFI[[#This Row],[Pcode]],CampList[CP_Pcode],0)-1,0,1,1)&gt;=NFI_Monitor_Date,1,0))</f>
        <v/>
      </c>
      <c r="AQ1083" s="579" t="str">
        <f>IFERROR(VLOOKUP(Table_NFI[[#This Row],[Camp Name]],CL,3,0),"")</f>
        <v/>
      </c>
      <c r="AR1083" s="378" t="str">
        <f ca="1">IF(Table_NFI[[#This Row],[Pcode]]="","",OFFSET(CampList[Priority],MATCH(Table_NFI[[#This Row],[Pcode]],CampList[CP_Pcode],0)-1,0,1,1))</f>
        <v/>
      </c>
      <c r="AS1083" s="377" t="str">
        <f>IFERROR(Table_NFI[[#This Row],[Kitchen Set]]/VLOOKUP(Table_NFI[[#This Row],[Camp Name]],CL,4,0),"")</f>
        <v/>
      </c>
      <c r="AT1083" s="577"/>
      <c r="AU1083" s="580"/>
    </row>
    <row r="1084" spans="1:47" x14ac:dyDescent="0.25">
      <c r="A1084" s="381" t="str">
        <f t="shared" si="16"/>
        <v/>
      </c>
      <c r="B1084" s="571"/>
      <c r="C1084" s="577"/>
      <c r="D1084" s="577"/>
      <c r="E1084" s="577"/>
      <c r="F1084" s="577"/>
      <c r="G1084" s="577"/>
      <c r="H1084" s="376"/>
      <c r="I1084" s="376"/>
      <c r="J1084" s="376"/>
      <c r="K1084" s="376"/>
      <c r="L1084" s="376"/>
      <c r="M1084" s="376"/>
      <c r="N1084" s="376"/>
      <c r="O1084" s="376"/>
      <c r="P1084" s="378"/>
      <c r="Q1084" s="378"/>
      <c r="R1084" s="378"/>
      <c r="S1084" s="378"/>
      <c r="T1084" s="378"/>
      <c r="U1084" s="378"/>
      <c r="V1084" s="533"/>
      <c r="W1084" s="602"/>
      <c r="X1084" s="602"/>
      <c r="Y1084" s="378">
        <f>IF(NFI_Expiration=1,IF($A1084&lt;VLOOKUP(H$5,NFI,5,0),1,0)*Table_NFI[[#This Row],[Hygiene Kit]],Table_NFI[Hygiene Kit])</f>
        <v>0</v>
      </c>
      <c r="Z1084" s="378">
        <f>IF(NFI_Expiration=1,IF($A1084&lt;VLOOKUP(I$5,NFI,5,0),1,0)*Table_NFI[[#This Row],[NFI Core Kit]],Table_NFI[NFI Core Kit])</f>
        <v>0</v>
      </c>
      <c r="AA1084" s="378">
        <f>IF(NFI_Expiration=1,IF($A1084&lt;VLOOKUP(J$5,NFI,5,0),1,0)*Table_NFI[[#This Row],[Sanitary Kit]],Table_NFI[Sanitary Kit])</f>
        <v>0</v>
      </c>
      <c r="AB1084" s="378">
        <f>IF(NFI_Expiration=1,IF($A1084&lt;VLOOKUP(K$5,NFI,5,0),1,0)*Table_NFI[[#This Row],[Mosquito net]],Table_NFI[Mosquito net])</f>
        <v>0</v>
      </c>
      <c r="AC1084" s="378">
        <f>IF(NFI_Expiration=1,IF($A1084&lt;VLOOKUP(L$5,NFI,5,0),1,0)*Table_NFI[[#This Row],[Tarpaulin]],Table_NFI[[#This Row],[Tarpaulin]])</f>
        <v>0</v>
      </c>
      <c r="AD1084" s="378">
        <f>IF(NFI_Expiration=1,IF($A1084&lt;VLOOKUP(M$5,NFI,5,0),1,0)*Table_NFI[[#This Row],[Blanket]],Table_NFI[[#This Row],[Blanket]])</f>
        <v>0</v>
      </c>
      <c r="AE1084" s="378">
        <f>IF(NFI_Expiration=1,IF($A1084&lt;VLOOKUP(N$5,NFI,5,0),1,0)*Table_NFI[[#This Row],[Kitchen Set]],Table_NFI[Kitchen Set])</f>
        <v>0</v>
      </c>
      <c r="AF1084" s="378">
        <f>IF(NFI_Expiration=1,IF($A1084&lt;VLOOKUP(O$5,NFI,5,0),1,0)*Table_NFI[[#This Row],[Clothes Kit]],Table_NFI[Clothes Kit])</f>
        <v>0</v>
      </c>
      <c r="AG1084" s="378">
        <f>IF(NFI_Expiration=1,IF($A1084&lt;VLOOKUP(P$5,NFI,5,0),1,0)*Table_NFI[[#This Row],[Plastic Bucket]],Table_NFI[Plastic Bucket])</f>
        <v>0</v>
      </c>
      <c r="AH1084" s="378">
        <f>IF(NFI_Expiration=1,IF($A1084&lt;VLOOKUP(Q$5,NFI,5,0),1,0)*Table_NFI[[#This Row],[Plastic Mat]],Table_NFI[Plastic Mat])*IF(Table_NFI[[#This Row],[Distribution Date]]&gt;"2014-04-01",1,2.5)</f>
        <v>0</v>
      </c>
      <c r="AI1084" s="378">
        <f>IF(NFI_Expiration=1,IF($A1084&lt;VLOOKUP(R$5,NFI,5,0),1,0)*Table_NFI[[#This Row],[Winter Clothes Adult]],Table_NFI[Winter Clothes Adult])</f>
        <v>0</v>
      </c>
      <c r="AJ1084" s="378">
        <f>IF(NFI_Expiration=1,IF($A1084&lt;VLOOKUP(S$5,NFI,5,0),1,0)*Table_NFI[[#This Row],[Winter Clothes Children]],Table_NFI[Winter Clothes Children])</f>
        <v>0</v>
      </c>
      <c r="AK1084" s="378">
        <f>IF(NFI_Expiration=1,IF($A1084&lt;VLOOKUP(T$5,NFI,5,0),1,0)*Table_NFI[[#This Row],[Winter Items Other]],Table_NFI[Winter Items Other])</f>
        <v>0</v>
      </c>
      <c r="AL1084" s="378">
        <f>IF(NFI_Expiration=1,IF($A1084&lt;VLOOKUP(M$5,NFI,5,0),1,0)*Table_NFI[[#This Row],[Winter Blanket]],Table_NFI[[#This Row],[Winter Blanket]])</f>
        <v>0</v>
      </c>
      <c r="AM1084" s="378">
        <f>IF(Table_NFI[[#This Row],[Winter Clothes Adult]]+Table_NFI[[#This Row],[Winter Clothes Children]]+Table_NFI[[#This Row],[Winter Items Other]]+Table_NFI[[#This Row],[Winter Blanket]]&gt;0,1,0)</f>
        <v>0</v>
      </c>
      <c r="AN1084" s="418">
        <f>IF(NFI_Expiration=1,IF($A1084&lt;VLOOKUP(V$5,NFI,5,0),1,0)*Table_NFI[[#This Row],[Jerry Can]],Table_NFI[Jerry Can])</f>
        <v>0</v>
      </c>
      <c r="AO1084" s="579" t="str">
        <f>IFERROR(VLOOKUP(Table_NFI[[#This Row],[Camp Name]],CL,2,0),"")</f>
        <v/>
      </c>
      <c r="AP1084" s="574" t="str">
        <f ca="1">IF(Table_NFI[[#This Row],[Pcode]]="","",IF(OFFSET(CampList[Opening Date],MATCH(Table_NFI[[#This Row],[Pcode]],CampList[CP_Pcode],0)-1,0,1,1)&gt;=NFI_Monitor_Date,1,0))</f>
        <v/>
      </c>
      <c r="AQ1084" s="579" t="str">
        <f>IFERROR(VLOOKUP(Table_NFI[[#This Row],[Camp Name]],CL,3,0),"")</f>
        <v/>
      </c>
      <c r="AR1084" s="378" t="str">
        <f ca="1">IF(Table_NFI[[#This Row],[Pcode]]="","",OFFSET(CampList[Priority],MATCH(Table_NFI[[#This Row],[Pcode]],CampList[CP_Pcode],0)-1,0,1,1))</f>
        <v/>
      </c>
      <c r="AS1084" s="377" t="str">
        <f>IFERROR(Table_NFI[[#This Row],[Kitchen Set]]/VLOOKUP(Table_NFI[[#This Row],[Camp Name]],CL,4,0),"")</f>
        <v/>
      </c>
      <c r="AT1084" s="577"/>
      <c r="AU1084" s="580"/>
    </row>
    <row r="1085" spans="1:47" x14ac:dyDescent="0.25">
      <c r="A1085" s="381" t="str">
        <f t="shared" si="16"/>
        <v/>
      </c>
      <c r="B1085" s="571"/>
      <c r="C1085" s="577"/>
      <c r="D1085" s="577"/>
      <c r="E1085" s="577"/>
      <c r="F1085" s="577"/>
      <c r="G1085" s="577"/>
      <c r="H1085" s="376"/>
      <c r="I1085" s="376"/>
      <c r="J1085" s="376"/>
      <c r="K1085" s="376"/>
      <c r="L1085" s="376"/>
      <c r="M1085" s="376"/>
      <c r="N1085" s="376"/>
      <c r="O1085" s="376"/>
      <c r="P1085" s="378"/>
      <c r="Q1085" s="378"/>
      <c r="R1085" s="378"/>
      <c r="S1085" s="378"/>
      <c r="T1085" s="378"/>
      <c r="U1085" s="378"/>
      <c r="V1085" s="533"/>
      <c r="W1085" s="602"/>
      <c r="X1085" s="602"/>
      <c r="Y1085" s="378">
        <f>IF(NFI_Expiration=1,IF($A1085&lt;VLOOKUP(H$5,NFI,5,0),1,0)*Table_NFI[[#This Row],[Hygiene Kit]],Table_NFI[Hygiene Kit])</f>
        <v>0</v>
      </c>
      <c r="Z1085" s="378">
        <f>IF(NFI_Expiration=1,IF($A1085&lt;VLOOKUP(I$5,NFI,5,0),1,0)*Table_NFI[[#This Row],[NFI Core Kit]],Table_NFI[NFI Core Kit])</f>
        <v>0</v>
      </c>
      <c r="AA1085" s="378">
        <f>IF(NFI_Expiration=1,IF($A1085&lt;VLOOKUP(J$5,NFI,5,0),1,0)*Table_NFI[[#This Row],[Sanitary Kit]],Table_NFI[Sanitary Kit])</f>
        <v>0</v>
      </c>
      <c r="AB1085" s="378">
        <f>IF(NFI_Expiration=1,IF($A1085&lt;VLOOKUP(K$5,NFI,5,0),1,0)*Table_NFI[[#This Row],[Mosquito net]],Table_NFI[Mosquito net])</f>
        <v>0</v>
      </c>
      <c r="AC1085" s="378">
        <f>IF(NFI_Expiration=1,IF($A1085&lt;VLOOKUP(L$5,NFI,5,0),1,0)*Table_NFI[[#This Row],[Tarpaulin]],Table_NFI[[#This Row],[Tarpaulin]])</f>
        <v>0</v>
      </c>
      <c r="AD1085" s="378">
        <f>IF(NFI_Expiration=1,IF($A1085&lt;VLOOKUP(M$5,NFI,5,0),1,0)*Table_NFI[[#This Row],[Blanket]],Table_NFI[[#This Row],[Blanket]])</f>
        <v>0</v>
      </c>
      <c r="AE1085" s="378">
        <f>IF(NFI_Expiration=1,IF($A1085&lt;VLOOKUP(N$5,NFI,5,0),1,0)*Table_NFI[[#This Row],[Kitchen Set]],Table_NFI[Kitchen Set])</f>
        <v>0</v>
      </c>
      <c r="AF1085" s="378">
        <f>IF(NFI_Expiration=1,IF($A1085&lt;VLOOKUP(O$5,NFI,5,0),1,0)*Table_NFI[[#This Row],[Clothes Kit]],Table_NFI[Clothes Kit])</f>
        <v>0</v>
      </c>
      <c r="AG1085" s="378">
        <f>IF(NFI_Expiration=1,IF($A1085&lt;VLOOKUP(P$5,NFI,5,0),1,0)*Table_NFI[[#This Row],[Plastic Bucket]],Table_NFI[Plastic Bucket])</f>
        <v>0</v>
      </c>
      <c r="AH1085" s="378">
        <f>IF(NFI_Expiration=1,IF($A1085&lt;VLOOKUP(Q$5,NFI,5,0),1,0)*Table_NFI[[#This Row],[Plastic Mat]],Table_NFI[Plastic Mat])*IF(Table_NFI[[#This Row],[Distribution Date]]&gt;"2014-04-01",1,2.5)</f>
        <v>0</v>
      </c>
      <c r="AI1085" s="378">
        <f>IF(NFI_Expiration=1,IF($A1085&lt;VLOOKUP(R$5,NFI,5,0),1,0)*Table_NFI[[#This Row],[Winter Clothes Adult]],Table_NFI[Winter Clothes Adult])</f>
        <v>0</v>
      </c>
      <c r="AJ1085" s="378">
        <f>IF(NFI_Expiration=1,IF($A1085&lt;VLOOKUP(S$5,NFI,5,0),1,0)*Table_NFI[[#This Row],[Winter Clothes Children]],Table_NFI[Winter Clothes Children])</f>
        <v>0</v>
      </c>
      <c r="AK1085" s="378">
        <f>IF(NFI_Expiration=1,IF($A1085&lt;VLOOKUP(T$5,NFI,5,0),1,0)*Table_NFI[[#This Row],[Winter Items Other]],Table_NFI[Winter Items Other])</f>
        <v>0</v>
      </c>
      <c r="AL1085" s="378">
        <f>IF(NFI_Expiration=1,IF($A1085&lt;VLOOKUP(M$5,NFI,5,0),1,0)*Table_NFI[[#This Row],[Winter Blanket]],Table_NFI[[#This Row],[Winter Blanket]])</f>
        <v>0</v>
      </c>
      <c r="AM1085" s="378">
        <f>IF(Table_NFI[[#This Row],[Winter Clothes Adult]]+Table_NFI[[#This Row],[Winter Clothes Children]]+Table_NFI[[#This Row],[Winter Items Other]]+Table_NFI[[#This Row],[Winter Blanket]]&gt;0,1,0)</f>
        <v>0</v>
      </c>
      <c r="AN1085" s="418">
        <f>IF(NFI_Expiration=1,IF($A1085&lt;VLOOKUP(V$5,NFI,5,0),1,0)*Table_NFI[[#This Row],[Jerry Can]],Table_NFI[Jerry Can])</f>
        <v>0</v>
      </c>
      <c r="AO1085" s="579" t="str">
        <f>IFERROR(VLOOKUP(Table_NFI[[#This Row],[Camp Name]],CL,2,0),"")</f>
        <v/>
      </c>
      <c r="AP1085" s="574" t="str">
        <f ca="1">IF(Table_NFI[[#This Row],[Pcode]]="","",IF(OFFSET(CampList[Opening Date],MATCH(Table_NFI[[#This Row],[Pcode]],CampList[CP_Pcode],0)-1,0,1,1)&gt;=NFI_Monitor_Date,1,0))</f>
        <v/>
      </c>
      <c r="AQ1085" s="579" t="str">
        <f>IFERROR(VLOOKUP(Table_NFI[[#This Row],[Camp Name]],CL,3,0),"")</f>
        <v/>
      </c>
      <c r="AR1085" s="378" t="str">
        <f ca="1">IF(Table_NFI[[#This Row],[Pcode]]="","",OFFSET(CampList[Priority],MATCH(Table_NFI[[#This Row],[Pcode]],CampList[CP_Pcode],0)-1,0,1,1))</f>
        <v/>
      </c>
      <c r="AS1085" s="377" t="str">
        <f>IFERROR(Table_NFI[[#This Row],[Kitchen Set]]/VLOOKUP(Table_NFI[[#This Row],[Camp Name]],CL,4,0),"")</f>
        <v/>
      </c>
      <c r="AT1085" s="577"/>
      <c r="AU1085" s="580"/>
    </row>
    <row r="1086" spans="1:47" x14ac:dyDescent="0.25">
      <c r="A1086" s="381" t="str">
        <f t="shared" si="16"/>
        <v/>
      </c>
      <c r="B1086" s="571"/>
      <c r="C1086" s="577"/>
      <c r="D1086" s="577"/>
      <c r="E1086" s="577"/>
      <c r="F1086" s="577"/>
      <c r="G1086" s="577"/>
      <c r="H1086" s="376"/>
      <c r="I1086" s="376"/>
      <c r="J1086" s="376"/>
      <c r="K1086" s="376"/>
      <c r="L1086" s="376"/>
      <c r="M1086" s="376"/>
      <c r="N1086" s="376"/>
      <c r="O1086" s="376"/>
      <c r="P1086" s="378"/>
      <c r="Q1086" s="378"/>
      <c r="R1086" s="378"/>
      <c r="S1086" s="378"/>
      <c r="T1086" s="378"/>
      <c r="U1086" s="378"/>
      <c r="V1086" s="533"/>
      <c r="W1086" s="602"/>
      <c r="X1086" s="602"/>
      <c r="Y1086" s="378">
        <f>IF(NFI_Expiration=1,IF($A1086&lt;VLOOKUP(H$5,NFI,5,0),1,0)*Table_NFI[[#This Row],[Hygiene Kit]],Table_NFI[Hygiene Kit])</f>
        <v>0</v>
      </c>
      <c r="Z1086" s="378">
        <f>IF(NFI_Expiration=1,IF($A1086&lt;VLOOKUP(I$5,NFI,5,0),1,0)*Table_NFI[[#This Row],[NFI Core Kit]],Table_NFI[NFI Core Kit])</f>
        <v>0</v>
      </c>
      <c r="AA1086" s="378">
        <f>IF(NFI_Expiration=1,IF($A1086&lt;VLOOKUP(J$5,NFI,5,0),1,0)*Table_NFI[[#This Row],[Sanitary Kit]],Table_NFI[Sanitary Kit])</f>
        <v>0</v>
      </c>
      <c r="AB1086" s="378">
        <f>IF(NFI_Expiration=1,IF($A1086&lt;VLOOKUP(K$5,NFI,5,0),1,0)*Table_NFI[[#This Row],[Mosquito net]],Table_NFI[Mosquito net])</f>
        <v>0</v>
      </c>
      <c r="AC1086" s="378">
        <f>IF(NFI_Expiration=1,IF($A1086&lt;VLOOKUP(L$5,NFI,5,0),1,0)*Table_NFI[[#This Row],[Tarpaulin]],Table_NFI[[#This Row],[Tarpaulin]])</f>
        <v>0</v>
      </c>
      <c r="AD1086" s="378">
        <f>IF(NFI_Expiration=1,IF($A1086&lt;VLOOKUP(M$5,NFI,5,0),1,0)*Table_NFI[[#This Row],[Blanket]],Table_NFI[[#This Row],[Blanket]])</f>
        <v>0</v>
      </c>
      <c r="AE1086" s="378">
        <f>IF(NFI_Expiration=1,IF($A1086&lt;VLOOKUP(N$5,NFI,5,0),1,0)*Table_NFI[[#This Row],[Kitchen Set]],Table_NFI[Kitchen Set])</f>
        <v>0</v>
      </c>
      <c r="AF1086" s="378">
        <f>IF(NFI_Expiration=1,IF($A1086&lt;VLOOKUP(O$5,NFI,5,0),1,0)*Table_NFI[[#This Row],[Clothes Kit]],Table_NFI[Clothes Kit])</f>
        <v>0</v>
      </c>
      <c r="AG1086" s="378">
        <f>IF(NFI_Expiration=1,IF($A1086&lt;VLOOKUP(P$5,NFI,5,0),1,0)*Table_NFI[[#This Row],[Plastic Bucket]],Table_NFI[Plastic Bucket])</f>
        <v>0</v>
      </c>
      <c r="AH1086" s="378">
        <f>IF(NFI_Expiration=1,IF($A1086&lt;VLOOKUP(Q$5,NFI,5,0),1,0)*Table_NFI[[#This Row],[Plastic Mat]],Table_NFI[Plastic Mat])*IF(Table_NFI[[#This Row],[Distribution Date]]&gt;"2014-04-01",1,2.5)</f>
        <v>0</v>
      </c>
      <c r="AI1086" s="378">
        <f>IF(NFI_Expiration=1,IF($A1086&lt;VLOOKUP(R$5,NFI,5,0),1,0)*Table_NFI[[#This Row],[Winter Clothes Adult]],Table_NFI[Winter Clothes Adult])</f>
        <v>0</v>
      </c>
      <c r="AJ1086" s="378">
        <f>IF(NFI_Expiration=1,IF($A1086&lt;VLOOKUP(S$5,NFI,5,0),1,0)*Table_NFI[[#This Row],[Winter Clothes Children]],Table_NFI[Winter Clothes Children])</f>
        <v>0</v>
      </c>
      <c r="AK1086" s="378">
        <f>IF(NFI_Expiration=1,IF($A1086&lt;VLOOKUP(T$5,NFI,5,0),1,0)*Table_NFI[[#This Row],[Winter Items Other]],Table_NFI[Winter Items Other])</f>
        <v>0</v>
      </c>
      <c r="AL1086" s="378">
        <f>IF(NFI_Expiration=1,IF($A1086&lt;VLOOKUP(M$5,NFI,5,0),1,0)*Table_NFI[[#This Row],[Winter Blanket]],Table_NFI[[#This Row],[Winter Blanket]])</f>
        <v>0</v>
      </c>
      <c r="AM1086" s="378">
        <f>IF(Table_NFI[[#This Row],[Winter Clothes Adult]]+Table_NFI[[#This Row],[Winter Clothes Children]]+Table_NFI[[#This Row],[Winter Items Other]]+Table_NFI[[#This Row],[Winter Blanket]]&gt;0,1,0)</f>
        <v>0</v>
      </c>
      <c r="AN1086" s="418">
        <f>IF(NFI_Expiration=1,IF($A1086&lt;VLOOKUP(V$5,NFI,5,0),1,0)*Table_NFI[[#This Row],[Jerry Can]],Table_NFI[Jerry Can])</f>
        <v>0</v>
      </c>
      <c r="AO1086" s="579" t="str">
        <f>IFERROR(VLOOKUP(Table_NFI[[#This Row],[Camp Name]],CL,2,0),"")</f>
        <v/>
      </c>
      <c r="AP1086" s="574" t="str">
        <f ca="1">IF(Table_NFI[[#This Row],[Pcode]]="","",IF(OFFSET(CampList[Opening Date],MATCH(Table_NFI[[#This Row],[Pcode]],CampList[CP_Pcode],0)-1,0,1,1)&gt;=NFI_Monitor_Date,1,0))</f>
        <v/>
      </c>
      <c r="AQ1086" s="579" t="str">
        <f>IFERROR(VLOOKUP(Table_NFI[[#This Row],[Camp Name]],CL,3,0),"")</f>
        <v/>
      </c>
      <c r="AR1086" s="378" t="str">
        <f ca="1">IF(Table_NFI[[#This Row],[Pcode]]="","",OFFSET(CampList[Priority],MATCH(Table_NFI[[#This Row],[Pcode]],CampList[CP_Pcode],0)-1,0,1,1))</f>
        <v/>
      </c>
      <c r="AS1086" s="377" t="str">
        <f>IFERROR(Table_NFI[[#This Row],[Kitchen Set]]/VLOOKUP(Table_NFI[[#This Row],[Camp Name]],CL,4,0),"")</f>
        <v/>
      </c>
      <c r="AT1086" s="577"/>
      <c r="AU1086" s="580"/>
    </row>
    <row r="1087" spans="1:47" x14ac:dyDescent="0.25">
      <c r="A1087" s="381" t="str">
        <f t="shared" si="16"/>
        <v/>
      </c>
      <c r="B1087" s="571"/>
      <c r="C1087" s="577"/>
      <c r="D1087" s="577"/>
      <c r="E1087" s="577"/>
      <c r="F1087" s="577"/>
      <c r="G1087" s="577"/>
      <c r="H1087" s="376"/>
      <c r="I1087" s="376"/>
      <c r="J1087" s="376"/>
      <c r="K1087" s="376"/>
      <c r="L1087" s="376"/>
      <c r="M1087" s="376"/>
      <c r="N1087" s="376"/>
      <c r="O1087" s="376"/>
      <c r="P1087" s="378"/>
      <c r="Q1087" s="378"/>
      <c r="R1087" s="378"/>
      <c r="S1087" s="378"/>
      <c r="T1087" s="378"/>
      <c r="U1087" s="378"/>
      <c r="V1087" s="533"/>
      <c r="W1087" s="602"/>
      <c r="X1087" s="602"/>
      <c r="Y1087" s="378">
        <f>IF(NFI_Expiration=1,IF($A1087&lt;VLOOKUP(H$5,NFI,5,0),1,0)*Table_NFI[[#This Row],[Hygiene Kit]],Table_NFI[Hygiene Kit])</f>
        <v>0</v>
      </c>
      <c r="Z1087" s="378">
        <f>IF(NFI_Expiration=1,IF($A1087&lt;VLOOKUP(I$5,NFI,5,0),1,0)*Table_NFI[[#This Row],[NFI Core Kit]],Table_NFI[NFI Core Kit])</f>
        <v>0</v>
      </c>
      <c r="AA1087" s="378">
        <f>IF(NFI_Expiration=1,IF($A1087&lt;VLOOKUP(J$5,NFI,5,0),1,0)*Table_NFI[[#This Row],[Sanitary Kit]],Table_NFI[Sanitary Kit])</f>
        <v>0</v>
      </c>
      <c r="AB1087" s="378">
        <f>IF(NFI_Expiration=1,IF($A1087&lt;VLOOKUP(K$5,NFI,5,0),1,0)*Table_NFI[[#This Row],[Mosquito net]],Table_NFI[Mosquito net])</f>
        <v>0</v>
      </c>
      <c r="AC1087" s="378">
        <f>IF(NFI_Expiration=1,IF($A1087&lt;VLOOKUP(L$5,NFI,5,0),1,0)*Table_NFI[[#This Row],[Tarpaulin]],Table_NFI[[#This Row],[Tarpaulin]])</f>
        <v>0</v>
      </c>
      <c r="AD1087" s="378">
        <f>IF(NFI_Expiration=1,IF($A1087&lt;VLOOKUP(M$5,NFI,5,0),1,0)*Table_NFI[[#This Row],[Blanket]],Table_NFI[[#This Row],[Blanket]])</f>
        <v>0</v>
      </c>
      <c r="AE1087" s="378">
        <f>IF(NFI_Expiration=1,IF($A1087&lt;VLOOKUP(N$5,NFI,5,0),1,0)*Table_NFI[[#This Row],[Kitchen Set]],Table_NFI[Kitchen Set])</f>
        <v>0</v>
      </c>
      <c r="AF1087" s="378">
        <f>IF(NFI_Expiration=1,IF($A1087&lt;VLOOKUP(O$5,NFI,5,0),1,0)*Table_NFI[[#This Row],[Clothes Kit]],Table_NFI[Clothes Kit])</f>
        <v>0</v>
      </c>
      <c r="AG1087" s="378">
        <f>IF(NFI_Expiration=1,IF($A1087&lt;VLOOKUP(P$5,NFI,5,0),1,0)*Table_NFI[[#This Row],[Plastic Bucket]],Table_NFI[Plastic Bucket])</f>
        <v>0</v>
      </c>
      <c r="AH1087" s="378">
        <f>IF(NFI_Expiration=1,IF($A1087&lt;VLOOKUP(Q$5,NFI,5,0),1,0)*Table_NFI[[#This Row],[Plastic Mat]],Table_NFI[Plastic Mat])*IF(Table_NFI[[#This Row],[Distribution Date]]&gt;"2014-04-01",1,2.5)</f>
        <v>0</v>
      </c>
      <c r="AI1087" s="378">
        <f>IF(NFI_Expiration=1,IF($A1087&lt;VLOOKUP(R$5,NFI,5,0),1,0)*Table_NFI[[#This Row],[Winter Clothes Adult]],Table_NFI[Winter Clothes Adult])</f>
        <v>0</v>
      </c>
      <c r="AJ1087" s="378">
        <f>IF(NFI_Expiration=1,IF($A1087&lt;VLOOKUP(S$5,NFI,5,0),1,0)*Table_NFI[[#This Row],[Winter Clothes Children]],Table_NFI[Winter Clothes Children])</f>
        <v>0</v>
      </c>
      <c r="AK1087" s="378">
        <f>IF(NFI_Expiration=1,IF($A1087&lt;VLOOKUP(T$5,NFI,5,0),1,0)*Table_NFI[[#This Row],[Winter Items Other]],Table_NFI[Winter Items Other])</f>
        <v>0</v>
      </c>
      <c r="AL1087" s="378">
        <f>IF(NFI_Expiration=1,IF($A1087&lt;VLOOKUP(M$5,NFI,5,0),1,0)*Table_NFI[[#This Row],[Winter Blanket]],Table_NFI[[#This Row],[Winter Blanket]])</f>
        <v>0</v>
      </c>
      <c r="AM1087" s="378">
        <f>IF(Table_NFI[[#This Row],[Winter Clothes Adult]]+Table_NFI[[#This Row],[Winter Clothes Children]]+Table_NFI[[#This Row],[Winter Items Other]]+Table_NFI[[#This Row],[Winter Blanket]]&gt;0,1,0)</f>
        <v>0</v>
      </c>
      <c r="AN1087" s="418">
        <f>IF(NFI_Expiration=1,IF($A1087&lt;VLOOKUP(V$5,NFI,5,0),1,0)*Table_NFI[[#This Row],[Jerry Can]],Table_NFI[Jerry Can])</f>
        <v>0</v>
      </c>
      <c r="AO1087" s="579" t="str">
        <f>IFERROR(VLOOKUP(Table_NFI[[#This Row],[Camp Name]],CL,2,0),"")</f>
        <v/>
      </c>
      <c r="AP1087" s="574" t="str">
        <f ca="1">IF(Table_NFI[[#This Row],[Pcode]]="","",IF(OFFSET(CampList[Opening Date],MATCH(Table_NFI[[#This Row],[Pcode]],CampList[CP_Pcode],0)-1,0,1,1)&gt;=NFI_Monitor_Date,1,0))</f>
        <v/>
      </c>
      <c r="AQ1087" s="579" t="str">
        <f>IFERROR(VLOOKUP(Table_NFI[[#This Row],[Camp Name]],CL,3,0),"")</f>
        <v/>
      </c>
      <c r="AR1087" s="378" t="str">
        <f ca="1">IF(Table_NFI[[#This Row],[Pcode]]="","",OFFSET(CampList[Priority],MATCH(Table_NFI[[#This Row],[Pcode]],CampList[CP_Pcode],0)-1,0,1,1))</f>
        <v/>
      </c>
      <c r="AS1087" s="377" t="str">
        <f>IFERROR(Table_NFI[[#This Row],[Kitchen Set]]/VLOOKUP(Table_NFI[[#This Row],[Camp Name]],CL,4,0),"")</f>
        <v/>
      </c>
      <c r="AT1087" s="577"/>
      <c r="AU1087" s="580"/>
    </row>
    <row r="1088" spans="1:47" x14ac:dyDescent="0.25">
      <c r="A1088" s="381" t="str">
        <f t="shared" si="16"/>
        <v/>
      </c>
      <c r="B1088" s="571"/>
      <c r="C1088" s="577"/>
      <c r="D1088" s="577"/>
      <c r="E1088" s="577"/>
      <c r="F1088" s="577"/>
      <c r="G1088" s="577"/>
      <c r="H1088" s="376"/>
      <c r="I1088" s="376"/>
      <c r="J1088" s="376"/>
      <c r="K1088" s="376"/>
      <c r="L1088" s="376"/>
      <c r="M1088" s="376"/>
      <c r="N1088" s="376"/>
      <c r="O1088" s="376"/>
      <c r="P1088" s="378"/>
      <c r="Q1088" s="378"/>
      <c r="R1088" s="378"/>
      <c r="S1088" s="378"/>
      <c r="T1088" s="378"/>
      <c r="U1088" s="378"/>
      <c r="V1088" s="533"/>
      <c r="W1088" s="602"/>
      <c r="X1088" s="602"/>
      <c r="Y1088" s="378">
        <f>IF(NFI_Expiration=1,IF($A1088&lt;VLOOKUP(H$5,NFI,5,0),1,0)*Table_NFI[[#This Row],[Hygiene Kit]],Table_NFI[Hygiene Kit])</f>
        <v>0</v>
      </c>
      <c r="Z1088" s="378">
        <f>IF(NFI_Expiration=1,IF($A1088&lt;VLOOKUP(I$5,NFI,5,0),1,0)*Table_NFI[[#This Row],[NFI Core Kit]],Table_NFI[NFI Core Kit])</f>
        <v>0</v>
      </c>
      <c r="AA1088" s="378">
        <f>IF(NFI_Expiration=1,IF($A1088&lt;VLOOKUP(J$5,NFI,5,0),1,0)*Table_NFI[[#This Row],[Sanitary Kit]],Table_NFI[Sanitary Kit])</f>
        <v>0</v>
      </c>
      <c r="AB1088" s="378">
        <f>IF(NFI_Expiration=1,IF($A1088&lt;VLOOKUP(K$5,NFI,5,0),1,0)*Table_NFI[[#This Row],[Mosquito net]],Table_NFI[Mosquito net])</f>
        <v>0</v>
      </c>
      <c r="AC1088" s="378">
        <f>IF(NFI_Expiration=1,IF($A1088&lt;VLOOKUP(L$5,NFI,5,0),1,0)*Table_NFI[[#This Row],[Tarpaulin]],Table_NFI[[#This Row],[Tarpaulin]])</f>
        <v>0</v>
      </c>
      <c r="AD1088" s="378">
        <f>IF(NFI_Expiration=1,IF($A1088&lt;VLOOKUP(M$5,NFI,5,0),1,0)*Table_NFI[[#This Row],[Blanket]],Table_NFI[[#This Row],[Blanket]])</f>
        <v>0</v>
      </c>
      <c r="AE1088" s="378">
        <f>IF(NFI_Expiration=1,IF($A1088&lt;VLOOKUP(N$5,NFI,5,0),1,0)*Table_NFI[[#This Row],[Kitchen Set]],Table_NFI[Kitchen Set])</f>
        <v>0</v>
      </c>
      <c r="AF1088" s="378">
        <f>IF(NFI_Expiration=1,IF($A1088&lt;VLOOKUP(O$5,NFI,5,0),1,0)*Table_NFI[[#This Row],[Clothes Kit]],Table_NFI[Clothes Kit])</f>
        <v>0</v>
      </c>
      <c r="AG1088" s="378">
        <f>IF(NFI_Expiration=1,IF($A1088&lt;VLOOKUP(P$5,NFI,5,0),1,0)*Table_NFI[[#This Row],[Plastic Bucket]],Table_NFI[Plastic Bucket])</f>
        <v>0</v>
      </c>
      <c r="AH1088" s="378">
        <f>IF(NFI_Expiration=1,IF($A1088&lt;VLOOKUP(Q$5,NFI,5,0),1,0)*Table_NFI[[#This Row],[Plastic Mat]],Table_NFI[Plastic Mat])*IF(Table_NFI[[#This Row],[Distribution Date]]&gt;"2014-04-01",1,2.5)</f>
        <v>0</v>
      </c>
      <c r="AI1088" s="378">
        <f>IF(NFI_Expiration=1,IF($A1088&lt;VLOOKUP(R$5,NFI,5,0),1,0)*Table_NFI[[#This Row],[Winter Clothes Adult]],Table_NFI[Winter Clothes Adult])</f>
        <v>0</v>
      </c>
      <c r="AJ1088" s="378">
        <f>IF(NFI_Expiration=1,IF($A1088&lt;VLOOKUP(S$5,NFI,5,0),1,0)*Table_NFI[[#This Row],[Winter Clothes Children]],Table_NFI[Winter Clothes Children])</f>
        <v>0</v>
      </c>
      <c r="AK1088" s="378">
        <f>IF(NFI_Expiration=1,IF($A1088&lt;VLOOKUP(T$5,NFI,5,0),1,0)*Table_NFI[[#This Row],[Winter Items Other]],Table_NFI[Winter Items Other])</f>
        <v>0</v>
      </c>
      <c r="AL1088" s="378">
        <f>IF(NFI_Expiration=1,IF($A1088&lt;VLOOKUP(M$5,NFI,5,0),1,0)*Table_NFI[[#This Row],[Winter Blanket]],Table_NFI[[#This Row],[Winter Blanket]])</f>
        <v>0</v>
      </c>
      <c r="AM1088" s="378">
        <f>IF(Table_NFI[[#This Row],[Winter Clothes Adult]]+Table_NFI[[#This Row],[Winter Clothes Children]]+Table_NFI[[#This Row],[Winter Items Other]]+Table_NFI[[#This Row],[Winter Blanket]]&gt;0,1,0)</f>
        <v>0</v>
      </c>
      <c r="AN1088" s="418">
        <f>IF(NFI_Expiration=1,IF($A1088&lt;VLOOKUP(V$5,NFI,5,0),1,0)*Table_NFI[[#This Row],[Jerry Can]],Table_NFI[Jerry Can])</f>
        <v>0</v>
      </c>
      <c r="AO1088" s="579" t="str">
        <f>IFERROR(VLOOKUP(Table_NFI[[#This Row],[Camp Name]],CL,2,0),"")</f>
        <v/>
      </c>
      <c r="AP1088" s="574" t="str">
        <f ca="1">IF(Table_NFI[[#This Row],[Pcode]]="","",IF(OFFSET(CampList[Opening Date],MATCH(Table_NFI[[#This Row],[Pcode]],CampList[CP_Pcode],0)-1,0,1,1)&gt;=NFI_Monitor_Date,1,0))</f>
        <v/>
      </c>
      <c r="AQ1088" s="579" t="str">
        <f>IFERROR(VLOOKUP(Table_NFI[[#This Row],[Camp Name]],CL,3,0),"")</f>
        <v/>
      </c>
      <c r="AR1088" s="378" t="str">
        <f ca="1">IF(Table_NFI[[#This Row],[Pcode]]="","",OFFSET(CampList[Priority],MATCH(Table_NFI[[#This Row],[Pcode]],CampList[CP_Pcode],0)-1,0,1,1))</f>
        <v/>
      </c>
      <c r="AS1088" s="377" t="str">
        <f>IFERROR(Table_NFI[[#This Row],[Kitchen Set]]/VLOOKUP(Table_NFI[[#This Row],[Camp Name]],CL,4,0),"")</f>
        <v/>
      </c>
      <c r="AT1088" s="577"/>
      <c r="AU1088" s="580"/>
    </row>
    <row r="1089" spans="1:47" x14ac:dyDescent="0.25">
      <c r="A1089" s="381" t="str">
        <f t="shared" si="16"/>
        <v/>
      </c>
      <c r="B1089" s="571"/>
      <c r="C1089" s="577"/>
      <c r="D1089" s="577"/>
      <c r="E1089" s="577"/>
      <c r="F1089" s="577"/>
      <c r="G1089" s="577"/>
      <c r="H1089" s="376"/>
      <c r="I1089" s="376"/>
      <c r="J1089" s="376"/>
      <c r="K1089" s="376"/>
      <c r="L1089" s="376"/>
      <c r="M1089" s="376"/>
      <c r="N1089" s="376"/>
      <c r="O1089" s="376"/>
      <c r="P1089" s="378"/>
      <c r="Q1089" s="378"/>
      <c r="R1089" s="378"/>
      <c r="S1089" s="378"/>
      <c r="T1089" s="378"/>
      <c r="U1089" s="378"/>
      <c r="V1089" s="533"/>
      <c r="W1089" s="602"/>
      <c r="X1089" s="602"/>
      <c r="Y1089" s="378">
        <f>IF(NFI_Expiration=1,IF($A1089&lt;VLOOKUP(H$5,NFI,5,0),1,0)*Table_NFI[[#This Row],[Hygiene Kit]],Table_NFI[Hygiene Kit])</f>
        <v>0</v>
      </c>
      <c r="Z1089" s="378">
        <f>IF(NFI_Expiration=1,IF($A1089&lt;VLOOKUP(I$5,NFI,5,0),1,0)*Table_NFI[[#This Row],[NFI Core Kit]],Table_NFI[NFI Core Kit])</f>
        <v>0</v>
      </c>
      <c r="AA1089" s="378">
        <f>IF(NFI_Expiration=1,IF($A1089&lt;VLOOKUP(J$5,NFI,5,0),1,0)*Table_NFI[[#This Row],[Sanitary Kit]],Table_NFI[Sanitary Kit])</f>
        <v>0</v>
      </c>
      <c r="AB1089" s="378">
        <f>IF(NFI_Expiration=1,IF($A1089&lt;VLOOKUP(K$5,NFI,5,0),1,0)*Table_NFI[[#This Row],[Mosquito net]],Table_NFI[Mosquito net])</f>
        <v>0</v>
      </c>
      <c r="AC1089" s="378">
        <f>IF(NFI_Expiration=1,IF($A1089&lt;VLOOKUP(L$5,NFI,5,0),1,0)*Table_NFI[[#This Row],[Tarpaulin]],Table_NFI[[#This Row],[Tarpaulin]])</f>
        <v>0</v>
      </c>
      <c r="AD1089" s="378">
        <f>IF(NFI_Expiration=1,IF($A1089&lt;VLOOKUP(M$5,NFI,5,0),1,0)*Table_NFI[[#This Row],[Blanket]],Table_NFI[[#This Row],[Blanket]])</f>
        <v>0</v>
      </c>
      <c r="AE1089" s="378">
        <f>IF(NFI_Expiration=1,IF($A1089&lt;VLOOKUP(N$5,NFI,5,0),1,0)*Table_NFI[[#This Row],[Kitchen Set]],Table_NFI[Kitchen Set])</f>
        <v>0</v>
      </c>
      <c r="AF1089" s="378">
        <f>IF(NFI_Expiration=1,IF($A1089&lt;VLOOKUP(O$5,NFI,5,0),1,0)*Table_NFI[[#This Row],[Clothes Kit]],Table_NFI[Clothes Kit])</f>
        <v>0</v>
      </c>
      <c r="AG1089" s="378">
        <f>IF(NFI_Expiration=1,IF($A1089&lt;VLOOKUP(P$5,NFI,5,0),1,0)*Table_NFI[[#This Row],[Plastic Bucket]],Table_NFI[Plastic Bucket])</f>
        <v>0</v>
      </c>
      <c r="AH1089" s="378">
        <f>IF(NFI_Expiration=1,IF($A1089&lt;VLOOKUP(Q$5,NFI,5,0),1,0)*Table_NFI[[#This Row],[Plastic Mat]],Table_NFI[Plastic Mat])*IF(Table_NFI[[#This Row],[Distribution Date]]&gt;"2014-04-01",1,2.5)</f>
        <v>0</v>
      </c>
      <c r="AI1089" s="378">
        <f>IF(NFI_Expiration=1,IF($A1089&lt;VLOOKUP(R$5,NFI,5,0),1,0)*Table_NFI[[#This Row],[Winter Clothes Adult]],Table_NFI[Winter Clothes Adult])</f>
        <v>0</v>
      </c>
      <c r="AJ1089" s="378">
        <f>IF(NFI_Expiration=1,IF($A1089&lt;VLOOKUP(S$5,NFI,5,0),1,0)*Table_NFI[[#This Row],[Winter Clothes Children]],Table_NFI[Winter Clothes Children])</f>
        <v>0</v>
      </c>
      <c r="AK1089" s="378">
        <f>IF(NFI_Expiration=1,IF($A1089&lt;VLOOKUP(T$5,NFI,5,0),1,0)*Table_NFI[[#This Row],[Winter Items Other]],Table_NFI[Winter Items Other])</f>
        <v>0</v>
      </c>
      <c r="AL1089" s="378">
        <f>IF(NFI_Expiration=1,IF($A1089&lt;VLOOKUP(M$5,NFI,5,0),1,0)*Table_NFI[[#This Row],[Winter Blanket]],Table_NFI[[#This Row],[Winter Blanket]])</f>
        <v>0</v>
      </c>
      <c r="AM1089" s="378">
        <f>IF(Table_NFI[[#This Row],[Winter Clothes Adult]]+Table_NFI[[#This Row],[Winter Clothes Children]]+Table_NFI[[#This Row],[Winter Items Other]]+Table_NFI[[#This Row],[Winter Blanket]]&gt;0,1,0)</f>
        <v>0</v>
      </c>
      <c r="AN1089" s="418">
        <f>IF(NFI_Expiration=1,IF($A1089&lt;VLOOKUP(V$5,NFI,5,0),1,0)*Table_NFI[[#This Row],[Jerry Can]],Table_NFI[Jerry Can])</f>
        <v>0</v>
      </c>
      <c r="AO1089" s="579" t="str">
        <f>IFERROR(VLOOKUP(Table_NFI[[#This Row],[Camp Name]],CL,2,0),"")</f>
        <v/>
      </c>
      <c r="AP1089" s="574" t="str">
        <f ca="1">IF(Table_NFI[[#This Row],[Pcode]]="","",IF(OFFSET(CampList[Opening Date],MATCH(Table_NFI[[#This Row],[Pcode]],CampList[CP_Pcode],0)-1,0,1,1)&gt;=NFI_Monitor_Date,1,0))</f>
        <v/>
      </c>
      <c r="AQ1089" s="579" t="str">
        <f>IFERROR(VLOOKUP(Table_NFI[[#This Row],[Camp Name]],CL,3,0),"")</f>
        <v/>
      </c>
      <c r="AR1089" s="378" t="str">
        <f ca="1">IF(Table_NFI[[#This Row],[Pcode]]="","",OFFSET(CampList[Priority],MATCH(Table_NFI[[#This Row],[Pcode]],CampList[CP_Pcode],0)-1,0,1,1))</f>
        <v/>
      </c>
      <c r="AS1089" s="377" t="str">
        <f>IFERROR(Table_NFI[[#This Row],[Kitchen Set]]/VLOOKUP(Table_NFI[[#This Row],[Camp Name]],CL,4,0),"")</f>
        <v/>
      </c>
      <c r="AT1089" s="577"/>
      <c r="AU1089" s="580"/>
    </row>
    <row r="1090" spans="1:47" x14ac:dyDescent="0.25">
      <c r="A1090" s="381" t="str">
        <f t="shared" si="16"/>
        <v/>
      </c>
      <c r="B1090" s="571"/>
      <c r="C1090" s="577"/>
      <c r="D1090" s="577"/>
      <c r="E1090" s="577"/>
      <c r="F1090" s="577"/>
      <c r="G1090" s="577"/>
      <c r="H1090" s="376"/>
      <c r="I1090" s="376"/>
      <c r="J1090" s="376"/>
      <c r="K1090" s="376"/>
      <c r="L1090" s="376"/>
      <c r="M1090" s="376"/>
      <c r="N1090" s="376"/>
      <c r="O1090" s="376"/>
      <c r="P1090" s="378"/>
      <c r="Q1090" s="378"/>
      <c r="R1090" s="378"/>
      <c r="S1090" s="378"/>
      <c r="T1090" s="378"/>
      <c r="U1090" s="378"/>
      <c r="V1090" s="533"/>
      <c r="W1090" s="602"/>
      <c r="X1090" s="602"/>
      <c r="Y1090" s="378">
        <f>IF(NFI_Expiration=1,IF($A1090&lt;VLOOKUP(H$5,NFI,5,0),1,0)*Table_NFI[[#This Row],[Hygiene Kit]],Table_NFI[Hygiene Kit])</f>
        <v>0</v>
      </c>
      <c r="Z1090" s="378">
        <f>IF(NFI_Expiration=1,IF($A1090&lt;VLOOKUP(I$5,NFI,5,0),1,0)*Table_NFI[[#This Row],[NFI Core Kit]],Table_NFI[NFI Core Kit])</f>
        <v>0</v>
      </c>
      <c r="AA1090" s="378">
        <f>IF(NFI_Expiration=1,IF($A1090&lt;VLOOKUP(J$5,NFI,5,0),1,0)*Table_NFI[[#This Row],[Sanitary Kit]],Table_NFI[Sanitary Kit])</f>
        <v>0</v>
      </c>
      <c r="AB1090" s="378">
        <f>IF(NFI_Expiration=1,IF($A1090&lt;VLOOKUP(K$5,NFI,5,0),1,0)*Table_NFI[[#This Row],[Mosquito net]],Table_NFI[Mosquito net])</f>
        <v>0</v>
      </c>
      <c r="AC1090" s="378">
        <f>IF(NFI_Expiration=1,IF($A1090&lt;VLOOKUP(L$5,NFI,5,0),1,0)*Table_NFI[[#This Row],[Tarpaulin]],Table_NFI[[#This Row],[Tarpaulin]])</f>
        <v>0</v>
      </c>
      <c r="AD1090" s="378">
        <f>IF(NFI_Expiration=1,IF($A1090&lt;VLOOKUP(M$5,NFI,5,0),1,0)*Table_NFI[[#This Row],[Blanket]],Table_NFI[[#This Row],[Blanket]])</f>
        <v>0</v>
      </c>
      <c r="AE1090" s="378">
        <f>IF(NFI_Expiration=1,IF($A1090&lt;VLOOKUP(N$5,NFI,5,0),1,0)*Table_NFI[[#This Row],[Kitchen Set]],Table_NFI[Kitchen Set])</f>
        <v>0</v>
      </c>
      <c r="AF1090" s="378">
        <f>IF(NFI_Expiration=1,IF($A1090&lt;VLOOKUP(O$5,NFI,5,0),1,0)*Table_NFI[[#This Row],[Clothes Kit]],Table_NFI[Clothes Kit])</f>
        <v>0</v>
      </c>
      <c r="AG1090" s="378">
        <f>IF(NFI_Expiration=1,IF($A1090&lt;VLOOKUP(P$5,NFI,5,0),1,0)*Table_NFI[[#This Row],[Plastic Bucket]],Table_NFI[Plastic Bucket])</f>
        <v>0</v>
      </c>
      <c r="AH1090" s="378">
        <f>IF(NFI_Expiration=1,IF($A1090&lt;VLOOKUP(Q$5,NFI,5,0),1,0)*Table_NFI[[#This Row],[Plastic Mat]],Table_NFI[Plastic Mat])*IF(Table_NFI[[#This Row],[Distribution Date]]&gt;"2014-04-01",1,2.5)</f>
        <v>0</v>
      </c>
      <c r="AI1090" s="378">
        <f>IF(NFI_Expiration=1,IF($A1090&lt;VLOOKUP(R$5,NFI,5,0),1,0)*Table_NFI[[#This Row],[Winter Clothes Adult]],Table_NFI[Winter Clothes Adult])</f>
        <v>0</v>
      </c>
      <c r="AJ1090" s="378">
        <f>IF(NFI_Expiration=1,IF($A1090&lt;VLOOKUP(S$5,NFI,5,0),1,0)*Table_NFI[[#This Row],[Winter Clothes Children]],Table_NFI[Winter Clothes Children])</f>
        <v>0</v>
      </c>
      <c r="AK1090" s="378">
        <f>IF(NFI_Expiration=1,IF($A1090&lt;VLOOKUP(T$5,NFI,5,0),1,0)*Table_NFI[[#This Row],[Winter Items Other]],Table_NFI[Winter Items Other])</f>
        <v>0</v>
      </c>
      <c r="AL1090" s="378">
        <f>IF(NFI_Expiration=1,IF($A1090&lt;VLOOKUP(M$5,NFI,5,0),1,0)*Table_NFI[[#This Row],[Winter Blanket]],Table_NFI[[#This Row],[Winter Blanket]])</f>
        <v>0</v>
      </c>
      <c r="AM1090" s="378">
        <f>IF(Table_NFI[[#This Row],[Winter Clothes Adult]]+Table_NFI[[#This Row],[Winter Clothes Children]]+Table_NFI[[#This Row],[Winter Items Other]]+Table_NFI[[#This Row],[Winter Blanket]]&gt;0,1,0)</f>
        <v>0</v>
      </c>
      <c r="AN1090" s="418">
        <f>IF(NFI_Expiration=1,IF($A1090&lt;VLOOKUP(V$5,NFI,5,0),1,0)*Table_NFI[[#This Row],[Jerry Can]],Table_NFI[Jerry Can])</f>
        <v>0</v>
      </c>
      <c r="AO1090" s="579" t="str">
        <f>IFERROR(VLOOKUP(Table_NFI[[#This Row],[Camp Name]],CL,2,0),"")</f>
        <v/>
      </c>
      <c r="AP1090" s="574" t="str">
        <f ca="1">IF(Table_NFI[[#This Row],[Pcode]]="","",IF(OFFSET(CampList[Opening Date],MATCH(Table_NFI[[#This Row],[Pcode]],CampList[CP_Pcode],0)-1,0,1,1)&gt;=NFI_Monitor_Date,1,0))</f>
        <v/>
      </c>
      <c r="AQ1090" s="579" t="str">
        <f>IFERROR(VLOOKUP(Table_NFI[[#This Row],[Camp Name]],CL,3,0),"")</f>
        <v/>
      </c>
      <c r="AR1090" s="378" t="str">
        <f ca="1">IF(Table_NFI[[#This Row],[Pcode]]="","",OFFSET(CampList[Priority],MATCH(Table_NFI[[#This Row],[Pcode]],CampList[CP_Pcode],0)-1,0,1,1))</f>
        <v/>
      </c>
      <c r="AS1090" s="377" t="str">
        <f>IFERROR(Table_NFI[[#This Row],[Kitchen Set]]/VLOOKUP(Table_NFI[[#This Row],[Camp Name]],CL,4,0),"")</f>
        <v/>
      </c>
      <c r="AT1090" s="577"/>
      <c r="AU1090" s="580"/>
    </row>
    <row r="1091" spans="1:47" x14ac:dyDescent="0.25">
      <c r="A1091" s="381" t="str">
        <f t="shared" si="16"/>
        <v/>
      </c>
      <c r="B1091" s="571"/>
      <c r="C1091" s="577"/>
      <c r="D1091" s="577"/>
      <c r="E1091" s="577"/>
      <c r="F1091" s="577"/>
      <c r="G1091" s="577"/>
      <c r="H1091" s="376"/>
      <c r="I1091" s="376"/>
      <c r="J1091" s="376"/>
      <c r="K1091" s="376"/>
      <c r="L1091" s="376"/>
      <c r="M1091" s="376"/>
      <c r="N1091" s="376"/>
      <c r="O1091" s="376"/>
      <c r="P1091" s="378"/>
      <c r="Q1091" s="378"/>
      <c r="R1091" s="378"/>
      <c r="S1091" s="378"/>
      <c r="T1091" s="378"/>
      <c r="U1091" s="378"/>
      <c r="V1091" s="533"/>
      <c r="W1091" s="602"/>
      <c r="X1091" s="602"/>
      <c r="Y1091" s="378">
        <f>IF(NFI_Expiration=1,IF($A1091&lt;VLOOKUP(H$5,NFI,5,0),1,0)*Table_NFI[[#This Row],[Hygiene Kit]],Table_NFI[Hygiene Kit])</f>
        <v>0</v>
      </c>
      <c r="Z1091" s="378">
        <f>IF(NFI_Expiration=1,IF($A1091&lt;VLOOKUP(I$5,NFI,5,0),1,0)*Table_NFI[[#This Row],[NFI Core Kit]],Table_NFI[NFI Core Kit])</f>
        <v>0</v>
      </c>
      <c r="AA1091" s="378">
        <f>IF(NFI_Expiration=1,IF($A1091&lt;VLOOKUP(J$5,NFI,5,0),1,0)*Table_NFI[[#This Row],[Sanitary Kit]],Table_NFI[Sanitary Kit])</f>
        <v>0</v>
      </c>
      <c r="AB1091" s="378">
        <f>IF(NFI_Expiration=1,IF($A1091&lt;VLOOKUP(K$5,NFI,5,0),1,0)*Table_NFI[[#This Row],[Mosquito net]],Table_NFI[Mosquito net])</f>
        <v>0</v>
      </c>
      <c r="AC1091" s="378">
        <f>IF(NFI_Expiration=1,IF($A1091&lt;VLOOKUP(L$5,NFI,5,0),1,0)*Table_NFI[[#This Row],[Tarpaulin]],Table_NFI[[#This Row],[Tarpaulin]])</f>
        <v>0</v>
      </c>
      <c r="AD1091" s="378">
        <f>IF(NFI_Expiration=1,IF($A1091&lt;VLOOKUP(M$5,NFI,5,0),1,0)*Table_NFI[[#This Row],[Blanket]],Table_NFI[[#This Row],[Blanket]])</f>
        <v>0</v>
      </c>
      <c r="AE1091" s="378">
        <f>IF(NFI_Expiration=1,IF($A1091&lt;VLOOKUP(N$5,NFI,5,0),1,0)*Table_NFI[[#This Row],[Kitchen Set]],Table_NFI[Kitchen Set])</f>
        <v>0</v>
      </c>
      <c r="AF1091" s="378">
        <f>IF(NFI_Expiration=1,IF($A1091&lt;VLOOKUP(O$5,NFI,5,0),1,0)*Table_NFI[[#This Row],[Clothes Kit]],Table_NFI[Clothes Kit])</f>
        <v>0</v>
      </c>
      <c r="AG1091" s="378">
        <f>IF(NFI_Expiration=1,IF($A1091&lt;VLOOKUP(P$5,NFI,5,0),1,0)*Table_NFI[[#This Row],[Plastic Bucket]],Table_NFI[Plastic Bucket])</f>
        <v>0</v>
      </c>
      <c r="AH1091" s="378">
        <f>IF(NFI_Expiration=1,IF($A1091&lt;VLOOKUP(Q$5,NFI,5,0),1,0)*Table_NFI[[#This Row],[Plastic Mat]],Table_NFI[Plastic Mat])*IF(Table_NFI[[#This Row],[Distribution Date]]&gt;"2014-04-01",1,2.5)</f>
        <v>0</v>
      </c>
      <c r="AI1091" s="378">
        <f>IF(NFI_Expiration=1,IF($A1091&lt;VLOOKUP(R$5,NFI,5,0),1,0)*Table_NFI[[#This Row],[Winter Clothes Adult]],Table_NFI[Winter Clothes Adult])</f>
        <v>0</v>
      </c>
      <c r="AJ1091" s="378">
        <f>IF(NFI_Expiration=1,IF($A1091&lt;VLOOKUP(S$5,NFI,5,0),1,0)*Table_NFI[[#This Row],[Winter Clothes Children]],Table_NFI[Winter Clothes Children])</f>
        <v>0</v>
      </c>
      <c r="AK1091" s="378">
        <f>IF(NFI_Expiration=1,IF($A1091&lt;VLOOKUP(T$5,NFI,5,0),1,0)*Table_NFI[[#This Row],[Winter Items Other]],Table_NFI[Winter Items Other])</f>
        <v>0</v>
      </c>
      <c r="AL1091" s="378">
        <f>IF(NFI_Expiration=1,IF($A1091&lt;VLOOKUP(M$5,NFI,5,0),1,0)*Table_NFI[[#This Row],[Winter Blanket]],Table_NFI[[#This Row],[Winter Blanket]])</f>
        <v>0</v>
      </c>
      <c r="AM1091" s="378">
        <f>IF(Table_NFI[[#This Row],[Winter Clothes Adult]]+Table_NFI[[#This Row],[Winter Clothes Children]]+Table_NFI[[#This Row],[Winter Items Other]]+Table_NFI[[#This Row],[Winter Blanket]]&gt;0,1,0)</f>
        <v>0</v>
      </c>
      <c r="AN1091" s="418">
        <f>IF(NFI_Expiration=1,IF($A1091&lt;VLOOKUP(V$5,NFI,5,0),1,0)*Table_NFI[[#This Row],[Jerry Can]],Table_NFI[Jerry Can])</f>
        <v>0</v>
      </c>
      <c r="AO1091" s="579" t="str">
        <f>IFERROR(VLOOKUP(Table_NFI[[#This Row],[Camp Name]],CL,2,0),"")</f>
        <v/>
      </c>
      <c r="AP1091" s="574" t="str">
        <f ca="1">IF(Table_NFI[[#This Row],[Pcode]]="","",IF(OFFSET(CampList[Opening Date],MATCH(Table_NFI[[#This Row],[Pcode]],CampList[CP_Pcode],0)-1,0,1,1)&gt;=NFI_Monitor_Date,1,0))</f>
        <v/>
      </c>
      <c r="AQ1091" s="579" t="str">
        <f>IFERROR(VLOOKUP(Table_NFI[[#This Row],[Camp Name]],CL,3,0),"")</f>
        <v/>
      </c>
      <c r="AR1091" s="378" t="str">
        <f ca="1">IF(Table_NFI[[#This Row],[Pcode]]="","",OFFSET(CampList[Priority],MATCH(Table_NFI[[#This Row],[Pcode]],CampList[CP_Pcode],0)-1,0,1,1))</f>
        <v/>
      </c>
      <c r="AS1091" s="377" t="str">
        <f>IFERROR(Table_NFI[[#This Row],[Kitchen Set]]/VLOOKUP(Table_NFI[[#This Row],[Camp Name]],CL,4,0),"")</f>
        <v/>
      </c>
      <c r="AT1091" s="577"/>
      <c r="AU1091" s="580"/>
    </row>
    <row r="1092" spans="1:47" x14ac:dyDescent="0.25">
      <c r="A1092" s="381" t="str">
        <f t="shared" si="16"/>
        <v/>
      </c>
      <c r="B1092" s="571"/>
      <c r="C1092" s="577"/>
      <c r="D1092" s="577"/>
      <c r="E1092" s="577"/>
      <c r="F1092" s="577"/>
      <c r="G1092" s="577"/>
      <c r="H1092" s="376"/>
      <c r="I1092" s="376"/>
      <c r="J1092" s="376"/>
      <c r="K1092" s="376"/>
      <c r="L1092" s="376"/>
      <c r="M1092" s="376"/>
      <c r="N1092" s="376"/>
      <c r="O1092" s="376"/>
      <c r="P1092" s="378"/>
      <c r="Q1092" s="378"/>
      <c r="R1092" s="378"/>
      <c r="S1092" s="378"/>
      <c r="T1092" s="378"/>
      <c r="U1092" s="378"/>
      <c r="V1092" s="533"/>
      <c r="W1092" s="602"/>
      <c r="X1092" s="602"/>
      <c r="Y1092" s="378">
        <f>IF(NFI_Expiration=1,IF($A1092&lt;VLOOKUP(H$5,NFI,5,0),1,0)*Table_NFI[[#This Row],[Hygiene Kit]],Table_NFI[Hygiene Kit])</f>
        <v>0</v>
      </c>
      <c r="Z1092" s="378">
        <f>IF(NFI_Expiration=1,IF($A1092&lt;VLOOKUP(I$5,NFI,5,0),1,0)*Table_NFI[[#This Row],[NFI Core Kit]],Table_NFI[NFI Core Kit])</f>
        <v>0</v>
      </c>
      <c r="AA1092" s="378">
        <f>IF(NFI_Expiration=1,IF($A1092&lt;VLOOKUP(J$5,NFI,5,0),1,0)*Table_NFI[[#This Row],[Sanitary Kit]],Table_NFI[Sanitary Kit])</f>
        <v>0</v>
      </c>
      <c r="AB1092" s="378">
        <f>IF(NFI_Expiration=1,IF($A1092&lt;VLOOKUP(K$5,NFI,5,0),1,0)*Table_NFI[[#This Row],[Mosquito net]],Table_NFI[Mosquito net])</f>
        <v>0</v>
      </c>
      <c r="AC1092" s="378">
        <f>IF(NFI_Expiration=1,IF($A1092&lt;VLOOKUP(L$5,NFI,5,0),1,0)*Table_NFI[[#This Row],[Tarpaulin]],Table_NFI[[#This Row],[Tarpaulin]])</f>
        <v>0</v>
      </c>
      <c r="AD1092" s="378">
        <f>IF(NFI_Expiration=1,IF($A1092&lt;VLOOKUP(M$5,NFI,5,0),1,0)*Table_NFI[[#This Row],[Blanket]],Table_NFI[[#This Row],[Blanket]])</f>
        <v>0</v>
      </c>
      <c r="AE1092" s="378">
        <f>IF(NFI_Expiration=1,IF($A1092&lt;VLOOKUP(N$5,NFI,5,0),1,0)*Table_NFI[[#This Row],[Kitchen Set]],Table_NFI[Kitchen Set])</f>
        <v>0</v>
      </c>
      <c r="AF1092" s="378">
        <f>IF(NFI_Expiration=1,IF($A1092&lt;VLOOKUP(O$5,NFI,5,0),1,0)*Table_NFI[[#This Row],[Clothes Kit]],Table_NFI[Clothes Kit])</f>
        <v>0</v>
      </c>
      <c r="AG1092" s="378">
        <f>IF(NFI_Expiration=1,IF($A1092&lt;VLOOKUP(P$5,NFI,5,0),1,0)*Table_NFI[[#This Row],[Plastic Bucket]],Table_NFI[Plastic Bucket])</f>
        <v>0</v>
      </c>
      <c r="AH1092" s="378">
        <f>IF(NFI_Expiration=1,IF($A1092&lt;VLOOKUP(Q$5,NFI,5,0),1,0)*Table_NFI[[#This Row],[Plastic Mat]],Table_NFI[Plastic Mat])*IF(Table_NFI[[#This Row],[Distribution Date]]&gt;"2014-04-01",1,2.5)</f>
        <v>0</v>
      </c>
      <c r="AI1092" s="378">
        <f>IF(NFI_Expiration=1,IF($A1092&lt;VLOOKUP(R$5,NFI,5,0),1,0)*Table_NFI[[#This Row],[Winter Clothes Adult]],Table_NFI[Winter Clothes Adult])</f>
        <v>0</v>
      </c>
      <c r="AJ1092" s="378">
        <f>IF(NFI_Expiration=1,IF($A1092&lt;VLOOKUP(S$5,NFI,5,0),1,0)*Table_NFI[[#This Row],[Winter Clothes Children]],Table_NFI[Winter Clothes Children])</f>
        <v>0</v>
      </c>
      <c r="AK1092" s="378">
        <f>IF(NFI_Expiration=1,IF($A1092&lt;VLOOKUP(T$5,NFI,5,0),1,0)*Table_NFI[[#This Row],[Winter Items Other]],Table_NFI[Winter Items Other])</f>
        <v>0</v>
      </c>
      <c r="AL1092" s="378">
        <f>IF(NFI_Expiration=1,IF($A1092&lt;VLOOKUP(M$5,NFI,5,0),1,0)*Table_NFI[[#This Row],[Winter Blanket]],Table_NFI[[#This Row],[Winter Blanket]])</f>
        <v>0</v>
      </c>
      <c r="AM1092" s="378">
        <f>IF(Table_NFI[[#This Row],[Winter Clothes Adult]]+Table_NFI[[#This Row],[Winter Clothes Children]]+Table_NFI[[#This Row],[Winter Items Other]]+Table_NFI[[#This Row],[Winter Blanket]]&gt;0,1,0)</f>
        <v>0</v>
      </c>
      <c r="AN1092" s="418">
        <f>IF(NFI_Expiration=1,IF($A1092&lt;VLOOKUP(V$5,NFI,5,0),1,0)*Table_NFI[[#This Row],[Jerry Can]],Table_NFI[Jerry Can])</f>
        <v>0</v>
      </c>
      <c r="AO1092" s="579" t="str">
        <f>IFERROR(VLOOKUP(Table_NFI[[#This Row],[Camp Name]],CL,2,0),"")</f>
        <v/>
      </c>
      <c r="AP1092" s="574" t="str">
        <f ca="1">IF(Table_NFI[[#This Row],[Pcode]]="","",IF(OFFSET(CampList[Opening Date],MATCH(Table_NFI[[#This Row],[Pcode]],CampList[CP_Pcode],0)-1,0,1,1)&gt;=NFI_Monitor_Date,1,0))</f>
        <v/>
      </c>
      <c r="AQ1092" s="579" t="str">
        <f>IFERROR(VLOOKUP(Table_NFI[[#This Row],[Camp Name]],CL,3,0),"")</f>
        <v/>
      </c>
      <c r="AR1092" s="378" t="str">
        <f ca="1">IF(Table_NFI[[#This Row],[Pcode]]="","",OFFSET(CampList[Priority],MATCH(Table_NFI[[#This Row],[Pcode]],CampList[CP_Pcode],0)-1,0,1,1))</f>
        <v/>
      </c>
      <c r="AS1092" s="377" t="str">
        <f>IFERROR(Table_NFI[[#This Row],[Kitchen Set]]/VLOOKUP(Table_NFI[[#This Row],[Camp Name]],CL,4,0),"")</f>
        <v/>
      </c>
      <c r="AT1092" s="577"/>
      <c r="AU1092" s="580"/>
    </row>
    <row r="1093" spans="1:47" x14ac:dyDescent="0.25">
      <c r="A1093" s="381" t="str">
        <f t="shared" si="16"/>
        <v/>
      </c>
      <c r="B1093" s="571"/>
      <c r="C1093" s="577"/>
      <c r="D1093" s="577"/>
      <c r="E1093" s="577"/>
      <c r="F1093" s="577"/>
      <c r="G1093" s="577"/>
      <c r="H1093" s="376"/>
      <c r="I1093" s="376"/>
      <c r="J1093" s="376"/>
      <c r="K1093" s="376"/>
      <c r="L1093" s="376"/>
      <c r="M1093" s="376"/>
      <c r="N1093" s="376"/>
      <c r="O1093" s="376"/>
      <c r="P1093" s="378"/>
      <c r="Q1093" s="378"/>
      <c r="R1093" s="378"/>
      <c r="S1093" s="378"/>
      <c r="T1093" s="378"/>
      <c r="U1093" s="378"/>
      <c r="V1093" s="533"/>
      <c r="W1093" s="602"/>
      <c r="X1093" s="602"/>
      <c r="Y1093" s="378">
        <f>IF(NFI_Expiration=1,IF($A1093&lt;VLOOKUP(H$5,NFI,5,0),1,0)*Table_NFI[[#This Row],[Hygiene Kit]],Table_NFI[Hygiene Kit])</f>
        <v>0</v>
      </c>
      <c r="Z1093" s="378">
        <f>IF(NFI_Expiration=1,IF($A1093&lt;VLOOKUP(I$5,NFI,5,0),1,0)*Table_NFI[[#This Row],[NFI Core Kit]],Table_NFI[NFI Core Kit])</f>
        <v>0</v>
      </c>
      <c r="AA1093" s="378">
        <f>IF(NFI_Expiration=1,IF($A1093&lt;VLOOKUP(J$5,NFI,5,0),1,0)*Table_NFI[[#This Row],[Sanitary Kit]],Table_NFI[Sanitary Kit])</f>
        <v>0</v>
      </c>
      <c r="AB1093" s="378">
        <f>IF(NFI_Expiration=1,IF($A1093&lt;VLOOKUP(K$5,NFI,5,0),1,0)*Table_NFI[[#This Row],[Mosquito net]],Table_NFI[Mosquito net])</f>
        <v>0</v>
      </c>
      <c r="AC1093" s="378">
        <f>IF(NFI_Expiration=1,IF($A1093&lt;VLOOKUP(L$5,NFI,5,0),1,0)*Table_NFI[[#This Row],[Tarpaulin]],Table_NFI[[#This Row],[Tarpaulin]])</f>
        <v>0</v>
      </c>
      <c r="AD1093" s="378">
        <f>IF(NFI_Expiration=1,IF($A1093&lt;VLOOKUP(M$5,NFI,5,0),1,0)*Table_NFI[[#This Row],[Blanket]],Table_NFI[[#This Row],[Blanket]])</f>
        <v>0</v>
      </c>
      <c r="AE1093" s="378">
        <f>IF(NFI_Expiration=1,IF($A1093&lt;VLOOKUP(N$5,NFI,5,0),1,0)*Table_NFI[[#This Row],[Kitchen Set]],Table_NFI[Kitchen Set])</f>
        <v>0</v>
      </c>
      <c r="AF1093" s="378">
        <f>IF(NFI_Expiration=1,IF($A1093&lt;VLOOKUP(O$5,NFI,5,0),1,0)*Table_NFI[[#This Row],[Clothes Kit]],Table_NFI[Clothes Kit])</f>
        <v>0</v>
      </c>
      <c r="AG1093" s="378">
        <f>IF(NFI_Expiration=1,IF($A1093&lt;VLOOKUP(P$5,NFI,5,0),1,0)*Table_NFI[[#This Row],[Plastic Bucket]],Table_NFI[Plastic Bucket])</f>
        <v>0</v>
      </c>
      <c r="AH1093" s="378">
        <f>IF(NFI_Expiration=1,IF($A1093&lt;VLOOKUP(Q$5,NFI,5,0),1,0)*Table_NFI[[#This Row],[Plastic Mat]],Table_NFI[Plastic Mat])*IF(Table_NFI[[#This Row],[Distribution Date]]&gt;"2014-04-01",1,2.5)</f>
        <v>0</v>
      </c>
      <c r="AI1093" s="378">
        <f>IF(NFI_Expiration=1,IF($A1093&lt;VLOOKUP(R$5,NFI,5,0),1,0)*Table_NFI[[#This Row],[Winter Clothes Adult]],Table_NFI[Winter Clothes Adult])</f>
        <v>0</v>
      </c>
      <c r="AJ1093" s="378">
        <f>IF(NFI_Expiration=1,IF($A1093&lt;VLOOKUP(S$5,NFI,5,0),1,0)*Table_NFI[[#This Row],[Winter Clothes Children]],Table_NFI[Winter Clothes Children])</f>
        <v>0</v>
      </c>
      <c r="AK1093" s="378">
        <f>IF(NFI_Expiration=1,IF($A1093&lt;VLOOKUP(T$5,NFI,5,0),1,0)*Table_NFI[[#This Row],[Winter Items Other]],Table_NFI[Winter Items Other])</f>
        <v>0</v>
      </c>
      <c r="AL1093" s="378">
        <f>IF(NFI_Expiration=1,IF($A1093&lt;VLOOKUP(M$5,NFI,5,0),1,0)*Table_NFI[[#This Row],[Winter Blanket]],Table_NFI[[#This Row],[Winter Blanket]])</f>
        <v>0</v>
      </c>
      <c r="AM1093" s="378">
        <f>IF(Table_NFI[[#This Row],[Winter Clothes Adult]]+Table_NFI[[#This Row],[Winter Clothes Children]]+Table_NFI[[#This Row],[Winter Items Other]]+Table_NFI[[#This Row],[Winter Blanket]]&gt;0,1,0)</f>
        <v>0</v>
      </c>
      <c r="AN1093" s="418">
        <f>IF(NFI_Expiration=1,IF($A1093&lt;VLOOKUP(V$5,NFI,5,0),1,0)*Table_NFI[[#This Row],[Jerry Can]],Table_NFI[Jerry Can])</f>
        <v>0</v>
      </c>
      <c r="AO1093" s="579" t="str">
        <f>IFERROR(VLOOKUP(Table_NFI[[#This Row],[Camp Name]],CL,2,0),"")</f>
        <v/>
      </c>
      <c r="AP1093" s="574" t="str">
        <f ca="1">IF(Table_NFI[[#This Row],[Pcode]]="","",IF(OFFSET(CampList[Opening Date],MATCH(Table_NFI[[#This Row],[Pcode]],CampList[CP_Pcode],0)-1,0,1,1)&gt;=NFI_Monitor_Date,1,0))</f>
        <v/>
      </c>
      <c r="AQ1093" s="579" t="str">
        <f>IFERROR(VLOOKUP(Table_NFI[[#This Row],[Camp Name]],CL,3,0),"")</f>
        <v/>
      </c>
      <c r="AR1093" s="378" t="str">
        <f ca="1">IF(Table_NFI[[#This Row],[Pcode]]="","",OFFSET(CampList[Priority],MATCH(Table_NFI[[#This Row],[Pcode]],CampList[CP_Pcode],0)-1,0,1,1))</f>
        <v/>
      </c>
      <c r="AS1093" s="377" t="str">
        <f>IFERROR(Table_NFI[[#This Row],[Kitchen Set]]/VLOOKUP(Table_NFI[[#This Row],[Camp Name]],CL,4,0),"")</f>
        <v/>
      </c>
      <c r="AT1093" s="577"/>
      <c r="AU1093" s="580"/>
    </row>
    <row r="1094" spans="1:47" x14ac:dyDescent="0.25">
      <c r="A1094" s="381" t="str">
        <f t="shared" ref="A1094:A1157" si="17">IF(ISBLANK(B1094),"",(Report_Date-B1094)/30)</f>
        <v/>
      </c>
      <c r="B1094" s="571"/>
      <c r="C1094" s="577"/>
      <c r="D1094" s="577"/>
      <c r="E1094" s="577"/>
      <c r="F1094" s="577"/>
      <c r="G1094" s="577"/>
      <c r="H1094" s="376"/>
      <c r="I1094" s="376"/>
      <c r="J1094" s="376"/>
      <c r="K1094" s="376"/>
      <c r="L1094" s="376"/>
      <c r="M1094" s="376"/>
      <c r="N1094" s="376"/>
      <c r="O1094" s="376"/>
      <c r="P1094" s="378"/>
      <c r="Q1094" s="378"/>
      <c r="R1094" s="378"/>
      <c r="S1094" s="378"/>
      <c r="T1094" s="378"/>
      <c r="U1094" s="378"/>
      <c r="V1094" s="533"/>
      <c r="W1094" s="602"/>
      <c r="X1094" s="602"/>
      <c r="Y1094" s="378">
        <f>IF(NFI_Expiration=1,IF($A1094&lt;VLOOKUP(H$5,NFI,5,0),1,0)*Table_NFI[[#This Row],[Hygiene Kit]],Table_NFI[Hygiene Kit])</f>
        <v>0</v>
      </c>
      <c r="Z1094" s="378">
        <f>IF(NFI_Expiration=1,IF($A1094&lt;VLOOKUP(I$5,NFI,5,0),1,0)*Table_NFI[[#This Row],[NFI Core Kit]],Table_NFI[NFI Core Kit])</f>
        <v>0</v>
      </c>
      <c r="AA1094" s="378">
        <f>IF(NFI_Expiration=1,IF($A1094&lt;VLOOKUP(J$5,NFI,5,0),1,0)*Table_NFI[[#This Row],[Sanitary Kit]],Table_NFI[Sanitary Kit])</f>
        <v>0</v>
      </c>
      <c r="AB1094" s="378">
        <f>IF(NFI_Expiration=1,IF($A1094&lt;VLOOKUP(K$5,NFI,5,0),1,0)*Table_NFI[[#This Row],[Mosquito net]],Table_NFI[Mosquito net])</f>
        <v>0</v>
      </c>
      <c r="AC1094" s="378">
        <f>IF(NFI_Expiration=1,IF($A1094&lt;VLOOKUP(L$5,NFI,5,0),1,0)*Table_NFI[[#This Row],[Tarpaulin]],Table_NFI[[#This Row],[Tarpaulin]])</f>
        <v>0</v>
      </c>
      <c r="AD1094" s="378">
        <f>IF(NFI_Expiration=1,IF($A1094&lt;VLOOKUP(M$5,NFI,5,0),1,0)*Table_NFI[[#This Row],[Blanket]],Table_NFI[[#This Row],[Blanket]])</f>
        <v>0</v>
      </c>
      <c r="AE1094" s="378">
        <f>IF(NFI_Expiration=1,IF($A1094&lt;VLOOKUP(N$5,NFI,5,0),1,0)*Table_NFI[[#This Row],[Kitchen Set]],Table_NFI[Kitchen Set])</f>
        <v>0</v>
      </c>
      <c r="AF1094" s="378">
        <f>IF(NFI_Expiration=1,IF($A1094&lt;VLOOKUP(O$5,NFI,5,0),1,0)*Table_NFI[[#This Row],[Clothes Kit]],Table_NFI[Clothes Kit])</f>
        <v>0</v>
      </c>
      <c r="AG1094" s="378">
        <f>IF(NFI_Expiration=1,IF($A1094&lt;VLOOKUP(P$5,NFI,5,0),1,0)*Table_NFI[[#This Row],[Plastic Bucket]],Table_NFI[Plastic Bucket])</f>
        <v>0</v>
      </c>
      <c r="AH1094" s="378">
        <f>IF(NFI_Expiration=1,IF($A1094&lt;VLOOKUP(Q$5,NFI,5,0),1,0)*Table_NFI[[#This Row],[Plastic Mat]],Table_NFI[Plastic Mat])*IF(Table_NFI[[#This Row],[Distribution Date]]&gt;"2014-04-01",1,2.5)</f>
        <v>0</v>
      </c>
      <c r="AI1094" s="378">
        <f>IF(NFI_Expiration=1,IF($A1094&lt;VLOOKUP(R$5,NFI,5,0),1,0)*Table_NFI[[#This Row],[Winter Clothes Adult]],Table_NFI[Winter Clothes Adult])</f>
        <v>0</v>
      </c>
      <c r="AJ1094" s="378">
        <f>IF(NFI_Expiration=1,IF($A1094&lt;VLOOKUP(S$5,NFI,5,0),1,0)*Table_NFI[[#This Row],[Winter Clothes Children]],Table_NFI[Winter Clothes Children])</f>
        <v>0</v>
      </c>
      <c r="AK1094" s="378">
        <f>IF(NFI_Expiration=1,IF($A1094&lt;VLOOKUP(T$5,NFI,5,0),1,0)*Table_NFI[[#This Row],[Winter Items Other]],Table_NFI[Winter Items Other])</f>
        <v>0</v>
      </c>
      <c r="AL1094" s="378">
        <f>IF(NFI_Expiration=1,IF($A1094&lt;VLOOKUP(M$5,NFI,5,0),1,0)*Table_NFI[[#This Row],[Winter Blanket]],Table_NFI[[#This Row],[Winter Blanket]])</f>
        <v>0</v>
      </c>
      <c r="AM1094" s="378">
        <f>IF(Table_NFI[[#This Row],[Winter Clothes Adult]]+Table_NFI[[#This Row],[Winter Clothes Children]]+Table_NFI[[#This Row],[Winter Items Other]]+Table_NFI[[#This Row],[Winter Blanket]]&gt;0,1,0)</f>
        <v>0</v>
      </c>
      <c r="AN1094" s="418">
        <f>IF(NFI_Expiration=1,IF($A1094&lt;VLOOKUP(V$5,NFI,5,0),1,0)*Table_NFI[[#This Row],[Jerry Can]],Table_NFI[Jerry Can])</f>
        <v>0</v>
      </c>
      <c r="AO1094" s="579" t="str">
        <f>IFERROR(VLOOKUP(Table_NFI[[#This Row],[Camp Name]],CL,2,0),"")</f>
        <v/>
      </c>
      <c r="AP1094" s="574" t="str">
        <f ca="1">IF(Table_NFI[[#This Row],[Pcode]]="","",IF(OFFSET(CampList[Opening Date],MATCH(Table_NFI[[#This Row],[Pcode]],CampList[CP_Pcode],0)-1,0,1,1)&gt;=NFI_Monitor_Date,1,0))</f>
        <v/>
      </c>
      <c r="AQ1094" s="579" t="str">
        <f>IFERROR(VLOOKUP(Table_NFI[[#This Row],[Camp Name]],CL,3,0),"")</f>
        <v/>
      </c>
      <c r="AR1094" s="378" t="str">
        <f ca="1">IF(Table_NFI[[#This Row],[Pcode]]="","",OFFSET(CampList[Priority],MATCH(Table_NFI[[#This Row],[Pcode]],CampList[CP_Pcode],0)-1,0,1,1))</f>
        <v/>
      </c>
      <c r="AS1094" s="377" t="str">
        <f>IFERROR(Table_NFI[[#This Row],[Kitchen Set]]/VLOOKUP(Table_NFI[[#This Row],[Camp Name]],CL,4,0),"")</f>
        <v/>
      </c>
      <c r="AT1094" s="577"/>
      <c r="AU1094" s="580"/>
    </row>
    <row r="1095" spans="1:47" x14ac:dyDescent="0.25">
      <c r="A1095" s="381" t="str">
        <f t="shared" si="17"/>
        <v/>
      </c>
      <c r="B1095" s="571"/>
      <c r="C1095" s="577"/>
      <c r="D1095" s="577"/>
      <c r="E1095" s="577"/>
      <c r="F1095" s="577"/>
      <c r="G1095" s="577"/>
      <c r="H1095" s="376"/>
      <c r="I1095" s="376"/>
      <c r="J1095" s="376"/>
      <c r="K1095" s="376"/>
      <c r="L1095" s="376"/>
      <c r="M1095" s="376"/>
      <c r="N1095" s="376"/>
      <c r="O1095" s="376"/>
      <c r="P1095" s="378"/>
      <c r="Q1095" s="378"/>
      <c r="R1095" s="378"/>
      <c r="S1095" s="378"/>
      <c r="T1095" s="378"/>
      <c r="U1095" s="378"/>
      <c r="V1095" s="533"/>
      <c r="W1095" s="602"/>
      <c r="X1095" s="602"/>
      <c r="Y1095" s="378">
        <f>IF(NFI_Expiration=1,IF($A1095&lt;VLOOKUP(H$5,NFI,5,0),1,0)*Table_NFI[[#This Row],[Hygiene Kit]],Table_NFI[Hygiene Kit])</f>
        <v>0</v>
      </c>
      <c r="Z1095" s="378">
        <f>IF(NFI_Expiration=1,IF($A1095&lt;VLOOKUP(I$5,NFI,5,0),1,0)*Table_NFI[[#This Row],[NFI Core Kit]],Table_NFI[NFI Core Kit])</f>
        <v>0</v>
      </c>
      <c r="AA1095" s="378">
        <f>IF(NFI_Expiration=1,IF($A1095&lt;VLOOKUP(J$5,NFI,5,0),1,0)*Table_NFI[[#This Row],[Sanitary Kit]],Table_NFI[Sanitary Kit])</f>
        <v>0</v>
      </c>
      <c r="AB1095" s="378">
        <f>IF(NFI_Expiration=1,IF($A1095&lt;VLOOKUP(K$5,NFI,5,0),1,0)*Table_NFI[[#This Row],[Mosquito net]],Table_NFI[Mosquito net])</f>
        <v>0</v>
      </c>
      <c r="AC1095" s="378">
        <f>IF(NFI_Expiration=1,IF($A1095&lt;VLOOKUP(L$5,NFI,5,0),1,0)*Table_NFI[[#This Row],[Tarpaulin]],Table_NFI[[#This Row],[Tarpaulin]])</f>
        <v>0</v>
      </c>
      <c r="AD1095" s="378">
        <f>IF(NFI_Expiration=1,IF($A1095&lt;VLOOKUP(M$5,NFI,5,0),1,0)*Table_NFI[[#This Row],[Blanket]],Table_NFI[[#This Row],[Blanket]])</f>
        <v>0</v>
      </c>
      <c r="AE1095" s="378">
        <f>IF(NFI_Expiration=1,IF($A1095&lt;VLOOKUP(N$5,NFI,5,0),1,0)*Table_NFI[[#This Row],[Kitchen Set]],Table_NFI[Kitchen Set])</f>
        <v>0</v>
      </c>
      <c r="AF1095" s="378">
        <f>IF(NFI_Expiration=1,IF($A1095&lt;VLOOKUP(O$5,NFI,5,0),1,0)*Table_NFI[[#This Row],[Clothes Kit]],Table_NFI[Clothes Kit])</f>
        <v>0</v>
      </c>
      <c r="AG1095" s="378">
        <f>IF(NFI_Expiration=1,IF($A1095&lt;VLOOKUP(P$5,NFI,5,0),1,0)*Table_NFI[[#This Row],[Plastic Bucket]],Table_NFI[Plastic Bucket])</f>
        <v>0</v>
      </c>
      <c r="AH1095" s="378">
        <f>IF(NFI_Expiration=1,IF($A1095&lt;VLOOKUP(Q$5,NFI,5,0),1,0)*Table_NFI[[#This Row],[Plastic Mat]],Table_NFI[Plastic Mat])*IF(Table_NFI[[#This Row],[Distribution Date]]&gt;"2014-04-01",1,2.5)</f>
        <v>0</v>
      </c>
      <c r="AI1095" s="378">
        <f>IF(NFI_Expiration=1,IF($A1095&lt;VLOOKUP(R$5,NFI,5,0),1,0)*Table_NFI[[#This Row],[Winter Clothes Adult]],Table_NFI[Winter Clothes Adult])</f>
        <v>0</v>
      </c>
      <c r="AJ1095" s="378">
        <f>IF(NFI_Expiration=1,IF($A1095&lt;VLOOKUP(S$5,NFI,5,0),1,0)*Table_NFI[[#This Row],[Winter Clothes Children]],Table_NFI[Winter Clothes Children])</f>
        <v>0</v>
      </c>
      <c r="AK1095" s="378">
        <f>IF(NFI_Expiration=1,IF($A1095&lt;VLOOKUP(T$5,NFI,5,0),1,0)*Table_NFI[[#This Row],[Winter Items Other]],Table_NFI[Winter Items Other])</f>
        <v>0</v>
      </c>
      <c r="AL1095" s="378">
        <f>IF(NFI_Expiration=1,IF($A1095&lt;VLOOKUP(M$5,NFI,5,0),1,0)*Table_NFI[[#This Row],[Winter Blanket]],Table_NFI[[#This Row],[Winter Blanket]])</f>
        <v>0</v>
      </c>
      <c r="AM1095" s="378">
        <f>IF(Table_NFI[[#This Row],[Winter Clothes Adult]]+Table_NFI[[#This Row],[Winter Clothes Children]]+Table_NFI[[#This Row],[Winter Items Other]]+Table_NFI[[#This Row],[Winter Blanket]]&gt;0,1,0)</f>
        <v>0</v>
      </c>
      <c r="AN1095" s="418">
        <f>IF(NFI_Expiration=1,IF($A1095&lt;VLOOKUP(V$5,NFI,5,0),1,0)*Table_NFI[[#This Row],[Jerry Can]],Table_NFI[Jerry Can])</f>
        <v>0</v>
      </c>
      <c r="AO1095" s="579" t="str">
        <f>IFERROR(VLOOKUP(Table_NFI[[#This Row],[Camp Name]],CL,2,0),"")</f>
        <v/>
      </c>
      <c r="AP1095" s="574" t="str">
        <f ca="1">IF(Table_NFI[[#This Row],[Pcode]]="","",IF(OFFSET(CampList[Opening Date],MATCH(Table_NFI[[#This Row],[Pcode]],CampList[CP_Pcode],0)-1,0,1,1)&gt;=NFI_Monitor_Date,1,0))</f>
        <v/>
      </c>
      <c r="AQ1095" s="579" t="str">
        <f>IFERROR(VLOOKUP(Table_NFI[[#This Row],[Camp Name]],CL,3,0),"")</f>
        <v/>
      </c>
      <c r="AR1095" s="378" t="str">
        <f ca="1">IF(Table_NFI[[#This Row],[Pcode]]="","",OFFSET(CampList[Priority],MATCH(Table_NFI[[#This Row],[Pcode]],CampList[CP_Pcode],0)-1,0,1,1))</f>
        <v/>
      </c>
      <c r="AS1095" s="377" t="str">
        <f>IFERROR(Table_NFI[[#This Row],[Kitchen Set]]/VLOOKUP(Table_NFI[[#This Row],[Camp Name]],CL,4,0),"")</f>
        <v/>
      </c>
      <c r="AT1095" s="577"/>
      <c r="AU1095" s="580"/>
    </row>
    <row r="1096" spans="1:47" x14ac:dyDescent="0.25">
      <c r="A1096" s="381" t="str">
        <f t="shared" si="17"/>
        <v/>
      </c>
      <c r="B1096" s="571"/>
      <c r="C1096" s="577"/>
      <c r="D1096" s="577"/>
      <c r="E1096" s="577"/>
      <c r="F1096" s="577"/>
      <c r="G1096" s="577"/>
      <c r="H1096" s="376"/>
      <c r="I1096" s="376"/>
      <c r="J1096" s="376"/>
      <c r="K1096" s="376"/>
      <c r="L1096" s="376"/>
      <c r="M1096" s="376"/>
      <c r="N1096" s="376"/>
      <c r="O1096" s="376"/>
      <c r="P1096" s="378"/>
      <c r="Q1096" s="378"/>
      <c r="R1096" s="378"/>
      <c r="S1096" s="378"/>
      <c r="T1096" s="378"/>
      <c r="U1096" s="378"/>
      <c r="V1096" s="533"/>
      <c r="W1096" s="602"/>
      <c r="X1096" s="602"/>
      <c r="Y1096" s="378">
        <f>IF(NFI_Expiration=1,IF($A1096&lt;VLOOKUP(H$5,NFI,5,0),1,0)*Table_NFI[[#This Row],[Hygiene Kit]],Table_NFI[Hygiene Kit])</f>
        <v>0</v>
      </c>
      <c r="Z1096" s="378">
        <f>IF(NFI_Expiration=1,IF($A1096&lt;VLOOKUP(I$5,NFI,5,0),1,0)*Table_NFI[[#This Row],[NFI Core Kit]],Table_NFI[NFI Core Kit])</f>
        <v>0</v>
      </c>
      <c r="AA1096" s="378">
        <f>IF(NFI_Expiration=1,IF($A1096&lt;VLOOKUP(J$5,NFI,5,0),1,0)*Table_NFI[[#This Row],[Sanitary Kit]],Table_NFI[Sanitary Kit])</f>
        <v>0</v>
      </c>
      <c r="AB1096" s="378">
        <f>IF(NFI_Expiration=1,IF($A1096&lt;VLOOKUP(K$5,NFI,5,0),1,0)*Table_NFI[[#This Row],[Mosquito net]],Table_NFI[Mosquito net])</f>
        <v>0</v>
      </c>
      <c r="AC1096" s="378">
        <f>IF(NFI_Expiration=1,IF($A1096&lt;VLOOKUP(L$5,NFI,5,0),1,0)*Table_NFI[[#This Row],[Tarpaulin]],Table_NFI[[#This Row],[Tarpaulin]])</f>
        <v>0</v>
      </c>
      <c r="AD1096" s="378">
        <f>IF(NFI_Expiration=1,IF($A1096&lt;VLOOKUP(M$5,NFI,5,0),1,0)*Table_NFI[[#This Row],[Blanket]],Table_NFI[[#This Row],[Blanket]])</f>
        <v>0</v>
      </c>
      <c r="AE1096" s="378">
        <f>IF(NFI_Expiration=1,IF($A1096&lt;VLOOKUP(N$5,NFI,5,0),1,0)*Table_NFI[[#This Row],[Kitchen Set]],Table_NFI[Kitchen Set])</f>
        <v>0</v>
      </c>
      <c r="AF1096" s="378">
        <f>IF(NFI_Expiration=1,IF($A1096&lt;VLOOKUP(O$5,NFI,5,0),1,0)*Table_NFI[[#This Row],[Clothes Kit]],Table_NFI[Clothes Kit])</f>
        <v>0</v>
      </c>
      <c r="AG1096" s="378">
        <f>IF(NFI_Expiration=1,IF($A1096&lt;VLOOKUP(P$5,NFI,5,0),1,0)*Table_NFI[[#This Row],[Plastic Bucket]],Table_NFI[Plastic Bucket])</f>
        <v>0</v>
      </c>
      <c r="AH1096" s="378">
        <f>IF(NFI_Expiration=1,IF($A1096&lt;VLOOKUP(Q$5,NFI,5,0),1,0)*Table_NFI[[#This Row],[Plastic Mat]],Table_NFI[Plastic Mat])*IF(Table_NFI[[#This Row],[Distribution Date]]&gt;"2014-04-01",1,2.5)</f>
        <v>0</v>
      </c>
      <c r="AI1096" s="378">
        <f>IF(NFI_Expiration=1,IF($A1096&lt;VLOOKUP(R$5,NFI,5,0),1,0)*Table_NFI[[#This Row],[Winter Clothes Adult]],Table_NFI[Winter Clothes Adult])</f>
        <v>0</v>
      </c>
      <c r="AJ1096" s="378">
        <f>IF(NFI_Expiration=1,IF($A1096&lt;VLOOKUP(S$5,NFI,5,0),1,0)*Table_NFI[[#This Row],[Winter Clothes Children]],Table_NFI[Winter Clothes Children])</f>
        <v>0</v>
      </c>
      <c r="AK1096" s="378">
        <f>IF(NFI_Expiration=1,IF($A1096&lt;VLOOKUP(T$5,NFI,5,0),1,0)*Table_NFI[[#This Row],[Winter Items Other]],Table_NFI[Winter Items Other])</f>
        <v>0</v>
      </c>
      <c r="AL1096" s="378">
        <f>IF(NFI_Expiration=1,IF($A1096&lt;VLOOKUP(M$5,NFI,5,0),1,0)*Table_NFI[[#This Row],[Winter Blanket]],Table_NFI[[#This Row],[Winter Blanket]])</f>
        <v>0</v>
      </c>
      <c r="AM1096" s="378">
        <f>IF(Table_NFI[[#This Row],[Winter Clothes Adult]]+Table_NFI[[#This Row],[Winter Clothes Children]]+Table_NFI[[#This Row],[Winter Items Other]]+Table_NFI[[#This Row],[Winter Blanket]]&gt;0,1,0)</f>
        <v>0</v>
      </c>
      <c r="AN1096" s="418">
        <f>IF(NFI_Expiration=1,IF($A1096&lt;VLOOKUP(V$5,NFI,5,0),1,0)*Table_NFI[[#This Row],[Jerry Can]],Table_NFI[Jerry Can])</f>
        <v>0</v>
      </c>
      <c r="AO1096" s="579" t="str">
        <f>IFERROR(VLOOKUP(Table_NFI[[#This Row],[Camp Name]],CL,2,0),"")</f>
        <v/>
      </c>
      <c r="AP1096" s="574" t="str">
        <f ca="1">IF(Table_NFI[[#This Row],[Pcode]]="","",IF(OFFSET(CampList[Opening Date],MATCH(Table_NFI[[#This Row],[Pcode]],CampList[CP_Pcode],0)-1,0,1,1)&gt;=NFI_Monitor_Date,1,0))</f>
        <v/>
      </c>
      <c r="AQ1096" s="579" t="str">
        <f>IFERROR(VLOOKUP(Table_NFI[[#This Row],[Camp Name]],CL,3,0),"")</f>
        <v/>
      </c>
      <c r="AR1096" s="378" t="str">
        <f ca="1">IF(Table_NFI[[#This Row],[Pcode]]="","",OFFSET(CampList[Priority],MATCH(Table_NFI[[#This Row],[Pcode]],CampList[CP_Pcode],0)-1,0,1,1))</f>
        <v/>
      </c>
      <c r="AS1096" s="377" t="str">
        <f>IFERROR(Table_NFI[[#This Row],[Kitchen Set]]/VLOOKUP(Table_NFI[[#This Row],[Camp Name]],CL,4,0),"")</f>
        <v/>
      </c>
      <c r="AT1096" s="577"/>
      <c r="AU1096" s="580"/>
    </row>
    <row r="1097" spans="1:47" x14ac:dyDescent="0.25">
      <c r="A1097" s="381" t="str">
        <f t="shared" si="17"/>
        <v/>
      </c>
      <c r="B1097" s="571"/>
      <c r="C1097" s="577"/>
      <c r="D1097" s="577"/>
      <c r="E1097" s="577"/>
      <c r="F1097" s="577"/>
      <c r="G1097" s="577"/>
      <c r="H1097" s="376"/>
      <c r="I1097" s="376"/>
      <c r="J1097" s="376"/>
      <c r="K1097" s="376"/>
      <c r="L1097" s="376"/>
      <c r="M1097" s="376"/>
      <c r="N1097" s="376"/>
      <c r="O1097" s="376"/>
      <c r="P1097" s="378"/>
      <c r="Q1097" s="378"/>
      <c r="R1097" s="378"/>
      <c r="S1097" s="378"/>
      <c r="T1097" s="378"/>
      <c r="U1097" s="378"/>
      <c r="V1097" s="533"/>
      <c r="W1097" s="602"/>
      <c r="X1097" s="602"/>
      <c r="Y1097" s="378">
        <f>IF(NFI_Expiration=1,IF($A1097&lt;VLOOKUP(H$5,NFI,5,0),1,0)*Table_NFI[[#This Row],[Hygiene Kit]],Table_NFI[Hygiene Kit])</f>
        <v>0</v>
      </c>
      <c r="Z1097" s="378">
        <f>IF(NFI_Expiration=1,IF($A1097&lt;VLOOKUP(I$5,NFI,5,0),1,0)*Table_NFI[[#This Row],[NFI Core Kit]],Table_NFI[NFI Core Kit])</f>
        <v>0</v>
      </c>
      <c r="AA1097" s="378">
        <f>IF(NFI_Expiration=1,IF($A1097&lt;VLOOKUP(J$5,NFI,5,0),1,0)*Table_NFI[[#This Row],[Sanitary Kit]],Table_NFI[Sanitary Kit])</f>
        <v>0</v>
      </c>
      <c r="AB1097" s="378">
        <f>IF(NFI_Expiration=1,IF($A1097&lt;VLOOKUP(K$5,NFI,5,0),1,0)*Table_NFI[[#This Row],[Mosquito net]],Table_NFI[Mosquito net])</f>
        <v>0</v>
      </c>
      <c r="AC1097" s="378">
        <f>IF(NFI_Expiration=1,IF($A1097&lt;VLOOKUP(L$5,NFI,5,0),1,0)*Table_NFI[[#This Row],[Tarpaulin]],Table_NFI[[#This Row],[Tarpaulin]])</f>
        <v>0</v>
      </c>
      <c r="AD1097" s="378">
        <f>IF(NFI_Expiration=1,IF($A1097&lt;VLOOKUP(M$5,NFI,5,0),1,0)*Table_NFI[[#This Row],[Blanket]],Table_NFI[[#This Row],[Blanket]])</f>
        <v>0</v>
      </c>
      <c r="AE1097" s="378">
        <f>IF(NFI_Expiration=1,IF($A1097&lt;VLOOKUP(N$5,NFI,5,0),1,0)*Table_NFI[[#This Row],[Kitchen Set]],Table_NFI[Kitchen Set])</f>
        <v>0</v>
      </c>
      <c r="AF1097" s="378">
        <f>IF(NFI_Expiration=1,IF($A1097&lt;VLOOKUP(O$5,NFI,5,0),1,0)*Table_NFI[[#This Row],[Clothes Kit]],Table_NFI[Clothes Kit])</f>
        <v>0</v>
      </c>
      <c r="AG1097" s="378">
        <f>IF(NFI_Expiration=1,IF($A1097&lt;VLOOKUP(P$5,NFI,5,0),1,0)*Table_NFI[[#This Row],[Plastic Bucket]],Table_NFI[Plastic Bucket])</f>
        <v>0</v>
      </c>
      <c r="AH1097" s="378">
        <f>IF(NFI_Expiration=1,IF($A1097&lt;VLOOKUP(Q$5,NFI,5,0),1,0)*Table_NFI[[#This Row],[Plastic Mat]],Table_NFI[Plastic Mat])*IF(Table_NFI[[#This Row],[Distribution Date]]&gt;"2014-04-01",1,2.5)</f>
        <v>0</v>
      </c>
      <c r="AI1097" s="378">
        <f>IF(NFI_Expiration=1,IF($A1097&lt;VLOOKUP(R$5,NFI,5,0),1,0)*Table_NFI[[#This Row],[Winter Clothes Adult]],Table_NFI[Winter Clothes Adult])</f>
        <v>0</v>
      </c>
      <c r="AJ1097" s="378">
        <f>IF(NFI_Expiration=1,IF($A1097&lt;VLOOKUP(S$5,NFI,5,0),1,0)*Table_NFI[[#This Row],[Winter Clothes Children]],Table_NFI[Winter Clothes Children])</f>
        <v>0</v>
      </c>
      <c r="AK1097" s="378">
        <f>IF(NFI_Expiration=1,IF($A1097&lt;VLOOKUP(T$5,NFI,5,0),1,0)*Table_NFI[[#This Row],[Winter Items Other]],Table_NFI[Winter Items Other])</f>
        <v>0</v>
      </c>
      <c r="AL1097" s="378">
        <f>IF(NFI_Expiration=1,IF($A1097&lt;VLOOKUP(M$5,NFI,5,0),1,0)*Table_NFI[[#This Row],[Winter Blanket]],Table_NFI[[#This Row],[Winter Blanket]])</f>
        <v>0</v>
      </c>
      <c r="AM1097" s="378">
        <f>IF(Table_NFI[[#This Row],[Winter Clothes Adult]]+Table_NFI[[#This Row],[Winter Clothes Children]]+Table_NFI[[#This Row],[Winter Items Other]]+Table_NFI[[#This Row],[Winter Blanket]]&gt;0,1,0)</f>
        <v>0</v>
      </c>
      <c r="AN1097" s="418">
        <f>IF(NFI_Expiration=1,IF($A1097&lt;VLOOKUP(V$5,NFI,5,0),1,0)*Table_NFI[[#This Row],[Jerry Can]],Table_NFI[Jerry Can])</f>
        <v>0</v>
      </c>
      <c r="AO1097" s="579" t="str">
        <f>IFERROR(VLOOKUP(Table_NFI[[#This Row],[Camp Name]],CL,2,0),"")</f>
        <v/>
      </c>
      <c r="AP1097" s="574" t="str">
        <f ca="1">IF(Table_NFI[[#This Row],[Pcode]]="","",IF(OFFSET(CampList[Opening Date],MATCH(Table_NFI[[#This Row],[Pcode]],CampList[CP_Pcode],0)-1,0,1,1)&gt;=NFI_Monitor_Date,1,0))</f>
        <v/>
      </c>
      <c r="AQ1097" s="579" t="str">
        <f>IFERROR(VLOOKUP(Table_NFI[[#This Row],[Camp Name]],CL,3,0),"")</f>
        <v/>
      </c>
      <c r="AR1097" s="378" t="str">
        <f ca="1">IF(Table_NFI[[#This Row],[Pcode]]="","",OFFSET(CampList[Priority],MATCH(Table_NFI[[#This Row],[Pcode]],CampList[CP_Pcode],0)-1,0,1,1))</f>
        <v/>
      </c>
      <c r="AS1097" s="377" t="str">
        <f>IFERROR(Table_NFI[[#This Row],[Kitchen Set]]/VLOOKUP(Table_NFI[[#This Row],[Camp Name]],CL,4,0),"")</f>
        <v/>
      </c>
      <c r="AT1097" s="577"/>
      <c r="AU1097" s="580"/>
    </row>
    <row r="1098" spans="1:47" x14ac:dyDescent="0.25">
      <c r="A1098" s="381" t="str">
        <f t="shared" si="17"/>
        <v/>
      </c>
      <c r="B1098" s="571"/>
      <c r="C1098" s="577"/>
      <c r="D1098" s="577"/>
      <c r="E1098" s="577"/>
      <c r="F1098" s="577"/>
      <c r="G1098" s="577"/>
      <c r="H1098" s="376"/>
      <c r="I1098" s="376"/>
      <c r="J1098" s="376"/>
      <c r="K1098" s="376"/>
      <c r="L1098" s="376"/>
      <c r="M1098" s="376"/>
      <c r="N1098" s="376"/>
      <c r="O1098" s="376"/>
      <c r="P1098" s="378"/>
      <c r="Q1098" s="378"/>
      <c r="R1098" s="378"/>
      <c r="S1098" s="378"/>
      <c r="T1098" s="378"/>
      <c r="U1098" s="378"/>
      <c r="V1098" s="533"/>
      <c r="W1098" s="602"/>
      <c r="X1098" s="602"/>
      <c r="Y1098" s="378">
        <f>IF(NFI_Expiration=1,IF($A1098&lt;VLOOKUP(H$5,NFI,5,0),1,0)*Table_NFI[[#This Row],[Hygiene Kit]],Table_NFI[Hygiene Kit])</f>
        <v>0</v>
      </c>
      <c r="Z1098" s="378">
        <f>IF(NFI_Expiration=1,IF($A1098&lt;VLOOKUP(I$5,NFI,5,0),1,0)*Table_NFI[[#This Row],[NFI Core Kit]],Table_NFI[NFI Core Kit])</f>
        <v>0</v>
      </c>
      <c r="AA1098" s="378">
        <f>IF(NFI_Expiration=1,IF($A1098&lt;VLOOKUP(J$5,NFI,5,0),1,0)*Table_NFI[[#This Row],[Sanitary Kit]],Table_NFI[Sanitary Kit])</f>
        <v>0</v>
      </c>
      <c r="AB1098" s="378">
        <f>IF(NFI_Expiration=1,IF($A1098&lt;VLOOKUP(K$5,NFI,5,0),1,0)*Table_NFI[[#This Row],[Mosquito net]],Table_NFI[Mosquito net])</f>
        <v>0</v>
      </c>
      <c r="AC1098" s="378">
        <f>IF(NFI_Expiration=1,IF($A1098&lt;VLOOKUP(L$5,NFI,5,0),1,0)*Table_NFI[[#This Row],[Tarpaulin]],Table_NFI[[#This Row],[Tarpaulin]])</f>
        <v>0</v>
      </c>
      <c r="AD1098" s="378">
        <f>IF(NFI_Expiration=1,IF($A1098&lt;VLOOKUP(M$5,NFI,5,0),1,0)*Table_NFI[[#This Row],[Blanket]],Table_NFI[[#This Row],[Blanket]])</f>
        <v>0</v>
      </c>
      <c r="AE1098" s="378">
        <f>IF(NFI_Expiration=1,IF($A1098&lt;VLOOKUP(N$5,NFI,5,0),1,0)*Table_NFI[[#This Row],[Kitchen Set]],Table_NFI[Kitchen Set])</f>
        <v>0</v>
      </c>
      <c r="AF1098" s="378">
        <f>IF(NFI_Expiration=1,IF($A1098&lt;VLOOKUP(O$5,NFI,5,0),1,0)*Table_NFI[[#This Row],[Clothes Kit]],Table_NFI[Clothes Kit])</f>
        <v>0</v>
      </c>
      <c r="AG1098" s="378">
        <f>IF(NFI_Expiration=1,IF($A1098&lt;VLOOKUP(P$5,NFI,5,0),1,0)*Table_NFI[[#This Row],[Plastic Bucket]],Table_NFI[Plastic Bucket])</f>
        <v>0</v>
      </c>
      <c r="AH1098" s="378">
        <f>IF(NFI_Expiration=1,IF($A1098&lt;VLOOKUP(Q$5,NFI,5,0),1,0)*Table_NFI[[#This Row],[Plastic Mat]],Table_NFI[Plastic Mat])*IF(Table_NFI[[#This Row],[Distribution Date]]&gt;"2014-04-01",1,2.5)</f>
        <v>0</v>
      </c>
      <c r="AI1098" s="378">
        <f>IF(NFI_Expiration=1,IF($A1098&lt;VLOOKUP(R$5,NFI,5,0),1,0)*Table_NFI[[#This Row],[Winter Clothes Adult]],Table_NFI[Winter Clothes Adult])</f>
        <v>0</v>
      </c>
      <c r="AJ1098" s="378">
        <f>IF(NFI_Expiration=1,IF($A1098&lt;VLOOKUP(S$5,NFI,5,0),1,0)*Table_NFI[[#This Row],[Winter Clothes Children]],Table_NFI[Winter Clothes Children])</f>
        <v>0</v>
      </c>
      <c r="AK1098" s="378">
        <f>IF(NFI_Expiration=1,IF($A1098&lt;VLOOKUP(T$5,NFI,5,0),1,0)*Table_NFI[[#This Row],[Winter Items Other]],Table_NFI[Winter Items Other])</f>
        <v>0</v>
      </c>
      <c r="AL1098" s="378">
        <f>IF(NFI_Expiration=1,IF($A1098&lt;VLOOKUP(M$5,NFI,5,0),1,0)*Table_NFI[[#This Row],[Winter Blanket]],Table_NFI[[#This Row],[Winter Blanket]])</f>
        <v>0</v>
      </c>
      <c r="AM1098" s="378">
        <f>IF(Table_NFI[[#This Row],[Winter Clothes Adult]]+Table_NFI[[#This Row],[Winter Clothes Children]]+Table_NFI[[#This Row],[Winter Items Other]]+Table_NFI[[#This Row],[Winter Blanket]]&gt;0,1,0)</f>
        <v>0</v>
      </c>
      <c r="AN1098" s="418">
        <f>IF(NFI_Expiration=1,IF($A1098&lt;VLOOKUP(V$5,NFI,5,0),1,0)*Table_NFI[[#This Row],[Jerry Can]],Table_NFI[Jerry Can])</f>
        <v>0</v>
      </c>
      <c r="AO1098" s="579" t="str">
        <f>IFERROR(VLOOKUP(Table_NFI[[#This Row],[Camp Name]],CL,2,0),"")</f>
        <v/>
      </c>
      <c r="AP1098" s="574" t="str">
        <f ca="1">IF(Table_NFI[[#This Row],[Pcode]]="","",IF(OFFSET(CampList[Opening Date],MATCH(Table_NFI[[#This Row],[Pcode]],CampList[CP_Pcode],0)-1,0,1,1)&gt;=NFI_Monitor_Date,1,0))</f>
        <v/>
      </c>
      <c r="AQ1098" s="579" t="str">
        <f>IFERROR(VLOOKUP(Table_NFI[[#This Row],[Camp Name]],CL,3,0),"")</f>
        <v/>
      </c>
      <c r="AR1098" s="378" t="str">
        <f ca="1">IF(Table_NFI[[#This Row],[Pcode]]="","",OFFSET(CampList[Priority],MATCH(Table_NFI[[#This Row],[Pcode]],CampList[CP_Pcode],0)-1,0,1,1))</f>
        <v/>
      </c>
      <c r="AS1098" s="377" t="str">
        <f>IFERROR(Table_NFI[[#This Row],[Kitchen Set]]/VLOOKUP(Table_NFI[[#This Row],[Camp Name]],CL,4,0),"")</f>
        <v/>
      </c>
      <c r="AT1098" s="577"/>
      <c r="AU1098" s="580"/>
    </row>
    <row r="1099" spans="1:47" x14ac:dyDescent="0.25">
      <c r="A1099" s="381" t="str">
        <f t="shared" si="17"/>
        <v/>
      </c>
      <c r="B1099" s="571"/>
      <c r="C1099" s="577"/>
      <c r="D1099" s="577"/>
      <c r="E1099" s="577"/>
      <c r="F1099" s="577"/>
      <c r="G1099" s="577"/>
      <c r="H1099" s="376"/>
      <c r="I1099" s="376"/>
      <c r="J1099" s="376"/>
      <c r="K1099" s="376"/>
      <c r="L1099" s="376"/>
      <c r="M1099" s="376"/>
      <c r="N1099" s="376"/>
      <c r="O1099" s="376"/>
      <c r="P1099" s="378"/>
      <c r="Q1099" s="378"/>
      <c r="R1099" s="378"/>
      <c r="S1099" s="378"/>
      <c r="T1099" s="378"/>
      <c r="U1099" s="378"/>
      <c r="V1099" s="533"/>
      <c r="W1099" s="602"/>
      <c r="X1099" s="602"/>
      <c r="Y1099" s="378">
        <f>IF(NFI_Expiration=1,IF($A1099&lt;VLOOKUP(H$5,NFI,5,0),1,0)*Table_NFI[[#This Row],[Hygiene Kit]],Table_NFI[Hygiene Kit])</f>
        <v>0</v>
      </c>
      <c r="Z1099" s="378">
        <f>IF(NFI_Expiration=1,IF($A1099&lt;VLOOKUP(I$5,NFI,5,0),1,0)*Table_NFI[[#This Row],[NFI Core Kit]],Table_NFI[NFI Core Kit])</f>
        <v>0</v>
      </c>
      <c r="AA1099" s="378">
        <f>IF(NFI_Expiration=1,IF($A1099&lt;VLOOKUP(J$5,NFI,5,0),1,0)*Table_NFI[[#This Row],[Sanitary Kit]],Table_NFI[Sanitary Kit])</f>
        <v>0</v>
      </c>
      <c r="AB1099" s="378">
        <f>IF(NFI_Expiration=1,IF($A1099&lt;VLOOKUP(K$5,NFI,5,0),1,0)*Table_NFI[[#This Row],[Mosquito net]],Table_NFI[Mosquito net])</f>
        <v>0</v>
      </c>
      <c r="AC1099" s="378">
        <f>IF(NFI_Expiration=1,IF($A1099&lt;VLOOKUP(L$5,NFI,5,0),1,0)*Table_NFI[[#This Row],[Tarpaulin]],Table_NFI[[#This Row],[Tarpaulin]])</f>
        <v>0</v>
      </c>
      <c r="AD1099" s="378">
        <f>IF(NFI_Expiration=1,IF($A1099&lt;VLOOKUP(M$5,NFI,5,0),1,0)*Table_NFI[[#This Row],[Blanket]],Table_NFI[[#This Row],[Blanket]])</f>
        <v>0</v>
      </c>
      <c r="AE1099" s="378">
        <f>IF(NFI_Expiration=1,IF($A1099&lt;VLOOKUP(N$5,NFI,5,0),1,0)*Table_NFI[[#This Row],[Kitchen Set]],Table_NFI[Kitchen Set])</f>
        <v>0</v>
      </c>
      <c r="AF1099" s="378">
        <f>IF(NFI_Expiration=1,IF($A1099&lt;VLOOKUP(O$5,NFI,5,0),1,0)*Table_NFI[[#This Row],[Clothes Kit]],Table_NFI[Clothes Kit])</f>
        <v>0</v>
      </c>
      <c r="AG1099" s="378">
        <f>IF(NFI_Expiration=1,IF($A1099&lt;VLOOKUP(P$5,NFI,5,0),1,0)*Table_NFI[[#This Row],[Plastic Bucket]],Table_NFI[Plastic Bucket])</f>
        <v>0</v>
      </c>
      <c r="AH1099" s="378">
        <f>IF(NFI_Expiration=1,IF($A1099&lt;VLOOKUP(Q$5,NFI,5,0),1,0)*Table_NFI[[#This Row],[Plastic Mat]],Table_NFI[Plastic Mat])*IF(Table_NFI[[#This Row],[Distribution Date]]&gt;"2014-04-01",1,2.5)</f>
        <v>0</v>
      </c>
      <c r="AI1099" s="378">
        <f>IF(NFI_Expiration=1,IF($A1099&lt;VLOOKUP(R$5,NFI,5,0),1,0)*Table_NFI[[#This Row],[Winter Clothes Adult]],Table_NFI[Winter Clothes Adult])</f>
        <v>0</v>
      </c>
      <c r="AJ1099" s="378">
        <f>IF(NFI_Expiration=1,IF($A1099&lt;VLOOKUP(S$5,NFI,5,0),1,0)*Table_NFI[[#This Row],[Winter Clothes Children]],Table_NFI[Winter Clothes Children])</f>
        <v>0</v>
      </c>
      <c r="AK1099" s="378">
        <f>IF(NFI_Expiration=1,IF($A1099&lt;VLOOKUP(T$5,NFI,5,0),1,0)*Table_NFI[[#This Row],[Winter Items Other]],Table_NFI[Winter Items Other])</f>
        <v>0</v>
      </c>
      <c r="AL1099" s="378">
        <f>IF(NFI_Expiration=1,IF($A1099&lt;VLOOKUP(M$5,NFI,5,0),1,0)*Table_NFI[[#This Row],[Winter Blanket]],Table_NFI[[#This Row],[Winter Blanket]])</f>
        <v>0</v>
      </c>
      <c r="AM1099" s="378">
        <f>IF(Table_NFI[[#This Row],[Winter Clothes Adult]]+Table_NFI[[#This Row],[Winter Clothes Children]]+Table_NFI[[#This Row],[Winter Items Other]]+Table_NFI[[#This Row],[Winter Blanket]]&gt;0,1,0)</f>
        <v>0</v>
      </c>
      <c r="AN1099" s="418">
        <f>IF(NFI_Expiration=1,IF($A1099&lt;VLOOKUP(V$5,NFI,5,0),1,0)*Table_NFI[[#This Row],[Jerry Can]],Table_NFI[Jerry Can])</f>
        <v>0</v>
      </c>
      <c r="AO1099" s="579" t="str">
        <f>IFERROR(VLOOKUP(Table_NFI[[#This Row],[Camp Name]],CL,2,0),"")</f>
        <v/>
      </c>
      <c r="AP1099" s="574" t="str">
        <f ca="1">IF(Table_NFI[[#This Row],[Pcode]]="","",IF(OFFSET(CampList[Opening Date],MATCH(Table_NFI[[#This Row],[Pcode]],CampList[CP_Pcode],0)-1,0,1,1)&gt;=NFI_Monitor_Date,1,0))</f>
        <v/>
      </c>
      <c r="AQ1099" s="579" t="str">
        <f>IFERROR(VLOOKUP(Table_NFI[[#This Row],[Camp Name]],CL,3,0),"")</f>
        <v/>
      </c>
      <c r="AR1099" s="378" t="str">
        <f ca="1">IF(Table_NFI[[#This Row],[Pcode]]="","",OFFSET(CampList[Priority],MATCH(Table_NFI[[#This Row],[Pcode]],CampList[CP_Pcode],0)-1,0,1,1))</f>
        <v/>
      </c>
      <c r="AS1099" s="377" t="str">
        <f>IFERROR(Table_NFI[[#This Row],[Kitchen Set]]/VLOOKUP(Table_NFI[[#This Row],[Camp Name]],CL,4,0),"")</f>
        <v/>
      </c>
      <c r="AT1099" s="577"/>
      <c r="AU1099" s="580"/>
    </row>
    <row r="1100" spans="1:47" x14ac:dyDescent="0.25">
      <c r="A1100" s="381" t="str">
        <f t="shared" si="17"/>
        <v/>
      </c>
      <c r="B1100" s="571"/>
      <c r="C1100" s="577"/>
      <c r="D1100" s="577"/>
      <c r="E1100" s="577"/>
      <c r="F1100" s="577"/>
      <c r="G1100" s="577"/>
      <c r="H1100" s="376"/>
      <c r="I1100" s="376"/>
      <c r="J1100" s="376"/>
      <c r="K1100" s="376"/>
      <c r="L1100" s="376"/>
      <c r="M1100" s="376"/>
      <c r="N1100" s="376"/>
      <c r="O1100" s="376"/>
      <c r="P1100" s="378"/>
      <c r="Q1100" s="378"/>
      <c r="R1100" s="378"/>
      <c r="S1100" s="378"/>
      <c r="T1100" s="378"/>
      <c r="U1100" s="378"/>
      <c r="V1100" s="533"/>
      <c r="W1100" s="602"/>
      <c r="X1100" s="602"/>
      <c r="Y1100" s="378">
        <f>IF(NFI_Expiration=1,IF($A1100&lt;VLOOKUP(H$5,NFI,5,0),1,0)*Table_NFI[[#This Row],[Hygiene Kit]],Table_NFI[Hygiene Kit])</f>
        <v>0</v>
      </c>
      <c r="Z1100" s="378">
        <f>IF(NFI_Expiration=1,IF($A1100&lt;VLOOKUP(I$5,NFI,5,0),1,0)*Table_NFI[[#This Row],[NFI Core Kit]],Table_NFI[NFI Core Kit])</f>
        <v>0</v>
      </c>
      <c r="AA1100" s="378">
        <f>IF(NFI_Expiration=1,IF($A1100&lt;VLOOKUP(J$5,NFI,5,0),1,0)*Table_NFI[[#This Row],[Sanitary Kit]],Table_NFI[Sanitary Kit])</f>
        <v>0</v>
      </c>
      <c r="AB1100" s="378">
        <f>IF(NFI_Expiration=1,IF($A1100&lt;VLOOKUP(K$5,NFI,5,0),1,0)*Table_NFI[[#This Row],[Mosquito net]],Table_NFI[Mosquito net])</f>
        <v>0</v>
      </c>
      <c r="AC1100" s="378">
        <f>IF(NFI_Expiration=1,IF($A1100&lt;VLOOKUP(L$5,NFI,5,0),1,0)*Table_NFI[[#This Row],[Tarpaulin]],Table_NFI[[#This Row],[Tarpaulin]])</f>
        <v>0</v>
      </c>
      <c r="AD1100" s="378">
        <f>IF(NFI_Expiration=1,IF($A1100&lt;VLOOKUP(M$5,NFI,5,0),1,0)*Table_NFI[[#This Row],[Blanket]],Table_NFI[[#This Row],[Blanket]])</f>
        <v>0</v>
      </c>
      <c r="AE1100" s="378">
        <f>IF(NFI_Expiration=1,IF($A1100&lt;VLOOKUP(N$5,NFI,5,0),1,0)*Table_NFI[[#This Row],[Kitchen Set]],Table_NFI[Kitchen Set])</f>
        <v>0</v>
      </c>
      <c r="AF1100" s="378">
        <f>IF(NFI_Expiration=1,IF($A1100&lt;VLOOKUP(O$5,NFI,5,0),1,0)*Table_NFI[[#This Row],[Clothes Kit]],Table_NFI[Clothes Kit])</f>
        <v>0</v>
      </c>
      <c r="AG1100" s="378">
        <f>IF(NFI_Expiration=1,IF($A1100&lt;VLOOKUP(P$5,NFI,5,0),1,0)*Table_NFI[[#This Row],[Plastic Bucket]],Table_NFI[Plastic Bucket])</f>
        <v>0</v>
      </c>
      <c r="AH1100" s="378">
        <f>IF(NFI_Expiration=1,IF($A1100&lt;VLOOKUP(Q$5,NFI,5,0),1,0)*Table_NFI[[#This Row],[Plastic Mat]],Table_NFI[Plastic Mat])*IF(Table_NFI[[#This Row],[Distribution Date]]&gt;"2014-04-01",1,2.5)</f>
        <v>0</v>
      </c>
      <c r="AI1100" s="378">
        <f>IF(NFI_Expiration=1,IF($A1100&lt;VLOOKUP(R$5,NFI,5,0),1,0)*Table_NFI[[#This Row],[Winter Clothes Adult]],Table_NFI[Winter Clothes Adult])</f>
        <v>0</v>
      </c>
      <c r="AJ1100" s="378">
        <f>IF(NFI_Expiration=1,IF($A1100&lt;VLOOKUP(S$5,NFI,5,0),1,0)*Table_NFI[[#This Row],[Winter Clothes Children]],Table_NFI[Winter Clothes Children])</f>
        <v>0</v>
      </c>
      <c r="AK1100" s="378">
        <f>IF(NFI_Expiration=1,IF($A1100&lt;VLOOKUP(T$5,NFI,5,0),1,0)*Table_NFI[[#This Row],[Winter Items Other]],Table_NFI[Winter Items Other])</f>
        <v>0</v>
      </c>
      <c r="AL1100" s="378">
        <f>IF(NFI_Expiration=1,IF($A1100&lt;VLOOKUP(M$5,NFI,5,0),1,0)*Table_NFI[[#This Row],[Winter Blanket]],Table_NFI[[#This Row],[Winter Blanket]])</f>
        <v>0</v>
      </c>
      <c r="AM1100" s="378">
        <f>IF(Table_NFI[[#This Row],[Winter Clothes Adult]]+Table_NFI[[#This Row],[Winter Clothes Children]]+Table_NFI[[#This Row],[Winter Items Other]]+Table_NFI[[#This Row],[Winter Blanket]]&gt;0,1,0)</f>
        <v>0</v>
      </c>
      <c r="AN1100" s="418">
        <f>IF(NFI_Expiration=1,IF($A1100&lt;VLOOKUP(V$5,NFI,5,0),1,0)*Table_NFI[[#This Row],[Jerry Can]],Table_NFI[Jerry Can])</f>
        <v>0</v>
      </c>
      <c r="AO1100" s="579" t="str">
        <f>IFERROR(VLOOKUP(Table_NFI[[#This Row],[Camp Name]],CL,2,0),"")</f>
        <v/>
      </c>
      <c r="AP1100" s="574" t="str">
        <f ca="1">IF(Table_NFI[[#This Row],[Pcode]]="","",IF(OFFSET(CampList[Opening Date],MATCH(Table_NFI[[#This Row],[Pcode]],CampList[CP_Pcode],0)-1,0,1,1)&gt;=NFI_Monitor_Date,1,0))</f>
        <v/>
      </c>
      <c r="AQ1100" s="579" t="str">
        <f>IFERROR(VLOOKUP(Table_NFI[[#This Row],[Camp Name]],CL,3,0),"")</f>
        <v/>
      </c>
      <c r="AR1100" s="378" t="str">
        <f ca="1">IF(Table_NFI[[#This Row],[Pcode]]="","",OFFSET(CampList[Priority],MATCH(Table_NFI[[#This Row],[Pcode]],CampList[CP_Pcode],0)-1,0,1,1))</f>
        <v/>
      </c>
      <c r="AS1100" s="377" t="str">
        <f>IFERROR(Table_NFI[[#This Row],[Kitchen Set]]/VLOOKUP(Table_NFI[[#This Row],[Camp Name]],CL,4,0),"")</f>
        <v/>
      </c>
      <c r="AT1100" s="577"/>
      <c r="AU1100" s="580"/>
    </row>
    <row r="1101" spans="1:47" x14ac:dyDescent="0.25">
      <c r="A1101" s="381" t="str">
        <f t="shared" si="17"/>
        <v/>
      </c>
      <c r="B1101" s="571"/>
      <c r="C1101" s="577"/>
      <c r="D1101" s="577"/>
      <c r="E1101" s="577"/>
      <c r="F1101" s="577"/>
      <c r="G1101" s="577"/>
      <c r="H1101" s="376"/>
      <c r="I1101" s="376"/>
      <c r="J1101" s="376"/>
      <c r="K1101" s="376"/>
      <c r="L1101" s="376"/>
      <c r="M1101" s="376"/>
      <c r="N1101" s="376"/>
      <c r="O1101" s="376"/>
      <c r="P1101" s="378"/>
      <c r="Q1101" s="378"/>
      <c r="R1101" s="378"/>
      <c r="S1101" s="378"/>
      <c r="T1101" s="378"/>
      <c r="U1101" s="378"/>
      <c r="V1101" s="533"/>
      <c r="W1101" s="602"/>
      <c r="X1101" s="602"/>
      <c r="Y1101" s="378">
        <f>IF(NFI_Expiration=1,IF($A1101&lt;VLOOKUP(H$5,NFI,5,0),1,0)*Table_NFI[[#This Row],[Hygiene Kit]],Table_NFI[Hygiene Kit])</f>
        <v>0</v>
      </c>
      <c r="Z1101" s="378">
        <f>IF(NFI_Expiration=1,IF($A1101&lt;VLOOKUP(I$5,NFI,5,0),1,0)*Table_NFI[[#This Row],[NFI Core Kit]],Table_NFI[NFI Core Kit])</f>
        <v>0</v>
      </c>
      <c r="AA1101" s="378">
        <f>IF(NFI_Expiration=1,IF($A1101&lt;VLOOKUP(J$5,NFI,5,0),1,0)*Table_NFI[[#This Row],[Sanitary Kit]],Table_NFI[Sanitary Kit])</f>
        <v>0</v>
      </c>
      <c r="AB1101" s="378">
        <f>IF(NFI_Expiration=1,IF($A1101&lt;VLOOKUP(K$5,NFI,5,0),1,0)*Table_NFI[[#This Row],[Mosquito net]],Table_NFI[Mosquito net])</f>
        <v>0</v>
      </c>
      <c r="AC1101" s="378">
        <f>IF(NFI_Expiration=1,IF($A1101&lt;VLOOKUP(L$5,NFI,5,0),1,0)*Table_NFI[[#This Row],[Tarpaulin]],Table_NFI[[#This Row],[Tarpaulin]])</f>
        <v>0</v>
      </c>
      <c r="AD1101" s="378">
        <f>IF(NFI_Expiration=1,IF($A1101&lt;VLOOKUP(M$5,NFI,5,0),1,0)*Table_NFI[[#This Row],[Blanket]],Table_NFI[[#This Row],[Blanket]])</f>
        <v>0</v>
      </c>
      <c r="AE1101" s="378">
        <f>IF(NFI_Expiration=1,IF($A1101&lt;VLOOKUP(N$5,NFI,5,0),1,0)*Table_NFI[[#This Row],[Kitchen Set]],Table_NFI[Kitchen Set])</f>
        <v>0</v>
      </c>
      <c r="AF1101" s="378">
        <f>IF(NFI_Expiration=1,IF($A1101&lt;VLOOKUP(O$5,NFI,5,0),1,0)*Table_NFI[[#This Row],[Clothes Kit]],Table_NFI[Clothes Kit])</f>
        <v>0</v>
      </c>
      <c r="AG1101" s="378">
        <f>IF(NFI_Expiration=1,IF($A1101&lt;VLOOKUP(P$5,NFI,5,0),1,0)*Table_NFI[[#This Row],[Plastic Bucket]],Table_NFI[Plastic Bucket])</f>
        <v>0</v>
      </c>
      <c r="AH1101" s="378">
        <f>IF(NFI_Expiration=1,IF($A1101&lt;VLOOKUP(Q$5,NFI,5,0),1,0)*Table_NFI[[#This Row],[Plastic Mat]],Table_NFI[Plastic Mat])*IF(Table_NFI[[#This Row],[Distribution Date]]&gt;"2014-04-01",1,2.5)</f>
        <v>0</v>
      </c>
      <c r="AI1101" s="378">
        <f>IF(NFI_Expiration=1,IF($A1101&lt;VLOOKUP(R$5,NFI,5,0),1,0)*Table_NFI[[#This Row],[Winter Clothes Adult]],Table_NFI[Winter Clothes Adult])</f>
        <v>0</v>
      </c>
      <c r="AJ1101" s="378">
        <f>IF(NFI_Expiration=1,IF($A1101&lt;VLOOKUP(S$5,NFI,5,0),1,0)*Table_NFI[[#This Row],[Winter Clothes Children]],Table_NFI[Winter Clothes Children])</f>
        <v>0</v>
      </c>
      <c r="AK1101" s="378">
        <f>IF(NFI_Expiration=1,IF($A1101&lt;VLOOKUP(T$5,NFI,5,0),1,0)*Table_NFI[[#This Row],[Winter Items Other]],Table_NFI[Winter Items Other])</f>
        <v>0</v>
      </c>
      <c r="AL1101" s="378">
        <f>IF(NFI_Expiration=1,IF($A1101&lt;VLOOKUP(M$5,NFI,5,0),1,0)*Table_NFI[[#This Row],[Winter Blanket]],Table_NFI[[#This Row],[Winter Blanket]])</f>
        <v>0</v>
      </c>
      <c r="AM1101" s="378">
        <f>IF(Table_NFI[[#This Row],[Winter Clothes Adult]]+Table_NFI[[#This Row],[Winter Clothes Children]]+Table_NFI[[#This Row],[Winter Items Other]]+Table_NFI[[#This Row],[Winter Blanket]]&gt;0,1,0)</f>
        <v>0</v>
      </c>
      <c r="AN1101" s="418">
        <f>IF(NFI_Expiration=1,IF($A1101&lt;VLOOKUP(V$5,NFI,5,0),1,0)*Table_NFI[[#This Row],[Jerry Can]],Table_NFI[Jerry Can])</f>
        <v>0</v>
      </c>
      <c r="AO1101" s="579" t="str">
        <f>IFERROR(VLOOKUP(Table_NFI[[#This Row],[Camp Name]],CL,2,0),"")</f>
        <v/>
      </c>
      <c r="AP1101" s="574" t="str">
        <f ca="1">IF(Table_NFI[[#This Row],[Pcode]]="","",IF(OFFSET(CampList[Opening Date],MATCH(Table_NFI[[#This Row],[Pcode]],CampList[CP_Pcode],0)-1,0,1,1)&gt;=NFI_Monitor_Date,1,0))</f>
        <v/>
      </c>
      <c r="AQ1101" s="579" t="str">
        <f>IFERROR(VLOOKUP(Table_NFI[[#This Row],[Camp Name]],CL,3,0),"")</f>
        <v/>
      </c>
      <c r="AR1101" s="378" t="str">
        <f ca="1">IF(Table_NFI[[#This Row],[Pcode]]="","",OFFSET(CampList[Priority],MATCH(Table_NFI[[#This Row],[Pcode]],CampList[CP_Pcode],0)-1,0,1,1))</f>
        <v/>
      </c>
      <c r="AS1101" s="377" t="str">
        <f>IFERROR(Table_NFI[[#This Row],[Kitchen Set]]/VLOOKUP(Table_NFI[[#This Row],[Camp Name]],CL,4,0),"")</f>
        <v/>
      </c>
      <c r="AT1101" s="577"/>
      <c r="AU1101" s="580"/>
    </row>
    <row r="1102" spans="1:47" x14ac:dyDescent="0.25">
      <c r="A1102" s="381" t="str">
        <f t="shared" si="17"/>
        <v/>
      </c>
      <c r="B1102" s="571"/>
      <c r="C1102" s="577"/>
      <c r="D1102" s="577"/>
      <c r="E1102" s="577"/>
      <c r="F1102" s="577"/>
      <c r="G1102" s="577"/>
      <c r="H1102" s="376"/>
      <c r="I1102" s="376"/>
      <c r="J1102" s="376"/>
      <c r="K1102" s="376"/>
      <c r="L1102" s="376"/>
      <c r="M1102" s="376"/>
      <c r="N1102" s="376"/>
      <c r="O1102" s="376"/>
      <c r="P1102" s="378"/>
      <c r="Q1102" s="378"/>
      <c r="R1102" s="378"/>
      <c r="S1102" s="378"/>
      <c r="T1102" s="378"/>
      <c r="U1102" s="378"/>
      <c r="V1102" s="533"/>
      <c r="W1102" s="602"/>
      <c r="X1102" s="602"/>
      <c r="Y1102" s="378">
        <f>IF(NFI_Expiration=1,IF($A1102&lt;VLOOKUP(H$5,NFI,5,0),1,0)*Table_NFI[[#This Row],[Hygiene Kit]],Table_NFI[Hygiene Kit])</f>
        <v>0</v>
      </c>
      <c r="Z1102" s="378">
        <f>IF(NFI_Expiration=1,IF($A1102&lt;VLOOKUP(I$5,NFI,5,0),1,0)*Table_NFI[[#This Row],[NFI Core Kit]],Table_NFI[NFI Core Kit])</f>
        <v>0</v>
      </c>
      <c r="AA1102" s="378">
        <f>IF(NFI_Expiration=1,IF($A1102&lt;VLOOKUP(J$5,NFI,5,0),1,0)*Table_NFI[[#This Row],[Sanitary Kit]],Table_NFI[Sanitary Kit])</f>
        <v>0</v>
      </c>
      <c r="AB1102" s="378">
        <f>IF(NFI_Expiration=1,IF($A1102&lt;VLOOKUP(K$5,NFI,5,0),1,0)*Table_NFI[[#This Row],[Mosquito net]],Table_NFI[Mosquito net])</f>
        <v>0</v>
      </c>
      <c r="AC1102" s="378">
        <f>IF(NFI_Expiration=1,IF($A1102&lt;VLOOKUP(L$5,NFI,5,0),1,0)*Table_NFI[[#This Row],[Tarpaulin]],Table_NFI[[#This Row],[Tarpaulin]])</f>
        <v>0</v>
      </c>
      <c r="AD1102" s="378">
        <f>IF(NFI_Expiration=1,IF($A1102&lt;VLOOKUP(M$5,NFI,5,0),1,0)*Table_NFI[[#This Row],[Blanket]],Table_NFI[[#This Row],[Blanket]])</f>
        <v>0</v>
      </c>
      <c r="AE1102" s="378">
        <f>IF(NFI_Expiration=1,IF($A1102&lt;VLOOKUP(N$5,NFI,5,0),1,0)*Table_NFI[[#This Row],[Kitchen Set]],Table_NFI[Kitchen Set])</f>
        <v>0</v>
      </c>
      <c r="AF1102" s="378">
        <f>IF(NFI_Expiration=1,IF($A1102&lt;VLOOKUP(O$5,NFI,5,0),1,0)*Table_NFI[[#This Row],[Clothes Kit]],Table_NFI[Clothes Kit])</f>
        <v>0</v>
      </c>
      <c r="AG1102" s="378">
        <f>IF(NFI_Expiration=1,IF($A1102&lt;VLOOKUP(P$5,NFI,5,0),1,0)*Table_NFI[[#This Row],[Plastic Bucket]],Table_NFI[Plastic Bucket])</f>
        <v>0</v>
      </c>
      <c r="AH1102" s="378">
        <f>IF(NFI_Expiration=1,IF($A1102&lt;VLOOKUP(Q$5,NFI,5,0),1,0)*Table_NFI[[#This Row],[Plastic Mat]],Table_NFI[Plastic Mat])*IF(Table_NFI[[#This Row],[Distribution Date]]&gt;"2014-04-01",1,2.5)</f>
        <v>0</v>
      </c>
      <c r="AI1102" s="378">
        <f>IF(NFI_Expiration=1,IF($A1102&lt;VLOOKUP(R$5,NFI,5,0),1,0)*Table_NFI[[#This Row],[Winter Clothes Adult]],Table_NFI[Winter Clothes Adult])</f>
        <v>0</v>
      </c>
      <c r="AJ1102" s="378">
        <f>IF(NFI_Expiration=1,IF($A1102&lt;VLOOKUP(S$5,NFI,5,0),1,0)*Table_NFI[[#This Row],[Winter Clothes Children]],Table_NFI[Winter Clothes Children])</f>
        <v>0</v>
      </c>
      <c r="AK1102" s="378">
        <f>IF(NFI_Expiration=1,IF($A1102&lt;VLOOKUP(T$5,NFI,5,0),1,0)*Table_NFI[[#This Row],[Winter Items Other]],Table_NFI[Winter Items Other])</f>
        <v>0</v>
      </c>
      <c r="AL1102" s="378">
        <f>IF(NFI_Expiration=1,IF($A1102&lt;VLOOKUP(M$5,NFI,5,0),1,0)*Table_NFI[[#This Row],[Winter Blanket]],Table_NFI[[#This Row],[Winter Blanket]])</f>
        <v>0</v>
      </c>
      <c r="AM1102" s="378">
        <f>IF(Table_NFI[[#This Row],[Winter Clothes Adult]]+Table_NFI[[#This Row],[Winter Clothes Children]]+Table_NFI[[#This Row],[Winter Items Other]]+Table_NFI[[#This Row],[Winter Blanket]]&gt;0,1,0)</f>
        <v>0</v>
      </c>
      <c r="AN1102" s="418">
        <f>IF(NFI_Expiration=1,IF($A1102&lt;VLOOKUP(V$5,NFI,5,0),1,0)*Table_NFI[[#This Row],[Jerry Can]],Table_NFI[Jerry Can])</f>
        <v>0</v>
      </c>
      <c r="AO1102" s="579" t="str">
        <f>IFERROR(VLOOKUP(Table_NFI[[#This Row],[Camp Name]],CL,2,0),"")</f>
        <v/>
      </c>
      <c r="AP1102" s="574" t="str">
        <f ca="1">IF(Table_NFI[[#This Row],[Pcode]]="","",IF(OFFSET(CampList[Opening Date],MATCH(Table_NFI[[#This Row],[Pcode]],CampList[CP_Pcode],0)-1,0,1,1)&gt;=NFI_Monitor_Date,1,0))</f>
        <v/>
      </c>
      <c r="AQ1102" s="579" t="str">
        <f>IFERROR(VLOOKUP(Table_NFI[[#This Row],[Camp Name]],CL,3,0),"")</f>
        <v/>
      </c>
      <c r="AR1102" s="378" t="str">
        <f ca="1">IF(Table_NFI[[#This Row],[Pcode]]="","",OFFSET(CampList[Priority],MATCH(Table_NFI[[#This Row],[Pcode]],CampList[CP_Pcode],0)-1,0,1,1))</f>
        <v/>
      </c>
      <c r="AS1102" s="377" t="str">
        <f>IFERROR(Table_NFI[[#This Row],[Kitchen Set]]/VLOOKUP(Table_NFI[[#This Row],[Camp Name]],CL,4,0),"")</f>
        <v/>
      </c>
      <c r="AT1102" s="577"/>
      <c r="AU1102" s="580"/>
    </row>
    <row r="1103" spans="1:47" x14ac:dyDescent="0.25">
      <c r="A1103" s="381" t="str">
        <f t="shared" si="17"/>
        <v/>
      </c>
      <c r="B1103" s="571"/>
      <c r="C1103" s="577"/>
      <c r="D1103" s="577"/>
      <c r="E1103" s="577"/>
      <c r="F1103" s="577"/>
      <c r="G1103" s="577"/>
      <c r="H1103" s="376"/>
      <c r="I1103" s="376"/>
      <c r="J1103" s="376"/>
      <c r="K1103" s="376"/>
      <c r="L1103" s="376"/>
      <c r="M1103" s="376"/>
      <c r="N1103" s="376"/>
      <c r="O1103" s="376"/>
      <c r="P1103" s="378"/>
      <c r="Q1103" s="378"/>
      <c r="R1103" s="378"/>
      <c r="S1103" s="378"/>
      <c r="T1103" s="378"/>
      <c r="U1103" s="378"/>
      <c r="V1103" s="533"/>
      <c r="W1103" s="602"/>
      <c r="X1103" s="602"/>
      <c r="Y1103" s="378">
        <f>IF(NFI_Expiration=1,IF($A1103&lt;VLOOKUP(H$5,NFI,5,0),1,0)*Table_NFI[[#This Row],[Hygiene Kit]],Table_NFI[Hygiene Kit])</f>
        <v>0</v>
      </c>
      <c r="Z1103" s="378">
        <f>IF(NFI_Expiration=1,IF($A1103&lt;VLOOKUP(I$5,NFI,5,0),1,0)*Table_NFI[[#This Row],[NFI Core Kit]],Table_NFI[NFI Core Kit])</f>
        <v>0</v>
      </c>
      <c r="AA1103" s="378">
        <f>IF(NFI_Expiration=1,IF($A1103&lt;VLOOKUP(J$5,NFI,5,0),1,0)*Table_NFI[[#This Row],[Sanitary Kit]],Table_NFI[Sanitary Kit])</f>
        <v>0</v>
      </c>
      <c r="AB1103" s="378">
        <f>IF(NFI_Expiration=1,IF($A1103&lt;VLOOKUP(K$5,NFI,5,0),1,0)*Table_NFI[[#This Row],[Mosquito net]],Table_NFI[Mosquito net])</f>
        <v>0</v>
      </c>
      <c r="AC1103" s="378">
        <f>IF(NFI_Expiration=1,IF($A1103&lt;VLOOKUP(L$5,NFI,5,0),1,0)*Table_NFI[[#This Row],[Tarpaulin]],Table_NFI[[#This Row],[Tarpaulin]])</f>
        <v>0</v>
      </c>
      <c r="AD1103" s="378">
        <f>IF(NFI_Expiration=1,IF($A1103&lt;VLOOKUP(M$5,NFI,5,0),1,0)*Table_NFI[[#This Row],[Blanket]],Table_NFI[[#This Row],[Blanket]])</f>
        <v>0</v>
      </c>
      <c r="AE1103" s="378">
        <f>IF(NFI_Expiration=1,IF($A1103&lt;VLOOKUP(N$5,NFI,5,0),1,0)*Table_NFI[[#This Row],[Kitchen Set]],Table_NFI[Kitchen Set])</f>
        <v>0</v>
      </c>
      <c r="AF1103" s="378">
        <f>IF(NFI_Expiration=1,IF($A1103&lt;VLOOKUP(O$5,NFI,5,0),1,0)*Table_NFI[[#This Row],[Clothes Kit]],Table_NFI[Clothes Kit])</f>
        <v>0</v>
      </c>
      <c r="AG1103" s="378">
        <f>IF(NFI_Expiration=1,IF($A1103&lt;VLOOKUP(P$5,NFI,5,0),1,0)*Table_NFI[[#This Row],[Plastic Bucket]],Table_NFI[Plastic Bucket])</f>
        <v>0</v>
      </c>
      <c r="AH1103" s="378">
        <f>IF(NFI_Expiration=1,IF($A1103&lt;VLOOKUP(Q$5,NFI,5,0),1,0)*Table_NFI[[#This Row],[Plastic Mat]],Table_NFI[Plastic Mat])*IF(Table_NFI[[#This Row],[Distribution Date]]&gt;"2014-04-01",1,2.5)</f>
        <v>0</v>
      </c>
      <c r="AI1103" s="378">
        <f>IF(NFI_Expiration=1,IF($A1103&lt;VLOOKUP(R$5,NFI,5,0),1,0)*Table_NFI[[#This Row],[Winter Clothes Adult]],Table_NFI[Winter Clothes Adult])</f>
        <v>0</v>
      </c>
      <c r="AJ1103" s="378">
        <f>IF(NFI_Expiration=1,IF($A1103&lt;VLOOKUP(S$5,NFI,5,0),1,0)*Table_NFI[[#This Row],[Winter Clothes Children]],Table_NFI[Winter Clothes Children])</f>
        <v>0</v>
      </c>
      <c r="AK1103" s="378">
        <f>IF(NFI_Expiration=1,IF($A1103&lt;VLOOKUP(T$5,NFI,5,0),1,0)*Table_NFI[[#This Row],[Winter Items Other]],Table_NFI[Winter Items Other])</f>
        <v>0</v>
      </c>
      <c r="AL1103" s="378">
        <f>IF(NFI_Expiration=1,IF($A1103&lt;VLOOKUP(M$5,NFI,5,0),1,0)*Table_NFI[[#This Row],[Winter Blanket]],Table_NFI[[#This Row],[Winter Blanket]])</f>
        <v>0</v>
      </c>
      <c r="AM1103" s="378">
        <f>IF(Table_NFI[[#This Row],[Winter Clothes Adult]]+Table_NFI[[#This Row],[Winter Clothes Children]]+Table_NFI[[#This Row],[Winter Items Other]]+Table_NFI[[#This Row],[Winter Blanket]]&gt;0,1,0)</f>
        <v>0</v>
      </c>
      <c r="AN1103" s="418">
        <f>IF(NFI_Expiration=1,IF($A1103&lt;VLOOKUP(V$5,NFI,5,0),1,0)*Table_NFI[[#This Row],[Jerry Can]],Table_NFI[Jerry Can])</f>
        <v>0</v>
      </c>
      <c r="AO1103" s="579" t="str">
        <f>IFERROR(VLOOKUP(Table_NFI[[#This Row],[Camp Name]],CL,2,0),"")</f>
        <v/>
      </c>
      <c r="AP1103" s="574" t="str">
        <f ca="1">IF(Table_NFI[[#This Row],[Pcode]]="","",IF(OFFSET(CampList[Opening Date],MATCH(Table_NFI[[#This Row],[Pcode]],CampList[CP_Pcode],0)-1,0,1,1)&gt;=NFI_Monitor_Date,1,0))</f>
        <v/>
      </c>
      <c r="AQ1103" s="579" t="str">
        <f>IFERROR(VLOOKUP(Table_NFI[[#This Row],[Camp Name]],CL,3,0),"")</f>
        <v/>
      </c>
      <c r="AR1103" s="378" t="str">
        <f ca="1">IF(Table_NFI[[#This Row],[Pcode]]="","",OFFSET(CampList[Priority],MATCH(Table_NFI[[#This Row],[Pcode]],CampList[CP_Pcode],0)-1,0,1,1))</f>
        <v/>
      </c>
      <c r="AS1103" s="377" t="str">
        <f>IFERROR(Table_NFI[[#This Row],[Kitchen Set]]/VLOOKUP(Table_NFI[[#This Row],[Camp Name]],CL,4,0),"")</f>
        <v/>
      </c>
      <c r="AT1103" s="577"/>
      <c r="AU1103" s="580"/>
    </row>
    <row r="1104" spans="1:47" x14ac:dyDescent="0.25">
      <c r="A1104" s="381" t="str">
        <f t="shared" si="17"/>
        <v/>
      </c>
      <c r="B1104" s="571"/>
      <c r="C1104" s="577"/>
      <c r="D1104" s="577"/>
      <c r="E1104" s="577"/>
      <c r="F1104" s="577"/>
      <c r="G1104" s="577"/>
      <c r="H1104" s="376"/>
      <c r="I1104" s="376"/>
      <c r="J1104" s="376"/>
      <c r="K1104" s="376"/>
      <c r="L1104" s="376"/>
      <c r="M1104" s="376"/>
      <c r="N1104" s="376"/>
      <c r="O1104" s="376"/>
      <c r="P1104" s="378"/>
      <c r="Q1104" s="378"/>
      <c r="R1104" s="378"/>
      <c r="S1104" s="378"/>
      <c r="T1104" s="378"/>
      <c r="U1104" s="378"/>
      <c r="V1104" s="533"/>
      <c r="W1104" s="602"/>
      <c r="X1104" s="602"/>
      <c r="Y1104" s="378">
        <f>IF(NFI_Expiration=1,IF($A1104&lt;VLOOKUP(H$5,NFI,5,0),1,0)*Table_NFI[[#This Row],[Hygiene Kit]],Table_NFI[Hygiene Kit])</f>
        <v>0</v>
      </c>
      <c r="Z1104" s="378">
        <f>IF(NFI_Expiration=1,IF($A1104&lt;VLOOKUP(I$5,NFI,5,0),1,0)*Table_NFI[[#This Row],[NFI Core Kit]],Table_NFI[NFI Core Kit])</f>
        <v>0</v>
      </c>
      <c r="AA1104" s="378">
        <f>IF(NFI_Expiration=1,IF($A1104&lt;VLOOKUP(J$5,NFI,5,0),1,0)*Table_NFI[[#This Row],[Sanitary Kit]],Table_NFI[Sanitary Kit])</f>
        <v>0</v>
      </c>
      <c r="AB1104" s="378">
        <f>IF(NFI_Expiration=1,IF($A1104&lt;VLOOKUP(K$5,NFI,5,0),1,0)*Table_NFI[[#This Row],[Mosquito net]],Table_NFI[Mosquito net])</f>
        <v>0</v>
      </c>
      <c r="AC1104" s="378">
        <f>IF(NFI_Expiration=1,IF($A1104&lt;VLOOKUP(L$5,NFI,5,0),1,0)*Table_NFI[[#This Row],[Tarpaulin]],Table_NFI[[#This Row],[Tarpaulin]])</f>
        <v>0</v>
      </c>
      <c r="AD1104" s="378">
        <f>IF(NFI_Expiration=1,IF($A1104&lt;VLOOKUP(M$5,NFI,5,0),1,0)*Table_NFI[[#This Row],[Blanket]],Table_NFI[[#This Row],[Blanket]])</f>
        <v>0</v>
      </c>
      <c r="AE1104" s="378">
        <f>IF(NFI_Expiration=1,IF($A1104&lt;VLOOKUP(N$5,NFI,5,0),1,0)*Table_NFI[[#This Row],[Kitchen Set]],Table_NFI[Kitchen Set])</f>
        <v>0</v>
      </c>
      <c r="AF1104" s="378">
        <f>IF(NFI_Expiration=1,IF($A1104&lt;VLOOKUP(O$5,NFI,5,0),1,0)*Table_NFI[[#This Row],[Clothes Kit]],Table_NFI[Clothes Kit])</f>
        <v>0</v>
      </c>
      <c r="AG1104" s="378">
        <f>IF(NFI_Expiration=1,IF($A1104&lt;VLOOKUP(P$5,NFI,5,0),1,0)*Table_NFI[[#This Row],[Plastic Bucket]],Table_NFI[Plastic Bucket])</f>
        <v>0</v>
      </c>
      <c r="AH1104" s="378">
        <f>IF(NFI_Expiration=1,IF($A1104&lt;VLOOKUP(Q$5,NFI,5,0),1,0)*Table_NFI[[#This Row],[Plastic Mat]],Table_NFI[Plastic Mat])*IF(Table_NFI[[#This Row],[Distribution Date]]&gt;"2014-04-01",1,2.5)</f>
        <v>0</v>
      </c>
      <c r="AI1104" s="378">
        <f>IF(NFI_Expiration=1,IF($A1104&lt;VLOOKUP(R$5,NFI,5,0),1,0)*Table_NFI[[#This Row],[Winter Clothes Adult]],Table_NFI[Winter Clothes Adult])</f>
        <v>0</v>
      </c>
      <c r="AJ1104" s="378">
        <f>IF(NFI_Expiration=1,IF($A1104&lt;VLOOKUP(S$5,NFI,5,0),1,0)*Table_NFI[[#This Row],[Winter Clothes Children]],Table_NFI[Winter Clothes Children])</f>
        <v>0</v>
      </c>
      <c r="AK1104" s="378">
        <f>IF(NFI_Expiration=1,IF($A1104&lt;VLOOKUP(T$5,NFI,5,0),1,0)*Table_NFI[[#This Row],[Winter Items Other]],Table_NFI[Winter Items Other])</f>
        <v>0</v>
      </c>
      <c r="AL1104" s="378">
        <f>IF(NFI_Expiration=1,IF($A1104&lt;VLOOKUP(M$5,NFI,5,0),1,0)*Table_NFI[[#This Row],[Winter Blanket]],Table_NFI[[#This Row],[Winter Blanket]])</f>
        <v>0</v>
      </c>
      <c r="AM1104" s="378">
        <f>IF(Table_NFI[[#This Row],[Winter Clothes Adult]]+Table_NFI[[#This Row],[Winter Clothes Children]]+Table_NFI[[#This Row],[Winter Items Other]]+Table_NFI[[#This Row],[Winter Blanket]]&gt;0,1,0)</f>
        <v>0</v>
      </c>
      <c r="AN1104" s="418">
        <f>IF(NFI_Expiration=1,IF($A1104&lt;VLOOKUP(V$5,NFI,5,0),1,0)*Table_NFI[[#This Row],[Jerry Can]],Table_NFI[Jerry Can])</f>
        <v>0</v>
      </c>
      <c r="AO1104" s="579" t="str">
        <f>IFERROR(VLOOKUP(Table_NFI[[#This Row],[Camp Name]],CL,2,0),"")</f>
        <v/>
      </c>
      <c r="AP1104" s="574" t="str">
        <f ca="1">IF(Table_NFI[[#This Row],[Pcode]]="","",IF(OFFSET(CampList[Opening Date],MATCH(Table_NFI[[#This Row],[Pcode]],CampList[CP_Pcode],0)-1,0,1,1)&gt;=NFI_Monitor_Date,1,0))</f>
        <v/>
      </c>
      <c r="AQ1104" s="579" t="str">
        <f>IFERROR(VLOOKUP(Table_NFI[[#This Row],[Camp Name]],CL,3,0),"")</f>
        <v/>
      </c>
      <c r="AR1104" s="378" t="str">
        <f ca="1">IF(Table_NFI[[#This Row],[Pcode]]="","",OFFSET(CampList[Priority],MATCH(Table_NFI[[#This Row],[Pcode]],CampList[CP_Pcode],0)-1,0,1,1))</f>
        <v/>
      </c>
      <c r="AS1104" s="377" t="str">
        <f>IFERROR(Table_NFI[[#This Row],[Kitchen Set]]/VLOOKUP(Table_NFI[[#This Row],[Camp Name]],CL,4,0),"")</f>
        <v/>
      </c>
      <c r="AT1104" s="577"/>
      <c r="AU1104" s="580"/>
    </row>
    <row r="1105" spans="1:47" x14ac:dyDescent="0.25">
      <c r="A1105" s="381" t="str">
        <f t="shared" si="17"/>
        <v/>
      </c>
      <c r="B1105" s="571"/>
      <c r="C1105" s="577"/>
      <c r="D1105" s="577"/>
      <c r="E1105" s="577"/>
      <c r="F1105" s="577"/>
      <c r="G1105" s="577"/>
      <c r="H1105" s="376"/>
      <c r="I1105" s="376"/>
      <c r="J1105" s="376"/>
      <c r="K1105" s="376"/>
      <c r="L1105" s="376"/>
      <c r="M1105" s="376"/>
      <c r="N1105" s="376"/>
      <c r="O1105" s="376"/>
      <c r="P1105" s="378"/>
      <c r="Q1105" s="378"/>
      <c r="R1105" s="378"/>
      <c r="S1105" s="378"/>
      <c r="T1105" s="378"/>
      <c r="U1105" s="378"/>
      <c r="V1105" s="533"/>
      <c r="W1105" s="602"/>
      <c r="X1105" s="602"/>
      <c r="Y1105" s="378">
        <f>IF(NFI_Expiration=1,IF($A1105&lt;VLOOKUP(H$5,NFI,5,0),1,0)*Table_NFI[[#This Row],[Hygiene Kit]],Table_NFI[Hygiene Kit])</f>
        <v>0</v>
      </c>
      <c r="Z1105" s="378">
        <f>IF(NFI_Expiration=1,IF($A1105&lt;VLOOKUP(I$5,NFI,5,0),1,0)*Table_NFI[[#This Row],[NFI Core Kit]],Table_NFI[NFI Core Kit])</f>
        <v>0</v>
      </c>
      <c r="AA1105" s="378">
        <f>IF(NFI_Expiration=1,IF($A1105&lt;VLOOKUP(J$5,NFI,5,0),1,0)*Table_NFI[[#This Row],[Sanitary Kit]],Table_NFI[Sanitary Kit])</f>
        <v>0</v>
      </c>
      <c r="AB1105" s="378">
        <f>IF(NFI_Expiration=1,IF($A1105&lt;VLOOKUP(K$5,NFI,5,0),1,0)*Table_NFI[[#This Row],[Mosquito net]],Table_NFI[Mosquito net])</f>
        <v>0</v>
      </c>
      <c r="AC1105" s="378">
        <f>IF(NFI_Expiration=1,IF($A1105&lt;VLOOKUP(L$5,NFI,5,0),1,0)*Table_NFI[[#This Row],[Tarpaulin]],Table_NFI[[#This Row],[Tarpaulin]])</f>
        <v>0</v>
      </c>
      <c r="AD1105" s="378">
        <f>IF(NFI_Expiration=1,IF($A1105&lt;VLOOKUP(M$5,NFI,5,0),1,0)*Table_NFI[[#This Row],[Blanket]],Table_NFI[[#This Row],[Blanket]])</f>
        <v>0</v>
      </c>
      <c r="AE1105" s="378">
        <f>IF(NFI_Expiration=1,IF($A1105&lt;VLOOKUP(N$5,NFI,5,0),1,0)*Table_NFI[[#This Row],[Kitchen Set]],Table_NFI[Kitchen Set])</f>
        <v>0</v>
      </c>
      <c r="AF1105" s="378">
        <f>IF(NFI_Expiration=1,IF($A1105&lt;VLOOKUP(O$5,NFI,5,0),1,0)*Table_NFI[[#This Row],[Clothes Kit]],Table_NFI[Clothes Kit])</f>
        <v>0</v>
      </c>
      <c r="AG1105" s="378">
        <f>IF(NFI_Expiration=1,IF($A1105&lt;VLOOKUP(P$5,NFI,5,0),1,0)*Table_NFI[[#This Row],[Plastic Bucket]],Table_NFI[Plastic Bucket])</f>
        <v>0</v>
      </c>
      <c r="AH1105" s="378">
        <f>IF(NFI_Expiration=1,IF($A1105&lt;VLOOKUP(Q$5,NFI,5,0),1,0)*Table_NFI[[#This Row],[Plastic Mat]],Table_NFI[Plastic Mat])*IF(Table_NFI[[#This Row],[Distribution Date]]&gt;"2014-04-01",1,2.5)</f>
        <v>0</v>
      </c>
      <c r="AI1105" s="378">
        <f>IF(NFI_Expiration=1,IF($A1105&lt;VLOOKUP(R$5,NFI,5,0),1,0)*Table_NFI[[#This Row],[Winter Clothes Adult]],Table_NFI[Winter Clothes Adult])</f>
        <v>0</v>
      </c>
      <c r="AJ1105" s="378">
        <f>IF(NFI_Expiration=1,IF($A1105&lt;VLOOKUP(S$5,NFI,5,0),1,0)*Table_NFI[[#This Row],[Winter Clothes Children]],Table_NFI[Winter Clothes Children])</f>
        <v>0</v>
      </c>
      <c r="AK1105" s="378">
        <f>IF(NFI_Expiration=1,IF($A1105&lt;VLOOKUP(T$5,NFI,5,0),1,0)*Table_NFI[[#This Row],[Winter Items Other]],Table_NFI[Winter Items Other])</f>
        <v>0</v>
      </c>
      <c r="AL1105" s="378">
        <f>IF(NFI_Expiration=1,IF($A1105&lt;VLOOKUP(M$5,NFI,5,0),1,0)*Table_NFI[[#This Row],[Winter Blanket]],Table_NFI[[#This Row],[Winter Blanket]])</f>
        <v>0</v>
      </c>
      <c r="AM1105" s="378">
        <f>IF(Table_NFI[[#This Row],[Winter Clothes Adult]]+Table_NFI[[#This Row],[Winter Clothes Children]]+Table_NFI[[#This Row],[Winter Items Other]]+Table_NFI[[#This Row],[Winter Blanket]]&gt;0,1,0)</f>
        <v>0</v>
      </c>
      <c r="AN1105" s="418">
        <f>IF(NFI_Expiration=1,IF($A1105&lt;VLOOKUP(V$5,NFI,5,0),1,0)*Table_NFI[[#This Row],[Jerry Can]],Table_NFI[Jerry Can])</f>
        <v>0</v>
      </c>
      <c r="AO1105" s="579" t="str">
        <f>IFERROR(VLOOKUP(Table_NFI[[#This Row],[Camp Name]],CL,2,0),"")</f>
        <v/>
      </c>
      <c r="AP1105" s="574" t="str">
        <f ca="1">IF(Table_NFI[[#This Row],[Pcode]]="","",IF(OFFSET(CampList[Opening Date],MATCH(Table_NFI[[#This Row],[Pcode]],CampList[CP_Pcode],0)-1,0,1,1)&gt;=NFI_Monitor_Date,1,0))</f>
        <v/>
      </c>
      <c r="AQ1105" s="579" t="str">
        <f>IFERROR(VLOOKUP(Table_NFI[[#This Row],[Camp Name]],CL,3,0),"")</f>
        <v/>
      </c>
      <c r="AR1105" s="378" t="str">
        <f ca="1">IF(Table_NFI[[#This Row],[Pcode]]="","",OFFSET(CampList[Priority],MATCH(Table_NFI[[#This Row],[Pcode]],CampList[CP_Pcode],0)-1,0,1,1))</f>
        <v/>
      </c>
      <c r="AS1105" s="377" t="str">
        <f>IFERROR(Table_NFI[[#This Row],[Kitchen Set]]/VLOOKUP(Table_NFI[[#This Row],[Camp Name]],CL,4,0),"")</f>
        <v/>
      </c>
      <c r="AT1105" s="577"/>
      <c r="AU1105" s="580"/>
    </row>
    <row r="1106" spans="1:47" x14ac:dyDescent="0.25">
      <c r="A1106" s="381" t="str">
        <f t="shared" si="17"/>
        <v/>
      </c>
      <c r="B1106" s="571"/>
      <c r="C1106" s="577"/>
      <c r="D1106" s="577"/>
      <c r="E1106" s="577"/>
      <c r="F1106" s="577"/>
      <c r="G1106" s="577"/>
      <c r="H1106" s="376"/>
      <c r="I1106" s="376"/>
      <c r="J1106" s="376"/>
      <c r="K1106" s="376"/>
      <c r="L1106" s="376"/>
      <c r="M1106" s="376"/>
      <c r="N1106" s="376"/>
      <c r="O1106" s="376"/>
      <c r="P1106" s="378"/>
      <c r="Q1106" s="378"/>
      <c r="R1106" s="378"/>
      <c r="S1106" s="378"/>
      <c r="T1106" s="378"/>
      <c r="U1106" s="378"/>
      <c r="V1106" s="533"/>
      <c r="W1106" s="602"/>
      <c r="X1106" s="602"/>
      <c r="Y1106" s="378">
        <f>IF(NFI_Expiration=1,IF($A1106&lt;VLOOKUP(H$5,NFI,5,0),1,0)*Table_NFI[[#This Row],[Hygiene Kit]],Table_NFI[Hygiene Kit])</f>
        <v>0</v>
      </c>
      <c r="Z1106" s="378">
        <f>IF(NFI_Expiration=1,IF($A1106&lt;VLOOKUP(I$5,NFI,5,0),1,0)*Table_NFI[[#This Row],[NFI Core Kit]],Table_NFI[NFI Core Kit])</f>
        <v>0</v>
      </c>
      <c r="AA1106" s="378">
        <f>IF(NFI_Expiration=1,IF($A1106&lt;VLOOKUP(J$5,NFI,5,0),1,0)*Table_NFI[[#This Row],[Sanitary Kit]],Table_NFI[Sanitary Kit])</f>
        <v>0</v>
      </c>
      <c r="AB1106" s="378">
        <f>IF(NFI_Expiration=1,IF($A1106&lt;VLOOKUP(K$5,NFI,5,0),1,0)*Table_NFI[[#This Row],[Mosquito net]],Table_NFI[Mosquito net])</f>
        <v>0</v>
      </c>
      <c r="AC1106" s="378">
        <f>IF(NFI_Expiration=1,IF($A1106&lt;VLOOKUP(L$5,NFI,5,0),1,0)*Table_NFI[[#This Row],[Tarpaulin]],Table_NFI[[#This Row],[Tarpaulin]])</f>
        <v>0</v>
      </c>
      <c r="AD1106" s="378">
        <f>IF(NFI_Expiration=1,IF($A1106&lt;VLOOKUP(M$5,NFI,5,0),1,0)*Table_NFI[[#This Row],[Blanket]],Table_NFI[[#This Row],[Blanket]])</f>
        <v>0</v>
      </c>
      <c r="AE1106" s="378">
        <f>IF(NFI_Expiration=1,IF($A1106&lt;VLOOKUP(N$5,NFI,5,0),1,0)*Table_NFI[[#This Row],[Kitchen Set]],Table_NFI[Kitchen Set])</f>
        <v>0</v>
      </c>
      <c r="AF1106" s="378">
        <f>IF(NFI_Expiration=1,IF($A1106&lt;VLOOKUP(O$5,NFI,5,0),1,0)*Table_NFI[[#This Row],[Clothes Kit]],Table_NFI[Clothes Kit])</f>
        <v>0</v>
      </c>
      <c r="AG1106" s="378">
        <f>IF(NFI_Expiration=1,IF($A1106&lt;VLOOKUP(P$5,NFI,5,0),1,0)*Table_NFI[[#This Row],[Plastic Bucket]],Table_NFI[Plastic Bucket])</f>
        <v>0</v>
      </c>
      <c r="AH1106" s="378">
        <f>IF(NFI_Expiration=1,IF($A1106&lt;VLOOKUP(Q$5,NFI,5,0),1,0)*Table_NFI[[#This Row],[Plastic Mat]],Table_NFI[Plastic Mat])*IF(Table_NFI[[#This Row],[Distribution Date]]&gt;"2014-04-01",1,2.5)</f>
        <v>0</v>
      </c>
      <c r="AI1106" s="378">
        <f>IF(NFI_Expiration=1,IF($A1106&lt;VLOOKUP(R$5,NFI,5,0),1,0)*Table_NFI[[#This Row],[Winter Clothes Adult]],Table_NFI[Winter Clothes Adult])</f>
        <v>0</v>
      </c>
      <c r="AJ1106" s="378">
        <f>IF(NFI_Expiration=1,IF($A1106&lt;VLOOKUP(S$5,NFI,5,0),1,0)*Table_NFI[[#This Row],[Winter Clothes Children]],Table_NFI[Winter Clothes Children])</f>
        <v>0</v>
      </c>
      <c r="AK1106" s="378">
        <f>IF(NFI_Expiration=1,IF($A1106&lt;VLOOKUP(T$5,NFI,5,0),1,0)*Table_NFI[[#This Row],[Winter Items Other]],Table_NFI[Winter Items Other])</f>
        <v>0</v>
      </c>
      <c r="AL1106" s="378">
        <f>IF(NFI_Expiration=1,IF($A1106&lt;VLOOKUP(M$5,NFI,5,0),1,0)*Table_NFI[[#This Row],[Winter Blanket]],Table_NFI[[#This Row],[Winter Blanket]])</f>
        <v>0</v>
      </c>
      <c r="AM1106" s="378">
        <f>IF(Table_NFI[[#This Row],[Winter Clothes Adult]]+Table_NFI[[#This Row],[Winter Clothes Children]]+Table_NFI[[#This Row],[Winter Items Other]]+Table_NFI[[#This Row],[Winter Blanket]]&gt;0,1,0)</f>
        <v>0</v>
      </c>
      <c r="AN1106" s="418">
        <f>IF(NFI_Expiration=1,IF($A1106&lt;VLOOKUP(V$5,NFI,5,0),1,0)*Table_NFI[[#This Row],[Jerry Can]],Table_NFI[Jerry Can])</f>
        <v>0</v>
      </c>
      <c r="AO1106" s="579" t="str">
        <f>IFERROR(VLOOKUP(Table_NFI[[#This Row],[Camp Name]],CL,2,0),"")</f>
        <v/>
      </c>
      <c r="AP1106" s="574" t="str">
        <f ca="1">IF(Table_NFI[[#This Row],[Pcode]]="","",IF(OFFSET(CampList[Opening Date],MATCH(Table_NFI[[#This Row],[Pcode]],CampList[CP_Pcode],0)-1,0,1,1)&gt;=NFI_Monitor_Date,1,0))</f>
        <v/>
      </c>
      <c r="AQ1106" s="579" t="str">
        <f>IFERROR(VLOOKUP(Table_NFI[[#This Row],[Camp Name]],CL,3,0),"")</f>
        <v/>
      </c>
      <c r="AR1106" s="378" t="str">
        <f ca="1">IF(Table_NFI[[#This Row],[Pcode]]="","",OFFSET(CampList[Priority],MATCH(Table_NFI[[#This Row],[Pcode]],CampList[CP_Pcode],0)-1,0,1,1))</f>
        <v/>
      </c>
      <c r="AS1106" s="377" t="str">
        <f>IFERROR(Table_NFI[[#This Row],[Kitchen Set]]/VLOOKUP(Table_NFI[[#This Row],[Camp Name]],CL,4,0),"")</f>
        <v/>
      </c>
      <c r="AT1106" s="577"/>
      <c r="AU1106" s="580"/>
    </row>
    <row r="1107" spans="1:47" x14ac:dyDescent="0.25">
      <c r="A1107" s="381" t="str">
        <f t="shared" si="17"/>
        <v/>
      </c>
      <c r="B1107" s="571"/>
      <c r="C1107" s="577"/>
      <c r="D1107" s="577"/>
      <c r="E1107" s="577"/>
      <c r="F1107" s="577"/>
      <c r="G1107" s="577"/>
      <c r="H1107" s="376"/>
      <c r="I1107" s="376"/>
      <c r="J1107" s="376"/>
      <c r="K1107" s="376"/>
      <c r="L1107" s="376"/>
      <c r="M1107" s="376"/>
      <c r="N1107" s="376"/>
      <c r="O1107" s="376"/>
      <c r="P1107" s="378"/>
      <c r="Q1107" s="378"/>
      <c r="R1107" s="378"/>
      <c r="S1107" s="378"/>
      <c r="T1107" s="378"/>
      <c r="U1107" s="378"/>
      <c r="V1107" s="533"/>
      <c r="W1107" s="602"/>
      <c r="X1107" s="602"/>
      <c r="Y1107" s="378">
        <f>IF(NFI_Expiration=1,IF($A1107&lt;VLOOKUP(H$5,NFI,5,0),1,0)*Table_NFI[[#This Row],[Hygiene Kit]],Table_NFI[Hygiene Kit])</f>
        <v>0</v>
      </c>
      <c r="Z1107" s="378">
        <f>IF(NFI_Expiration=1,IF($A1107&lt;VLOOKUP(I$5,NFI,5,0),1,0)*Table_NFI[[#This Row],[NFI Core Kit]],Table_NFI[NFI Core Kit])</f>
        <v>0</v>
      </c>
      <c r="AA1107" s="378">
        <f>IF(NFI_Expiration=1,IF($A1107&lt;VLOOKUP(J$5,NFI,5,0),1,0)*Table_NFI[[#This Row],[Sanitary Kit]],Table_NFI[Sanitary Kit])</f>
        <v>0</v>
      </c>
      <c r="AB1107" s="378">
        <f>IF(NFI_Expiration=1,IF($A1107&lt;VLOOKUP(K$5,NFI,5,0),1,0)*Table_NFI[[#This Row],[Mosquito net]],Table_NFI[Mosquito net])</f>
        <v>0</v>
      </c>
      <c r="AC1107" s="378">
        <f>IF(NFI_Expiration=1,IF($A1107&lt;VLOOKUP(L$5,NFI,5,0),1,0)*Table_NFI[[#This Row],[Tarpaulin]],Table_NFI[[#This Row],[Tarpaulin]])</f>
        <v>0</v>
      </c>
      <c r="AD1107" s="378">
        <f>IF(NFI_Expiration=1,IF($A1107&lt;VLOOKUP(M$5,NFI,5,0),1,0)*Table_NFI[[#This Row],[Blanket]],Table_NFI[[#This Row],[Blanket]])</f>
        <v>0</v>
      </c>
      <c r="AE1107" s="378">
        <f>IF(NFI_Expiration=1,IF($A1107&lt;VLOOKUP(N$5,NFI,5,0),1,0)*Table_NFI[[#This Row],[Kitchen Set]],Table_NFI[Kitchen Set])</f>
        <v>0</v>
      </c>
      <c r="AF1107" s="378">
        <f>IF(NFI_Expiration=1,IF($A1107&lt;VLOOKUP(O$5,NFI,5,0),1,0)*Table_NFI[[#This Row],[Clothes Kit]],Table_NFI[Clothes Kit])</f>
        <v>0</v>
      </c>
      <c r="AG1107" s="378">
        <f>IF(NFI_Expiration=1,IF($A1107&lt;VLOOKUP(P$5,NFI,5,0),1,0)*Table_NFI[[#This Row],[Plastic Bucket]],Table_NFI[Plastic Bucket])</f>
        <v>0</v>
      </c>
      <c r="AH1107" s="378">
        <f>IF(NFI_Expiration=1,IF($A1107&lt;VLOOKUP(Q$5,NFI,5,0),1,0)*Table_NFI[[#This Row],[Plastic Mat]],Table_NFI[Plastic Mat])*IF(Table_NFI[[#This Row],[Distribution Date]]&gt;"2014-04-01",1,2.5)</f>
        <v>0</v>
      </c>
      <c r="AI1107" s="378">
        <f>IF(NFI_Expiration=1,IF($A1107&lt;VLOOKUP(R$5,NFI,5,0),1,0)*Table_NFI[[#This Row],[Winter Clothes Adult]],Table_NFI[Winter Clothes Adult])</f>
        <v>0</v>
      </c>
      <c r="AJ1107" s="378">
        <f>IF(NFI_Expiration=1,IF($A1107&lt;VLOOKUP(S$5,NFI,5,0),1,0)*Table_NFI[[#This Row],[Winter Clothes Children]],Table_NFI[Winter Clothes Children])</f>
        <v>0</v>
      </c>
      <c r="AK1107" s="378">
        <f>IF(NFI_Expiration=1,IF($A1107&lt;VLOOKUP(T$5,NFI,5,0),1,0)*Table_NFI[[#This Row],[Winter Items Other]],Table_NFI[Winter Items Other])</f>
        <v>0</v>
      </c>
      <c r="AL1107" s="378">
        <f>IF(NFI_Expiration=1,IF($A1107&lt;VLOOKUP(M$5,NFI,5,0),1,0)*Table_NFI[[#This Row],[Winter Blanket]],Table_NFI[[#This Row],[Winter Blanket]])</f>
        <v>0</v>
      </c>
      <c r="AM1107" s="378">
        <f>IF(Table_NFI[[#This Row],[Winter Clothes Adult]]+Table_NFI[[#This Row],[Winter Clothes Children]]+Table_NFI[[#This Row],[Winter Items Other]]+Table_NFI[[#This Row],[Winter Blanket]]&gt;0,1,0)</f>
        <v>0</v>
      </c>
      <c r="AN1107" s="418">
        <f>IF(NFI_Expiration=1,IF($A1107&lt;VLOOKUP(V$5,NFI,5,0),1,0)*Table_NFI[[#This Row],[Jerry Can]],Table_NFI[Jerry Can])</f>
        <v>0</v>
      </c>
      <c r="AO1107" s="579" t="str">
        <f>IFERROR(VLOOKUP(Table_NFI[[#This Row],[Camp Name]],CL,2,0),"")</f>
        <v/>
      </c>
      <c r="AP1107" s="574" t="str">
        <f ca="1">IF(Table_NFI[[#This Row],[Pcode]]="","",IF(OFFSET(CampList[Opening Date],MATCH(Table_NFI[[#This Row],[Pcode]],CampList[CP_Pcode],0)-1,0,1,1)&gt;=NFI_Monitor_Date,1,0))</f>
        <v/>
      </c>
      <c r="AQ1107" s="579" t="str">
        <f>IFERROR(VLOOKUP(Table_NFI[[#This Row],[Camp Name]],CL,3,0),"")</f>
        <v/>
      </c>
      <c r="AR1107" s="378" t="str">
        <f ca="1">IF(Table_NFI[[#This Row],[Pcode]]="","",OFFSET(CampList[Priority],MATCH(Table_NFI[[#This Row],[Pcode]],CampList[CP_Pcode],0)-1,0,1,1))</f>
        <v/>
      </c>
      <c r="AS1107" s="377" t="str">
        <f>IFERROR(Table_NFI[[#This Row],[Kitchen Set]]/VLOOKUP(Table_NFI[[#This Row],[Camp Name]],CL,4,0),"")</f>
        <v/>
      </c>
      <c r="AT1107" s="577"/>
      <c r="AU1107" s="580"/>
    </row>
    <row r="1108" spans="1:47" x14ac:dyDescent="0.25">
      <c r="A1108" s="381" t="str">
        <f t="shared" si="17"/>
        <v/>
      </c>
      <c r="B1108" s="571"/>
      <c r="C1108" s="577"/>
      <c r="D1108" s="577"/>
      <c r="E1108" s="577"/>
      <c r="F1108" s="577"/>
      <c r="G1108" s="577"/>
      <c r="H1108" s="376"/>
      <c r="I1108" s="376"/>
      <c r="J1108" s="376"/>
      <c r="K1108" s="376"/>
      <c r="L1108" s="376"/>
      <c r="M1108" s="376"/>
      <c r="N1108" s="376"/>
      <c r="O1108" s="376"/>
      <c r="P1108" s="378"/>
      <c r="Q1108" s="378"/>
      <c r="R1108" s="378"/>
      <c r="S1108" s="378"/>
      <c r="T1108" s="378"/>
      <c r="U1108" s="378"/>
      <c r="V1108" s="533"/>
      <c r="W1108" s="602"/>
      <c r="X1108" s="602"/>
      <c r="Y1108" s="378">
        <f>IF(NFI_Expiration=1,IF($A1108&lt;VLOOKUP(H$5,NFI,5,0),1,0)*Table_NFI[[#This Row],[Hygiene Kit]],Table_NFI[Hygiene Kit])</f>
        <v>0</v>
      </c>
      <c r="Z1108" s="378">
        <f>IF(NFI_Expiration=1,IF($A1108&lt;VLOOKUP(I$5,NFI,5,0),1,0)*Table_NFI[[#This Row],[NFI Core Kit]],Table_NFI[NFI Core Kit])</f>
        <v>0</v>
      </c>
      <c r="AA1108" s="378">
        <f>IF(NFI_Expiration=1,IF($A1108&lt;VLOOKUP(J$5,NFI,5,0),1,0)*Table_NFI[[#This Row],[Sanitary Kit]],Table_NFI[Sanitary Kit])</f>
        <v>0</v>
      </c>
      <c r="AB1108" s="378">
        <f>IF(NFI_Expiration=1,IF($A1108&lt;VLOOKUP(K$5,NFI,5,0),1,0)*Table_NFI[[#This Row],[Mosquito net]],Table_NFI[Mosquito net])</f>
        <v>0</v>
      </c>
      <c r="AC1108" s="378">
        <f>IF(NFI_Expiration=1,IF($A1108&lt;VLOOKUP(L$5,NFI,5,0),1,0)*Table_NFI[[#This Row],[Tarpaulin]],Table_NFI[[#This Row],[Tarpaulin]])</f>
        <v>0</v>
      </c>
      <c r="AD1108" s="378">
        <f>IF(NFI_Expiration=1,IF($A1108&lt;VLOOKUP(M$5,NFI,5,0),1,0)*Table_NFI[[#This Row],[Blanket]],Table_NFI[[#This Row],[Blanket]])</f>
        <v>0</v>
      </c>
      <c r="AE1108" s="378">
        <f>IF(NFI_Expiration=1,IF($A1108&lt;VLOOKUP(N$5,NFI,5,0),1,0)*Table_NFI[[#This Row],[Kitchen Set]],Table_NFI[Kitchen Set])</f>
        <v>0</v>
      </c>
      <c r="AF1108" s="378">
        <f>IF(NFI_Expiration=1,IF($A1108&lt;VLOOKUP(O$5,NFI,5,0),1,0)*Table_NFI[[#This Row],[Clothes Kit]],Table_NFI[Clothes Kit])</f>
        <v>0</v>
      </c>
      <c r="AG1108" s="378">
        <f>IF(NFI_Expiration=1,IF($A1108&lt;VLOOKUP(P$5,NFI,5,0),1,0)*Table_NFI[[#This Row],[Plastic Bucket]],Table_NFI[Plastic Bucket])</f>
        <v>0</v>
      </c>
      <c r="AH1108" s="378">
        <f>IF(NFI_Expiration=1,IF($A1108&lt;VLOOKUP(Q$5,NFI,5,0),1,0)*Table_NFI[[#This Row],[Plastic Mat]],Table_NFI[Plastic Mat])*IF(Table_NFI[[#This Row],[Distribution Date]]&gt;"2014-04-01",1,2.5)</f>
        <v>0</v>
      </c>
      <c r="AI1108" s="378">
        <f>IF(NFI_Expiration=1,IF($A1108&lt;VLOOKUP(R$5,NFI,5,0),1,0)*Table_NFI[[#This Row],[Winter Clothes Adult]],Table_NFI[Winter Clothes Adult])</f>
        <v>0</v>
      </c>
      <c r="AJ1108" s="378">
        <f>IF(NFI_Expiration=1,IF($A1108&lt;VLOOKUP(S$5,NFI,5,0),1,0)*Table_NFI[[#This Row],[Winter Clothes Children]],Table_NFI[Winter Clothes Children])</f>
        <v>0</v>
      </c>
      <c r="AK1108" s="378">
        <f>IF(NFI_Expiration=1,IF($A1108&lt;VLOOKUP(T$5,NFI,5,0),1,0)*Table_NFI[[#This Row],[Winter Items Other]],Table_NFI[Winter Items Other])</f>
        <v>0</v>
      </c>
      <c r="AL1108" s="378">
        <f>IF(NFI_Expiration=1,IF($A1108&lt;VLOOKUP(M$5,NFI,5,0),1,0)*Table_NFI[[#This Row],[Winter Blanket]],Table_NFI[[#This Row],[Winter Blanket]])</f>
        <v>0</v>
      </c>
      <c r="AM1108" s="378">
        <f>IF(Table_NFI[[#This Row],[Winter Clothes Adult]]+Table_NFI[[#This Row],[Winter Clothes Children]]+Table_NFI[[#This Row],[Winter Items Other]]+Table_NFI[[#This Row],[Winter Blanket]]&gt;0,1,0)</f>
        <v>0</v>
      </c>
      <c r="AN1108" s="418">
        <f>IF(NFI_Expiration=1,IF($A1108&lt;VLOOKUP(V$5,NFI,5,0),1,0)*Table_NFI[[#This Row],[Jerry Can]],Table_NFI[Jerry Can])</f>
        <v>0</v>
      </c>
      <c r="AO1108" s="579" t="str">
        <f>IFERROR(VLOOKUP(Table_NFI[[#This Row],[Camp Name]],CL,2,0),"")</f>
        <v/>
      </c>
      <c r="AP1108" s="574" t="str">
        <f ca="1">IF(Table_NFI[[#This Row],[Pcode]]="","",IF(OFFSET(CampList[Opening Date],MATCH(Table_NFI[[#This Row],[Pcode]],CampList[CP_Pcode],0)-1,0,1,1)&gt;=NFI_Monitor_Date,1,0))</f>
        <v/>
      </c>
      <c r="AQ1108" s="579" t="str">
        <f>IFERROR(VLOOKUP(Table_NFI[[#This Row],[Camp Name]],CL,3,0),"")</f>
        <v/>
      </c>
      <c r="AR1108" s="378" t="str">
        <f ca="1">IF(Table_NFI[[#This Row],[Pcode]]="","",OFFSET(CampList[Priority],MATCH(Table_NFI[[#This Row],[Pcode]],CampList[CP_Pcode],0)-1,0,1,1))</f>
        <v/>
      </c>
      <c r="AS1108" s="377" t="str">
        <f>IFERROR(Table_NFI[[#This Row],[Kitchen Set]]/VLOOKUP(Table_NFI[[#This Row],[Camp Name]],CL,4,0),"")</f>
        <v/>
      </c>
      <c r="AT1108" s="577"/>
      <c r="AU1108" s="580"/>
    </row>
    <row r="1109" spans="1:47" x14ac:dyDescent="0.25">
      <c r="A1109" s="381" t="str">
        <f t="shared" si="17"/>
        <v/>
      </c>
      <c r="B1109" s="571"/>
      <c r="C1109" s="577"/>
      <c r="D1109" s="577"/>
      <c r="E1109" s="577"/>
      <c r="F1109" s="577"/>
      <c r="G1109" s="577"/>
      <c r="H1109" s="376"/>
      <c r="I1109" s="376"/>
      <c r="J1109" s="376"/>
      <c r="K1109" s="376"/>
      <c r="L1109" s="376"/>
      <c r="M1109" s="376"/>
      <c r="N1109" s="376"/>
      <c r="O1109" s="376"/>
      <c r="P1109" s="378"/>
      <c r="Q1109" s="378"/>
      <c r="R1109" s="378"/>
      <c r="S1109" s="378"/>
      <c r="T1109" s="378"/>
      <c r="U1109" s="378"/>
      <c r="V1109" s="533"/>
      <c r="W1109" s="602"/>
      <c r="X1109" s="602"/>
      <c r="Y1109" s="378">
        <f>IF(NFI_Expiration=1,IF($A1109&lt;VLOOKUP(H$5,NFI,5,0),1,0)*Table_NFI[[#This Row],[Hygiene Kit]],Table_NFI[Hygiene Kit])</f>
        <v>0</v>
      </c>
      <c r="Z1109" s="378">
        <f>IF(NFI_Expiration=1,IF($A1109&lt;VLOOKUP(I$5,NFI,5,0),1,0)*Table_NFI[[#This Row],[NFI Core Kit]],Table_NFI[NFI Core Kit])</f>
        <v>0</v>
      </c>
      <c r="AA1109" s="378">
        <f>IF(NFI_Expiration=1,IF($A1109&lt;VLOOKUP(J$5,NFI,5,0),1,0)*Table_NFI[[#This Row],[Sanitary Kit]],Table_NFI[Sanitary Kit])</f>
        <v>0</v>
      </c>
      <c r="AB1109" s="378">
        <f>IF(NFI_Expiration=1,IF($A1109&lt;VLOOKUP(K$5,NFI,5,0),1,0)*Table_NFI[[#This Row],[Mosquito net]],Table_NFI[Mosquito net])</f>
        <v>0</v>
      </c>
      <c r="AC1109" s="378">
        <f>IF(NFI_Expiration=1,IF($A1109&lt;VLOOKUP(L$5,NFI,5,0),1,0)*Table_NFI[[#This Row],[Tarpaulin]],Table_NFI[[#This Row],[Tarpaulin]])</f>
        <v>0</v>
      </c>
      <c r="AD1109" s="378">
        <f>IF(NFI_Expiration=1,IF($A1109&lt;VLOOKUP(M$5,NFI,5,0),1,0)*Table_NFI[[#This Row],[Blanket]],Table_NFI[[#This Row],[Blanket]])</f>
        <v>0</v>
      </c>
      <c r="AE1109" s="378">
        <f>IF(NFI_Expiration=1,IF($A1109&lt;VLOOKUP(N$5,NFI,5,0),1,0)*Table_NFI[[#This Row],[Kitchen Set]],Table_NFI[Kitchen Set])</f>
        <v>0</v>
      </c>
      <c r="AF1109" s="378">
        <f>IF(NFI_Expiration=1,IF($A1109&lt;VLOOKUP(O$5,NFI,5,0),1,0)*Table_NFI[[#This Row],[Clothes Kit]],Table_NFI[Clothes Kit])</f>
        <v>0</v>
      </c>
      <c r="AG1109" s="378">
        <f>IF(NFI_Expiration=1,IF($A1109&lt;VLOOKUP(P$5,NFI,5,0),1,0)*Table_NFI[[#This Row],[Plastic Bucket]],Table_NFI[Plastic Bucket])</f>
        <v>0</v>
      </c>
      <c r="AH1109" s="378">
        <f>IF(NFI_Expiration=1,IF($A1109&lt;VLOOKUP(Q$5,NFI,5,0),1,0)*Table_NFI[[#This Row],[Plastic Mat]],Table_NFI[Plastic Mat])*IF(Table_NFI[[#This Row],[Distribution Date]]&gt;"2014-04-01",1,2.5)</f>
        <v>0</v>
      </c>
      <c r="AI1109" s="378">
        <f>IF(NFI_Expiration=1,IF($A1109&lt;VLOOKUP(R$5,NFI,5,0),1,0)*Table_NFI[[#This Row],[Winter Clothes Adult]],Table_NFI[Winter Clothes Adult])</f>
        <v>0</v>
      </c>
      <c r="AJ1109" s="378">
        <f>IF(NFI_Expiration=1,IF($A1109&lt;VLOOKUP(S$5,NFI,5,0),1,0)*Table_NFI[[#This Row],[Winter Clothes Children]],Table_NFI[Winter Clothes Children])</f>
        <v>0</v>
      </c>
      <c r="AK1109" s="378">
        <f>IF(NFI_Expiration=1,IF($A1109&lt;VLOOKUP(T$5,NFI,5,0),1,0)*Table_NFI[[#This Row],[Winter Items Other]],Table_NFI[Winter Items Other])</f>
        <v>0</v>
      </c>
      <c r="AL1109" s="378">
        <f>IF(NFI_Expiration=1,IF($A1109&lt;VLOOKUP(M$5,NFI,5,0),1,0)*Table_NFI[[#This Row],[Winter Blanket]],Table_NFI[[#This Row],[Winter Blanket]])</f>
        <v>0</v>
      </c>
      <c r="AM1109" s="378">
        <f>IF(Table_NFI[[#This Row],[Winter Clothes Adult]]+Table_NFI[[#This Row],[Winter Clothes Children]]+Table_NFI[[#This Row],[Winter Items Other]]+Table_NFI[[#This Row],[Winter Blanket]]&gt;0,1,0)</f>
        <v>0</v>
      </c>
      <c r="AN1109" s="418">
        <f>IF(NFI_Expiration=1,IF($A1109&lt;VLOOKUP(V$5,NFI,5,0),1,0)*Table_NFI[[#This Row],[Jerry Can]],Table_NFI[Jerry Can])</f>
        <v>0</v>
      </c>
      <c r="AO1109" s="579" t="str">
        <f>IFERROR(VLOOKUP(Table_NFI[[#This Row],[Camp Name]],CL,2,0),"")</f>
        <v/>
      </c>
      <c r="AP1109" s="574" t="str">
        <f ca="1">IF(Table_NFI[[#This Row],[Pcode]]="","",IF(OFFSET(CampList[Opening Date],MATCH(Table_NFI[[#This Row],[Pcode]],CampList[CP_Pcode],0)-1,0,1,1)&gt;=NFI_Monitor_Date,1,0))</f>
        <v/>
      </c>
      <c r="AQ1109" s="579" t="str">
        <f>IFERROR(VLOOKUP(Table_NFI[[#This Row],[Camp Name]],CL,3,0),"")</f>
        <v/>
      </c>
      <c r="AR1109" s="378" t="str">
        <f ca="1">IF(Table_NFI[[#This Row],[Pcode]]="","",OFFSET(CampList[Priority],MATCH(Table_NFI[[#This Row],[Pcode]],CampList[CP_Pcode],0)-1,0,1,1))</f>
        <v/>
      </c>
      <c r="AS1109" s="377" t="str">
        <f>IFERROR(Table_NFI[[#This Row],[Kitchen Set]]/VLOOKUP(Table_NFI[[#This Row],[Camp Name]],CL,4,0),"")</f>
        <v/>
      </c>
      <c r="AT1109" s="577"/>
      <c r="AU1109" s="580"/>
    </row>
    <row r="1110" spans="1:47" x14ac:dyDescent="0.25">
      <c r="A1110" s="381" t="str">
        <f t="shared" si="17"/>
        <v/>
      </c>
      <c r="B1110" s="571"/>
      <c r="C1110" s="577"/>
      <c r="D1110" s="577"/>
      <c r="E1110" s="577"/>
      <c r="F1110" s="577"/>
      <c r="G1110" s="577"/>
      <c r="H1110" s="376"/>
      <c r="I1110" s="376"/>
      <c r="J1110" s="376"/>
      <c r="K1110" s="376"/>
      <c r="L1110" s="376"/>
      <c r="M1110" s="376"/>
      <c r="N1110" s="376"/>
      <c r="O1110" s="376"/>
      <c r="P1110" s="378"/>
      <c r="Q1110" s="378"/>
      <c r="R1110" s="378"/>
      <c r="S1110" s="378"/>
      <c r="T1110" s="378"/>
      <c r="U1110" s="378"/>
      <c r="V1110" s="533"/>
      <c r="W1110" s="602"/>
      <c r="X1110" s="602"/>
      <c r="Y1110" s="378">
        <f>IF(NFI_Expiration=1,IF($A1110&lt;VLOOKUP(H$5,NFI,5,0),1,0)*Table_NFI[[#This Row],[Hygiene Kit]],Table_NFI[Hygiene Kit])</f>
        <v>0</v>
      </c>
      <c r="Z1110" s="378">
        <f>IF(NFI_Expiration=1,IF($A1110&lt;VLOOKUP(I$5,NFI,5,0),1,0)*Table_NFI[[#This Row],[NFI Core Kit]],Table_NFI[NFI Core Kit])</f>
        <v>0</v>
      </c>
      <c r="AA1110" s="378">
        <f>IF(NFI_Expiration=1,IF($A1110&lt;VLOOKUP(J$5,NFI,5,0),1,0)*Table_NFI[[#This Row],[Sanitary Kit]],Table_NFI[Sanitary Kit])</f>
        <v>0</v>
      </c>
      <c r="AB1110" s="378">
        <f>IF(NFI_Expiration=1,IF($A1110&lt;VLOOKUP(K$5,NFI,5,0),1,0)*Table_NFI[[#This Row],[Mosquito net]],Table_NFI[Mosquito net])</f>
        <v>0</v>
      </c>
      <c r="AC1110" s="378">
        <f>IF(NFI_Expiration=1,IF($A1110&lt;VLOOKUP(L$5,NFI,5,0),1,0)*Table_NFI[[#This Row],[Tarpaulin]],Table_NFI[[#This Row],[Tarpaulin]])</f>
        <v>0</v>
      </c>
      <c r="AD1110" s="378">
        <f>IF(NFI_Expiration=1,IF($A1110&lt;VLOOKUP(M$5,NFI,5,0),1,0)*Table_NFI[[#This Row],[Blanket]],Table_NFI[[#This Row],[Blanket]])</f>
        <v>0</v>
      </c>
      <c r="AE1110" s="378">
        <f>IF(NFI_Expiration=1,IF($A1110&lt;VLOOKUP(N$5,NFI,5,0),1,0)*Table_NFI[[#This Row],[Kitchen Set]],Table_NFI[Kitchen Set])</f>
        <v>0</v>
      </c>
      <c r="AF1110" s="378">
        <f>IF(NFI_Expiration=1,IF($A1110&lt;VLOOKUP(O$5,NFI,5,0),1,0)*Table_NFI[[#This Row],[Clothes Kit]],Table_NFI[Clothes Kit])</f>
        <v>0</v>
      </c>
      <c r="AG1110" s="378">
        <f>IF(NFI_Expiration=1,IF($A1110&lt;VLOOKUP(P$5,NFI,5,0),1,0)*Table_NFI[[#This Row],[Plastic Bucket]],Table_NFI[Plastic Bucket])</f>
        <v>0</v>
      </c>
      <c r="AH1110" s="378">
        <f>IF(NFI_Expiration=1,IF($A1110&lt;VLOOKUP(Q$5,NFI,5,0),1,0)*Table_NFI[[#This Row],[Plastic Mat]],Table_NFI[Plastic Mat])*IF(Table_NFI[[#This Row],[Distribution Date]]&gt;"2014-04-01",1,2.5)</f>
        <v>0</v>
      </c>
      <c r="AI1110" s="378">
        <f>IF(NFI_Expiration=1,IF($A1110&lt;VLOOKUP(R$5,NFI,5,0),1,0)*Table_NFI[[#This Row],[Winter Clothes Adult]],Table_NFI[Winter Clothes Adult])</f>
        <v>0</v>
      </c>
      <c r="AJ1110" s="378">
        <f>IF(NFI_Expiration=1,IF($A1110&lt;VLOOKUP(S$5,NFI,5,0),1,0)*Table_NFI[[#This Row],[Winter Clothes Children]],Table_NFI[Winter Clothes Children])</f>
        <v>0</v>
      </c>
      <c r="AK1110" s="378">
        <f>IF(NFI_Expiration=1,IF($A1110&lt;VLOOKUP(T$5,NFI,5,0),1,0)*Table_NFI[[#This Row],[Winter Items Other]],Table_NFI[Winter Items Other])</f>
        <v>0</v>
      </c>
      <c r="AL1110" s="378">
        <f>IF(NFI_Expiration=1,IF($A1110&lt;VLOOKUP(M$5,NFI,5,0),1,0)*Table_NFI[[#This Row],[Winter Blanket]],Table_NFI[[#This Row],[Winter Blanket]])</f>
        <v>0</v>
      </c>
      <c r="AM1110" s="378">
        <f>IF(Table_NFI[[#This Row],[Winter Clothes Adult]]+Table_NFI[[#This Row],[Winter Clothes Children]]+Table_NFI[[#This Row],[Winter Items Other]]+Table_NFI[[#This Row],[Winter Blanket]]&gt;0,1,0)</f>
        <v>0</v>
      </c>
      <c r="AN1110" s="418">
        <f>IF(NFI_Expiration=1,IF($A1110&lt;VLOOKUP(V$5,NFI,5,0),1,0)*Table_NFI[[#This Row],[Jerry Can]],Table_NFI[Jerry Can])</f>
        <v>0</v>
      </c>
      <c r="AO1110" s="579" t="str">
        <f>IFERROR(VLOOKUP(Table_NFI[[#This Row],[Camp Name]],CL,2,0),"")</f>
        <v/>
      </c>
      <c r="AP1110" s="574" t="str">
        <f ca="1">IF(Table_NFI[[#This Row],[Pcode]]="","",IF(OFFSET(CampList[Opening Date],MATCH(Table_NFI[[#This Row],[Pcode]],CampList[CP_Pcode],0)-1,0,1,1)&gt;=NFI_Monitor_Date,1,0))</f>
        <v/>
      </c>
      <c r="AQ1110" s="579" t="str">
        <f>IFERROR(VLOOKUP(Table_NFI[[#This Row],[Camp Name]],CL,3,0),"")</f>
        <v/>
      </c>
      <c r="AR1110" s="378" t="str">
        <f ca="1">IF(Table_NFI[[#This Row],[Pcode]]="","",OFFSET(CampList[Priority],MATCH(Table_NFI[[#This Row],[Pcode]],CampList[CP_Pcode],0)-1,0,1,1))</f>
        <v/>
      </c>
      <c r="AS1110" s="377" t="str">
        <f>IFERROR(Table_NFI[[#This Row],[Kitchen Set]]/VLOOKUP(Table_NFI[[#This Row],[Camp Name]],CL,4,0),"")</f>
        <v/>
      </c>
      <c r="AT1110" s="577"/>
      <c r="AU1110" s="580"/>
    </row>
    <row r="1111" spans="1:47" x14ac:dyDescent="0.25">
      <c r="A1111" s="381" t="str">
        <f t="shared" si="17"/>
        <v/>
      </c>
      <c r="B1111" s="571"/>
      <c r="C1111" s="577"/>
      <c r="D1111" s="577"/>
      <c r="E1111" s="577"/>
      <c r="F1111" s="577"/>
      <c r="G1111" s="577"/>
      <c r="H1111" s="376"/>
      <c r="I1111" s="376"/>
      <c r="J1111" s="376"/>
      <c r="K1111" s="376"/>
      <c r="L1111" s="376"/>
      <c r="M1111" s="376"/>
      <c r="N1111" s="376"/>
      <c r="O1111" s="376"/>
      <c r="P1111" s="378"/>
      <c r="Q1111" s="378"/>
      <c r="R1111" s="378"/>
      <c r="S1111" s="378"/>
      <c r="T1111" s="378"/>
      <c r="U1111" s="378"/>
      <c r="V1111" s="533"/>
      <c r="W1111" s="602"/>
      <c r="X1111" s="602"/>
      <c r="Y1111" s="378">
        <f>IF(NFI_Expiration=1,IF($A1111&lt;VLOOKUP(H$5,NFI,5,0),1,0)*Table_NFI[[#This Row],[Hygiene Kit]],Table_NFI[Hygiene Kit])</f>
        <v>0</v>
      </c>
      <c r="Z1111" s="378">
        <f>IF(NFI_Expiration=1,IF($A1111&lt;VLOOKUP(I$5,NFI,5,0),1,0)*Table_NFI[[#This Row],[NFI Core Kit]],Table_NFI[NFI Core Kit])</f>
        <v>0</v>
      </c>
      <c r="AA1111" s="378">
        <f>IF(NFI_Expiration=1,IF($A1111&lt;VLOOKUP(J$5,NFI,5,0),1,0)*Table_NFI[[#This Row],[Sanitary Kit]],Table_NFI[Sanitary Kit])</f>
        <v>0</v>
      </c>
      <c r="AB1111" s="378">
        <f>IF(NFI_Expiration=1,IF($A1111&lt;VLOOKUP(K$5,NFI,5,0),1,0)*Table_NFI[[#This Row],[Mosquito net]],Table_NFI[Mosquito net])</f>
        <v>0</v>
      </c>
      <c r="AC1111" s="378">
        <f>IF(NFI_Expiration=1,IF($A1111&lt;VLOOKUP(L$5,NFI,5,0),1,0)*Table_NFI[[#This Row],[Tarpaulin]],Table_NFI[[#This Row],[Tarpaulin]])</f>
        <v>0</v>
      </c>
      <c r="AD1111" s="378">
        <f>IF(NFI_Expiration=1,IF($A1111&lt;VLOOKUP(M$5,NFI,5,0),1,0)*Table_NFI[[#This Row],[Blanket]],Table_NFI[[#This Row],[Blanket]])</f>
        <v>0</v>
      </c>
      <c r="AE1111" s="378">
        <f>IF(NFI_Expiration=1,IF($A1111&lt;VLOOKUP(N$5,NFI,5,0),1,0)*Table_NFI[[#This Row],[Kitchen Set]],Table_NFI[Kitchen Set])</f>
        <v>0</v>
      </c>
      <c r="AF1111" s="378">
        <f>IF(NFI_Expiration=1,IF($A1111&lt;VLOOKUP(O$5,NFI,5,0),1,0)*Table_NFI[[#This Row],[Clothes Kit]],Table_NFI[Clothes Kit])</f>
        <v>0</v>
      </c>
      <c r="AG1111" s="378">
        <f>IF(NFI_Expiration=1,IF($A1111&lt;VLOOKUP(P$5,NFI,5,0),1,0)*Table_NFI[[#This Row],[Plastic Bucket]],Table_NFI[Plastic Bucket])</f>
        <v>0</v>
      </c>
      <c r="AH1111" s="378">
        <f>IF(NFI_Expiration=1,IF($A1111&lt;VLOOKUP(Q$5,NFI,5,0),1,0)*Table_NFI[[#This Row],[Plastic Mat]],Table_NFI[Plastic Mat])*IF(Table_NFI[[#This Row],[Distribution Date]]&gt;"2014-04-01",1,2.5)</f>
        <v>0</v>
      </c>
      <c r="AI1111" s="378">
        <f>IF(NFI_Expiration=1,IF($A1111&lt;VLOOKUP(R$5,NFI,5,0),1,0)*Table_NFI[[#This Row],[Winter Clothes Adult]],Table_NFI[Winter Clothes Adult])</f>
        <v>0</v>
      </c>
      <c r="AJ1111" s="378">
        <f>IF(NFI_Expiration=1,IF($A1111&lt;VLOOKUP(S$5,NFI,5,0),1,0)*Table_NFI[[#This Row],[Winter Clothes Children]],Table_NFI[Winter Clothes Children])</f>
        <v>0</v>
      </c>
      <c r="AK1111" s="378">
        <f>IF(NFI_Expiration=1,IF($A1111&lt;VLOOKUP(T$5,NFI,5,0),1,0)*Table_NFI[[#This Row],[Winter Items Other]],Table_NFI[Winter Items Other])</f>
        <v>0</v>
      </c>
      <c r="AL1111" s="378">
        <f>IF(NFI_Expiration=1,IF($A1111&lt;VLOOKUP(M$5,NFI,5,0),1,0)*Table_NFI[[#This Row],[Winter Blanket]],Table_NFI[[#This Row],[Winter Blanket]])</f>
        <v>0</v>
      </c>
      <c r="AM1111" s="378">
        <f>IF(Table_NFI[[#This Row],[Winter Clothes Adult]]+Table_NFI[[#This Row],[Winter Clothes Children]]+Table_NFI[[#This Row],[Winter Items Other]]+Table_NFI[[#This Row],[Winter Blanket]]&gt;0,1,0)</f>
        <v>0</v>
      </c>
      <c r="AN1111" s="418">
        <f>IF(NFI_Expiration=1,IF($A1111&lt;VLOOKUP(V$5,NFI,5,0),1,0)*Table_NFI[[#This Row],[Jerry Can]],Table_NFI[Jerry Can])</f>
        <v>0</v>
      </c>
      <c r="AO1111" s="579" t="str">
        <f>IFERROR(VLOOKUP(Table_NFI[[#This Row],[Camp Name]],CL,2,0),"")</f>
        <v/>
      </c>
      <c r="AP1111" s="574" t="str">
        <f ca="1">IF(Table_NFI[[#This Row],[Pcode]]="","",IF(OFFSET(CampList[Opening Date],MATCH(Table_NFI[[#This Row],[Pcode]],CampList[CP_Pcode],0)-1,0,1,1)&gt;=NFI_Monitor_Date,1,0))</f>
        <v/>
      </c>
      <c r="AQ1111" s="579" t="str">
        <f>IFERROR(VLOOKUP(Table_NFI[[#This Row],[Camp Name]],CL,3,0),"")</f>
        <v/>
      </c>
      <c r="AR1111" s="378" t="str">
        <f ca="1">IF(Table_NFI[[#This Row],[Pcode]]="","",OFFSET(CampList[Priority],MATCH(Table_NFI[[#This Row],[Pcode]],CampList[CP_Pcode],0)-1,0,1,1))</f>
        <v/>
      </c>
      <c r="AS1111" s="377" t="str">
        <f>IFERROR(Table_NFI[[#This Row],[Kitchen Set]]/VLOOKUP(Table_NFI[[#This Row],[Camp Name]],CL,4,0),"")</f>
        <v/>
      </c>
      <c r="AT1111" s="577"/>
      <c r="AU1111" s="580"/>
    </row>
    <row r="1112" spans="1:47" x14ac:dyDescent="0.25">
      <c r="A1112" s="381" t="str">
        <f t="shared" si="17"/>
        <v/>
      </c>
      <c r="B1112" s="571"/>
      <c r="C1112" s="577"/>
      <c r="D1112" s="577"/>
      <c r="E1112" s="577"/>
      <c r="F1112" s="577"/>
      <c r="G1112" s="577"/>
      <c r="H1112" s="376"/>
      <c r="I1112" s="376"/>
      <c r="J1112" s="376"/>
      <c r="K1112" s="376"/>
      <c r="L1112" s="376"/>
      <c r="M1112" s="376"/>
      <c r="N1112" s="376"/>
      <c r="O1112" s="376"/>
      <c r="P1112" s="378"/>
      <c r="Q1112" s="378"/>
      <c r="R1112" s="378"/>
      <c r="S1112" s="378"/>
      <c r="T1112" s="378"/>
      <c r="U1112" s="378"/>
      <c r="V1112" s="533"/>
      <c r="W1112" s="602"/>
      <c r="X1112" s="602"/>
      <c r="Y1112" s="378">
        <f>IF(NFI_Expiration=1,IF($A1112&lt;VLOOKUP(H$5,NFI,5,0),1,0)*Table_NFI[[#This Row],[Hygiene Kit]],Table_NFI[Hygiene Kit])</f>
        <v>0</v>
      </c>
      <c r="Z1112" s="378">
        <f>IF(NFI_Expiration=1,IF($A1112&lt;VLOOKUP(I$5,NFI,5,0),1,0)*Table_NFI[[#This Row],[NFI Core Kit]],Table_NFI[NFI Core Kit])</f>
        <v>0</v>
      </c>
      <c r="AA1112" s="378">
        <f>IF(NFI_Expiration=1,IF($A1112&lt;VLOOKUP(J$5,NFI,5,0),1,0)*Table_NFI[[#This Row],[Sanitary Kit]],Table_NFI[Sanitary Kit])</f>
        <v>0</v>
      </c>
      <c r="AB1112" s="378">
        <f>IF(NFI_Expiration=1,IF($A1112&lt;VLOOKUP(K$5,NFI,5,0),1,0)*Table_NFI[[#This Row],[Mosquito net]],Table_NFI[Mosquito net])</f>
        <v>0</v>
      </c>
      <c r="AC1112" s="378">
        <f>IF(NFI_Expiration=1,IF($A1112&lt;VLOOKUP(L$5,NFI,5,0),1,0)*Table_NFI[[#This Row],[Tarpaulin]],Table_NFI[[#This Row],[Tarpaulin]])</f>
        <v>0</v>
      </c>
      <c r="AD1112" s="378">
        <f>IF(NFI_Expiration=1,IF($A1112&lt;VLOOKUP(M$5,NFI,5,0),1,0)*Table_NFI[[#This Row],[Blanket]],Table_NFI[[#This Row],[Blanket]])</f>
        <v>0</v>
      </c>
      <c r="AE1112" s="378">
        <f>IF(NFI_Expiration=1,IF($A1112&lt;VLOOKUP(N$5,NFI,5,0),1,0)*Table_NFI[[#This Row],[Kitchen Set]],Table_NFI[Kitchen Set])</f>
        <v>0</v>
      </c>
      <c r="AF1112" s="378">
        <f>IF(NFI_Expiration=1,IF($A1112&lt;VLOOKUP(O$5,NFI,5,0),1,0)*Table_NFI[[#This Row],[Clothes Kit]],Table_NFI[Clothes Kit])</f>
        <v>0</v>
      </c>
      <c r="AG1112" s="378">
        <f>IF(NFI_Expiration=1,IF($A1112&lt;VLOOKUP(P$5,NFI,5,0),1,0)*Table_NFI[[#This Row],[Plastic Bucket]],Table_NFI[Plastic Bucket])</f>
        <v>0</v>
      </c>
      <c r="AH1112" s="378">
        <f>IF(NFI_Expiration=1,IF($A1112&lt;VLOOKUP(Q$5,NFI,5,0),1,0)*Table_NFI[[#This Row],[Plastic Mat]],Table_NFI[Plastic Mat])*IF(Table_NFI[[#This Row],[Distribution Date]]&gt;"2014-04-01",1,2.5)</f>
        <v>0</v>
      </c>
      <c r="AI1112" s="378">
        <f>IF(NFI_Expiration=1,IF($A1112&lt;VLOOKUP(R$5,NFI,5,0),1,0)*Table_NFI[[#This Row],[Winter Clothes Adult]],Table_NFI[Winter Clothes Adult])</f>
        <v>0</v>
      </c>
      <c r="AJ1112" s="378">
        <f>IF(NFI_Expiration=1,IF($A1112&lt;VLOOKUP(S$5,NFI,5,0),1,0)*Table_NFI[[#This Row],[Winter Clothes Children]],Table_NFI[Winter Clothes Children])</f>
        <v>0</v>
      </c>
      <c r="AK1112" s="378">
        <f>IF(NFI_Expiration=1,IF($A1112&lt;VLOOKUP(T$5,NFI,5,0),1,0)*Table_NFI[[#This Row],[Winter Items Other]],Table_NFI[Winter Items Other])</f>
        <v>0</v>
      </c>
      <c r="AL1112" s="378">
        <f>IF(NFI_Expiration=1,IF($A1112&lt;VLOOKUP(M$5,NFI,5,0),1,0)*Table_NFI[[#This Row],[Winter Blanket]],Table_NFI[[#This Row],[Winter Blanket]])</f>
        <v>0</v>
      </c>
      <c r="AM1112" s="378">
        <f>IF(Table_NFI[[#This Row],[Winter Clothes Adult]]+Table_NFI[[#This Row],[Winter Clothes Children]]+Table_NFI[[#This Row],[Winter Items Other]]+Table_NFI[[#This Row],[Winter Blanket]]&gt;0,1,0)</f>
        <v>0</v>
      </c>
      <c r="AN1112" s="418">
        <f>IF(NFI_Expiration=1,IF($A1112&lt;VLOOKUP(V$5,NFI,5,0),1,0)*Table_NFI[[#This Row],[Jerry Can]],Table_NFI[Jerry Can])</f>
        <v>0</v>
      </c>
      <c r="AO1112" s="579" t="str">
        <f>IFERROR(VLOOKUP(Table_NFI[[#This Row],[Camp Name]],CL,2,0),"")</f>
        <v/>
      </c>
      <c r="AP1112" s="574" t="str">
        <f ca="1">IF(Table_NFI[[#This Row],[Pcode]]="","",IF(OFFSET(CampList[Opening Date],MATCH(Table_NFI[[#This Row],[Pcode]],CampList[CP_Pcode],0)-1,0,1,1)&gt;=NFI_Monitor_Date,1,0))</f>
        <v/>
      </c>
      <c r="AQ1112" s="579" t="str">
        <f>IFERROR(VLOOKUP(Table_NFI[[#This Row],[Camp Name]],CL,3,0),"")</f>
        <v/>
      </c>
      <c r="AR1112" s="378" t="str">
        <f ca="1">IF(Table_NFI[[#This Row],[Pcode]]="","",OFFSET(CampList[Priority],MATCH(Table_NFI[[#This Row],[Pcode]],CampList[CP_Pcode],0)-1,0,1,1))</f>
        <v/>
      </c>
      <c r="AS1112" s="377" t="str">
        <f>IFERROR(Table_NFI[[#This Row],[Kitchen Set]]/VLOOKUP(Table_NFI[[#This Row],[Camp Name]],CL,4,0),"")</f>
        <v/>
      </c>
      <c r="AT1112" s="577"/>
      <c r="AU1112" s="580"/>
    </row>
    <row r="1113" spans="1:47" x14ac:dyDescent="0.25">
      <c r="A1113" s="381" t="str">
        <f t="shared" si="17"/>
        <v/>
      </c>
      <c r="B1113" s="571"/>
      <c r="C1113" s="577"/>
      <c r="D1113" s="577"/>
      <c r="E1113" s="577"/>
      <c r="F1113" s="577"/>
      <c r="G1113" s="577"/>
      <c r="H1113" s="376"/>
      <c r="I1113" s="376"/>
      <c r="J1113" s="376"/>
      <c r="K1113" s="376"/>
      <c r="L1113" s="376"/>
      <c r="M1113" s="376"/>
      <c r="N1113" s="376"/>
      <c r="O1113" s="376"/>
      <c r="P1113" s="378"/>
      <c r="Q1113" s="378"/>
      <c r="R1113" s="378"/>
      <c r="S1113" s="378"/>
      <c r="T1113" s="378"/>
      <c r="U1113" s="378"/>
      <c r="V1113" s="533"/>
      <c r="W1113" s="602"/>
      <c r="X1113" s="602"/>
      <c r="Y1113" s="378">
        <f>IF(NFI_Expiration=1,IF($A1113&lt;VLOOKUP(H$5,NFI,5,0),1,0)*Table_NFI[[#This Row],[Hygiene Kit]],Table_NFI[Hygiene Kit])</f>
        <v>0</v>
      </c>
      <c r="Z1113" s="378">
        <f>IF(NFI_Expiration=1,IF($A1113&lt;VLOOKUP(I$5,NFI,5,0),1,0)*Table_NFI[[#This Row],[NFI Core Kit]],Table_NFI[NFI Core Kit])</f>
        <v>0</v>
      </c>
      <c r="AA1113" s="378">
        <f>IF(NFI_Expiration=1,IF($A1113&lt;VLOOKUP(J$5,NFI,5,0),1,0)*Table_NFI[[#This Row],[Sanitary Kit]],Table_NFI[Sanitary Kit])</f>
        <v>0</v>
      </c>
      <c r="AB1113" s="378">
        <f>IF(NFI_Expiration=1,IF($A1113&lt;VLOOKUP(K$5,NFI,5,0),1,0)*Table_NFI[[#This Row],[Mosquito net]],Table_NFI[Mosquito net])</f>
        <v>0</v>
      </c>
      <c r="AC1113" s="378">
        <f>IF(NFI_Expiration=1,IF($A1113&lt;VLOOKUP(L$5,NFI,5,0),1,0)*Table_NFI[[#This Row],[Tarpaulin]],Table_NFI[[#This Row],[Tarpaulin]])</f>
        <v>0</v>
      </c>
      <c r="AD1113" s="378">
        <f>IF(NFI_Expiration=1,IF($A1113&lt;VLOOKUP(M$5,NFI,5,0),1,0)*Table_NFI[[#This Row],[Blanket]],Table_NFI[[#This Row],[Blanket]])</f>
        <v>0</v>
      </c>
      <c r="AE1113" s="378">
        <f>IF(NFI_Expiration=1,IF($A1113&lt;VLOOKUP(N$5,NFI,5,0),1,0)*Table_NFI[[#This Row],[Kitchen Set]],Table_NFI[Kitchen Set])</f>
        <v>0</v>
      </c>
      <c r="AF1113" s="378">
        <f>IF(NFI_Expiration=1,IF($A1113&lt;VLOOKUP(O$5,NFI,5,0),1,0)*Table_NFI[[#This Row],[Clothes Kit]],Table_NFI[Clothes Kit])</f>
        <v>0</v>
      </c>
      <c r="AG1113" s="378">
        <f>IF(NFI_Expiration=1,IF($A1113&lt;VLOOKUP(P$5,NFI,5,0),1,0)*Table_NFI[[#This Row],[Plastic Bucket]],Table_NFI[Plastic Bucket])</f>
        <v>0</v>
      </c>
      <c r="AH1113" s="378">
        <f>IF(NFI_Expiration=1,IF($A1113&lt;VLOOKUP(Q$5,NFI,5,0),1,0)*Table_NFI[[#This Row],[Plastic Mat]],Table_NFI[Plastic Mat])*IF(Table_NFI[[#This Row],[Distribution Date]]&gt;"2014-04-01",1,2.5)</f>
        <v>0</v>
      </c>
      <c r="AI1113" s="378">
        <f>IF(NFI_Expiration=1,IF($A1113&lt;VLOOKUP(R$5,NFI,5,0),1,0)*Table_NFI[[#This Row],[Winter Clothes Adult]],Table_NFI[Winter Clothes Adult])</f>
        <v>0</v>
      </c>
      <c r="AJ1113" s="378">
        <f>IF(NFI_Expiration=1,IF($A1113&lt;VLOOKUP(S$5,NFI,5,0),1,0)*Table_NFI[[#This Row],[Winter Clothes Children]],Table_NFI[Winter Clothes Children])</f>
        <v>0</v>
      </c>
      <c r="AK1113" s="378">
        <f>IF(NFI_Expiration=1,IF($A1113&lt;VLOOKUP(T$5,NFI,5,0),1,0)*Table_NFI[[#This Row],[Winter Items Other]],Table_NFI[Winter Items Other])</f>
        <v>0</v>
      </c>
      <c r="AL1113" s="378">
        <f>IF(NFI_Expiration=1,IF($A1113&lt;VLOOKUP(M$5,NFI,5,0),1,0)*Table_NFI[[#This Row],[Winter Blanket]],Table_NFI[[#This Row],[Winter Blanket]])</f>
        <v>0</v>
      </c>
      <c r="AM1113" s="378">
        <f>IF(Table_NFI[[#This Row],[Winter Clothes Adult]]+Table_NFI[[#This Row],[Winter Clothes Children]]+Table_NFI[[#This Row],[Winter Items Other]]+Table_NFI[[#This Row],[Winter Blanket]]&gt;0,1,0)</f>
        <v>0</v>
      </c>
      <c r="AN1113" s="418">
        <f>IF(NFI_Expiration=1,IF($A1113&lt;VLOOKUP(V$5,NFI,5,0),1,0)*Table_NFI[[#This Row],[Jerry Can]],Table_NFI[Jerry Can])</f>
        <v>0</v>
      </c>
      <c r="AO1113" s="579" t="str">
        <f>IFERROR(VLOOKUP(Table_NFI[[#This Row],[Camp Name]],CL,2,0),"")</f>
        <v/>
      </c>
      <c r="AP1113" s="574" t="str">
        <f ca="1">IF(Table_NFI[[#This Row],[Pcode]]="","",IF(OFFSET(CampList[Opening Date],MATCH(Table_NFI[[#This Row],[Pcode]],CampList[CP_Pcode],0)-1,0,1,1)&gt;=NFI_Monitor_Date,1,0))</f>
        <v/>
      </c>
      <c r="AQ1113" s="579" t="str">
        <f>IFERROR(VLOOKUP(Table_NFI[[#This Row],[Camp Name]],CL,3,0),"")</f>
        <v/>
      </c>
      <c r="AR1113" s="378" t="str">
        <f ca="1">IF(Table_NFI[[#This Row],[Pcode]]="","",OFFSET(CampList[Priority],MATCH(Table_NFI[[#This Row],[Pcode]],CampList[CP_Pcode],0)-1,0,1,1))</f>
        <v/>
      </c>
      <c r="AS1113" s="377" t="str">
        <f>IFERROR(Table_NFI[[#This Row],[Kitchen Set]]/VLOOKUP(Table_NFI[[#This Row],[Camp Name]],CL,4,0),"")</f>
        <v/>
      </c>
      <c r="AT1113" s="577"/>
      <c r="AU1113" s="580"/>
    </row>
    <row r="1114" spans="1:47" x14ac:dyDescent="0.25">
      <c r="A1114" s="381" t="str">
        <f t="shared" si="17"/>
        <v/>
      </c>
      <c r="B1114" s="571"/>
      <c r="C1114" s="577"/>
      <c r="D1114" s="577"/>
      <c r="E1114" s="577"/>
      <c r="F1114" s="577"/>
      <c r="G1114" s="577"/>
      <c r="H1114" s="376"/>
      <c r="I1114" s="376"/>
      <c r="J1114" s="376"/>
      <c r="K1114" s="376"/>
      <c r="L1114" s="376"/>
      <c r="M1114" s="376"/>
      <c r="N1114" s="376"/>
      <c r="O1114" s="376"/>
      <c r="P1114" s="378"/>
      <c r="Q1114" s="378"/>
      <c r="R1114" s="378"/>
      <c r="S1114" s="378"/>
      <c r="T1114" s="378"/>
      <c r="U1114" s="378"/>
      <c r="V1114" s="533"/>
      <c r="W1114" s="602"/>
      <c r="X1114" s="602"/>
      <c r="Y1114" s="378">
        <f>IF(NFI_Expiration=1,IF($A1114&lt;VLOOKUP(H$5,NFI,5,0),1,0)*Table_NFI[[#This Row],[Hygiene Kit]],Table_NFI[Hygiene Kit])</f>
        <v>0</v>
      </c>
      <c r="Z1114" s="378">
        <f>IF(NFI_Expiration=1,IF($A1114&lt;VLOOKUP(I$5,NFI,5,0),1,0)*Table_NFI[[#This Row],[NFI Core Kit]],Table_NFI[NFI Core Kit])</f>
        <v>0</v>
      </c>
      <c r="AA1114" s="378">
        <f>IF(NFI_Expiration=1,IF($A1114&lt;VLOOKUP(J$5,NFI,5,0),1,0)*Table_NFI[[#This Row],[Sanitary Kit]],Table_NFI[Sanitary Kit])</f>
        <v>0</v>
      </c>
      <c r="AB1114" s="378">
        <f>IF(NFI_Expiration=1,IF($A1114&lt;VLOOKUP(K$5,NFI,5,0),1,0)*Table_NFI[[#This Row],[Mosquito net]],Table_NFI[Mosquito net])</f>
        <v>0</v>
      </c>
      <c r="AC1114" s="378">
        <f>IF(NFI_Expiration=1,IF($A1114&lt;VLOOKUP(L$5,NFI,5,0),1,0)*Table_NFI[[#This Row],[Tarpaulin]],Table_NFI[[#This Row],[Tarpaulin]])</f>
        <v>0</v>
      </c>
      <c r="AD1114" s="378">
        <f>IF(NFI_Expiration=1,IF($A1114&lt;VLOOKUP(M$5,NFI,5,0),1,0)*Table_NFI[[#This Row],[Blanket]],Table_NFI[[#This Row],[Blanket]])</f>
        <v>0</v>
      </c>
      <c r="AE1114" s="378">
        <f>IF(NFI_Expiration=1,IF($A1114&lt;VLOOKUP(N$5,NFI,5,0),1,0)*Table_NFI[[#This Row],[Kitchen Set]],Table_NFI[Kitchen Set])</f>
        <v>0</v>
      </c>
      <c r="AF1114" s="378">
        <f>IF(NFI_Expiration=1,IF($A1114&lt;VLOOKUP(O$5,NFI,5,0),1,0)*Table_NFI[[#This Row],[Clothes Kit]],Table_NFI[Clothes Kit])</f>
        <v>0</v>
      </c>
      <c r="AG1114" s="378">
        <f>IF(NFI_Expiration=1,IF($A1114&lt;VLOOKUP(P$5,NFI,5,0),1,0)*Table_NFI[[#This Row],[Plastic Bucket]],Table_NFI[Plastic Bucket])</f>
        <v>0</v>
      </c>
      <c r="AH1114" s="378">
        <f>IF(NFI_Expiration=1,IF($A1114&lt;VLOOKUP(Q$5,NFI,5,0),1,0)*Table_NFI[[#This Row],[Plastic Mat]],Table_NFI[Plastic Mat])*IF(Table_NFI[[#This Row],[Distribution Date]]&gt;"2014-04-01",1,2.5)</f>
        <v>0</v>
      </c>
      <c r="AI1114" s="378">
        <f>IF(NFI_Expiration=1,IF($A1114&lt;VLOOKUP(R$5,NFI,5,0),1,0)*Table_NFI[[#This Row],[Winter Clothes Adult]],Table_NFI[Winter Clothes Adult])</f>
        <v>0</v>
      </c>
      <c r="AJ1114" s="378">
        <f>IF(NFI_Expiration=1,IF($A1114&lt;VLOOKUP(S$5,NFI,5,0),1,0)*Table_NFI[[#This Row],[Winter Clothes Children]],Table_NFI[Winter Clothes Children])</f>
        <v>0</v>
      </c>
      <c r="AK1114" s="378">
        <f>IF(NFI_Expiration=1,IF($A1114&lt;VLOOKUP(T$5,NFI,5,0),1,0)*Table_NFI[[#This Row],[Winter Items Other]],Table_NFI[Winter Items Other])</f>
        <v>0</v>
      </c>
      <c r="AL1114" s="378">
        <f>IF(NFI_Expiration=1,IF($A1114&lt;VLOOKUP(M$5,NFI,5,0),1,0)*Table_NFI[[#This Row],[Winter Blanket]],Table_NFI[[#This Row],[Winter Blanket]])</f>
        <v>0</v>
      </c>
      <c r="AM1114" s="378">
        <f>IF(Table_NFI[[#This Row],[Winter Clothes Adult]]+Table_NFI[[#This Row],[Winter Clothes Children]]+Table_NFI[[#This Row],[Winter Items Other]]+Table_NFI[[#This Row],[Winter Blanket]]&gt;0,1,0)</f>
        <v>0</v>
      </c>
      <c r="AN1114" s="418">
        <f>IF(NFI_Expiration=1,IF($A1114&lt;VLOOKUP(V$5,NFI,5,0),1,0)*Table_NFI[[#This Row],[Jerry Can]],Table_NFI[Jerry Can])</f>
        <v>0</v>
      </c>
      <c r="AO1114" s="579" t="str">
        <f>IFERROR(VLOOKUP(Table_NFI[[#This Row],[Camp Name]],CL,2,0),"")</f>
        <v/>
      </c>
      <c r="AP1114" s="574" t="str">
        <f ca="1">IF(Table_NFI[[#This Row],[Pcode]]="","",IF(OFFSET(CampList[Opening Date],MATCH(Table_NFI[[#This Row],[Pcode]],CampList[CP_Pcode],0)-1,0,1,1)&gt;=NFI_Monitor_Date,1,0))</f>
        <v/>
      </c>
      <c r="AQ1114" s="579" t="str">
        <f>IFERROR(VLOOKUP(Table_NFI[[#This Row],[Camp Name]],CL,3,0),"")</f>
        <v/>
      </c>
      <c r="AR1114" s="378" t="str">
        <f ca="1">IF(Table_NFI[[#This Row],[Pcode]]="","",OFFSET(CampList[Priority],MATCH(Table_NFI[[#This Row],[Pcode]],CampList[CP_Pcode],0)-1,0,1,1))</f>
        <v/>
      </c>
      <c r="AS1114" s="377" t="str">
        <f>IFERROR(Table_NFI[[#This Row],[Kitchen Set]]/VLOOKUP(Table_NFI[[#This Row],[Camp Name]],CL,4,0),"")</f>
        <v/>
      </c>
      <c r="AT1114" s="577"/>
      <c r="AU1114" s="580"/>
    </row>
    <row r="1115" spans="1:47" x14ac:dyDescent="0.25">
      <c r="A1115" s="381" t="str">
        <f t="shared" si="17"/>
        <v/>
      </c>
      <c r="B1115" s="571"/>
      <c r="C1115" s="577"/>
      <c r="D1115" s="577"/>
      <c r="E1115" s="577"/>
      <c r="F1115" s="577"/>
      <c r="G1115" s="577"/>
      <c r="H1115" s="376"/>
      <c r="I1115" s="376"/>
      <c r="J1115" s="376"/>
      <c r="K1115" s="376"/>
      <c r="L1115" s="376"/>
      <c r="M1115" s="376"/>
      <c r="N1115" s="376"/>
      <c r="O1115" s="376"/>
      <c r="P1115" s="378"/>
      <c r="Q1115" s="378"/>
      <c r="R1115" s="378"/>
      <c r="S1115" s="378"/>
      <c r="T1115" s="378"/>
      <c r="U1115" s="378"/>
      <c r="V1115" s="533"/>
      <c r="W1115" s="602"/>
      <c r="X1115" s="602"/>
      <c r="Y1115" s="378">
        <f>IF(NFI_Expiration=1,IF($A1115&lt;VLOOKUP(H$5,NFI,5,0),1,0)*Table_NFI[[#This Row],[Hygiene Kit]],Table_NFI[Hygiene Kit])</f>
        <v>0</v>
      </c>
      <c r="Z1115" s="378">
        <f>IF(NFI_Expiration=1,IF($A1115&lt;VLOOKUP(I$5,NFI,5,0),1,0)*Table_NFI[[#This Row],[NFI Core Kit]],Table_NFI[NFI Core Kit])</f>
        <v>0</v>
      </c>
      <c r="AA1115" s="378">
        <f>IF(NFI_Expiration=1,IF($A1115&lt;VLOOKUP(J$5,NFI,5,0),1,0)*Table_NFI[[#This Row],[Sanitary Kit]],Table_NFI[Sanitary Kit])</f>
        <v>0</v>
      </c>
      <c r="AB1115" s="378">
        <f>IF(NFI_Expiration=1,IF($A1115&lt;VLOOKUP(K$5,NFI,5,0),1,0)*Table_NFI[[#This Row],[Mosquito net]],Table_NFI[Mosquito net])</f>
        <v>0</v>
      </c>
      <c r="AC1115" s="378">
        <f>IF(NFI_Expiration=1,IF($A1115&lt;VLOOKUP(L$5,NFI,5,0),1,0)*Table_NFI[[#This Row],[Tarpaulin]],Table_NFI[[#This Row],[Tarpaulin]])</f>
        <v>0</v>
      </c>
      <c r="AD1115" s="378">
        <f>IF(NFI_Expiration=1,IF($A1115&lt;VLOOKUP(M$5,NFI,5,0),1,0)*Table_NFI[[#This Row],[Blanket]],Table_NFI[[#This Row],[Blanket]])</f>
        <v>0</v>
      </c>
      <c r="AE1115" s="378">
        <f>IF(NFI_Expiration=1,IF($A1115&lt;VLOOKUP(N$5,NFI,5,0),1,0)*Table_NFI[[#This Row],[Kitchen Set]],Table_NFI[Kitchen Set])</f>
        <v>0</v>
      </c>
      <c r="AF1115" s="378">
        <f>IF(NFI_Expiration=1,IF($A1115&lt;VLOOKUP(O$5,NFI,5,0),1,0)*Table_NFI[[#This Row],[Clothes Kit]],Table_NFI[Clothes Kit])</f>
        <v>0</v>
      </c>
      <c r="AG1115" s="378">
        <f>IF(NFI_Expiration=1,IF($A1115&lt;VLOOKUP(P$5,NFI,5,0),1,0)*Table_NFI[[#This Row],[Plastic Bucket]],Table_NFI[Plastic Bucket])</f>
        <v>0</v>
      </c>
      <c r="AH1115" s="378">
        <f>IF(NFI_Expiration=1,IF($A1115&lt;VLOOKUP(Q$5,NFI,5,0),1,0)*Table_NFI[[#This Row],[Plastic Mat]],Table_NFI[Plastic Mat])*IF(Table_NFI[[#This Row],[Distribution Date]]&gt;"2014-04-01",1,2.5)</f>
        <v>0</v>
      </c>
      <c r="AI1115" s="378">
        <f>IF(NFI_Expiration=1,IF($A1115&lt;VLOOKUP(R$5,NFI,5,0),1,0)*Table_NFI[[#This Row],[Winter Clothes Adult]],Table_NFI[Winter Clothes Adult])</f>
        <v>0</v>
      </c>
      <c r="AJ1115" s="378">
        <f>IF(NFI_Expiration=1,IF($A1115&lt;VLOOKUP(S$5,NFI,5,0),1,0)*Table_NFI[[#This Row],[Winter Clothes Children]],Table_NFI[Winter Clothes Children])</f>
        <v>0</v>
      </c>
      <c r="AK1115" s="378">
        <f>IF(NFI_Expiration=1,IF($A1115&lt;VLOOKUP(T$5,NFI,5,0),1,0)*Table_NFI[[#This Row],[Winter Items Other]],Table_NFI[Winter Items Other])</f>
        <v>0</v>
      </c>
      <c r="AL1115" s="378">
        <f>IF(NFI_Expiration=1,IF($A1115&lt;VLOOKUP(M$5,NFI,5,0),1,0)*Table_NFI[[#This Row],[Winter Blanket]],Table_NFI[[#This Row],[Winter Blanket]])</f>
        <v>0</v>
      </c>
      <c r="AM1115" s="378">
        <f>IF(Table_NFI[[#This Row],[Winter Clothes Adult]]+Table_NFI[[#This Row],[Winter Clothes Children]]+Table_NFI[[#This Row],[Winter Items Other]]+Table_NFI[[#This Row],[Winter Blanket]]&gt;0,1,0)</f>
        <v>0</v>
      </c>
      <c r="AN1115" s="418">
        <f>IF(NFI_Expiration=1,IF($A1115&lt;VLOOKUP(V$5,NFI,5,0),1,0)*Table_NFI[[#This Row],[Jerry Can]],Table_NFI[Jerry Can])</f>
        <v>0</v>
      </c>
      <c r="AO1115" s="579" t="str">
        <f>IFERROR(VLOOKUP(Table_NFI[[#This Row],[Camp Name]],CL,2,0),"")</f>
        <v/>
      </c>
      <c r="AP1115" s="574" t="str">
        <f ca="1">IF(Table_NFI[[#This Row],[Pcode]]="","",IF(OFFSET(CampList[Opening Date],MATCH(Table_NFI[[#This Row],[Pcode]],CampList[CP_Pcode],0)-1,0,1,1)&gt;=NFI_Monitor_Date,1,0))</f>
        <v/>
      </c>
      <c r="AQ1115" s="579" t="str">
        <f>IFERROR(VLOOKUP(Table_NFI[[#This Row],[Camp Name]],CL,3,0),"")</f>
        <v/>
      </c>
      <c r="AR1115" s="378" t="str">
        <f ca="1">IF(Table_NFI[[#This Row],[Pcode]]="","",OFFSET(CampList[Priority],MATCH(Table_NFI[[#This Row],[Pcode]],CampList[CP_Pcode],0)-1,0,1,1))</f>
        <v/>
      </c>
      <c r="AS1115" s="377" t="str">
        <f>IFERROR(Table_NFI[[#This Row],[Kitchen Set]]/VLOOKUP(Table_NFI[[#This Row],[Camp Name]],CL,4,0),"")</f>
        <v/>
      </c>
      <c r="AT1115" s="577"/>
      <c r="AU1115" s="580"/>
    </row>
    <row r="1116" spans="1:47" x14ac:dyDescent="0.25">
      <c r="A1116" s="381" t="str">
        <f t="shared" si="17"/>
        <v/>
      </c>
      <c r="B1116" s="571"/>
      <c r="C1116" s="577"/>
      <c r="D1116" s="577"/>
      <c r="E1116" s="577"/>
      <c r="F1116" s="577"/>
      <c r="G1116" s="577"/>
      <c r="H1116" s="376"/>
      <c r="I1116" s="376"/>
      <c r="J1116" s="376"/>
      <c r="K1116" s="376"/>
      <c r="L1116" s="376"/>
      <c r="M1116" s="376"/>
      <c r="N1116" s="376"/>
      <c r="O1116" s="376"/>
      <c r="P1116" s="378"/>
      <c r="Q1116" s="378"/>
      <c r="R1116" s="378"/>
      <c r="S1116" s="378"/>
      <c r="T1116" s="378"/>
      <c r="U1116" s="378"/>
      <c r="V1116" s="533"/>
      <c r="W1116" s="602"/>
      <c r="X1116" s="602"/>
      <c r="Y1116" s="378">
        <f>IF(NFI_Expiration=1,IF($A1116&lt;VLOOKUP(H$5,NFI,5,0),1,0)*Table_NFI[[#This Row],[Hygiene Kit]],Table_NFI[Hygiene Kit])</f>
        <v>0</v>
      </c>
      <c r="Z1116" s="378">
        <f>IF(NFI_Expiration=1,IF($A1116&lt;VLOOKUP(I$5,NFI,5,0),1,0)*Table_NFI[[#This Row],[NFI Core Kit]],Table_NFI[NFI Core Kit])</f>
        <v>0</v>
      </c>
      <c r="AA1116" s="378">
        <f>IF(NFI_Expiration=1,IF($A1116&lt;VLOOKUP(J$5,NFI,5,0),1,0)*Table_NFI[[#This Row],[Sanitary Kit]],Table_NFI[Sanitary Kit])</f>
        <v>0</v>
      </c>
      <c r="AB1116" s="378">
        <f>IF(NFI_Expiration=1,IF($A1116&lt;VLOOKUP(K$5,NFI,5,0),1,0)*Table_NFI[[#This Row],[Mosquito net]],Table_NFI[Mosquito net])</f>
        <v>0</v>
      </c>
      <c r="AC1116" s="378">
        <f>IF(NFI_Expiration=1,IF($A1116&lt;VLOOKUP(L$5,NFI,5,0),1,0)*Table_NFI[[#This Row],[Tarpaulin]],Table_NFI[[#This Row],[Tarpaulin]])</f>
        <v>0</v>
      </c>
      <c r="AD1116" s="378">
        <f>IF(NFI_Expiration=1,IF($A1116&lt;VLOOKUP(M$5,NFI,5,0),1,0)*Table_NFI[[#This Row],[Blanket]],Table_NFI[[#This Row],[Blanket]])</f>
        <v>0</v>
      </c>
      <c r="AE1116" s="378">
        <f>IF(NFI_Expiration=1,IF($A1116&lt;VLOOKUP(N$5,NFI,5,0),1,0)*Table_NFI[[#This Row],[Kitchen Set]],Table_NFI[Kitchen Set])</f>
        <v>0</v>
      </c>
      <c r="AF1116" s="378">
        <f>IF(NFI_Expiration=1,IF($A1116&lt;VLOOKUP(O$5,NFI,5,0),1,0)*Table_NFI[[#This Row],[Clothes Kit]],Table_NFI[Clothes Kit])</f>
        <v>0</v>
      </c>
      <c r="AG1116" s="378">
        <f>IF(NFI_Expiration=1,IF($A1116&lt;VLOOKUP(P$5,NFI,5,0),1,0)*Table_NFI[[#This Row],[Plastic Bucket]],Table_NFI[Plastic Bucket])</f>
        <v>0</v>
      </c>
      <c r="AH1116" s="378">
        <f>IF(NFI_Expiration=1,IF($A1116&lt;VLOOKUP(Q$5,NFI,5,0),1,0)*Table_NFI[[#This Row],[Plastic Mat]],Table_NFI[Plastic Mat])*IF(Table_NFI[[#This Row],[Distribution Date]]&gt;"2014-04-01",1,2.5)</f>
        <v>0</v>
      </c>
      <c r="AI1116" s="378">
        <f>IF(NFI_Expiration=1,IF($A1116&lt;VLOOKUP(R$5,NFI,5,0),1,0)*Table_NFI[[#This Row],[Winter Clothes Adult]],Table_NFI[Winter Clothes Adult])</f>
        <v>0</v>
      </c>
      <c r="AJ1116" s="378">
        <f>IF(NFI_Expiration=1,IF($A1116&lt;VLOOKUP(S$5,NFI,5,0),1,0)*Table_NFI[[#This Row],[Winter Clothes Children]],Table_NFI[Winter Clothes Children])</f>
        <v>0</v>
      </c>
      <c r="AK1116" s="378">
        <f>IF(NFI_Expiration=1,IF($A1116&lt;VLOOKUP(T$5,NFI,5,0),1,0)*Table_NFI[[#This Row],[Winter Items Other]],Table_NFI[Winter Items Other])</f>
        <v>0</v>
      </c>
      <c r="AL1116" s="378">
        <f>IF(NFI_Expiration=1,IF($A1116&lt;VLOOKUP(M$5,NFI,5,0),1,0)*Table_NFI[[#This Row],[Winter Blanket]],Table_NFI[[#This Row],[Winter Blanket]])</f>
        <v>0</v>
      </c>
      <c r="AM1116" s="378">
        <f>IF(Table_NFI[[#This Row],[Winter Clothes Adult]]+Table_NFI[[#This Row],[Winter Clothes Children]]+Table_NFI[[#This Row],[Winter Items Other]]+Table_NFI[[#This Row],[Winter Blanket]]&gt;0,1,0)</f>
        <v>0</v>
      </c>
      <c r="AN1116" s="418">
        <f>IF(NFI_Expiration=1,IF($A1116&lt;VLOOKUP(V$5,NFI,5,0),1,0)*Table_NFI[[#This Row],[Jerry Can]],Table_NFI[Jerry Can])</f>
        <v>0</v>
      </c>
      <c r="AO1116" s="579" t="str">
        <f>IFERROR(VLOOKUP(Table_NFI[[#This Row],[Camp Name]],CL,2,0),"")</f>
        <v/>
      </c>
      <c r="AP1116" s="574" t="str">
        <f ca="1">IF(Table_NFI[[#This Row],[Pcode]]="","",IF(OFFSET(CampList[Opening Date],MATCH(Table_NFI[[#This Row],[Pcode]],CampList[CP_Pcode],0)-1,0,1,1)&gt;=NFI_Monitor_Date,1,0))</f>
        <v/>
      </c>
      <c r="AQ1116" s="579" t="str">
        <f>IFERROR(VLOOKUP(Table_NFI[[#This Row],[Camp Name]],CL,3,0),"")</f>
        <v/>
      </c>
      <c r="AR1116" s="378" t="str">
        <f ca="1">IF(Table_NFI[[#This Row],[Pcode]]="","",OFFSET(CampList[Priority],MATCH(Table_NFI[[#This Row],[Pcode]],CampList[CP_Pcode],0)-1,0,1,1))</f>
        <v/>
      </c>
      <c r="AS1116" s="377" t="str">
        <f>IFERROR(Table_NFI[[#This Row],[Kitchen Set]]/VLOOKUP(Table_NFI[[#This Row],[Camp Name]],CL,4,0),"")</f>
        <v/>
      </c>
      <c r="AT1116" s="577"/>
      <c r="AU1116" s="580"/>
    </row>
    <row r="1117" spans="1:47" x14ac:dyDescent="0.25">
      <c r="A1117" s="381" t="str">
        <f t="shared" si="17"/>
        <v/>
      </c>
      <c r="B1117" s="571"/>
      <c r="C1117" s="577"/>
      <c r="D1117" s="577"/>
      <c r="E1117" s="577"/>
      <c r="F1117" s="577"/>
      <c r="G1117" s="577"/>
      <c r="H1117" s="376"/>
      <c r="I1117" s="376"/>
      <c r="J1117" s="376"/>
      <c r="K1117" s="376"/>
      <c r="L1117" s="376"/>
      <c r="M1117" s="376"/>
      <c r="N1117" s="376"/>
      <c r="O1117" s="376"/>
      <c r="P1117" s="378"/>
      <c r="Q1117" s="378"/>
      <c r="R1117" s="378"/>
      <c r="S1117" s="378"/>
      <c r="T1117" s="378"/>
      <c r="U1117" s="378"/>
      <c r="V1117" s="533"/>
      <c r="W1117" s="602"/>
      <c r="X1117" s="602"/>
      <c r="Y1117" s="378">
        <f>IF(NFI_Expiration=1,IF($A1117&lt;VLOOKUP(H$5,NFI,5,0),1,0)*Table_NFI[[#This Row],[Hygiene Kit]],Table_NFI[Hygiene Kit])</f>
        <v>0</v>
      </c>
      <c r="Z1117" s="378">
        <f>IF(NFI_Expiration=1,IF($A1117&lt;VLOOKUP(I$5,NFI,5,0),1,0)*Table_NFI[[#This Row],[NFI Core Kit]],Table_NFI[NFI Core Kit])</f>
        <v>0</v>
      </c>
      <c r="AA1117" s="378">
        <f>IF(NFI_Expiration=1,IF($A1117&lt;VLOOKUP(J$5,NFI,5,0),1,0)*Table_NFI[[#This Row],[Sanitary Kit]],Table_NFI[Sanitary Kit])</f>
        <v>0</v>
      </c>
      <c r="AB1117" s="378">
        <f>IF(NFI_Expiration=1,IF($A1117&lt;VLOOKUP(K$5,NFI,5,0),1,0)*Table_NFI[[#This Row],[Mosquito net]],Table_NFI[Mosquito net])</f>
        <v>0</v>
      </c>
      <c r="AC1117" s="378">
        <f>IF(NFI_Expiration=1,IF($A1117&lt;VLOOKUP(L$5,NFI,5,0),1,0)*Table_NFI[[#This Row],[Tarpaulin]],Table_NFI[[#This Row],[Tarpaulin]])</f>
        <v>0</v>
      </c>
      <c r="AD1117" s="378">
        <f>IF(NFI_Expiration=1,IF($A1117&lt;VLOOKUP(M$5,NFI,5,0),1,0)*Table_NFI[[#This Row],[Blanket]],Table_NFI[[#This Row],[Blanket]])</f>
        <v>0</v>
      </c>
      <c r="AE1117" s="378">
        <f>IF(NFI_Expiration=1,IF($A1117&lt;VLOOKUP(N$5,NFI,5,0),1,0)*Table_NFI[[#This Row],[Kitchen Set]],Table_NFI[Kitchen Set])</f>
        <v>0</v>
      </c>
      <c r="AF1117" s="378">
        <f>IF(NFI_Expiration=1,IF($A1117&lt;VLOOKUP(O$5,NFI,5,0),1,0)*Table_NFI[[#This Row],[Clothes Kit]],Table_NFI[Clothes Kit])</f>
        <v>0</v>
      </c>
      <c r="AG1117" s="378">
        <f>IF(NFI_Expiration=1,IF($A1117&lt;VLOOKUP(P$5,NFI,5,0),1,0)*Table_NFI[[#This Row],[Plastic Bucket]],Table_NFI[Plastic Bucket])</f>
        <v>0</v>
      </c>
      <c r="AH1117" s="378">
        <f>IF(NFI_Expiration=1,IF($A1117&lt;VLOOKUP(Q$5,NFI,5,0),1,0)*Table_NFI[[#This Row],[Plastic Mat]],Table_NFI[Plastic Mat])*IF(Table_NFI[[#This Row],[Distribution Date]]&gt;"2014-04-01",1,2.5)</f>
        <v>0</v>
      </c>
      <c r="AI1117" s="378">
        <f>IF(NFI_Expiration=1,IF($A1117&lt;VLOOKUP(R$5,NFI,5,0),1,0)*Table_NFI[[#This Row],[Winter Clothes Adult]],Table_NFI[Winter Clothes Adult])</f>
        <v>0</v>
      </c>
      <c r="AJ1117" s="378">
        <f>IF(NFI_Expiration=1,IF($A1117&lt;VLOOKUP(S$5,NFI,5,0),1,0)*Table_NFI[[#This Row],[Winter Clothes Children]],Table_NFI[Winter Clothes Children])</f>
        <v>0</v>
      </c>
      <c r="AK1117" s="378">
        <f>IF(NFI_Expiration=1,IF($A1117&lt;VLOOKUP(T$5,NFI,5,0),1,0)*Table_NFI[[#This Row],[Winter Items Other]],Table_NFI[Winter Items Other])</f>
        <v>0</v>
      </c>
      <c r="AL1117" s="378">
        <f>IF(NFI_Expiration=1,IF($A1117&lt;VLOOKUP(M$5,NFI,5,0),1,0)*Table_NFI[[#This Row],[Winter Blanket]],Table_NFI[[#This Row],[Winter Blanket]])</f>
        <v>0</v>
      </c>
      <c r="AM1117" s="378">
        <f>IF(Table_NFI[[#This Row],[Winter Clothes Adult]]+Table_NFI[[#This Row],[Winter Clothes Children]]+Table_NFI[[#This Row],[Winter Items Other]]+Table_NFI[[#This Row],[Winter Blanket]]&gt;0,1,0)</f>
        <v>0</v>
      </c>
      <c r="AN1117" s="418">
        <f>IF(NFI_Expiration=1,IF($A1117&lt;VLOOKUP(V$5,NFI,5,0),1,0)*Table_NFI[[#This Row],[Jerry Can]],Table_NFI[Jerry Can])</f>
        <v>0</v>
      </c>
      <c r="AO1117" s="579" t="str">
        <f>IFERROR(VLOOKUP(Table_NFI[[#This Row],[Camp Name]],CL,2,0),"")</f>
        <v/>
      </c>
      <c r="AP1117" s="574" t="str">
        <f ca="1">IF(Table_NFI[[#This Row],[Pcode]]="","",IF(OFFSET(CampList[Opening Date],MATCH(Table_NFI[[#This Row],[Pcode]],CampList[CP_Pcode],0)-1,0,1,1)&gt;=NFI_Monitor_Date,1,0))</f>
        <v/>
      </c>
      <c r="AQ1117" s="579" t="str">
        <f>IFERROR(VLOOKUP(Table_NFI[[#This Row],[Camp Name]],CL,3,0),"")</f>
        <v/>
      </c>
      <c r="AR1117" s="378" t="str">
        <f ca="1">IF(Table_NFI[[#This Row],[Pcode]]="","",OFFSET(CampList[Priority],MATCH(Table_NFI[[#This Row],[Pcode]],CampList[CP_Pcode],0)-1,0,1,1))</f>
        <v/>
      </c>
      <c r="AS1117" s="377" t="str">
        <f>IFERROR(Table_NFI[[#This Row],[Kitchen Set]]/VLOOKUP(Table_NFI[[#This Row],[Camp Name]],CL,4,0),"")</f>
        <v/>
      </c>
      <c r="AT1117" s="577"/>
      <c r="AU1117" s="580"/>
    </row>
    <row r="1118" spans="1:47" x14ac:dyDescent="0.25">
      <c r="A1118" s="381" t="str">
        <f t="shared" si="17"/>
        <v/>
      </c>
      <c r="B1118" s="571"/>
      <c r="C1118" s="577"/>
      <c r="D1118" s="577"/>
      <c r="E1118" s="577"/>
      <c r="F1118" s="577"/>
      <c r="G1118" s="577"/>
      <c r="H1118" s="376"/>
      <c r="I1118" s="376"/>
      <c r="J1118" s="376"/>
      <c r="K1118" s="376"/>
      <c r="L1118" s="376"/>
      <c r="M1118" s="376"/>
      <c r="N1118" s="376"/>
      <c r="O1118" s="376"/>
      <c r="P1118" s="378"/>
      <c r="Q1118" s="378"/>
      <c r="R1118" s="378"/>
      <c r="S1118" s="378"/>
      <c r="T1118" s="378"/>
      <c r="U1118" s="378"/>
      <c r="V1118" s="533"/>
      <c r="W1118" s="602"/>
      <c r="X1118" s="602"/>
      <c r="Y1118" s="378">
        <f>IF(NFI_Expiration=1,IF($A1118&lt;VLOOKUP(H$5,NFI,5,0),1,0)*Table_NFI[[#This Row],[Hygiene Kit]],Table_NFI[Hygiene Kit])</f>
        <v>0</v>
      </c>
      <c r="Z1118" s="378">
        <f>IF(NFI_Expiration=1,IF($A1118&lt;VLOOKUP(I$5,NFI,5,0),1,0)*Table_NFI[[#This Row],[NFI Core Kit]],Table_NFI[NFI Core Kit])</f>
        <v>0</v>
      </c>
      <c r="AA1118" s="378">
        <f>IF(NFI_Expiration=1,IF($A1118&lt;VLOOKUP(J$5,NFI,5,0),1,0)*Table_NFI[[#This Row],[Sanitary Kit]],Table_NFI[Sanitary Kit])</f>
        <v>0</v>
      </c>
      <c r="AB1118" s="378">
        <f>IF(NFI_Expiration=1,IF($A1118&lt;VLOOKUP(K$5,NFI,5,0),1,0)*Table_NFI[[#This Row],[Mosquito net]],Table_NFI[Mosquito net])</f>
        <v>0</v>
      </c>
      <c r="AC1118" s="378">
        <f>IF(NFI_Expiration=1,IF($A1118&lt;VLOOKUP(L$5,NFI,5,0),1,0)*Table_NFI[[#This Row],[Tarpaulin]],Table_NFI[[#This Row],[Tarpaulin]])</f>
        <v>0</v>
      </c>
      <c r="AD1118" s="378">
        <f>IF(NFI_Expiration=1,IF($A1118&lt;VLOOKUP(M$5,NFI,5,0),1,0)*Table_NFI[[#This Row],[Blanket]],Table_NFI[[#This Row],[Blanket]])</f>
        <v>0</v>
      </c>
      <c r="AE1118" s="378">
        <f>IF(NFI_Expiration=1,IF($A1118&lt;VLOOKUP(N$5,NFI,5,0),1,0)*Table_NFI[[#This Row],[Kitchen Set]],Table_NFI[Kitchen Set])</f>
        <v>0</v>
      </c>
      <c r="AF1118" s="378">
        <f>IF(NFI_Expiration=1,IF($A1118&lt;VLOOKUP(O$5,NFI,5,0),1,0)*Table_NFI[[#This Row],[Clothes Kit]],Table_NFI[Clothes Kit])</f>
        <v>0</v>
      </c>
      <c r="AG1118" s="378">
        <f>IF(NFI_Expiration=1,IF($A1118&lt;VLOOKUP(P$5,NFI,5,0),1,0)*Table_NFI[[#This Row],[Plastic Bucket]],Table_NFI[Plastic Bucket])</f>
        <v>0</v>
      </c>
      <c r="AH1118" s="378">
        <f>IF(NFI_Expiration=1,IF($A1118&lt;VLOOKUP(Q$5,NFI,5,0),1,0)*Table_NFI[[#This Row],[Plastic Mat]],Table_NFI[Plastic Mat])*IF(Table_NFI[[#This Row],[Distribution Date]]&gt;"2014-04-01",1,2.5)</f>
        <v>0</v>
      </c>
      <c r="AI1118" s="378">
        <f>IF(NFI_Expiration=1,IF($A1118&lt;VLOOKUP(R$5,NFI,5,0),1,0)*Table_NFI[[#This Row],[Winter Clothes Adult]],Table_NFI[Winter Clothes Adult])</f>
        <v>0</v>
      </c>
      <c r="AJ1118" s="378">
        <f>IF(NFI_Expiration=1,IF($A1118&lt;VLOOKUP(S$5,NFI,5,0),1,0)*Table_NFI[[#This Row],[Winter Clothes Children]],Table_NFI[Winter Clothes Children])</f>
        <v>0</v>
      </c>
      <c r="AK1118" s="378">
        <f>IF(NFI_Expiration=1,IF($A1118&lt;VLOOKUP(T$5,NFI,5,0),1,0)*Table_NFI[[#This Row],[Winter Items Other]],Table_NFI[Winter Items Other])</f>
        <v>0</v>
      </c>
      <c r="AL1118" s="378">
        <f>IF(NFI_Expiration=1,IF($A1118&lt;VLOOKUP(M$5,NFI,5,0),1,0)*Table_NFI[[#This Row],[Winter Blanket]],Table_NFI[[#This Row],[Winter Blanket]])</f>
        <v>0</v>
      </c>
      <c r="AM1118" s="378">
        <f>IF(Table_NFI[[#This Row],[Winter Clothes Adult]]+Table_NFI[[#This Row],[Winter Clothes Children]]+Table_NFI[[#This Row],[Winter Items Other]]+Table_NFI[[#This Row],[Winter Blanket]]&gt;0,1,0)</f>
        <v>0</v>
      </c>
      <c r="AN1118" s="418">
        <f>IF(NFI_Expiration=1,IF($A1118&lt;VLOOKUP(V$5,NFI,5,0),1,0)*Table_NFI[[#This Row],[Jerry Can]],Table_NFI[Jerry Can])</f>
        <v>0</v>
      </c>
      <c r="AO1118" s="579" t="str">
        <f>IFERROR(VLOOKUP(Table_NFI[[#This Row],[Camp Name]],CL,2,0),"")</f>
        <v/>
      </c>
      <c r="AP1118" s="574" t="str">
        <f ca="1">IF(Table_NFI[[#This Row],[Pcode]]="","",IF(OFFSET(CampList[Opening Date],MATCH(Table_NFI[[#This Row],[Pcode]],CampList[CP_Pcode],0)-1,0,1,1)&gt;=NFI_Monitor_Date,1,0))</f>
        <v/>
      </c>
      <c r="AQ1118" s="579" t="str">
        <f>IFERROR(VLOOKUP(Table_NFI[[#This Row],[Camp Name]],CL,3,0),"")</f>
        <v/>
      </c>
      <c r="AR1118" s="378" t="str">
        <f ca="1">IF(Table_NFI[[#This Row],[Pcode]]="","",OFFSET(CampList[Priority],MATCH(Table_NFI[[#This Row],[Pcode]],CampList[CP_Pcode],0)-1,0,1,1))</f>
        <v/>
      </c>
      <c r="AS1118" s="377" t="str">
        <f>IFERROR(Table_NFI[[#This Row],[Kitchen Set]]/VLOOKUP(Table_NFI[[#This Row],[Camp Name]],CL,4,0),"")</f>
        <v/>
      </c>
      <c r="AT1118" s="577"/>
      <c r="AU1118" s="580"/>
    </row>
    <row r="1119" spans="1:47" x14ac:dyDescent="0.25">
      <c r="A1119" s="381" t="str">
        <f t="shared" si="17"/>
        <v/>
      </c>
      <c r="B1119" s="571"/>
      <c r="C1119" s="577"/>
      <c r="D1119" s="577"/>
      <c r="E1119" s="577"/>
      <c r="F1119" s="577"/>
      <c r="G1119" s="577"/>
      <c r="H1119" s="376"/>
      <c r="I1119" s="376"/>
      <c r="J1119" s="376"/>
      <c r="K1119" s="376"/>
      <c r="L1119" s="376"/>
      <c r="M1119" s="376"/>
      <c r="N1119" s="376"/>
      <c r="O1119" s="376"/>
      <c r="P1119" s="378"/>
      <c r="Q1119" s="378"/>
      <c r="R1119" s="378"/>
      <c r="S1119" s="378"/>
      <c r="T1119" s="378"/>
      <c r="U1119" s="378"/>
      <c r="V1119" s="533"/>
      <c r="W1119" s="602"/>
      <c r="X1119" s="602"/>
      <c r="Y1119" s="378">
        <f>IF(NFI_Expiration=1,IF($A1119&lt;VLOOKUP(H$5,NFI,5,0),1,0)*Table_NFI[[#This Row],[Hygiene Kit]],Table_NFI[Hygiene Kit])</f>
        <v>0</v>
      </c>
      <c r="Z1119" s="378">
        <f>IF(NFI_Expiration=1,IF($A1119&lt;VLOOKUP(I$5,NFI,5,0),1,0)*Table_NFI[[#This Row],[NFI Core Kit]],Table_NFI[NFI Core Kit])</f>
        <v>0</v>
      </c>
      <c r="AA1119" s="378">
        <f>IF(NFI_Expiration=1,IF($A1119&lt;VLOOKUP(J$5,NFI,5,0),1,0)*Table_NFI[[#This Row],[Sanitary Kit]],Table_NFI[Sanitary Kit])</f>
        <v>0</v>
      </c>
      <c r="AB1119" s="378">
        <f>IF(NFI_Expiration=1,IF($A1119&lt;VLOOKUP(K$5,NFI,5,0),1,0)*Table_NFI[[#This Row],[Mosquito net]],Table_NFI[Mosquito net])</f>
        <v>0</v>
      </c>
      <c r="AC1119" s="378">
        <f>IF(NFI_Expiration=1,IF($A1119&lt;VLOOKUP(L$5,NFI,5,0),1,0)*Table_NFI[[#This Row],[Tarpaulin]],Table_NFI[[#This Row],[Tarpaulin]])</f>
        <v>0</v>
      </c>
      <c r="AD1119" s="378">
        <f>IF(NFI_Expiration=1,IF($A1119&lt;VLOOKUP(M$5,NFI,5,0),1,0)*Table_NFI[[#This Row],[Blanket]],Table_NFI[[#This Row],[Blanket]])</f>
        <v>0</v>
      </c>
      <c r="AE1119" s="378">
        <f>IF(NFI_Expiration=1,IF($A1119&lt;VLOOKUP(N$5,NFI,5,0),1,0)*Table_NFI[[#This Row],[Kitchen Set]],Table_NFI[Kitchen Set])</f>
        <v>0</v>
      </c>
      <c r="AF1119" s="378">
        <f>IF(NFI_Expiration=1,IF($A1119&lt;VLOOKUP(O$5,NFI,5,0),1,0)*Table_NFI[[#This Row],[Clothes Kit]],Table_NFI[Clothes Kit])</f>
        <v>0</v>
      </c>
      <c r="AG1119" s="378">
        <f>IF(NFI_Expiration=1,IF($A1119&lt;VLOOKUP(P$5,NFI,5,0),1,0)*Table_NFI[[#This Row],[Plastic Bucket]],Table_NFI[Plastic Bucket])</f>
        <v>0</v>
      </c>
      <c r="AH1119" s="378">
        <f>IF(NFI_Expiration=1,IF($A1119&lt;VLOOKUP(Q$5,NFI,5,0),1,0)*Table_NFI[[#This Row],[Plastic Mat]],Table_NFI[Plastic Mat])*IF(Table_NFI[[#This Row],[Distribution Date]]&gt;"2014-04-01",1,2.5)</f>
        <v>0</v>
      </c>
      <c r="AI1119" s="378">
        <f>IF(NFI_Expiration=1,IF($A1119&lt;VLOOKUP(R$5,NFI,5,0),1,0)*Table_NFI[[#This Row],[Winter Clothes Adult]],Table_NFI[Winter Clothes Adult])</f>
        <v>0</v>
      </c>
      <c r="AJ1119" s="378">
        <f>IF(NFI_Expiration=1,IF($A1119&lt;VLOOKUP(S$5,NFI,5,0),1,0)*Table_NFI[[#This Row],[Winter Clothes Children]],Table_NFI[Winter Clothes Children])</f>
        <v>0</v>
      </c>
      <c r="AK1119" s="378">
        <f>IF(NFI_Expiration=1,IF($A1119&lt;VLOOKUP(T$5,NFI,5,0),1,0)*Table_NFI[[#This Row],[Winter Items Other]],Table_NFI[Winter Items Other])</f>
        <v>0</v>
      </c>
      <c r="AL1119" s="378">
        <f>IF(NFI_Expiration=1,IF($A1119&lt;VLOOKUP(M$5,NFI,5,0),1,0)*Table_NFI[[#This Row],[Winter Blanket]],Table_NFI[[#This Row],[Winter Blanket]])</f>
        <v>0</v>
      </c>
      <c r="AM1119" s="378">
        <f>IF(Table_NFI[[#This Row],[Winter Clothes Adult]]+Table_NFI[[#This Row],[Winter Clothes Children]]+Table_NFI[[#This Row],[Winter Items Other]]+Table_NFI[[#This Row],[Winter Blanket]]&gt;0,1,0)</f>
        <v>0</v>
      </c>
      <c r="AN1119" s="418">
        <f>IF(NFI_Expiration=1,IF($A1119&lt;VLOOKUP(V$5,NFI,5,0),1,0)*Table_NFI[[#This Row],[Jerry Can]],Table_NFI[Jerry Can])</f>
        <v>0</v>
      </c>
      <c r="AO1119" s="579" t="str">
        <f>IFERROR(VLOOKUP(Table_NFI[[#This Row],[Camp Name]],CL,2,0),"")</f>
        <v/>
      </c>
      <c r="AP1119" s="574" t="str">
        <f ca="1">IF(Table_NFI[[#This Row],[Pcode]]="","",IF(OFFSET(CampList[Opening Date],MATCH(Table_NFI[[#This Row],[Pcode]],CampList[CP_Pcode],0)-1,0,1,1)&gt;=NFI_Monitor_Date,1,0))</f>
        <v/>
      </c>
      <c r="AQ1119" s="579" t="str">
        <f>IFERROR(VLOOKUP(Table_NFI[[#This Row],[Camp Name]],CL,3,0),"")</f>
        <v/>
      </c>
      <c r="AR1119" s="378" t="str">
        <f ca="1">IF(Table_NFI[[#This Row],[Pcode]]="","",OFFSET(CampList[Priority],MATCH(Table_NFI[[#This Row],[Pcode]],CampList[CP_Pcode],0)-1,0,1,1))</f>
        <v/>
      </c>
      <c r="AS1119" s="377" t="str">
        <f>IFERROR(Table_NFI[[#This Row],[Kitchen Set]]/VLOOKUP(Table_NFI[[#This Row],[Camp Name]],CL,4,0),"")</f>
        <v/>
      </c>
      <c r="AT1119" s="577"/>
      <c r="AU1119" s="580"/>
    </row>
    <row r="1120" spans="1:47" x14ac:dyDescent="0.25">
      <c r="A1120" s="381" t="str">
        <f t="shared" si="17"/>
        <v/>
      </c>
      <c r="B1120" s="571"/>
      <c r="C1120" s="577"/>
      <c r="D1120" s="577"/>
      <c r="E1120" s="577"/>
      <c r="F1120" s="577"/>
      <c r="G1120" s="577"/>
      <c r="H1120" s="376"/>
      <c r="I1120" s="376"/>
      <c r="J1120" s="376"/>
      <c r="K1120" s="376"/>
      <c r="L1120" s="376"/>
      <c r="M1120" s="376"/>
      <c r="N1120" s="376"/>
      <c r="O1120" s="376"/>
      <c r="P1120" s="378"/>
      <c r="Q1120" s="378"/>
      <c r="R1120" s="378"/>
      <c r="S1120" s="378"/>
      <c r="T1120" s="378"/>
      <c r="U1120" s="378"/>
      <c r="V1120" s="533"/>
      <c r="W1120" s="602"/>
      <c r="X1120" s="602"/>
      <c r="Y1120" s="378">
        <f>IF(NFI_Expiration=1,IF($A1120&lt;VLOOKUP(H$5,NFI,5,0),1,0)*Table_NFI[[#This Row],[Hygiene Kit]],Table_NFI[Hygiene Kit])</f>
        <v>0</v>
      </c>
      <c r="Z1120" s="378">
        <f>IF(NFI_Expiration=1,IF($A1120&lt;VLOOKUP(I$5,NFI,5,0),1,0)*Table_NFI[[#This Row],[NFI Core Kit]],Table_NFI[NFI Core Kit])</f>
        <v>0</v>
      </c>
      <c r="AA1120" s="378">
        <f>IF(NFI_Expiration=1,IF($A1120&lt;VLOOKUP(J$5,NFI,5,0),1,0)*Table_NFI[[#This Row],[Sanitary Kit]],Table_NFI[Sanitary Kit])</f>
        <v>0</v>
      </c>
      <c r="AB1120" s="378">
        <f>IF(NFI_Expiration=1,IF($A1120&lt;VLOOKUP(K$5,NFI,5,0),1,0)*Table_NFI[[#This Row],[Mosquito net]],Table_NFI[Mosquito net])</f>
        <v>0</v>
      </c>
      <c r="AC1120" s="378">
        <f>IF(NFI_Expiration=1,IF($A1120&lt;VLOOKUP(L$5,NFI,5,0),1,0)*Table_NFI[[#This Row],[Tarpaulin]],Table_NFI[[#This Row],[Tarpaulin]])</f>
        <v>0</v>
      </c>
      <c r="AD1120" s="378">
        <f>IF(NFI_Expiration=1,IF($A1120&lt;VLOOKUP(M$5,NFI,5,0),1,0)*Table_NFI[[#This Row],[Blanket]],Table_NFI[[#This Row],[Blanket]])</f>
        <v>0</v>
      </c>
      <c r="AE1120" s="378">
        <f>IF(NFI_Expiration=1,IF($A1120&lt;VLOOKUP(N$5,NFI,5,0),1,0)*Table_NFI[[#This Row],[Kitchen Set]],Table_NFI[Kitchen Set])</f>
        <v>0</v>
      </c>
      <c r="AF1120" s="378">
        <f>IF(NFI_Expiration=1,IF($A1120&lt;VLOOKUP(O$5,NFI,5,0),1,0)*Table_NFI[[#This Row],[Clothes Kit]],Table_NFI[Clothes Kit])</f>
        <v>0</v>
      </c>
      <c r="AG1120" s="378">
        <f>IF(NFI_Expiration=1,IF($A1120&lt;VLOOKUP(P$5,NFI,5,0),1,0)*Table_NFI[[#This Row],[Plastic Bucket]],Table_NFI[Plastic Bucket])</f>
        <v>0</v>
      </c>
      <c r="AH1120" s="378">
        <f>IF(NFI_Expiration=1,IF($A1120&lt;VLOOKUP(Q$5,NFI,5,0),1,0)*Table_NFI[[#This Row],[Plastic Mat]],Table_NFI[Plastic Mat])*IF(Table_NFI[[#This Row],[Distribution Date]]&gt;"2014-04-01",1,2.5)</f>
        <v>0</v>
      </c>
      <c r="AI1120" s="378">
        <f>IF(NFI_Expiration=1,IF($A1120&lt;VLOOKUP(R$5,NFI,5,0),1,0)*Table_NFI[[#This Row],[Winter Clothes Adult]],Table_NFI[Winter Clothes Adult])</f>
        <v>0</v>
      </c>
      <c r="AJ1120" s="378">
        <f>IF(NFI_Expiration=1,IF($A1120&lt;VLOOKUP(S$5,NFI,5,0),1,0)*Table_NFI[[#This Row],[Winter Clothes Children]],Table_NFI[Winter Clothes Children])</f>
        <v>0</v>
      </c>
      <c r="AK1120" s="378">
        <f>IF(NFI_Expiration=1,IF($A1120&lt;VLOOKUP(T$5,NFI,5,0),1,0)*Table_NFI[[#This Row],[Winter Items Other]],Table_NFI[Winter Items Other])</f>
        <v>0</v>
      </c>
      <c r="AL1120" s="378">
        <f>IF(NFI_Expiration=1,IF($A1120&lt;VLOOKUP(M$5,NFI,5,0),1,0)*Table_NFI[[#This Row],[Winter Blanket]],Table_NFI[[#This Row],[Winter Blanket]])</f>
        <v>0</v>
      </c>
      <c r="AM1120" s="378">
        <f>IF(Table_NFI[[#This Row],[Winter Clothes Adult]]+Table_NFI[[#This Row],[Winter Clothes Children]]+Table_NFI[[#This Row],[Winter Items Other]]+Table_NFI[[#This Row],[Winter Blanket]]&gt;0,1,0)</f>
        <v>0</v>
      </c>
      <c r="AN1120" s="418">
        <f>IF(NFI_Expiration=1,IF($A1120&lt;VLOOKUP(V$5,NFI,5,0),1,0)*Table_NFI[[#This Row],[Jerry Can]],Table_NFI[Jerry Can])</f>
        <v>0</v>
      </c>
      <c r="AO1120" s="579" t="str">
        <f>IFERROR(VLOOKUP(Table_NFI[[#This Row],[Camp Name]],CL,2,0),"")</f>
        <v/>
      </c>
      <c r="AP1120" s="574" t="str">
        <f ca="1">IF(Table_NFI[[#This Row],[Pcode]]="","",IF(OFFSET(CampList[Opening Date],MATCH(Table_NFI[[#This Row],[Pcode]],CampList[CP_Pcode],0)-1,0,1,1)&gt;=NFI_Monitor_Date,1,0))</f>
        <v/>
      </c>
      <c r="AQ1120" s="579" t="str">
        <f>IFERROR(VLOOKUP(Table_NFI[[#This Row],[Camp Name]],CL,3,0),"")</f>
        <v/>
      </c>
      <c r="AR1120" s="378" t="str">
        <f ca="1">IF(Table_NFI[[#This Row],[Pcode]]="","",OFFSET(CampList[Priority],MATCH(Table_NFI[[#This Row],[Pcode]],CampList[CP_Pcode],0)-1,0,1,1))</f>
        <v/>
      </c>
      <c r="AS1120" s="377" t="str">
        <f>IFERROR(Table_NFI[[#This Row],[Kitchen Set]]/VLOOKUP(Table_NFI[[#This Row],[Camp Name]],CL,4,0),"")</f>
        <v/>
      </c>
      <c r="AT1120" s="577"/>
      <c r="AU1120" s="580"/>
    </row>
    <row r="1121" spans="1:47" x14ac:dyDescent="0.25">
      <c r="A1121" s="381" t="str">
        <f t="shared" si="17"/>
        <v/>
      </c>
      <c r="B1121" s="571"/>
      <c r="C1121" s="577"/>
      <c r="D1121" s="577"/>
      <c r="E1121" s="577"/>
      <c r="F1121" s="577"/>
      <c r="G1121" s="577"/>
      <c r="H1121" s="376"/>
      <c r="I1121" s="376"/>
      <c r="J1121" s="376"/>
      <c r="K1121" s="376"/>
      <c r="L1121" s="376"/>
      <c r="M1121" s="376"/>
      <c r="N1121" s="376"/>
      <c r="O1121" s="376"/>
      <c r="P1121" s="378"/>
      <c r="Q1121" s="378"/>
      <c r="R1121" s="378"/>
      <c r="S1121" s="378"/>
      <c r="T1121" s="378"/>
      <c r="U1121" s="378"/>
      <c r="V1121" s="533"/>
      <c r="W1121" s="602"/>
      <c r="X1121" s="602"/>
      <c r="Y1121" s="378">
        <f>IF(NFI_Expiration=1,IF($A1121&lt;VLOOKUP(H$5,NFI,5,0),1,0)*Table_NFI[[#This Row],[Hygiene Kit]],Table_NFI[Hygiene Kit])</f>
        <v>0</v>
      </c>
      <c r="Z1121" s="378">
        <f>IF(NFI_Expiration=1,IF($A1121&lt;VLOOKUP(I$5,NFI,5,0),1,0)*Table_NFI[[#This Row],[NFI Core Kit]],Table_NFI[NFI Core Kit])</f>
        <v>0</v>
      </c>
      <c r="AA1121" s="378">
        <f>IF(NFI_Expiration=1,IF($A1121&lt;VLOOKUP(J$5,NFI,5,0),1,0)*Table_NFI[[#This Row],[Sanitary Kit]],Table_NFI[Sanitary Kit])</f>
        <v>0</v>
      </c>
      <c r="AB1121" s="378">
        <f>IF(NFI_Expiration=1,IF($A1121&lt;VLOOKUP(K$5,NFI,5,0),1,0)*Table_NFI[[#This Row],[Mosquito net]],Table_NFI[Mosquito net])</f>
        <v>0</v>
      </c>
      <c r="AC1121" s="378">
        <f>IF(NFI_Expiration=1,IF($A1121&lt;VLOOKUP(L$5,NFI,5,0),1,0)*Table_NFI[[#This Row],[Tarpaulin]],Table_NFI[[#This Row],[Tarpaulin]])</f>
        <v>0</v>
      </c>
      <c r="AD1121" s="378">
        <f>IF(NFI_Expiration=1,IF($A1121&lt;VLOOKUP(M$5,NFI,5,0),1,0)*Table_NFI[[#This Row],[Blanket]],Table_NFI[[#This Row],[Blanket]])</f>
        <v>0</v>
      </c>
      <c r="AE1121" s="378">
        <f>IF(NFI_Expiration=1,IF($A1121&lt;VLOOKUP(N$5,NFI,5,0),1,0)*Table_NFI[[#This Row],[Kitchen Set]],Table_NFI[Kitchen Set])</f>
        <v>0</v>
      </c>
      <c r="AF1121" s="378">
        <f>IF(NFI_Expiration=1,IF($A1121&lt;VLOOKUP(O$5,NFI,5,0),1,0)*Table_NFI[[#This Row],[Clothes Kit]],Table_NFI[Clothes Kit])</f>
        <v>0</v>
      </c>
      <c r="AG1121" s="378">
        <f>IF(NFI_Expiration=1,IF($A1121&lt;VLOOKUP(P$5,NFI,5,0),1,0)*Table_NFI[[#This Row],[Plastic Bucket]],Table_NFI[Plastic Bucket])</f>
        <v>0</v>
      </c>
      <c r="AH1121" s="378">
        <f>IF(NFI_Expiration=1,IF($A1121&lt;VLOOKUP(Q$5,NFI,5,0),1,0)*Table_NFI[[#This Row],[Plastic Mat]],Table_NFI[Plastic Mat])*IF(Table_NFI[[#This Row],[Distribution Date]]&gt;"2014-04-01",1,2.5)</f>
        <v>0</v>
      </c>
      <c r="AI1121" s="378">
        <f>IF(NFI_Expiration=1,IF($A1121&lt;VLOOKUP(R$5,NFI,5,0),1,0)*Table_NFI[[#This Row],[Winter Clothes Adult]],Table_NFI[Winter Clothes Adult])</f>
        <v>0</v>
      </c>
      <c r="AJ1121" s="378">
        <f>IF(NFI_Expiration=1,IF($A1121&lt;VLOOKUP(S$5,NFI,5,0),1,0)*Table_NFI[[#This Row],[Winter Clothes Children]],Table_NFI[Winter Clothes Children])</f>
        <v>0</v>
      </c>
      <c r="AK1121" s="378">
        <f>IF(NFI_Expiration=1,IF($A1121&lt;VLOOKUP(T$5,NFI,5,0),1,0)*Table_NFI[[#This Row],[Winter Items Other]],Table_NFI[Winter Items Other])</f>
        <v>0</v>
      </c>
      <c r="AL1121" s="378">
        <f>IF(NFI_Expiration=1,IF($A1121&lt;VLOOKUP(M$5,NFI,5,0),1,0)*Table_NFI[[#This Row],[Winter Blanket]],Table_NFI[[#This Row],[Winter Blanket]])</f>
        <v>0</v>
      </c>
      <c r="AM1121" s="378">
        <f>IF(Table_NFI[[#This Row],[Winter Clothes Adult]]+Table_NFI[[#This Row],[Winter Clothes Children]]+Table_NFI[[#This Row],[Winter Items Other]]+Table_NFI[[#This Row],[Winter Blanket]]&gt;0,1,0)</f>
        <v>0</v>
      </c>
      <c r="AN1121" s="418">
        <f>IF(NFI_Expiration=1,IF($A1121&lt;VLOOKUP(V$5,NFI,5,0),1,0)*Table_NFI[[#This Row],[Jerry Can]],Table_NFI[Jerry Can])</f>
        <v>0</v>
      </c>
      <c r="AO1121" s="579" t="str">
        <f>IFERROR(VLOOKUP(Table_NFI[[#This Row],[Camp Name]],CL,2,0),"")</f>
        <v/>
      </c>
      <c r="AP1121" s="574" t="str">
        <f ca="1">IF(Table_NFI[[#This Row],[Pcode]]="","",IF(OFFSET(CampList[Opening Date],MATCH(Table_NFI[[#This Row],[Pcode]],CampList[CP_Pcode],0)-1,0,1,1)&gt;=NFI_Monitor_Date,1,0))</f>
        <v/>
      </c>
      <c r="AQ1121" s="579" t="str">
        <f>IFERROR(VLOOKUP(Table_NFI[[#This Row],[Camp Name]],CL,3,0),"")</f>
        <v/>
      </c>
      <c r="AR1121" s="378" t="str">
        <f ca="1">IF(Table_NFI[[#This Row],[Pcode]]="","",OFFSET(CampList[Priority],MATCH(Table_NFI[[#This Row],[Pcode]],CampList[CP_Pcode],0)-1,0,1,1))</f>
        <v/>
      </c>
      <c r="AS1121" s="377" t="str">
        <f>IFERROR(Table_NFI[[#This Row],[Kitchen Set]]/VLOOKUP(Table_NFI[[#This Row],[Camp Name]],CL,4,0),"")</f>
        <v/>
      </c>
      <c r="AT1121" s="577"/>
      <c r="AU1121" s="580"/>
    </row>
    <row r="1122" spans="1:47" x14ac:dyDescent="0.25">
      <c r="A1122" s="381" t="str">
        <f t="shared" si="17"/>
        <v/>
      </c>
      <c r="B1122" s="571"/>
      <c r="C1122" s="577"/>
      <c r="D1122" s="577"/>
      <c r="E1122" s="577"/>
      <c r="F1122" s="577"/>
      <c r="G1122" s="577"/>
      <c r="H1122" s="376"/>
      <c r="I1122" s="376"/>
      <c r="J1122" s="376"/>
      <c r="K1122" s="376"/>
      <c r="L1122" s="376"/>
      <c r="M1122" s="376"/>
      <c r="N1122" s="376"/>
      <c r="O1122" s="376"/>
      <c r="P1122" s="378"/>
      <c r="Q1122" s="378"/>
      <c r="R1122" s="378"/>
      <c r="S1122" s="378"/>
      <c r="T1122" s="378"/>
      <c r="U1122" s="378"/>
      <c r="V1122" s="533"/>
      <c r="W1122" s="602"/>
      <c r="X1122" s="602"/>
      <c r="Y1122" s="378">
        <f>IF(NFI_Expiration=1,IF($A1122&lt;VLOOKUP(H$5,NFI,5,0),1,0)*Table_NFI[[#This Row],[Hygiene Kit]],Table_NFI[Hygiene Kit])</f>
        <v>0</v>
      </c>
      <c r="Z1122" s="378">
        <f>IF(NFI_Expiration=1,IF($A1122&lt;VLOOKUP(I$5,NFI,5,0),1,0)*Table_NFI[[#This Row],[NFI Core Kit]],Table_NFI[NFI Core Kit])</f>
        <v>0</v>
      </c>
      <c r="AA1122" s="378">
        <f>IF(NFI_Expiration=1,IF($A1122&lt;VLOOKUP(J$5,NFI,5,0),1,0)*Table_NFI[[#This Row],[Sanitary Kit]],Table_NFI[Sanitary Kit])</f>
        <v>0</v>
      </c>
      <c r="AB1122" s="378">
        <f>IF(NFI_Expiration=1,IF($A1122&lt;VLOOKUP(K$5,NFI,5,0),1,0)*Table_NFI[[#This Row],[Mosquito net]],Table_NFI[Mosquito net])</f>
        <v>0</v>
      </c>
      <c r="AC1122" s="378">
        <f>IF(NFI_Expiration=1,IF($A1122&lt;VLOOKUP(L$5,NFI,5,0),1,0)*Table_NFI[[#This Row],[Tarpaulin]],Table_NFI[[#This Row],[Tarpaulin]])</f>
        <v>0</v>
      </c>
      <c r="AD1122" s="378">
        <f>IF(NFI_Expiration=1,IF($A1122&lt;VLOOKUP(M$5,NFI,5,0),1,0)*Table_NFI[[#This Row],[Blanket]],Table_NFI[[#This Row],[Blanket]])</f>
        <v>0</v>
      </c>
      <c r="AE1122" s="378">
        <f>IF(NFI_Expiration=1,IF($A1122&lt;VLOOKUP(N$5,NFI,5,0),1,0)*Table_NFI[[#This Row],[Kitchen Set]],Table_NFI[Kitchen Set])</f>
        <v>0</v>
      </c>
      <c r="AF1122" s="378">
        <f>IF(NFI_Expiration=1,IF($A1122&lt;VLOOKUP(O$5,NFI,5,0),1,0)*Table_NFI[[#This Row],[Clothes Kit]],Table_NFI[Clothes Kit])</f>
        <v>0</v>
      </c>
      <c r="AG1122" s="378">
        <f>IF(NFI_Expiration=1,IF($A1122&lt;VLOOKUP(P$5,NFI,5,0),1,0)*Table_NFI[[#This Row],[Plastic Bucket]],Table_NFI[Plastic Bucket])</f>
        <v>0</v>
      </c>
      <c r="AH1122" s="378">
        <f>IF(NFI_Expiration=1,IF($A1122&lt;VLOOKUP(Q$5,NFI,5,0),1,0)*Table_NFI[[#This Row],[Plastic Mat]],Table_NFI[Plastic Mat])*IF(Table_NFI[[#This Row],[Distribution Date]]&gt;"2014-04-01",1,2.5)</f>
        <v>0</v>
      </c>
      <c r="AI1122" s="378">
        <f>IF(NFI_Expiration=1,IF($A1122&lt;VLOOKUP(R$5,NFI,5,0),1,0)*Table_NFI[[#This Row],[Winter Clothes Adult]],Table_NFI[Winter Clothes Adult])</f>
        <v>0</v>
      </c>
      <c r="AJ1122" s="378">
        <f>IF(NFI_Expiration=1,IF($A1122&lt;VLOOKUP(S$5,NFI,5,0),1,0)*Table_NFI[[#This Row],[Winter Clothes Children]],Table_NFI[Winter Clothes Children])</f>
        <v>0</v>
      </c>
      <c r="AK1122" s="378">
        <f>IF(NFI_Expiration=1,IF($A1122&lt;VLOOKUP(T$5,NFI,5,0),1,0)*Table_NFI[[#This Row],[Winter Items Other]],Table_NFI[Winter Items Other])</f>
        <v>0</v>
      </c>
      <c r="AL1122" s="378">
        <f>IF(NFI_Expiration=1,IF($A1122&lt;VLOOKUP(M$5,NFI,5,0),1,0)*Table_NFI[[#This Row],[Winter Blanket]],Table_NFI[[#This Row],[Winter Blanket]])</f>
        <v>0</v>
      </c>
      <c r="AM1122" s="378">
        <f>IF(Table_NFI[[#This Row],[Winter Clothes Adult]]+Table_NFI[[#This Row],[Winter Clothes Children]]+Table_NFI[[#This Row],[Winter Items Other]]+Table_NFI[[#This Row],[Winter Blanket]]&gt;0,1,0)</f>
        <v>0</v>
      </c>
      <c r="AN1122" s="418">
        <f>IF(NFI_Expiration=1,IF($A1122&lt;VLOOKUP(V$5,NFI,5,0),1,0)*Table_NFI[[#This Row],[Jerry Can]],Table_NFI[Jerry Can])</f>
        <v>0</v>
      </c>
      <c r="AO1122" s="579" t="str">
        <f>IFERROR(VLOOKUP(Table_NFI[[#This Row],[Camp Name]],CL,2,0),"")</f>
        <v/>
      </c>
      <c r="AP1122" s="574" t="str">
        <f ca="1">IF(Table_NFI[[#This Row],[Pcode]]="","",IF(OFFSET(CampList[Opening Date],MATCH(Table_NFI[[#This Row],[Pcode]],CampList[CP_Pcode],0)-1,0,1,1)&gt;=NFI_Monitor_Date,1,0))</f>
        <v/>
      </c>
      <c r="AQ1122" s="579" t="str">
        <f>IFERROR(VLOOKUP(Table_NFI[[#This Row],[Camp Name]],CL,3,0),"")</f>
        <v/>
      </c>
      <c r="AR1122" s="378" t="str">
        <f ca="1">IF(Table_NFI[[#This Row],[Pcode]]="","",OFFSET(CampList[Priority],MATCH(Table_NFI[[#This Row],[Pcode]],CampList[CP_Pcode],0)-1,0,1,1))</f>
        <v/>
      </c>
      <c r="AS1122" s="377" t="str">
        <f>IFERROR(Table_NFI[[#This Row],[Kitchen Set]]/VLOOKUP(Table_NFI[[#This Row],[Camp Name]],CL,4,0),"")</f>
        <v/>
      </c>
      <c r="AT1122" s="577"/>
      <c r="AU1122" s="580"/>
    </row>
    <row r="1123" spans="1:47" x14ac:dyDescent="0.25">
      <c r="A1123" s="381" t="str">
        <f t="shared" si="17"/>
        <v/>
      </c>
      <c r="B1123" s="571"/>
      <c r="C1123" s="577"/>
      <c r="D1123" s="577"/>
      <c r="E1123" s="577"/>
      <c r="F1123" s="577"/>
      <c r="G1123" s="577"/>
      <c r="H1123" s="376"/>
      <c r="I1123" s="376"/>
      <c r="J1123" s="376"/>
      <c r="K1123" s="376"/>
      <c r="L1123" s="376"/>
      <c r="M1123" s="376"/>
      <c r="N1123" s="376"/>
      <c r="O1123" s="376"/>
      <c r="P1123" s="378"/>
      <c r="Q1123" s="378"/>
      <c r="R1123" s="378"/>
      <c r="S1123" s="378"/>
      <c r="T1123" s="378"/>
      <c r="U1123" s="378"/>
      <c r="V1123" s="533"/>
      <c r="W1123" s="602"/>
      <c r="X1123" s="602"/>
      <c r="Y1123" s="378">
        <f>IF(NFI_Expiration=1,IF($A1123&lt;VLOOKUP(H$5,NFI,5,0),1,0)*Table_NFI[[#This Row],[Hygiene Kit]],Table_NFI[Hygiene Kit])</f>
        <v>0</v>
      </c>
      <c r="Z1123" s="378">
        <f>IF(NFI_Expiration=1,IF($A1123&lt;VLOOKUP(I$5,NFI,5,0),1,0)*Table_NFI[[#This Row],[NFI Core Kit]],Table_NFI[NFI Core Kit])</f>
        <v>0</v>
      </c>
      <c r="AA1123" s="378">
        <f>IF(NFI_Expiration=1,IF($A1123&lt;VLOOKUP(J$5,NFI,5,0),1,0)*Table_NFI[[#This Row],[Sanitary Kit]],Table_NFI[Sanitary Kit])</f>
        <v>0</v>
      </c>
      <c r="AB1123" s="378">
        <f>IF(NFI_Expiration=1,IF($A1123&lt;VLOOKUP(K$5,NFI,5,0),1,0)*Table_NFI[[#This Row],[Mosquito net]],Table_NFI[Mosquito net])</f>
        <v>0</v>
      </c>
      <c r="AC1123" s="378">
        <f>IF(NFI_Expiration=1,IF($A1123&lt;VLOOKUP(L$5,NFI,5,0),1,0)*Table_NFI[[#This Row],[Tarpaulin]],Table_NFI[[#This Row],[Tarpaulin]])</f>
        <v>0</v>
      </c>
      <c r="AD1123" s="378">
        <f>IF(NFI_Expiration=1,IF($A1123&lt;VLOOKUP(M$5,NFI,5,0),1,0)*Table_NFI[[#This Row],[Blanket]],Table_NFI[[#This Row],[Blanket]])</f>
        <v>0</v>
      </c>
      <c r="AE1123" s="378">
        <f>IF(NFI_Expiration=1,IF($A1123&lt;VLOOKUP(N$5,NFI,5,0),1,0)*Table_NFI[[#This Row],[Kitchen Set]],Table_NFI[Kitchen Set])</f>
        <v>0</v>
      </c>
      <c r="AF1123" s="378">
        <f>IF(NFI_Expiration=1,IF($A1123&lt;VLOOKUP(O$5,NFI,5,0),1,0)*Table_NFI[[#This Row],[Clothes Kit]],Table_NFI[Clothes Kit])</f>
        <v>0</v>
      </c>
      <c r="AG1123" s="378">
        <f>IF(NFI_Expiration=1,IF($A1123&lt;VLOOKUP(P$5,NFI,5,0),1,0)*Table_NFI[[#This Row],[Plastic Bucket]],Table_NFI[Plastic Bucket])</f>
        <v>0</v>
      </c>
      <c r="AH1123" s="378">
        <f>IF(NFI_Expiration=1,IF($A1123&lt;VLOOKUP(Q$5,NFI,5,0),1,0)*Table_NFI[[#This Row],[Plastic Mat]],Table_NFI[Plastic Mat])*IF(Table_NFI[[#This Row],[Distribution Date]]&gt;"2014-04-01",1,2.5)</f>
        <v>0</v>
      </c>
      <c r="AI1123" s="378">
        <f>IF(NFI_Expiration=1,IF($A1123&lt;VLOOKUP(R$5,NFI,5,0),1,0)*Table_NFI[[#This Row],[Winter Clothes Adult]],Table_NFI[Winter Clothes Adult])</f>
        <v>0</v>
      </c>
      <c r="AJ1123" s="378">
        <f>IF(NFI_Expiration=1,IF($A1123&lt;VLOOKUP(S$5,NFI,5,0),1,0)*Table_NFI[[#This Row],[Winter Clothes Children]],Table_NFI[Winter Clothes Children])</f>
        <v>0</v>
      </c>
      <c r="AK1123" s="378">
        <f>IF(NFI_Expiration=1,IF($A1123&lt;VLOOKUP(T$5,NFI,5,0),1,0)*Table_NFI[[#This Row],[Winter Items Other]],Table_NFI[Winter Items Other])</f>
        <v>0</v>
      </c>
      <c r="AL1123" s="378">
        <f>IF(NFI_Expiration=1,IF($A1123&lt;VLOOKUP(M$5,NFI,5,0),1,0)*Table_NFI[[#This Row],[Winter Blanket]],Table_NFI[[#This Row],[Winter Blanket]])</f>
        <v>0</v>
      </c>
      <c r="AM1123" s="378">
        <f>IF(Table_NFI[[#This Row],[Winter Clothes Adult]]+Table_NFI[[#This Row],[Winter Clothes Children]]+Table_NFI[[#This Row],[Winter Items Other]]+Table_NFI[[#This Row],[Winter Blanket]]&gt;0,1,0)</f>
        <v>0</v>
      </c>
      <c r="AN1123" s="418">
        <f>IF(NFI_Expiration=1,IF($A1123&lt;VLOOKUP(V$5,NFI,5,0),1,0)*Table_NFI[[#This Row],[Jerry Can]],Table_NFI[Jerry Can])</f>
        <v>0</v>
      </c>
      <c r="AO1123" s="579" t="str">
        <f>IFERROR(VLOOKUP(Table_NFI[[#This Row],[Camp Name]],CL,2,0),"")</f>
        <v/>
      </c>
      <c r="AP1123" s="574" t="str">
        <f ca="1">IF(Table_NFI[[#This Row],[Pcode]]="","",IF(OFFSET(CampList[Opening Date],MATCH(Table_NFI[[#This Row],[Pcode]],CampList[CP_Pcode],0)-1,0,1,1)&gt;=NFI_Monitor_Date,1,0))</f>
        <v/>
      </c>
      <c r="AQ1123" s="579" t="str">
        <f>IFERROR(VLOOKUP(Table_NFI[[#This Row],[Camp Name]],CL,3,0),"")</f>
        <v/>
      </c>
      <c r="AR1123" s="378" t="str">
        <f ca="1">IF(Table_NFI[[#This Row],[Pcode]]="","",OFFSET(CampList[Priority],MATCH(Table_NFI[[#This Row],[Pcode]],CampList[CP_Pcode],0)-1,0,1,1))</f>
        <v/>
      </c>
      <c r="AS1123" s="377" t="str">
        <f>IFERROR(Table_NFI[[#This Row],[Kitchen Set]]/VLOOKUP(Table_NFI[[#This Row],[Camp Name]],CL,4,0),"")</f>
        <v/>
      </c>
      <c r="AT1123" s="577"/>
      <c r="AU1123" s="580"/>
    </row>
    <row r="1124" spans="1:47" x14ac:dyDescent="0.25">
      <c r="A1124" s="381" t="str">
        <f t="shared" si="17"/>
        <v/>
      </c>
      <c r="B1124" s="571"/>
      <c r="C1124" s="577"/>
      <c r="D1124" s="577"/>
      <c r="E1124" s="577"/>
      <c r="F1124" s="577"/>
      <c r="G1124" s="577"/>
      <c r="H1124" s="376"/>
      <c r="I1124" s="376"/>
      <c r="J1124" s="376"/>
      <c r="K1124" s="376"/>
      <c r="L1124" s="376"/>
      <c r="M1124" s="376"/>
      <c r="N1124" s="376"/>
      <c r="O1124" s="376"/>
      <c r="P1124" s="378"/>
      <c r="Q1124" s="378"/>
      <c r="R1124" s="378"/>
      <c r="S1124" s="378"/>
      <c r="T1124" s="378"/>
      <c r="U1124" s="378"/>
      <c r="V1124" s="533"/>
      <c r="W1124" s="602"/>
      <c r="X1124" s="602"/>
      <c r="Y1124" s="378">
        <f>IF(NFI_Expiration=1,IF($A1124&lt;VLOOKUP(H$5,NFI,5,0),1,0)*Table_NFI[[#This Row],[Hygiene Kit]],Table_NFI[Hygiene Kit])</f>
        <v>0</v>
      </c>
      <c r="Z1124" s="378">
        <f>IF(NFI_Expiration=1,IF($A1124&lt;VLOOKUP(I$5,NFI,5,0),1,0)*Table_NFI[[#This Row],[NFI Core Kit]],Table_NFI[NFI Core Kit])</f>
        <v>0</v>
      </c>
      <c r="AA1124" s="378">
        <f>IF(NFI_Expiration=1,IF($A1124&lt;VLOOKUP(J$5,NFI,5,0),1,0)*Table_NFI[[#This Row],[Sanitary Kit]],Table_NFI[Sanitary Kit])</f>
        <v>0</v>
      </c>
      <c r="AB1124" s="378">
        <f>IF(NFI_Expiration=1,IF($A1124&lt;VLOOKUP(K$5,NFI,5,0),1,0)*Table_NFI[[#This Row],[Mosquito net]],Table_NFI[Mosquito net])</f>
        <v>0</v>
      </c>
      <c r="AC1124" s="378">
        <f>IF(NFI_Expiration=1,IF($A1124&lt;VLOOKUP(L$5,NFI,5,0),1,0)*Table_NFI[[#This Row],[Tarpaulin]],Table_NFI[[#This Row],[Tarpaulin]])</f>
        <v>0</v>
      </c>
      <c r="AD1124" s="378">
        <f>IF(NFI_Expiration=1,IF($A1124&lt;VLOOKUP(M$5,NFI,5,0),1,0)*Table_NFI[[#This Row],[Blanket]],Table_NFI[[#This Row],[Blanket]])</f>
        <v>0</v>
      </c>
      <c r="AE1124" s="378">
        <f>IF(NFI_Expiration=1,IF($A1124&lt;VLOOKUP(N$5,NFI,5,0),1,0)*Table_NFI[[#This Row],[Kitchen Set]],Table_NFI[Kitchen Set])</f>
        <v>0</v>
      </c>
      <c r="AF1124" s="378">
        <f>IF(NFI_Expiration=1,IF($A1124&lt;VLOOKUP(O$5,NFI,5,0),1,0)*Table_NFI[[#This Row],[Clothes Kit]],Table_NFI[Clothes Kit])</f>
        <v>0</v>
      </c>
      <c r="AG1124" s="378">
        <f>IF(NFI_Expiration=1,IF($A1124&lt;VLOOKUP(P$5,NFI,5,0),1,0)*Table_NFI[[#This Row],[Plastic Bucket]],Table_NFI[Plastic Bucket])</f>
        <v>0</v>
      </c>
      <c r="AH1124" s="378">
        <f>IF(NFI_Expiration=1,IF($A1124&lt;VLOOKUP(Q$5,NFI,5,0),1,0)*Table_NFI[[#This Row],[Plastic Mat]],Table_NFI[Plastic Mat])*IF(Table_NFI[[#This Row],[Distribution Date]]&gt;"2014-04-01",1,2.5)</f>
        <v>0</v>
      </c>
      <c r="AI1124" s="378">
        <f>IF(NFI_Expiration=1,IF($A1124&lt;VLOOKUP(R$5,NFI,5,0),1,0)*Table_NFI[[#This Row],[Winter Clothes Adult]],Table_NFI[Winter Clothes Adult])</f>
        <v>0</v>
      </c>
      <c r="AJ1124" s="378">
        <f>IF(NFI_Expiration=1,IF($A1124&lt;VLOOKUP(S$5,NFI,5,0),1,0)*Table_NFI[[#This Row],[Winter Clothes Children]],Table_NFI[Winter Clothes Children])</f>
        <v>0</v>
      </c>
      <c r="AK1124" s="378">
        <f>IF(NFI_Expiration=1,IF($A1124&lt;VLOOKUP(T$5,NFI,5,0),1,0)*Table_NFI[[#This Row],[Winter Items Other]],Table_NFI[Winter Items Other])</f>
        <v>0</v>
      </c>
      <c r="AL1124" s="378">
        <f>IF(NFI_Expiration=1,IF($A1124&lt;VLOOKUP(M$5,NFI,5,0),1,0)*Table_NFI[[#This Row],[Winter Blanket]],Table_NFI[[#This Row],[Winter Blanket]])</f>
        <v>0</v>
      </c>
      <c r="AM1124" s="378">
        <f>IF(Table_NFI[[#This Row],[Winter Clothes Adult]]+Table_NFI[[#This Row],[Winter Clothes Children]]+Table_NFI[[#This Row],[Winter Items Other]]+Table_NFI[[#This Row],[Winter Blanket]]&gt;0,1,0)</f>
        <v>0</v>
      </c>
      <c r="AN1124" s="418">
        <f>IF(NFI_Expiration=1,IF($A1124&lt;VLOOKUP(V$5,NFI,5,0),1,0)*Table_NFI[[#This Row],[Jerry Can]],Table_NFI[Jerry Can])</f>
        <v>0</v>
      </c>
      <c r="AO1124" s="579" t="str">
        <f>IFERROR(VLOOKUP(Table_NFI[[#This Row],[Camp Name]],CL,2,0),"")</f>
        <v/>
      </c>
      <c r="AP1124" s="574" t="str">
        <f ca="1">IF(Table_NFI[[#This Row],[Pcode]]="","",IF(OFFSET(CampList[Opening Date],MATCH(Table_NFI[[#This Row],[Pcode]],CampList[CP_Pcode],0)-1,0,1,1)&gt;=NFI_Monitor_Date,1,0))</f>
        <v/>
      </c>
      <c r="AQ1124" s="579" t="str">
        <f>IFERROR(VLOOKUP(Table_NFI[[#This Row],[Camp Name]],CL,3,0),"")</f>
        <v/>
      </c>
      <c r="AR1124" s="378" t="str">
        <f ca="1">IF(Table_NFI[[#This Row],[Pcode]]="","",OFFSET(CampList[Priority],MATCH(Table_NFI[[#This Row],[Pcode]],CampList[CP_Pcode],0)-1,0,1,1))</f>
        <v/>
      </c>
      <c r="AS1124" s="377" t="str">
        <f>IFERROR(Table_NFI[[#This Row],[Kitchen Set]]/VLOOKUP(Table_NFI[[#This Row],[Camp Name]],CL,4,0),"")</f>
        <v/>
      </c>
      <c r="AT1124" s="577"/>
      <c r="AU1124" s="580"/>
    </row>
    <row r="1125" spans="1:47" x14ac:dyDescent="0.25">
      <c r="A1125" s="381" t="str">
        <f t="shared" si="17"/>
        <v/>
      </c>
      <c r="B1125" s="571"/>
      <c r="C1125" s="577"/>
      <c r="D1125" s="577"/>
      <c r="E1125" s="577"/>
      <c r="F1125" s="577"/>
      <c r="G1125" s="577"/>
      <c r="H1125" s="376"/>
      <c r="I1125" s="376"/>
      <c r="J1125" s="376"/>
      <c r="K1125" s="376"/>
      <c r="L1125" s="376"/>
      <c r="M1125" s="376"/>
      <c r="N1125" s="376"/>
      <c r="O1125" s="376"/>
      <c r="P1125" s="378"/>
      <c r="Q1125" s="378"/>
      <c r="R1125" s="378"/>
      <c r="S1125" s="378"/>
      <c r="T1125" s="378"/>
      <c r="U1125" s="378"/>
      <c r="V1125" s="533"/>
      <c r="W1125" s="602"/>
      <c r="X1125" s="602"/>
      <c r="Y1125" s="378">
        <f>IF(NFI_Expiration=1,IF($A1125&lt;VLOOKUP(H$5,NFI,5,0),1,0)*Table_NFI[[#This Row],[Hygiene Kit]],Table_NFI[Hygiene Kit])</f>
        <v>0</v>
      </c>
      <c r="Z1125" s="378">
        <f>IF(NFI_Expiration=1,IF($A1125&lt;VLOOKUP(I$5,NFI,5,0),1,0)*Table_NFI[[#This Row],[NFI Core Kit]],Table_NFI[NFI Core Kit])</f>
        <v>0</v>
      </c>
      <c r="AA1125" s="378">
        <f>IF(NFI_Expiration=1,IF($A1125&lt;VLOOKUP(J$5,NFI,5,0),1,0)*Table_NFI[[#This Row],[Sanitary Kit]],Table_NFI[Sanitary Kit])</f>
        <v>0</v>
      </c>
      <c r="AB1125" s="378">
        <f>IF(NFI_Expiration=1,IF($A1125&lt;VLOOKUP(K$5,NFI,5,0),1,0)*Table_NFI[[#This Row],[Mosquito net]],Table_NFI[Mosquito net])</f>
        <v>0</v>
      </c>
      <c r="AC1125" s="378">
        <f>IF(NFI_Expiration=1,IF($A1125&lt;VLOOKUP(L$5,NFI,5,0),1,0)*Table_NFI[[#This Row],[Tarpaulin]],Table_NFI[[#This Row],[Tarpaulin]])</f>
        <v>0</v>
      </c>
      <c r="AD1125" s="378">
        <f>IF(NFI_Expiration=1,IF($A1125&lt;VLOOKUP(M$5,NFI,5,0),1,0)*Table_NFI[[#This Row],[Blanket]],Table_NFI[[#This Row],[Blanket]])</f>
        <v>0</v>
      </c>
      <c r="AE1125" s="378">
        <f>IF(NFI_Expiration=1,IF($A1125&lt;VLOOKUP(N$5,NFI,5,0),1,0)*Table_NFI[[#This Row],[Kitchen Set]],Table_NFI[Kitchen Set])</f>
        <v>0</v>
      </c>
      <c r="AF1125" s="378">
        <f>IF(NFI_Expiration=1,IF($A1125&lt;VLOOKUP(O$5,NFI,5,0),1,0)*Table_NFI[[#This Row],[Clothes Kit]],Table_NFI[Clothes Kit])</f>
        <v>0</v>
      </c>
      <c r="AG1125" s="378">
        <f>IF(NFI_Expiration=1,IF($A1125&lt;VLOOKUP(P$5,NFI,5,0),1,0)*Table_NFI[[#This Row],[Plastic Bucket]],Table_NFI[Plastic Bucket])</f>
        <v>0</v>
      </c>
      <c r="AH1125" s="378">
        <f>IF(NFI_Expiration=1,IF($A1125&lt;VLOOKUP(Q$5,NFI,5,0),1,0)*Table_NFI[[#This Row],[Plastic Mat]],Table_NFI[Plastic Mat])*IF(Table_NFI[[#This Row],[Distribution Date]]&gt;"2014-04-01",1,2.5)</f>
        <v>0</v>
      </c>
      <c r="AI1125" s="378">
        <f>IF(NFI_Expiration=1,IF($A1125&lt;VLOOKUP(R$5,NFI,5,0),1,0)*Table_NFI[[#This Row],[Winter Clothes Adult]],Table_NFI[Winter Clothes Adult])</f>
        <v>0</v>
      </c>
      <c r="AJ1125" s="378">
        <f>IF(NFI_Expiration=1,IF($A1125&lt;VLOOKUP(S$5,NFI,5,0),1,0)*Table_NFI[[#This Row],[Winter Clothes Children]],Table_NFI[Winter Clothes Children])</f>
        <v>0</v>
      </c>
      <c r="AK1125" s="378">
        <f>IF(NFI_Expiration=1,IF($A1125&lt;VLOOKUP(T$5,NFI,5,0),1,0)*Table_NFI[[#This Row],[Winter Items Other]],Table_NFI[Winter Items Other])</f>
        <v>0</v>
      </c>
      <c r="AL1125" s="378">
        <f>IF(NFI_Expiration=1,IF($A1125&lt;VLOOKUP(M$5,NFI,5,0),1,0)*Table_NFI[[#This Row],[Winter Blanket]],Table_NFI[[#This Row],[Winter Blanket]])</f>
        <v>0</v>
      </c>
      <c r="AM1125" s="378">
        <f>IF(Table_NFI[[#This Row],[Winter Clothes Adult]]+Table_NFI[[#This Row],[Winter Clothes Children]]+Table_NFI[[#This Row],[Winter Items Other]]+Table_NFI[[#This Row],[Winter Blanket]]&gt;0,1,0)</f>
        <v>0</v>
      </c>
      <c r="AN1125" s="418">
        <f>IF(NFI_Expiration=1,IF($A1125&lt;VLOOKUP(V$5,NFI,5,0),1,0)*Table_NFI[[#This Row],[Jerry Can]],Table_NFI[Jerry Can])</f>
        <v>0</v>
      </c>
      <c r="AO1125" s="579" t="str">
        <f>IFERROR(VLOOKUP(Table_NFI[[#This Row],[Camp Name]],CL,2,0),"")</f>
        <v/>
      </c>
      <c r="AP1125" s="574" t="str">
        <f ca="1">IF(Table_NFI[[#This Row],[Pcode]]="","",IF(OFFSET(CampList[Opening Date],MATCH(Table_NFI[[#This Row],[Pcode]],CampList[CP_Pcode],0)-1,0,1,1)&gt;=NFI_Monitor_Date,1,0))</f>
        <v/>
      </c>
      <c r="AQ1125" s="579" t="str">
        <f>IFERROR(VLOOKUP(Table_NFI[[#This Row],[Camp Name]],CL,3,0),"")</f>
        <v/>
      </c>
      <c r="AR1125" s="378" t="str">
        <f ca="1">IF(Table_NFI[[#This Row],[Pcode]]="","",OFFSET(CampList[Priority],MATCH(Table_NFI[[#This Row],[Pcode]],CampList[CP_Pcode],0)-1,0,1,1))</f>
        <v/>
      </c>
      <c r="AS1125" s="377" t="str">
        <f>IFERROR(Table_NFI[[#This Row],[Kitchen Set]]/VLOOKUP(Table_NFI[[#This Row],[Camp Name]],CL,4,0),"")</f>
        <v/>
      </c>
      <c r="AT1125" s="577"/>
      <c r="AU1125" s="580"/>
    </row>
    <row r="1126" spans="1:47" x14ac:dyDescent="0.25">
      <c r="A1126" s="381" t="str">
        <f t="shared" si="17"/>
        <v/>
      </c>
      <c r="B1126" s="571"/>
      <c r="C1126" s="577"/>
      <c r="D1126" s="577"/>
      <c r="E1126" s="577"/>
      <c r="F1126" s="577"/>
      <c r="G1126" s="577"/>
      <c r="H1126" s="376"/>
      <c r="I1126" s="376"/>
      <c r="J1126" s="376"/>
      <c r="K1126" s="376"/>
      <c r="L1126" s="376"/>
      <c r="M1126" s="376"/>
      <c r="N1126" s="376"/>
      <c r="O1126" s="376"/>
      <c r="P1126" s="378"/>
      <c r="Q1126" s="378"/>
      <c r="R1126" s="378"/>
      <c r="S1126" s="378"/>
      <c r="T1126" s="378"/>
      <c r="U1126" s="378"/>
      <c r="V1126" s="533"/>
      <c r="W1126" s="602"/>
      <c r="X1126" s="602"/>
      <c r="Y1126" s="378">
        <f>IF(NFI_Expiration=1,IF($A1126&lt;VLOOKUP(H$5,NFI,5,0),1,0)*Table_NFI[[#This Row],[Hygiene Kit]],Table_NFI[Hygiene Kit])</f>
        <v>0</v>
      </c>
      <c r="Z1126" s="378">
        <f>IF(NFI_Expiration=1,IF($A1126&lt;VLOOKUP(I$5,NFI,5,0),1,0)*Table_NFI[[#This Row],[NFI Core Kit]],Table_NFI[NFI Core Kit])</f>
        <v>0</v>
      </c>
      <c r="AA1126" s="378">
        <f>IF(NFI_Expiration=1,IF($A1126&lt;VLOOKUP(J$5,NFI,5,0),1,0)*Table_NFI[[#This Row],[Sanitary Kit]],Table_NFI[Sanitary Kit])</f>
        <v>0</v>
      </c>
      <c r="AB1126" s="378">
        <f>IF(NFI_Expiration=1,IF($A1126&lt;VLOOKUP(K$5,NFI,5,0),1,0)*Table_NFI[[#This Row],[Mosquito net]],Table_NFI[Mosquito net])</f>
        <v>0</v>
      </c>
      <c r="AC1126" s="378">
        <f>IF(NFI_Expiration=1,IF($A1126&lt;VLOOKUP(L$5,NFI,5,0),1,0)*Table_NFI[[#This Row],[Tarpaulin]],Table_NFI[[#This Row],[Tarpaulin]])</f>
        <v>0</v>
      </c>
      <c r="AD1126" s="378">
        <f>IF(NFI_Expiration=1,IF($A1126&lt;VLOOKUP(M$5,NFI,5,0),1,0)*Table_NFI[[#This Row],[Blanket]],Table_NFI[[#This Row],[Blanket]])</f>
        <v>0</v>
      </c>
      <c r="AE1126" s="378">
        <f>IF(NFI_Expiration=1,IF($A1126&lt;VLOOKUP(N$5,NFI,5,0),1,0)*Table_NFI[[#This Row],[Kitchen Set]],Table_NFI[Kitchen Set])</f>
        <v>0</v>
      </c>
      <c r="AF1126" s="378">
        <f>IF(NFI_Expiration=1,IF($A1126&lt;VLOOKUP(O$5,NFI,5,0),1,0)*Table_NFI[[#This Row],[Clothes Kit]],Table_NFI[Clothes Kit])</f>
        <v>0</v>
      </c>
      <c r="AG1126" s="378">
        <f>IF(NFI_Expiration=1,IF($A1126&lt;VLOOKUP(P$5,NFI,5,0),1,0)*Table_NFI[[#This Row],[Plastic Bucket]],Table_NFI[Plastic Bucket])</f>
        <v>0</v>
      </c>
      <c r="AH1126" s="378">
        <f>IF(NFI_Expiration=1,IF($A1126&lt;VLOOKUP(Q$5,NFI,5,0),1,0)*Table_NFI[[#This Row],[Plastic Mat]],Table_NFI[Plastic Mat])*IF(Table_NFI[[#This Row],[Distribution Date]]&gt;"2014-04-01",1,2.5)</f>
        <v>0</v>
      </c>
      <c r="AI1126" s="378">
        <f>IF(NFI_Expiration=1,IF($A1126&lt;VLOOKUP(R$5,NFI,5,0),1,0)*Table_NFI[[#This Row],[Winter Clothes Adult]],Table_NFI[Winter Clothes Adult])</f>
        <v>0</v>
      </c>
      <c r="AJ1126" s="378">
        <f>IF(NFI_Expiration=1,IF($A1126&lt;VLOOKUP(S$5,NFI,5,0),1,0)*Table_NFI[[#This Row],[Winter Clothes Children]],Table_NFI[Winter Clothes Children])</f>
        <v>0</v>
      </c>
      <c r="AK1126" s="378">
        <f>IF(NFI_Expiration=1,IF($A1126&lt;VLOOKUP(T$5,NFI,5,0),1,0)*Table_NFI[[#This Row],[Winter Items Other]],Table_NFI[Winter Items Other])</f>
        <v>0</v>
      </c>
      <c r="AL1126" s="378">
        <f>IF(NFI_Expiration=1,IF($A1126&lt;VLOOKUP(M$5,NFI,5,0),1,0)*Table_NFI[[#This Row],[Winter Blanket]],Table_NFI[[#This Row],[Winter Blanket]])</f>
        <v>0</v>
      </c>
      <c r="AM1126" s="378">
        <f>IF(Table_NFI[[#This Row],[Winter Clothes Adult]]+Table_NFI[[#This Row],[Winter Clothes Children]]+Table_NFI[[#This Row],[Winter Items Other]]+Table_NFI[[#This Row],[Winter Blanket]]&gt;0,1,0)</f>
        <v>0</v>
      </c>
      <c r="AN1126" s="418">
        <f>IF(NFI_Expiration=1,IF($A1126&lt;VLOOKUP(V$5,NFI,5,0),1,0)*Table_NFI[[#This Row],[Jerry Can]],Table_NFI[Jerry Can])</f>
        <v>0</v>
      </c>
      <c r="AO1126" s="579" t="str">
        <f>IFERROR(VLOOKUP(Table_NFI[[#This Row],[Camp Name]],CL,2,0),"")</f>
        <v/>
      </c>
      <c r="AP1126" s="574" t="str">
        <f ca="1">IF(Table_NFI[[#This Row],[Pcode]]="","",IF(OFFSET(CampList[Opening Date],MATCH(Table_NFI[[#This Row],[Pcode]],CampList[CP_Pcode],0)-1,0,1,1)&gt;=NFI_Monitor_Date,1,0))</f>
        <v/>
      </c>
      <c r="AQ1126" s="579" t="str">
        <f>IFERROR(VLOOKUP(Table_NFI[[#This Row],[Camp Name]],CL,3,0),"")</f>
        <v/>
      </c>
      <c r="AR1126" s="378" t="str">
        <f ca="1">IF(Table_NFI[[#This Row],[Pcode]]="","",OFFSET(CampList[Priority],MATCH(Table_NFI[[#This Row],[Pcode]],CampList[CP_Pcode],0)-1,0,1,1))</f>
        <v/>
      </c>
      <c r="AS1126" s="377" t="str">
        <f>IFERROR(Table_NFI[[#This Row],[Kitchen Set]]/VLOOKUP(Table_NFI[[#This Row],[Camp Name]],CL,4,0),"")</f>
        <v/>
      </c>
      <c r="AT1126" s="577"/>
      <c r="AU1126" s="580"/>
    </row>
    <row r="1127" spans="1:47" x14ac:dyDescent="0.25">
      <c r="A1127" s="381" t="str">
        <f t="shared" si="17"/>
        <v/>
      </c>
      <c r="B1127" s="571"/>
      <c r="C1127" s="577"/>
      <c r="D1127" s="577"/>
      <c r="E1127" s="577"/>
      <c r="F1127" s="577"/>
      <c r="G1127" s="577"/>
      <c r="H1127" s="376"/>
      <c r="I1127" s="376"/>
      <c r="J1127" s="376"/>
      <c r="K1127" s="376"/>
      <c r="L1127" s="376"/>
      <c r="M1127" s="376"/>
      <c r="N1127" s="376"/>
      <c r="O1127" s="376"/>
      <c r="P1127" s="378"/>
      <c r="Q1127" s="378"/>
      <c r="R1127" s="378"/>
      <c r="S1127" s="378"/>
      <c r="T1127" s="378"/>
      <c r="U1127" s="378"/>
      <c r="V1127" s="533"/>
      <c r="W1127" s="602"/>
      <c r="X1127" s="602"/>
      <c r="Y1127" s="378">
        <f>IF(NFI_Expiration=1,IF($A1127&lt;VLOOKUP(H$5,NFI,5,0),1,0)*Table_NFI[[#This Row],[Hygiene Kit]],Table_NFI[Hygiene Kit])</f>
        <v>0</v>
      </c>
      <c r="Z1127" s="378">
        <f>IF(NFI_Expiration=1,IF($A1127&lt;VLOOKUP(I$5,NFI,5,0),1,0)*Table_NFI[[#This Row],[NFI Core Kit]],Table_NFI[NFI Core Kit])</f>
        <v>0</v>
      </c>
      <c r="AA1127" s="378">
        <f>IF(NFI_Expiration=1,IF($A1127&lt;VLOOKUP(J$5,NFI,5,0),1,0)*Table_NFI[[#This Row],[Sanitary Kit]],Table_NFI[Sanitary Kit])</f>
        <v>0</v>
      </c>
      <c r="AB1127" s="378">
        <f>IF(NFI_Expiration=1,IF($A1127&lt;VLOOKUP(K$5,NFI,5,0),1,0)*Table_NFI[[#This Row],[Mosquito net]],Table_NFI[Mosquito net])</f>
        <v>0</v>
      </c>
      <c r="AC1127" s="378">
        <f>IF(NFI_Expiration=1,IF($A1127&lt;VLOOKUP(L$5,NFI,5,0),1,0)*Table_NFI[[#This Row],[Tarpaulin]],Table_NFI[[#This Row],[Tarpaulin]])</f>
        <v>0</v>
      </c>
      <c r="AD1127" s="378">
        <f>IF(NFI_Expiration=1,IF($A1127&lt;VLOOKUP(M$5,NFI,5,0),1,0)*Table_NFI[[#This Row],[Blanket]],Table_NFI[[#This Row],[Blanket]])</f>
        <v>0</v>
      </c>
      <c r="AE1127" s="378">
        <f>IF(NFI_Expiration=1,IF($A1127&lt;VLOOKUP(N$5,NFI,5,0),1,0)*Table_NFI[[#This Row],[Kitchen Set]],Table_NFI[Kitchen Set])</f>
        <v>0</v>
      </c>
      <c r="AF1127" s="378">
        <f>IF(NFI_Expiration=1,IF($A1127&lt;VLOOKUP(O$5,NFI,5,0),1,0)*Table_NFI[[#This Row],[Clothes Kit]],Table_NFI[Clothes Kit])</f>
        <v>0</v>
      </c>
      <c r="AG1127" s="378">
        <f>IF(NFI_Expiration=1,IF($A1127&lt;VLOOKUP(P$5,NFI,5,0),1,0)*Table_NFI[[#This Row],[Plastic Bucket]],Table_NFI[Plastic Bucket])</f>
        <v>0</v>
      </c>
      <c r="AH1127" s="378">
        <f>IF(NFI_Expiration=1,IF($A1127&lt;VLOOKUP(Q$5,NFI,5,0),1,0)*Table_NFI[[#This Row],[Plastic Mat]],Table_NFI[Plastic Mat])*IF(Table_NFI[[#This Row],[Distribution Date]]&gt;"2014-04-01",1,2.5)</f>
        <v>0</v>
      </c>
      <c r="AI1127" s="378">
        <f>IF(NFI_Expiration=1,IF($A1127&lt;VLOOKUP(R$5,NFI,5,0),1,0)*Table_NFI[[#This Row],[Winter Clothes Adult]],Table_NFI[Winter Clothes Adult])</f>
        <v>0</v>
      </c>
      <c r="AJ1127" s="378">
        <f>IF(NFI_Expiration=1,IF($A1127&lt;VLOOKUP(S$5,NFI,5,0),1,0)*Table_NFI[[#This Row],[Winter Clothes Children]],Table_NFI[Winter Clothes Children])</f>
        <v>0</v>
      </c>
      <c r="AK1127" s="378">
        <f>IF(NFI_Expiration=1,IF($A1127&lt;VLOOKUP(T$5,NFI,5,0),1,0)*Table_NFI[[#This Row],[Winter Items Other]],Table_NFI[Winter Items Other])</f>
        <v>0</v>
      </c>
      <c r="AL1127" s="378">
        <f>IF(NFI_Expiration=1,IF($A1127&lt;VLOOKUP(M$5,NFI,5,0),1,0)*Table_NFI[[#This Row],[Winter Blanket]],Table_NFI[[#This Row],[Winter Blanket]])</f>
        <v>0</v>
      </c>
      <c r="AM1127" s="378">
        <f>IF(Table_NFI[[#This Row],[Winter Clothes Adult]]+Table_NFI[[#This Row],[Winter Clothes Children]]+Table_NFI[[#This Row],[Winter Items Other]]+Table_NFI[[#This Row],[Winter Blanket]]&gt;0,1,0)</f>
        <v>0</v>
      </c>
      <c r="AN1127" s="418">
        <f>IF(NFI_Expiration=1,IF($A1127&lt;VLOOKUP(V$5,NFI,5,0),1,0)*Table_NFI[[#This Row],[Jerry Can]],Table_NFI[Jerry Can])</f>
        <v>0</v>
      </c>
      <c r="AO1127" s="579" t="str">
        <f>IFERROR(VLOOKUP(Table_NFI[[#This Row],[Camp Name]],CL,2,0),"")</f>
        <v/>
      </c>
      <c r="AP1127" s="574" t="str">
        <f ca="1">IF(Table_NFI[[#This Row],[Pcode]]="","",IF(OFFSET(CampList[Opening Date],MATCH(Table_NFI[[#This Row],[Pcode]],CampList[CP_Pcode],0)-1,0,1,1)&gt;=NFI_Monitor_Date,1,0))</f>
        <v/>
      </c>
      <c r="AQ1127" s="579" t="str">
        <f>IFERROR(VLOOKUP(Table_NFI[[#This Row],[Camp Name]],CL,3,0),"")</f>
        <v/>
      </c>
      <c r="AR1127" s="378" t="str">
        <f ca="1">IF(Table_NFI[[#This Row],[Pcode]]="","",OFFSET(CampList[Priority],MATCH(Table_NFI[[#This Row],[Pcode]],CampList[CP_Pcode],0)-1,0,1,1))</f>
        <v/>
      </c>
      <c r="AS1127" s="377" t="str">
        <f>IFERROR(Table_NFI[[#This Row],[Kitchen Set]]/VLOOKUP(Table_NFI[[#This Row],[Camp Name]],CL,4,0),"")</f>
        <v/>
      </c>
      <c r="AT1127" s="577"/>
      <c r="AU1127" s="580"/>
    </row>
    <row r="1128" spans="1:47" x14ac:dyDescent="0.25">
      <c r="A1128" s="381" t="str">
        <f t="shared" si="17"/>
        <v/>
      </c>
      <c r="B1128" s="571"/>
      <c r="C1128" s="577"/>
      <c r="D1128" s="577"/>
      <c r="E1128" s="577"/>
      <c r="F1128" s="577"/>
      <c r="G1128" s="577"/>
      <c r="H1128" s="376"/>
      <c r="I1128" s="376"/>
      <c r="J1128" s="376"/>
      <c r="K1128" s="376"/>
      <c r="L1128" s="376"/>
      <c r="M1128" s="376"/>
      <c r="N1128" s="376"/>
      <c r="O1128" s="376"/>
      <c r="P1128" s="378"/>
      <c r="Q1128" s="378"/>
      <c r="R1128" s="378"/>
      <c r="S1128" s="378"/>
      <c r="T1128" s="378"/>
      <c r="U1128" s="378"/>
      <c r="V1128" s="533"/>
      <c r="W1128" s="602"/>
      <c r="X1128" s="602"/>
      <c r="Y1128" s="378">
        <f>IF(NFI_Expiration=1,IF($A1128&lt;VLOOKUP(H$5,NFI,5,0),1,0)*Table_NFI[[#This Row],[Hygiene Kit]],Table_NFI[Hygiene Kit])</f>
        <v>0</v>
      </c>
      <c r="Z1128" s="378">
        <f>IF(NFI_Expiration=1,IF($A1128&lt;VLOOKUP(I$5,NFI,5,0),1,0)*Table_NFI[[#This Row],[NFI Core Kit]],Table_NFI[NFI Core Kit])</f>
        <v>0</v>
      </c>
      <c r="AA1128" s="378">
        <f>IF(NFI_Expiration=1,IF($A1128&lt;VLOOKUP(J$5,NFI,5,0),1,0)*Table_NFI[[#This Row],[Sanitary Kit]],Table_NFI[Sanitary Kit])</f>
        <v>0</v>
      </c>
      <c r="AB1128" s="378">
        <f>IF(NFI_Expiration=1,IF($A1128&lt;VLOOKUP(K$5,NFI,5,0),1,0)*Table_NFI[[#This Row],[Mosquito net]],Table_NFI[Mosquito net])</f>
        <v>0</v>
      </c>
      <c r="AC1128" s="378">
        <f>IF(NFI_Expiration=1,IF($A1128&lt;VLOOKUP(L$5,NFI,5,0),1,0)*Table_NFI[[#This Row],[Tarpaulin]],Table_NFI[[#This Row],[Tarpaulin]])</f>
        <v>0</v>
      </c>
      <c r="AD1128" s="378">
        <f>IF(NFI_Expiration=1,IF($A1128&lt;VLOOKUP(M$5,NFI,5,0),1,0)*Table_NFI[[#This Row],[Blanket]],Table_NFI[[#This Row],[Blanket]])</f>
        <v>0</v>
      </c>
      <c r="AE1128" s="378">
        <f>IF(NFI_Expiration=1,IF($A1128&lt;VLOOKUP(N$5,NFI,5,0),1,0)*Table_NFI[[#This Row],[Kitchen Set]],Table_NFI[Kitchen Set])</f>
        <v>0</v>
      </c>
      <c r="AF1128" s="378">
        <f>IF(NFI_Expiration=1,IF($A1128&lt;VLOOKUP(O$5,NFI,5,0),1,0)*Table_NFI[[#This Row],[Clothes Kit]],Table_NFI[Clothes Kit])</f>
        <v>0</v>
      </c>
      <c r="AG1128" s="378">
        <f>IF(NFI_Expiration=1,IF($A1128&lt;VLOOKUP(P$5,NFI,5,0),1,0)*Table_NFI[[#This Row],[Plastic Bucket]],Table_NFI[Plastic Bucket])</f>
        <v>0</v>
      </c>
      <c r="AH1128" s="378">
        <f>IF(NFI_Expiration=1,IF($A1128&lt;VLOOKUP(Q$5,NFI,5,0),1,0)*Table_NFI[[#This Row],[Plastic Mat]],Table_NFI[Plastic Mat])*IF(Table_NFI[[#This Row],[Distribution Date]]&gt;"2014-04-01",1,2.5)</f>
        <v>0</v>
      </c>
      <c r="AI1128" s="378">
        <f>IF(NFI_Expiration=1,IF($A1128&lt;VLOOKUP(R$5,NFI,5,0),1,0)*Table_NFI[[#This Row],[Winter Clothes Adult]],Table_NFI[Winter Clothes Adult])</f>
        <v>0</v>
      </c>
      <c r="AJ1128" s="378">
        <f>IF(NFI_Expiration=1,IF($A1128&lt;VLOOKUP(S$5,NFI,5,0),1,0)*Table_NFI[[#This Row],[Winter Clothes Children]],Table_NFI[Winter Clothes Children])</f>
        <v>0</v>
      </c>
      <c r="AK1128" s="378">
        <f>IF(NFI_Expiration=1,IF($A1128&lt;VLOOKUP(T$5,NFI,5,0),1,0)*Table_NFI[[#This Row],[Winter Items Other]],Table_NFI[Winter Items Other])</f>
        <v>0</v>
      </c>
      <c r="AL1128" s="378">
        <f>IF(NFI_Expiration=1,IF($A1128&lt;VLOOKUP(M$5,NFI,5,0),1,0)*Table_NFI[[#This Row],[Winter Blanket]],Table_NFI[[#This Row],[Winter Blanket]])</f>
        <v>0</v>
      </c>
      <c r="AM1128" s="378">
        <f>IF(Table_NFI[[#This Row],[Winter Clothes Adult]]+Table_NFI[[#This Row],[Winter Clothes Children]]+Table_NFI[[#This Row],[Winter Items Other]]+Table_NFI[[#This Row],[Winter Blanket]]&gt;0,1,0)</f>
        <v>0</v>
      </c>
      <c r="AN1128" s="418">
        <f>IF(NFI_Expiration=1,IF($A1128&lt;VLOOKUP(V$5,NFI,5,0),1,0)*Table_NFI[[#This Row],[Jerry Can]],Table_NFI[Jerry Can])</f>
        <v>0</v>
      </c>
      <c r="AO1128" s="579" t="str">
        <f>IFERROR(VLOOKUP(Table_NFI[[#This Row],[Camp Name]],CL,2,0),"")</f>
        <v/>
      </c>
      <c r="AP1128" s="574" t="str">
        <f ca="1">IF(Table_NFI[[#This Row],[Pcode]]="","",IF(OFFSET(CampList[Opening Date],MATCH(Table_NFI[[#This Row],[Pcode]],CampList[CP_Pcode],0)-1,0,1,1)&gt;=NFI_Monitor_Date,1,0))</f>
        <v/>
      </c>
      <c r="AQ1128" s="579" t="str">
        <f>IFERROR(VLOOKUP(Table_NFI[[#This Row],[Camp Name]],CL,3,0),"")</f>
        <v/>
      </c>
      <c r="AR1128" s="378" t="str">
        <f ca="1">IF(Table_NFI[[#This Row],[Pcode]]="","",OFFSET(CampList[Priority],MATCH(Table_NFI[[#This Row],[Pcode]],CampList[CP_Pcode],0)-1,0,1,1))</f>
        <v/>
      </c>
      <c r="AS1128" s="377" t="str">
        <f>IFERROR(Table_NFI[[#This Row],[Kitchen Set]]/VLOOKUP(Table_NFI[[#This Row],[Camp Name]],CL,4,0),"")</f>
        <v/>
      </c>
      <c r="AT1128" s="577"/>
      <c r="AU1128" s="580"/>
    </row>
    <row r="1129" spans="1:47" x14ac:dyDescent="0.25">
      <c r="A1129" s="381" t="str">
        <f t="shared" si="17"/>
        <v/>
      </c>
      <c r="B1129" s="571"/>
      <c r="C1129" s="577"/>
      <c r="D1129" s="577"/>
      <c r="E1129" s="577"/>
      <c r="F1129" s="577"/>
      <c r="G1129" s="577"/>
      <c r="H1129" s="376"/>
      <c r="I1129" s="376"/>
      <c r="J1129" s="376"/>
      <c r="K1129" s="376"/>
      <c r="L1129" s="376"/>
      <c r="M1129" s="376"/>
      <c r="N1129" s="376"/>
      <c r="O1129" s="376"/>
      <c r="P1129" s="378"/>
      <c r="Q1129" s="378"/>
      <c r="R1129" s="378"/>
      <c r="S1129" s="378"/>
      <c r="T1129" s="378"/>
      <c r="U1129" s="378"/>
      <c r="V1129" s="533"/>
      <c r="W1129" s="602"/>
      <c r="X1129" s="602"/>
      <c r="Y1129" s="378">
        <f>IF(NFI_Expiration=1,IF($A1129&lt;VLOOKUP(H$5,NFI,5,0),1,0)*Table_NFI[[#This Row],[Hygiene Kit]],Table_NFI[Hygiene Kit])</f>
        <v>0</v>
      </c>
      <c r="Z1129" s="378">
        <f>IF(NFI_Expiration=1,IF($A1129&lt;VLOOKUP(I$5,NFI,5,0),1,0)*Table_NFI[[#This Row],[NFI Core Kit]],Table_NFI[NFI Core Kit])</f>
        <v>0</v>
      </c>
      <c r="AA1129" s="378">
        <f>IF(NFI_Expiration=1,IF($A1129&lt;VLOOKUP(J$5,NFI,5,0),1,0)*Table_NFI[[#This Row],[Sanitary Kit]],Table_NFI[Sanitary Kit])</f>
        <v>0</v>
      </c>
      <c r="AB1129" s="378">
        <f>IF(NFI_Expiration=1,IF($A1129&lt;VLOOKUP(K$5,NFI,5,0),1,0)*Table_NFI[[#This Row],[Mosquito net]],Table_NFI[Mosquito net])</f>
        <v>0</v>
      </c>
      <c r="AC1129" s="378">
        <f>IF(NFI_Expiration=1,IF($A1129&lt;VLOOKUP(L$5,NFI,5,0),1,0)*Table_NFI[[#This Row],[Tarpaulin]],Table_NFI[[#This Row],[Tarpaulin]])</f>
        <v>0</v>
      </c>
      <c r="AD1129" s="378">
        <f>IF(NFI_Expiration=1,IF($A1129&lt;VLOOKUP(M$5,NFI,5,0),1,0)*Table_NFI[[#This Row],[Blanket]],Table_NFI[[#This Row],[Blanket]])</f>
        <v>0</v>
      </c>
      <c r="AE1129" s="378">
        <f>IF(NFI_Expiration=1,IF($A1129&lt;VLOOKUP(N$5,NFI,5,0),1,0)*Table_NFI[[#This Row],[Kitchen Set]],Table_NFI[Kitchen Set])</f>
        <v>0</v>
      </c>
      <c r="AF1129" s="378">
        <f>IF(NFI_Expiration=1,IF($A1129&lt;VLOOKUP(O$5,NFI,5,0),1,0)*Table_NFI[[#This Row],[Clothes Kit]],Table_NFI[Clothes Kit])</f>
        <v>0</v>
      </c>
      <c r="AG1129" s="378">
        <f>IF(NFI_Expiration=1,IF($A1129&lt;VLOOKUP(P$5,NFI,5,0),1,0)*Table_NFI[[#This Row],[Plastic Bucket]],Table_NFI[Plastic Bucket])</f>
        <v>0</v>
      </c>
      <c r="AH1129" s="378">
        <f>IF(NFI_Expiration=1,IF($A1129&lt;VLOOKUP(Q$5,NFI,5,0),1,0)*Table_NFI[[#This Row],[Plastic Mat]],Table_NFI[Plastic Mat])*IF(Table_NFI[[#This Row],[Distribution Date]]&gt;"2014-04-01",1,2.5)</f>
        <v>0</v>
      </c>
      <c r="AI1129" s="378">
        <f>IF(NFI_Expiration=1,IF($A1129&lt;VLOOKUP(R$5,NFI,5,0),1,0)*Table_NFI[[#This Row],[Winter Clothes Adult]],Table_NFI[Winter Clothes Adult])</f>
        <v>0</v>
      </c>
      <c r="AJ1129" s="378">
        <f>IF(NFI_Expiration=1,IF($A1129&lt;VLOOKUP(S$5,NFI,5,0),1,0)*Table_NFI[[#This Row],[Winter Clothes Children]],Table_NFI[Winter Clothes Children])</f>
        <v>0</v>
      </c>
      <c r="AK1129" s="378">
        <f>IF(NFI_Expiration=1,IF($A1129&lt;VLOOKUP(T$5,NFI,5,0),1,0)*Table_NFI[[#This Row],[Winter Items Other]],Table_NFI[Winter Items Other])</f>
        <v>0</v>
      </c>
      <c r="AL1129" s="378">
        <f>IF(NFI_Expiration=1,IF($A1129&lt;VLOOKUP(M$5,NFI,5,0),1,0)*Table_NFI[[#This Row],[Winter Blanket]],Table_NFI[[#This Row],[Winter Blanket]])</f>
        <v>0</v>
      </c>
      <c r="AM1129" s="378">
        <f>IF(Table_NFI[[#This Row],[Winter Clothes Adult]]+Table_NFI[[#This Row],[Winter Clothes Children]]+Table_NFI[[#This Row],[Winter Items Other]]+Table_NFI[[#This Row],[Winter Blanket]]&gt;0,1,0)</f>
        <v>0</v>
      </c>
      <c r="AN1129" s="418">
        <f>IF(NFI_Expiration=1,IF($A1129&lt;VLOOKUP(V$5,NFI,5,0),1,0)*Table_NFI[[#This Row],[Jerry Can]],Table_NFI[Jerry Can])</f>
        <v>0</v>
      </c>
      <c r="AO1129" s="579" t="str">
        <f>IFERROR(VLOOKUP(Table_NFI[[#This Row],[Camp Name]],CL,2,0),"")</f>
        <v/>
      </c>
      <c r="AP1129" s="574" t="str">
        <f ca="1">IF(Table_NFI[[#This Row],[Pcode]]="","",IF(OFFSET(CampList[Opening Date],MATCH(Table_NFI[[#This Row],[Pcode]],CampList[CP_Pcode],0)-1,0,1,1)&gt;=NFI_Monitor_Date,1,0))</f>
        <v/>
      </c>
      <c r="AQ1129" s="579" t="str">
        <f>IFERROR(VLOOKUP(Table_NFI[[#This Row],[Camp Name]],CL,3,0),"")</f>
        <v/>
      </c>
      <c r="AR1129" s="378" t="str">
        <f ca="1">IF(Table_NFI[[#This Row],[Pcode]]="","",OFFSET(CampList[Priority],MATCH(Table_NFI[[#This Row],[Pcode]],CampList[CP_Pcode],0)-1,0,1,1))</f>
        <v/>
      </c>
      <c r="AS1129" s="377" t="str">
        <f>IFERROR(Table_NFI[[#This Row],[Kitchen Set]]/VLOOKUP(Table_NFI[[#This Row],[Camp Name]],CL,4,0),"")</f>
        <v/>
      </c>
      <c r="AT1129" s="577"/>
      <c r="AU1129" s="580"/>
    </row>
    <row r="1130" spans="1:47" x14ac:dyDescent="0.25">
      <c r="A1130" s="381" t="str">
        <f t="shared" si="17"/>
        <v/>
      </c>
      <c r="B1130" s="571"/>
      <c r="C1130" s="577"/>
      <c r="D1130" s="577"/>
      <c r="E1130" s="577"/>
      <c r="F1130" s="577"/>
      <c r="G1130" s="577"/>
      <c r="H1130" s="376"/>
      <c r="I1130" s="376"/>
      <c r="J1130" s="376"/>
      <c r="K1130" s="376"/>
      <c r="L1130" s="376"/>
      <c r="M1130" s="376"/>
      <c r="N1130" s="376"/>
      <c r="O1130" s="376"/>
      <c r="P1130" s="378"/>
      <c r="Q1130" s="378"/>
      <c r="R1130" s="378"/>
      <c r="S1130" s="378"/>
      <c r="T1130" s="378"/>
      <c r="U1130" s="378"/>
      <c r="V1130" s="533"/>
      <c r="W1130" s="602"/>
      <c r="X1130" s="602"/>
      <c r="Y1130" s="378">
        <f>IF(NFI_Expiration=1,IF($A1130&lt;VLOOKUP(H$5,NFI,5,0),1,0)*Table_NFI[[#This Row],[Hygiene Kit]],Table_NFI[Hygiene Kit])</f>
        <v>0</v>
      </c>
      <c r="Z1130" s="378">
        <f>IF(NFI_Expiration=1,IF($A1130&lt;VLOOKUP(I$5,NFI,5,0),1,0)*Table_NFI[[#This Row],[NFI Core Kit]],Table_NFI[NFI Core Kit])</f>
        <v>0</v>
      </c>
      <c r="AA1130" s="378">
        <f>IF(NFI_Expiration=1,IF($A1130&lt;VLOOKUP(J$5,NFI,5,0),1,0)*Table_NFI[[#This Row],[Sanitary Kit]],Table_NFI[Sanitary Kit])</f>
        <v>0</v>
      </c>
      <c r="AB1130" s="378">
        <f>IF(NFI_Expiration=1,IF($A1130&lt;VLOOKUP(K$5,NFI,5,0),1,0)*Table_NFI[[#This Row],[Mosquito net]],Table_NFI[Mosquito net])</f>
        <v>0</v>
      </c>
      <c r="AC1130" s="378">
        <f>IF(NFI_Expiration=1,IF($A1130&lt;VLOOKUP(L$5,NFI,5,0),1,0)*Table_NFI[[#This Row],[Tarpaulin]],Table_NFI[[#This Row],[Tarpaulin]])</f>
        <v>0</v>
      </c>
      <c r="AD1130" s="378">
        <f>IF(NFI_Expiration=1,IF($A1130&lt;VLOOKUP(M$5,NFI,5,0),1,0)*Table_NFI[[#This Row],[Blanket]],Table_NFI[[#This Row],[Blanket]])</f>
        <v>0</v>
      </c>
      <c r="AE1130" s="378">
        <f>IF(NFI_Expiration=1,IF($A1130&lt;VLOOKUP(N$5,NFI,5,0),1,0)*Table_NFI[[#This Row],[Kitchen Set]],Table_NFI[Kitchen Set])</f>
        <v>0</v>
      </c>
      <c r="AF1130" s="378">
        <f>IF(NFI_Expiration=1,IF($A1130&lt;VLOOKUP(O$5,NFI,5,0),1,0)*Table_NFI[[#This Row],[Clothes Kit]],Table_NFI[Clothes Kit])</f>
        <v>0</v>
      </c>
      <c r="AG1130" s="378">
        <f>IF(NFI_Expiration=1,IF($A1130&lt;VLOOKUP(P$5,NFI,5,0),1,0)*Table_NFI[[#This Row],[Plastic Bucket]],Table_NFI[Plastic Bucket])</f>
        <v>0</v>
      </c>
      <c r="AH1130" s="378">
        <f>IF(NFI_Expiration=1,IF($A1130&lt;VLOOKUP(Q$5,NFI,5,0),1,0)*Table_NFI[[#This Row],[Plastic Mat]],Table_NFI[Plastic Mat])*IF(Table_NFI[[#This Row],[Distribution Date]]&gt;"2014-04-01",1,2.5)</f>
        <v>0</v>
      </c>
      <c r="AI1130" s="378">
        <f>IF(NFI_Expiration=1,IF($A1130&lt;VLOOKUP(R$5,NFI,5,0),1,0)*Table_NFI[[#This Row],[Winter Clothes Adult]],Table_NFI[Winter Clothes Adult])</f>
        <v>0</v>
      </c>
      <c r="AJ1130" s="378">
        <f>IF(NFI_Expiration=1,IF($A1130&lt;VLOOKUP(S$5,NFI,5,0),1,0)*Table_NFI[[#This Row],[Winter Clothes Children]],Table_NFI[Winter Clothes Children])</f>
        <v>0</v>
      </c>
      <c r="AK1130" s="378">
        <f>IF(NFI_Expiration=1,IF($A1130&lt;VLOOKUP(T$5,NFI,5,0),1,0)*Table_NFI[[#This Row],[Winter Items Other]],Table_NFI[Winter Items Other])</f>
        <v>0</v>
      </c>
      <c r="AL1130" s="378">
        <f>IF(NFI_Expiration=1,IF($A1130&lt;VLOOKUP(M$5,NFI,5,0),1,0)*Table_NFI[[#This Row],[Winter Blanket]],Table_NFI[[#This Row],[Winter Blanket]])</f>
        <v>0</v>
      </c>
      <c r="AM1130" s="378">
        <f>IF(Table_NFI[[#This Row],[Winter Clothes Adult]]+Table_NFI[[#This Row],[Winter Clothes Children]]+Table_NFI[[#This Row],[Winter Items Other]]+Table_NFI[[#This Row],[Winter Blanket]]&gt;0,1,0)</f>
        <v>0</v>
      </c>
      <c r="AN1130" s="418">
        <f>IF(NFI_Expiration=1,IF($A1130&lt;VLOOKUP(V$5,NFI,5,0),1,0)*Table_NFI[[#This Row],[Jerry Can]],Table_NFI[Jerry Can])</f>
        <v>0</v>
      </c>
      <c r="AO1130" s="579" t="str">
        <f>IFERROR(VLOOKUP(Table_NFI[[#This Row],[Camp Name]],CL,2,0),"")</f>
        <v/>
      </c>
      <c r="AP1130" s="574" t="str">
        <f ca="1">IF(Table_NFI[[#This Row],[Pcode]]="","",IF(OFFSET(CampList[Opening Date],MATCH(Table_NFI[[#This Row],[Pcode]],CampList[CP_Pcode],0)-1,0,1,1)&gt;=NFI_Monitor_Date,1,0))</f>
        <v/>
      </c>
      <c r="AQ1130" s="579" t="str">
        <f>IFERROR(VLOOKUP(Table_NFI[[#This Row],[Camp Name]],CL,3,0),"")</f>
        <v/>
      </c>
      <c r="AR1130" s="378" t="str">
        <f ca="1">IF(Table_NFI[[#This Row],[Pcode]]="","",OFFSET(CampList[Priority],MATCH(Table_NFI[[#This Row],[Pcode]],CampList[CP_Pcode],0)-1,0,1,1))</f>
        <v/>
      </c>
      <c r="AS1130" s="377" t="str">
        <f>IFERROR(Table_NFI[[#This Row],[Kitchen Set]]/VLOOKUP(Table_NFI[[#This Row],[Camp Name]],CL,4,0),"")</f>
        <v/>
      </c>
      <c r="AT1130" s="577"/>
      <c r="AU1130" s="580"/>
    </row>
    <row r="1131" spans="1:47" x14ac:dyDescent="0.25">
      <c r="A1131" s="381" t="str">
        <f t="shared" si="17"/>
        <v/>
      </c>
      <c r="B1131" s="571"/>
      <c r="C1131" s="577"/>
      <c r="D1131" s="577"/>
      <c r="E1131" s="577"/>
      <c r="F1131" s="577"/>
      <c r="G1131" s="577"/>
      <c r="H1131" s="376"/>
      <c r="I1131" s="376"/>
      <c r="J1131" s="376"/>
      <c r="K1131" s="376"/>
      <c r="L1131" s="376"/>
      <c r="M1131" s="376"/>
      <c r="N1131" s="376"/>
      <c r="O1131" s="376"/>
      <c r="P1131" s="378"/>
      <c r="Q1131" s="378"/>
      <c r="R1131" s="378"/>
      <c r="S1131" s="378"/>
      <c r="T1131" s="378"/>
      <c r="U1131" s="378"/>
      <c r="V1131" s="533"/>
      <c r="W1131" s="602"/>
      <c r="X1131" s="602"/>
      <c r="Y1131" s="378">
        <f>IF(NFI_Expiration=1,IF($A1131&lt;VLOOKUP(H$5,NFI,5,0),1,0)*Table_NFI[[#This Row],[Hygiene Kit]],Table_NFI[Hygiene Kit])</f>
        <v>0</v>
      </c>
      <c r="Z1131" s="378">
        <f>IF(NFI_Expiration=1,IF($A1131&lt;VLOOKUP(I$5,NFI,5,0),1,0)*Table_NFI[[#This Row],[NFI Core Kit]],Table_NFI[NFI Core Kit])</f>
        <v>0</v>
      </c>
      <c r="AA1131" s="378">
        <f>IF(NFI_Expiration=1,IF($A1131&lt;VLOOKUP(J$5,NFI,5,0),1,0)*Table_NFI[[#This Row],[Sanitary Kit]],Table_NFI[Sanitary Kit])</f>
        <v>0</v>
      </c>
      <c r="AB1131" s="378">
        <f>IF(NFI_Expiration=1,IF($A1131&lt;VLOOKUP(K$5,NFI,5,0),1,0)*Table_NFI[[#This Row],[Mosquito net]],Table_NFI[Mosquito net])</f>
        <v>0</v>
      </c>
      <c r="AC1131" s="378">
        <f>IF(NFI_Expiration=1,IF($A1131&lt;VLOOKUP(L$5,NFI,5,0),1,0)*Table_NFI[[#This Row],[Tarpaulin]],Table_NFI[[#This Row],[Tarpaulin]])</f>
        <v>0</v>
      </c>
      <c r="AD1131" s="378">
        <f>IF(NFI_Expiration=1,IF($A1131&lt;VLOOKUP(M$5,NFI,5,0),1,0)*Table_NFI[[#This Row],[Blanket]],Table_NFI[[#This Row],[Blanket]])</f>
        <v>0</v>
      </c>
      <c r="AE1131" s="378">
        <f>IF(NFI_Expiration=1,IF($A1131&lt;VLOOKUP(N$5,NFI,5,0),1,0)*Table_NFI[[#This Row],[Kitchen Set]],Table_NFI[Kitchen Set])</f>
        <v>0</v>
      </c>
      <c r="AF1131" s="378">
        <f>IF(NFI_Expiration=1,IF($A1131&lt;VLOOKUP(O$5,NFI,5,0),1,0)*Table_NFI[[#This Row],[Clothes Kit]],Table_NFI[Clothes Kit])</f>
        <v>0</v>
      </c>
      <c r="AG1131" s="378">
        <f>IF(NFI_Expiration=1,IF($A1131&lt;VLOOKUP(P$5,NFI,5,0),1,0)*Table_NFI[[#This Row],[Plastic Bucket]],Table_NFI[Plastic Bucket])</f>
        <v>0</v>
      </c>
      <c r="AH1131" s="378">
        <f>IF(NFI_Expiration=1,IF($A1131&lt;VLOOKUP(Q$5,NFI,5,0),1,0)*Table_NFI[[#This Row],[Plastic Mat]],Table_NFI[Plastic Mat])*IF(Table_NFI[[#This Row],[Distribution Date]]&gt;"2014-04-01",1,2.5)</f>
        <v>0</v>
      </c>
      <c r="AI1131" s="378">
        <f>IF(NFI_Expiration=1,IF($A1131&lt;VLOOKUP(R$5,NFI,5,0),1,0)*Table_NFI[[#This Row],[Winter Clothes Adult]],Table_NFI[Winter Clothes Adult])</f>
        <v>0</v>
      </c>
      <c r="AJ1131" s="378">
        <f>IF(NFI_Expiration=1,IF($A1131&lt;VLOOKUP(S$5,NFI,5,0),1,0)*Table_NFI[[#This Row],[Winter Clothes Children]],Table_NFI[Winter Clothes Children])</f>
        <v>0</v>
      </c>
      <c r="AK1131" s="378">
        <f>IF(NFI_Expiration=1,IF($A1131&lt;VLOOKUP(T$5,NFI,5,0),1,0)*Table_NFI[[#This Row],[Winter Items Other]],Table_NFI[Winter Items Other])</f>
        <v>0</v>
      </c>
      <c r="AL1131" s="378">
        <f>IF(NFI_Expiration=1,IF($A1131&lt;VLOOKUP(M$5,NFI,5,0),1,0)*Table_NFI[[#This Row],[Winter Blanket]],Table_NFI[[#This Row],[Winter Blanket]])</f>
        <v>0</v>
      </c>
      <c r="AM1131" s="378">
        <f>IF(Table_NFI[[#This Row],[Winter Clothes Adult]]+Table_NFI[[#This Row],[Winter Clothes Children]]+Table_NFI[[#This Row],[Winter Items Other]]+Table_NFI[[#This Row],[Winter Blanket]]&gt;0,1,0)</f>
        <v>0</v>
      </c>
      <c r="AN1131" s="418">
        <f>IF(NFI_Expiration=1,IF($A1131&lt;VLOOKUP(V$5,NFI,5,0),1,0)*Table_NFI[[#This Row],[Jerry Can]],Table_NFI[Jerry Can])</f>
        <v>0</v>
      </c>
      <c r="AO1131" s="579" t="str">
        <f>IFERROR(VLOOKUP(Table_NFI[[#This Row],[Camp Name]],CL,2,0),"")</f>
        <v/>
      </c>
      <c r="AP1131" s="574" t="str">
        <f ca="1">IF(Table_NFI[[#This Row],[Pcode]]="","",IF(OFFSET(CampList[Opening Date],MATCH(Table_NFI[[#This Row],[Pcode]],CampList[CP_Pcode],0)-1,0,1,1)&gt;=NFI_Monitor_Date,1,0))</f>
        <v/>
      </c>
      <c r="AQ1131" s="579" t="str">
        <f>IFERROR(VLOOKUP(Table_NFI[[#This Row],[Camp Name]],CL,3,0),"")</f>
        <v/>
      </c>
      <c r="AR1131" s="378" t="str">
        <f ca="1">IF(Table_NFI[[#This Row],[Pcode]]="","",OFFSET(CampList[Priority],MATCH(Table_NFI[[#This Row],[Pcode]],CampList[CP_Pcode],0)-1,0,1,1))</f>
        <v/>
      </c>
      <c r="AS1131" s="377" t="str">
        <f>IFERROR(Table_NFI[[#This Row],[Kitchen Set]]/VLOOKUP(Table_NFI[[#This Row],[Camp Name]],CL,4,0),"")</f>
        <v/>
      </c>
      <c r="AT1131" s="577"/>
      <c r="AU1131" s="580"/>
    </row>
    <row r="1132" spans="1:47" x14ac:dyDescent="0.25">
      <c r="A1132" s="381" t="str">
        <f t="shared" si="17"/>
        <v/>
      </c>
      <c r="B1132" s="571"/>
      <c r="C1132" s="577"/>
      <c r="D1132" s="577"/>
      <c r="E1132" s="577"/>
      <c r="F1132" s="577"/>
      <c r="G1132" s="577"/>
      <c r="H1132" s="376"/>
      <c r="I1132" s="376"/>
      <c r="J1132" s="376"/>
      <c r="K1132" s="376"/>
      <c r="L1132" s="376"/>
      <c r="M1132" s="376"/>
      <c r="N1132" s="376"/>
      <c r="O1132" s="376"/>
      <c r="P1132" s="378"/>
      <c r="Q1132" s="378"/>
      <c r="R1132" s="378"/>
      <c r="S1132" s="378"/>
      <c r="T1132" s="378"/>
      <c r="U1132" s="378"/>
      <c r="V1132" s="533"/>
      <c r="W1132" s="602"/>
      <c r="X1132" s="602"/>
      <c r="Y1132" s="378">
        <f>IF(NFI_Expiration=1,IF($A1132&lt;VLOOKUP(H$5,NFI,5,0),1,0)*Table_NFI[[#This Row],[Hygiene Kit]],Table_NFI[Hygiene Kit])</f>
        <v>0</v>
      </c>
      <c r="Z1132" s="378">
        <f>IF(NFI_Expiration=1,IF($A1132&lt;VLOOKUP(I$5,NFI,5,0),1,0)*Table_NFI[[#This Row],[NFI Core Kit]],Table_NFI[NFI Core Kit])</f>
        <v>0</v>
      </c>
      <c r="AA1132" s="378">
        <f>IF(NFI_Expiration=1,IF($A1132&lt;VLOOKUP(J$5,NFI,5,0),1,0)*Table_NFI[[#This Row],[Sanitary Kit]],Table_NFI[Sanitary Kit])</f>
        <v>0</v>
      </c>
      <c r="AB1132" s="378">
        <f>IF(NFI_Expiration=1,IF($A1132&lt;VLOOKUP(K$5,NFI,5,0),1,0)*Table_NFI[[#This Row],[Mosquito net]],Table_NFI[Mosquito net])</f>
        <v>0</v>
      </c>
      <c r="AC1132" s="378">
        <f>IF(NFI_Expiration=1,IF($A1132&lt;VLOOKUP(L$5,NFI,5,0),1,0)*Table_NFI[[#This Row],[Tarpaulin]],Table_NFI[[#This Row],[Tarpaulin]])</f>
        <v>0</v>
      </c>
      <c r="AD1132" s="378">
        <f>IF(NFI_Expiration=1,IF($A1132&lt;VLOOKUP(M$5,NFI,5,0),1,0)*Table_NFI[[#This Row],[Blanket]],Table_NFI[[#This Row],[Blanket]])</f>
        <v>0</v>
      </c>
      <c r="AE1132" s="378">
        <f>IF(NFI_Expiration=1,IF($A1132&lt;VLOOKUP(N$5,NFI,5,0),1,0)*Table_NFI[[#This Row],[Kitchen Set]],Table_NFI[Kitchen Set])</f>
        <v>0</v>
      </c>
      <c r="AF1132" s="378">
        <f>IF(NFI_Expiration=1,IF($A1132&lt;VLOOKUP(O$5,NFI,5,0),1,0)*Table_NFI[[#This Row],[Clothes Kit]],Table_NFI[Clothes Kit])</f>
        <v>0</v>
      </c>
      <c r="AG1132" s="378">
        <f>IF(NFI_Expiration=1,IF($A1132&lt;VLOOKUP(P$5,NFI,5,0),1,0)*Table_NFI[[#This Row],[Plastic Bucket]],Table_NFI[Plastic Bucket])</f>
        <v>0</v>
      </c>
      <c r="AH1132" s="378">
        <f>IF(NFI_Expiration=1,IF($A1132&lt;VLOOKUP(Q$5,NFI,5,0),1,0)*Table_NFI[[#This Row],[Plastic Mat]],Table_NFI[Plastic Mat])*IF(Table_NFI[[#This Row],[Distribution Date]]&gt;"2014-04-01",1,2.5)</f>
        <v>0</v>
      </c>
      <c r="AI1132" s="378">
        <f>IF(NFI_Expiration=1,IF($A1132&lt;VLOOKUP(R$5,NFI,5,0),1,0)*Table_NFI[[#This Row],[Winter Clothes Adult]],Table_NFI[Winter Clothes Adult])</f>
        <v>0</v>
      </c>
      <c r="AJ1132" s="378">
        <f>IF(NFI_Expiration=1,IF($A1132&lt;VLOOKUP(S$5,NFI,5,0),1,0)*Table_NFI[[#This Row],[Winter Clothes Children]],Table_NFI[Winter Clothes Children])</f>
        <v>0</v>
      </c>
      <c r="AK1132" s="378">
        <f>IF(NFI_Expiration=1,IF($A1132&lt;VLOOKUP(T$5,NFI,5,0),1,0)*Table_NFI[[#This Row],[Winter Items Other]],Table_NFI[Winter Items Other])</f>
        <v>0</v>
      </c>
      <c r="AL1132" s="378">
        <f>IF(NFI_Expiration=1,IF($A1132&lt;VLOOKUP(M$5,NFI,5,0),1,0)*Table_NFI[[#This Row],[Winter Blanket]],Table_NFI[[#This Row],[Winter Blanket]])</f>
        <v>0</v>
      </c>
      <c r="AM1132" s="378">
        <f>IF(Table_NFI[[#This Row],[Winter Clothes Adult]]+Table_NFI[[#This Row],[Winter Clothes Children]]+Table_NFI[[#This Row],[Winter Items Other]]+Table_NFI[[#This Row],[Winter Blanket]]&gt;0,1,0)</f>
        <v>0</v>
      </c>
      <c r="AN1132" s="418">
        <f>IF(NFI_Expiration=1,IF($A1132&lt;VLOOKUP(V$5,NFI,5,0),1,0)*Table_NFI[[#This Row],[Jerry Can]],Table_NFI[Jerry Can])</f>
        <v>0</v>
      </c>
      <c r="AO1132" s="579" t="str">
        <f>IFERROR(VLOOKUP(Table_NFI[[#This Row],[Camp Name]],CL,2,0),"")</f>
        <v/>
      </c>
      <c r="AP1132" s="574" t="str">
        <f ca="1">IF(Table_NFI[[#This Row],[Pcode]]="","",IF(OFFSET(CampList[Opening Date],MATCH(Table_NFI[[#This Row],[Pcode]],CampList[CP_Pcode],0)-1,0,1,1)&gt;=NFI_Monitor_Date,1,0))</f>
        <v/>
      </c>
      <c r="AQ1132" s="579" t="str">
        <f>IFERROR(VLOOKUP(Table_NFI[[#This Row],[Camp Name]],CL,3,0),"")</f>
        <v/>
      </c>
      <c r="AR1132" s="378" t="str">
        <f ca="1">IF(Table_NFI[[#This Row],[Pcode]]="","",OFFSET(CampList[Priority],MATCH(Table_NFI[[#This Row],[Pcode]],CampList[CP_Pcode],0)-1,0,1,1))</f>
        <v/>
      </c>
      <c r="AS1132" s="377" t="str">
        <f>IFERROR(Table_NFI[[#This Row],[Kitchen Set]]/VLOOKUP(Table_NFI[[#This Row],[Camp Name]],CL,4,0),"")</f>
        <v/>
      </c>
      <c r="AT1132" s="577"/>
      <c r="AU1132" s="580"/>
    </row>
    <row r="1133" spans="1:47" x14ac:dyDescent="0.25">
      <c r="A1133" s="381" t="str">
        <f t="shared" si="17"/>
        <v/>
      </c>
      <c r="B1133" s="571"/>
      <c r="C1133" s="577"/>
      <c r="D1133" s="577"/>
      <c r="E1133" s="577"/>
      <c r="F1133" s="577"/>
      <c r="G1133" s="577"/>
      <c r="H1133" s="376"/>
      <c r="I1133" s="376"/>
      <c r="J1133" s="376"/>
      <c r="K1133" s="376"/>
      <c r="L1133" s="376"/>
      <c r="M1133" s="376"/>
      <c r="N1133" s="376"/>
      <c r="O1133" s="376"/>
      <c r="P1133" s="378"/>
      <c r="Q1133" s="378"/>
      <c r="R1133" s="378"/>
      <c r="S1133" s="378"/>
      <c r="T1133" s="378"/>
      <c r="U1133" s="378"/>
      <c r="V1133" s="533"/>
      <c r="W1133" s="602"/>
      <c r="X1133" s="602"/>
      <c r="Y1133" s="378">
        <f>IF(NFI_Expiration=1,IF($A1133&lt;VLOOKUP(H$5,NFI,5,0),1,0)*Table_NFI[[#This Row],[Hygiene Kit]],Table_NFI[Hygiene Kit])</f>
        <v>0</v>
      </c>
      <c r="Z1133" s="378">
        <f>IF(NFI_Expiration=1,IF($A1133&lt;VLOOKUP(I$5,NFI,5,0),1,0)*Table_NFI[[#This Row],[NFI Core Kit]],Table_NFI[NFI Core Kit])</f>
        <v>0</v>
      </c>
      <c r="AA1133" s="378">
        <f>IF(NFI_Expiration=1,IF($A1133&lt;VLOOKUP(J$5,NFI,5,0),1,0)*Table_NFI[[#This Row],[Sanitary Kit]],Table_NFI[Sanitary Kit])</f>
        <v>0</v>
      </c>
      <c r="AB1133" s="378">
        <f>IF(NFI_Expiration=1,IF($A1133&lt;VLOOKUP(K$5,NFI,5,0),1,0)*Table_NFI[[#This Row],[Mosquito net]],Table_NFI[Mosquito net])</f>
        <v>0</v>
      </c>
      <c r="AC1133" s="378">
        <f>IF(NFI_Expiration=1,IF($A1133&lt;VLOOKUP(L$5,NFI,5,0),1,0)*Table_NFI[[#This Row],[Tarpaulin]],Table_NFI[[#This Row],[Tarpaulin]])</f>
        <v>0</v>
      </c>
      <c r="AD1133" s="378">
        <f>IF(NFI_Expiration=1,IF($A1133&lt;VLOOKUP(M$5,NFI,5,0),1,0)*Table_NFI[[#This Row],[Blanket]],Table_NFI[[#This Row],[Blanket]])</f>
        <v>0</v>
      </c>
      <c r="AE1133" s="378">
        <f>IF(NFI_Expiration=1,IF($A1133&lt;VLOOKUP(N$5,NFI,5,0),1,0)*Table_NFI[[#This Row],[Kitchen Set]],Table_NFI[Kitchen Set])</f>
        <v>0</v>
      </c>
      <c r="AF1133" s="378">
        <f>IF(NFI_Expiration=1,IF($A1133&lt;VLOOKUP(O$5,NFI,5,0),1,0)*Table_NFI[[#This Row],[Clothes Kit]],Table_NFI[Clothes Kit])</f>
        <v>0</v>
      </c>
      <c r="AG1133" s="378">
        <f>IF(NFI_Expiration=1,IF($A1133&lt;VLOOKUP(P$5,NFI,5,0),1,0)*Table_NFI[[#This Row],[Plastic Bucket]],Table_NFI[Plastic Bucket])</f>
        <v>0</v>
      </c>
      <c r="AH1133" s="378">
        <f>IF(NFI_Expiration=1,IF($A1133&lt;VLOOKUP(Q$5,NFI,5,0),1,0)*Table_NFI[[#This Row],[Plastic Mat]],Table_NFI[Plastic Mat])*IF(Table_NFI[[#This Row],[Distribution Date]]&gt;"2014-04-01",1,2.5)</f>
        <v>0</v>
      </c>
      <c r="AI1133" s="378">
        <f>IF(NFI_Expiration=1,IF($A1133&lt;VLOOKUP(R$5,NFI,5,0),1,0)*Table_NFI[[#This Row],[Winter Clothes Adult]],Table_NFI[Winter Clothes Adult])</f>
        <v>0</v>
      </c>
      <c r="AJ1133" s="378">
        <f>IF(NFI_Expiration=1,IF($A1133&lt;VLOOKUP(S$5,NFI,5,0),1,0)*Table_NFI[[#This Row],[Winter Clothes Children]],Table_NFI[Winter Clothes Children])</f>
        <v>0</v>
      </c>
      <c r="AK1133" s="378">
        <f>IF(NFI_Expiration=1,IF($A1133&lt;VLOOKUP(T$5,NFI,5,0),1,0)*Table_NFI[[#This Row],[Winter Items Other]],Table_NFI[Winter Items Other])</f>
        <v>0</v>
      </c>
      <c r="AL1133" s="378">
        <f>IF(NFI_Expiration=1,IF($A1133&lt;VLOOKUP(M$5,NFI,5,0),1,0)*Table_NFI[[#This Row],[Winter Blanket]],Table_NFI[[#This Row],[Winter Blanket]])</f>
        <v>0</v>
      </c>
      <c r="AM1133" s="378">
        <f>IF(Table_NFI[[#This Row],[Winter Clothes Adult]]+Table_NFI[[#This Row],[Winter Clothes Children]]+Table_NFI[[#This Row],[Winter Items Other]]+Table_NFI[[#This Row],[Winter Blanket]]&gt;0,1,0)</f>
        <v>0</v>
      </c>
      <c r="AN1133" s="418">
        <f>IF(NFI_Expiration=1,IF($A1133&lt;VLOOKUP(V$5,NFI,5,0),1,0)*Table_NFI[[#This Row],[Jerry Can]],Table_NFI[Jerry Can])</f>
        <v>0</v>
      </c>
      <c r="AO1133" s="579" t="str">
        <f>IFERROR(VLOOKUP(Table_NFI[[#This Row],[Camp Name]],CL,2,0),"")</f>
        <v/>
      </c>
      <c r="AP1133" s="574" t="str">
        <f ca="1">IF(Table_NFI[[#This Row],[Pcode]]="","",IF(OFFSET(CampList[Opening Date],MATCH(Table_NFI[[#This Row],[Pcode]],CampList[CP_Pcode],0)-1,0,1,1)&gt;=NFI_Monitor_Date,1,0))</f>
        <v/>
      </c>
      <c r="AQ1133" s="579" t="str">
        <f>IFERROR(VLOOKUP(Table_NFI[[#This Row],[Camp Name]],CL,3,0),"")</f>
        <v/>
      </c>
      <c r="AR1133" s="378" t="str">
        <f ca="1">IF(Table_NFI[[#This Row],[Pcode]]="","",OFFSET(CampList[Priority],MATCH(Table_NFI[[#This Row],[Pcode]],CampList[CP_Pcode],0)-1,0,1,1))</f>
        <v/>
      </c>
      <c r="AS1133" s="377" t="str">
        <f>IFERROR(Table_NFI[[#This Row],[Kitchen Set]]/VLOOKUP(Table_NFI[[#This Row],[Camp Name]],CL,4,0),"")</f>
        <v/>
      </c>
      <c r="AT1133" s="577"/>
      <c r="AU1133" s="580"/>
    </row>
    <row r="1134" spans="1:47" x14ac:dyDescent="0.25">
      <c r="A1134" s="381" t="str">
        <f t="shared" si="17"/>
        <v/>
      </c>
      <c r="B1134" s="571"/>
      <c r="C1134" s="577"/>
      <c r="D1134" s="577"/>
      <c r="E1134" s="577"/>
      <c r="F1134" s="577"/>
      <c r="G1134" s="577"/>
      <c r="H1134" s="376"/>
      <c r="I1134" s="376"/>
      <c r="J1134" s="376"/>
      <c r="K1134" s="376"/>
      <c r="L1134" s="376"/>
      <c r="M1134" s="376"/>
      <c r="N1134" s="376"/>
      <c r="O1134" s="376"/>
      <c r="P1134" s="378"/>
      <c r="Q1134" s="378"/>
      <c r="R1134" s="378"/>
      <c r="S1134" s="378"/>
      <c r="T1134" s="378"/>
      <c r="U1134" s="378"/>
      <c r="V1134" s="533"/>
      <c r="W1134" s="602"/>
      <c r="X1134" s="602"/>
      <c r="Y1134" s="378">
        <f>IF(NFI_Expiration=1,IF($A1134&lt;VLOOKUP(H$5,NFI,5,0),1,0)*Table_NFI[[#This Row],[Hygiene Kit]],Table_NFI[Hygiene Kit])</f>
        <v>0</v>
      </c>
      <c r="Z1134" s="378">
        <f>IF(NFI_Expiration=1,IF($A1134&lt;VLOOKUP(I$5,NFI,5,0),1,0)*Table_NFI[[#This Row],[NFI Core Kit]],Table_NFI[NFI Core Kit])</f>
        <v>0</v>
      </c>
      <c r="AA1134" s="378">
        <f>IF(NFI_Expiration=1,IF($A1134&lt;VLOOKUP(J$5,NFI,5,0),1,0)*Table_NFI[[#This Row],[Sanitary Kit]],Table_NFI[Sanitary Kit])</f>
        <v>0</v>
      </c>
      <c r="AB1134" s="378">
        <f>IF(NFI_Expiration=1,IF($A1134&lt;VLOOKUP(K$5,NFI,5,0),1,0)*Table_NFI[[#This Row],[Mosquito net]],Table_NFI[Mosquito net])</f>
        <v>0</v>
      </c>
      <c r="AC1134" s="378">
        <f>IF(NFI_Expiration=1,IF($A1134&lt;VLOOKUP(L$5,NFI,5,0),1,0)*Table_NFI[[#This Row],[Tarpaulin]],Table_NFI[[#This Row],[Tarpaulin]])</f>
        <v>0</v>
      </c>
      <c r="AD1134" s="378">
        <f>IF(NFI_Expiration=1,IF($A1134&lt;VLOOKUP(M$5,NFI,5,0),1,0)*Table_NFI[[#This Row],[Blanket]],Table_NFI[[#This Row],[Blanket]])</f>
        <v>0</v>
      </c>
      <c r="AE1134" s="378">
        <f>IF(NFI_Expiration=1,IF($A1134&lt;VLOOKUP(N$5,NFI,5,0),1,0)*Table_NFI[[#This Row],[Kitchen Set]],Table_NFI[Kitchen Set])</f>
        <v>0</v>
      </c>
      <c r="AF1134" s="378">
        <f>IF(NFI_Expiration=1,IF($A1134&lt;VLOOKUP(O$5,NFI,5,0),1,0)*Table_NFI[[#This Row],[Clothes Kit]],Table_NFI[Clothes Kit])</f>
        <v>0</v>
      </c>
      <c r="AG1134" s="378">
        <f>IF(NFI_Expiration=1,IF($A1134&lt;VLOOKUP(P$5,NFI,5,0),1,0)*Table_NFI[[#This Row],[Plastic Bucket]],Table_NFI[Plastic Bucket])</f>
        <v>0</v>
      </c>
      <c r="AH1134" s="378">
        <f>IF(NFI_Expiration=1,IF($A1134&lt;VLOOKUP(Q$5,NFI,5,0),1,0)*Table_NFI[[#This Row],[Plastic Mat]],Table_NFI[Plastic Mat])*IF(Table_NFI[[#This Row],[Distribution Date]]&gt;"2014-04-01",1,2.5)</f>
        <v>0</v>
      </c>
      <c r="AI1134" s="378">
        <f>IF(NFI_Expiration=1,IF($A1134&lt;VLOOKUP(R$5,NFI,5,0),1,0)*Table_NFI[[#This Row],[Winter Clothes Adult]],Table_NFI[Winter Clothes Adult])</f>
        <v>0</v>
      </c>
      <c r="AJ1134" s="378">
        <f>IF(NFI_Expiration=1,IF($A1134&lt;VLOOKUP(S$5,NFI,5,0),1,0)*Table_NFI[[#This Row],[Winter Clothes Children]],Table_NFI[Winter Clothes Children])</f>
        <v>0</v>
      </c>
      <c r="AK1134" s="378">
        <f>IF(NFI_Expiration=1,IF($A1134&lt;VLOOKUP(T$5,NFI,5,0),1,0)*Table_NFI[[#This Row],[Winter Items Other]],Table_NFI[Winter Items Other])</f>
        <v>0</v>
      </c>
      <c r="AL1134" s="378">
        <f>IF(NFI_Expiration=1,IF($A1134&lt;VLOOKUP(M$5,NFI,5,0),1,0)*Table_NFI[[#This Row],[Winter Blanket]],Table_NFI[[#This Row],[Winter Blanket]])</f>
        <v>0</v>
      </c>
      <c r="AM1134" s="378">
        <f>IF(Table_NFI[[#This Row],[Winter Clothes Adult]]+Table_NFI[[#This Row],[Winter Clothes Children]]+Table_NFI[[#This Row],[Winter Items Other]]+Table_NFI[[#This Row],[Winter Blanket]]&gt;0,1,0)</f>
        <v>0</v>
      </c>
      <c r="AN1134" s="418">
        <f>IF(NFI_Expiration=1,IF($A1134&lt;VLOOKUP(V$5,NFI,5,0),1,0)*Table_NFI[[#This Row],[Jerry Can]],Table_NFI[Jerry Can])</f>
        <v>0</v>
      </c>
      <c r="AO1134" s="579" t="str">
        <f>IFERROR(VLOOKUP(Table_NFI[[#This Row],[Camp Name]],CL,2,0),"")</f>
        <v/>
      </c>
      <c r="AP1134" s="574" t="str">
        <f ca="1">IF(Table_NFI[[#This Row],[Pcode]]="","",IF(OFFSET(CampList[Opening Date],MATCH(Table_NFI[[#This Row],[Pcode]],CampList[CP_Pcode],0)-1,0,1,1)&gt;=NFI_Monitor_Date,1,0))</f>
        <v/>
      </c>
      <c r="AQ1134" s="579" t="str">
        <f>IFERROR(VLOOKUP(Table_NFI[[#This Row],[Camp Name]],CL,3,0),"")</f>
        <v/>
      </c>
      <c r="AR1134" s="378" t="str">
        <f ca="1">IF(Table_NFI[[#This Row],[Pcode]]="","",OFFSET(CampList[Priority],MATCH(Table_NFI[[#This Row],[Pcode]],CampList[CP_Pcode],0)-1,0,1,1))</f>
        <v/>
      </c>
      <c r="AS1134" s="377" t="str">
        <f>IFERROR(Table_NFI[[#This Row],[Kitchen Set]]/VLOOKUP(Table_NFI[[#This Row],[Camp Name]],CL,4,0),"")</f>
        <v/>
      </c>
      <c r="AT1134" s="577"/>
      <c r="AU1134" s="580"/>
    </row>
    <row r="1135" spans="1:47" x14ac:dyDescent="0.25">
      <c r="A1135" s="381" t="str">
        <f t="shared" si="17"/>
        <v/>
      </c>
      <c r="B1135" s="571"/>
      <c r="C1135" s="577"/>
      <c r="D1135" s="577"/>
      <c r="E1135" s="577"/>
      <c r="F1135" s="577"/>
      <c r="G1135" s="577"/>
      <c r="H1135" s="376"/>
      <c r="I1135" s="376"/>
      <c r="J1135" s="376"/>
      <c r="K1135" s="376"/>
      <c r="L1135" s="376"/>
      <c r="M1135" s="376"/>
      <c r="N1135" s="376"/>
      <c r="O1135" s="376"/>
      <c r="P1135" s="378"/>
      <c r="Q1135" s="378"/>
      <c r="R1135" s="378"/>
      <c r="S1135" s="378"/>
      <c r="T1135" s="378"/>
      <c r="U1135" s="378"/>
      <c r="V1135" s="533"/>
      <c r="W1135" s="602"/>
      <c r="X1135" s="602"/>
      <c r="Y1135" s="378">
        <f>IF(NFI_Expiration=1,IF($A1135&lt;VLOOKUP(H$5,NFI,5,0),1,0)*Table_NFI[[#This Row],[Hygiene Kit]],Table_NFI[Hygiene Kit])</f>
        <v>0</v>
      </c>
      <c r="Z1135" s="378">
        <f>IF(NFI_Expiration=1,IF($A1135&lt;VLOOKUP(I$5,NFI,5,0),1,0)*Table_NFI[[#This Row],[NFI Core Kit]],Table_NFI[NFI Core Kit])</f>
        <v>0</v>
      </c>
      <c r="AA1135" s="378">
        <f>IF(NFI_Expiration=1,IF($A1135&lt;VLOOKUP(J$5,NFI,5,0),1,0)*Table_NFI[[#This Row],[Sanitary Kit]],Table_NFI[Sanitary Kit])</f>
        <v>0</v>
      </c>
      <c r="AB1135" s="378">
        <f>IF(NFI_Expiration=1,IF($A1135&lt;VLOOKUP(K$5,NFI,5,0),1,0)*Table_NFI[[#This Row],[Mosquito net]],Table_NFI[Mosquito net])</f>
        <v>0</v>
      </c>
      <c r="AC1135" s="378">
        <f>IF(NFI_Expiration=1,IF($A1135&lt;VLOOKUP(L$5,NFI,5,0),1,0)*Table_NFI[[#This Row],[Tarpaulin]],Table_NFI[[#This Row],[Tarpaulin]])</f>
        <v>0</v>
      </c>
      <c r="AD1135" s="378">
        <f>IF(NFI_Expiration=1,IF($A1135&lt;VLOOKUP(M$5,NFI,5,0),1,0)*Table_NFI[[#This Row],[Blanket]],Table_NFI[[#This Row],[Blanket]])</f>
        <v>0</v>
      </c>
      <c r="AE1135" s="378">
        <f>IF(NFI_Expiration=1,IF($A1135&lt;VLOOKUP(N$5,NFI,5,0),1,0)*Table_NFI[[#This Row],[Kitchen Set]],Table_NFI[Kitchen Set])</f>
        <v>0</v>
      </c>
      <c r="AF1135" s="378">
        <f>IF(NFI_Expiration=1,IF($A1135&lt;VLOOKUP(O$5,NFI,5,0),1,0)*Table_NFI[[#This Row],[Clothes Kit]],Table_NFI[Clothes Kit])</f>
        <v>0</v>
      </c>
      <c r="AG1135" s="378">
        <f>IF(NFI_Expiration=1,IF($A1135&lt;VLOOKUP(P$5,NFI,5,0),1,0)*Table_NFI[[#This Row],[Plastic Bucket]],Table_NFI[Plastic Bucket])</f>
        <v>0</v>
      </c>
      <c r="AH1135" s="378">
        <f>IF(NFI_Expiration=1,IF($A1135&lt;VLOOKUP(Q$5,NFI,5,0),1,0)*Table_NFI[[#This Row],[Plastic Mat]],Table_NFI[Plastic Mat])*IF(Table_NFI[[#This Row],[Distribution Date]]&gt;"2014-04-01",1,2.5)</f>
        <v>0</v>
      </c>
      <c r="AI1135" s="378">
        <f>IF(NFI_Expiration=1,IF($A1135&lt;VLOOKUP(R$5,NFI,5,0),1,0)*Table_NFI[[#This Row],[Winter Clothes Adult]],Table_NFI[Winter Clothes Adult])</f>
        <v>0</v>
      </c>
      <c r="AJ1135" s="378">
        <f>IF(NFI_Expiration=1,IF($A1135&lt;VLOOKUP(S$5,NFI,5,0),1,0)*Table_NFI[[#This Row],[Winter Clothes Children]],Table_NFI[Winter Clothes Children])</f>
        <v>0</v>
      </c>
      <c r="AK1135" s="378">
        <f>IF(NFI_Expiration=1,IF($A1135&lt;VLOOKUP(T$5,NFI,5,0),1,0)*Table_NFI[[#This Row],[Winter Items Other]],Table_NFI[Winter Items Other])</f>
        <v>0</v>
      </c>
      <c r="AL1135" s="378">
        <f>IF(NFI_Expiration=1,IF($A1135&lt;VLOOKUP(M$5,NFI,5,0),1,0)*Table_NFI[[#This Row],[Winter Blanket]],Table_NFI[[#This Row],[Winter Blanket]])</f>
        <v>0</v>
      </c>
      <c r="AM1135" s="378">
        <f>IF(Table_NFI[[#This Row],[Winter Clothes Adult]]+Table_NFI[[#This Row],[Winter Clothes Children]]+Table_NFI[[#This Row],[Winter Items Other]]+Table_NFI[[#This Row],[Winter Blanket]]&gt;0,1,0)</f>
        <v>0</v>
      </c>
      <c r="AN1135" s="418">
        <f>IF(NFI_Expiration=1,IF($A1135&lt;VLOOKUP(V$5,NFI,5,0),1,0)*Table_NFI[[#This Row],[Jerry Can]],Table_NFI[Jerry Can])</f>
        <v>0</v>
      </c>
      <c r="AO1135" s="579" t="str">
        <f>IFERROR(VLOOKUP(Table_NFI[[#This Row],[Camp Name]],CL,2,0),"")</f>
        <v/>
      </c>
      <c r="AP1135" s="574" t="str">
        <f ca="1">IF(Table_NFI[[#This Row],[Pcode]]="","",IF(OFFSET(CampList[Opening Date],MATCH(Table_NFI[[#This Row],[Pcode]],CampList[CP_Pcode],0)-1,0,1,1)&gt;=NFI_Monitor_Date,1,0))</f>
        <v/>
      </c>
      <c r="AQ1135" s="579" t="str">
        <f>IFERROR(VLOOKUP(Table_NFI[[#This Row],[Camp Name]],CL,3,0),"")</f>
        <v/>
      </c>
      <c r="AR1135" s="378" t="str">
        <f ca="1">IF(Table_NFI[[#This Row],[Pcode]]="","",OFFSET(CampList[Priority],MATCH(Table_NFI[[#This Row],[Pcode]],CampList[CP_Pcode],0)-1,0,1,1))</f>
        <v/>
      </c>
      <c r="AS1135" s="377" t="str">
        <f>IFERROR(Table_NFI[[#This Row],[Kitchen Set]]/VLOOKUP(Table_NFI[[#This Row],[Camp Name]],CL,4,0),"")</f>
        <v/>
      </c>
      <c r="AT1135" s="577"/>
      <c r="AU1135" s="580"/>
    </row>
    <row r="1136" spans="1:47" x14ac:dyDescent="0.25">
      <c r="A1136" s="381" t="str">
        <f t="shared" si="17"/>
        <v/>
      </c>
      <c r="B1136" s="571"/>
      <c r="C1136" s="577"/>
      <c r="D1136" s="577"/>
      <c r="E1136" s="577"/>
      <c r="F1136" s="577"/>
      <c r="G1136" s="577"/>
      <c r="H1136" s="376"/>
      <c r="I1136" s="376"/>
      <c r="J1136" s="376"/>
      <c r="K1136" s="376"/>
      <c r="L1136" s="376"/>
      <c r="M1136" s="376"/>
      <c r="N1136" s="376"/>
      <c r="O1136" s="376"/>
      <c r="P1136" s="378"/>
      <c r="Q1136" s="378"/>
      <c r="R1136" s="378"/>
      <c r="S1136" s="378"/>
      <c r="T1136" s="378"/>
      <c r="U1136" s="378"/>
      <c r="V1136" s="533"/>
      <c r="W1136" s="602"/>
      <c r="X1136" s="602"/>
      <c r="Y1136" s="378">
        <f>IF(NFI_Expiration=1,IF($A1136&lt;VLOOKUP(H$5,NFI,5,0),1,0)*Table_NFI[[#This Row],[Hygiene Kit]],Table_NFI[Hygiene Kit])</f>
        <v>0</v>
      </c>
      <c r="Z1136" s="378">
        <f>IF(NFI_Expiration=1,IF($A1136&lt;VLOOKUP(I$5,NFI,5,0),1,0)*Table_NFI[[#This Row],[NFI Core Kit]],Table_NFI[NFI Core Kit])</f>
        <v>0</v>
      </c>
      <c r="AA1136" s="378">
        <f>IF(NFI_Expiration=1,IF($A1136&lt;VLOOKUP(J$5,NFI,5,0),1,0)*Table_NFI[[#This Row],[Sanitary Kit]],Table_NFI[Sanitary Kit])</f>
        <v>0</v>
      </c>
      <c r="AB1136" s="378">
        <f>IF(NFI_Expiration=1,IF($A1136&lt;VLOOKUP(K$5,NFI,5,0),1,0)*Table_NFI[[#This Row],[Mosquito net]],Table_NFI[Mosquito net])</f>
        <v>0</v>
      </c>
      <c r="AC1136" s="378">
        <f>IF(NFI_Expiration=1,IF($A1136&lt;VLOOKUP(L$5,NFI,5,0),1,0)*Table_NFI[[#This Row],[Tarpaulin]],Table_NFI[[#This Row],[Tarpaulin]])</f>
        <v>0</v>
      </c>
      <c r="AD1136" s="378">
        <f>IF(NFI_Expiration=1,IF($A1136&lt;VLOOKUP(M$5,NFI,5,0),1,0)*Table_NFI[[#This Row],[Blanket]],Table_NFI[[#This Row],[Blanket]])</f>
        <v>0</v>
      </c>
      <c r="AE1136" s="378">
        <f>IF(NFI_Expiration=1,IF($A1136&lt;VLOOKUP(N$5,NFI,5,0),1,0)*Table_NFI[[#This Row],[Kitchen Set]],Table_NFI[Kitchen Set])</f>
        <v>0</v>
      </c>
      <c r="AF1136" s="378">
        <f>IF(NFI_Expiration=1,IF($A1136&lt;VLOOKUP(O$5,NFI,5,0),1,0)*Table_NFI[[#This Row],[Clothes Kit]],Table_NFI[Clothes Kit])</f>
        <v>0</v>
      </c>
      <c r="AG1136" s="378">
        <f>IF(NFI_Expiration=1,IF($A1136&lt;VLOOKUP(P$5,NFI,5,0),1,0)*Table_NFI[[#This Row],[Plastic Bucket]],Table_NFI[Plastic Bucket])</f>
        <v>0</v>
      </c>
      <c r="AH1136" s="378">
        <f>IF(NFI_Expiration=1,IF($A1136&lt;VLOOKUP(Q$5,NFI,5,0),1,0)*Table_NFI[[#This Row],[Plastic Mat]],Table_NFI[Plastic Mat])*IF(Table_NFI[[#This Row],[Distribution Date]]&gt;"2014-04-01",1,2.5)</f>
        <v>0</v>
      </c>
      <c r="AI1136" s="378">
        <f>IF(NFI_Expiration=1,IF($A1136&lt;VLOOKUP(R$5,NFI,5,0),1,0)*Table_NFI[[#This Row],[Winter Clothes Adult]],Table_NFI[Winter Clothes Adult])</f>
        <v>0</v>
      </c>
      <c r="AJ1136" s="378">
        <f>IF(NFI_Expiration=1,IF($A1136&lt;VLOOKUP(S$5,NFI,5,0),1,0)*Table_NFI[[#This Row],[Winter Clothes Children]],Table_NFI[Winter Clothes Children])</f>
        <v>0</v>
      </c>
      <c r="AK1136" s="378">
        <f>IF(NFI_Expiration=1,IF($A1136&lt;VLOOKUP(T$5,NFI,5,0),1,0)*Table_NFI[[#This Row],[Winter Items Other]],Table_NFI[Winter Items Other])</f>
        <v>0</v>
      </c>
      <c r="AL1136" s="378">
        <f>IF(NFI_Expiration=1,IF($A1136&lt;VLOOKUP(M$5,NFI,5,0),1,0)*Table_NFI[[#This Row],[Winter Blanket]],Table_NFI[[#This Row],[Winter Blanket]])</f>
        <v>0</v>
      </c>
      <c r="AM1136" s="378">
        <f>IF(Table_NFI[[#This Row],[Winter Clothes Adult]]+Table_NFI[[#This Row],[Winter Clothes Children]]+Table_NFI[[#This Row],[Winter Items Other]]+Table_NFI[[#This Row],[Winter Blanket]]&gt;0,1,0)</f>
        <v>0</v>
      </c>
      <c r="AN1136" s="418">
        <f>IF(NFI_Expiration=1,IF($A1136&lt;VLOOKUP(V$5,NFI,5,0),1,0)*Table_NFI[[#This Row],[Jerry Can]],Table_NFI[Jerry Can])</f>
        <v>0</v>
      </c>
      <c r="AO1136" s="579" t="str">
        <f>IFERROR(VLOOKUP(Table_NFI[[#This Row],[Camp Name]],CL,2,0),"")</f>
        <v/>
      </c>
      <c r="AP1136" s="574" t="str">
        <f ca="1">IF(Table_NFI[[#This Row],[Pcode]]="","",IF(OFFSET(CampList[Opening Date],MATCH(Table_NFI[[#This Row],[Pcode]],CampList[CP_Pcode],0)-1,0,1,1)&gt;=NFI_Monitor_Date,1,0))</f>
        <v/>
      </c>
      <c r="AQ1136" s="579" t="str">
        <f>IFERROR(VLOOKUP(Table_NFI[[#This Row],[Camp Name]],CL,3,0),"")</f>
        <v/>
      </c>
      <c r="AR1136" s="378" t="str">
        <f ca="1">IF(Table_NFI[[#This Row],[Pcode]]="","",OFFSET(CampList[Priority],MATCH(Table_NFI[[#This Row],[Pcode]],CampList[CP_Pcode],0)-1,0,1,1))</f>
        <v/>
      </c>
      <c r="AS1136" s="377" t="str">
        <f>IFERROR(Table_NFI[[#This Row],[Kitchen Set]]/VLOOKUP(Table_NFI[[#This Row],[Camp Name]],CL,4,0),"")</f>
        <v/>
      </c>
      <c r="AT1136" s="577"/>
      <c r="AU1136" s="580"/>
    </row>
    <row r="1137" spans="1:47" x14ac:dyDescent="0.25">
      <c r="A1137" s="381" t="str">
        <f t="shared" si="17"/>
        <v/>
      </c>
      <c r="B1137" s="571"/>
      <c r="C1137" s="577"/>
      <c r="D1137" s="577"/>
      <c r="E1137" s="577"/>
      <c r="F1137" s="577"/>
      <c r="G1137" s="577"/>
      <c r="H1137" s="376"/>
      <c r="I1137" s="376"/>
      <c r="J1137" s="376"/>
      <c r="K1137" s="376"/>
      <c r="L1137" s="376"/>
      <c r="M1137" s="376"/>
      <c r="N1137" s="376"/>
      <c r="O1137" s="376"/>
      <c r="P1137" s="378"/>
      <c r="Q1137" s="378"/>
      <c r="R1137" s="378"/>
      <c r="S1137" s="378"/>
      <c r="T1137" s="378"/>
      <c r="U1137" s="378"/>
      <c r="V1137" s="533"/>
      <c r="W1137" s="602"/>
      <c r="X1137" s="602"/>
      <c r="Y1137" s="378">
        <f>IF(NFI_Expiration=1,IF($A1137&lt;VLOOKUP(H$5,NFI,5,0),1,0)*Table_NFI[[#This Row],[Hygiene Kit]],Table_NFI[Hygiene Kit])</f>
        <v>0</v>
      </c>
      <c r="Z1137" s="378">
        <f>IF(NFI_Expiration=1,IF($A1137&lt;VLOOKUP(I$5,NFI,5,0),1,0)*Table_NFI[[#This Row],[NFI Core Kit]],Table_NFI[NFI Core Kit])</f>
        <v>0</v>
      </c>
      <c r="AA1137" s="378">
        <f>IF(NFI_Expiration=1,IF($A1137&lt;VLOOKUP(J$5,NFI,5,0),1,0)*Table_NFI[[#This Row],[Sanitary Kit]],Table_NFI[Sanitary Kit])</f>
        <v>0</v>
      </c>
      <c r="AB1137" s="378">
        <f>IF(NFI_Expiration=1,IF($A1137&lt;VLOOKUP(K$5,NFI,5,0),1,0)*Table_NFI[[#This Row],[Mosquito net]],Table_NFI[Mosquito net])</f>
        <v>0</v>
      </c>
      <c r="AC1137" s="378">
        <f>IF(NFI_Expiration=1,IF($A1137&lt;VLOOKUP(L$5,NFI,5,0),1,0)*Table_NFI[[#This Row],[Tarpaulin]],Table_NFI[[#This Row],[Tarpaulin]])</f>
        <v>0</v>
      </c>
      <c r="AD1137" s="378">
        <f>IF(NFI_Expiration=1,IF($A1137&lt;VLOOKUP(M$5,NFI,5,0),1,0)*Table_NFI[[#This Row],[Blanket]],Table_NFI[[#This Row],[Blanket]])</f>
        <v>0</v>
      </c>
      <c r="AE1137" s="378">
        <f>IF(NFI_Expiration=1,IF($A1137&lt;VLOOKUP(N$5,NFI,5,0),1,0)*Table_NFI[[#This Row],[Kitchen Set]],Table_NFI[Kitchen Set])</f>
        <v>0</v>
      </c>
      <c r="AF1137" s="378">
        <f>IF(NFI_Expiration=1,IF($A1137&lt;VLOOKUP(O$5,NFI,5,0),1,0)*Table_NFI[[#This Row],[Clothes Kit]],Table_NFI[Clothes Kit])</f>
        <v>0</v>
      </c>
      <c r="AG1137" s="378">
        <f>IF(NFI_Expiration=1,IF($A1137&lt;VLOOKUP(P$5,NFI,5,0),1,0)*Table_NFI[[#This Row],[Plastic Bucket]],Table_NFI[Plastic Bucket])</f>
        <v>0</v>
      </c>
      <c r="AH1137" s="378">
        <f>IF(NFI_Expiration=1,IF($A1137&lt;VLOOKUP(Q$5,NFI,5,0),1,0)*Table_NFI[[#This Row],[Plastic Mat]],Table_NFI[Plastic Mat])*IF(Table_NFI[[#This Row],[Distribution Date]]&gt;"2014-04-01",1,2.5)</f>
        <v>0</v>
      </c>
      <c r="AI1137" s="378">
        <f>IF(NFI_Expiration=1,IF($A1137&lt;VLOOKUP(R$5,NFI,5,0),1,0)*Table_NFI[[#This Row],[Winter Clothes Adult]],Table_NFI[Winter Clothes Adult])</f>
        <v>0</v>
      </c>
      <c r="AJ1137" s="378">
        <f>IF(NFI_Expiration=1,IF($A1137&lt;VLOOKUP(S$5,NFI,5,0),1,0)*Table_NFI[[#This Row],[Winter Clothes Children]],Table_NFI[Winter Clothes Children])</f>
        <v>0</v>
      </c>
      <c r="AK1137" s="378">
        <f>IF(NFI_Expiration=1,IF($A1137&lt;VLOOKUP(T$5,NFI,5,0),1,0)*Table_NFI[[#This Row],[Winter Items Other]],Table_NFI[Winter Items Other])</f>
        <v>0</v>
      </c>
      <c r="AL1137" s="378">
        <f>IF(NFI_Expiration=1,IF($A1137&lt;VLOOKUP(M$5,NFI,5,0),1,0)*Table_NFI[[#This Row],[Winter Blanket]],Table_NFI[[#This Row],[Winter Blanket]])</f>
        <v>0</v>
      </c>
      <c r="AM1137" s="378">
        <f>IF(Table_NFI[[#This Row],[Winter Clothes Adult]]+Table_NFI[[#This Row],[Winter Clothes Children]]+Table_NFI[[#This Row],[Winter Items Other]]+Table_NFI[[#This Row],[Winter Blanket]]&gt;0,1,0)</f>
        <v>0</v>
      </c>
      <c r="AN1137" s="418">
        <f>IF(NFI_Expiration=1,IF($A1137&lt;VLOOKUP(V$5,NFI,5,0),1,0)*Table_NFI[[#This Row],[Jerry Can]],Table_NFI[Jerry Can])</f>
        <v>0</v>
      </c>
      <c r="AO1137" s="579" t="str">
        <f>IFERROR(VLOOKUP(Table_NFI[[#This Row],[Camp Name]],CL,2,0),"")</f>
        <v/>
      </c>
      <c r="AP1137" s="574" t="str">
        <f ca="1">IF(Table_NFI[[#This Row],[Pcode]]="","",IF(OFFSET(CampList[Opening Date],MATCH(Table_NFI[[#This Row],[Pcode]],CampList[CP_Pcode],0)-1,0,1,1)&gt;=NFI_Monitor_Date,1,0))</f>
        <v/>
      </c>
      <c r="AQ1137" s="579" t="str">
        <f>IFERROR(VLOOKUP(Table_NFI[[#This Row],[Camp Name]],CL,3,0),"")</f>
        <v/>
      </c>
      <c r="AR1137" s="378" t="str">
        <f ca="1">IF(Table_NFI[[#This Row],[Pcode]]="","",OFFSET(CampList[Priority],MATCH(Table_NFI[[#This Row],[Pcode]],CampList[CP_Pcode],0)-1,0,1,1))</f>
        <v/>
      </c>
      <c r="AS1137" s="377" t="str">
        <f>IFERROR(Table_NFI[[#This Row],[Kitchen Set]]/VLOOKUP(Table_NFI[[#This Row],[Camp Name]],CL,4,0),"")</f>
        <v/>
      </c>
      <c r="AT1137" s="577"/>
      <c r="AU1137" s="580"/>
    </row>
    <row r="1138" spans="1:47" x14ac:dyDescent="0.25">
      <c r="A1138" s="381" t="str">
        <f t="shared" si="17"/>
        <v/>
      </c>
      <c r="B1138" s="571"/>
      <c r="C1138" s="577"/>
      <c r="D1138" s="577"/>
      <c r="E1138" s="577"/>
      <c r="F1138" s="577"/>
      <c r="G1138" s="577"/>
      <c r="H1138" s="376"/>
      <c r="I1138" s="376"/>
      <c r="J1138" s="376"/>
      <c r="K1138" s="376"/>
      <c r="L1138" s="376"/>
      <c r="M1138" s="376"/>
      <c r="N1138" s="376"/>
      <c r="O1138" s="376"/>
      <c r="P1138" s="378"/>
      <c r="Q1138" s="378"/>
      <c r="R1138" s="378"/>
      <c r="S1138" s="378"/>
      <c r="T1138" s="378"/>
      <c r="U1138" s="378"/>
      <c r="V1138" s="533"/>
      <c r="W1138" s="602"/>
      <c r="X1138" s="602"/>
      <c r="Y1138" s="378">
        <f>IF(NFI_Expiration=1,IF($A1138&lt;VLOOKUP(H$5,NFI,5,0),1,0)*Table_NFI[[#This Row],[Hygiene Kit]],Table_NFI[Hygiene Kit])</f>
        <v>0</v>
      </c>
      <c r="Z1138" s="378">
        <f>IF(NFI_Expiration=1,IF($A1138&lt;VLOOKUP(I$5,NFI,5,0),1,0)*Table_NFI[[#This Row],[NFI Core Kit]],Table_NFI[NFI Core Kit])</f>
        <v>0</v>
      </c>
      <c r="AA1138" s="378">
        <f>IF(NFI_Expiration=1,IF($A1138&lt;VLOOKUP(J$5,NFI,5,0),1,0)*Table_NFI[[#This Row],[Sanitary Kit]],Table_NFI[Sanitary Kit])</f>
        <v>0</v>
      </c>
      <c r="AB1138" s="378">
        <f>IF(NFI_Expiration=1,IF($A1138&lt;VLOOKUP(K$5,NFI,5,0),1,0)*Table_NFI[[#This Row],[Mosquito net]],Table_NFI[Mosquito net])</f>
        <v>0</v>
      </c>
      <c r="AC1138" s="378">
        <f>IF(NFI_Expiration=1,IF($A1138&lt;VLOOKUP(L$5,NFI,5,0),1,0)*Table_NFI[[#This Row],[Tarpaulin]],Table_NFI[[#This Row],[Tarpaulin]])</f>
        <v>0</v>
      </c>
      <c r="AD1138" s="378">
        <f>IF(NFI_Expiration=1,IF($A1138&lt;VLOOKUP(M$5,NFI,5,0),1,0)*Table_NFI[[#This Row],[Blanket]],Table_NFI[[#This Row],[Blanket]])</f>
        <v>0</v>
      </c>
      <c r="AE1138" s="378">
        <f>IF(NFI_Expiration=1,IF($A1138&lt;VLOOKUP(N$5,NFI,5,0),1,0)*Table_NFI[[#This Row],[Kitchen Set]],Table_NFI[Kitchen Set])</f>
        <v>0</v>
      </c>
      <c r="AF1138" s="378">
        <f>IF(NFI_Expiration=1,IF($A1138&lt;VLOOKUP(O$5,NFI,5,0),1,0)*Table_NFI[[#This Row],[Clothes Kit]],Table_NFI[Clothes Kit])</f>
        <v>0</v>
      </c>
      <c r="AG1138" s="378">
        <f>IF(NFI_Expiration=1,IF($A1138&lt;VLOOKUP(P$5,NFI,5,0),1,0)*Table_NFI[[#This Row],[Plastic Bucket]],Table_NFI[Plastic Bucket])</f>
        <v>0</v>
      </c>
      <c r="AH1138" s="378">
        <f>IF(NFI_Expiration=1,IF($A1138&lt;VLOOKUP(Q$5,NFI,5,0),1,0)*Table_NFI[[#This Row],[Plastic Mat]],Table_NFI[Plastic Mat])*IF(Table_NFI[[#This Row],[Distribution Date]]&gt;"2014-04-01",1,2.5)</f>
        <v>0</v>
      </c>
      <c r="AI1138" s="378">
        <f>IF(NFI_Expiration=1,IF($A1138&lt;VLOOKUP(R$5,NFI,5,0),1,0)*Table_NFI[[#This Row],[Winter Clothes Adult]],Table_NFI[Winter Clothes Adult])</f>
        <v>0</v>
      </c>
      <c r="AJ1138" s="378">
        <f>IF(NFI_Expiration=1,IF($A1138&lt;VLOOKUP(S$5,NFI,5,0),1,0)*Table_NFI[[#This Row],[Winter Clothes Children]],Table_NFI[Winter Clothes Children])</f>
        <v>0</v>
      </c>
      <c r="AK1138" s="378">
        <f>IF(NFI_Expiration=1,IF($A1138&lt;VLOOKUP(T$5,NFI,5,0),1,0)*Table_NFI[[#This Row],[Winter Items Other]],Table_NFI[Winter Items Other])</f>
        <v>0</v>
      </c>
      <c r="AL1138" s="378">
        <f>IF(NFI_Expiration=1,IF($A1138&lt;VLOOKUP(M$5,NFI,5,0),1,0)*Table_NFI[[#This Row],[Winter Blanket]],Table_NFI[[#This Row],[Winter Blanket]])</f>
        <v>0</v>
      </c>
      <c r="AM1138" s="378">
        <f>IF(Table_NFI[[#This Row],[Winter Clothes Adult]]+Table_NFI[[#This Row],[Winter Clothes Children]]+Table_NFI[[#This Row],[Winter Items Other]]+Table_NFI[[#This Row],[Winter Blanket]]&gt;0,1,0)</f>
        <v>0</v>
      </c>
      <c r="AN1138" s="418">
        <f>IF(NFI_Expiration=1,IF($A1138&lt;VLOOKUP(V$5,NFI,5,0),1,0)*Table_NFI[[#This Row],[Jerry Can]],Table_NFI[Jerry Can])</f>
        <v>0</v>
      </c>
      <c r="AO1138" s="579" t="str">
        <f>IFERROR(VLOOKUP(Table_NFI[[#This Row],[Camp Name]],CL,2,0),"")</f>
        <v/>
      </c>
      <c r="AP1138" s="574" t="str">
        <f ca="1">IF(Table_NFI[[#This Row],[Pcode]]="","",IF(OFFSET(CampList[Opening Date],MATCH(Table_NFI[[#This Row],[Pcode]],CampList[CP_Pcode],0)-1,0,1,1)&gt;=NFI_Monitor_Date,1,0))</f>
        <v/>
      </c>
      <c r="AQ1138" s="579" t="str">
        <f>IFERROR(VLOOKUP(Table_NFI[[#This Row],[Camp Name]],CL,3,0),"")</f>
        <v/>
      </c>
      <c r="AR1138" s="378" t="str">
        <f ca="1">IF(Table_NFI[[#This Row],[Pcode]]="","",OFFSET(CampList[Priority],MATCH(Table_NFI[[#This Row],[Pcode]],CampList[CP_Pcode],0)-1,0,1,1))</f>
        <v/>
      </c>
      <c r="AS1138" s="377" t="str">
        <f>IFERROR(Table_NFI[[#This Row],[Kitchen Set]]/VLOOKUP(Table_NFI[[#This Row],[Camp Name]],CL,4,0),"")</f>
        <v/>
      </c>
      <c r="AT1138" s="577"/>
      <c r="AU1138" s="580"/>
    </row>
    <row r="1139" spans="1:47" x14ac:dyDescent="0.25">
      <c r="A1139" s="381" t="str">
        <f t="shared" si="17"/>
        <v/>
      </c>
      <c r="B1139" s="571"/>
      <c r="C1139" s="577"/>
      <c r="D1139" s="577"/>
      <c r="E1139" s="577"/>
      <c r="F1139" s="577"/>
      <c r="G1139" s="577"/>
      <c r="H1139" s="376"/>
      <c r="I1139" s="376"/>
      <c r="J1139" s="376"/>
      <c r="K1139" s="376"/>
      <c r="L1139" s="376"/>
      <c r="M1139" s="376"/>
      <c r="N1139" s="376"/>
      <c r="O1139" s="376"/>
      <c r="P1139" s="378"/>
      <c r="Q1139" s="378"/>
      <c r="R1139" s="378"/>
      <c r="S1139" s="378"/>
      <c r="T1139" s="378"/>
      <c r="U1139" s="378"/>
      <c r="V1139" s="533"/>
      <c r="W1139" s="602"/>
      <c r="X1139" s="602"/>
      <c r="Y1139" s="378">
        <f>IF(NFI_Expiration=1,IF($A1139&lt;VLOOKUP(H$5,NFI,5,0),1,0)*Table_NFI[[#This Row],[Hygiene Kit]],Table_NFI[Hygiene Kit])</f>
        <v>0</v>
      </c>
      <c r="Z1139" s="378">
        <f>IF(NFI_Expiration=1,IF($A1139&lt;VLOOKUP(I$5,NFI,5,0),1,0)*Table_NFI[[#This Row],[NFI Core Kit]],Table_NFI[NFI Core Kit])</f>
        <v>0</v>
      </c>
      <c r="AA1139" s="378">
        <f>IF(NFI_Expiration=1,IF($A1139&lt;VLOOKUP(J$5,NFI,5,0),1,0)*Table_NFI[[#This Row],[Sanitary Kit]],Table_NFI[Sanitary Kit])</f>
        <v>0</v>
      </c>
      <c r="AB1139" s="378">
        <f>IF(NFI_Expiration=1,IF($A1139&lt;VLOOKUP(K$5,NFI,5,0),1,0)*Table_NFI[[#This Row],[Mosquito net]],Table_NFI[Mosquito net])</f>
        <v>0</v>
      </c>
      <c r="AC1139" s="378">
        <f>IF(NFI_Expiration=1,IF($A1139&lt;VLOOKUP(L$5,NFI,5,0),1,0)*Table_NFI[[#This Row],[Tarpaulin]],Table_NFI[[#This Row],[Tarpaulin]])</f>
        <v>0</v>
      </c>
      <c r="AD1139" s="378">
        <f>IF(NFI_Expiration=1,IF($A1139&lt;VLOOKUP(M$5,NFI,5,0),1,0)*Table_NFI[[#This Row],[Blanket]],Table_NFI[[#This Row],[Blanket]])</f>
        <v>0</v>
      </c>
      <c r="AE1139" s="378">
        <f>IF(NFI_Expiration=1,IF($A1139&lt;VLOOKUP(N$5,NFI,5,0),1,0)*Table_NFI[[#This Row],[Kitchen Set]],Table_NFI[Kitchen Set])</f>
        <v>0</v>
      </c>
      <c r="AF1139" s="378">
        <f>IF(NFI_Expiration=1,IF($A1139&lt;VLOOKUP(O$5,NFI,5,0),1,0)*Table_NFI[[#This Row],[Clothes Kit]],Table_NFI[Clothes Kit])</f>
        <v>0</v>
      </c>
      <c r="AG1139" s="378">
        <f>IF(NFI_Expiration=1,IF($A1139&lt;VLOOKUP(P$5,NFI,5,0),1,0)*Table_NFI[[#This Row],[Plastic Bucket]],Table_NFI[Plastic Bucket])</f>
        <v>0</v>
      </c>
      <c r="AH1139" s="378">
        <f>IF(NFI_Expiration=1,IF($A1139&lt;VLOOKUP(Q$5,NFI,5,0),1,0)*Table_NFI[[#This Row],[Plastic Mat]],Table_NFI[Plastic Mat])*IF(Table_NFI[[#This Row],[Distribution Date]]&gt;"2014-04-01",1,2.5)</f>
        <v>0</v>
      </c>
      <c r="AI1139" s="378">
        <f>IF(NFI_Expiration=1,IF($A1139&lt;VLOOKUP(R$5,NFI,5,0),1,0)*Table_NFI[[#This Row],[Winter Clothes Adult]],Table_NFI[Winter Clothes Adult])</f>
        <v>0</v>
      </c>
      <c r="AJ1139" s="378">
        <f>IF(NFI_Expiration=1,IF($A1139&lt;VLOOKUP(S$5,NFI,5,0),1,0)*Table_NFI[[#This Row],[Winter Clothes Children]],Table_NFI[Winter Clothes Children])</f>
        <v>0</v>
      </c>
      <c r="AK1139" s="378">
        <f>IF(NFI_Expiration=1,IF($A1139&lt;VLOOKUP(T$5,NFI,5,0),1,0)*Table_NFI[[#This Row],[Winter Items Other]],Table_NFI[Winter Items Other])</f>
        <v>0</v>
      </c>
      <c r="AL1139" s="378">
        <f>IF(NFI_Expiration=1,IF($A1139&lt;VLOOKUP(M$5,NFI,5,0),1,0)*Table_NFI[[#This Row],[Winter Blanket]],Table_NFI[[#This Row],[Winter Blanket]])</f>
        <v>0</v>
      </c>
      <c r="AM1139" s="378">
        <f>IF(Table_NFI[[#This Row],[Winter Clothes Adult]]+Table_NFI[[#This Row],[Winter Clothes Children]]+Table_NFI[[#This Row],[Winter Items Other]]+Table_NFI[[#This Row],[Winter Blanket]]&gt;0,1,0)</f>
        <v>0</v>
      </c>
      <c r="AN1139" s="418">
        <f>IF(NFI_Expiration=1,IF($A1139&lt;VLOOKUP(V$5,NFI,5,0),1,0)*Table_NFI[[#This Row],[Jerry Can]],Table_NFI[Jerry Can])</f>
        <v>0</v>
      </c>
      <c r="AO1139" s="579" t="str">
        <f>IFERROR(VLOOKUP(Table_NFI[[#This Row],[Camp Name]],CL,2,0),"")</f>
        <v/>
      </c>
      <c r="AP1139" s="574" t="str">
        <f ca="1">IF(Table_NFI[[#This Row],[Pcode]]="","",IF(OFFSET(CampList[Opening Date],MATCH(Table_NFI[[#This Row],[Pcode]],CampList[CP_Pcode],0)-1,0,1,1)&gt;=NFI_Monitor_Date,1,0))</f>
        <v/>
      </c>
      <c r="AQ1139" s="579" t="str">
        <f>IFERROR(VLOOKUP(Table_NFI[[#This Row],[Camp Name]],CL,3,0),"")</f>
        <v/>
      </c>
      <c r="AR1139" s="378" t="str">
        <f ca="1">IF(Table_NFI[[#This Row],[Pcode]]="","",OFFSET(CampList[Priority],MATCH(Table_NFI[[#This Row],[Pcode]],CampList[CP_Pcode],0)-1,0,1,1))</f>
        <v/>
      </c>
      <c r="AS1139" s="377" t="str">
        <f>IFERROR(Table_NFI[[#This Row],[Kitchen Set]]/VLOOKUP(Table_NFI[[#This Row],[Camp Name]],CL,4,0),"")</f>
        <v/>
      </c>
      <c r="AT1139" s="577"/>
      <c r="AU1139" s="580"/>
    </row>
    <row r="1140" spans="1:47" x14ac:dyDescent="0.25">
      <c r="A1140" s="381" t="str">
        <f t="shared" si="17"/>
        <v/>
      </c>
      <c r="B1140" s="571"/>
      <c r="C1140" s="577"/>
      <c r="D1140" s="577"/>
      <c r="E1140" s="577"/>
      <c r="F1140" s="577"/>
      <c r="G1140" s="577"/>
      <c r="H1140" s="376"/>
      <c r="I1140" s="376"/>
      <c r="J1140" s="376"/>
      <c r="K1140" s="376"/>
      <c r="L1140" s="376"/>
      <c r="M1140" s="376"/>
      <c r="N1140" s="376"/>
      <c r="O1140" s="376"/>
      <c r="P1140" s="378"/>
      <c r="Q1140" s="378"/>
      <c r="R1140" s="378"/>
      <c r="S1140" s="378"/>
      <c r="T1140" s="378"/>
      <c r="U1140" s="378"/>
      <c r="V1140" s="533"/>
      <c r="W1140" s="602"/>
      <c r="X1140" s="602"/>
      <c r="Y1140" s="378">
        <f>IF(NFI_Expiration=1,IF($A1140&lt;VLOOKUP(H$5,NFI,5,0),1,0)*Table_NFI[[#This Row],[Hygiene Kit]],Table_NFI[Hygiene Kit])</f>
        <v>0</v>
      </c>
      <c r="Z1140" s="378">
        <f>IF(NFI_Expiration=1,IF($A1140&lt;VLOOKUP(I$5,NFI,5,0),1,0)*Table_NFI[[#This Row],[NFI Core Kit]],Table_NFI[NFI Core Kit])</f>
        <v>0</v>
      </c>
      <c r="AA1140" s="378">
        <f>IF(NFI_Expiration=1,IF($A1140&lt;VLOOKUP(J$5,NFI,5,0),1,0)*Table_NFI[[#This Row],[Sanitary Kit]],Table_NFI[Sanitary Kit])</f>
        <v>0</v>
      </c>
      <c r="AB1140" s="378">
        <f>IF(NFI_Expiration=1,IF($A1140&lt;VLOOKUP(K$5,NFI,5,0),1,0)*Table_NFI[[#This Row],[Mosquito net]],Table_NFI[Mosquito net])</f>
        <v>0</v>
      </c>
      <c r="AC1140" s="378">
        <f>IF(NFI_Expiration=1,IF($A1140&lt;VLOOKUP(L$5,NFI,5,0),1,0)*Table_NFI[[#This Row],[Tarpaulin]],Table_NFI[[#This Row],[Tarpaulin]])</f>
        <v>0</v>
      </c>
      <c r="AD1140" s="378">
        <f>IF(NFI_Expiration=1,IF($A1140&lt;VLOOKUP(M$5,NFI,5,0),1,0)*Table_NFI[[#This Row],[Blanket]],Table_NFI[[#This Row],[Blanket]])</f>
        <v>0</v>
      </c>
      <c r="AE1140" s="378">
        <f>IF(NFI_Expiration=1,IF($A1140&lt;VLOOKUP(N$5,NFI,5,0),1,0)*Table_NFI[[#This Row],[Kitchen Set]],Table_NFI[Kitchen Set])</f>
        <v>0</v>
      </c>
      <c r="AF1140" s="378">
        <f>IF(NFI_Expiration=1,IF($A1140&lt;VLOOKUP(O$5,NFI,5,0),1,0)*Table_NFI[[#This Row],[Clothes Kit]],Table_NFI[Clothes Kit])</f>
        <v>0</v>
      </c>
      <c r="AG1140" s="378">
        <f>IF(NFI_Expiration=1,IF($A1140&lt;VLOOKUP(P$5,NFI,5,0),1,0)*Table_NFI[[#This Row],[Plastic Bucket]],Table_NFI[Plastic Bucket])</f>
        <v>0</v>
      </c>
      <c r="AH1140" s="378">
        <f>IF(NFI_Expiration=1,IF($A1140&lt;VLOOKUP(Q$5,NFI,5,0),1,0)*Table_NFI[[#This Row],[Plastic Mat]],Table_NFI[Plastic Mat])*IF(Table_NFI[[#This Row],[Distribution Date]]&gt;"2014-04-01",1,2.5)</f>
        <v>0</v>
      </c>
      <c r="AI1140" s="378">
        <f>IF(NFI_Expiration=1,IF($A1140&lt;VLOOKUP(R$5,NFI,5,0),1,0)*Table_NFI[[#This Row],[Winter Clothes Adult]],Table_NFI[Winter Clothes Adult])</f>
        <v>0</v>
      </c>
      <c r="AJ1140" s="378">
        <f>IF(NFI_Expiration=1,IF($A1140&lt;VLOOKUP(S$5,NFI,5,0),1,0)*Table_NFI[[#This Row],[Winter Clothes Children]],Table_NFI[Winter Clothes Children])</f>
        <v>0</v>
      </c>
      <c r="AK1140" s="378">
        <f>IF(NFI_Expiration=1,IF($A1140&lt;VLOOKUP(T$5,NFI,5,0),1,0)*Table_NFI[[#This Row],[Winter Items Other]],Table_NFI[Winter Items Other])</f>
        <v>0</v>
      </c>
      <c r="AL1140" s="378">
        <f>IF(NFI_Expiration=1,IF($A1140&lt;VLOOKUP(M$5,NFI,5,0),1,0)*Table_NFI[[#This Row],[Winter Blanket]],Table_NFI[[#This Row],[Winter Blanket]])</f>
        <v>0</v>
      </c>
      <c r="AM1140" s="378">
        <f>IF(Table_NFI[[#This Row],[Winter Clothes Adult]]+Table_NFI[[#This Row],[Winter Clothes Children]]+Table_NFI[[#This Row],[Winter Items Other]]+Table_NFI[[#This Row],[Winter Blanket]]&gt;0,1,0)</f>
        <v>0</v>
      </c>
      <c r="AN1140" s="418">
        <f>IF(NFI_Expiration=1,IF($A1140&lt;VLOOKUP(V$5,NFI,5,0),1,0)*Table_NFI[[#This Row],[Jerry Can]],Table_NFI[Jerry Can])</f>
        <v>0</v>
      </c>
      <c r="AO1140" s="579" t="str">
        <f>IFERROR(VLOOKUP(Table_NFI[[#This Row],[Camp Name]],CL,2,0),"")</f>
        <v/>
      </c>
      <c r="AP1140" s="574" t="str">
        <f ca="1">IF(Table_NFI[[#This Row],[Pcode]]="","",IF(OFFSET(CampList[Opening Date],MATCH(Table_NFI[[#This Row],[Pcode]],CampList[CP_Pcode],0)-1,0,1,1)&gt;=NFI_Monitor_Date,1,0))</f>
        <v/>
      </c>
      <c r="AQ1140" s="579" t="str">
        <f>IFERROR(VLOOKUP(Table_NFI[[#This Row],[Camp Name]],CL,3,0),"")</f>
        <v/>
      </c>
      <c r="AR1140" s="378" t="str">
        <f ca="1">IF(Table_NFI[[#This Row],[Pcode]]="","",OFFSET(CampList[Priority],MATCH(Table_NFI[[#This Row],[Pcode]],CampList[CP_Pcode],0)-1,0,1,1))</f>
        <v/>
      </c>
      <c r="AS1140" s="377" t="str">
        <f>IFERROR(Table_NFI[[#This Row],[Kitchen Set]]/VLOOKUP(Table_NFI[[#This Row],[Camp Name]],CL,4,0),"")</f>
        <v/>
      </c>
      <c r="AT1140" s="577"/>
      <c r="AU1140" s="580"/>
    </row>
    <row r="1141" spans="1:47" x14ac:dyDescent="0.25">
      <c r="A1141" s="381" t="str">
        <f t="shared" si="17"/>
        <v/>
      </c>
      <c r="B1141" s="571"/>
      <c r="C1141" s="577"/>
      <c r="D1141" s="577"/>
      <c r="E1141" s="577"/>
      <c r="F1141" s="577"/>
      <c r="G1141" s="577"/>
      <c r="H1141" s="376"/>
      <c r="I1141" s="376"/>
      <c r="J1141" s="376"/>
      <c r="K1141" s="376"/>
      <c r="L1141" s="376"/>
      <c r="M1141" s="376"/>
      <c r="N1141" s="376"/>
      <c r="O1141" s="376"/>
      <c r="P1141" s="378"/>
      <c r="Q1141" s="378"/>
      <c r="R1141" s="378"/>
      <c r="S1141" s="378"/>
      <c r="T1141" s="378"/>
      <c r="U1141" s="378"/>
      <c r="V1141" s="533"/>
      <c r="W1141" s="602"/>
      <c r="X1141" s="602"/>
      <c r="Y1141" s="378">
        <f>IF(NFI_Expiration=1,IF($A1141&lt;VLOOKUP(H$5,NFI,5,0),1,0)*Table_NFI[[#This Row],[Hygiene Kit]],Table_NFI[Hygiene Kit])</f>
        <v>0</v>
      </c>
      <c r="Z1141" s="378">
        <f>IF(NFI_Expiration=1,IF($A1141&lt;VLOOKUP(I$5,NFI,5,0),1,0)*Table_NFI[[#This Row],[NFI Core Kit]],Table_NFI[NFI Core Kit])</f>
        <v>0</v>
      </c>
      <c r="AA1141" s="378">
        <f>IF(NFI_Expiration=1,IF($A1141&lt;VLOOKUP(J$5,NFI,5,0),1,0)*Table_NFI[[#This Row],[Sanitary Kit]],Table_NFI[Sanitary Kit])</f>
        <v>0</v>
      </c>
      <c r="AB1141" s="378">
        <f>IF(NFI_Expiration=1,IF($A1141&lt;VLOOKUP(K$5,NFI,5,0),1,0)*Table_NFI[[#This Row],[Mosquito net]],Table_NFI[Mosquito net])</f>
        <v>0</v>
      </c>
      <c r="AC1141" s="378">
        <f>IF(NFI_Expiration=1,IF($A1141&lt;VLOOKUP(L$5,NFI,5,0),1,0)*Table_NFI[[#This Row],[Tarpaulin]],Table_NFI[[#This Row],[Tarpaulin]])</f>
        <v>0</v>
      </c>
      <c r="AD1141" s="378">
        <f>IF(NFI_Expiration=1,IF($A1141&lt;VLOOKUP(M$5,NFI,5,0),1,0)*Table_NFI[[#This Row],[Blanket]],Table_NFI[[#This Row],[Blanket]])</f>
        <v>0</v>
      </c>
      <c r="AE1141" s="378">
        <f>IF(NFI_Expiration=1,IF($A1141&lt;VLOOKUP(N$5,NFI,5,0),1,0)*Table_NFI[[#This Row],[Kitchen Set]],Table_NFI[Kitchen Set])</f>
        <v>0</v>
      </c>
      <c r="AF1141" s="378">
        <f>IF(NFI_Expiration=1,IF($A1141&lt;VLOOKUP(O$5,NFI,5,0),1,0)*Table_NFI[[#This Row],[Clothes Kit]],Table_NFI[Clothes Kit])</f>
        <v>0</v>
      </c>
      <c r="AG1141" s="378">
        <f>IF(NFI_Expiration=1,IF($A1141&lt;VLOOKUP(P$5,NFI,5,0),1,0)*Table_NFI[[#This Row],[Plastic Bucket]],Table_NFI[Plastic Bucket])</f>
        <v>0</v>
      </c>
      <c r="AH1141" s="378">
        <f>IF(NFI_Expiration=1,IF($A1141&lt;VLOOKUP(Q$5,NFI,5,0),1,0)*Table_NFI[[#This Row],[Plastic Mat]],Table_NFI[Plastic Mat])*IF(Table_NFI[[#This Row],[Distribution Date]]&gt;"2014-04-01",1,2.5)</f>
        <v>0</v>
      </c>
      <c r="AI1141" s="378">
        <f>IF(NFI_Expiration=1,IF($A1141&lt;VLOOKUP(R$5,NFI,5,0),1,0)*Table_NFI[[#This Row],[Winter Clothes Adult]],Table_NFI[Winter Clothes Adult])</f>
        <v>0</v>
      </c>
      <c r="AJ1141" s="378">
        <f>IF(NFI_Expiration=1,IF($A1141&lt;VLOOKUP(S$5,NFI,5,0),1,0)*Table_NFI[[#This Row],[Winter Clothes Children]],Table_NFI[Winter Clothes Children])</f>
        <v>0</v>
      </c>
      <c r="AK1141" s="378">
        <f>IF(NFI_Expiration=1,IF($A1141&lt;VLOOKUP(T$5,NFI,5,0),1,0)*Table_NFI[[#This Row],[Winter Items Other]],Table_NFI[Winter Items Other])</f>
        <v>0</v>
      </c>
      <c r="AL1141" s="378">
        <f>IF(NFI_Expiration=1,IF($A1141&lt;VLOOKUP(M$5,NFI,5,0),1,0)*Table_NFI[[#This Row],[Winter Blanket]],Table_NFI[[#This Row],[Winter Blanket]])</f>
        <v>0</v>
      </c>
      <c r="AM1141" s="378">
        <f>IF(Table_NFI[[#This Row],[Winter Clothes Adult]]+Table_NFI[[#This Row],[Winter Clothes Children]]+Table_NFI[[#This Row],[Winter Items Other]]+Table_NFI[[#This Row],[Winter Blanket]]&gt;0,1,0)</f>
        <v>0</v>
      </c>
      <c r="AN1141" s="418">
        <f>IF(NFI_Expiration=1,IF($A1141&lt;VLOOKUP(V$5,NFI,5,0),1,0)*Table_NFI[[#This Row],[Jerry Can]],Table_NFI[Jerry Can])</f>
        <v>0</v>
      </c>
      <c r="AO1141" s="579" t="str">
        <f>IFERROR(VLOOKUP(Table_NFI[[#This Row],[Camp Name]],CL,2,0),"")</f>
        <v/>
      </c>
      <c r="AP1141" s="574" t="str">
        <f ca="1">IF(Table_NFI[[#This Row],[Pcode]]="","",IF(OFFSET(CampList[Opening Date],MATCH(Table_NFI[[#This Row],[Pcode]],CampList[CP_Pcode],0)-1,0,1,1)&gt;=NFI_Monitor_Date,1,0))</f>
        <v/>
      </c>
      <c r="AQ1141" s="579" t="str">
        <f>IFERROR(VLOOKUP(Table_NFI[[#This Row],[Camp Name]],CL,3,0),"")</f>
        <v/>
      </c>
      <c r="AR1141" s="378" t="str">
        <f ca="1">IF(Table_NFI[[#This Row],[Pcode]]="","",OFFSET(CampList[Priority],MATCH(Table_NFI[[#This Row],[Pcode]],CampList[CP_Pcode],0)-1,0,1,1))</f>
        <v/>
      </c>
      <c r="AS1141" s="377" t="str">
        <f>IFERROR(Table_NFI[[#This Row],[Kitchen Set]]/VLOOKUP(Table_NFI[[#This Row],[Camp Name]],CL,4,0),"")</f>
        <v/>
      </c>
      <c r="AT1141" s="577"/>
      <c r="AU1141" s="580"/>
    </row>
    <row r="1142" spans="1:47" x14ac:dyDescent="0.25">
      <c r="A1142" s="381" t="str">
        <f t="shared" si="17"/>
        <v/>
      </c>
      <c r="B1142" s="571"/>
      <c r="C1142" s="577"/>
      <c r="D1142" s="577"/>
      <c r="E1142" s="577"/>
      <c r="F1142" s="577"/>
      <c r="G1142" s="577"/>
      <c r="H1142" s="376"/>
      <c r="I1142" s="376"/>
      <c r="J1142" s="376"/>
      <c r="K1142" s="376"/>
      <c r="L1142" s="376"/>
      <c r="M1142" s="376"/>
      <c r="N1142" s="376"/>
      <c r="O1142" s="376"/>
      <c r="P1142" s="378"/>
      <c r="Q1142" s="378"/>
      <c r="R1142" s="378"/>
      <c r="S1142" s="378"/>
      <c r="T1142" s="378"/>
      <c r="U1142" s="378"/>
      <c r="V1142" s="533"/>
      <c r="W1142" s="602"/>
      <c r="X1142" s="602"/>
      <c r="Y1142" s="378">
        <f>IF(NFI_Expiration=1,IF($A1142&lt;VLOOKUP(H$5,NFI,5,0),1,0)*Table_NFI[[#This Row],[Hygiene Kit]],Table_NFI[Hygiene Kit])</f>
        <v>0</v>
      </c>
      <c r="Z1142" s="378">
        <f>IF(NFI_Expiration=1,IF($A1142&lt;VLOOKUP(I$5,NFI,5,0),1,0)*Table_NFI[[#This Row],[NFI Core Kit]],Table_NFI[NFI Core Kit])</f>
        <v>0</v>
      </c>
      <c r="AA1142" s="378">
        <f>IF(NFI_Expiration=1,IF($A1142&lt;VLOOKUP(J$5,NFI,5,0),1,0)*Table_NFI[[#This Row],[Sanitary Kit]],Table_NFI[Sanitary Kit])</f>
        <v>0</v>
      </c>
      <c r="AB1142" s="378">
        <f>IF(NFI_Expiration=1,IF($A1142&lt;VLOOKUP(K$5,NFI,5,0),1,0)*Table_NFI[[#This Row],[Mosquito net]],Table_NFI[Mosquito net])</f>
        <v>0</v>
      </c>
      <c r="AC1142" s="378">
        <f>IF(NFI_Expiration=1,IF($A1142&lt;VLOOKUP(L$5,NFI,5,0),1,0)*Table_NFI[[#This Row],[Tarpaulin]],Table_NFI[[#This Row],[Tarpaulin]])</f>
        <v>0</v>
      </c>
      <c r="AD1142" s="378">
        <f>IF(NFI_Expiration=1,IF($A1142&lt;VLOOKUP(M$5,NFI,5,0),1,0)*Table_NFI[[#This Row],[Blanket]],Table_NFI[[#This Row],[Blanket]])</f>
        <v>0</v>
      </c>
      <c r="AE1142" s="378">
        <f>IF(NFI_Expiration=1,IF($A1142&lt;VLOOKUP(N$5,NFI,5,0),1,0)*Table_NFI[[#This Row],[Kitchen Set]],Table_NFI[Kitchen Set])</f>
        <v>0</v>
      </c>
      <c r="AF1142" s="378">
        <f>IF(NFI_Expiration=1,IF($A1142&lt;VLOOKUP(O$5,NFI,5,0),1,0)*Table_NFI[[#This Row],[Clothes Kit]],Table_NFI[Clothes Kit])</f>
        <v>0</v>
      </c>
      <c r="AG1142" s="378">
        <f>IF(NFI_Expiration=1,IF($A1142&lt;VLOOKUP(P$5,NFI,5,0),1,0)*Table_NFI[[#This Row],[Plastic Bucket]],Table_NFI[Plastic Bucket])</f>
        <v>0</v>
      </c>
      <c r="AH1142" s="378">
        <f>IF(NFI_Expiration=1,IF($A1142&lt;VLOOKUP(Q$5,NFI,5,0),1,0)*Table_NFI[[#This Row],[Plastic Mat]],Table_NFI[Plastic Mat])*IF(Table_NFI[[#This Row],[Distribution Date]]&gt;"2014-04-01",1,2.5)</f>
        <v>0</v>
      </c>
      <c r="AI1142" s="378">
        <f>IF(NFI_Expiration=1,IF($A1142&lt;VLOOKUP(R$5,NFI,5,0),1,0)*Table_NFI[[#This Row],[Winter Clothes Adult]],Table_NFI[Winter Clothes Adult])</f>
        <v>0</v>
      </c>
      <c r="AJ1142" s="378">
        <f>IF(NFI_Expiration=1,IF($A1142&lt;VLOOKUP(S$5,NFI,5,0),1,0)*Table_NFI[[#This Row],[Winter Clothes Children]],Table_NFI[Winter Clothes Children])</f>
        <v>0</v>
      </c>
      <c r="AK1142" s="378">
        <f>IF(NFI_Expiration=1,IF($A1142&lt;VLOOKUP(T$5,NFI,5,0),1,0)*Table_NFI[[#This Row],[Winter Items Other]],Table_NFI[Winter Items Other])</f>
        <v>0</v>
      </c>
      <c r="AL1142" s="378">
        <f>IF(NFI_Expiration=1,IF($A1142&lt;VLOOKUP(M$5,NFI,5,0),1,0)*Table_NFI[[#This Row],[Winter Blanket]],Table_NFI[[#This Row],[Winter Blanket]])</f>
        <v>0</v>
      </c>
      <c r="AM1142" s="378">
        <f>IF(Table_NFI[[#This Row],[Winter Clothes Adult]]+Table_NFI[[#This Row],[Winter Clothes Children]]+Table_NFI[[#This Row],[Winter Items Other]]+Table_NFI[[#This Row],[Winter Blanket]]&gt;0,1,0)</f>
        <v>0</v>
      </c>
      <c r="AN1142" s="418">
        <f>IF(NFI_Expiration=1,IF($A1142&lt;VLOOKUP(V$5,NFI,5,0),1,0)*Table_NFI[[#This Row],[Jerry Can]],Table_NFI[Jerry Can])</f>
        <v>0</v>
      </c>
      <c r="AO1142" s="579" t="str">
        <f>IFERROR(VLOOKUP(Table_NFI[[#This Row],[Camp Name]],CL,2,0),"")</f>
        <v/>
      </c>
      <c r="AP1142" s="574" t="str">
        <f ca="1">IF(Table_NFI[[#This Row],[Pcode]]="","",IF(OFFSET(CampList[Opening Date],MATCH(Table_NFI[[#This Row],[Pcode]],CampList[CP_Pcode],0)-1,0,1,1)&gt;=NFI_Monitor_Date,1,0))</f>
        <v/>
      </c>
      <c r="AQ1142" s="579" t="str">
        <f>IFERROR(VLOOKUP(Table_NFI[[#This Row],[Camp Name]],CL,3,0),"")</f>
        <v/>
      </c>
      <c r="AR1142" s="378" t="str">
        <f ca="1">IF(Table_NFI[[#This Row],[Pcode]]="","",OFFSET(CampList[Priority],MATCH(Table_NFI[[#This Row],[Pcode]],CampList[CP_Pcode],0)-1,0,1,1))</f>
        <v/>
      </c>
      <c r="AS1142" s="377" t="str">
        <f>IFERROR(Table_NFI[[#This Row],[Kitchen Set]]/VLOOKUP(Table_NFI[[#This Row],[Camp Name]],CL,4,0),"")</f>
        <v/>
      </c>
      <c r="AT1142" s="577"/>
      <c r="AU1142" s="580"/>
    </row>
    <row r="1143" spans="1:47" x14ac:dyDescent="0.25">
      <c r="A1143" s="381" t="str">
        <f t="shared" si="17"/>
        <v/>
      </c>
      <c r="B1143" s="571"/>
      <c r="C1143" s="577"/>
      <c r="D1143" s="577"/>
      <c r="E1143" s="577"/>
      <c r="F1143" s="577"/>
      <c r="G1143" s="577"/>
      <c r="H1143" s="376"/>
      <c r="I1143" s="376"/>
      <c r="J1143" s="376"/>
      <c r="K1143" s="376"/>
      <c r="L1143" s="376"/>
      <c r="M1143" s="376"/>
      <c r="N1143" s="376"/>
      <c r="O1143" s="376"/>
      <c r="P1143" s="378"/>
      <c r="Q1143" s="378"/>
      <c r="R1143" s="378"/>
      <c r="S1143" s="378"/>
      <c r="T1143" s="378"/>
      <c r="U1143" s="378"/>
      <c r="V1143" s="533"/>
      <c r="W1143" s="602"/>
      <c r="X1143" s="602"/>
      <c r="Y1143" s="378">
        <f>IF(NFI_Expiration=1,IF($A1143&lt;VLOOKUP(H$5,NFI,5,0),1,0)*Table_NFI[[#This Row],[Hygiene Kit]],Table_NFI[Hygiene Kit])</f>
        <v>0</v>
      </c>
      <c r="Z1143" s="378">
        <f>IF(NFI_Expiration=1,IF($A1143&lt;VLOOKUP(I$5,NFI,5,0),1,0)*Table_NFI[[#This Row],[NFI Core Kit]],Table_NFI[NFI Core Kit])</f>
        <v>0</v>
      </c>
      <c r="AA1143" s="378">
        <f>IF(NFI_Expiration=1,IF($A1143&lt;VLOOKUP(J$5,NFI,5,0),1,0)*Table_NFI[[#This Row],[Sanitary Kit]],Table_NFI[Sanitary Kit])</f>
        <v>0</v>
      </c>
      <c r="AB1143" s="378">
        <f>IF(NFI_Expiration=1,IF($A1143&lt;VLOOKUP(K$5,NFI,5,0),1,0)*Table_NFI[[#This Row],[Mosquito net]],Table_NFI[Mosquito net])</f>
        <v>0</v>
      </c>
      <c r="AC1143" s="378">
        <f>IF(NFI_Expiration=1,IF($A1143&lt;VLOOKUP(L$5,NFI,5,0),1,0)*Table_NFI[[#This Row],[Tarpaulin]],Table_NFI[[#This Row],[Tarpaulin]])</f>
        <v>0</v>
      </c>
      <c r="AD1143" s="378">
        <f>IF(NFI_Expiration=1,IF($A1143&lt;VLOOKUP(M$5,NFI,5,0),1,0)*Table_NFI[[#This Row],[Blanket]],Table_NFI[[#This Row],[Blanket]])</f>
        <v>0</v>
      </c>
      <c r="AE1143" s="378">
        <f>IF(NFI_Expiration=1,IF($A1143&lt;VLOOKUP(N$5,NFI,5,0),1,0)*Table_NFI[[#This Row],[Kitchen Set]],Table_NFI[Kitchen Set])</f>
        <v>0</v>
      </c>
      <c r="AF1143" s="378">
        <f>IF(NFI_Expiration=1,IF($A1143&lt;VLOOKUP(O$5,NFI,5,0),1,0)*Table_NFI[[#This Row],[Clothes Kit]],Table_NFI[Clothes Kit])</f>
        <v>0</v>
      </c>
      <c r="AG1143" s="378">
        <f>IF(NFI_Expiration=1,IF($A1143&lt;VLOOKUP(P$5,NFI,5,0),1,0)*Table_NFI[[#This Row],[Plastic Bucket]],Table_NFI[Plastic Bucket])</f>
        <v>0</v>
      </c>
      <c r="AH1143" s="378">
        <f>IF(NFI_Expiration=1,IF($A1143&lt;VLOOKUP(Q$5,NFI,5,0),1,0)*Table_NFI[[#This Row],[Plastic Mat]],Table_NFI[Plastic Mat])*IF(Table_NFI[[#This Row],[Distribution Date]]&gt;"2014-04-01",1,2.5)</f>
        <v>0</v>
      </c>
      <c r="AI1143" s="378">
        <f>IF(NFI_Expiration=1,IF($A1143&lt;VLOOKUP(R$5,NFI,5,0),1,0)*Table_NFI[[#This Row],[Winter Clothes Adult]],Table_NFI[Winter Clothes Adult])</f>
        <v>0</v>
      </c>
      <c r="AJ1143" s="378">
        <f>IF(NFI_Expiration=1,IF($A1143&lt;VLOOKUP(S$5,NFI,5,0),1,0)*Table_NFI[[#This Row],[Winter Clothes Children]],Table_NFI[Winter Clothes Children])</f>
        <v>0</v>
      </c>
      <c r="AK1143" s="378">
        <f>IF(NFI_Expiration=1,IF($A1143&lt;VLOOKUP(T$5,NFI,5,0),1,0)*Table_NFI[[#This Row],[Winter Items Other]],Table_NFI[Winter Items Other])</f>
        <v>0</v>
      </c>
      <c r="AL1143" s="378">
        <f>IF(NFI_Expiration=1,IF($A1143&lt;VLOOKUP(M$5,NFI,5,0),1,0)*Table_NFI[[#This Row],[Winter Blanket]],Table_NFI[[#This Row],[Winter Blanket]])</f>
        <v>0</v>
      </c>
      <c r="AM1143" s="378">
        <f>IF(Table_NFI[[#This Row],[Winter Clothes Adult]]+Table_NFI[[#This Row],[Winter Clothes Children]]+Table_NFI[[#This Row],[Winter Items Other]]+Table_NFI[[#This Row],[Winter Blanket]]&gt;0,1,0)</f>
        <v>0</v>
      </c>
      <c r="AN1143" s="418">
        <f>IF(NFI_Expiration=1,IF($A1143&lt;VLOOKUP(V$5,NFI,5,0),1,0)*Table_NFI[[#This Row],[Jerry Can]],Table_NFI[Jerry Can])</f>
        <v>0</v>
      </c>
      <c r="AO1143" s="579" t="str">
        <f>IFERROR(VLOOKUP(Table_NFI[[#This Row],[Camp Name]],CL,2,0),"")</f>
        <v/>
      </c>
      <c r="AP1143" s="574" t="str">
        <f ca="1">IF(Table_NFI[[#This Row],[Pcode]]="","",IF(OFFSET(CampList[Opening Date],MATCH(Table_NFI[[#This Row],[Pcode]],CampList[CP_Pcode],0)-1,0,1,1)&gt;=NFI_Monitor_Date,1,0))</f>
        <v/>
      </c>
      <c r="AQ1143" s="579" t="str">
        <f>IFERROR(VLOOKUP(Table_NFI[[#This Row],[Camp Name]],CL,3,0),"")</f>
        <v/>
      </c>
      <c r="AR1143" s="378" t="str">
        <f ca="1">IF(Table_NFI[[#This Row],[Pcode]]="","",OFFSET(CampList[Priority],MATCH(Table_NFI[[#This Row],[Pcode]],CampList[CP_Pcode],0)-1,0,1,1))</f>
        <v/>
      </c>
      <c r="AS1143" s="377" t="str">
        <f>IFERROR(Table_NFI[[#This Row],[Kitchen Set]]/VLOOKUP(Table_NFI[[#This Row],[Camp Name]],CL,4,0),"")</f>
        <v/>
      </c>
      <c r="AT1143" s="577"/>
      <c r="AU1143" s="580"/>
    </row>
    <row r="1144" spans="1:47" x14ac:dyDescent="0.25">
      <c r="A1144" s="381" t="str">
        <f t="shared" si="17"/>
        <v/>
      </c>
      <c r="B1144" s="571"/>
      <c r="C1144" s="577"/>
      <c r="D1144" s="577"/>
      <c r="E1144" s="577"/>
      <c r="F1144" s="577"/>
      <c r="G1144" s="577"/>
      <c r="H1144" s="376"/>
      <c r="I1144" s="376"/>
      <c r="J1144" s="376"/>
      <c r="K1144" s="376"/>
      <c r="L1144" s="376"/>
      <c r="M1144" s="376"/>
      <c r="N1144" s="376"/>
      <c r="O1144" s="376"/>
      <c r="P1144" s="378"/>
      <c r="Q1144" s="378"/>
      <c r="R1144" s="378"/>
      <c r="S1144" s="378"/>
      <c r="T1144" s="378"/>
      <c r="U1144" s="378"/>
      <c r="V1144" s="533"/>
      <c r="W1144" s="602"/>
      <c r="X1144" s="602"/>
      <c r="Y1144" s="378">
        <f>IF(NFI_Expiration=1,IF($A1144&lt;VLOOKUP(H$5,NFI,5,0),1,0)*Table_NFI[[#This Row],[Hygiene Kit]],Table_NFI[Hygiene Kit])</f>
        <v>0</v>
      </c>
      <c r="Z1144" s="378">
        <f>IF(NFI_Expiration=1,IF($A1144&lt;VLOOKUP(I$5,NFI,5,0),1,0)*Table_NFI[[#This Row],[NFI Core Kit]],Table_NFI[NFI Core Kit])</f>
        <v>0</v>
      </c>
      <c r="AA1144" s="378">
        <f>IF(NFI_Expiration=1,IF($A1144&lt;VLOOKUP(J$5,NFI,5,0),1,0)*Table_NFI[[#This Row],[Sanitary Kit]],Table_NFI[Sanitary Kit])</f>
        <v>0</v>
      </c>
      <c r="AB1144" s="378">
        <f>IF(NFI_Expiration=1,IF($A1144&lt;VLOOKUP(K$5,NFI,5,0),1,0)*Table_NFI[[#This Row],[Mosquito net]],Table_NFI[Mosquito net])</f>
        <v>0</v>
      </c>
      <c r="AC1144" s="378">
        <f>IF(NFI_Expiration=1,IF($A1144&lt;VLOOKUP(L$5,NFI,5,0),1,0)*Table_NFI[[#This Row],[Tarpaulin]],Table_NFI[[#This Row],[Tarpaulin]])</f>
        <v>0</v>
      </c>
      <c r="AD1144" s="378">
        <f>IF(NFI_Expiration=1,IF($A1144&lt;VLOOKUP(M$5,NFI,5,0),1,0)*Table_NFI[[#This Row],[Blanket]],Table_NFI[[#This Row],[Blanket]])</f>
        <v>0</v>
      </c>
      <c r="AE1144" s="378">
        <f>IF(NFI_Expiration=1,IF($A1144&lt;VLOOKUP(N$5,NFI,5,0),1,0)*Table_NFI[[#This Row],[Kitchen Set]],Table_NFI[Kitchen Set])</f>
        <v>0</v>
      </c>
      <c r="AF1144" s="378">
        <f>IF(NFI_Expiration=1,IF($A1144&lt;VLOOKUP(O$5,NFI,5,0),1,0)*Table_NFI[[#This Row],[Clothes Kit]],Table_NFI[Clothes Kit])</f>
        <v>0</v>
      </c>
      <c r="AG1144" s="378">
        <f>IF(NFI_Expiration=1,IF($A1144&lt;VLOOKUP(P$5,NFI,5,0),1,0)*Table_NFI[[#This Row],[Plastic Bucket]],Table_NFI[Plastic Bucket])</f>
        <v>0</v>
      </c>
      <c r="AH1144" s="378">
        <f>IF(NFI_Expiration=1,IF($A1144&lt;VLOOKUP(Q$5,NFI,5,0),1,0)*Table_NFI[[#This Row],[Plastic Mat]],Table_NFI[Plastic Mat])*IF(Table_NFI[[#This Row],[Distribution Date]]&gt;"2014-04-01",1,2.5)</f>
        <v>0</v>
      </c>
      <c r="AI1144" s="378">
        <f>IF(NFI_Expiration=1,IF($A1144&lt;VLOOKUP(R$5,NFI,5,0),1,0)*Table_NFI[[#This Row],[Winter Clothes Adult]],Table_NFI[Winter Clothes Adult])</f>
        <v>0</v>
      </c>
      <c r="AJ1144" s="378">
        <f>IF(NFI_Expiration=1,IF($A1144&lt;VLOOKUP(S$5,NFI,5,0),1,0)*Table_NFI[[#This Row],[Winter Clothes Children]],Table_NFI[Winter Clothes Children])</f>
        <v>0</v>
      </c>
      <c r="AK1144" s="378">
        <f>IF(NFI_Expiration=1,IF($A1144&lt;VLOOKUP(T$5,NFI,5,0),1,0)*Table_NFI[[#This Row],[Winter Items Other]],Table_NFI[Winter Items Other])</f>
        <v>0</v>
      </c>
      <c r="AL1144" s="378">
        <f>IF(NFI_Expiration=1,IF($A1144&lt;VLOOKUP(M$5,NFI,5,0),1,0)*Table_NFI[[#This Row],[Winter Blanket]],Table_NFI[[#This Row],[Winter Blanket]])</f>
        <v>0</v>
      </c>
      <c r="AM1144" s="378">
        <f>IF(Table_NFI[[#This Row],[Winter Clothes Adult]]+Table_NFI[[#This Row],[Winter Clothes Children]]+Table_NFI[[#This Row],[Winter Items Other]]+Table_NFI[[#This Row],[Winter Blanket]]&gt;0,1,0)</f>
        <v>0</v>
      </c>
      <c r="AN1144" s="418">
        <f>IF(NFI_Expiration=1,IF($A1144&lt;VLOOKUP(V$5,NFI,5,0),1,0)*Table_NFI[[#This Row],[Jerry Can]],Table_NFI[Jerry Can])</f>
        <v>0</v>
      </c>
      <c r="AO1144" s="579" t="str">
        <f>IFERROR(VLOOKUP(Table_NFI[[#This Row],[Camp Name]],CL,2,0),"")</f>
        <v/>
      </c>
      <c r="AP1144" s="574" t="str">
        <f ca="1">IF(Table_NFI[[#This Row],[Pcode]]="","",IF(OFFSET(CampList[Opening Date],MATCH(Table_NFI[[#This Row],[Pcode]],CampList[CP_Pcode],0)-1,0,1,1)&gt;=NFI_Monitor_Date,1,0))</f>
        <v/>
      </c>
      <c r="AQ1144" s="579" t="str">
        <f>IFERROR(VLOOKUP(Table_NFI[[#This Row],[Camp Name]],CL,3,0),"")</f>
        <v/>
      </c>
      <c r="AR1144" s="378" t="str">
        <f ca="1">IF(Table_NFI[[#This Row],[Pcode]]="","",OFFSET(CampList[Priority],MATCH(Table_NFI[[#This Row],[Pcode]],CampList[CP_Pcode],0)-1,0,1,1))</f>
        <v/>
      </c>
      <c r="AS1144" s="377" t="str">
        <f>IFERROR(Table_NFI[[#This Row],[Kitchen Set]]/VLOOKUP(Table_NFI[[#This Row],[Camp Name]],CL,4,0),"")</f>
        <v/>
      </c>
      <c r="AT1144" s="577"/>
      <c r="AU1144" s="580"/>
    </row>
    <row r="1145" spans="1:47" x14ac:dyDescent="0.25">
      <c r="A1145" s="381" t="str">
        <f t="shared" si="17"/>
        <v/>
      </c>
      <c r="B1145" s="571"/>
      <c r="C1145" s="577"/>
      <c r="D1145" s="577"/>
      <c r="E1145" s="577"/>
      <c r="F1145" s="577"/>
      <c r="G1145" s="577"/>
      <c r="H1145" s="376"/>
      <c r="I1145" s="376"/>
      <c r="J1145" s="376"/>
      <c r="K1145" s="376"/>
      <c r="L1145" s="376"/>
      <c r="M1145" s="376"/>
      <c r="N1145" s="376"/>
      <c r="O1145" s="376"/>
      <c r="P1145" s="378"/>
      <c r="Q1145" s="378"/>
      <c r="R1145" s="378"/>
      <c r="S1145" s="378"/>
      <c r="T1145" s="378"/>
      <c r="U1145" s="378"/>
      <c r="V1145" s="533"/>
      <c r="W1145" s="602"/>
      <c r="X1145" s="602"/>
      <c r="Y1145" s="378">
        <f>IF(NFI_Expiration=1,IF($A1145&lt;VLOOKUP(H$5,NFI,5,0),1,0)*Table_NFI[[#This Row],[Hygiene Kit]],Table_NFI[Hygiene Kit])</f>
        <v>0</v>
      </c>
      <c r="Z1145" s="378">
        <f>IF(NFI_Expiration=1,IF($A1145&lt;VLOOKUP(I$5,NFI,5,0),1,0)*Table_NFI[[#This Row],[NFI Core Kit]],Table_NFI[NFI Core Kit])</f>
        <v>0</v>
      </c>
      <c r="AA1145" s="378">
        <f>IF(NFI_Expiration=1,IF($A1145&lt;VLOOKUP(J$5,NFI,5,0),1,0)*Table_NFI[[#This Row],[Sanitary Kit]],Table_NFI[Sanitary Kit])</f>
        <v>0</v>
      </c>
      <c r="AB1145" s="378">
        <f>IF(NFI_Expiration=1,IF($A1145&lt;VLOOKUP(K$5,NFI,5,0),1,0)*Table_NFI[[#This Row],[Mosquito net]],Table_NFI[Mosquito net])</f>
        <v>0</v>
      </c>
      <c r="AC1145" s="378">
        <f>IF(NFI_Expiration=1,IF($A1145&lt;VLOOKUP(L$5,NFI,5,0),1,0)*Table_NFI[[#This Row],[Tarpaulin]],Table_NFI[[#This Row],[Tarpaulin]])</f>
        <v>0</v>
      </c>
      <c r="AD1145" s="378">
        <f>IF(NFI_Expiration=1,IF($A1145&lt;VLOOKUP(M$5,NFI,5,0),1,0)*Table_NFI[[#This Row],[Blanket]],Table_NFI[[#This Row],[Blanket]])</f>
        <v>0</v>
      </c>
      <c r="AE1145" s="378">
        <f>IF(NFI_Expiration=1,IF($A1145&lt;VLOOKUP(N$5,NFI,5,0),1,0)*Table_NFI[[#This Row],[Kitchen Set]],Table_NFI[Kitchen Set])</f>
        <v>0</v>
      </c>
      <c r="AF1145" s="378">
        <f>IF(NFI_Expiration=1,IF($A1145&lt;VLOOKUP(O$5,NFI,5,0),1,0)*Table_NFI[[#This Row],[Clothes Kit]],Table_NFI[Clothes Kit])</f>
        <v>0</v>
      </c>
      <c r="AG1145" s="378">
        <f>IF(NFI_Expiration=1,IF($A1145&lt;VLOOKUP(P$5,NFI,5,0),1,0)*Table_NFI[[#This Row],[Plastic Bucket]],Table_NFI[Plastic Bucket])</f>
        <v>0</v>
      </c>
      <c r="AH1145" s="378">
        <f>IF(NFI_Expiration=1,IF($A1145&lt;VLOOKUP(Q$5,NFI,5,0),1,0)*Table_NFI[[#This Row],[Plastic Mat]],Table_NFI[Plastic Mat])*IF(Table_NFI[[#This Row],[Distribution Date]]&gt;"2014-04-01",1,2.5)</f>
        <v>0</v>
      </c>
      <c r="AI1145" s="378">
        <f>IF(NFI_Expiration=1,IF($A1145&lt;VLOOKUP(R$5,NFI,5,0),1,0)*Table_NFI[[#This Row],[Winter Clothes Adult]],Table_NFI[Winter Clothes Adult])</f>
        <v>0</v>
      </c>
      <c r="AJ1145" s="378">
        <f>IF(NFI_Expiration=1,IF($A1145&lt;VLOOKUP(S$5,NFI,5,0),1,0)*Table_NFI[[#This Row],[Winter Clothes Children]],Table_NFI[Winter Clothes Children])</f>
        <v>0</v>
      </c>
      <c r="AK1145" s="378">
        <f>IF(NFI_Expiration=1,IF($A1145&lt;VLOOKUP(T$5,NFI,5,0),1,0)*Table_NFI[[#This Row],[Winter Items Other]],Table_NFI[Winter Items Other])</f>
        <v>0</v>
      </c>
      <c r="AL1145" s="378">
        <f>IF(NFI_Expiration=1,IF($A1145&lt;VLOOKUP(M$5,NFI,5,0),1,0)*Table_NFI[[#This Row],[Winter Blanket]],Table_NFI[[#This Row],[Winter Blanket]])</f>
        <v>0</v>
      </c>
      <c r="AM1145" s="378">
        <f>IF(Table_NFI[[#This Row],[Winter Clothes Adult]]+Table_NFI[[#This Row],[Winter Clothes Children]]+Table_NFI[[#This Row],[Winter Items Other]]+Table_NFI[[#This Row],[Winter Blanket]]&gt;0,1,0)</f>
        <v>0</v>
      </c>
      <c r="AN1145" s="418">
        <f>IF(NFI_Expiration=1,IF($A1145&lt;VLOOKUP(V$5,NFI,5,0),1,0)*Table_NFI[[#This Row],[Jerry Can]],Table_NFI[Jerry Can])</f>
        <v>0</v>
      </c>
      <c r="AO1145" s="579" t="str">
        <f>IFERROR(VLOOKUP(Table_NFI[[#This Row],[Camp Name]],CL,2,0),"")</f>
        <v/>
      </c>
      <c r="AP1145" s="574" t="str">
        <f ca="1">IF(Table_NFI[[#This Row],[Pcode]]="","",IF(OFFSET(CampList[Opening Date],MATCH(Table_NFI[[#This Row],[Pcode]],CampList[CP_Pcode],0)-1,0,1,1)&gt;=NFI_Monitor_Date,1,0))</f>
        <v/>
      </c>
      <c r="AQ1145" s="579" t="str">
        <f>IFERROR(VLOOKUP(Table_NFI[[#This Row],[Camp Name]],CL,3,0),"")</f>
        <v/>
      </c>
      <c r="AR1145" s="378" t="str">
        <f ca="1">IF(Table_NFI[[#This Row],[Pcode]]="","",OFFSET(CampList[Priority],MATCH(Table_NFI[[#This Row],[Pcode]],CampList[CP_Pcode],0)-1,0,1,1))</f>
        <v/>
      </c>
      <c r="AS1145" s="377" t="str">
        <f>IFERROR(Table_NFI[[#This Row],[Kitchen Set]]/VLOOKUP(Table_NFI[[#This Row],[Camp Name]],CL,4,0),"")</f>
        <v/>
      </c>
      <c r="AT1145" s="577"/>
      <c r="AU1145" s="580"/>
    </row>
    <row r="1146" spans="1:47" x14ac:dyDescent="0.25">
      <c r="A1146" s="381" t="str">
        <f t="shared" si="17"/>
        <v/>
      </c>
      <c r="B1146" s="571"/>
      <c r="C1146" s="577"/>
      <c r="D1146" s="577"/>
      <c r="E1146" s="577"/>
      <c r="F1146" s="577"/>
      <c r="G1146" s="577"/>
      <c r="H1146" s="376"/>
      <c r="I1146" s="376"/>
      <c r="J1146" s="376"/>
      <c r="K1146" s="376"/>
      <c r="L1146" s="376"/>
      <c r="M1146" s="376"/>
      <c r="N1146" s="376"/>
      <c r="O1146" s="376"/>
      <c r="P1146" s="378"/>
      <c r="Q1146" s="378"/>
      <c r="R1146" s="378"/>
      <c r="S1146" s="378"/>
      <c r="T1146" s="378"/>
      <c r="U1146" s="378"/>
      <c r="V1146" s="533"/>
      <c r="W1146" s="602"/>
      <c r="X1146" s="602"/>
      <c r="Y1146" s="378">
        <f>IF(NFI_Expiration=1,IF($A1146&lt;VLOOKUP(H$5,NFI,5,0),1,0)*Table_NFI[[#This Row],[Hygiene Kit]],Table_NFI[Hygiene Kit])</f>
        <v>0</v>
      </c>
      <c r="Z1146" s="378">
        <f>IF(NFI_Expiration=1,IF($A1146&lt;VLOOKUP(I$5,NFI,5,0),1,0)*Table_NFI[[#This Row],[NFI Core Kit]],Table_NFI[NFI Core Kit])</f>
        <v>0</v>
      </c>
      <c r="AA1146" s="378">
        <f>IF(NFI_Expiration=1,IF($A1146&lt;VLOOKUP(J$5,NFI,5,0),1,0)*Table_NFI[[#This Row],[Sanitary Kit]],Table_NFI[Sanitary Kit])</f>
        <v>0</v>
      </c>
      <c r="AB1146" s="378">
        <f>IF(NFI_Expiration=1,IF($A1146&lt;VLOOKUP(K$5,NFI,5,0),1,0)*Table_NFI[[#This Row],[Mosquito net]],Table_NFI[Mosquito net])</f>
        <v>0</v>
      </c>
      <c r="AC1146" s="378">
        <f>IF(NFI_Expiration=1,IF($A1146&lt;VLOOKUP(L$5,NFI,5,0),1,0)*Table_NFI[[#This Row],[Tarpaulin]],Table_NFI[[#This Row],[Tarpaulin]])</f>
        <v>0</v>
      </c>
      <c r="AD1146" s="378">
        <f>IF(NFI_Expiration=1,IF($A1146&lt;VLOOKUP(M$5,NFI,5,0),1,0)*Table_NFI[[#This Row],[Blanket]],Table_NFI[[#This Row],[Blanket]])</f>
        <v>0</v>
      </c>
      <c r="AE1146" s="378">
        <f>IF(NFI_Expiration=1,IF($A1146&lt;VLOOKUP(N$5,NFI,5,0),1,0)*Table_NFI[[#This Row],[Kitchen Set]],Table_NFI[Kitchen Set])</f>
        <v>0</v>
      </c>
      <c r="AF1146" s="378">
        <f>IF(NFI_Expiration=1,IF($A1146&lt;VLOOKUP(O$5,NFI,5,0),1,0)*Table_NFI[[#This Row],[Clothes Kit]],Table_NFI[Clothes Kit])</f>
        <v>0</v>
      </c>
      <c r="AG1146" s="378">
        <f>IF(NFI_Expiration=1,IF($A1146&lt;VLOOKUP(P$5,NFI,5,0),1,0)*Table_NFI[[#This Row],[Plastic Bucket]],Table_NFI[Plastic Bucket])</f>
        <v>0</v>
      </c>
      <c r="AH1146" s="378">
        <f>IF(NFI_Expiration=1,IF($A1146&lt;VLOOKUP(Q$5,NFI,5,0),1,0)*Table_NFI[[#This Row],[Plastic Mat]],Table_NFI[Plastic Mat])*IF(Table_NFI[[#This Row],[Distribution Date]]&gt;"2014-04-01",1,2.5)</f>
        <v>0</v>
      </c>
      <c r="AI1146" s="378">
        <f>IF(NFI_Expiration=1,IF($A1146&lt;VLOOKUP(R$5,NFI,5,0),1,0)*Table_NFI[[#This Row],[Winter Clothes Adult]],Table_NFI[Winter Clothes Adult])</f>
        <v>0</v>
      </c>
      <c r="AJ1146" s="378">
        <f>IF(NFI_Expiration=1,IF($A1146&lt;VLOOKUP(S$5,NFI,5,0),1,0)*Table_NFI[[#This Row],[Winter Clothes Children]],Table_NFI[Winter Clothes Children])</f>
        <v>0</v>
      </c>
      <c r="AK1146" s="378">
        <f>IF(NFI_Expiration=1,IF($A1146&lt;VLOOKUP(T$5,NFI,5,0),1,0)*Table_NFI[[#This Row],[Winter Items Other]],Table_NFI[Winter Items Other])</f>
        <v>0</v>
      </c>
      <c r="AL1146" s="378">
        <f>IF(NFI_Expiration=1,IF($A1146&lt;VLOOKUP(M$5,NFI,5,0),1,0)*Table_NFI[[#This Row],[Winter Blanket]],Table_NFI[[#This Row],[Winter Blanket]])</f>
        <v>0</v>
      </c>
      <c r="AM1146" s="378">
        <f>IF(Table_NFI[[#This Row],[Winter Clothes Adult]]+Table_NFI[[#This Row],[Winter Clothes Children]]+Table_NFI[[#This Row],[Winter Items Other]]+Table_NFI[[#This Row],[Winter Blanket]]&gt;0,1,0)</f>
        <v>0</v>
      </c>
      <c r="AN1146" s="418">
        <f>IF(NFI_Expiration=1,IF($A1146&lt;VLOOKUP(V$5,NFI,5,0),1,0)*Table_NFI[[#This Row],[Jerry Can]],Table_NFI[Jerry Can])</f>
        <v>0</v>
      </c>
      <c r="AO1146" s="579" t="str">
        <f>IFERROR(VLOOKUP(Table_NFI[[#This Row],[Camp Name]],CL,2,0),"")</f>
        <v/>
      </c>
      <c r="AP1146" s="574" t="str">
        <f ca="1">IF(Table_NFI[[#This Row],[Pcode]]="","",IF(OFFSET(CampList[Opening Date],MATCH(Table_NFI[[#This Row],[Pcode]],CampList[CP_Pcode],0)-1,0,1,1)&gt;=NFI_Monitor_Date,1,0))</f>
        <v/>
      </c>
      <c r="AQ1146" s="579" t="str">
        <f>IFERROR(VLOOKUP(Table_NFI[[#This Row],[Camp Name]],CL,3,0),"")</f>
        <v/>
      </c>
      <c r="AR1146" s="378" t="str">
        <f ca="1">IF(Table_NFI[[#This Row],[Pcode]]="","",OFFSET(CampList[Priority],MATCH(Table_NFI[[#This Row],[Pcode]],CampList[CP_Pcode],0)-1,0,1,1))</f>
        <v/>
      </c>
      <c r="AS1146" s="377" t="str">
        <f>IFERROR(Table_NFI[[#This Row],[Kitchen Set]]/VLOOKUP(Table_NFI[[#This Row],[Camp Name]],CL,4,0),"")</f>
        <v/>
      </c>
      <c r="AT1146" s="577"/>
      <c r="AU1146" s="580"/>
    </row>
    <row r="1147" spans="1:47" x14ac:dyDescent="0.25">
      <c r="A1147" s="381" t="str">
        <f t="shared" si="17"/>
        <v/>
      </c>
      <c r="B1147" s="571"/>
      <c r="C1147" s="577"/>
      <c r="D1147" s="577"/>
      <c r="E1147" s="577"/>
      <c r="F1147" s="577"/>
      <c r="G1147" s="577"/>
      <c r="H1147" s="376"/>
      <c r="I1147" s="376"/>
      <c r="J1147" s="376"/>
      <c r="K1147" s="376"/>
      <c r="L1147" s="376"/>
      <c r="M1147" s="376"/>
      <c r="N1147" s="376"/>
      <c r="O1147" s="376"/>
      <c r="P1147" s="378"/>
      <c r="Q1147" s="378"/>
      <c r="R1147" s="378"/>
      <c r="S1147" s="378"/>
      <c r="T1147" s="378"/>
      <c r="U1147" s="378"/>
      <c r="V1147" s="533"/>
      <c r="W1147" s="602"/>
      <c r="X1147" s="602"/>
      <c r="Y1147" s="378">
        <f>IF(NFI_Expiration=1,IF($A1147&lt;VLOOKUP(H$5,NFI,5,0),1,0)*Table_NFI[[#This Row],[Hygiene Kit]],Table_NFI[Hygiene Kit])</f>
        <v>0</v>
      </c>
      <c r="Z1147" s="378">
        <f>IF(NFI_Expiration=1,IF($A1147&lt;VLOOKUP(I$5,NFI,5,0),1,0)*Table_NFI[[#This Row],[NFI Core Kit]],Table_NFI[NFI Core Kit])</f>
        <v>0</v>
      </c>
      <c r="AA1147" s="378">
        <f>IF(NFI_Expiration=1,IF($A1147&lt;VLOOKUP(J$5,NFI,5,0),1,0)*Table_NFI[[#This Row],[Sanitary Kit]],Table_NFI[Sanitary Kit])</f>
        <v>0</v>
      </c>
      <c r="AB1147" s="378">
        <f>IF(NFI_Expiration=1,IF($A1147&lt;VLOOKUP(K$5,NFI,5,0),1,0)*Table_NFI[[#This Row],[Mosquito net]],Table_NFI[Mosquito net])</f>
        <v>0</v>
      </c>
      <c r="AC1147" s="378">
        <f>IF(NFI_Expiration=1,IF($A1147&lt;VLOOKUP(L$5,NFI,5,0),1,0)*Table_NFI[[#This Row],[Tarpaulin]],Table_NFI[[#This Row],[Tarpaulin]])</f>
        <v>0</v>
      </c>
      <c r="AD1147" s="378">
        <f>IF(NFI_Expiration=1,IF($A1147&lt;VLOOKUP(M$5,NFI,5,0),1,0)*Table_NFI[[#This Row],[Blanket]],Table_NFI[[#This Row],[Blanket]])</f>
        <v>0</v>
      </c>
      <c r="AE1147" s="378">
        <f>IF(NFI_Expiration=1,IF($A1147&lt;VLOOKUP(N$5,NFI,5,0),1,0)*Table_NFI[[#This Row],[Kitchen Set]],Table_NFI[Kitchen Set])</f>
        <v>0</v>
      </c>
      <c r="AF1147" s="378">
        <f>IF(NFI_Expiration=1,IF($A1147&lt;VLOOKUP(O$5,NFI,5,0),1,0)*Table_NFI[[#This Row],[Clothes Kit]],Table_NFI[Clothes Kit])</f>
        <v>0</v>
      </c>
      <c r="AG1147" s="378">
        <f>IF(NFI_Expiration=1,IF($A1147&lt;VLOOKUP(P$5,NFI,5,0),1,0)*Table_NFI[[#This Row],[Plastic Bucket]],Table_NFI[Plastic Bucket])</f>
        <v>0</v>
      </c>
      <c r="AH1147" s="378">
        <f>IF(NFI_Expiration=1,IF($A1147&lt;VLOOKUP(Q$5,NFI,5,0),1,0)*Table_NFI[[#This Row],[Plastic Mat]],Table_NFI[Plastic Mat])*IF(Table_NFI[[#This Row],[Distribution Date]]&gt;"2014-04-01",1,2.5)</f>
        <v>0</v>
      </c>
      <c r="AI1147" s="378">
        <f>IF(NFI_Expiration=1,IF($A1147&lt;VLOOKUP(R$5,NFI,5,0),1,0)*Table_NFI[[#This Row],[Winter Clothes Adult]],Table_NFI[Winter Clothes Adult])</f>
        <v>0</v>
      </c>
      <c r="AJ1147" s="378">
        <f>IF(NFI_Expiration=1,IF($A1147&lt;VLOOKUP(S$5,NFI,5,0),1,0)*Table_NFI[[#This Row],[Winter Clothes Children]],Table_NFI[Winter Clothes Children])</f>
        <v>0</v>
      </c>
      <c r="AK1147" s="378">
        <f>IF(NFI_Expiration=1,IF($A1147&lt;VLOOKUP(T$5,NFI,5,0),1,0)*Table_NFI[[#This Row],[Winter Items Other]],Table_NFI[Winter Items Other])</f>
        <v>0</v>
      </c>
      <c r="AL1147" s="378">
        <f>IF(NFI_Expiration=1,IF($A1147&lt;VLOOKUP(M$5,NFI,5,0),1,0)*Table_NFI[[#This Row],[Winter Blanket]],Table_NFI[[#This Row],[Winter Blanket]])</f>
        <v>0</v>
      </c>
      <c r="AM1147" s="378">
        <f>IF(Table_NFI[[#This Row],[Winter Clothes Adult]]+Table_NFI[[#This Row],[Winter Clothes Children]]+Table_NFI[[#This Row],[Winter Items Other]]+Table_NFI[[#This Row],[Winter Blanket]]&gt;0,1,0)</f>
        <v>0</v>
      </c>
      <c r="AN1147" s="418">
        <f>IF(NFI_Expiration=1,IF($A1147&lt;VLOOKUP(V$5,NFI,5,0),1,0)*Table_NFI[[#This Row],[Jerry Can]],Table_NFI[Jerry Can])</f>
        <v>0</v>
      </c>
      <c r="AO1147" s="579" t="str">
        <f>IFERROR(VLOOKUP(Table_NFI[[#This Row],[Camp Name]],CL,2,0),"")</f>
        <v/>
      </c>
      <c r="AP1147" s="574" t="str">
        <f ca="1">IF(Table_NFI[[#This Row],[Pcode]]="","",IF(OFFSET(CampList[Opening Date],MATCH(Table_NFI[[#This Row],[Pcode]],CampList[CP_Pcode],0)-1,0,1,1)&gt;=NFI_Monitor_Date,1,0))</f>
        <v/>
      </c>
      <c r="AQ1147" s="579" t="str">
        <f>IFERROR(VLOOKUP(Table_NFI[[#This Row],[Camp Name]],CL,3,0),"")</f>
        <v/>
      </c>
      <c r="AR1147" s="378" t="str">
        <f ca="1">IF(Table_NFI[[#This Row],[Pcode]]="","",OFFSET(CampList[Priority],MATCH(Table_NFI[[#This Row],[Pcode]],CampList[CP_Pcode],0)-1,0,1,1))</f>
        <v/>
      </c>
      <c r="AS1147" s="377" t="str">
        <f>IFERROR(Table_NFI[[#This Row],[Kitchen Set]]/VLOOKUP(Table_NFI[[#This Row],[Camp Name]],CL,4,0),"")</f>
        <v/>
      </c>
      <c r="AT1147" s="577"/>
      <c r="AU1147" s="580"/>
    </row>
    <row r="1148" spans="1:47" x14ac:dyDescent="0.25">
      <c r="A1148" s="381" t="str">
        <f t="shared" si="17"/>
        <v/>
      </c>
      <c r="B1148" s="571"/>
      <c r="C1148" s="577"/>
      <c r="D1148" s="577"/>
      <c r="E1148" s="577"/>
      <c r="F1148" s="577"/>
      <c r="G1148" s="577"/>
      <c r="H1148" s="376"/>
      <c r="I1148" s="376"/>
      <c r="J1148" s="376"/>
      <c r="K1148" s="376"/>
      <c r="L1148" s="376"/>
      <c r="M1148" s="376"/>
      <c r="N1148" s="376"/>
      <c r="O1148" s="376"/>
      <c r="P1148" s="378"/>
      <c r="Q1148" s="378"/>
      <c r="R1148" s="378"/>
      <c r="S1148" s="378"/>
      <c r="T1148" s="378"/>
      <c r="U1148" s="378"/>
      <c r="V1148" s="533"/>
      <c r="W1148" s="602"/>
      <c r="X1148" s="602"/>
      <c r="Y1148" s="378">
        <f>IF(NFI_Expiration=1,IF($A1148&lt;VLOOKUP(H$5,NFI,5,0),1,0)*Table_NFI[[#This Row],[Hygiene Kit]],Table_NFI[Hygiene Kit])</f>
        <v>0</v>
      </c>
      <c r="Z1148" s="378">
        <f>IF(NFI_Expiration=1,IF($A1148&lt;VLOOKUP(I$5,NFI,5,0),1,0)*Table_NFI[[#This Row],[NFI Core Kit]],Table_NFI[NFI Core Kit])</f>
        <v>0</v>
      </c>
      <c r="AA1148" s="378">
        <f>IF(NFI_Expiration=1,IF($A1148&lt;VLOOKUP(J$5,NFI,5,0),1,0)*Table_NFI[[#This Row],[Sanitary Kit]],Table_NFI[Sanitary Kit])</f>
        <v>0</v>
      </c>
      <c r="AB1148" s="378">
        <f>IF(NFI_Expiration=1,IF($A1148&lt;VLOOKUP(K$5,NFI,5,0),1,0)*Table_NFI[[#This Row],[Mosquito net]],Table_NFI[Mosquito net])</f>
        <v>0</v>
      </c>
      <c r="AC1148" s="378">
        <f>IF(NFI_Expiration=1,IF($A1148&lt;VLOOKUP(L$5,NFI,5,0),1,0)*Table_NFI[[#This Row],[Tarpaulin]],Table_NFI[[#This Row],[Tarpaulin]])</f>
        <v>0</v>
      </c>
      <c r="AD1148" s="378">
        <f>IF(NFI_Expiration=1,IF($A1148&lt;VLOOKUP(M$5,NFI,5,0),1,0)*Table_NFI[[#This Row],[Blanket]],Table_NFI[[#This Row],[Blanket]])</f>
        <v>0</v>
      </c>
      <c r="AE1148" s="378">
        <f>IF(NFI_Expiration=1,IF($A1148&lt;VLOOKUP(N$5,NFI,5,0),1,0)*Table_NFI[[#This Row],[Kitchen Set]],Table_NFI[Kitchen Set])</f>
        <v>0</v>
      </c>
      <c r="AF1148" s="378">
        <f>IF(NFI_Expiration=1,IF($A1148&lt;VLOOKUP(O$5,NFI,5,0),1,0)*Table_NFI[[#This Row],[Clothes Kit]],Table_NFI[Clothes Kit])</f>
        <v>0</v>
      </c>
      <c r="AG1148" s="378">
        <f>IF(NFI_Expiration=1,IF($A1148&lt;VLOOKUP(P$5,NFI,5,0),1,0)*Table_NFI[[#This Row],[Plastic Bucket]],Table_NFI[Plastic Bucket])</f>
        <v>0</v>
      </c>
      <c r="AH1148" s="378">
        <f>IF(NFI_Expiration=1,IF($A1148&lt;VLOOKUP(Q$5,NFI,5,0),1,0)*Table_NFI[[#This Row],[Plastic Mat]],Table_NFI[Plastic Mat])*IF(Table_NFI[[#This Row],[Distribution Date]]&gt;"2014-04-01",1,2.5)</f>
        <v>0</v>
      </c>
      <c r="AI1148" s="378">
        <f>IF(NFI_Expiration=1,IF($A1148&lt;VLOOKUP(R$5,NFI,5,0),1,0)*Table_NFI[[#This Row],[Winter Clothes Adult]],Table_NFI[Winter Clothes Adult])</f>
        <v>0</v>
      </c>
      <c r="AJ1148" s="378">
        <f>IF(NFI_Expiration=1,IF($A1148&lt;VLOOKUP(S$5,NFI,5,0),1,0)*Table_NFI[[#This Row],[Winter Clothes Children]],Table_NFI[Winter Clothes Children])</f>
        <v>0</v>
      </c>
      <c r="AK1148" s="378">
        <f>IF(NFI_Expiration=1,IF($A1148&lt;VLOOKUP(T$5,NFI,5,0),1,0)*Table_NFI[[#This Row],[Winter Items Other]],Table_NFI[Winter Items Other])</f>
        <v>0</v>
      </c>
      <c r="AL1148" s="378">
        <f>IF(NFI_Expiration=1,IF($A1148&lt;VLOOKUP(M$5,NFI,5,0),1,0)*Table_NFI[[#This Row],[Winter Blanket]],Table_NFI[[#This Row],[Winter Blanket]])</f>
        <v>0</v>
      </c>
      <c r="AM1148" s="378">
        <f>IF(Table_NFI[[#This Row],[Winter Clothes Adult]]+Table_NFI[[#This Row],[Winter Clothes Children]]+Table_NFI[[#This Row],[Winter Items Other]]+Table_NFI[[#This Row],[Winter Blanket]]&gt;0,1,0)</f>
        <v>0</v>
      </c>
      <c r="AN1148" s="418">
        <f>IF(NFI_Expiration=1,IF($A1148&lt;VLOOKUP(V$5,NFI,5,0),1,0)*Table_NFI[[#This Row],[Jerry Can]],Table_NFI[Jerry Can])</f>
        <v>0</v>
      </c>
      <c r="AO1148" s="579" t="str">
        <f>IFERROR(VLOOKUP(Table_NFI[[#This Row],[Camp Name]],CL,2,0),"")</f>
        <v/>
      </c>
      <c r="AP1148" s="574" t="str">
        <f ca="1">IF(Table_NFI[[#This Row],[Pcode]]="","",IF(OFFSET(CampList[Opening Date],MATCH(Table_NFI[[#This Row],[Pcode]],CampList[CP_Pcode],0)-1,0,1,1)&gt;=NFI_Monitor_Date,1,0))</f>
        <v/>
      </c>
      <c r="AQ1148" s="579" t="str">
        <f>IFERROR(VLOOKUP(Table_NFI[[#This Row],[Camp Name]],CL,3,0),"")</f>
        <v/>
      </c>
      <c r="AR1148" s="378" t="str">
        <f ca="1">IF(Table_NFI[[#This Row],[Pcode]]="","",OFFSET(CampList[Priority],MATCH(Table_NFI[[#This Row],[Pcode]],CampList[CP_Pcode],0)-1,0,1,1))</f>
        <v/>
      </c>
      <c r="AS1148" s="377" t="str">
        <f>IFERROR(Table_NFI[[#This Row],[Kitchen Set]]/VLOOKUP(Table_NFI[[#This Row],[Camp Name]],CL,4,0),"")</f>
        <v/>
      </c>
      <c r="AT1148" s="577"/>
      <c r="AU1148" s="580"/>
    </row>
    <row r="1149" spans="1:47" x14ac:dyDescent="0.25">
      <c r="A1149" s="381" t="str">
        <f t="shared" si="17"/>
        <v/>
      </c>
      <c r="B1149" s="571"/>
      <c r="C1149" s="577"/>
      <c r="D1149" s="577"/>
      <c r="E1149" s="577"/>
      <c r="F1149" s="577"/>
      <c r="G1149" s="577"/>
      <c r="H1149" s="376"/>
      <c r="I1149" s="376"/>
      <c r="J1149" s="376"/>
      <c r="K1149" s="376"/>
      <c r="L1149" s="376"/>
      <c r="M1149" s="376"/>
      <c r="N1149" s="376"/>
      <c r="O1149" s="376"/>
      <c r="P1149" s="378"/>
      <c r="Q1149" s="378"/>
      <c r="R1149" s="378"/>
      <c r="S1149" s="378"/>
      <c r="T1149" s="378"/>
      <c r="U1149" s="378"/>
      <c r="V1149" s="533"/>
      <c r="W1149" s="602"/>
      <c r="X1149" s="602"/>
      <c r="Y1149" s="378">
        <f>IF(NFI_Expiration=1,IF($A1149&lt;VLOOKUP(H$5,NFI,5,0),1,0)*Table_NFI[[#This Row],[Hygiene Kit]],Table_NFI[Hygiene Kit])</f>
        <v>0</v>
      </c>
      <c r="Z1149" s="378">
        <f>IF(NFI_Expiration=1,IF($A1149&lt;VLOOKUP(I$5,NFI,5,0),1,0)*Table_NFI[[#This Row],[NFI Core Kit]],Table_NFI[NFI Core Kit])</f>
        <v>0</v>
      </c>
      <c r="AA1149" s="378">
        <f>IF(NFI_Expiration=1,IF($A1149&lt;VLOOKUP(J$5,NFI,5,0),1,0)*Table_NFI[[#This Row],[Sanitary Kit]],Table_NFI[Sanitary Kit])</f>
        <v>0</v>
      </c>
      <c r="AB1149" s="378">
        <f>IF(NFI_Expiration=1,IF($A1149&lt;VLOOKUP(K$5,NFI,5,0),1,0)*Table_NFI[[#This Row],[Mosquito net]],Table_NFI[Mosquito net])</f>
        <v>0</v>
      </c>
      <c r="AC1149" s="378">
        <f>IF(NFI_Expiration=1,IF($A1149&lt;VLOOKUP(L$5,NFI,5,0),1,0)*Table_NFI[[#This Row],[Tarpaulin]],Table_NFI[[#This Row],[Tarpaulin]])</f>
        <v>0</v>
      </c>
      <c r="AD1149" s="378">
        <f>IF(NFI_Expiration=1,IF($A1149&lt;VLOOKUP(M$5,NFI,5,0),1,0)*Table_NFI[[#This Row],[Blanket]],Table_NFI[[#This Row],[Blanket]])</f>
        <v>0</v>
      </c>
      <c r="AE1149" s="378">
        <f>IF(NFI_Expiration=1,IF($A1149&lt;VLOOKUP(N$5,NFI,5,0),1,0)*Table_NFI[[#This Row],[Kitchen Set]],Table_NFI[Kitchen Set])</f>
        <v>0</v>
      </c>
      <c r="AF1149" s="378">
        <f>IF(NFI_Expiration=1,IF($A1149&lt;VLOOKUP(O$5,NFI,5,0),1,0)*Table_NFI[[#This Row],[Clothes Kit]],Table_NFI[Clothes Kit])</f>
        <v>0</v>
      </c>
      <c r="AG1149" s="378">
        <f>IF(NFI_Expiration=1,IF($A1149&lt;VLOOKUP(P$5,NFI,5,0),1,0)*Table_NFI[[#This Row],[Plastic Bucket]],Table_NFI[Plastic Bucket])</f>
        <v>0</v>
      </c>
      <c r="AH1149" s="378">
        <f>IF(NFI_Expiration=1,IF($A1149&lt;VLOOKUP(Q$5,NFI,5,0),1,0)*Table_NFI[[#This Row],[Plastic Mat]],Table_NFI[Plastic Mat])*IF(Table_NFI[[#This Row],[Distribution Date]]&gt;"2014-04-01",1,2.5)</f>
        <v>0</v>
      </c>
      <c r="AI1149" s="378">
        <f>IF(NFI_Expiration=1,IF($A1149&lt;VLOOKUP(R$5,NFI,5,0),1,0)*Table_NFI[[#This Row],[Winter Clothes Adult]],Table_NFI[Winter Clothes Adult])</f>
        <v>0</v>
      </c>
      <c r="AJ1149" s="378">
        <f>IF(NFI_Expiration=1,IF($A1149&lt;VLOOKUP(S$5,NFI,5,0),1,0)*Table_NFI[[#This Row],[Winter Clothes Children]],Table_NFI[Winter Clothes Children])</f>
        <v>0</v>
      </c>
      <c r="AK1149" s="378">
        <f>IF(NFI_Expiration=1,IF($A1149&lt;VLOOKUP(T$5,NFI,5,0),1,0)*Table_NFI[[#This Row],[Winter Items Other]],Table_NFI[Winter Items Other])</f>
        <v>0</v>
      </c>
      <c r="AL1149" s="378">
        <f>IF(NFI_Expiration=1,IF($A1149&lt;VLOOKUP(M$5,NFI,5,0),1,0)*Table_NFI[[#This Row],[Winter Blanket]],Table_NFI[[#This Row],[Winter Blanket]])</f>
        <v>0</v>
      </c>
      <c r="AM1149" s="378">
        <f>IF(Table_NFI[[#This Row],[Winter Clothes Adult]]+Table_NFI[[#This Row],[Winter Clothes Children]]+Table_NFI[[#This Row],[Winter Items Other]]+Table_NFI[[#This Row],[Winter Blanket]]&gt;0,1,0)</f>
        <v>0</v>
      </c>
      <c r="AN1149" s="418">
        <f>IF(NFI_Expiration=1,IF($A1149&lt;VLOOKUP(V$5,NFI,5,0),1,0)*Table_NFI[[#This Row],[Jerry Can]],Table_NFI[Jerry Can])</f>
        <v>0</v>
      </c>
      <c r="AO1149" s="579" t="str">
        <f>IFERROR(VLOOKUP(Table_NFI[[#This Row],[Camp Name]],CL,2,0),"")</f>
        <v/>
      </c>
      <c r="AP1149" s="574" t="str">
        <f ca="1">IF(Table_NFI[[#This Row],[Pcode]]="","",IF(OFFSET(CampList[Opening Date],MATCH(Table_NFI[[#This Row],[Pcode]],CampList[CP_Pcode],0)-1,0,1,1)&gt;=NFI_Monitor_Date,1,0))</f>
        <v/>
      </c>
      <c r="AQ1149" s="579" t="str">
        <f>IFERROR(VLOOKUP(Table_NFI[[#This Row],[Camp Name]],CL,3,0),"")</f>
        <v/>
      </c>
      <c r="AR1149" s="378" t="str">
        <f ca="1">IF(Table_NFI[[#This Row],[Pcode]]="","",OFFSET(CampList[Priority],MATCH(Table_NFI[[#This Row],[Pcode]],CampList[CP_Pcode],0)-1,0,1,1))</f>
        <v/>
      </c>
      <c r="AS1149" s="377" t="str">
        <f>IFERROR(Table_NFI[[#This Row],[Kitchen Set]]/VLOOKUP(Table_NFI[[#This Row],[Camp Name]],CL,4,0),"")</f>
        <v/>
      </c>
      <c r="AT1149" s="577"/>
      <c r="AU1149" s="580"/>
    </row>
    <row r="1150" spans="1:47" x14ac:dyDescent="0.25">
      <c r="A1150" s="381" t="str">
        <f t="shared" si="17"/>
        <v/>
      </c>
      <c r="B1150" s="571"/>
      <c r="C1150" s="577"/>
      <c r="D1150" s="577"/>
      <c r="E1150" s="577"/>
      <c r="F1150" s="577"/>
      <c r="G1150" s="577"/>
      <c r="H1150" s="376"/>
      <c r="I1150" s="376"/>
      <c r="J1150" s="376"/>
      <c r="K1150" s="376"/>
      <c r="L1150" s="376"/>
      <c r="M1150" s="376"/>
      <c r="N1150" s="376"/>
      <c r="O1150" s="376"/>
      <c r="P1150" s="378"/>
      <c r="Q1150" s="378"/>
      <c r="R1150" s="378"/>
      <c r="S1150" s="378"/>
      <c r="T1150" s="378"/>
      <c r="U1150" s="378"/>
      <c r="V1150" s="533"/>
      <c r="W1150" s="602"/>
      <c r="X1150" s="602"/>
      <c r="Y1150" s="378">
        <f>IF(NFI_Expiration=1,IF($A1150&lt;VLOOKUP(H$5,NFI,5,0),1,0)*Table_NFI[[#This Row],[Hygiene Kit]],Table_NFI[Hygiene Kit])</f>
        <v>0</v>
      </c>
      <c r="Z1150" s="378">
        <f>IF(NFI_Expiration=1,IF($A1150&lt;VLOOKUP(I$5,NFI,5,0),1,0)*Table_NFI[[#This Row],[NFI Core Kit]],Table_NFI[NFI Core Kit])</f>
        <v>0</v>
      </c>
      <c r="AA1150" s="378">
        <f>IF(NFI_Expiration=1,IF($A1150&lt;VLOOKUP(J$5,NFI,5,0),1,0)*Table_NFI[[#This Row],[Sanitary Kit]],Table_NFI[Sanitary Kit])</f>
        <v>0</v>
      </c>
      <c r="AB1150" s="378">
        <f>IF(NFI_Expiration=1,IF($A1150&lt;VLOOKUP(K$5,NFI,5,0),1,0)*Table_NFI[[#This Row],[Mosquito net]],Table_NFI[Mosquito net])</f>
        <v>0</v>
      </c>
      <c r="AC1150" s="378">
        <f>IF(NFI_Expiration=1,IF($A1150&lt;VLOOKUP(L$5,NFI,5,0),1,0)*Table_NFI[[#This Row],[Tarpaulin]],Table_NFI[[#This Row],[Tarpaulin]])</f>
        <v>0</v>
      </c>
      <c r="AD1150" s="378">
        <f>IF(NFI_Expiration=1,IF($A1150&lt;VLOOKUP(M$5,NFI,5,0),1,0)*Table_NFI[[#This Row],[Blanket]],Table_NFI[[#This Row],[Blanket]])</f>
        <v>0</v>
      </c>
      <c r="AE1150" s="378">
        <f>IF(NFI_Expiration=1,IF($A1150&lt;VLOOKUP(N$5,NFI,5,0),1,0)*Table_NFI[[#This Row],[Kitchen Set]],Table_NFI[Kitchen Set])</f>
        <v>0</v>
      </c>
      <c r="AF1150" s="378">
        <f>IF(NFI_Expiration=1,IF($A1150&lt;VLOOKUP(O$5,NFI,5,0),1,0)*Table_NFI[[#This Row],[Clothes Kit]],Table_NFI[Clothes Kit])</f>
        <v>0</v>
      </c>
      <c r="AG1150" s="378">
        <f>IF(NFI_Expiration=1,IF($A1150&lt;VLOOKUP(P$5,NFI,5,0),1,0)*Table_NFI[[#This Row],[Plastic Bucket]],Table_NFI[Plastic Bucket])</f>
        <v>0</v>
      </c>
      <c r="AH1150" s="378">
        <f>IF(NFI_Expiration=1,IF($A1150&lt;VLOOKUP(Q$5,NFI,5,0),1,0)*Table_NFI[[#This Row],[Plastic Mat]],Table_NFI[Plastic Mat])*IF(Table_NFI[[#This Row],[Distribution Date]]&gt;"2014-04-01",1,2.5)</f>
        <v>0</v>
      </c>
      <c r="AI1150" s="378">
        <f>IF(NFI_Expiration=1,IF($A1150&lt;VLOOKUP(R$5,NFI,5,0),1,0)*Table_NFI[[#This Row],[Winter Clothes Adult]],Table_NFI[Winter Clothes Adult])</f>
        <v>0</v>
      </c>
      <c r="AJ1150" s="378">
        <f>IF(NFI_Expiration=1,IF($A1150&lt;VLOOKUP(S$5,NFI,5,0),1,0)*Table_NFI[[#This Row],[Winter Clothes Children]],Table_NFI[Winter Clothes Children])</f>
        <v>0</v>
      </c>
      <c r="AK1150" s="378">
        <f>IF(NFI_Expiration=1,IF($A1150&lt;VLOOKUP(T$5,NFI,5,0),1,0)*Table_NFI[[#This Row],[Winter Items Other]],Table_NFI[Winter Items Other])</f>
        <v>0</v>
      </c>
      <c r="AL1150" s="378">
        <f>IF(NFI_Expiration=1,IF($A1150&lt;VLOOKUP(M$5,NFI,5,0),1,0)*Table_NFI[[#This Row],[Winter Blanket]],Table_NFI[[#This Row],[Winter Blanket]])</f>
        <v>0</v>
      </c>
      <c r="AM1150" s="378">
        <f>IF(Table_NFI[[#This Row],[Winter Clothes Adult]]+Table_NFI[[#This Row],[Winter Clothes Children]]+Table_NFI[[#This Row],[Winter Items Other]]+Table_NFI[[#This Row],[Winter Blanket]]&gt;0,1,0)</f>
        <v>0</v>
      </c>
      <c r="AN1150" s="418">
        <f>IF(NFI_Expiration=1,IF($A1150&lt;VLOOKUP(V$5,NFI,5,0),1,0)*Table_NFI[[#This Row],[Jerry Can]],Table_NFI[Jerry Can])</f>
        <v>0</v>
      </c>
      <c r="AO1150" s="579" t="str">
        <f>IFERROR(VLOOKUP(Table_NFI[[#This Row],[Camp Name]],CL,2,0),"")</f>
        <v/>
      </c>
      <c r="AP1150" s="574" t="str">
        <f ca="1">IF(Table_NFI[[#This Row],[Pcode]]="","",IF(OFFSET(CampList[Opening Date],MATCH(Table_NFI[[#This Row],[Pcode]],CampList[CP_Pcode],0)-1,0,1,1)&gt;=NFI_Monitor_Date,1,0))</f>
        <v/>
      </c>
      <c r="AQ1150" s="579" t="str">
        <f>IFERROR(VLOOKUP(Table_NFI[[#This Row],[Camp Name]],CL,3,0),"")</f>
        <v/>
      </c>
      <c r="AR1150" s="378" t="str">
        <f ca="1">IF(Table_NFI[[#This Row],[Pcode]]="","",OFFSET(CampList[Priority],MATCH(Table_NFI[[#This Row],[Pcode]],CampList[CP_Pcode],0)-1,0,1,1))</f>
        <v/>
      </c>
      <c r="AS1150" s="377" t="str">
        <f>IFERROR(Table_NFI[[#This Row],[Kitchen Set]]/VLOOKUP(Table_NFI[[#This Row],[Camp Name]],CL,4,0),"")</f>
        <v/>
      </c>
      <c r="AT1150" s="577"/>
      <c r="AU1150" s="580"/>
    </row>
    <row r="1151" spans="1:47" x14ac:dyDescent="0.25">
      <c r="A1151" s="381" t="str">
        <f t="shared" si="17"/>
        <v/>
      </c>
      <c r="B1151" s="571"/>
      <c r="C1151" s="577"/>
      <c r="D1151" s="577"/>
      <c r="E1151" s="577"/>
      <c r="F1151" s="577"/>
      <c r="G1151" s="577"/>
      <c r="H1151" s="376"/>
      <c r="I1151" s="376"/>
      <c r="J1151" s="376"/>
      <c r="K1151" s="376"/>
      <c r="L1151" s="376"/>
      <c r="M1151" s="376"/>
      <c r="N1151" s="376"/>
      <c r="O1151" s="376"/>
      <c r="P1151" s="378"/>
      <c r="Q1151" s="378"/>
      <c r="R1151" s="378"/>
      <c r="S1151" s="378"/>
      <c r="T1151" s="378"/>
      <c r="U1151" s="378"/>
      <c r="V1151" s="533"/>
      <c r="W1151" s="602"/>
      <c r="X1151" s="602"/>
      <c r="Y1151" s="378">
        <f>IF(NFI_Expiration=1,IF($A1151&lt;VLOOKUP(H$5,NFI,5,0),1,0)*Table_NFI[[#This Row],[Hygiene Kit]],Table_NFI[Hygiene Kit])</f>
        <v>0</v>
      </c>
      <c r="Z1151" s="378">
        <f>IF(NFI_Expiration=1,IF($A1151&lt;VLOOKUP(I$5,NFI,5,0),1,0)*Table_NFI[[#This Row],[NFI Core Kit]],Table_NFI[NFI Core Kit])</f>
        <v>0</v>
      </c>
      <c r="AA1151" s="378">
        <f>IF(NFI_Expiration=1,IF($A1151&lt;VLOOKUP(J$5,NFI,5,0),1,0)*Table_NFI[[#This Row],[Sanitary Kit]],Table_NFI[Sanitary Kit])</f>
        <v>0</v>
      </c>
      <c r="AB1151" s="378">
        <f>IF(NFI_Expiration=1,IF($A1151&lt;VLOOKUP(K$5,NFI,5,0),1,0)*Table_NFI[[#This Row],[Mosquito net]],Table_NFI[Mosquito net])</f>
        <v>0</v>
      </c>
      <c r="AC1151" s="378">
        <f>IF(NFI_Expiration=1,IF($A1151&lt;VLOOKUP(L$5,NFI,5,0),1,0)*Table_NFI[[#This Row],[Tarpaulin]],Table_NFI[[#This Row],[Tarpaulin]])</f>
        <v>0</v>
      </c>
      <c r="AD1151" s="378">
        <f>IF(NFI_Expiration=1,IF($A1151&lt;VLOOKUP(M$5,NFI,5,0),1,0)*Table_NFI[[#This Row],[Blanket]],Table_NFI[[#This Row],[Blanket]])</f>
        <v>0</v>
      </c>
      <c r="AE1151" s="378">
        <f>IF(NFI_Expiration=1,IF($A1151&lt;VLOOKUP(N$5,NFI,5,0),1,0)*Table_NFI[[#This Row],[Kitchen Set]],Table_NFI[Kitchen Set])</f>
        <v>0</v>
      </c>
      <c r="AF1151" s="378">
        <f>IF(NFI_Expiration=1,IF($A1151&lt;VLOOKUP(O$5,NFI,5,0),1,0)*Table_NFI[[#This Row],[Clothes Kit]],Table_NFI[Clothes Kit])</f>
        <v>0</v>
      </c>
      <c r="AG1151" s="378">
        <f>IF(NFI_Expiration=1,IF($A1151&lt;VLOOKUP(P$5,NFI,5,0),1,0)*Table_NFI[[#This Row],[Plastic Bucket]],Table_NFI[Plastic Bucket])</f>
        <v>0</v>
      </c>
      <c r="AH1151" s="378">
        <f>IF(NFI_Expiration=1,IF($A1151&lt;VLOOKUP(Q$5,NFI,5,0),1,0)*Table_NFI[[#This Row],[Plastic Mat]],Table_NFI[Plastic Mat])*IF(Table_NFI[[#This Row],[Distribution Date]]&gt;"2014-04-01",1,2.5)</f>
        <v>0</v>
      </c>
      <c r="AI1151" s="378">
        <f>IF(NFI_Expiration=1,IF($A1151&lt;VLOOKUP(R$5,NFI,5,0),1,0)*Table_NFI[[#This Row],[Winter Clothes Adult]],Table_NFI[Winter Clothes Adult])</f>
        <v>0</v>
      </c>
      <c r="AJ1151" s="378">
        <f>IF(NFI_Expiration=1,IF($A1151&lt;VLOOKUP(S$5,NFI,5,0),1,0)*Table_NFI[[#This Row],[Winter Clothes Children]],Table_NFI[Winter Clothes Children])</f>
        <v>0</v>
      </c>
      <c r="AK1151" s="378">
        <f>IF(NFI_Expiration=1,IF($A1151&lt;VLOOKUP(T$5,NFI,5,0),1,0)*Table_NFI[[#This Row],[Winter Items Other]],Table_NFI[Winter Items Other])</f>
        <v>0</v>
      </c>
      <c r="AL1151" s="378">
        <f>IF(NFI_Expiration=1,IF($A1151&lt;VLOOKUP(M$5,NFI,5,0),1,0)*Table_NFI[[#This Row],[Winter Blanket]],Table_NFI[[#This Row],[Winter Blanket]])</f>
        <v>0</v>
      </c>
      <c r="AM1151" s="378">
        <f>IF(Table_NFI[[#This Row],[Winter Clothes Adult]]+Table_NFI[[#This Row],[Winter Clothes Children]]+Table_NFI[[#This Row],[Winter Items Other]]+Table_NFI[[#This Row],[Winter Blanket]]&gt;0,1,0)</f>
        <v>0</v>
      </c>
      <c r="AN1151" s="418">
        <f>IF(NFI_Expiration=1,IF($A1151&lt;VLOOKUP(V$5,NFI,5,0),1,0)*Table_NFI[[#This Row],[Jerry Can]],Table_NFI[Jerry Can])</f>
        <v>0</v>
      </c>
      <c r="AO1151" s="579" t="str">
        <f>IFERROR(VLOOKUP(Table_NFI[[#This Row],[Camp Name]],CL,2,0),"")</f>
        <v/>
      </c>
      <c r="AP1151" s="574" t="str">
        <f ca="1">IF(Table_NFI[[#This Row],[Pcode]]="","",IF(OFFSET(CampList[Opening Date],MATCH(Table_NFI[[#This Row],[Pcode]],CampList[CP_Pcode],0)-1,0,1,1)&gt;=NFI_Monitor_Date,1,0))</f>
        <v/>
      </c>
      <c r="AQ1151" s="579" t="str">
        <f>IFERROR(VLOOKUP(Table_NFI[[#This Row],[Camp Name]],CL,3,0),"")</f>
        <v/>
      </c>
      <c r="AR1151" s="378" t="str">
        <f ca="1">IF(Table_NFI[[#This Row],[Pcode]]="","",OFFSET(CampList[Priority],MATCH(Table_NFI[[#This Row],[Pcode]],CampList[CP_Pcode],0)-1,0,1,1))</f>
        <v/>
      </c>
      <c r="AS1151" s="377" t="str">
        <f>IFERROR(Table_NFI[[#This Row],[Kitchen Set]]/VLOOKUP(Table_NFI[[#This Row],[Camp Name]],CL,4,0),"")</f>
        <v/>
      </c>
      <c r="AT1151" s="577"/>
      <c r="AU1151" s="580"/>
    </row>
    <row r="1152" spans="1:47" x14ac:dyDescent="0.25">
      <c r="A1152" s="381" t="str">
        <f t="shared" si="17"/>
        <v/>
      </c>
      <c r="B1152" s="571"/>
      <c r="C1152" s="577"/>
      <c r="D1152" s="577"/>
      <c r="E1152" s="577"/>
      <c r="F1152" s="577"/>
      <c r="G1152" s="577"/>
      <c r="H1152" s="376"/>
      <c r="I1152" s="376"/>
      <c r="J1152" s="376"/>
      <c r="K1152" s="376"/>
      <c r="L1152" s="376"/>
      <c r="M1152" s="376"/>
      <c r="N1152" s="376"/>
      <c r="O1152" s="376"/>
      <c r="P1152" s="378"/>
      <c r="Q1152" s="378"/>
      <c r="R1152" s="378"/>
      <c r="S1152" s="378"/>
      <c r="T1152" s="378"/>
      <c r="U1152" s="378"/>
      <c r="V1152" s="533"/>
      <c r="W1152" s="602"/>
      <c r="X1152" s="602"/>
      <c r="Y1152" s="378">
        <f>IF(NFI_Expiration=1,IF($A1152&lt;VLOOKUP(H$5,NFI,5,0),1,0)*Table_NFI[[#This Row],[Hygiene Kit]],Table_NFI[Hygiene Kit])</f>
        <v>0</v>
      </c>
      <c r="Z1152" s="378">
        <f>IF(NFI_Expiration=1,IF($A1152&lt;VLOOKUP(I$5,NFI,5,0),1,0)*Table_NFI[[#This Row],[NFI Core Kit]],Table_NFI[NFI Core Kit])</f>
        <v>0</v>
      </c>
      <c r="AA1152" s="378">
        <f>IF(NFI_Expiration=1,IF($A1152&lt;VLOOKUP(J$5,NFI,5,0),1,0)*Table_NFI[[#This Row],[Sanitary Kit]],Table_NFI[Sanitary Kit])</f>
        <v>0</v>
      </c>
      <c r="AB1152" s="378">
        <f>IF(NFI_Expiration=1,IF($A1152&lt;VLOOKUP(K$5,NFI,5,0),1,0)*Table_NFI[[#This Row],[Mosquito net]],Table_NFI[Mosquito net])</f>
        <v>0</v>
      </c>
      <c r="AC1152" s="378">
        <f>IF(NFI_Expiration=1,IF($A1152&lt;VLOOKUP(L$5,NFI,5,0),1,0)*Table_NFI[[#This Row],[Tarpaulin]],Table_NFI[[#This Row],[Tarpaulin]])</f>
        <v>0</v>
      </c>
      <c r="AD1152" s="378">
        <f>IF(NFI_Expiration=1,IF($A1152&lt;VLOOKUP(M$5,NFI,5,0),1,0)*Table_NFI[[#This Row],[Blanket]],Table_NFI[[#This Row],[Blanket]])</f>
        <v>0</v>
      </c>
      <c r="AE1152" s="378">
        <f>IF(NFI_Expiration=1,IF($A1152&lt;VLOOKUP(N$5,NFI,5,0),1,0)*Table_NFI[[#This Row],[Kitchen Set]],Table_NFI[Kitchen Set])</f>
        <v>0</v>
      </c>
      <c r="AF1152" s="378">
        <f>IF(NFI_Expiration=1,IF($A1152&lt;VLOOKUP(O$5,NFI,5,0),1,0)*Table_NFI[[#This Row],[Clothes Kit]],Table_NFI[Clothes Kit])</f>
        <v>0</v>
      </c>
      <c r="AG1152" s="378">
        <f>IF(NFI_Expiration=1,IF($A1152&lt;VLOOKUP(P$5,NFI,5,0),1,0)*Table_NFI[[#This Row],[Plastic Bucket]],Table_NFI[Plastic Bucket])</f>
        <v>0</v>
      </c>
      <c r="AH1152" s="378">
        <f>IF(NFI_Expiration=1,IF($A1152&lt;VLOOKUP(Q$5,NFI,5,0),1,0)*Table_NFI[[#This Row],[Plastic Mat]],Table_NFI[Plastic Mat])*IF(Table_NFI[[#This Row],[Distribution Date]]&gt;"2014-04-01",1,2.5)</f>
        <v>0</v>
      </c>
      <c r="AI1152" s="378">
        <f>IF(NFI_Expiration=1,IF($A1152&lt;VLOOKUP(R$5,NFI,5,0),1,0)*Table_NFI[[#This Row],[Winter Clothes Adult]],Table_NFI[Winter Clothes Adult])</f>
        <v>0</v>
      </c>
      <c r="AJ1152" s="378">
        <f>IF(NFI_Expiration=1,IF($A1152&lt;VLOOKUP(S$5,NFI,5,0),1,0)*Table_NFI[[#This Row],[Winter Clothes Children]],Table_NFI[Winter Clothes Children])</f>
        <v>0</v>
      </c>
      <c r="AK1152" s="378">
        <f>IF(NFI_Expiration=1,IF($A1152&lt;VLOOKUP(T$5,NFI,5,0),1,0)*Table_NFI[[#This Row],[Winter Items Other]],Table_NFI[Winter Items Other])</f>
        <v>0</v>
      </c>
      <c r="AL1152" s="378">
        <f>IF(NFI_Expiration=1,IF($A1152&lt;VLOOKUP(M$5,NFI,5,0),1,0)*Table_NFI[[#This Row],[Winter Blanket]],Table_NFI[[#This Row],[Winter Blanket]])</f>
        <v>0</v>
      </c>
      <c r="AM1152" s="378">
        <f>IF(Table_NFI[[#This Row],[Winter Clothes Adult]]+Table_NFI[[#This Row],[Winter Clothes Children]]+Table_NFI[[#This Row],[Winter Items Other]]+Table_NFI[[#This Row],[Winter Blanket]]&gt;0,1,0)</f>
        <v>0</v>
      </c>
      <c r="AN1152" s="418">
        <f>IF(NFI_Expiration=1,IF($A1152&lt;VLOOKUP(V$5,NFI,5,0),1,0)*Table_NFI[[#This Row],[Jerry Can]],Table_NFI[Jerry Can])</f>
        <v>0</v>
      </c>
      <c r="AO1152" s="579" t="str">
        <f>IFERROR(VLOOKUP(Table_NFI[[#This Row],[Camp Name]],CL,2,0),"")</f>
        <v/>
      </c>
      <c r="AP1152" s="574" t="str">
        <f ca="1">IF(Table_NFI[[#This Row],[Pcode]]="","",IF(OFFSET(CampList[Opening Date],MATCH(Table_NFI[[#This Row],[Pcode]],CampList[CP_Pcode],0)-1,0,1,1)&gt;=NFI_Monitor_Date,1,0))</f>
        <v/>
      </c>
      <c r="AQ1152" s="579" t="str">
        <f>IFERROR(VLOOKUP(Table_NFI[[#This Row],[Camp Name]],CL,3,0),"")</f>
        <v/>
      </c>
      <c r="AR1152" s="378" t="str">
        <f ca="1">IF(Table_NFI[[#This Row],[Pcode]]="","",OFFSET(CampList[Priority],MATCH(Table_NFI[[#This Row],[Pcode]],CampList[CP_Pcode],0)-1,0,1,1))</f>
        <v/>
      </c>
      <c r="AS1152" s="377" t="str">
        <f>IFERROR(Table_NFI[[#This Row],[Kitchen Set]]/VLOOKUP(Table_NFI[[#This Row],[Camp Name]],CL,4,0),"")</f>
        <v/>
      </c>
      <c r="AT1152" s="577"/>
      <c r="AU1152" s="580"/>
    </row>
    <row r="1153" spans="1:47" x14ac:dyDescent="0.25">
      <c r="A1153" s="381" t="str">
        <f t="shared" si="17"/>
        <v/>
      </c>
      <c r="B1153" s="571"/>
      <c r="C1153" s="577"/>
      <c r="D1153" s="577"/>
      <c r="E1153" s="577"/>
      <c r="F1153" s="577"/>
      <c r="G1153" s="577"/>
      <c r="H1153" s="376"/>
      <c r="I1153" s="376"/>
      <c r="J1153" s="376"/>
      <c r="K1153" s="376"/>
      <c r="L1153" s="376"/>
      <c r="M1153" s="376"/>
      <c r="N1153" s="376"/>
      <c r="O1153" s="376"/>
      <c r="P1153" s="378"/>
      <c r="Q1153" s="378"/>
      <c r="R1153" s="378"/>
      <c r="S1153" s="378"/>
      <c r="T1153" s="378"/>
      <c r="U1153" s="378"/>
      <c r="V1153" s="533"/>
      <c r="W1153" s="602"/>
      <c r="X1153" s="602"/>
      <c r="Y1153" s="378">
        <f>IF(NFI_Expiration=1,IF($A1153&lt;VLOOKUP(H$5,NFI,5,0),1,0)*Table_NFI[[#This Row],[Hygiene Kit]],Table_NFI[Hygiene Kit])</f>
        <v>0</v>
      </c>
      <c r="Z1153" s="378">
        <f>IF(NFI_Expiration=1,IF($A1153&lt;VLOOKUP(I$5,NFI,5,0),1,0)*Table_NFI[[#This Row],[NFI Core Kit]],Table_NFI[NFI Core Kit])</f>
        <v>0</v>
      </c>
      <c r="AA1153" s="378">
        <f>IF(NFI_Expiration=1,IF($A1153&lt;VLOOKUP(J$5,NFI,5,0),1,0)*Table_NFI[[#This Row],[Sanitary Kit]],Table_NFI[Sanitary Kit])</f>
        <v>0</v>
      </c>
      <c r="AB1153" s="378">
        <f>IF(NFI_Expiration=1,IF($A1153&lt;VLOOKUP(K$5,NFI,5,0),1,0)*Table_NFI[[#This Row],[Mosquito net]],Table_NFI[Mosquito net])</f>
        <v>0</v>
      </c>
      <c r="AC1153" s="378">
        <f>IF(NFI_Expiration=1,IF($A1153&lt;VLOOKUP(L$5,NFI,5,0),1,0)*Table_NFI[[#This Row],[Tarpaulin]],Table_NFI[[#This Row],[Tarpaulin]])</f>
        <v>0</v>
      </c>
      <c r="AD1153" s="378">
        <f>IF(NFI_Expiration=1,IF($A1153&lt;VLOOKUP(M$5,NFI,5,0),1,0)*Table_NFI[[#This Row],[Blanket]],Table_NFI[[#This Row],[Blanket]])</f>
        <v>0</v>
      </c>
      <c r="AE1153" s="378">
        <f>IF(NFI_Expiration=1,IF($A1153&lt;VLOOKUP(N$5,NFI,5,0),1,0)*Table_NFI[[#This Row],[Kitchen Set]],Table_NFI[Kitchen Set])</f>
        <v>0</v>
      </c>
      <c r="AF1153" s="378">
        <f>IF(NFI_Expiration=1,IF($A1153&lt;VLOOKUP(O$5,NFI,5,0),1,0)*Table_NFI[[#This Row],[Clothes Kit]],Table_NFI[Clothes Kit])</f>
        <v>0</v>
      </c>
      <c r="AG1153" s="378">
        <f>IF(NFI_Expiration=1,IF($A1153&lt;VLOOKUP(P$5,NFI,5,0),1,0)*Table_NFI[[#This Row],[Plastic Bucket]],Table_NFI[Plastic Bucket])</f>
        <v>0</v>
      </c>
      <c r="AH1153" s="378">
        <f>IF(NFI_Expiration=1,IF($A1153&lt;VLOOKUP(Q$5,NFI,5,0),1,0)*Table_NFI[[#This Row],[Plastic Mat]],Table_NFI[Plastic Mat])*IF(Table_NFI[[#This Row],[Distribution Date]]&gt;"2014-04-01",1,2.5)</f>
        <v>0</v>
      </c>
      <c r="AI1153" s="378">
        <f>IF(NFI_Expiration=1,IF($A1153&lt;VLOOKUP(R$5,NFI,5,0),1,0)*Table_NFI[[#This Row],[Winter Clothes Adult]],Table_NFI[Winter Clothes Adult])</f>
        <v>0</v>
      </c>
      <c r="AJ1153" s="378">
        <f>IF(NFI_Expiration=1,IF($A1153&lt;VLOOKUP(S$5,NFI,5,0),1,0)*Table_NFI[[#This Row],[Winter Clothes Children]],Table_NFI[Winter Clothes Children])</f>
        <v>0</v>
      </c>
      <c r="AK1153" s="378">
        <f>IF(NFI_Expiration=1,IF($A1153&lt;VLOOKUP(T$5,NFI,5,0),1,0)*Table_NFI[[#This Row],[Winter Items Other]],Table_NFI[Winter Items Other])</f>
        <v>0</v>
      </c>
      <c r="AL1153" s="378">
        <f>IF(NFI_Expiration=1,IF($A1153&lt;VLOOKUP(M$5,NFI,5,0),1,0)*Table_NFI[[#This Row],[Winter Blanket]],Table_NFI[[#This Row],[Winter Blanket]])</f>
        <v>0</v>
      </c>
      <c r="AM1153" s="378">
        <f>IF(Table_NFI[[#This Row],[Winter Clothes Adult]]+Table_NFI[[#This Row],[Winter Clothes Children]]+Table_NFI[[#This Row],[Winter Items Other]]+Table_NFI[[#This Row],[Winter Blanket]]&gt;0,1,0)</f>
        <v>0</v>
      </c>
      <c r="AN1153" s="418">
        <f>IF(NFI_Expiration=1,IF($A1153&lt;VLOOKUP(V$5,NFI,5,0),1,0)*Table_NFI[[#This Row],[Jerry Can]],Table_NFI[Jerry Can])</f>
        <v>0</v>
      </c>
      <c r="AO1153" s="579" t="str">
        <f>IFERROR(VLOOKUP(Table_NFI[[#This Row],[Camp Name]],CL,2,0),"")</f>
        <v/>
      </c>
      <c r="AP1153" s="574" t="str">
        <f ca="1">IF(Table_NFI[[#This Row],[Pcode]]="","",IF(OFFSET(CampList[Opening Date],MATCH(Table_NFI[[#This Row],[Pcode]],CampList[CP_Pcode],0)-1,0,1,1)&gt;=NFI_Monitor_Date,1,0))</f>
        <v/>
      </c>
      <c r="AQ1153" s="579" t="str">
        <f>IFERROR(VLOOKUP(Table_NFI[[#This Row],[Camp Name]],CL,3,0),"")</f>
        <v/>
      </c>
      <c r="AR1153" s="378" t="str">
        <f ca="1">IF(Table_NFI[[#This Row],[Pcode]]="","",OFFSET(CampList[Priority],MATCH(Table_NFI[[#This Row],[Pcode]],CampList[CP_Pcode],0)-1,0,1,1))</f>
        <v/>
      </c>
      <c r="AS1153" s="377" t="str">
        <f>IFERROR(Table_NFI[[#This Row],[Kitchen Set]]/VLOOKUP(Table_NFI[[#This Row],[Camp Name]],CL,4,0),"")</f>
        <v/>
      </c>
      <c r="AT1153" s="577"/>
      <c r="AU1153" s="580"/>
    </row>
    <row r="1154" spans="1:47" x14ac:dyDescent="0.25">
      <c r="A1154" s="381" t="str">
        <f t="shared" si="17"/>
        <v/>
      </c>
      <c r="B1154" s="571"/>
      <c r="C1154" s="577"/>
      <c r="D1154" s="577"/>
      <c r="E1154" s="577"/>
      <c r="F1154" s="577"/>
      <c r="G1154" s="577"/>
      <c r="H1154" s="376"/>
      <c r="I1154" s="376"/>
      <c r="J1154" s="376"/>
      <c r="K1154" s="376"/>
      <c r="L1154" s="376"/>
      <c r="M1154" s="376"/>
      <c r="N1154" s="376"/>
      <c r="O1154" s="376"/>
      <c r="P1154" s="378"/>
      <c r="Q1154" s="378"/>
      <c r="R1154" s="378"/>
      <c r="S1154" s="378"/>
      <c r="T1154" s="378"/>
      <c r="U1154" s="378"/>
      <c r="V1154" s="533"/>
      <c r="W1154" s="602"/>
      <c r="X1154" s="602"/>
      <c r="Y1154" s="378">
        <f>IF(NFI_Expiration=1,IF($A1154&lt;VLOOKUP(H$5,NFI,5,0),1,0)*Table_NFI[[#This Row],[Hygiene Kit]],Table_NFI[Hygiene Kit])</f>
        <v>0</v>
      </c>
      <c r="Z1154" s="378">
        <f>IF(NFI_Expiration=1,IF($A1154&lt;VLOOKUP(I$5,NFI,5,0),1,0)*Table_NFI[[#This Row],[NFI Core Kit]],Table_NFI[NFI Core Kit])</f>
        <v>0</v>
      </c>
      <c r="AA1154" s="378">
        <f>IF(NFI_Expiration=1,IF($A1154&lt;VLOOKUP(J$5,NFI,5,0),1,0)*Table_NFI[[#This Row],[Sanitary Kit]],Table_NFI[Sanitary Kit])</f>
        <v>0</v>
      </c>
      <c r="AB1154" s="378">
        <f>IF(NFI_Expiration=1,IF($A1154&lt;VLOOKUP(K$5,NFI,5,0),1,0)*Table_NFI[[#This Row],[Mosquito net]],Table_NFI[Mosquito net])</f>
        <v>0</v>
      </c>
      <c r="AC1154" s="378">
        <f>IF(NFI_Expiration=1,IF($A1154&lt;VLOOKUP(L$5,NFI,5,0),1,0)*Table_NFI[[#This Row],[Tarpaulin]],Table_NFI[[#This Row],[Tarpaulin]])</f>
        <v>0</v>
      </c>
      <c r="AD1154" s="378">
        <f>IF(NFI_Expiration=1,IF($A1154&lt;VLOOKUP(M$5,NFI,5,0),1,0)*Table_NFI[[#This Row],[Blanket]],Table_NFI[[#This Row],[Blanket]])</f>
        <v>0</v>
      </c>
      <c r="AE1154" s="378">
        <f>IF(NFI_Expiration=1,IF($A1154&lt;VLOOKUP(N$5,NFI,5,0),1,0)*Table_NFI[[#This Row],[Kitchen Set]],Table_NFI[Kitchen Set])</f>
        <v>0</v>
      </c>
      <c r="AF1154" s="378">
        <f>IF(NFI_Expiration=1,IF($A1154&lt;VLOOKUP(O$5,NFI,5,0),1,0)*Table_NFI[[#This Row],[Clothes Kit]],Table_NFI[Clothes Kit])</f>
        <v>0</v>
      </c>
      <c r="AG1154" s="378">
        <f>IF(NFI_Expiration=1,IF($A1154&lt;VLOOKUP(P$5,NFI,5,0),1,0)*Table_NFI[[#This Row],[Plastic Bucket]],Table_NFI[Plastic Bucket])</f>
        <v>0</v>
      </c>
      <c r="AH1154" s="378">
        <f>IF(NFI_Expiration=1,IF($A1154&lt;VLOOKUP(Q$5,NFI,5,0),1,0)*Table_NFI[[#This Row],[Plastic Mat]],Table_NFI[Plastic Mat])*IF(Table_NFI[[#This Row],[Distribution Date]]&gt;"2014-04-01",1,2.5)</f>
        <v>0</v>
      </c>
      <c r="AI1154" s="378">
        <f>IF(NFI_Expiration=1,IF($A1154&lt;VLOOKUP(R$5,NFI,5,0),1,0)*Table_NFI[[#This Row],[Winter Clothes Adult]],Table_NFI[Winter Clothes Adult])</f>
        <v>0</v>
      </c>
      <c r="AJ1154" s="378">
        <f>IF(NFI_Expiration=1,IF($A1154&lt;VLOOKUP(S$5,NFI,5,0),1,0)*Table_NFI[[#This Row],[Winter Clothes Children]],Table_NFI[Winter Clothes Children])</f>
        <v>0</v>
      </c>
      <c r="AK1154" s="378">
        <f>IF(NFI_Expiration=1,IF($A1154&lt;VLOOKUP(T$5,NFI,5,0),1,0)*Table_NFI[[#This Row],[Winter Items Other]],Table_NFI[Winter Items Other])</f>
        <v>0</v>
      </c>
      <c r="AL1154" s="378">
        <f>IF(NFI_Expiration=1,IF($A1154&lt;VLOOKUP(M$5,NFI,5,0),1,0)*Table_NFI[[#This Row],[Winter Blanket]],Table_NFI[[#This Row],[Winter Blanket]])</f>
        <v>0</v>
      </c>
      <c r="AM1154" s="378">
        <f>IF(Table_NFI[[#This Row],[Winter Clothes Adult]]+Table_NFI[[#This Row],[Winter Clothes Children]]+Table_NFI[[#This Row],[Winter Items Other]]+Table_NFI[[#This Row],[Winter Blanket]]&gt;0,1,0)</f>
        <v>0</v>
      </c>
      <c r="AN1154" s="418">
        <f>IF(NFI_Expiration=1,IF($A1154&lt;VLOOKUP(V$5,NFI,5,0),1,0)*Table_NFI[[#This Row],[Jerry Can]],Table_NFI[Jerry Can])</f>
        <v>0</v>
      </c>
      <c r="AO1154" s="579" t="str">
        <f>IFERROR(VLOOKUP(Table_NFI[[#This Row],[Camp Name]],CL,2,0),"")</f>
        <v/>
      </c>
      <c r="AP1154" s="574" t="str">
        <f ca="1">IF(Table_NFI[[#This Row],[Pcode]]="","",IF(OFFSET(CampList[Opening Date],MATCH(Table_NFI[[#This Row],[Pcode]],CampList[CP_Pcode],0)-1,0,1,1)&gt;=NFI_Monitor_Date,1,0))</f>
        <v/>
      </c>
      <c r="AQ1154" s="579" t="str">
        <f>IFERROR(VLOOKUP(Table_NFI[[#This Row],[Camp Name]],CL,3,0),"")</f>
        <v/>
      </c>
      <c r="AR1154" s="378" t="str">
        <f ca="1">IF(Table_NFI[[#This Row],[Pcode]]="","",OFFSET(CampList[Priority],MATCH(Table_NFI[[#This Row],[Pcode]],CampList[CP_Pcode],0)-1,0,1,1))</f>
        <v/>
      </c>
      <c r="AS1154" s="377" t="str">
        <f>IFERROR(Table_NFI[[#This Row],[Kitchen Set]]/VLOOKUP(Table_NFI[[#This Row],[Camp Name]],CL,4,0),"")</f>
        <v/>
      </c>
      <c r="AT1154" s="577"/>
      <c r="AU1154" s="580"/>
    </row>
    <row r="1155" spans="1:47" x14ac:dyDescent="0.25">
      <c r="A1155" s="381" t="str">
        <f t="shared" si="17"/>
        <v/>
      </c>
      <c r="B1155" s="571"/>
      <c r="C1155" s="577"/>
      <c r="D1155" s="577"/>
      <c r="E1155" s="577"/>
      <c r="F1155" s="577"/>
      <c r="G1155" s="577"/>
      <c r="H1155" s="376"/>
      <c r="I1155" s="376"/>
      <c r="J1155" s="376"/>
      <c r="K1155" s="376"/>
      <c r="L1155" s="376"/>
      <c r="M1155" s="376"/>
      <c r="N1155" s="376"/>
      <c r="O1155" s="376"/>
      <c r="P1155" s="378"/>
      <c r="Q1155" s="378"/>
      <c r="R1155" s="378"/>
      <c r="S1155" s="378"/>
      <c r="T1155" s="378"/>
      <c r="U1155" s="378"/>
      <c r="V1155" s="533"/>
      <c r="W1155" s="602"/>
      <c r="X1155" s="602"/>
      <c r="Y1155" s="378">
        <f>IF(NFI_Expiration=1,IF($A1155&lt;VLOOKUP(H$5,NFI,5,0),1,0)*Table_NFI[[#This Row],[Hygiene Kit]],Table_NFI[Hygiene Kit])</f>
        <v>0</v>
      </c>
      <c r="Z1155" s="378">
        <f>IF(NFI_Expiration=1,IF($A1155&lt;VLOOKUP(I$5,NFI,5,0),1,0)*Table_NFI[[#This Row],[NFI Core Kit]],Table_NFI[NFI Core Kit])</f>
        <v>0</v>
      </c>
      <c r="AA1155" s="378">
        <f>IF(NFI_Expiration=1,IF($A1155&lt;VLOOKUP(J$5,NFI,5,0),1,0)*Table_NFI[[#This Row],[Sanitary Kit]],Table_NFI[Sanitary Kit])</f>
        <v>0</v>
      </c>
      <c r="AB1155" s="378">
        <f>IF(NFI_Expiration=1,IF($A1155&lt;VLOOKUP(K$5,NFI,5,0),1,0)*Table_NFI[[#This Row],[Mosquito net]],Table_NFI[Mosquito net])</f>
        <v>0</v>
      </c>
      <c r="AC1155" s="378">
        <f>IF(NFI_Expiration=1,IF($A1155&lt;VLOOKUP(L$5,NFI,5,0),1,0)*Table_NFI[[#This Row],[Tarpaulin]],Table_NFI[[#This Row],[Tarpaulin]])</f>
        <v>0</v>
      </c>
      <c r="AD1155" s="378">
        <f>IF(NFI_Expiration=1,IF($A1155&lt;VLOOKUP(M$5,NFI,5,0),1,0)*Table_NFI[[#This Row],[Blanket]],Table_NFI[[#This Row],[Blanket]])</f>
        <v>0</v>
      </c>
      <c r="AE1155" s="378">
        <f>IF(NFI_Expiration=1,IF($A1155&lt;VLOOKUP(N$5,NFI,5,0),1,0)*Table_NFI[[#This Row],[Kitchen Set]],Table_NFI[Kitchen Set])</f>
        <v>0</v>
      </c>
      <c r="AF1155" s="378">
        <f>IF(NFI_Expiration=1,IF($A1155&lt;VLOOKUP(O$5,NFI,5,0),1,0)*Table_NFI[[#This Row],[Clothes Kit]],Table_NFI[Clothes Kit])</f>
        <v>0</v>
      </c>
      <c r="AG1155" s="378">
        <f>IF(NFI_Expiration=1,IF($A1155&lt;VLOOKUP(P$5,NFI,5,0),1,0)*Table_NFI[[#This Row],[Plastic Bucket]],Table_NFI[Plastic Bucket])</f>
        <v>0</v>
      </c>
      <c r="AH1155" s="378">
        <f>IF(NFI_Expiration=1,IF($A1155&lt;VLOOKUP(Q$5,NFI,5,0),1,0)*Table_NFI[[#This Row],[Plastic Mat]],Table_NFI[Plastic Mat])*IF(Table_NFI[[#This Row],[Distribution Date]]&gt;"2014-04-01",1,2.5)</f>
        <v>0</v>
      </c>
      <c r="AI1155" s="378">
        <f>IF(NFI_Expiration=1,IF($A1155&lt;VLOOKUP(R$5,NFI,5,0),1,0)*Table_NFI[[#This Row],[Winter Clothes Adult]],Table_NFI[Winter Clothes Adult])</f>
        <v>0</v>
      </c>
      <c r="AJ1155" s="378">
        <f>IF(NFI_Expiration=1,IF($A1155&lt;VLOOKUP(S$5,NFI,5,0),1,0)*Table_NFI[[#This Row],[Winter Clothes Children]],Table_NFI[Winter Clothes Children])</f>
        <v>0</v>
      </c>
      <c r="AK1155" s="378">
        <f>IF(NFI_Expiration=1,IF($A1155&lt;VLOOKUP(T$5,NFI,5,0),1,0)*Table_NFI[[#This Row],[Winter Items Other]],Table_NFI[Winter Items Other])</f>
        <v>0</v>
      </c>
      <c r="AL1155" s="378">
        <f>IF(NFI_Expiration=1,IF($A1155&lt;VLOOKUP(M$5,NFI,5,0),1,0)*Table_NFI[[#This Row],[Winter Blanket]],Table_NFI[[#This Row],[Winter Blanket]])</f>
        <v>0</v>
      </c>
      <c r="AM1155" s="378">
        <f>IF(Table_NFI[[#This Row],[Winter Clothes Adult]]+Table_NFI[[#This Row],[Winter Clothes Children]]+Table_NFI[[#This Row],[Winter Items Other]]+Table_NFI[[#This Row],[Winter Blanket]]&gt;0,1,0)</f>
        <v>0</v>
      </c>
      <c r="AN1155" s="418">
        <f>IF(NFI_Expiration=1,IF($A1155&lt;VLOOKUP(V$5,NFI,5,0),1,0)*Table_NFI[[#This Row],[Jerry Can]],Table_NFI[Jerry Can])</f>
        <v>0</v>
      </c>
      <c r="AO1155" s="579" t="str">
        <f>IFERROR(VLOOKUP(Table_NFI[[#This Row],[Camp Name]],CL,2,0),"")</f>
        <v/>
      </c>
      <c r="AP1155" s="574" t="str">
        <f ca="1">IF(Table_NFI[[#This Row],[Pcode]]="","",IF(OFFSET(CampList[Opening Date],MATCH(Table_NFI[[#This Row],[Pcode]],CampList[CP_Pcode],0)-1,0,1,1)&gt;=NFI_Monitor_Date,1,0))</f>
        <v/>
      </c>
      <c r="AQ1155" s="579" t="str">
        <f>IFERROR(VLOOKUP(Table_NFI[[#This Row],[Camp Name]],CL,3,0),"")</f>
        <v/>
      </c>
      <c r="AR1155" s="378" t="str">
        <f ca="1">IF(Table_NFI[[#This Row],[Pcode]]="","",OFFSET(CampList[Priority],MATCH(Table_NFI[[#This Row],[Pcode]],CampList[CP_Pcode],0)-1,0,1,1))</f>
        <v/>
      </c>
      <c r="AS1155" s="377" t="str">
        <f>IFERROR(Table_NFI[[#This Row],[Kitchen Set]]/VLOOKUP(Table_NFI[[#This Row],[Camp Name]],CL,4,0),"")</f>
        <v/>
      </c>
      <c r="AT1155" s="577"/>
      <c r="AU1155" s="580"/>
    </row>
    <row r="1156" spans="1:47" x14ac:dyDescent="0.25">
      <c r="A1156" s="381" t="str">
        <f t="shared" si="17"/>
        <v/>
      </c>
      <c r="B1156" s="571"/>
      <c r="C1156" s="577"/>
      <c r="D1156" s="577"/>
      <c r="E1156" s="577"/>
      <c r="F1156" s="577"/>
      <c r="G1156" s="577"/>
      <c r="H1156" s="376"/>
      <c r="I1156" s="376"/>
      <c r="J1156" s="376"/>
      <c r="K1156" s="376"/>
      <c r="L1156" s="376"/>
      <c r="M1156" s="376"/>
      <c r="N1156" s="376"/>
      <c r="O1156" s="376"/>
      <c r="P1156" s="378"/>
      <c r="Q1156" s="378"/>
      <c r="R1156" s="378"/>
      <c r="S1156" s="378"/>
      <c r="T1156" s="378"/>
      <c r="U1156" s="378"/>
      <c r="V1156" s="533"/>
      <c r="W1156" s="602"/>
      <c r="X1156" s="602"/>
      <c r="Y1156" s="378">
        <f>IF(NFI_Expiration=1,IF($A1156&lt;VLOOKUP(H$5,NFI,5,0),1,0)*Table_NFI[[#This Row],[Hygiene Kit]],Table_NFI[Hygiene Kit])</f>
        <v>0</v>
      </c>
      <c r="Z1156" s="378">
        <f>IF(NFI_Expiration=1,IF($A1156&lt;VLOOKUP(I$5,NFI,5,0),1,0)*Table_NFI[[#This Row],[NFI Core Kit]],Table_NFI[NFI Core Kit])</f>
        <v>0</v>
      </c>
      <c r="AA1156" s="378">
        <f>IF(NFI_Expiration=1,IF($A1156&lt;VLOOKUP(J$5,NFI,5,0),1,0)*Table_NFI[[#This Row],[Sanitary Kit]],Table_NFI[Sanitary Kit])</f>
        <v>0</v>
      </c>
      <c r="AB1156" s="378">
        <f>IF(NFI_Expiration=1,IF($A1156&lt;VLOOKUP(K$5,NFI,5,0),1,0)*Table_NFI[[#This Row],[Mosquito net]],Table_NFI[Mosquito net])</f>
        <v>0</v>
      </c>
      <c r="AC1156" s="378">
        <f>IF(NFI_Expiration=1,IF($A1156&lt;VLOOKUP(L$5,NFI,5,0),1,0)*Table_NFI[[#This Row],[Tarpaulin]],Table_NFI[[#This Row],[Tarpaulin]])</f>
        <v>0</v>
      </c>
      <c r="AD1156" s="378">
        <f>IF(NFI_Expiration=1,IF($A1156&lt;VLOOKUP(M$5,NFI,5,0),1,0)*Table_NFI[[#This Row],[Blanket]],Table_NFI[[#This Row],[Blanket]])</f>
        <v>0</v>
      </c>
      <c r="AE1156" s="378">
        <f>IF(NFI_Expiration=1,IF($A1156&lt;VLOOKUP(N$5,NFI,5,0),1,0)*Table_NFI[[#This Row],[Kitchen Set]],Table_NFI[Kitchen Set])</f>
        <v>0</v>
      </c>
      <c r="AF1156" s="378">
        <f>IF(NFI_Expiration=1,IF($A1156&lt;VLOOKUP(O$5,NFI,5,0),1,0)*Table_NFI[[#This Row],[Clothes Kit]],Table_NFI[Clothes Kit])</f>
        <v>0</v>
      </c>
      <c r="AG1156" s="378">
        <f>IF(NFI_Expiration=1,IF($A1156&lt;VLOOKUP(P$5,NFI,5,0),1,0)*Table_NFI[[#This Row],[Plastic Bucket]],Table_NFI[Plastic Bucket])</f>
        <v>0</v>
      </c>
      <c r="AH1156" s="378">
        <f>IF(NFI_Expiration=1,IF($A1156&lt;VLOOKUP(Q$5,NFI,5,0),1,0)*Table_NFI[[#This Row],[Plastic Mat]],Table_NFI[Plastic Mat])*IF(Table_NFI[[#This Row],[Distribution Date]]&gt;"2014-04-01",1,2.5)</f>
        <v>0</v>
      </c>
      <c r="AI1156" s="378">
        <f>IF(NFI_Expiration=1,IF($A1156&lt;VLOOKUP(R$5,NFI,5,0),1,0)*Table_NFI[[#This Row],[Winter Clothes Adult]],Table_NFI[Winter Clothes Adult])</f>
        <v>0</v>
      </c>
      <c r="AJ1156" s="378">
        <f>IF(NFI_Expiration=1,IF($A1156&lt;VLOOKUP(S$5,NFI,5,0),1,0)*Table_NFI[[#This Row],[Winter Clothes Children]],Table_NFI[Winter Clothes Children])</f>
        <v>0</v>
      </c>
      <c r="AK1156" s="378">
        <f>IF(NFI_Expiration=1,IF($A1156&lt;VLOOKUP(T$5,NFI,5,0),1,0)*Table_NFI[[#This Row],[Winter Items Other]],Table_NFI[Winter Items Other])</f>
        <v>0</v>
      </c>
      <c r="AL1156" s="378">
        <f>IF(NFI_Expiration=1,IF($A1156&lt;VLOOKUP(M$5,NFI,5,0),1,0)*Table_NFI[[#This Row],[Winter Blanket]],Table_NFI[[#This Row],[Winter Blanket]])</f>
        <v>0</v>
      </c>
      <c r="AM1156" s="378">
        <f>IF(Table_NFI[[#This Row],[Winter Clothes Adult]]+Table_NFI[[#This Row],[Winter Clothes Children]]+Table_NFI[[#This Row],[Winter Items Other]]+Table_NFI[[#This Row],[Winter Blanket]]&gt;0,1,0)</f>
        <v>0</v>
      </c>
      <c r="AN1156" s="418">
        <f>IF(NFI_Expiration=1,IF($A1156&lt;VLOOKUP(V$5,NFI,5,0),1,0)*Table_NFI[[#This Row],[Jerry Can]],Table_NFI[Jerry Can])</f>
        <v>0</v>
      </c>
      <c r="AO1156" s="579" t="str">
        <f>IFERROR(VLOOKUP(Table_NFI[[#This Row],[Camp Name]],CL,2,0),"")</f>
        <v/>
      </c>
      <c r="AP1156" s="574" t="str">
        <f ca="1">IF(Table_NFI[[#This Row],[Pcode]]="","",IF(OFFSET(CampList[Opening Date],MATCH(Table_NFI[[#This Row],[Pcode]],CampList[CP_Pcode],0)-1,0,1,1)&gt;=NFI_Monitor_Date,1,0))</f>
        <v/>
      </c>
      <c r="AQ1156" s="579" t="str">
        <f>IFERROR(VLOOKUP(Table_NFI[[#This Row],[Camp Name]],CL,3,0),"")</f>
        <v/>
      </c>
      <c r="AR1156" s="378" t="str">
        <f ca="1">IF(Table_NFI[[#This Row],[Pcode]]="","",OFFSET(CampList[Priority],MATCH(Table_NFI[[#This Row],[Pcode]],CampList[CP_Pcode],0)-1,0,1,1))</f>
        <v/>
      </c>
      <c r="AS1156" s="377" t="str">
        <f>IFERROR(Table_NFI[[#This Row],[Kitchen Set]]/VLOOKUP(Table_NFI[[#This Row],[Camp Name]],CL,4,0),"")</f>
        <v/>
      </c>
      <c r="AT1156" s="577"/>
      <c r="AU1156" s="580"/>
    </row>
    <row r="1157" spans="1:47" x14ac:dyDescent="0.25">
      <c r="A1157" s="381" t="str">
        <f t="shared" si="17"/>
        <v/>
      </c>
      <c r="B1157" s="571"/>
      <c r="C1157" s="577"/>
      <c r="D1157" s="577"/>
      <c r="E1157" s="577"/>
      <c r="F1157" s="577"/>
      <c r="G1157" s="577"/>
      <c r="H1157" s="376"/>
      <c r="I1157" s="376"/>
      <c r="J1157" s="376"/>
      <c r="K1157" s="376"/>
      <c r="L1157" s="376"/>
      <c r="M1157" s="376"/>
      <c r="N1157" s="376"/>
      <c r="O1157" s="376"/>
      <c r="P1157" s="378"/>
      <c r="Q1157" s="378"/>
      <c r="R1157" s="378"/>
      <c r="S1157" s="378"/>
      <c r="T1157" s="378"/>
      <c r="U1157" s="378"/>
      <c r="V1157" s="533"/>
      <c r="W1157" s="602"/>
      <c r="X1157" s="602"/>
      <c r="Y1157" s="378">
        <f>IF(NFI_Expiration=1,IF($A1157&lt;VLOOKUP(H$5,NFI,5,0),1,0)*Table_NFI[[#This Row],[Hygiene Kit]],Table_NFI[Hygiene Kit])</f>
        <v>0</v>
      </c>
      <c r="Z1157" s="378">
        <f>IF(NFI_Expiration=1,IF($A1157&lt;VLOOKUP(I$5,NFI,5,0),1,0)*Table_NFI[[#This Row],[NFI Core Kit]],Table_NFI[NFI Core Kit])</f>
        <v>0</v>
      </c>
      <c r="AA1157" s="378">
        <f>IF(NFI_Expiration=1,IF($A1157&lt;VLOOKUP(J$5,NFI,5,0),1,0)*Table_NFI[[#This Row],[Sanitary Kit]],Table_NFI[Sanitary Kit])</f>
        <v>0</v>
      </c>
      <c r="AB1157" s="378">
        <f>IF(NFI_Expiration=1,IF($A1157&lt;VLOOKUP(K$5,NFI,5,0),1,0)*Table_NFI[[#This Row],[Mosquito net]],Table_NFI[Mosquito net])</f>
        <v>0</v>
      </c>
      <c r="AC1157" s="378">
        <f>IF(NFI_Expiration=1,IF($A1157&lt;VLOOKUP(L$5,NFI,5,0),1,0)*Table_NFI[[#This Row],[Tarpaulin]],Table_NFI[[#This Row],[Tarpaulin]])</f>
        <v>0</v>
      </c>
      <c r="AD1157" s="378">
        <f>IF(NFI_Expiration=1,IF($A1157&lt;VLOOKUP(M$5,NFI,5,0),1,0)*Table_NFI[[#This Row],[Blanket]],Table_NFI[[#This Row],[Blanket]])</f>
        <v>0</v>
      </c>
      <c r="AE1157" s="378">
        <f>IF(NFI_Expiration=1,IF($A1157&lt;VLOOKUP(N$5,NFI,5,0),1,0)*Table_NFI[[#This Row],[Kitchen Set]],Table_NFI[Kitchen Set])</f>
        <v>0</v>
      </c>
      <c r="AF1157" s="378">
        <f>IF(NFI_Expiration=1,IF($A1157&lt;VLOOKUP(O$5,NFI,5,0),1,0)*Table_NFI[[#This Row],[Clothes Kit]],Table_NFI[Clothes Kit])</f>
        <v>0</v>
      </c>
      <c r="AG1157" s="378">
        <f>IF(NFI_Expiration=1,IF($A1157&lt;VLOOKUP(P$5,NFI,5,0),1,0)*Table_NFI[[#This Row],[Plastic Bucket]],Table_NFI[Plastic Bucket])</f>
        <v>0</v>
      </c>
      <c r="AH1157" s="378">
        <f>IF(NFI_Expiration=1,IF($A1157&lt;VLOOKUP(Q$5,NFI,5,0),1,0)*Table_NFI[[#This Row],[Plastic Mat]],Table_NFI[Plastic Mat])*IF(Table_NFI[[#This Row],[Distribution Date]]&gt;"2014-04-01",1,2.5)</f>
        <v>0</v>
      </c>
      <c r="AI1157" s="378">
        <f>IF(NFI_Expiration=1,IF($A1157&lt;VLOOKUP(R$5,NFI,5,0),1,0)*Table_NFI[[#This Row],[Winter Clothes Adult]],Table_NFI[Winter Clothes Adult])</f>
        <v>0</v>
      </c>
      <c r="AJ1157" s="378">
        <f>IF(NFI_Expiration=1,IF($A1157&lt;VLOOKUP(S$5,NFI,5,0),1,0)*Table_NFI[[#This Row],[Winter Clothes Children]],Table_NFI[Winter Clothes Children])</f>
        <v>0</v>
      </c>
      <c r="AK1157" s="378">
        <f>IF(NFI_Expiration=1,IF($A1157&lt;VLOOKUP(T$5,NFI,5,0),1,0)*Table_NFI[[#This Row],[Winter Items Other]],Table_NFI[Winter Items Other])</f>
        <v>0</v>
      </c>
      <c r="AL1157" s="378">
        <f>IF(NFI_Expiration=1,IF($A1157&lt;VLOOKUP(M$5,NFI,5,0),1,0)*Table_NFI[[#This Row],[Winter Blanket]],Table_NFI[[#This Row],[Winter Blanket]])</f>
        <v>0</v>
      </c>
      <c r="AM1157" s="378">
        <f>IF(Table_NFI[[#This Row],[Winter Clothes Adult]]+Table_NFI[[#This Row],[Winter Clothes Children]]+Table_NFI[[#This Row],[Winter Items Other]]+Table_NFI[[#This Row],[Winter Blanket]]&gt;0,1,0)</f>
        <v>0</v>
      </c>
      <c r="AN1157" s="418">
        <f>IF(NFI_Expiration=1,IF($A1157&lt;VLOOKUP(V$5,NFI,5,0),1,0)*Table_NFI[[#This Row],[Jerry Can]],Table_NFI[Jerry Can])</f>
        <v>0</v>
      </c>
      <c r="AO1157" s="579" t="str">
        <f>IFERROR(VLOOKUP(Table_NFI[[#This Row],[Camp Name]],CL,2,0),"")</f>
        <v/>
      </c>
      <c r="AP1157" s="574" t="str">
        <f ca="1">IF(Table_NFI[[#This Row],[Pcode]]="","",IF(OFFSET(CampList[Opening Date],MATCH(Table_NFI[[#This Row],[Pcode]],CampList[CP_Pcode],0)-1,0,1,1)&gt;=NFI_Monitor_Date,1,0))</f>
        <v/>
      </c>
      <c r="AQ1157" s="579" t="str">
        <f>IFERROR(VLOOKUP(Table_NFI[[#This Row],[Camp Name]],CL,3,0),"")</f>
        <v/>
      </c>
      <c r="AR1157" s="378" t="str">
        <f ca="1">IF(Table_NFI[[#This Row],[Pcode]]="","",OFFSET(CampList[Priority],MATCH(Table_NFI[[#This Row],[Pcode]],CampList[CP_Pcode],0)-1,0,1,1))</f>
        <v/>
      </c>
      <c r="AS1157" s="377" t="str">
        <f>IFERROR(Table_NFI[[#This Row],[Kitchen Set]]/VLOOKUP(Table_NFI[[#This Row],[Camp Name]],CL,4,0),"")</f>
        <v/>
      </c>
      <c r="AT1157" s="577"/>
      <c r="AU1157" s="580"/>
    </row>
    <row r="1158" spans="1:47" x14ac:dyDescent="0.25">
      <c r="A1158" s="381" t="str">
        <f t="shared" ref="A1158:A1194" si="18">IF(ISBLANK(B1158),"",(Report_Date-B1158)/30)</f>
        <v/>
      </c>
      <c r="B1158" s="571"/>
      <c r="C1158" s="577"/>
      <c r="D1158" s="577"/>
      <c r="E1158" s="577"/>
      <c r="F1158" s="577"/>
      <c r="G1158" s="577"/>
      <c r="H1158" s="376"/>
      <c r="I1158" s="376"/>
      <c r="J1158" s="376"/>
      <c r="K1158" s="376"/>
      <c r="L1158" s="376"/>
      <c r="M1158" s="376"/>
      <c r="N1158" s="376"/>
      <c r="O1158" s="376"/>
      <c r="P1158" s="378"/>
      <c r="Q1158" s="378"/>
      <c r="R1158" s="378"/>
      <c r="S1158" s="378"/>
      <c r="T1158" s="378"/>
      <c r="U1158" s="378"/>
      <c r="V1158" s="533"/>
      <c r="W1158" s="602"/>
      <c r="X1158" s="602"/>
      <c r="Y1158" s="378">
        <f>IF(NFI_Expiration=1,IF($A1158&lt;VLOOKUP(H$5,NFI,5,0),1,0)*Table_NFI[[#This Row],[Hygiene Kit]],Table_NFI[Hygiene Kit])</f>
        <v>0</v>
      </c>
      <c r="Z1158" s="378">
        <f>IF(NFI_Expiration=1,IF($A1158&lt;VLOOKUP(I$5,NFI,5,0),1,0)*Table_NFI[[#This Row],[NFI Core Kit]],Table_NFI[NFI Core Kit])</f>
        <v>0</v>
      </c>
      <c r="AA1158" s="378">
        <f>IF(NFI_Expiration=1,IF($A1158&lt;VLOOKUP(J$5,NFI,5,0),1,0)*Table_NFI[[#This Row],[Sanitary Kit]],Table_NFI[Sanitary Kit])</f>
        <v>0</v>
      </c>
      <c r="AB1158" s="378">
        <f>IF(NFI_Expiration=1,IF($A1158&lt;VLOOKUP(K$5,NFI,5,0),1,0)*Table_NFI[[#This Row],[Mosquito net]],Table_NFI[Mosquito net])</f>
        <v>0</v>
      </c>
      <c r="AC1158" s="378">
        <f>IF(NFI_Expiration=1,IF($A1158&lt;VLOOKUP(L$5,NFI,5,0),1,0)*Table_NFI[[#This Row],[Tarpaulin]],Table_NFI[[#This Row],[Tarpaulin]])</f>
        <v>0</v>
      </c>
      <c r="AD1158" s="378">
        <f>IF(NFI_Expiration=1,IF($A1158&lt;VLOOKUP(M$5,NFI,5,0),1,0)*Table_NFI[[#This Row],[Blanket]],Table_NFI[[#This Row],[Blanket]])</f>
        <v>0</v>
      </c>
      <c r="AE1158" s="378">
        <f>IF(NFI_Expiration=1,IF($A1158&lt;VLOOKUP(N$5,NFI,5,0),1,0)*Table_NFI[[#This Row],[Kitchen Set]],Table_NFI[Kitchen Set])</f>
        <v>0</v>
      </c>
      <c r="AF1158" s="378">
        <f>IF(NFI_Expiration=1,IF($A1158&lt;VLOOKUP(O$5,NFI,5,0),1,0)*Table_NFI[[#This Row],[Clothes Kit]],Table_NFI[Clothes Kit])</f>
        <v>0</v>
      </c>
      <c r="AG1158" s="378">
        <f>IF(NFI_Expiration=1,IF($A1158&lt;VLOOKUP(P$5,NFI,5,0),1,0)*Table_NFI[[#This Row],[Plastic Bucket]],Table_NFI[Plastic Bucket])</f>
        <v>0</v>
      </c>
      <c r="AH1158" s="378">
        <f>IF(NFI_Expiration=1,IF($A1158&lt;VLOOKUP(Q$5,NFI,5,0),1,0)*Table_NFI[[#This Row],[Plastic Mat]],Table_NFI[Plastic Mat])*IF(Table_NFI[[#This Row],[Distribution Date]]&gt;"2014-04-01",1,2.5)</f>
        <v>0</v>
      </c>
      <c r="AI1158" s="378">
        <f>IF(NFI_Expiration=1,IF($A1158&lt;VLOOKUP(R$5,NFI,5,0),1,0)*Table_NFI[[#This Row],[Winter Clothes Adult]],Table_NFI[Winter Clothes Adult])</f>
        <v>0</v>
      </c>
      <c r="AJ1158" s="378">
        <f>IF(NFI_Expiration=1,IF($A1158&lt;VLOOKUP(S$5,NFI,5,0),1,0)*Table_NFI[[#This Row],[Winter Clothes Children]],Table_NFI[Winter Clothes Children])</f>
        <v>0</v>
      </c>
      <c r="AK1158" s="378">
        <f>IF(NFI_Expiration=1,IF($A1158&lt;VLOOKUP(T$5,NFI,5,0),1,0)*Table_NFI[[#This Row],[Winter Items Other]],Table_NFI[Winter Items Other])</f>
        <v>0</v>
      </c>
      <c r="AL1158" s="378">
        <f>IF(NFI_Expiration=1,IF($A1158&lt;VLOOKUP(M$5,NFI,5,0),1,0)*Table_NFI[[#This Row],[Winter Blanket]],Table_NFI[[#This Row],[Winter Blanket]])</f>
        <v>0</v>
      </c>
      <c r="AM1158" s="378">
        <f>IF(Table_NFI[[#This Row],[Winter Clothes Adult]]+Table_NFI[[#This Row],[Winter Clothes Children]]+Table_NFI[[#This Row],[Winter Items Other]]+Table_NFI[[#This Row],[Winter Blanket]]&gt;0,1,0)</f>
        <v>0</v>
      </c>
      <c r="AN1158" s="418">
        <f>IF(NFI_Expiration=1,IF($A1158&lt;VLOOKUP(V$5,NFI,5,0),1,0)*Table_NFI[[#This Row],[Jerry Can]],Table_NFI[Jerry Can])</f>
        <v>0</v>
      </c>
      <c r="AO1158" s="579" t="str">
        <f>IFERROR(VLOOKUP(Table_NFI[[#This Row],[Camp Name]],CL,2,0),"")</f>
        <v/>
      </c>
      <c r="AP1158" s="574" t="str">
        <f ca="1">IF(Table_NFI[[#This Row],[Pcode]]="","",IF(OFFSET(CampList[Opening Date],MATCH(Table_NFI[[#This Row],[Pcode]],CampList[CP_Pcode],0)-1,0,1,1)&gt;=NFI_Monitor_Date,1,0))</f>
        <v/>
      </c>
      <c r="AQ1158" s="579" t="str">
        <f>IFERROR(VLOOKUP(Table_NFI[[#This Row],[Camp Name]],CL,3,0),"")</f>
        <v/>
      </c>
      <c r="AR1158" s="378" t="str">
        <f ca="1">IF(Table_NFI[[#This Row],[Pcode]]="","",OFFSET(CampList[Priority],MATCH(Table_NFI[[#This Row],[Pcode]],CampList[CP_Pcode],0)-1,0,1,1))</f>
        <v/>
      </c>
      <c r="AS1158" s="377" t="str">
        <f>IFERROR(Table_NFI[[#This Row],[Kitchen Set]]/VLOOKUP(Table_NFI[[#This Row],[Camp Name]],CL,4,0),"")</f>
        <v/>
      </c>
      <c r="AT1158" s="577"/>
      <c r="AU1158" s="580"/>
    </row>
    <row r="1159" spans="1:47" x14ac:dyDescent="0.25">
      <c r="A1159" s="381" t="str">
        <f t="shared" si="18"/>
        <v/>
      </c>
      <c r="B1159" s="571"/>
      <c r="C1159" s="577"/>
      <c r="D1159" s="577"/>
      <c r="E1159" s="577"/>
      <c r="F1159" s="577"/>
      <c r="G1159" s="577"/>
      <c r="H1159" s="376"/>
      <c r="I1159" s="376"/>
      <c r="J1159" s="376"/>
      <c r="K1159" s="376"/>
      <c r="L1159" s="376"/>
      <c r="M1159" s="376"/>
      <c r="N1159" s="376"/>
      <c r="O1159" s="376"/>
      <c r="P1159" s="378"/>
      <c r="Q1159" s="378"/>
      <c r="R1159" s="378"/>
      <c r="S1159" s="378"/>
      <c r="T1159" s="378"/>
      <c r="U1159" s="378"/>
      <c r="V1159" s="533"/>
      <c r="W1159" s="602"/>
      <c r="X1159" s="602"/>
      <c r="Y1159" s="378">
        <f>IF(NFI_Expiration=1,IF($A1159&lt;VLOOKUP(H$5,NFI,5,0),1,0)*Table_NFI[[#This Row],[Hygiene Kit]],Table_NFI[Hygiene Kit])</f>
        <v>0</v>
      </c>
      <c r="Z1159" s="378">
        <f>IF(NFI_Expiration=1,IF($A1159&lt;VLOOKUP(I$5,NFI,5,0),1,0)*Table_NFI[[#This Row],[NFI Core Kit]],Table_NFI[NFI Core Kit])</f>
        <v>0</v>
      </c>
      <c r="AA1159" s="378">
        <f>IF(NFI_Expiration=1,IF($A1159&lt;VLOOKUP(J$5,NFI,5,0),1,0)*Table_NFI[[#This Row],[Sanitary Kit]],Table_NFI[Sanitary Kit])</f>
        <v>0</v>
      </c>
      <c r="AB1159" s="378">
        <f>IF(NFI_Expiration=1,IF($A1159&lt;VLOOKUP(K$5,NFI,5,0),1,0)*Table_NFI[[#This Row],[Mosquito net]],Table_NFI[Mosquito net])</f>
        <v>0</v>
      </c>
      <c r="AC1159" s="378">
        <f>IF(NFI_Expiration=1,IF($A1159&lt;VLOOKUP(L$5,NFI,5,0),1,0)*Table_NFI[[#This Row],[Tarpaulin]],Table_NFI[[#This Row],[Tarpaulin]])</f>
        <v>0</v>
      </c>
      <c r="AD1159" s="378">
        <f>IF(NFI_Expiration=1,IF($A1159&lt;VLOOKUP(M$5,NFI,5,0),1,0)*Table_NFI[[#This Row],[Blanket]],Table_NFI[[#This Row],[Blanket]])</f>
        <v>0</v>
      </c>
      <c r="AE1159" s="378">
        <f>IF(NFI_Expiration=1,IF($A1159&lt;VLOOKUP(N$5,NFI,5,0),1,0)*Table_NFI[[#This Row],[Kitchen Set]],Table_NFI[Kitchen Set])</f>
        <v>0</v>
      </c>
      <c r="AF1159" s="378">
        <f>IF(NFI_Expiration=1,IF($A1159&lt;VLOOKUP(O$5,NFI,5,0),1,0)*Table_NFI[[#This Row],[Clothes Kit]],Table_NFI[Clothes Kit])</f>
        <v>0</v>
      </c>
      <c r="AG1159" s="378">
        <f>IF(NFI_Expiration=1,IF($A1159&lt;VLOOKUP(P$5,NFI,5,0),1,0)*Table_NFI[[#This Row],[Plastic Bucket]],Table_NFI[Plastic Bucket])</f>
        <v>0</v>
      </c>
      <c r="AH1159" s="378">
        <f>IF(NFI_Expiration=1,IF($A1159&lt;VLOOKUP(Q$5,NFI,5,0),1,0)*Table_NFI[[#This Row],[Plastic Mat]],Table_NFI[Plastic Mat])*IF(Table_NFI[[#This Row],[Distribution Date]]&gt;"2014-04-01",1,2.5)</f>
        <v>0</v>
      </c>
      <c r="AI1159" s="378">
        <f>IF(NFI_Expiration=1,IF($A1159&lt;VLOOKUP(R$5,NFI,5,0),1,0)*Table_NFI[[#This Row],[Winter Clothes Adult]],Table_NFI[Winter Clothes Adult])</f>
        <v>0</v>
      </c>
      <c r="AJ1159" s="378">
        <f>IF(NFI_Expiration=1,IF($A1159&lt;VLOOKUP(S$5,NFI,5,0),1,0)*Table_NFI[[#This Row],[Winter Clothes Children]],Table_NFI[Winter Clothes Children])</f>
        <v>0</v>
      </c>
      <c r="AK1159" s="378">
        <f>IF(NFI_Expiration=1,IF($A1159&lt;VLOOKUP(T$5,NFI,5,0),1,0)*Table_NFI[[#This Row],[Winter Items Other]],Table_NFI[Winter Items Other])</f>
        <v>0</v>
      </c>
      <c r="AL1159" s="378">
        <f>IF(NFI_Expiration=1,IF($A1159&lt;VLOOKUP(M$5,NFI,5,0),1,0)*Table_NFI[[#This Row],[Winter Blanket]],Table_NFI[[#This Row],[Winter Blanket]])</f>
        <v>0</v>
      </c>
      <c r="AM1159" s="378">
        <f>IF(Table_NFI[[#This Row],[Winter Clothes Adult]]+Table_NFI[[#This Row],[Winter Clothes Children]]+Table_NFI[[#This Row],[Winter Items Other]]+Table_NFI[[#This Row],[Winter Blanket]]&gt;0,1,0)</f>
        <v>0</v>
      </c>
      <c r="AN1159" s="418">
        <f>IF(NFI_Expiration=1,IF($A1159&lt;VLOOKUP(V$5,NFI,5,0),1,0)*Table_NFI[[#This Row],[Jerry Can]],Table_NFI[Jerry Can])</f>
        <v>0</v>
      </c>
      <c r="AO1159" s="579" t="str">
        <f>IFERROR(VLOOKUP(Table_NFI[[#This Row],[Camp Name]],CL,2,0),"")</f>
        <v/>
      </c>
      <c r="AP1159" s="574" t="str">
        <f ca="1">IF(Table_NFI[[#This Row],[Pcode]]="","",IF(OFFSET(CampList[Opening Date],MATCH(Table_NFI[[#This Row],[Pcode]],CampList[CP_Pcode],0)-1,0,1,1)&gt;=NFI_Monitor_Date,1,0))</f>
        <v/>
      </c>
      <c r="AQ1159" s="579" t="str">
        <f>IFERROR(VLOOKUP(Table_NFI[[#This Row],[Camp Name]],CL,3,0),"")</f>
        <v/>
      </c>
      <c r="AR1159" s="378" t="str">
        <f ca="1">IF(Table_NFI[[#This Row],[Pcode]]="","",OFFSET(CampList[Priority],MATCH(Table_NFI[[#This Row],[Pcode]],CampList[CP_Pcode],0)-1,0,1,1))</f>
        <v/>
      </c>
      <c r="AS1159" s="377" t="str">
        <f>IFERROR(Table_NFI[[#This Row],[Kitchen Set]]/VLOOKUP(Table_NFI[[#This Row],[Camp Name]],CL,4,0),"")</f>
        <v/>
      </c>
      <c r="AT1159" s="577"/>
      <c r="AU1159" s="580"/>
    </row>
    <row r="1160" spans="1:47" x14ac:dyDescent="0.25">
      <c r="A1160" s="381" t="str">
        <f t="shared" si="18"/>
        <v/>
      </c>
      <c r="B1160" s="571"/>
      <c r="C1160" s="577"/>
      <c r="D1160" s="577"/>
      <c r="E1160" s="577"/>
      <c r="F1160" s="577"/>
      <c r="G1160" s="577"/>
      <c r="H1160" s="376"/>
      <c r="I1160" s="376"/>
      <c r="J1160" s="376"/>
      <c r="K1160" s="376"/>
      <c r="L1160" s="376"/>
      <c r="M1160" s="376"/>
      <c r="N1160" s="376"/>
      <c r="O1160" s="376"/>
      <c r="P1160" s="378"/>
      <c r="Q1160" s="378"/>
      <c r="R1160" s="378"/>
      <c r="S1160" s="378"/>
      <c r="T1160" s="378"/>
      <c r="U1160" s="378"/>
      <c r="V1160" s="533"/>
      <c r="W1160" s="602"/>
      <c r="X1160" s="602"/>
      <c r="Y1160" s="378">
        <f>IF(NFI_Expiration=1,IF($A1160&lt;VLOOKUP(H$5,NFI,5,0),1,0)*Table_NFI[[#This Row],[Hygiene Kit]],Table_NFI[Hygiene Kit])</f>
        <v>0</v>
      </c>
      <c r="Z1160" s="378">
        <f>IF(NFI_Expiration=1,IF($A1160&lt;VLOOKUP(I$5,NFI,5,0),1,0)*Table_NFI[[#This Row],[NFI Core Kit]],Table_NFI[NFI Core Kit])</f>
        <v>0</v>
      </c>
      <c r="AA1160" s="378">
        <f>IF(NFI_Expiration=1,IF($A1160&lt;VLOOKUP(J$5,NFI,5,0),1,0)*Table_NFI[[#This Row],[Sanitary Kit]],Table_NFI[Sanitary Kit])</f>
        <v>0</v>
      </c>
      <c r="AB1160" s="378">
        <f>IF(NFI_Expiration=1,IF($A1160&lt;VLOOKUP(K$5,NFI,5,0),1,0)*Table_NFI[[#This Row],[Mosquito net]],Table_NFI[Mosquito net])</f>
        <v>0</v>
      </c>
      <c r="AC1160" s="378">
        <f>IF(NFI_Expiration=1,IF($A1160&lt;VLOOKUP(L$5,NFI,5,0),1,0)*Table_NFI[[#This Row],[Tarpaulin]],Table_NFI[[#This Row],[Tarpaulin]])</f>
        <v>0</v>
      </c>
      <c r="AD1160" s="378">
        <f>IF(NFI_Expiration=1,IF($A1160&lt;VLOOKUP(M$5,NFI,5,0),1,0)*Table_NFI[[#This Row],[Blanket]],Table_NFI[[#This Row],[Blanket]])</f>
        <v>0</v>
      </c>
      <c r="AE1160" s="378">
        <f>IF(NFI_Expiration=1,IF($A1160&lt;VLOOKUP(N$5,NFI,5,0),1,0)*Table_NFI[[#This Row],[Kitchen Set]],Table_NFI[Kitchen Set])</f>
        <v>0</v>
      </c>
      <c r="AF1160" s="378">
        <f>IF(NFI_Expiration=1,IF($A1160&lt;VLOOKUP(O$5,NFI,5,0),1,0)*Table_NFI[[#This Row],[Clothes Kit]],Table_NFI[Clothes Kit])</f>
        <v>0</v>
      </c>
      <c r="AG1160" s="378">
        <f>IF(NFI_Expiration=1,IF($A1160&lt;VLOOKUP(P$5,NFI,5,0),1,0)*Table_NFI[[#This Row],[Plastic Bucket]],Table_NFI[Plastic Bucket])</f>
        <v>0</v>
      </c>
      <c r="AH1160" s="378">
        <f>IF(NFI_Expiration=1,IF($A1160&lt;VLOOKUP(Q$5,NFI,5,0),1,0)*Table_NFI[[#This Row],[Plastic Mat]],Table_NFI[Plastic Mat])*IF(Table_NFI[[#This Row],[Distribution Date]]&gt;"2014-04-01",1,2.5)</f>
        <v>0</v>
      </c>
      <c r="AI1160" s="378">
        <f>IF(NFI_Expiration=1,IF($A1160&lt;VLOOKUP(R$5,NFI,5,0),1,0)*Table_NFI[[#This Row],[Winter Clothes Adult]],Table_NFI[Winter Clothes Adult])</f>
        <v>0</v>
      </c>
      <c r="AJ1160" s="378">
        <f>IF(NFI_Expiration=1,IF($A1160&lt;VLOOKUP(S$5,NFI,5,0),1,0)*Table_NFI[[#This Row],[Winter Clothes Children]],Table_NFI[Winter Clothes Children])</f>
        <v>0</v>
      </c>
      <c r="AK1160" s="378">
        <f>IF(NFI_Expiration=1,IF($A1160&lt;VLOOKUP(T$5,NFI,5,0),1,0)*Table_NFI[[#This Row],[Winter Items Other]],Table_NFI[Winter Items Other])</f>
        <v>0</v>
      </c>
      <c r="AL1160" s="378">
        <f>IF(NFI_Expiration=1,IF($A1160&lt;VLOOKUP(M$5,NFI,5,0),1,0)*Table_NFI[[#This Row],[Winter Blanket]],Table_NFI[[#This Row],[Winter Blanket]])</f>
        <v>0</v>
      </c>
      <c r="AM1160" s="378">
        <f>IF(Table_NFI[[#This Row],[Winter Clothes Adult]]+Table_NFI[[#This Row],[Winter Clothes Children]]+Table_NFI[[#This Row],[Winter Items Other]]+Table_NFI[[#This Row],[Winter Blanket]]&gt;0,1,0)</f>
        <v>0</v>
      </c>
      <c r="AN1160" s="418">
        <f>IF(NFI_Expiration=1,IF($A1160&lt;VLOOKUP(V$5,NFI,5,0),1,0)*Table_NFI[[#This Row],[Jerry Can]],Table_NFI[Jerry Can])</f>
        <v>0</v>
      </c>
      <c r="AO1160" s="579" t="str">
        <f>IFERROR(VLOOKUP(Table_NFI[[#This Row],[Camp Name]],CL,2,0),"")</f>
        <v/>
      </c>
      <c r="AP1160" s="574" t="str">
        <f ca="1">IF(Table_NFI[[#This Row],[Pcode]]="","",IF(OFFSET(CampList[Opening Date],MATCH(Table_NFI[[#This Row],[Pcode]],CampList[CP_Pcode],0)-1,0,1,1)&gt;=NFI_Monitor_Date,1,0))</f>
        <v/>
      </c>
      <c r="AQ1160" s="579" t="str">
        <f>IFERROR(VLOOKUP(Table_NFI[[#This Row],[Camp Name]],CL,3,0),"")</f>
        <v/>
      </c>
      <c r="AR1160" s="378" t="str">
        <f ca="1">IF(Table_NFI[[#This Row],[Pcode]]="","",OFFSET(CampList[Priority],MATCH(Table_NFI[[#This Row],[Pcode]],CampList[CP_Pcode],0)-1,0,1,1))</f>
        <v/>
      </c>
      <c r="AS1160" s="377" t="str">
        <f>IFERROR(Table_NFI[[#This Row],[Kitchen Set]]/VLOOKUP(Table_NFI[[#This Row],[Camp Name]],CL,4,0),"")</f>
        <v/>
      </c>
      <c r="AT1160" s="577"/>
      <c r="AU1160" s="580"/>
    </row>
    <row r="1161" spans="1:47" x14ac:dyDescent="0.25">
      <c r="A1161" s="381" t="str">
        <f t="shared" si="18"/>
        <v/>
      </c>
      <c r="B1161" s="571"/>
      <c r="C1161" s="577"/>
      <c r="D1161" s="577"/>
      <c r="E1161" s="577"/>
      <c r="F1161" s="577"/>
      <c r="G1161" s="577"/>
      <c r="H1161" s="376"/>
      <c r="I1161" s="376"/>
      <c r="J1161" s="376"/>
      <c r="K1161" s="376"/>
      <c r="L1161" s="376"/>
      <c r="M1161" s="376"/>
      <c r="N1161" s="376"/>
      <c r="O1161" s="376"/>
      <c r="P1161" s="378"/>
      <c r="Q1161" s="378"/>
      <c r="R1161" s="378"/>
      <c r="S1161" s="378"/>
      <c r="T1161" s="378"/>
      <c r="U1161" s="378"/>
      <c r="V1161" s="533"/>
      <c r="W1161" s="602"/>
      <c r="X1161" s="602"/>
      <c r="Y1161" s="378">
        <f>IF(NFI_Expiration=1,IF($A1161&lt;VLOOKUP(H$5,NFI,5,0),1,0)*Table_NFI[[#This Row],[Hygiene Kit]],Table_NFI[Hygiene Kit])</f>
        <v>0</v>
      </c>
      <c r="Z1161" s="378">
        <f>IF(NFI_Expiration=1,IF($A1161&lt;VLOOKUP(I$5,NFI,5,0),1,0)*Table_NFI[[#This Row],[NFI Core Kit]],Table_NFI[NFI Core Kit])</f>
        <v>0</v>
      </c>
      <c r="AA1161" s="378">
        <f>IF(NFI_Expiration=1,IF($A1161&lt;VLOOKUP(J$5,NFI,5,0),1,0)*Table_NFI[[#This Row],[Sanitary Kit]],Table_NFI[Sanitary Kit])</f>
        <v>0</v>
      </c>
      <c r="AB1161" s="378">
        <f>IF(NFI_Expiration=1,IF($A1161&lt;VLOOKUP(K$5,NFI,5,0),1,0)*Table_NFI[[#This Row],[Mosquito net]],Table_NFI[Mosquito net])</f>
        <v>0</v>
      </c>
      <c r="AC1161" s="378">
        <f>IF(NFI_Expiration=1,IF($A1161&lt;VLOOKUP(L$5,NFI,5,0),1,0)*Table_NFI[[#This Row],[Tarpaulin]],Table_NFI[[#This Row],[Tarpaulin]])</f>
        <v>0</v>
      </c>
      <c r="AD1161" s="378">
        <f>IF(NFI_Expiration=1,IF($A1161&lt;VLOOKUP(M$5,NFI,5,0),1,0)*Table_NFI[[#This Row],[Blanket]],Table_NFI[[#This Row],[Blanket]])</f>
        <v>0</v>
      </c>
      <c r="AE1161" s="378">
        <f>IF(NFI_Expiration=1,IF($A1161&lt;VLOOKUP(N$5,NFI,5,0),1,0)*Table_NFI[[#This Row],[Kitchen Set]],Table_NFI[Kitchen Set])</f>
        <v>0</v>
      </c>
      <c r="AF1161" s="378">
        <f>IF(NFI_Expiration=1,IF($A1161&lt;VLOOKUP(O$5,NFI,5,0),1,0)*Table_NFI[[#This Row],[Clothes Kit]],Table_NFI[Clothes Kit])</f>
        <v>0</v>
      </c>
      <c r="AG1161" s="378">
        <f>IF(NFI_Expiration=1,IF($A1161&lt;VLOOKUP(P$5,NFI,5,0),1,0)*Table_NFI[[#This Row],[Plastic Bucket]],Table_NFI[Plastic Bucket])</f>
        <v>0</v>
      </c>
      <c r="AH1161" s="378">
        <f>IF(NFI_Expiration=1,IF($A1161&lt;VLOOKUP(Q$5,NFI,5,0),1,0)*Table_NFI[[#This Row],[Plastic Mat]],Table_NFI[Plastic Mat])*IF(Table_NFI[[#This Row],[Distribution Date]]&gt;"2014-04-01",1,2.5)</f>
        <v>0</v>
      </c>
      <c r="AI1161" s="378">
        <f>IF(NFI_Expiration=1,IF($A1161&lt;VLOOKUP(R$5,NFI,5,0),1,0)*Table_NFI[[#This Row],[Winter Clothes Adult]],Table_NFI[Winter Clothes Adult])</f>
        <v>0</v>
      </c>
      <c r="AJ1161" s="378">
        <f>IF(NFI_Expiration=1,IF($A1161&lt;VLOOKUP(S$5,NFI,5,0),1,0)*Table_NFI[[#This Row],[Winter Clothes Children]],Table_NFI[Winter Clothes Children])</f>
        <v>0</v>
      </c>
      <c r="AK1161" s="378">
        <f>IF(NFI_Expiration=1,IF($A1161&lt;VLOOKUP(T$5,NFI,5,0),1,0)*Table_NFI[[#This Row],[Winter Items Other]],Table_NFI[Winter Items Other])</f>
        <v>0</v>
      </c>
      <c r="AL1161" s="378">
        <f>IF(NFI_Expiration=1,IF($A1161&lt;VLOOKUP(M$5,NFI,5,0),1,0)*Table_NFI[[#This Row],[Winter Blanket]],Table_NFI[[#This Row],[Winter Blanket]])</f>
        <v>0</v>
      </c>
      <c r="AM1161" s="378">
        <f>IF(Table_NFI[[#This Row],[Winter Clothes Adult]]+Table_NFI[[#This Row],[Winter Clothes Children]]+Table_NFI[[#This Row],[Winter Items Other]]+Table_NFI[[#This Row],[Winter Blanket]]&gt;0,1,0)</f>
        <v>0</v>
      </c>
      <c r="AN1161" s="418">
        <f>IF(NFI_Expiration=1,IF($A1161&lt;VLOOKUP(V$5,NFI,5,0),1,0)*Table_NFI[[#This Row],[Jerry Can]],Table_NFI[Jerry Can])</f>
        <v>0</v>
      </c>
      <c r="AO1161" s="579" t="str">
        <f>IFERROR(VLOOKUP(Table_NFI[[#This Row],[Camp Name]],CL,2,0),"")</f>
        <v/>
      </c>
      <c r="AP1161" s="574" t="str">
        <f ca="1">IF(Table_NFI[[#This Row],[Pcode]]="","",IF(OFFSET(CampList[Opening Date],MATCH(Table_NFI[[#This Row],[Pcode]],CampList[CP_Pcode],0)-1,0,1,1)&gt;=NFI_Monitor_Date,1,0))</f>
        <v/>
      </c>
      <c r="AQ1161" s="579" t="str">
        <f>IFERROR(VLOOKUP(Table_NFI[[#This Row],[Camp Name]],CL,3,0),"")</f>
        <v/>
      </c>
      <c r="AR1161" s="378" t="str">
        <f ca="1">IF(Table_NFI[[#This Row],[Pcode]]="","",OFFSET(CampList[Priority],MATCH(Table_NFI[[#This Row],[Pcode]],CampList[CP_Pcode],0)-1,0,1,1))</f>
        <v/>
      </c>
      <c r="AS1161" s="377" t="str">
        <f>IFERROR(Table_NFI[[#This Row],[Kitchen Set]]/VLOOKUP(Table_NFI[[#This Row],[Camp Name]],CL,4,0),"")</f>
        <v/>
      </c>
      <c r="AT1161" s="577"/>
      <c r="AU1161" s="580"/>
    </row>
    <row r="1162" spans="1:47" x14ac:dyDescent="0.25">
      <c r="A1162" s="381" t="str">
        <f t="shared" si="18"/>
        <v/>
      </c>
      <c r="B1162" s="571"/>
      <c r="C1162" s="577"/>
      <c r="D1162" s="577"/>
      <c r="E1162" s="577"/>
      <c r="F1162" s="577"/>
      <c r="G1162" s="577"/>
      <c r="H1162" s="376"/>
      <c r="I1162" s="376"/>
      <c r="J1162" s="376"/>
      <c r="K1162" s="376"/>
      <c r="L1162" s="376"/>
      <c r="M1162" s="376"/>
      <c r="N1162" s="376"/>
      <c r="O1162" s="376"/>
      <c r="P1162" s="378"/>
      <c r="Q1162" s="378"/>
      <c r="R1162" s="378"/>
      <c r="S1162" s="378"/>
      <c r="T1162" s="378"/>
      <c r="U1162" s="378"/>
      <c r="V1162" s="533"/>
      <c r="W1162" s="602"/>
      <c r="X1162" s="602"/>
      <c r="Y1162" s="378">
        <f>IF(NFI_Expiration=1,IF($A1162&lt;VLOOKUP(H$5,NFI,5,0),1,0)*Table_NFI[[#This Row],[Hygiene Kit]],Table_NFI[Hygiene Kit])</f>
        <v>0</v>
      </c>
      <c r="Z1162" s="378">
        <f>IF(NFI_Expiration=1,IF($A1162&lt;VLOOKUP(I$5,NFI,5,0),1,0)*Table_NFI[[#This Row],[NFI Core Kit]],Table_NFI[NFI Core Kit])</f>
        <v>0</v>
      </c>
      <c r="AA1162" s="378">
        <f>IF(NFI_Expiration=1,IF($A1162&lt;VLOOKUP(J$5,NFI,5,0),1,0)*Table_NFI[[#This Row],[Sanitary Kit]],Table_NFI[Sanitary Kit])</f>
        <v>0</v>
      </c>
      <c r="AB1162" s="378">
        <f>IF(NFI_Expiration=1,IF($A1162&lt;VLOOKUP(K$5,NFI,5,0),1,0)*Table_NFI[[#This Row],[Mosquito net]],Table_NFI[Mosquito net])</f>
        <v>0</v>
      </c>
      <c r="AC1162" s="378">
        <f>IF(NFI_Expiration=1,IF($A1162&lt;VLOOKUP(L$5,NFI,5,0),1,0)*Table_NFI[[#This Row],[Tarpaulin]],Table_NFI[[#This Row],[Tarpaulin]])</f>
        <v>0</v>
      </c>
      <c r="AD1162" s="378">
        <f>IF(NFI_Expiration=1,IF($A1162&lt;VLOOKUP(M$5,NFI,5,0),1,0)*Table_NFI[[#This Row],[Blanket]],Table_NFI[[#This Row],[Blanket]])</f>
        <v>0</v>
      </c>
      <c r="AE1162" s="378">
        <f>IF(NFI_Expiration=1,IF($A1162&lt;VLOOKUP(N$5,NFI,5,0),1,0)*Table_NFI[[#This Row],[Kitchen Set]],Table_NFI[Kitchen Set])</f>
        <v>0</v>
      </c>
      <c r="AF1162" s="378">
        <f>IF(NFI_Expiration=1,IF($A1162&lt;VLOOKUP(O$5,NFI,5,0),1,0)*Table_NFI[[#This Row],[Clothes Kit]],Table_NFI[Clothes Kit])</f>
        <v>0</v>
      </c>
      <c r="AG1162" s="378">
        <f>IF(NFI_Expiration=1,IF($A1162&lt;VLOOKUP(P$5,NFI,5,0),1,0)*Table_NFI[[#This Row],[Plastic Bucket]],Table_NFI[Plastic Bucket])</f>
        <v>0</v>
      </c>
      <c r="AH1162" s="378">
        <f>IF(NFI_Expiration=1,IF($A1162&lt;VLOOKUP(Q$5,NFI,5,0),1,0)*Table_NFI[[#This Row],[Plastic Mat]],Table_NFI[Plastic Mat])*IF(Table_NFI[[#This Row],[Distribution Date]]&gt;"2014-04-01",1,2.5)</f>
        <v>0</v>
      </c>
      <c r="AI1162" s="378">
        <f>IF(NFI_Expiration=1,IF($A1162&lt;VLOOKUP(R$5,NFI,5,0),1,0)*Table_NFI[[#This Row],[Winter Clothes Adult]],Table_NFI[Winter Clothes Adult])</f>
        <v>0</v>
      </c>
      <c r="AJ1162" s="378">
        <f>IF(NFI_Expiration=1,IF($A1162&lt;VLOOKUP(S$5,NFI,5,0),1,0)*Table_NFI[[#This Row],[Winter Clothes Children]],Table_NFI[Winter Clothes Children])</f>
        <v>0</v>
      </c>
      <c r="AK1162" s="378">
        <f>IF(NFI_Expiration=1,IF($A1162&lt;VLOOKUP(T$5,NFI,5,0),1,0)*Table_NFI[[#This Row],[Winter Items Other]],Table_NFI[Winter Items Other])</f>
        <v>0</v>
      </c>
      <c r="AL1162" s="378">
        <f>IF(NFI_Expiration=1,IF($A1162&lt;VLOOKUP(M$5,NFI,5,0),1,0)*Table_NFI[[#This Row],[Winter Blanket]],Table_NFI[[#This Row],[Winter Blanket]])</f>
        <v>0</v>
      </c>
      <c r="AM1162" s="378">
        <f>IF(Table_NFI[[#This Row],[Winter Clothes Adult]]+Table_NFI[[#This Row],[Winter Clothes Children]]+Table_NFI[[#This Row],[Winter Items Other]]+Table_NFI[[#This Row],[Winter Blanket]]&gt;0,1,0)</f>
        <v>0</v>
      </c>
      <c r="AN1162" s="418">
        <f>IF(NFI_Expiration=1,IF($A1162&lt;VLOOKUP(V$5,NFI,5,0),1,0)*Table_NFI[[#This Row],[Jerry Can]],Table_NFI[Jerry Can])</f>
        <v>0</v>
      </c>
      <c r="AO1162" s="579" t="str">
        <f>IFERROR(VLOOKUP(Table_NFI[[#This Row],[Camp Name]],CL,2,0),"")</f>
        <v/>
      </c>
      <c r="AP1162" s="574" t="str">
        <f ca="1">IF(Table_NFI[[#This Row],[Pcode]]="","",IF(OFFSET(CampList[Opening Date],MATCH(Table_NFI[[#This Row],[Pcode]],CampList[CP_Pcode],0)-1,0,1,1)&gt;=NFI_Monitor_Date,1,0))</f>
        <v/>
      </c>
      <c r="AQ1162" s="579" t="str">
        <f>IFERROR(VLOOKUP(Table_NFI[[#This Row],[Camp Name]],CL,3,0),"")</f>
        <v/>
      </c>
      <c r="AR1162" s="378" t="str">
        <f ca="1">IF(Table_NFI[[#This Row],[Pcode]]="","",OFFSET(CampList[Priority],MATCH(Table_NFI[[#This Row],[Pcode]],CampList[CP_Pcode],0)-1,0,1,1))</f>
        <v/>
      </c>
      <c r="AS1162" s="377" t="str">
        <f>IFERROR(Table_NFI[[#This Row],[Kitchen Set]]/VLOOKUP(Table_NFI[[#This Row],[Camp Name]],CL,4,0),"")</f>
        <v/>
      </c>
      <c r="AT1162" s="577"/>
      <c r="AU1162" s="580"/>
    </row>
    <row r="1163" spans="1:47" x14ac:dyDescent="0.25">
      <c r="A1163" s="381" t="str">
        <f t="shared" si="18"/>
        <v/>
      </c>
      <c r="B1163" s="571"/>
      <c r="C1163" s="577"/>
      <c r="D1163" s="577"/>
      <c r="E1163" s="577"/>
      <c r="F1163" s="577"/>
      <c r="G1163" s="577"/>
      <c r="H1163" s="376"/>
      <c r="I1163" s="376"/>
      <c r="J1163" s="376"/>
      <c r="K1163" s="376"/>
      <c r="L1163" s="376"/>
      <c r="M1163" s="376"/>
      <c r="N1163" s="376"/>
      <c r="O1163" s="376"/>
      <c r="P1163" s="378"/>
      <c r="Q1163" s="378"/>
      <c r="R1163" s="378"/>
      <c r="S1163" s="378"/>
      <c r="T1163" s="378"/>
      <c r="U1163" s="378"/>
      <c r="V1163" s="533"/>
      <c r="W1163" s="602"/>
      <c r="X1163" s="602"/>
      <c r="Y1163" s="378">
        <f>IF(NFI_Expiration=1,IF($A1163&lt;VLOOKUP(H$5,NFI,5,0),1,0)*Table_NFI[[#This Row],[Hygiene Kit]],Table_NFI[Hygiene Kit])</f>
        <v>0</v>
      </c>
      <c r="Z1163" s="378">
        <f>IF(NFI_Expiration=1,IF($A1163&lt;VLOOKUP(I$5,NFI,5,0),1,0)*Table_NFI[[#This Row],[NFI Core Kit]],Table_NFI[NFI Core Kit])</f>
        <v>0</v>
      </c>
      <c r="AA1163" s="378">
        <f>IF(NFI_Expiration=1,IF($A1163&lt;VLOOKUP(J$5,NFI,5,0),1,0)*Table_NFI[[#This Row],[Sanitary Kit]],Table_NFI[Sanitary Kit])</f>
        <v>0</v>
      </c>
      <c r="AB1163" s="378">
        <f>IF(NFI_Expiration=1,IF($A1163&lt;VLOOKUP(K$5,NFI,5,0),1,0)*Table_NFI[[#This Row],[Mosquito net]],Table_NFI[Mosquito net])</f>
        <v>0</v>
      </c>
      <c r="AC1163" s="378">
        <f>IF(NFI_Expiration=1,IF($A1163&lt;VLOOKUP(L$5,NFI,5,0),1,0)*Table_NFI[[#This Row],[Tarpaulin]],Table_NFI[[#This Row],[Tarpaulin]])</f>
        <v>0</v>
      </c>
      <c r="AD1163" s="378">
        <f>IF(NFI_Expiration=1,IF($A1163&lt;VLOOKUP(M$5,NFI,5,0),1,0)*Table_NFI[[#This Row],[Blanket]],Table_NFI[[#This Row],[Blanket]])</f>
        <v>0</v>
      </c>
      <c r="AE1163" s="378">
        <f>IF(NFI_Expiration=1,IF($A1163&lt;VLOOKUP(N$5,NFI,5,0),1,0)*Table_NFI[[#This Row],[Kitchen Set]],Table_NFI[Kitchen Set])</f>
        <v>0</v>
      </c>
      <c r="AF1163" s="378">
        <f>IF(NFI_Expiration=1,IF($A1163&lt;VLOOKUP(O$5,NFI,5,0),1,0)*Table_NFI[[#This Row],[Clothes Kit]],Table_NFI[Clothes Kit])</f>
        <v>0</v>
      </c>
      <c r="AG1163" s="378">
        <f>IF(NFI_Expiration=1,IF($A1163&lt;VLOOKUP(P$5,NFI,5,0),1,0)*Table_NFI[[#This Row],[Plastic Bucket]],Table_NFI[Plastic Bucket])</f>
        <v>0</v>
      </c>
      <c r="AH1163" s="378">
        <f>IF(NFI_Expiration=1,IF($A1163&lt;VLOOKUP(Q$5,NFI,5,0),1,0)*Table_NFI[[#This Row],[Plastic Mat]],Table_NFI[Plastic Mat])*IF(Table_NFI[[#This Row],[Distribution Date]]&gt;"2014-04-01",1,2.5)</f>
        <v>0</v>
      </c>
      <c r="AI1163" s="378">
        <f>IF(NFI_Expiration=1,IF($A1163&lt;VLOOKUP(R$5,NFI,5,0),1,0)*Table_NFI[[#This Row],[Winter Clothes Adult]],Table_NFI[Winter Clothes Adult])</f>
        <v>0</v>
      </c>
      <c r="AJ1163" s="378">
        <f>IF(NFI_Expiration=1,IF($A1163&lt;VLOOKUP(S$5,NFI,5,0),1,0)*Table_NFI[[#This Row],[Winter Clothes Children]],Table_NFI[Winter Clothes Children])</f>
        <v>0</v>
      </c>
      <c r="AK1163" s="378">
        <f>IF(NFI_Expiration=1,IF($A1163&lt;VLOOKUP(T$5,NFI,5,0),1,0)*Table_NFI[[#This Row],[Winter Items Other]],Table_NFI[Winter Items Other])</f>
        <v>0</v>
      </c>
      <c r="AL1163" s="378">
        <f>IF(NFI_Expiration=1,IF($A1163&lt;VLOOKUP(M$5,NFI,5,0),1,0)*Table_NFI[[#This Row],[Winter Blanket]],Table_NFI[[#This Row],[Winter Blanket]])</f>
        <v>0</v>
      </c>
      <c r="AM1163" s="378">
        <f>IF(Table_NFI[[#This Row],[Winter Clothes Adult]]+Table_NFI[[#This Row],[Winter Clothes Children]]+Table_NFI[[#This Row],[Winter Items Other]]+Table_NFI[[#This Row],[Winter Blanket]]&gt;0,1,0)</f>
        <v>0</v>
      </c>
      <c r="AN1163" s="418">
        <f>IF(NFI_Expiration=1,IF($A1163&lt;VLOOKUP(V$5,NFI,5,0),1,0)*Table_NFI[[#This Row],[Jerry Can]],Table_NFI[Jerry Can])</f>
        <v>0</v>
      </c>
      <c r="AO1163" s="579" t="str">
        <f>IFERROR(VLOOKUP(Table_NFI[[#This Row],[Camp Name]],CL,2,0),"")</f>
        <v/>
      </c>
      <c r="AP1163" s="574" t="str">
        <f ca="1">IF(Table_NFI[[#This Row],[Pcode]]="","",IF(OFFSET(CampList[Opening Date],MATCH(Table_NFI[[#This Row],[Pcode]],CampList[CP_Pcode],0)-1,0,1,1)&gt;=NFI_Monitor_Date,1,0))</f>
        <v/>
      </c>
      <c r="AQ1163" s="579" t="str">
        <f>IFERROR(VLOOKUP(Table_NFI[[#This Row],[Camp Name]],CL,3,0),"")</f>
        <v/>
      </c>
      <c r="AR1163" s="378" t="str">
        <f ca="1">IF(Table_NFI[[#This Row],[Pcode]]="","",OFFSET(CampList[Priority],MATCH(Table_NFI[[#This Row],[Pcode]],CampList[CP_Pcode],0)-1,0,1,1))</f>
        <v/>
      </c>
      <c r="AS1163" s="377" t="str">
        <f>IFERROR(Table_NFI[[#This Row],[Kitchen Set]]/VLOOKUP(Table_NFI[[#This Row],[Camp Name]],CL,4,0),"")</f>
        <v/>
      </c>
      <c r="AT1163" s="577"/>
      <c r="AU1163" s="580"/>
    </row>
    <row r="1164" spans="1:47" x14ac:dyDescent="0.25">
      <c r="A1164" s="381" t="str">
        <f t="shared" si="18"/>
        <v/>
      </c>
      <c r="B1164" s="571"/>
      <c r="C1164" s="577"/>
      <c r="D1164" s="577"/>
      <c r="E1164" s="577"/>
      <c r="F1164" s="577"/>
      <c r="G1164" s="577"/>
      <c r="H1164" s="376"/>
      <c r="I1164" s="376"/>
      <c r="J1164" s="376"/>
      <c r="K1164" s="376"/>
      <c r="L1164" s="376"/>
      <c r="M1164" s="376"/>
      <c r="N1164" s="376"/>
      <c r="O1164" s="376"/>
      <c r="P1164" s="378"/>
      <c r="Q1164" s="378"/>
      <c r="R1164" s="378"/>
      <c r="S1164" s="378"/>
      <c r="T1164" s="378"/>
      <c r="U1164" s="378"/>
      <c r="V1164" s="533"/>
      <c r="W1164" s="602"/>
      <c r="X1164" s="602"/>
      <c r="Y1164" s="378">
        <f>IF(NFI_Expiration=1,IF($A1164&lt;VLOOKUP(H$5,NFI,5,0),1,0)*Table_NFI[[#This Row],[Hygiene Kit]],Table_NFI[Hygiene Kit])</f>
        <v>0</v>
      </c>
      <c r="Z1164" s="378">
        <f>IF(NFI_Expiration=1,IF($A1164&lt;VLOOKUP(I$5,NFI,5,0),1,0)*Table_NFI[[#This Row],[NFI Core Kit]],Table_NFI[NFI Core Kit])</f>
        <v>0</v>
      </c>
      <c r="AA1164" s="378">
        <f>IF(NFI_Expiration=1,IF($A1164&lt;VLOOKUP(J$5,NFI,5,0),1,0)*Table_NFI[[#This Row],[Sanitary Kit]],Table_NFI[Sanitary Kit])</f>
        <v>0</v>
      </c>
      <c r="AB1164" s="378">
        <f>IF(NFI_Expiration=1,IF($A1164&lt;VLOOKUP(K$5,NFI,5,0),1,0)*Table_NFI[[#This Row],[Mosquito net]],Table_NFI[Mosquito net])</f>
        <v>0</v>
      </c>
      <c r="AC1164" s="378">
        <f>IF(NFI_Expiration=1,IF($A1164&lt;VLOOKUP(L$5,NFI,5,0),1,0)*Table_NFI[[#This Row],[Tarpaulin]],Table_NFI[[#This Row],[Tarpaulin]])</f>
        <v>0</v>
      </c>
      <c r="AD1164" s="378">
        <f>IF(NFI_Expiration=1,IF($A1164&lt;VLOOKUP(M$5,NFI,5,0),1,0)*Table_NFI[[#This Row],[Blanket]],Table_NFI[[#This Row],[Blanket]])</f>
        <v>0</v>
      </c>
      <c r="AE1164" s="378">
        <f>IF(NFI_Expiration=1,IF($A1164&lt;VLOOKUP(N$5,NFI,5,0),1,0)*Table_NFI[[#This Row],[Kitchen Set]],Table_NFI[Kitchen Set])</f>
        <v>0</v>
      </c>
      <c r="AF1164" s="378">
        <f>IF(NFI_Expiration=1,IF($A1164&lt;VLOOKUP(O$5,NFI,5,0),1,0)*Table_NFI[[#This Row],[Clothes Kit]],Table_NFI[Clothes Kit])</f>
        <v>0</v>
      </c>
      <c r="AG1164" s="378">
        <f>IF(NFI_Expiration=1,IF($A1164&lt;VLOOKUP(P$5,NFI,5,0),1,0)*Table_NFI[[#This Row],[Plastic Bucket]],Table_NFI[Plastic Bucket])</f>
        <v>0</v>
      </c>
      <c r="AH1164" s="378">
        <f>IF(NFI_Expiration=1,IF($A1164&lt;VLOOKUP(Q$5,NFI,5,0),1,0)*Table_NFI[[#This Row],[Plastic Mat]],Table_NFI[Plastic Mat])*IF(Table_NFI[[#This Row],[Distribution Date]]&gt;"2014-04-01",1,2.5)</f>
        <v>0</v>
      </c>
      <c r="AI1164" s="378">
        <f>IF(NFI_Expiration=1,IF($A1164&lt;VLOOKUP(R$5,NFI,5,0),1,0)*Table_NFI[[#This Row],[Winter Clothes Adult]],Table_NFI[Winter Clothes Adult])</f>
        <v>0</v>
      </c>
      <c r="AJ1164" s="378">
        <f>IF(NFI_Expiration=1,IF($A1164&lt;VLOOKUP(S$5,NFI,5,0),1,0)*Table_NFI[[#This Row],[Winter Clothes Children]],Table_NFI[Winter Clothes Children])</f>
        <v>0</v>
      </c>
      <c r="AK1164" s="378">
        <f>IF(NFI_Expiration=1,IF($A1164&lt;VLOOKUP(T$5,NFI,5,0),1,0)*Table_NFI[[#This Row],[Winter Items Other]],Table_NFI[Winter Items Other])</f>
        <v>0</v>
      </c>
      <c r="AL1164" s="378">
        <f>IF(NFI_Expiration=1,IF($A1164&lt;VLOOKUP(M$5,NFI,5,0),1,0)*Table_NFI[[#This Row],[Winter Blanket]],Table_NFI[[#This Row],[Winter Blanket]])</f>
        <v>0</v>
      </c>
      <c r="AM1164" s="378">
        <f>IF(Table_NFI[[#This Row],[Winter Clothes Adult]]+Table_NFI[[#This Row],[Winter Clothes Children]]+Table_NFI[[#This Row],[Winter Items Other]]+Table_NFI[[#This Row],[Winter Blanket]]&gt;0,1,0)</f>
        <v>0</v>
      </c>
      <c r="AN1164" s="418">
        <f>IF(NFI_Expiration=1,IF($A1164&lt;VLOOKUP(V$5,NFI,5,0),1,0)*Table_NFI[[#This Row],[Jerry Can]],Table_NFI[Jerry Can])</f>
        <v>0</v>
      </c>
      <c r="AO1164" s="579" t="str">
        <f>IFERROR(VLOOKUP(Table_NFI[[#This Row],[Camp Name]],CL,2,0),"")</f>
        <v/>
      </c>
      <c r="AP1164" s="574" t="str">
        <f ca="1">IF(Table_NFI[[#This Row],[Pcode]]="","",IF(OFFSET(CampList[Opening Date],MATCH(Table_NFI[[#This Row],[Pcode]],CampList[CP_Pcode],0)-1,0,1,1)&gt;=NFI_Monitor_Date,1,0))</f>
        <v/>
      </c>
      <c r="AQ1164" s="579" t="str">
        <f>IFERROR(VLOOKUP(Table_NFI[[#This Row],[Camp Name]],CL,3,0),"")</f>
        <v/>
      </c>
      <c r="AR1164" s="378" t="str">
        <f ca="1">IF(Table_NFI[[#This Row],[Pcode]]="","",OFFSET(CampList[Priority],MATCH(Table_NFI[[#This Row],[Pcode]],CampList[CP_Pcode],0)-1,0,1,1))</f>
        <v/>
      </c>
      <c r="AS1164" s="377" t="str">
        <f>IFERROR(Table_NFI[[#This Row],[Kitchen Set]]/VLOOKUP(Table_NFI[[#This Row],[Camp Name]],CL,4,0),"")</f>
        <v/>
      </c>
      <c r="AT1164" s="577"/>
      <c r="AU1164" s="580"/>
    </row>
    <row r="1165" spans="1:47" x14ac:dyDescent="0.25">
      <c r="A1165" s="381" t="str">
        <f t="shared" si="18"/>
        <v/>
      </c>
      <c r="B1165" s="571"/>
      <c r="C1165" s="577"/>
      <c r="D1165" s="577"/>
      <c r="E1165" s="577"/>
      <c r="F1165" s="577"/>
      <c r="G1165" s="577"/>
      <c r="H1165" s="376"/>
      <c r="I1165" s="376"/>
      <c r="J1165" s="376"/>
      <c r="K1165" s="376"/>
      <c r="L1165" s="376"/>
      <c r="M1165" s="376"/>
      <c r="N1165" s="376"/>
      <c r="O1165" s="376"/>
      <c r="P1165" s="378"/>
      <c r="Q1165" s="378"/>
      <c r="R1165" s="378"/>
      <c r="S1165" s="378"/>
      <c r="T1165" s="378"/>
      <c r="U1165" s="378"/>
      <c r="V1165" s="533"/>
      <c r="W1165" s="602"/>
      <c r="X1165" s="602"/>
      <c r="Y1165" s="378">
        <f>IF(NFI_Expiration=1,IF($A1165&lt;VLOOKUP(H$5,NFI,5,0),1,0)*Table_NFI[[#This Row],[Hygiene Kit]],Table_NFI[Hygiene Kit])</f>
        <v>0</v>
      </c>
      <c r="Z1165" s="378">
        <f>IF(NFI_Expiration=1,IF($A1165&lt;VLOOKUP(I$5,NFI,5,0),1,0)*Table_NFI[[#This Row],[NFI Core Kit]],Table_NFI[NFI Core Kit])</f>
        <v>0</v>
      </c>
      <c r="AA1165" s="378">
        <f>IF(NFI_Expiration=1,IF($A1165&lt;VLOOKUP(J$5,NFI,5,0),1,0)*Table_NFI[[#This Row],[Sanitary Kit]],Table_NFI[Sanitary Kit])</f>
        <v>0</v>
      </c>
      <c r="AB1165" s="378">
        <f>IF(NFI_Expiration=1,IF($A1165&lt;VLOOKUP(K$5,NFI,5,0),1,0)*Table_NFI[[#This Row],[Mosquito net]],Table_NFI[Mosquito net])</f>
        <v>0</v>
      </c>
      <c r="AC1165" s="378">
        <f>IF(NFI_Expiration=1,IF($A1165&lt;VLOOKUP(L$5,NFI,5,0),1,0)*Table_NFI[[#This Row],[Tarpaulin]],Table_NFI[[#This Row],[Tarpaulin]])</f>
        <v>0</v>
      </c>
      <c r="AD1165" s="378">
        <f>IF(NFI_Expiration=1,IF($A1165&lt;VLOOKUP(M$5,NFI,5,0),1,0)*Table_NFI[[#This Row],[Blanket]],Table_NFI[[#This Row],[Blanket]])</f>
        <v>0</v>
      </c>
      <c r="AE1165" s="378">
        <f>IF(NFI_Expiration=1,IF($A1165&lt;VLOOKUP(N$5,NFI,5,0),1,0)*Table_NFI[[#This Row],[Kitchen Set]],Table_NFI[Kitchen Set])</f>
        <v>0</v>
      </c>
      <c r="AF1165" s="378">
        <f>IF(NFI_Expiration=1,IF($A1165&lt;VLOOKUP(O$5,NFI,5,0),1,0)*Table_NFI[[#This Row],[Clothes Kit]],Table_NFI[Clothes Kit])</f>
        <v>0</v>
      </c>
      <c r="AG1165" s="378">
        <f>IF(NFI_Expiration=1,IF($A1165&lt;VLOOKUP(P$5,NFI,5,0),1,0)*Table_NFI[[#This Row],[Plastic Bucket]],Table_NFI[Plastic Bucket])</f>
        <v>0</v>
      </c>
      <c r="AH1165" s="378">
        <f>IF(NFI_Expiration=1,IF($A1165&lt;VLOOKUP(Q$5,NFI,5,0),1,0)*Table_NFI[[#This Row],[Plastic Mat]],Table_NFI[Plastic Mat])*IF(Table_NFI[[#This Row],[Distribution Date]]&gt;"2014-04-01",1,2.5)</f>
        <v>0</v>
      </c>
      <c r="AI1165" s="378">
        <f>IF(NFI_Expiration=1,IF($A1165&lt;VLOOKUP(R$5,NFI,5,0),1,0)*Table_NFI[[#This Row],[Winter Clothes Adult]],Table_NFI[Winter Clothes Adult])</f>
        <v>0</v>
      </c>
      <c r="AJ1165" s="378">
        <f>IF(NFI_Expiration=1,IF($A1165&lt;VLOOKUP(S$5,NFI,5,0),1,0)*Table_NFI[[#This Row],[Winter Clothes Children]],Table_NFI[Winter Clothes Children])</f>
        <v>0</v>
      </c>
      <c r="AK1165" s="378">
        <f>IF(NFI_Expiration=1,IF($A1165&lt;VLOOKUP(T$5,NFI,5,0),1,0)*Table_NFI[[#This Row],[Winter Items Other]],Table_NFI[Winter Items Other])</f>
        <v>0</v>
      </c>
      <c r="AL1165" s="378">
        <f>IF(NFI_Expiration=1,IF($A1165&lt;VLOOKUP(M$5,NFI,5,0),1,0)*Table_NFI[[#This Row],[Winter Blanket]],Table_NFI[[#This Row],[Winter Blanket]])</f>
        <v>0</v>
      </c>
      <c r="AM1165" s="378">
        <f>IF(Table_NFI[[#This Row],[Winter Clothes Adult]]+Table_NFI[[#This Row],[Winter Clothes Children]]+Table_NFI[[#This Row],[Winter Items Other]]+Table_NFI[[#This Row],[Winter Blanket]]&gt;0,1,0)</f>
        <v>0</v>
      </c>
      <c r="AN1165" s="418">
        <f>IF(NFI_Expiration=1,IF($A1165&lt;VLOOKUP(V$5,NFI,5,0),1,0)*Table_NFI[[#This Row],[Jerry Can]],Table_NFI[Jerry Can])</f>
        <v>0</v>
      </c>
      <c r="AO1165" s="579" t="str">
        <f>IFERROR(VLOOKUP(Table_NFI[[#This Row],[Camp Name]],CL,2,0),"")</f>
        <v/>
      </c>
      <c r="AP1165" s="574" t="str">
        <f ca="1">IF(Table_NFI[[#This Row],[Pcode]]="","",IF(OFFSET(CampList[Opening Date],MATCH(Table_NFI[[#This Row],[Pcode]],CampList[CP_Pcode],0)-1,0,1,1)&gt;=NFI_Monitor_Date,1,0))</f>
        <v/>
      </c>
      <c r="AQ1165" s="579" t="str">
        <f>IFERROR(VLOOKUP(Table_NFI[[#This Row],[Camp Name]],CL,3,0),"")</f>
        <v/>
      </c>
      <c r="AR1165" s="378" t="str">
        <f ca="1">IF(Table_NFI[[#This Row],[Pcode]]="","",OFFSET(CampList[Priority],MATCH(Table_NFI[[#This Row],[Pcode]],CampList[CP_Pcode],0)-1,0,1,1))</f>
        <v/>
      </c>
      <c r="AS1165" s="377" t="str">
        <f>IFERROR(Table_NFI[[#This Row],[Kitchen Set]]/VLOOKUP(Table_NFI[[#This Row],[Camp Name]],CL,4,0),"")</f>
        <v/>
      </c>
      <c r="AT1165" s="577"/>
      <c r="AU1165" s="580"/>
    </row>
    <row r="1166" spans="1:47" x14ac:dyDescent="0.25">
      <c r="A1166" s="381" t="str">
        <f t="shared" si="18"/>
        <v/>
      </c>
      <c r="B1166" s="571"/>
      <c r="C1166" s="577"/>
      <c r="D1166" s="577"/>
      <c r="E1166" s="577"/>
      <c r="F1166" s="577"/>
      <c r="G1166" s="577"/>
      <c r="H1166" s="376"/>
      <c r="I1166" s="376"/>
      <c r="J1166" s="376"/>
      <c r="K1166" s="376"/>
      <c r="L1166" s="376"/>
      <c r="M1166" s="376"/>
      <c r="N1166" s="376"/>
      <c r="O1166" s="376"/>
      <c r="P1166" s="378"/>
      <c r="Q1166" s="378"/>
      <c r="R1166" s="378"/>
      <c r="S1166" s="378"/>
      <c r="T1166" s="378"/>
      <c r="U1166" s="378"/>
      <c r="V1166" s="533"/>
      <c r="W1166" s="602"/>
      <c r="X1166" s="602"/>
      <c r="Y1166" s="378">
        <f>IF(NFI_Expiration=1,IF($A1166&lt;VLOOKUP(H$5,NFI,5,0),1,0)*Table_NFI[[#This Row],[Hygiene Kit]],Table_NFI[Hygiene Kit])</f>
        <v>0</v>
      </c>
      <c r="Z1166" s="378">
        <f>IF(NFI_Expiration=1,IF($A1166&lt;VLOOKUP(I$5,NFI,5,0),1,0)*Table_NFI[[#This Row],[NFI Core Kit]],Table_NFI[NFI Core Kit])</f>
        <v>0</v>
      </c>
      <c r="AA1166" s="378">
        <f>IF(NFI_Expiration=1,IF($A1166&lt;VLOOKUP(J$5,NFI,5,0),1,0)*Table_NFI[[#This Row],[Sanitary Kit]],Table_NFI[Sanitary Kit])</f>
        <v>0</v>
      </c>
      <c r="AB1166" s="378">
        <f>IF(NFI_Expiration=1,IF($A1166&lt;VLOOKUP(K$5,NFI,5,0),1,0)*Table_NFI[[#This Row],[Mosquito net]],Table_NFI[Mosquito net])</f>
        <v>0</v>
      </c>
      <c r="AC1166" s="378">
        <f>IF(NFI_Expiration=1,IF($A1166&lt;VLOOKUP(L$5,NFI,5,0),1,0)*Table_NFI[[#This Row],[Tarpaulin]],Table_NFI[[#This Row],[Tarpaulin]])</f>
        <v>0</v>
      </c>
      <c r="AD1166" s="378">
        <f>IF(NFI_Expiration=1,IF($A1166&lt;VLOOKUP(M$5,NFI,5,0),1,0)*Table_NFI[[#This Row],[Blanket]],Table_NFI[[#This Row],[Blanket]])</f>
        <v>0</v>
      </c>
      <c r="AE1166" s="378">
        <f>IF(NFI_Expiration=1,IF($A1166&lt;VLOOKUP(N$5,NFI,5,0),1,0)*Table_NFI[[#This Row],[Kitchen Set]],Table_NFI[Kitchen Set])</f>
        <v>0</v>
      </c>
      <c r="AF1166" s="378">
        <f>IF(NFI_Expiration=1,IF($A1166&lt;VLOOKUP(O$5,NFI,5,0),1,0)*Table_NFI[[#This Row],[Clothes Kit]],Table_NFI[Clothes Kit])</f>
        <v>0</v>
      </c>
      <c r="AG1166" s="378">
        <f>IF(NFI_Expiration=1,IF($A1166&lt;VLOOKUP(P$5,NFI,5,0),1,0)*Table_NFI[[#This Row],[Plastic Bucket]],Table_NFI[Plastic Bucket])</f>
        <v>0</v>
      </c>
      <c r="AH1166" s="378">
        <f>IF(NFI_Expiration=1,IF($A1166&lt;VLOOKUP(Q$5,NFI,5,0),1,0)*Table_NFI[[#This Row],[Plastic Mat]],Table_NFI[Plastic Mat])*IF(Table_NFI[[#This Row],[Distribution Date]]&gt;"2014-04-01",1,2.5)</f>
        <v>0</v>
      </c>
      <c r="AI1166" s="378">
        <f>IF(NFI_Expiration=1,IF($A1166&lt;VLOOKUP(R$5,NFI,5,0),1,0)*Table_NFI[[#This Row],[Winter Clothes Adult]],Table_NFI[Winter Clothes Adult])</f>
        <v>0</v>
      </c>
      <c r="AJ1166" s="378">
        <f>IF(NFI_Expiration=1,IF($A1166&lt;VLOOKUP(S$5,NFI,5,0),1,0)*Table_NFI[[#This Row],[Winter Clothes Children]],Table_NFI[Winter Clothes Children])</f>
        <v>0</v>
      </c>
      <c r="AK1166" s="378">
        <f>IF(NFI_Expiration=1,IF($A1166&lt;VLOOKUP(T$5,NFI,5,0),1,0)*Table_NFI[[#This Row],[Winter Items Other]],Table_NFI[Winter Items Other])</f>
        <v>0</v>
      </c>
      <c r="AL1166" s="378">
        <f>IF(NFI_Expiration=1,IF($A1166&lt;VLOOKUP(M$5,NFI,5,0),1,0)*Table_NFI[[#This Row],[Winter Blanket]],Table_NFI[[#This Row],[Winter Blanket]])</f>
        <v>0</v>
      </c>
      <c r="AM1166" s="378">
        <f>IF(Table_NFI[[#This Row],[Winter Clothes Adult]]+Table_NFI[[#This Row],[Winter Clothes Children]]+Table_NFI[[#This Row],[Winter Items Other]]+Table_NFI[[#This Row],[Winter Blanket]]&gt;0,1,0)</f>
        <v>0</v>
      </c>
      <c r="AN1166" s="418">
        <f>IF(NFI_Expiration=1,IF($A1166&lt;VLOOKUP(V$5,NFI,5,0),1,0)*Table_NFI[[#This Row],[Jerry Can]],Table_NFI[Jerry Can])</f>
        <v>0</v>
      </c>
      <c r="AO1166" s="579" t="str">
        <f>IFERROR(VLOOKUP(Table_NFI[[#This Row],[Camp Name]],CL,2,0),"")</f>
        <v/>
      </c>
      <c r="AP1166" s="574" t="str">
        <f ca="1">IF(Table_NFI[[#This Row],[Pcode]]="","",IF(OFFSET(CampList[Opening Date],MATCH(Table_NFI[[#This Row],[Pcode]],CampList[CP_Pcode],0)-1,0,1,1)&gt;=NFI_Monitor_Date,1,0))</f>
        <v/>
      </c>
      <c r="AQ1166" s="579" t="str">
        <f>IFERROR(VLOOKUP(Table_NFI[[#This Row],[Camp Name]],CL,3,0),"")</f>
        <v/>
      </c>
      <c r="AR1166" s="378" t="str">
        <f ca="1">IF(Table_NFI[[#This Row],[Pcode]]="","",OFFSET(CampList[Priority],MATCH(Table_NFI[[#This Row],[Pcode]],CampList[CP_Pcode],0)-1,0,1,1))</f>
        <v/>
      </c>
      <c r="AS1166" s="377" t="str">
        <f>IFERROR(Table_NFI[[#This Row],[Kitchen Set]]/VLOOKUP(Table_NFI[[#This Row],[Camp Name]],CL,4,0),"")</f>
        <v/>
      </c>
      <c r="AT1166" s="577"/>
      <c r="AU1166" s="580"/>
    </row>
    <row r="1167" spans="1:47" x14ac:dyDescent="0.25">
      <c r="A1167" s="381" t="str">
        <f t="shared" si="18"/>
        <v/>
      </c>
      <c r="B1167" s="571"/>
      <c r="C1167" s="577"/>
      <c r="D1167" s="577"/>
      <c r="E1167" s="577"/>
      <c r="F1167" s="577"/>
      <c r="G1167" s="577"/>
      <c r="H1167" s="376"/>
      <c r="I1167" s="376"/>
      <c r="J1167" s="376"/>
      <c r="K1167" s="376"/>
      <c r="L1167" s="376"/>
      <c r="M1167" s="376"/>
      <c r="N1167" s="376"/>
      <c r="O1167" s="376"/>
      <c r="P1167" s="378"/>
      <c r="Q1167" s="378"/>
      <c r="R1167" s="378"/>
      <c r="S1167" s="378"/>
      <c r="T1167" s="378"/>
      <c r="U1167" s="378"/>
      <c r="V1167" s="533"/>
      <c r="W1167" s="602"/>
      <c r="X1167" s="602"/>
      <c r="Y1167" s="378">
        <f>IF(NFI_Expiration=1,IF($A1167&lt;VLOOKUP(H$5,NFI,5,0),1,0)*Table_NFI[[#This Row],[Hygiene Kit]],Table_NFI[Hygiene Kit])</f>
        <v>0</v>
      </c>
      <c r="Z1167" s="378">
        <f>IF(NFI_Expiration=1,IF($A1167&lt;VLOOKUP(I$5,NFI,5,0),1,0)*Table_NFI[[#This Row],[NFI Core Kit]],Table_NFI[NFI Core Kit])</f>
        <v>0</v>
      </c>
      <c r="AA1167" s="378">
        <f>IF(NFI_Expiration=1,IF($A1167&lt;VLOOKUP(J$5,NFI,5,0),1,0)*Table_NFI[[#This Row],[Sanitary Kit]],Table_NFI[Sanitary Kit])</f>
        <v>0</v>
      </c>
      <c r="AB1167" s="378">
        <f>IF(NFI_Expiration=1,IF($A1167&lt;VLOOKUP(K$5,NFI,5,0),1,0)*Table_NFI[[#This Row],[Mosquito net]],Table_NFI[Mosquito net])</f>
        <v>0</v>
      </c>
      <c r="AC1167" s="378">
        <f>IF(NFI_Expiration=1,IF($A1167&lt;VLOOKUP(L$5,NFI,5,0),1,0)*Table_NFI[[#This Row],[Tarpaulin]],Table_NFI[[#This Row],[Tarpaulin]])</f>
        <v>0</v>
      </c>
      <c r="AD1167" s="378">
        <f>IF(NFI_Expiration=1,IF($A1167&lt;VLOOKUP(M$5,NFI,5,0),1,0)*Table_NFI[[#This Row],[Blanket]],Table_NFI[[#This Row],[Blanket]])</f>
        <v>0</v>
      </c>
      <c r="AE1167" s="378">
        <f>IF(NFI_Expiration=1,IF($A1167&lt;VLOOKUP(N$5,NFI,5,0),1,0)*Table_NFI[[#This Row],[Kitchen Set]],Table_NFI[Kitchen Set])</f>
        <v>0</v>
      </c>
      <c r="AF1167" s="378">
        <f>IF(NFI_Expiration=1,IF($A1167&lt;VLOOKUP(O$5,NFI,5,0),1,0)*Table_NFI[[#This Row],[Clothes Kit]],Table_NFI[Clothes Kit])</f>
        <v>0</v>
      </c>
      <c r="AG1167" s="378">
        <f>IF(NFI_Expiration=1,IF($A1167&lt;VLOOKUP(P$5,NFI,5,0),1,0)*Table_NFI[[#This Row],[Plastic Bucket]],Table_NFI[Plastic Bucket])</f>
        <v>0</v>
      </c>
      <c r="AH1167" s="378">
        <f>IF(NFI_Expiration=1,IF($A1167&lt;VLOOKUP(Q$5,NFI,5,0),1,0)*Table_NFI[[#This Row],[Plastic Mat]],Table_NFI[Plastic Mat])*IF(Table_NFI[[#This Row],[Distribution Date]]&gt;"2014-04-01",1,2.5)</f>
        <v>0</v>
      </c>
      <c r="AI1167" s="378">
        <f>IF(NFI_Expiration=1,IF($A1167&lt;VLOOKUP(R$5,NFI,5,0),1,0)*Table_NFI[[#This Row],[Winter Clothes Adult]],Table_NFI[Winter Clothes Adult])</f>
        <v>0</v>
      </c>
      <c r="AJ1167" s="378">
        <f>IF(NFI_Expiration=1,IF($A1167&lt;VLOOKUP(S$5,NFI,5,0),1,0)*Table_NFI[[#This Row],[Winter Clothes Children]],Table_NFI[Winter Clothes Children])</f>
        <v>0</v>
      </c>
      <c r="AK1167" s="378">
        <f>IF(NFI_Expiration=1,IF($A1167&lt;VLOOKUP(T$5,NFI,5,0),1,0)*Table_NFI[[#This Row],[Winter Items Other]],Table_NFI[Winter Items Other])</f>
        <v>0</v>
      </c>
      <c r="AL1167" s="378">
        <f>IF(NFI_Expiration=1,IF($A1167&lt;VLOOKUP(M$5,NFI,5,0),1,0)*Table_NFI[[#This Row],[Winter Blanket]],Table_NFI[[#This Row],[Winter Blanket]])</f>
        <v>0</v>
      </c>
      <c r="AM1167" s="378">
        <f>IF(Table_NFI[[#This Row],[Winter Clothes Adult]]+Table_NFI[[#This Row],[Winter Clothes Children]]+Table_NFI[[#This Row],[Winter Items Other]]+Table_NFI[[#This Row],[Winter Blanket]]&gt;0,1,0)</f>
        <v>0</v>
      </c>
      <c r="AN1167" s="418">
        <f>IF(NFI_Expiration=1,IF($A1167&lt;VLOOKUP(V$5,NFI,5,0),1,0)*Table_NFI[[#This Row],[Jerry Can]],Table_NFI[Jerry Can])</f>
        <v>0</v>
      </c>
      <c r="AO1167" s="579" t="str">
        <f>IFERROR(VLOOKUP(Table_NFI[[#This Row],[Camp Name]],CL,2,0),"")</f>
        <v/>
      </c>
      <c r="AP1167" s="574" t="str">
        <f ca="1">IF(Table_NFI[[#This Row],[Pcode]]="","",IF(OFFSET(CampList[Opening Date],MATCH(Table_NFI[[#This Row],[Pcode]],CampList[CP_Pcode],0)-1,0,1,1)&gt;=NFI_Monitor_Date,1,0))</f>
        <v/>
      </c>
      <c r="AQ1167" s="579" t="str">
        <f>IFERROR(VLOOKUP(Table_NFI[[#This Row],[Camp Name]],CL,3,0),"")</f>
        <v/>
      </c>
      <c r="AR1167" s="378" t="str">
        <f ca="1">IF(Table_NFI[[#This Row],[Pcode]]="","",OFFSET(CampList[Priority],MATCH(Table_NFI[[#This Row],[Pcode]],CampList[CP_Pcode],0)-1,0,1,1))</f>
        <v/>
      </c>
      <c r="AS1167" s="377" t="str">
        <f>IFERROR(Table_NFI[[#This Row],[Kitchen Set]]/VLOOKUP(Table_NFI[[#This Row],[Camp Name]],CL,4,0),"")</f>
        <v/>
      </c>
      <c r="AT1167" s="577"/>
      <c r="AU1167" s="580"/>
    </row>
    <row r="1168" spans="1:47" x14ac:dyDescent="0.25">
      <c r="A1168" s="381" t="str">
        <f t="shared" si="18"/>
        <v/>
      </c>
      <c r="B1168" s="571"/>
      <c r="C1168" s="577"/>
      <c r="D1168" s="577"/>
      <c r="E1168" s="577"/>
      <c r="F1168" s="577"/>
      <c r="G1168" s="577"/>
      <c r="H1168" s="376"/>
      <c r="I1168" s="376"/>
      <c r="J1168" s="376"/>
      <c r="K1168" s="376"/>
      <c r="L1168" s="376"/>
      <c r="M1168" s="376"/>
      <c r="N1168" s="376"/>
      <c r="O1168" s="376"/>
      <c r="P1168" s="378"/>
      <c r="Q1168" s="378"/>
      <c r="R1168" s="378"/>
      <c r="S1168" s="378"/>
      <c r="T1168" s="378"/>
      <c r="U1168" s="378"/>
      <c r="V1168" s="533"/>
      <c r="W1168" s="602"/>
      <c r="X1168" s="602"/>
      <c r="Y1168" s="378">
        <f>IF(NFI_Expiration=1,IF($A1168&lt;VLOOKUP(H$5,NFI,5,0),1,0)*Table_NFI[[#This Row],[Hygiene Kit]],Table_NFI[Hygiene Kit])</f>
        <v>0</v>
      </c>
      <c r="Z1168" s="378">
        <f>IF(NFI_Expiration=1,IF($A1168&lt;VLOOKUP(I$5,NFI,5,0),1,0)*Table_NFI[[#This Row],[NFI Core Kit]],Table_NFI[NFI Core Kit])</f>
        <v>0</v>
      </c>
      <c r="AA1168" s="378">
        <f>IF(NFI_Expiration=1,IF($A1168&lt;VLOOKUP(J$5,NFI,5,0),1,0)*Table_NFI[[#This Row],[Sanitary Kit]],Table_NFI[Sanitary Kit])</f>
        <v>0</v>
      </c>
      <c r="AB1168" s="378">
        <f>IF(NFI_Expiration=1,IF($A1168&lt;VLOOKUP(K$5,NFI,5,0),1,0)*Table_NFI[[#This Row],[Mosquito net]],Table_NFI[Mosquito net])</f>
        <v>0</v>
      </c>
      <c r="AC1168" s="378">
        <f>IF(NFI_Expiration=1,IF($A1168&lt;VLOOKUP(L$5,NFI,5,0),1,0)*Table_NFI[[#This Row],[Tarpaulin]],Table_NFI[[#This Row],[Tarpaulin]])</f>
        <v>0</v>
      </c>
      <c r="AD1168" s="378">
        <f>IF(NFI_Expiration=1,IF($A1168&lt;VLOOKUP(M$5,NFI,5,0),1,0)*Table_NFI[[#This Row],[Blanket]],Table_NFI[[#This Row],[Blanket]])</f>
        <v>0</v>
      </c>
      <c r="AE1168" s="378">
        <f>IF(NFI_Expiration=1,IF($A1168&lt;VLOOKUP(N$5,NFI,5,0),1,0)*Table_NFI[[#This Row],[Kitchen Set]],Table_NFI[Kitchen Set])</f>
        <v>0</v>
      </c>
      <c r="AF1168" s="378">
        <f>IF(NFI_Expiration=1,IF($A1168&lt;VLOOKUP(O$5,NFI,5,0),1,0)*Table_NFI[[#This Row],[Clothes Kit]],Table_NFI[Clothes Kit])</f>
        <v>0</v>
      </c>
      <c r="AG1168" s="378">
        <f>IF(NFI_Expiration=1,IF($A1168&lt;VLOOKUP(P$5,NFI,5,0),1,0)*Table_NFI[[#This Row],[Plastic Bucket]],Table_NFI[Plastic Bucket])</f>
        <v>0</v>
      </c>
      <c r="AH1168" s="378">
        <f>IF(NFI_Expiration=1,IF($A1168&lt;VLOOKUP(Q$5,NFI,5,0),1,0)*Table_NFI[[#This Row],[Plastic Mat]],Table_NFI[Plastic Mat])*IF(Table_NFI[[#This Row],[Distribution Date]]&gt;"2014-04-01",1,2.5)</f>
        <v>0</v>
      </c>
      <c r="AI1168" s="378">
        <f>IF(NFI_Expiration=1,IF($A1168&lt;VLOOKUP(R$5,NFI,5,0),1,0)*Table_NFI[[#This Row],[Winter Clothes Adult]],Table_NFI[Winter Clothes Adult])</f>
        <v>0</v>
      </c>
      <c r="AJ1168" s="378">
        <f>IF(NFI_Expiration=1,IF($A1168&lt;VLOOKUP(S$5,NFI,5,0),1,0)*Table_NFI[[#This Row],[Winter Clothes Children]],Table_NFI[Winter Clothes Children])</f>
        <v>0</v>
      </c>
      <c r="AK1168" s="378">
        <f>IF(NFI_Expiration=1,IF($A1168&lt;VLOOKUP(T$5,NFI,5,0),1,0)*Table_NFI[[#This Row],[Winter Items Other]],Table_NFI[Winter Items Other])</f>
        <v>0</v>
      </c>
      <c r="AL1168" s="378">
        <f>IF(NFI_Expiration=1,IF($A1168&lt;VLOOKUP(M$5,NFI,5,0),1,0)*Table_NFI[[#This Row],[Winter Blanket]],Table_NFI[[#This Row],[Winter Blanket]])</f>
        <v>0</v>
      </c>
      <c r="AM1168" s="378">
        <f>IF(Table_NFI[[#This Row],[Winter Clothes Adult]]+Table_NFI[[#This Row],[Winter Clothes Children]]+Table_NFI[[#This Row],[Winter Items Other]]+Table_NFI[[#This Row],[Winter Blanket]]&gt;0,1,0)</f>
        <v>0</v>
      </c>
      <c r="AN1168" s="418">
        <f>IF(NFI_Expiration=1,IF($A1168&lt;VLOOKUP(V$5,NFI,5,0),1,0)*Table_NFI[[#This Row],[Jerry Can]],Table_NFI[Jerry Can])</f>
        <v>0</v>
      </c>
      <c r="AO1168" s="579" t="str">
        <f>IFERROR(VLOOKUP(Table_NFI[[#This Row],[Camp Name]],CL,2,0),"")</f>
        <v/>
      </c>
      <c r="AP1168" s="574" t="str">
        <f ca="1">IF(Table_NFI[[#This Row],[Pcode]]="","",IF(OFFSET(CampList[Opening Date],MATCH(Table_NFI[[#This Row],[Pcode]],CampList[CP_Pcode],0)-1,0,1,1)&gt;=NFI_Monitor_Date,1,0))</f>
        <v/>
      </c>
      <c r="AQ1168" s="579" t="str">
        <f>IFERROR(VLOOKUP(Table_NFI[[#This Row],[Camp Name]],CL,3,0),"")</f>
        <v/>
      </c>
      <c r="AR1168" s="378" t="str">
        <f ca="1">IF(Table_NFI[[#This Row],[Pcode]]="","",OFFSET(CampList[Priority],MATCH(Table_NFI[[#This Row],[Pcode]],CampList[CP_Pcode],0)-1,0,1,1))</f>
        <v/>
      </c>
      <c r="AS1168" s="377" t="str">
        <f>IFERROR(Table_NFI[[#This Row],[Kitchen Set]]/VLOOKUP(Table_NFI[[#This Row],[Camp Name]],CL,4,0),"")</f>
        <v/>
      </c>
      <c r="AT1168" s="577"/>
      <c r="AU1168" s="580"/>
    </row>
    <row r="1169" spans="1:47" x14ac:dyDescent="0.25">
      <c r="A1169" s="381" t="str">
        <f t="shared" si="18"/>
        <v/>
      </c>
      <c r="B1169" s="571"/>
      <c r="C1169" s="577"/>
      <c r="D1169" s="577"/>
      <c r="E1169" s="577"/>
      <c r="F1169" s="577"/>
      <c r="G1169" s="577"/>
      <c r="H1169" s="376"/>
      <c r="I1169" s="376"/>
      <c r="J1169" s="376"/>
      <c r="K1169" s="376"/>
      <c r="L1169" s="376"/>
      <c r="M1169" s="376"/>
      <c r="N1169" s="376"/>
      <c r="O1169" s="376"/>
      <c r="P1169" s="378"/>
      <c r="Q1169" s="378"/>
      <c r="R1169" s="378"/>
      <c r="S1169" s="378"/>
      <c r="T1169" s="378"/>
      <c r="U1169" s="378"/>
      <c r="V1169" s="533"/>
      <c r="W1169" s="602"/>
      <c r="X1169" s="602"/>
      <c r="Y1169" s="378">
        <f>IF(NFI_Expiration=1,IF($A1169&lt;VLOOKUP(H$5,NFI,5,0),1,0)*Table_NFI[[#This Row],[Hygiene Kit]],Table_NFI[Hygiene Kit])</f>
        <v>0</v>
      </c>
      <c r="Z1169" s="378">
        <f>IF(NFI_Expiration=1,IF($A1169&lt;VLOOKUP(I$5,NFI,5,0),1,0)*Table_NFI[[#This Row],[NFI Core Kit]],Table_NFI[NFI Core Kit])</f>
        <v>0</v>
      </c>
      <c r="AA1169" s="378">
        <f>IF(NFI_Expiration=1,IF($A1169&lt;VLOOKUP(J$5,NFI,5,0),1,0)*Table_NFI[[#This Row],[Sanitary Kit]],Table_NFI[Sanitary Kit])</f>
        <v>0</v>
      </c>
      <c r="AB1169" s="378">
        <f>IF(NFI_Expiration=1,IF($A1169&lt;VLOOKUP(K$5,NFI,5,0),1,0)*Table_NFI[[#This Row],[Mosquito net]],Table_NFI[Mosquito net])</f>
        <v>0</v>
      </c>
      <c r="AC1169" s="378">
        <f>IF(NFI_Expiration=1,IF($A1169&lt;VLOOKUP(L$5,NFI,5,0),1,0)*Table_NFI[[#This Row],[Tarpaulin]],Table_NFI[[#This Row],[Tarpaulin]])</f>
        <v>0</v>
      </c>
      <c r="AD1169" s="378">
        <f>IF(NFI_Expiration=1,IF($A1169&lt;VLOOKUP(M$5,NFI,5,0),1,0)*Table_NFI[[#This Row],[Blanket]],Table_NFI[[#This Row],[Blanket]])</f>
        <v>0</v>
      </c>
      <c r="AE1169" s="378">
        <f>IF(NFI_Expiration=1,IF($A1169&lt;VLOOKUP(N$5,NFI,5,0),1,0)*Table_NFI[[#This Row],[Kitchen Set]],Table_NFI[Kitchen Set])</f>
        <v>0</v>
      </c>
      <c r="AF1169" s="378">
        <f>IF(NFI_Expiration=1,IF($A1169&lt;VLOOKUP(O$5,NFI,5,0),1,0)*Table_NFI[[#This Row],[Clothes Kit]],Table_NFI[Clothes Kit])</f>
        <v>0</v>
      </c>
      <c r="AG1169" s="378">
        <f>IF(NFI_Expiration=1,IF($A1169&lt;VLOOKUP(P$5,NFI,5,0),1,0)*Table_NFI[[#This Row],[Plastic Bucket]],Table_NFI[Plastic Bucket])</f>
        <v>0</v>
      </c>
      <c r="AH1169" s="378">
        <f>IF(NFI_Expiration=1,IF($A1169&lt;VLOOKUP(Q$5,NFI,5,0),1,0)*Table_NFI[[#This Row],[Plastic Mat]],Table_NFI[Plastic Mat])*IF(Table_NFI[[#This Row],[Distribution Date]]&gt;"2014-04-01",1,2.5)</f>
        <v>0</v>
      </c>
      <c r="AI1169" s="378">
        <f>IF(NFI_Expiration=1,IF($A1169&lt;VLOOKUP(R$5,NFI,5,0),1,0)*Table_NFI[[#This Row],[Winter Clothes Adult]],Table_NFI[Winter Clothes Adult])</f>
        <v>0</v>
      </c>
      <c r="AJ1169" s="378">
        <f>IF(NFI_Expiration=1,IF($A1169&lt;VLOOKUP(S$5,NFI,5,0),1,0)*Table_NFI[[#This Row],[Winter Clothes Children]],Table_NFI[Winter Clothes Children])</f>
        <v>0</v>
      </c>
      <c r="AK1169" s="378">
        <f>IF(NFI_Expiration=1,IF($A1169&lt;VLOOKUP(T$5,NFI,5,0),1,0)*Table_NFI[[#This Row],[Winter Items Other]],Table_NFI[Winter Items Other])</f>
        <v>0</v>
      </c>
      <c r="AL1169" s="378">
        <f>IF(NFI_Expiration=1,IF($A1169&lt;VLOOKUP(M$5,NFI,5,0),1,0)*Table_NFI[[#This Row],[Winter Blanket]],Table_NFI[[#This Row],[Winter Blanket]])</f>
        <v>0</v>
      </c>
      <c r="AM1169" s="378">
        <f>IF(Table_NFI[[#This Row],[Winter Clothes Adult]]+Table_NFI[[#This Row],[Winter Clothes Children]]+Table_NFI[[#This Row],[Winter Items Other]]+Table_NFI[[#This Row],[Winter Blanket]]&gt;0,1,0)</f>
        <v>0</v>
      </c>
      <c r="AN1169" s="418">
        <f>IF(NFI_Expiration=1,IF($A1169&lt;VLOOKUP(V$5,NFI,5,0),1,0)*Table_NFI[[#This Row],[Jerry Can]],Table_NFI[Jerry Can])</f>
        <v>0</v>
      </c>
      <c r="AO1169" s="579" t="str">
        <f>IFERROR(VLOOKUP(Table_NFI[[#This Row],[Camp Name]],CL,2,0),"")</f>
        <v/>
      </c>
      <c r="AP1169" s="574" t="str">
        <f ca="1">IF(Table_NFI[[#This Row],[Pcode]]="","",IF(OFFSET(CampList[Opening Date],MATCH(Table_NFI[[#This Row],[Pcode]],CampList[CP_Pcode],0)-1,0,1,1)&gt;=NFI_Monitor_Date,1,0))</f>
        <v/>
      </c>
      <c r="AQ1169" s="579" t="str">
        <f>IFERROR(VLOOKUP(Table_NFI[[#This Row],[Camp Name]],CL,3,0),"")</f>
        <v/>
      </c>
      <c r="AR1169" s="378" t="str">
        <f ca="1">IF(Table_NFI[[#This Row],[Pcode]]="","",OFFSET(CampList[Priority],MATCH(Table_NFI[[#This Row],[Pcode]],CampList[CP_Pcode],0)-1,0,1,1))</f>
        <v/>
      </c>
      <c r="AS1169" s="377" t="str">
        <f>IFERROR(Table_NFI[[#This Row],[Kitchen Set]]/VLOOKUP(Table_NFI[[#This Row],[Camp Name]],CL,4,0),"")</f>
        <v/>
      </c>
      <c r="AT1169" s="577"/>
      <c r="AU1169" s="580"/>
    </row>
    <row r="1170" spans="1:47" x14ac:dyDescent="0.25">
      <c r="A1170" s="381" t="str">
        <f t="shared" si="18"/>
        <v/>
      </c>
      <c r="B1170" s="571"/>
      <c r="C1170" s="577"/>
      <c r="D1170" s="577"/>
      <c r="E1170" s="577"/>
      <c r="F1170" s="577"/>
      <c r="G1170" s="577"/>
      <c r="H1170" s="376"/>
      <c r="I1170" s="376"/>
      <c r="J1170" s="376"/>
      <c r="K1170" s="376"/>
      <c r="L1170" s="376"/>
      <c r="M1170" s="376"/>
      <c r="N1170" s="376"/>
      <c r="O1170" s="376"/>
      <c r="P1170" s="378"/>
      <c r="Q1170" s="378"/>
      <c r="R1170" s="378"/>
      <c r="S1170" s="378"/>
      <c r="T1170" s="378"/>
      <c r="U1170" s="378"/>
      <c r="V1170" s="533"/>
      <c r="W1170" s="602"/>
      <c r="X1170" s="602"/>
      <c r="Y1170" s="378">
        <f>IF(NFI_Expiration=1,IF($A1170&lt;VLOOKUP(H$5,NFI,5,0),1,0)*Table_NFI[[#This Row],[Hygiene Kit]],Table_NFI[Hygiene Kit])</f>
        <v>0</v>
      </c>
      <c r="Z1170" s="378">
        <f>IF(NFI_Expiration=1,IF($A1170&lt;VLOOKUP(I$5,NFI,5,0),1,0)*Table_NFI[[#This Row],[NFI Core Kit]],Table_NFI[NFI Core Kit])</f>
        <v>0</v>
      </c>
      <c r="AA1170" s="378">
        <f>IF(NFI_Expiration=1,IF($A1170&lt;VLOOKUP(J$5,NFI,5,0),1,0)*Table_NFI[[#This Row],[Sanitary Kit]],Table_NFI[Sanitary Kit])</f>
        <v>0</v>
      </c>
      <c r="AB1170" s="378">
        <f>IF(NFI_Expiration=1,IF($A1170&lt;VLOOKUP(K$5,NFI,5,0),1,0)*Table_NFI[[#This Row],[Mosquito net]],Table_NFI[Mosquito net])</f>
        <v>0</v>
      </c>
      <c r="AC1170" s="378">
        <f>IF(NFI_Expiration=1,IF($A1170&lt;VLOOKUP(L$5,NFI,5,0),1,0)*Table_NFI[[#This Row],[Tarpaulin]],Table_NFI[[#This Row],[Tarpaulin]])</f>
        <v>0</v>
      </c>
      <c r="AD1170" s="378">
        <f>IF(NFI_Expiration=1,IF($A1170&lt;VLOOKUP(M$5,NFI,5,0),1,0)*Table_NFI[[#This Row],[Blanket]],Table_NFI[[#This Row],[Blanket]])</f>
        <v>0</v>
      </c>
      <c r="AE1170" s="378">
        <f>IF(NFI_Expiration=1,IF($A1170&lt;VLOOKUP(N$5,NFI,5,0),1,0)*Table_NFI[[#This Row],[Kitchen Set]],Table_NFI[Kitchen Set])</f>
        <v>0</v>
      </c>
      <c r="AF1170" s="378">
        <f>IF(NFI_Expiration=1,IF($A1170&lt;VLOOKUP(O$5,NFI,5,0),1,0)*Table_NFI[[#This Row],[Clothes Kit]],Table_NFI[Clothes Kit])</f>
        <v>0</v>
      </c>
      <c r="AG1170" s="378">
        <f>IF(NFI_Expiration=1,IF($A1170&lt;VLOOKUP(P$5,NFI,5,0),1,0)*Table_NFI[[#This Row],[Plastic Bucket]],Table_NFI[Plastic Bucket])</f>
        <v>0</v>
      </c>
      <c r="AH1170" s="378">
        <f>IF(NFI_Expiration=1,IF($A1170&lt;VLOOKUP(Q$5,NFI,5,0),1,0)*Table_NFI[[#This Row],[Plastic Mat]],Table_NFI[Plastic Mat])*IF(Table_NFI[[#This Row],[Distribution Date]]&gt;"2014-04-01",1,2.5)</f>
        <v>0</v>
      </c>
      <c r="AI1170" s="378">
        <f>IF(NFI_Expiration=1,IF($A1170&lt;VLOOKUP(R$5,NFI,5,0),1,0)*Table_NFI[[#This Row],[Winter Clothes Adult]],Table_NFI[Winter Clothes Adult])</f>
        <v>0</v>
      </c>
      <c r="AJ1170" s="378">
        <f>IF(NFI_Expiration=1,IF($A1170&lt;VLOOKUP(S$5,NFI,5,0),1,0)*Table_NFI[[#This Row],[Winter Clothes Children]],Table_NFI[Winter Clothes Children])</f>
        <v>0</v>
      </c>
      <c r="AK1170" s="378">
        <f>IF(NFI_Expiration=1,IF($A1170&lt;VLOOKUP(T$5,NFI,5,0),1,0)*Table_NFI[[#This Row],[Winter Items Other]],Table_NFI[Winter Items Other])</f>
        <v>0</v>
      </c>
      <c r="AL1170" s="378">
        <f>IF(NFI_Expiration=1,IF($A1170&lt;VLOOKUP(M$5,NFI,5,0),1,0)*Table_NFI[[#This Row],[Winter Blanket]],Table_NFI[[#This Row],[Winter Blanket]])</f>
        <v>0</v>
      </c>
      <c r="AM1170" s="378">
        <f>IF(Table_NFI[[#This Row],[Winter Clothes Adult]]+Table_NFI[[#This Row],[Winter Clothes Children]]+Table_NFI[[#This Row],[Winter Items Other]]+Table_NFI[[#This Row],[Winter Blanket]]&gt;0,1,0)</f>
        <v>0</v>
      </c>
      <c r="AN1170" s="418">
        <f>IF(NFI_Expiration=1,IF($A1170&lt;VLOOKUP(V$5,NFI,5,0),1,0)*Table_NFI[[#This Row],[Jerry Can]],Table_NFI[Jerry Can])</f>
        <v>0</v>
      </c>
      <c r="AO1170" s="579" t="str">
        <f>IFERROR(VLOOKUP(Table_NFI[[#This Row],[Camp Name]],CL,2,0),"")</f>
        <v/>
      </c>
      <c r="AP1170" s="574" t="str">
        <f ca="1">IF(Table_NFI[[#This Row],[Pcode]]="","",IF(OFFSET(CampList[Opening Date],MATCH(Table_NFI[[#This Row],[Pcode]],CampList[CP_Pcode],0)-1,0,1,1)&gt;=NFI_Monitor_Date,1,0))</f>
        <v/>
      </c>
      <c r="AQ1170" s="579" t="str">
        <f>IFERROR(VLOOKUP(Table_NFI[[#This Row],[Camp Name]],CL,3,0),"")</f>
        <v/>
      </c>
      <c r="AR1170" s="378" t="str">
        <f ca="1">IF(Table_NFI[[#This Row],[Pcode]]="","",OFFSET(CampList[Priority],MATCH(Table_NFI[[#This Row],[Pcode]],CampList[CP_Pcode],0)-1,0,1,1))</f>
        <v/>
      </c>
      <c r="AS1170" s="377" t="str">
        <f>IFERROR(Table_NFI[[#This Row],[Kitchen Set]]/VLOOKUP(Table_NFI[[#This Row],[Camp Name]],CL,4,0),"")</f>
        <v/>
      </c>
      <c r="AT1170" s="577"/>
      <c r="AU1170" s="580"/>
    </row>
    <row r="1171" spans="1:47" x14ac:dyDescent="0.25">
      <c r="A1171" s="381" t="str">
        <f t="shared" si="18"/>
        <v/>
      </c>
      <c r="B1171" s="571"/>
      <c r="C1171" s="577"/>
      <c r="D1171" s="577"/>
      <c r="E1171" s="577"/>
      <c r="F1171" s="577"/>
      <c r="G1171" s="577"/>
      <c r="H1171" s="376"/>
      <c r="I1171" s="376"/>
      <c r="J1171" s="376"/>
      <c r="K1171" s="376"/>
      <c r="L1171" s="376"/>
      <c r="M1171" s="376"/>
      <c r="N1171" s="376"/>
      <c r="O1171" s="376"/>
      <c r="P1171" s="378"/>
      <c r="Q1171" s="378"/>
      <c r="R1171" s="378"/>
      <c r="S1171" s="378"/>
      <c r="T1171" s="378"/>
      <c r="U1171" s="378"/>
      <c r="V1171" s="533"/>
      <c r="W1171" s="602"/>
      <c r="X1171" s="602"/>
      <c r="Y1171" s="378">
        <f>IF(NFI_Expiration=1,IF($A1171&lt;VLOOKUP(H$5,NFI,5,0),1,0)*Table_NFI[[#This Row],[Hygiene Kit]],Table_NFI[Hygiene Kit])</f>
        <v>0</v>
      </c>
      <c r="Z1171" s="378">
        <f>IF(NFI_Expiration=1,IF($A1171&lt;VLOOKUP(I$5,NFI,5,0),1,0)*Table_NFI[[#This Row],[NFI Core Kit]],Table_NFI[NFI Core Kit])</f>
        <v>0</v>
      </c>
      <c r="AA1171" s="378">
        <f>IF(NFI_Expiration=1,IF($A1171&lt;VLOOKUP(J$5,NFI,5,0),1,0)*Table_NFI[[#This Row],[Sanitary Kit]],Table_NFI[Sanitary Kit])</f>
        <v>0</v>
      </c>
      <c r="AB1171" s="378">
        <f>IF(NFI_Expiration=1,IF($A1171&lt;VLOOKUP(K$5,NFI,5,0),1,0)*Table_NFI[[#This Row],[Mosquito net]],Table_NFI[Mosquito net])</f>
        <v>0</v>
      </c>
      <c r="AC1171" s="378">
        <f>IF(NFI_Expiration=1,IF($A1171&lt;VLOOKUP(L$5,NFI,5,0),1,0)*Table_NFI[[#This Row],[Tarpaulin]],Table_NFI[[#This Row],[Tarpaulin]])</f>
        <v>0</v>
      </c>
      <c r="AD1171" s="378">
        <f>IF(NFI_Expiration=1,IF($A1171&lt;VLOOKUP(M$5,NFI,5,0),1,0)*Table_NFI[[#This Row],[Blanket]],Table_NFI[[#This Row],[Blanket]])</f>
        <v>0</v>
      </c>
      <c r="AE1171" s="378">
        <f>IF(NFI_Expiration=1,IF($A1171&lt;VLOOKUP(N$5,NFI,5,0),1,0)*Table_NFI[[#This Row],[Kitchen Set]],Table_NFI[Kitchen Set])</f>
        <v>0</v>
      </c>
      <c r="AF1171" s="378">
        <f>IF(NFI_Expiration=1,IF($A1171&lt;VLOOKUP(O$5,NFI,5,0),1,0)*Table_NFI[[#This Row],[Clothes Kit]],Table_NFI[Clothes Kit])</f>
        <v>0</v>
      </c>
      <c r="AG1171" s="378">
        <f>IF(NFI_Expiration=1,IF($A1171&lt;VLOOKUP(P$5,NFI,5,0),1,0)*Table_NFI[[#This Row],[Plastic Bucket]],Table_NFI[Plastic Bucket])</f>
        <v>0</v>
      </c>
      <c r="AH1171" s="378">
        <f>IF(NFI_Expiration=1,IF($A1171&lt;VLOOKUP(Q$5,NFI,5,0),1,0)*Table_NFI[[#This Row],[Plastic Mat]],Table_NFI[Plastic Mat])*IF(Table_NFI[[#This Row],[Distribution Date]]&gt;"2014-04-01",1,2.5)</f>
        <v>0</v>
      </c>
      <c r="AI1171" s="378">
        <f>IF(NFI_Expiration=1,IF($A1171&lt;VLOOKUP(R$5,NFI,5,0),1,0)*Table_NFI[[#This Row],[Winter Clothes Adult]],Table_NFI[Winter Clothes Adult])</f>
        <v>0</v>
      </c>
      <c r="AJ1171" s="378">
        <f>IF(NFI_Expiration=1,IF($A1171&lt;VLOOKUP(S$5,NFI,5,0),1,0)*Table_NFI[[#This Row],[Winter Clothes Children]],Table_NFI[Winter Clothes Children])</f>
        <v>0</v>
      </c>
      <c r="AK1171" s="378">
        <f>IF(NFI_Expiration=1,IF($A1171&lt;VLOOKUP(T$5,NFI,5,0),1,0)*Table_NFI[[#This Row],[Winter Items Other]],Table_NFI[Winter Items Other])</f>
        <v>0</v>
      </c>
      <c r="AL1171" s="378">
        <f>IF(NFI_Expiration=1,IF($A1171&lt;VLOOKUP(M$5,NFI,5,0),1,0)*Table_NFI[[#This Row],[Winter Blanket]],Table_NFI[[#This Row],[Winter Blanket]])</f>
        <v>0</v>
      </c>
      <c r="AM1171" s="378">
        <f>IF(Table_NFI[[#This Row],[Winter Clothes Adult]]+Table_NFI[[#This Row],[Winter Clothes Children]]+Table_NFI[[#This Row],[Winter Items Other]]+Table_NFI[[#This Row],[Winter Blanket]]&gt;0,1,0)</f>
        <v>0</v>
      </c>
      <c r="AN1171" s="418">
        <f>IF(NFI_Expiration=1,IF($A1171&lt;VLOOKUP(V$5,NFI,5,0),1,0)*Table_NFI[[#This Row],[Jerry Can]],Table_NFI[Jerry Can])</f>
        <v>0</v>
      </c>
      <c r="AO1171" s="579" t="str">
        <f>IFERROR(VLOOKUP(Table_NFI[[#This Row],[Camp Name]],CL,2,0),"")</f>
        <v/>
      </c>
      <c r="AP1171" s="574" t="str">
        <f ca="1">IF(Table_NFI[[#This Row],[Pcode]]="","",IF(OFFSET(CampList[Opening Date],MATCH(Table_NFI[[#This Row],[Pcode]],CampList[CP_Pcode],0)-1,0,1,1)&gt;=NFI_Monitor_Date,1,0))</f>
        <v/>
      </c>
      <c r="AQ1171" s="579" t="str">
        <f>IFERROR(VLOOKUP(Table_NFI[[#This Row],[Camp Name]],CL,3,0),"")</f>
        <v/>
      </c>
      <c r="AR1171" s="378" t="str">
        <f ca="1">IF(Table_NFI[[#This Row],[Pcode]]="","",OFFSET(CampList[Priority],MATCH(Table_NFI[[#This Row],[Pcode]],CampList[CP_Pcode],0)-1,0,1,1))</f>
        <v/>
      </c>
      <c r="AS1171" s="377" t="str">
        <f>IFERROR(Table_NFI[[#This Row],[Kitchen Set]]/VLOOKUP(Table_NFI[[#This Row],[Camp Name]],CL,4,0),"")</f>
        <v/>
      </c>
      <c r="AT1171" s="577"/>
      <c r="AU1171" s="580"/>
    </row>
    <row r="1172" spans="1:47" x14ac:dyDescent="0.25">
      <c r="A1172" s="381" t="str">
        <f t="shared" si="18"/>
        <v/>
      </c>
      <c r="B1172" s="571"/>
      <c r="C1172" s="577"/>
      <c r="D1172" s="577"/>
      <c r="E1172" s="577"/>
      <c r="F1172" s="577"/>
      <c r="G1172" s="577"/>
      <c r="H1172" s="376"/>
      <c r="I1172" s="376"/>
      <c r="J1172" s="376"/>
      <c r="K1172" s="376"/>
      <c r="L1172" s="376"/>
      <c r="M1172" s="376"/>
      <c r="N1172" s="376"/>
      <c r="O1172" s="376"/>
      <c r="P1172" s="378"/>
      <c r="Q1172" s="378"/>
      <c r="R1172" s="378"/>
      <c r="S1172" s="378"/>
      <c r="T1172" s="378"/>
      <c r="U1172" s="378"/>
      <c r="V1172" s="533"/>
      <c r="W1172" s="602"/>
      <c r="X1172" s="602"/>
      <c r="Y1172" s="378">
        <f>IF(NFI_Expiration=1,IF($A1172&lt;VLOOKUP(H$5,NFI,5,0),1,0)*Table_NFI[[#This Row],[Hygiene Kit]],Table_NFI[Hygiene Kit])</f>
        <v>0</v>
      </c>
      <c r="Z1172" s="378">
        <f>IF(NFI_Expiration=1,IF($A1172&lt;VLOOKUP(I$5,NFI,5,0),1,0)*Table_NFI[[#This Row],[NFI Core Kit]],Table_NFI[NFI Core Kit])</f>
        <v>0</v>
      </c>
      <c r="AA1172" s="378">
        <f>IF(NFI_Expiration=1,IF($A1172&lt;VLOOKUP(J$5,NFI,5,0),1,0)*Table_NFI[[#This Row],[Sanitary Kit]],Table_NFI[Sanitary Kit])</f>
        <v>0</v>
      </c>
      <c r="AB1172" s="378">
        <f>IF(NFI_Expiration=1,IF($A1172&lt;VLOOKUP(K$5,NFI,5,0),1,0)*Table_NFI[[#This Row],[Mosquito net]],Table_NFI[Mosquito net])</f>
        <v>0</v>
      </c>
      <c r="AC1172" s="378">
        <f>IF(NFI_Expiration=1,IF($A1172&lt;VLOOKUP(L$5,NFI,5,0),1,0)*Table_NFI[[#This Row],[Tarpaulin]],Table_NFI[[#This Row],[Tarpaulin]])</f>
        <v>0</v>
      </c>
      <c r="AD1172" s="378">
        <f>IF(NFI_Expiration=1,IF($A1172&lt;VLOOKUP(M$5,NFI,5,0),1,0)*Table_NFI[[#This Row],[Blanket]],Table_NFI[[#This Row],[Blanket]])</f>
        <v>0</v>
      </c>
      <c r="AE1172" s="378">
        <f>IF(NFI_Expiration=1,IF($A1172&lt;VLOOKUP(N$5,NFI,5,0),1,0)*Table_NFI[[#This Row],[Kitchen Set]],Table_NFI[Kitchen Set])</f>
        <v>0</v>
      </c>
      <c r="AF1172" s="378">
        <f>IF(NFI_Expiration=1,IF($A1172&lt;VLOOKUP(O$5,NFI,5,0),1,0)*Table_NFI[[#This Row],[Clothes Kit]],Table_NFI[Clothes Kit])</f>
        <v>0</v>
      </c>
      <c r="AG1172" s="378">
        <f>IF(NFI_Expiration=1,IF($A1172&lt;VLOOKUP(P$5,NFI,5,0),1,0)*Table_NFI[[#This Row],[Plastic Bucket]],Table_NFI[Plastic Bucket])</f>
        <v>0</v>
      </c>
      <c r="AH1172" s="378">
        <f>IF(NFI_Expiration=1,IF($A1172&lt;VLOOKUP(Q$5,NFI,5,0),1,0)*Table_NFI[[#This Row],[Plastic Mat]],Table_NFI[Plastic Mat])*IF(Table_NFI[[#This Row],[Distribution Date]]&gt;"2014-04-01",1,2.5)</f>
        <v>0</v>
      </c>
      <c r="AI1172" s="378">
        <f>IF(NFI_Expiration=1,IF($A1172&lt;VLOOKUP(R$5,NFI,5,0),1,0)*Table_NFI[[#This Row],[Winter Clothes Adult]],Table_NFI[Winter Clothes Adult])</f>
        <v>0</v>
      </c>
      <c r="AJ1172" s="378">
        <f>IF(NFI_Expiration=1,IF($A1172&lt;VLOOKUP(S$5,NFI,5,0),1,0)*Table_NFI[[#This Row],[Winter Clothes Children]],Table_NFI[Winter Clothes Children])</f>
        <v>0</v>
      </c>
      <c r="AK1172" s="378">
        <f>IF(NFI_Expiration=1,IF($A1172&lt;VLOOKUP(T$5,NFI,5,0),1,0)*Table_NFI[[#This Row],[Winter Items Other]],Table_NFI[Winter Items Other])</f>
        <v>0</v>
      </c>
      <c r="AL1172" s="378">
        <f>IF(NFI_Expiration=1,IF($A1172&lt;VLOOKUP(M$5,NFI,5,0),1,0)*Table_NFI[[#This Row],[Winter Blanket]],Table_NFI[[#This Row],[Winter Blanket]])</f>
        <v>0</v>
      </c>
      <c r="AM1172" s="378">
        <f>IF(Table_NFI[[#This Row],[Winter Clothes Adult]]+Table_NFI[[#This Row],[Winter Clothes Children]]+Table_NFI[[#This Row],[Winter Items Other]]+Table_NFI[[#This Row],[Winter Blanket]]&gt;0,1,0)</f>
        <v>0</v>
      </c>
      <c r="AN1172" s="418">
        <f>IF(NFI_Expiration=1,IF($A1172&lt;VLOOKUP(V$5,NFI,5,0),1,0)*Table_NFI[[#This Row],[Jerry Can]],Table_NFI[Jerry Can])</f>
        <v>0</v>
      </c>
      <c r="AO1172" s="579" t="str">
        <f>IFERROR(VLOOKUP(Table_NFI[[#This Row],[Camp Name]],CL,2,0),"")</f>
        <v/>
      </c>
      <c r="AP1172" s="574" t="str">
        <f ca="1">IF(Table_NFI[[#This Row],[Pcode]]="","",IF(OFFSET(CampList[Opening Date],MATCH(Table_NFI[[#This Row],[Pcode]],CampList[CP_Pcode],0)-1,0,1,1)&gt;=NFI_Monitor_Date,1,0))</f>
        <v/>
      </c>
      <c r="AQ1172" s="579" t="str">
        <f>IFERROR(VLOOKUP(Table_NFI[[#This Row],[Camp Name]],CL,3,0),"")</f>
        <v/>
      </c>
      <c r="AR1172" s="378" t="str">
        <f ca="1">IF(Table_NFI[[#This Row],[Pcode]]="","",OFFSET(CampList[Priority],MATCH(Table_NFI[[#This Row],[Pcode]],CampList[CP_Pcode],0)-1,0,1,1))</f>
        <v/>
      </c>
      <c r="AS1172" s="377" t="str">
        <f>IFERROR(Table_NFI[[#This Row],[Kitchen Set]]/VLOOKUP(Table_NFI[[#This Row],[Camp Name]],CL,4,0),"")</f>
        <v/>
      </c>
      <c r="AT1172" s="577"/>
      <c r="AU1172" s="580"/>
    </row>
    <row r="1173" spans="1:47" x14ac:dyDescent="0.25">
      <c r="A1173" s="381" t="str">
        <f t="shared" si="18"/>
        <v/>
      </c>
      <c r="B1173" s="571"/>
      <c r="C1173" s="577"/>
      <c r="D1173" s="577"/>
      <c r="E1173" s="577"/>
      <c r="F1173" s="577"/>
      <c r="G1173" s="577"/>
      <c r="H1173" s="376"/>
      <c r="I1173" s="376"/>
      <c r="J1173" s="376"/>
      <c r="K1173" s="376"/>
      <c r="L1173" s="376"/>
      <c r="M1173" s="376"/>
      <c r="N1173" s="376"/>
      <c r="O1173" s="376"/>
      <c r="P1173" s="378"/>
      <c r="Q1173" s="378"/>
      <c r="R1173" s="378"/>
      <c r="S1173" s="378"/>
      <c r="T1173" s="378"/>
      <c r="U1173" s="378"/>
      <c r="V1173" s="533"/>
      <c r="W1173" s="602"/>
      <c r="X1173" s="602"/>
      <c r="Y1173" s="378">
        <f>IF(NFI_Expiration=1,IF($A1173&lt;VLOOKUP(H$5,NFI,5,0),1,0)*Table_NFI[[#This Row],[Hygiene Kit]],Table_NFI[Hygiene Kit])</f>
        <v>0</v>
      </c>
      <c r="Z1173" s="378">
        <f>IF(NFI_Expiration=1,IF($A1173&lt;VLOOKUP(I$5,NFI,5,0),1,0)*Table_NFI[[#This Row],[NFI Core Kit]],Table_NFI[NFI Core Kit])</f>
        <v>0</v>
      </c>
      <c r="AA1173" s="378">
        <f>IF(NFI_Expiration=1,IF($A1173&lt;VLOOKUP(J$5,NFI,5,0),1,0)*Table_NFI[[#This Row],[Sanitary Kit]],Table_NFI[Sanitary Kit])</f>
        <v>0</v>
      </c>
      <c r="AB1173" s="378">
        <f>IF(NFI_Expiration=1,IF($A1173&lt;VLOOKUP(K$5,NFI,5,0),1,0)*Table_NFI[[#This Row],[Mosquito net]],Table_NFI[Mosquito net])</f>
        <v>0</v>
      </c>
      <c r="AC1173" s="378">
        <f>IF(NFI_Expiration=1,IF($A1173&lt;VLOOKUP(L$5,NFI,5,0),1,0)*Table_NFI[[#This Row],[Tarpaulin]],Table_NFI[[#This Row],[Tarpaulin]])</f>
        <v>0</v>
      </c>
      <c r="AD1173" s="378">
        <f>IF(NFI_Expiration=1,IF($A1173&lt;VLOOKUP(M$5,NFI,5,0),1,0)*Table_NFI[[#This Row],[Blanket]],Table_NFI[[#This Row],[Blanket]])</f>
        <v>0</v>
      </c>
      <c r="AE1173" s="378">
        <f>IF(NFI_Expiration=1,IF($A1173&lt;VLOOKUP(N$5,NFI,5,0),1,0)*Table_NFI[[#This Row],[Kitchen Set]],Table_NFI[Kitchen Set])</f>
        <v>0</v>
      </c>
      <c r="AF1173" s="378">
        <f>IF(NFI_Expiration=1,IF($A1173&lt;VLOOKUP(O$5,NFI,5,0),1,0)*Table_NFI[[#This Row],[Clothes Kit]],Table_NFI[Clothes Kit])</f>
        <v>0</v>
      </c>
      <c r="AG1173" s="378">
        <f>IF(NFI_Expiration=1,IF($A1173&lt;VLOOKUP(P$5,NFI,5,0),1,0)*Table_NFI[[#This Row],[Plastic Bucket]],Table_NFI[Plastic Bucket])</f>
        <v>0</v>
      </c>
      <c r="AH1173" s="378">
        <f>IF(NFI_Expiration=1,IF($A1173&lt;VLOOKUP(Q$5,NFI,5,0),1,0)*Table_NFI[[#This Row],[Plastic Mat]],Table_NFI[Plastic Mat])*IF(Table_NFI[[#This Row],[Distribution Date]]&gt;"2014-04-01",1,2.5)</f>
        <v>0</v>
      </c>
      <c r="AI1173" s="378">
        <f>IF(NFI_Expiration=1,IF($A1173&lt;VLOOKUP(R$5,NFI,5,0),1,0)*Table_NFI[[#This Row],[Winter Clothes Adult]],Table_NFI[Winter Clothes Adult])</f>
        <v>0</v>
      </c>
      <c r="AJ1173" s="378">
        <f>IF(NFI_Expiration=1,IF($A1173&lt;VLOOKUP(S$5,NFI,5,0),1,0)*Table_NFI[[#This Row],[Winter Clothes Children]],Table_NFI[Winter Clothes Children])</f>
        <v>0</v>
      </c>
      <c r="AK1173" s="378">
        <f>IF(NFI_Expiration=1,IF($A1173&lt;VLOOKUP(T$5,NFI,5,0),1,0)*Table_NFI[[#This Row],[Winter Items Other]],Table_NFI[Winter Items Other])</f>
        <v>0</v>
      </c>
      <c r="AL1173" s="378">
        <f>IF(NFI_Expiration=1,IF($A1173&lt;VLOOKUP(M$5,NFI,5,0),1,0)*Table_NFI[[#This Row],[Winter Blanket]],Table_NFI[[#This Row],[Winter Blanket]])</f>
        <v>0</v>
      </c>
      <c r="AM1173" s="378">
        <f>IF(Table_NFI[[#This Row],[Winter Clothes Adult]]+Table_NFI[[#This Row],[Winter Clothes Children]]+Table_NFI[[#This Row],[Winter Items Other]]+Table_NFI[[#This Row],[Winter Blanket]]&gt;0,1,0)</f>
        <v>0</v>
      </c>
      <c r="AN1173" s="418">
        <f>IF(NFI_Expiration=1,IF($A1173&lt;VLOOKUP(V$5,NFI,5,0),1,0)*Table_NFI[[#This Row],[Jerry Can]],Table_NFI[Jerry Can])</f>
        <v>0</v>
      </c>
      <c r="AO1173" s="579" t="str">
        <f>IFERROR(VLOOKUP(Table_NFI[[#This Row],[Camp Name]],CL,2,0),"")</f>
        <v/>
      </c>
      <c r="AP1173" s="574" t="str">
        <f ca="1">IF(Table_NFI[[#This Row],[Pcode]]="","",IF(OFFSET(CampList[Opening Date],MATCH(Table_NFI[[#This Row],[Pcode]],CampList[CP_Pcode],0)-1,0,1,1)&gt;=NFI_Monitor_Date,1,0))</f>
        <v/>
      </c>
      <c r="AQ1173" s="579" t="str">
        <f>IFERROR(VLOOKUP(Table_NFI[[#This Row],[Camp Name]],CL,3,0),"")</f>
        <v/>
      </c>
      <c r="AR1173" s="378" t="str">
        <f ca="1">IF(Table_NFI[[#This Row],[Pcode]]="","",OFFSET(CampList[Priority],MATCH(Table_NFI[[#This Row],[Pcode]],CampList[CP_Pcode],0)-1,0,1,1))</f>
        <v/>
      </c>
      <c r="AS1173" s="377" t="str">
        <f>IFERROR(Table_NFI[[#This Row],[Kitchen Set]]/VLOOKUP(Table_NFI[[#This Row],[Camp Name]],CL,4,0),"")</f>
        <v/>
      </c>
      <c r="AT1173" s="577"/>
      <c r="AU1173" s="580"/>
    </row>
    <row r="1174" spans="1:47" x14ac:dyDescent="0.25">
      <c r="A1174" s="381" t="str">
        <f t="shared" si="18"/>
        <v/>
      </c>
      <c r="B1174" s="571"/>
      <c r="C1174" s="577"/>
      <c r="D1174" s="577"/>
      <c r="E1174" s="577"/>
      <c r="F1174" s="577"/>
      <c r="G1174" s="577"/>
      <c r="H1174" s="376"/>
      <c r="I1174" s="376"/>
      <c r="J1174" s="376"/>
      <c r="K1174" s="376"/>
      <c r="L1174" s="376"/>
      <c r="M1174" s="376"/>
      <c r="N1174" s="376"/>
      <c r="O1174" s="376"/>
      <c r="P1174" s="378"/>
      <c r="Q1174" s="378"/>
      <c r="R1174" s="378"/>
      <c r="S1174" s="378"/>
      <c r="T1174" s="378"/>
      <c r="U1174" s="378"/>
      <c r="V1174" s="533"/>
      <c r="W1174" s="602"/>
      <c r="X1174" s="602"/>
      <c r="Y1174" s="378">
        <f>IF(NFI_Expiration=1,IF($A1174&lt;VLOOKUP(H$5,NFI,5,0),1,0)*Table_NFI[[#This Row],[Hygiene Kit]],Table_NFI[Hygiene Kit])</f>
        <v>0</v>
      </c>
      <c r="Z1174" s="378">
        <f>IF(NFI_Expiration=1,IF($A1174&lt;VLOOKUP(I$5,NFI,5,0),1,0)*Table_NFI[[#This Row],[NFI Core Kit]],Table_NFI[NFI Core Kit])</f>
        <v>0</v>
      </c>
      <c r="AA1174" s="378">
        <f>IF(NFI_Expiration=1,IF($A1174&lt;VLOOKUP(J$5,NFI,5,0),1,0)*Table_NFI[[#This Row],[Sanitary Kit]],Table_NFI[Sanitary Kit])</f>
        <v>0</v>
      </c>
      <c r="AB1174" s="378">
        <f>IF(NFI_Expiration=1,IF($A1174&lt;VLOOKUP(K$5,NFI,5,0),1,0)*Table_NFI[[#This Row],[Mosquito net]],Table_NFI[Mosquito net])</f>
        <v>0</v>
      </c>
      <c r="AC1174" s="378">
        <f>IF(NFI_Expiration=1,IF($A1174&lt;VLOOKUP(L$5,NFI,5,0),1,0)*Table_NFI[[#This Row],[Tarpaulin]],Table_NFI[[#This Row],[Tarpaulin]])</f>
        <v>0</v>
      </c>
      <c r="AD1174" s="378">
        <f>IF(NFI_Expiration=1,IF($A1174&lt;VLOOKUP(M$5,NFI,5,0),1,0)*Table_NFI[[#This Row],[Blanket]],Table_NFI[[#This Row],[Blanket]])</f>
        <v>0</v>
      </c>
      <c r="AE1174" s="378">
        <f>IF(NFI_Expiration=1,IF($A1174&lt;VLOOKUP(N$5,NFI,5,0),1,0)*Table_NFI[[#This Row],[Kitchen Set]],Table_NFI[Kitchen Set])</f>
        <v>0</v>
      </c>
      <c r="AF1174" s="378">
        <f>IF(NFI_Expiration=1,IF($A1174&lt;VLOOKUP(O$5,NFI,5,0),1,0)*Table_NFI[[#This Row],[Clothes Kit]],Table_NFI[Clothes Kit])</f>
        <v>0</v>
      </c>
      <c r="AG1174" s="378">
        <f>IF(NFI_Expiration=1,IF($A1174&lt;VLOOKUP(P$5,NFI,5,0),1,0)*Table_NFI[[#This Row],[Plastic Bucket]],Table_NFI[Plastic Bucket])</f>
        <v>0</v>
      </c>
      <c r="AH1174" s="378">
        <f>IF(NFI_Expiration=1,IF($A1174&lt;VLOOKUP(Q$5,NFI,5,0),1,0)*Table_NFI[[#This Row],[Plastic Mat]],Table_NFI[Plastic Mat])*IF(Table_NFI[[#This Row],[Distribution Date]]&gt;"2014-04-01",1,2.5)</f>
        <v>0</v>
      </c>
      <c r="AI1174" s="378">
        <f>IF(NFI_Expiration=1,IF($A1174&lt;VLOOKUP(R$5,NFI,5,0),1,0)*Table_NFI[[#This Row],[Winter Clothes Adult]],Table_NFI[Winter Clothes Adult])</f>
        <v>0</v>
      </c>
      <c r="AJ1174" s="378">
        <f>IF(NFI_Expiration=1,IF($A1174&lt;VLOOKUP(S$5,NFI,5,0),1,0)*Table_NFI[[#This Row],[Winter Clothes Children]],Table_NFI[Winter Clothes Children])</f>
        <v>0</v>
      </c>
      <c r="AK1174" s="378">
        <f>IF(NFI_Expiration=1,IF($A1174&lt;VLOOKUP(T$5,NFI,5,0),1,0)*Table_NFI[[#This Row],[Winter Items Other]],Table_NFI[Winter Items Other])</f>
        <v>0</v>
      </c>
      <c r="AL1174" s="378">
        <f>IF(NFI_Expiration=1,IF($A1174&lt;VLOOKUP(M$5,NFI,5,0),1,0)*Table_NFI[[#This Row],[Winter Blanket]],Table_NFI[[#This Row],[Winter Blanket]])</f>
        <v>0</v>
      </c>
      <c r="AM1174" s="378">
        <f>IF(Table_NFI[[#This Row],[Winter Clothes Adult]]+Table_NFI[[#This Row],[Winter Clothes Children]]+Table_NFI[[#This Row],[Winter Items Other]]+Table_NFI[[#This Row],[Winter Blanket]]&gt;0,1,0)</f>
        <v>0</v>
      </c>
      <c r="AN1174" s="418">
        <f>IF(NFI_Expiration=1,IF($A1174&lt;VLOOKUP(V$5,NFI,5,0),1,0)*Table_NFI[[#This Row],[Jerry Can]],Table_NFI[Jerry Can])</f>
        <v>0</v>
      </c>
      <c r="AO1174" s="579" t="str">
        <f>IFERROR(VLOOKUP(Table_NFI[[#This Row],[Camp Name]],CL,2,0),"")</f>
        <v/>
      </c>
      <c r="AP1174" s="574" t="str">
        <f ca="1">IF(Table_NFI[[#This Row],[Pcode]]="","",IF(OFFSET(CampList[Opening Date],MATCH(Table_NFI[[#This Row],[Pcode]],CampList[CP_Pcode],0)-1,0,1,1)&gt;=NFI_Monitor_Date,1,0))</f>
        <v/>
      </c>
      <c r="AQ1174" s="579" t="str">
        <f>IFERROR(VLOOKUP(Table_NFI[[#This Row],[Camp Name]],CL,3,0),"")</f>
        <v/>
      </c>
      <c r="AR1174" s="378" t="str">
        <f ca="1">IF(Table_NFI[[#This Row],[Pcode]]="","",OFFSET(CampList[Priority],MATCH(Table_NFI[[#This Row],[Pcode]],CampList[CP_Pcode],0)-1,0,1,1))</f>
        <v/>
      </c>
      <c r="AS1174" s="377" t="str">
        <f>IFERROR(Table_NFI[[#This Row],[Kitchen Set]]/VLOOKUP(Table_NFI[[#This Row],[Camp Name]],CL,4,0),"")</f>
        <v/>
      </c>
      <c r="AT1174" s="577"/>
      <c r="AU1174" s="580"/>
    </row>
    <row r="1175" spans="1:47" x14ac:dyDescent="0.25">
      <c r="A1175" s="381" t="str">
        <f t="shared" si="18"/>
        <v/>
      </c>
      <c r="B1175" s="571"/>
      <c r="C1175" s="577"/>
      <c r="D1175" s="577"/>
      <c r="E1175" s="577"/>
      <c r="F1175" s="577"/>
      <c r="G1175" s="577"/>
      <c r="H1175" s="376"/>
      <c r="I1175" s="376"/>
      <c r="J1175" s="376"/>
      <c r="K1175" s="376"/>
      <c r="L1175" s="376"/>
      <c r="M1175" s="376"/>
      <c r="N1175" s="376"/>
      <c r="O1175" s="376"/>
      <c r="P1175" s="378"/>
      <c r="Q1175" s="378"/>
      <c r="R1175" s="378"/>
      <c r="S1175" s="378"/>
      <c r="T1175" s="378"/>
      <c r="U1175" s="378"/>
      <c r="V1175" s="533"/>
      <c r="W1175" s="602"/>
      <c r="X1175" s="602"/>
      <c r="Y1175" s="378">
        <f>IF(NFI_Expiration=1,IF($A1175&lt;VLOOKUP(H$5,NFI,5,0),1,0)*Table_NFI[[#This Row],[Hygiene Kit]],Table_NFI[Hygiene Kit])</f>
        <v>0</v>
      </c>
      <c r="Z1175" s="378">
        <f>IF(NFI_Expiration=1,IF($A1175&lt;VLOOKUP(I$5,NFI,5,0),1,0)*Table_NFI[[#This Row],[NFI Core Kit]],Table_NFI[NFI Core Kit])</f>
        <v>0</v>
      </c>
      <c r="AA1175" s="378">
        <f>IF(NFI_Expiration=1,IF($A1175&lt;VLOOKUP(J$5,NFI,5,0),1,0)*Table_NFI[[#This Row],[Sanitary Kit]],Table_NFI[Sanitary Kit])</f>
        <v>0</v>
      </c>
      <c r="AB1175" s="378">
        <f>IF(NFI_Expiration=1,IF($A1175&lt;VLOOKUP(K$5,NFI,5,0),1,0)*Table_NFI[[#This Row],[Mosquito net]],Table_NFI[Mosquito net])</f>
        <v>0</v>
      </c>
      <c r="AC1175" s="378">
        <f>IF(NFI_Expiration=1,IF($A1175&lt;VLOOKUP(L$5,NFI,5,0),1,0)*Table_NFI[[#This Row],[Tarpaulin]],Table_NFI[[#This Row],[Tarpaulin]])</f>
        <v>0</v>
      </c>
      <c r="AD1175" s="378">
        <f>IF(NFI_Expiration=1,IF($A1175&lt;VLOOKUP(M$5,NFI,5,0),1,0)*Table_NFI[[#This Row],[Blanket]],Table_NFI[[#This Row],[Blanket]])</f>
        <v>0</v>
      </c>
      <c r="AE1175" s="378">
        <f>IF(NFI_Expiration=1,IF($A1175&lt;VLOOKUP(N$5,NFI,5,0),1,0)*Table_NFI[[#This Row],[Kitchen Set]],Table_NFI[Kitchen Set])</f>
        <v>0</v>
      </c>
      <c r="AF1175" s="378">
        <f>IF(NFI_Expiration=1,IF($A1175&lt;VLOOKUP(O$5,NFI,5,0),1,0)*Table_NFI[[#This Row],[Clothes Kit]],Table_NFI[Clothes Kit])</f>
        <v>0</v>
      </c>
      <c r="AG1175" s="378">
        <f>IF(NFI_Expiration=1,IF($A1175&lt;VLOOKUP(P$5,NFI,5,0),1,0)*Table_NFI[[#This Row],[Plastic Bucket]],Table_NFI[Plastic Bucket])</f>
        <v>0</v>
      </c>
      <c r="AH1175" s="378">
        <f>IF(NFI_Expiration=1,IF($A1175&lt;VLOOKUP(Q$5,NFI,5,0),1,0)*Table_NFI[[#This Row],[Plastic Mat]],Table_NFI[Plastic Mat])*IF(Table_NFI[[#This Row],[Distribution Date]]&gt;"2014-04-01",1,2.5)</f>
        <v>0</v>
      </c>
      <c r="AI1175" s="378">
        <f>IF(NFI_Expiration=1,IF($A1175&lt;VLOOKUP(R$5,NFI,5,0),1,0)*Table_NFI[[#This Row],[Winter Clothes Adult]],Table_NFI[Winter Clothes Adult])</f>
        <v>0</v>
      </c>
      <c r="AJ1175" s="378">
        <f>IF(NFI_Expiration=1,IF($A1175&lt;VLOOKUP(S$5,NFI,5,0),1,0)*Table_NFI[[#This Row],[Winter Clothes Children]],Table_NFI[Winter Clothes Children])</f>
        <v>0</v>
      </c>
      <c r="AK1175" s="378">
        <f>IF(NFI_Expiration=1,IF($A1175&lt;VLOOKUP(T$5,NFI,5,0),1,0)*Table_NFI[[#This Row],[Winter Items Other]],Table_NFI[Winter Items Other])</f>
        <v>0</v>
      </c>
      <c r="AL1175" s="378">
        <f>IF(NFI_Expiration=1,IF($A1175&lt;VLOOKUP(M$5,NFI,5,0),1,0)*Table_NFI[[#This Row],[Winter Blanket]],Table_NFI[[#This Row],[Winter Blanket]])</f>
        <v>0</v>
      </c>
      <c r="AM1175" s="378">
        <f>IF(Table_NFI[[#This Row],[Winter Clothes Adult]]+Table_NFI[[#This Row],[Winter Clothes Children]]+Table_NFI[[#This Row],[Winter Items Other]]+Table_NFI[[#This Row],[Winter Blanket]]&gt;0,1,0)</f>
        <v>0</v>
      </c>
      <c r="AN1175" s="418">
        <f>IF(NFI_Expiration=1,IF($A1175&lt;VLOOKUP(V$5,NFI,5,0),1,0)*Table_NFI[[#This Row],[Jerry Can]],Table_NFI[Jerry Can])</f>
        <v>0</v>
      </c>
      <c r="AO1175" s="579" t="str">
        <f>IFERROR(VLOOKUP(Table_NFI[[#This Row],[Camp Name]],CL,2,0),"")</f>
        <v/>
      </c>
      <c r="AP1175" s="574" t="str">
        <f ca="1">IF(Table_NFI[[#This Row],[Pcode]]="","",IF(OFFSET(CampList[Opening Date],MATCH(Table_NFI[[#This Row],[Pcode]],CampList[CP_Pcode],0)-1,0,1,1)&gt;=NFI_Monitor_Date,1,0))</f>
        <v/>
      </c>
      <c r="AQ1175" s="579" t="str">
        <f>IFERROR(VLOOKUP(Table_NFI[[#This Row],[Camp Name]],CL,3,0),"")</f>
        <v/>
      </c>
      <c r="AR1175" s="378" t="str">
        <f ca="1">IF(Table_NFI[[#This Row],[Pcode]]="","",OFFSET(CampList[Priority],MATCH(Table_NFI[[#This Row],[Pcode]],CampList[CP_Pcode],0)-1,0,1,1))</f>
        <v/>
      </c>
      <c r="AS1175" s="377" t="str">
        <f>IFERROR(Table_NFI[[#This Row],[Kitchen Set]]/VLOOKUP(Table_NFI[[#This Row],[Camp Name]],CL,4,0),"")</f>
        <v/>
      </c>
      <c r="AT1175" s="577"/>
      <c r="AU1175" s="580"/>
    </row>
    <row r="1176" spans="1:47" x14ac:dyDescent="0.25">
      <c r="A1176" s="381" t="str">
        <f t="shared" si="18"/>
        <v/>
      </c>
      <c r="B1176" s="571"/>
      <c r="C1176" s="577"/>
      <c r="D1176" s="577"/>
      <c r="E1176" s="577"/>
      <c r="F1176" s="577"/>
      <c r="G1176" s="577"/>
      <c r="H1176" s="376"/>
      <c r="I1176" s="376"/>
      <c r="J1176" s="376"/>
      <c r="K1176" s="376"/>
      <c r="L1176" s="376"/>
      <c r="M1176" s="376"/>
      <c r="N1176" s="376"/>
      <c r="O1176" s="376"/>
      <c r="P1176" s="378"/>
      <c r="Q1176" s="378"/>
      <c r="R1176" s="378"/>
      <c r="S1176" s="378"/>
      <c r="T1176" s="378"/>
      <c r="U1176" s="378"/>
      <c r="V1176" s="533"/>
      <c r="W1176" s="602"/>
      <c r="X1176" s="602"/>
      <c r="Y1176" s="378">
        <f>IF(NFI_Expiration=1,IF($A1176&lt;VLOOKUP(H$5,NFI,5,0),1,0)*Table_NFI[[#This Row],[Hygiene Kit]],Table_NFI[Hygiene Kit])</f>
        <v>0</v>
      </c>
      <c r="Z1176" s="378">
        <f>IF(NFI_Expiration=1,IF($A1176&lt;VLOOKUP(I$5,NFI,5,0),1,0)*Table_NFI[[#This Row],[NFI Core Kit]],Table_NFI[NFI Core Kit])</f>
        <v>0</v>
      </c>
      <c r="AA1176" s="378">
        <f>IF(NFI_Expiration=1,IF($A1176&lt;VLOOKUP(J$5,NFI,5,0),1,0)*Table_NFI[[#This Row],[Sanitary Kit]],Table_NFI[Sanitary Kit])</f>
        <v>0</v>
      </c>
      <c r="AB1176" s="378">
        <f>IF(NFI_Expiration=1,IF($A1176&lt;VLOOKUP(K$5,NFI,5,0),1,0)*Table_NFI[[#This Row],[Mosquito net]],Table_NFI[Mosquito net])</f>
        <v>0</v>
      </c>
      <c r="AC1176" s="378">
        <f>IF(NFI_Expiration=1,IF($A1176&lt;VLOOKUP(L$5,NFI,5,0),1,0)*Table_NFI[[#This Row],[Tarpaulin]],Table_NFI[[#This Row],[Tarpaulin]])</f>
        <v>0</v>
      </c>
      <c r="AD1176" s="378">
        <f>IF(NFI_Expiration=1,IF($A1176&lt;VLOOKUP(M$5,NFI,5,0),1,0)*Table_NFI[[#This Row],[Blanket]],Table_NFI[[#This Row],[Blanket]])</f>
        <v>0</v>
      </c>
      <c r="AE1176" s="378">
        <f>IF(NFI_Expiration=1,IF($A1176&lt;VLOOKUP(N$5,NFI,5,0),1,0)*Table_NFI[[#This Row],[Kitchen Set]],Table_NFI[Kitchen Set])</f>
        <v>0</v>
      </c>
      <c r="AF1176" s="378">
        <f>IF(NFI_Expiration=1,IF($A1176&lt;VLOOKUP(O$5,NFI,5,0),1,0)*Table_NFI[[#This Row],[Clothes Kit]],Table_NFI[Clothes Kit])</f>
        <v>0</v>
      </c>
      <c r="AG1176" s="378">
        <f>IF(NFI_Expiration=1,IF($A1176&lt;VLOOKUP(P$5,NFI,5,0),1,0)*Table_NFI[[#This Row],[Plastic Bucket]],Table_NFI[Plastic Bucket])</f>
        <v>0</v>
      </c>
      <c r="AH1176" s="378">
        <f>IF(NFI_Expiration=1,IF($A1176&lt;VLOOKUP(Q$5,NFI,5,0),1,0)*Table_NFI[[#This Row],[Plastic Mat]],Table_NFI[Plastic Mat])*IF(Table_NFI[[#This Row],[Distribution Date]]&gt;"2014-04-01",1,2.5)</f>
        <v>0</v>
      </c>
      <c r="AI1176" s="378">
        <f>IF(NFI_Expiration=1,IF($A1176&lt;VLOOKUP(R$5,NFI,5,0),1,0)*Table_NFI[[#This Row],[Winter Clothes Adult]],Table_NFI[Winter Clothes Adult])</f>
        <v>0</v>
      </c>
      <c r="AJ1176" s="378">
        <f>IF(NFI_Expiration=1,IF($A1176&lt;VLOOKUP(S$5,NFI,5,0),1,0)*Table_NFI[[#This Row],[Winter Clothes Children]],Table_NFI[Winter Clothes Children])</f>
        <v>0</v>
      </c>
      <c r="AK1176" s="378">
        <f>IF(NFI_Expiration=1,IF($A1176&lt;VLOOKUP(T$5,NFI,5,0),1,0)*Table_NFI[[#This Row],[Winter Items Other]],Table_NFI[Winter Items Other])</f>
        <v>0</v>
      </c>
      <c r="AL1176" s="378">
        <f>IF(NFI_Expiration=1,IF($A1176&lt;VLOOKUP(M$5,NFI,5,0),1,0)*Table_NFI[[#This Row],[Winter Blanket]],Table_NFI[[#This Row],[Winter Blanket]])</f>
        <v>0</v>
      </c>
      <c r="AM1176" s="378">
        <f>IF(Table_NFI[[#This Row],[Winter Clothes Adult]]+Table_NFI[[#This Row],[Winter Clothes Children]]+Table_NFI[[#This Row],[Winter Items Other]]+Table_NFI[[#This Row],[Winter Blanket]]&gt;0,1,0)</f>
        <v>0</v>
      </c>
      <c r="AN1176" s="418">
        <f>IF(NFI_Expiration=1,IF($A1176&lt;VLOOKUP(V$5,NFI,5,0),1,0)*Table_NFI[[#This Row],[Jerry Can]],Table_NFI[Jerry Can])</f>
        <v>0</v>
      </c>
      <c r="AO1176" s="579" t="str">
        <f>IFERROR(VLOOKUP(Table_NFI[[#This Row],[Camp Name]],CL,2,0),"")</f>
        <v/>
      </c>
      <c r="AP1176" s="574" t="str">
        <f ca="1">IF(Table_NFI[[#This Row],[Pcode]]="","",IF(OFFSET(CampList[Opening Date],MATCH(Table_NFI[[#This Row],[Pcode]],CampList[CP_Pcode],0)-1,0,1,1)&gt;=NFI_Monitor_Date,1,0))</f>
        <v/>
      </c>
      <c r="AQ1176" s="579" t="str">
        <f>IFERROR(VLOOKUP(Table_NFI[[#This Row],[Camp Name]],CL,3,0),"")</f>
        <v/>
      </c>
      <c r="AR1176" s="378" t="str">
        <f ca="1">IF(Table_NFI[[#This Row],[Pcode]]="","",OFFSET(CampList[Priority],MATCH(Table_NFI[[#This Row],[Pcode]],CampList[CP_Pcode],0)-1,0,1,1))</f>
        <v/>
      </c>
      <c r="AS1176" s="377" t="str">
        <f>IFERROR(Table_NFI[[#This Row],[Kitchen Set]]/VLOOKUP(Table_NFI[[#This Row],[Camp Name]],CL,4,0),"")</f>
        <v/>
      </c>
      <c r="AT1176" s="577"/>
      <c r="AU1176" s="580"/>
    </row>
    <row r="1177" spans="1:47" x14ac:dyDescent="0.25">
      <c r="A1177" s="381" t="str">
        <f t="shared" si="18"/>
        <v/>
      </c>
      <c r="B1177" s="571"/>
      <c r="C1177" s="577"/>
      <c r="D1177" s="577"/>
      <c r="E1177" s="577"/>
      <c r="F1177" s="577"/>
      <c r="G1177" s="577"/>
      <c r="H1177" s="376"/>
      <c r="I1177" s="376"/>
      <c r="J1177" s="376"/>
      <c r="K1177" s="376"/>
      <c r="L1177" s="376"/>
      <c r="M1177" s="376"/>
      <c r="N1177" s="376"/>
      <c r="O1177" s="376"/>
      <c r="P1177" s="378"/>
      <c r="Q1177" s="378"/>
      <c r="R1177" s="378"/>
      <c r="S1177" s="378"/>
      <c r="T1177" s="378"/>
      <c r="U1177" s="378"/>
      <c r="V1177" s="533"/>
      <c r="W1177" s="602"/>
      <c r="X1177" s="602"/>
      <c r="Y1177" s="378">
        <f>IF(NFI_Expiration=1,IF($A1177&lt;VLOOKUP(H$5,NFI,5,0),1,0)*Table_NFI[[#This Row],[Hygiene Kit]],Table_NFI[Hygiene Kit])</f>
        <v>0</v>
      </c>
      <c r="Z1177" s="378">
        <f>IF(NFI_Expiration=1,IF($A1177&lt;VLOOKUP(I$5,NFI,5,0),1,0)*Table_NFI[[#This Row],[NFI Core Kit]],Table_NFI[NFI Core Kit])</f>
        <v>0</v>
      </c>
      <c r="AA1177" s="378">
        <f>IF(NFI_Expiration=1,IF($A1177&lt;VLOOKUP(J$5,NFI,5,0),1,0)*Table_NFI[[#This Row],[Sanitary Kit]],Table_NFI[Sanitary Kit])</f>
        <v>0</v>
      </c>
      <c r="AB1177" s="378">
        <f>IF(NFI_Expiration=1,IF($A1177&lt;VLOOKUP(K$5,NFI,5,0),1,0)*Table_NFI[[#This Row],[Mosquito net]],Table_NFI[Mosquito net])</f>
        <v>0</v>
      </c>
      <c r="AC1177" s="378">
        <f>IF(NFI_Expiration=1,IF($A1177&lt;VLOOKUP(L$5,NFI,5,0),1,0)*Table_NFI[[#This Row],[Tarpaulin]],Table_NFI[[#This Row],[Tarpaulin]])</f>
        <v>0</v>
      </c>
      <c r="AD1177" s="378">
        <f>IF(NFI_Expiration=1,IF($A1177&lt;VLOOKUP(M$5,NFI,5,0),1,0)*Table_NFI[[#This Row],[Blanket]],Table_NFI[[#This Row],[Blanket]])</f>
        <v>0</v>
      </c>
      <c r="AE1177" s="378">
        <f>IF(NFI_Expiration=1,IF($A1177&lt;VLOOKUP(N$5,NFI,5,0),1,0)*Table_NFI[[#This Row],[Kitchen Set]],Table_NFI[Kitchen Set])</f>
        <v>0</v>
      </c>
      <c r="AF1177" s="378">
        <f>IF(NFI_Expiration=1,IF($A1177&lt;VLOOKUP(O$5,NFI,5,0),1,0)*Table_NFI[[#This Row],[Clothes Kit]],Table_NFI[Clothes Kit])</f>
        <v>0</v>
      </c>
      <c r="AG1177" s="378">
        <f>IF(NFI_Expiration=1,IF($A1177&lt;VLOOKUP(P$5,NFI,5,0),1,0)*Table_NFI[[#This Row],[Plastic Bucket]],Table_NFI[Plastic Bucket])</f>
        <v>0</v>
      </c>
      <c r="AH1177" s="378">
        <f>IF(NFI_Expiration=1,IF($A1177&lt;VLOOKUP(Q$5,NFI,5,0),1,0)*Table_NFI[[#This Row],[Plastic Mat]],Table_NFI[Plastic Mat])*IF(Table_NFI[[#This Row],[Distribution Date]]&gt;"2014-04-01",1,2.5)</f>
        <v>0</v>
      </c>
      <c r="AI1177" s="378">
        <f>IF(NFI_Expiration=1,IF($A1177&lt;VLOOKUP(R$5,NFI,5,0),1,0)*Table_NFI[[#This Row],[Winter Clothes Adult]],Table_NFI[Winter Clothes Adult])</f>
        <v>0</v>
      </c>
      <c r="AJ1177" s="378">
        <f>IF(NFI_Expiration=1,IF($A1177&lt;VLOOKUP(S$5,NFI,5,0),1,0)*Table_NFI[[#This Row],[Winter Clothes Children]],Table_NFI[Winter Clothes Children])</f>
        <v>0</v>
      </c>
      <c r="AK1177" s="378">
        <f>IF(NFI_Expiration=1,IF($A1177&lt;VLOOKUP(T$5,NFI,5,0),1,0)*Table_NFI[[#This Row],[Winter Items Other]],Table_NFI[Winter Items Other])</f>
        <v>0</v>
      </c>
      <c r="AL1177" s="378">
        <f>IF(NFI_Expiration=1,IF($A1177&lt;VLOOKUP(M$5,NFI,5,0),1,0)*Table_NFI[[#This Row],[Winter Blanket]],Table_NFI[[#This Row],[Winter Blanket]])</f>
        <v>0</v>
      </c>
      <c r="AM1177" s="378">
        <f>IF(Table_NFI[[#This Row],[Winter Clothes Adult]]+Table_NFI[[#This Row],[Winter Clothes Children]]+Table_NFI[[#This Row],[Winter Items Other]]+Table_NFI[[#This Row],[Winter Blanket]]&gt;0,1,0)</f>
        <v>0</v>
      </c>
      <c r="AN1177" s="418">
        <f>IF(NFI_Expiration=1,IF($A1177&lt;VLOOKUP(V$5,NFI,5,0),1,0)*Table_NFI[[#This Row],[Jerry Can]],Table_NFI[Jerry Can])</f>
        <v>0</v>
      </c>
      <c r="AO1177" s="579" t="str">
        <f>IFERROR(VLOOKUP(Table_NFI[[#This Row],[Camp Name]],CL,2,0),"")</f>
        <v/>
      </c>
      <c r="AP1177" s="574" t="str">
        <f ca="1">IF(Table_NFI[[#This Row],[Pcode]]="","",IF(OFFSET(CampList[Opening Date],MATCH(Table_NFI[[#This Row],[Pcode]],CampList[CP_Pcode],0)-1,0,1,1)&gt;=NFI_Monitor_Date,1,0))</f>
        <v/>
      </c>
      <c r="AQ1177" s="579" t="str">
        <f>IFERROR(VLOOKUP(Table_NFI[[#This Row],[Camp Name]],CL,3,0),"")</f>
        <v/>
      </c>
      <c r="AR1177" s="378" t="str">
        <f ca="1">IF(Table_NFI[[#This Row],[Pcode]]="","",OFFSET(CampList[Priority],MATCH(Table_NFI[[#This Row],[Pcode]],CampList[CP_Pcode],0)-1,0,1,1))</f>
        <v/>
      </c>
      <c r="AS1177" s="377" t="str">
        <f>IFERROR(Table_NFI[[#This Row],[Kitchen Set]]/VLOOKUP(Table_NFI[[#This Row],[Camp Name]],CL,4,0),"")</f>
        <v/>
      </c>
      <c r="AT1177" s="577"/>
      <c r="AU1177" s="580"/>
    </row>
    <row r="1178" spans="1:47" x14ac:dyDescent="0.25">
      <c r="A1178" s="381" t="str">
        <f t="shared" si="18"/>
        <v/>
      </c>
      <c r="B1178" s="571"/>
      <c r="C1178" s="577"/>
      <c r="D1178" s="577"/>
      <c r="E1178" s="577"/>
      <c r="F1178" s="577"/>
      <c r="G1178" s="577"/>
      <c r="H1178" s="376"/>
      <c r="I1178" s="376"/>
      <c r="J1178" s="376"/>
      <c r="K1178" s="376"/>
      <c r="L1178" s="376"/>
      <c r="M1178" s="376"/>
      <c r="N1178" s="376"/>
      <c r="O1178" s="376"/>
      <c r="P1178" s="378"/>
      <c r="Q1178" s="378"/>
      <c r="R1178" s="378"/>
      <c r="S1178" s="378"/>
      <c r="T1178" s="378"/>
      <c r="U1178" s="378"/>
      <c r="V1178" s="533"/>
      <c r="W1178" s="602"/>
      <c r="X1178" s="602"/>
      <c r="Y1178" s="378">
        <f>IF(NFI_Expiration=1,IF($A1178&lt;VLOOKUP(H$5,NFI,5,0),1,0)*Table_NFI[[#This Row],[Hygiene Kit]],Table_NFI[Hygiene Kit])</f>
        <v>0</v>
      </c>
      <c r="Z1178" s="378">
        <f>IF(NFI_Expiration=1,IF($A1178&lt;VLOOKUP(I$5,NFI,5,0),1,0)*Table_NFI[[#This Row],[NFI Core Kit]],Table_NFI[NFI Core Kit])</f>
        <v>0</v>
      </c>
      <c r="AA1178" s="378">
        <f>IF(NFI_Expiration=1,IF($A1178&lt;VLOOKUP(J$5,NFI,5,0),1,0)*Table_NFI[[#This Row],[Sanitary Kit]],Table_NFI[Sanitary Kit])</f>
        <v>0</v>
      </c>
      <c r="AB1178" s="378">
        <f>IF(NFI_Expiration=1,IF($A1178&lt;VLOOKUP(K$5,NFI,5,0),1,0)*Table_NFI[[#This Row],[Mosquito net]],Table_NFI[Mosquito net])</f>
        <v>0</v>
      </c>
      <c r="AC1178" s="378">
        <f>IF(NFI_Expiration=1,IF($A1178&lt;VLOOKUP(L$5,NFI,5,0),1,0)*Table_NFI[[#This Row],[Tarpaulin]],Table_NFI[[#This Row],[Tarpaulin]])</f>
        <v>0</v>
      </c>
      <c r="AD1178" s="378">
        <f>IF(NFI_Expiration=1,IF($A1178&lt;VLOOKUP(M$5,NFI,5,0),1,0)*Table_NFI[[#This Row],[Blanket]],Table_NFI[[#This Row],[Blanket]])</f>
        <v>0</v>
      </c>
      <c r="AE1178" s="378">
        <f>IF(NFI_Expiration=1,IF($A1178&lt;VLOOKUP(N$5,NFI,5,0),1,0)*Table_NFI[[#This Row],[Kitchen Set]],Table_NFI[Kitchen Set])</f>
        <v>0</v>
      </c>
      <c r="AF1178" s="378">
        <f>IF(NFI_Expiration=1,IF($A1178&lt;VLOOKUP(O$5,NFI,5,0),1,0)*Table_NFI[[#This Row],[Clothes Kit]],Table_NFI[Clothes Kit])</f>
        <v>0</v>
      </c>
      <c r="AG1178" s="378">
        <f>IF(NFI_Expiration=1,IF($A1178&lt;VLOOKUP(P$5,NFI,5,0),1,0)*Table_NFI[[#This Row],[Plastic Bucket]],Table_NFI[Plastic Bucket])</f>
        <v>0</v>
      </c>
      <c r="AH1178" s="378">
        <f>IF(NFI_Expiration=1,IF($A1178&lt;VLOOKUP(Q$5,NFI,5,0),1,0)*Table_NFI[[#This Row],[Plastic Mat]],Table_NFI[Plastic Mat])*IF(Table_NFI[[#This Row],[Distribution Date]]&gt;"2014-04-01",1,2.5)</f>
        <v>0</v>
      </c>
      <c r="AI1178" s="378">
        <f>IF(NFI_Expiration=1,IF($A1178&lt;VLOOKUP(R$5,NFI,5,0),1,0)*Table_NFI[[#This Row],[Winter Clothes Adult]],Table_NFI[Winter Clothes Adult])</f>
        <v>0</v>
      </c>
      <c r="AJ1178" s="378">
        <f>IF(NFI_Expiration=1,IF($A1178&lt;VLOOKUP(S$5,NFI,5,0),1,0)*Table_NFI[[#This Row],[Winter Clothes Children]],Table_NFI[Winter Clothes Children])</f>
        <v>0</v>
      </c>
      <c r="AK1178" s="378">
        <f>IF(NFI_Expiration=1,IF($A1178&lt;VLOOKUP(T$5,NFI,5,0),1,0)*Table_NFI[[#This Row],[Winter Items Other]],Table_NFI[Winter Items Other])</f>
        <v>0</v>
      </c>
      <c r="AL1178" s="378">
        <f>IF(NFI_Expiration=1,IF($A1178&lt;VLOOKUP(M$5,NFI,5,0),1,0)*Table_NFI[[#This Row],[Winter Blanket]],Table_NFI[[#This Row],[Winter Blanket]])</f>
        <v>0</v>
      </c>
      <c r="AM1178" s="378">
        <f>IF(Table_NFI[[#This Row],[Winter Clothes Adult]]+Table_NFI[[#This Row],[Winter Clothes Children]]+Table_NFI[[#This Row],[Winter Items Other]]+Table_NFI[[#This Row],[Winter Blanket]]&gt;0,1,0)</f>
        <v>0</v>
      </c>
      <c r="AN1178" s="418">
        <f>IF(NFI_Expiration=1,IF($A1178&lt;VLOOKUP(V$5,NFI,5,0),1,0)*Table_NFI[[#This Row],[Jerry Can]],Table_NFI[Jerry Can])</f>
        <v>0</v>
      </c>
      <c r="AO1178" s="579" t="str">
        <f>IFERROR(VLOOKUP(Table_NFI[[#This Row],[Camp Name]],CL,2,0),"")</f>
        <v/>
      </c>
      <c r="AP1178" s="574" t="str">
        <f ca="1">IF(Table_NFI[[#This Row],[Pcode]]="","",IF(OFFSET(CampList[Opening Date],MATCH(Table_NFI[[#This Row],[Pcode]],CampList[CP_Pcode],0)-1,0,1,1)&gt;=NFI_Monitor_Date,1,0))</f>
        <v/>
      </c>
      <c r="AQ1178" s="579" t="str">
        <f>IFERROR(VLOOKUP(Table_NFI[[#This Row],[Camp Name]],CL,3,0),"")</f>
        <v/>
      </c>
      <c r="AR1178" s="378" t="str">
        <f ca="1">IF(Table_NFI[[#This Row],[Pcode]]="","",OFFSET(CampList[Priority],MATCH(Table_NFI[[#This Row],[Pcode]],CampList[CP_Pcode],0)-1,0,1,1))</f>
        <v/>
      </c>
      <c r="AS1178" s="377" t="str">
        <f>IFERROR(Table_NFI[[#This Row],[Kitchen Set]]/VLOOKUP(Table_NFI[[#This Row],[Camp Name]],CL,4,0),"")</f>
        <v/>
      </c>
      <c r="AT1178" s="577"/>
      <c r="AU1178" s="580"/>
    </row>
    <row r="1179" spans="1:47" x14ac:dyDescent="0.25">
      <c r="A1179" s="381" t="str">
        <f t="shared" si="18"/>
        <v/>
      </c>
      <c r="B1179" s="571"/>
      <c r="C1179" s="577"/>
      <c r="D1179" s="577"/>
      <c r="E1179" s="577"/>
      <c r="F1179" s="577"/>
      <c r="G1179" s="577"/>
      <c r="H1179" s="376"/>
      <c r="I1179" s="376"/>
      <c r="J1179" s="376"/>
      <c r="K1179" s="376"/>
      <c r="L1179" s="376"/>
      <c r="M1179" s="376"/>
      <c r="N1179" s="376"/>
      <c r="O1179" s="376"/>
      <c r="P1179" s="378"/>
      <c r="Q1179" s="378"/>
      <c r="R1179" s="378"/>
      <c r="S1179" s="378"/>
      <c r="T1179" s="378"/>
      <c r="U1179" s="378"/>
      <c r="V1179" s="533"/>
      <c r="W1179" s="602"/>
      <c r="X1179" s="602"/>
      <c r="Y1179" s="378">
        <f>IF(NFI_Expiration=1,IF($A1179&lt;VLOOKUP(H$5,NFI,5,0),1,0)*Table_NFI[[#This Row],[Hygiene Kit]],Table_NFI[Hygiene Kit])</f>
        <v>0</v>
      </c>
      <c r="Z1179" s="378">
        <f>IF(NFI_Expiration=1,IF($A1179&lt;VLOOKUP(I$5,NFI,5,0),1,0)*Table_NFI[[#This Row],[NFI Core Kit]],Table_NFI[NFI Core Kit])</f>
        <v>0</v>
      </c>
      <c r="AA1179" s="378">
        <f>IF(NFI_Expiration=1,IF($A1179&lt;VLOOKUP(J$5,NFI,5,0),1,0)*Table_NFI[[#This Row],[Sanitary Kit]],Table_NFI[Sanitary Kit])</f>
        <v>0</v>
      </c>
      <c r="AB1179" s="378">
        <f>IF(NFI_Expiration=1,IF($A1179&lt;VLOOKUP(K$5,NFI,5,0),1,0)*Table_NFI[[#This Row],[Mosquito net]],Table_NFI[Mosquito net])</f>
        <v>0</v>
      </c>
      <c r="AC1179" s="378">
        <f>IF(NFI_Expiration=1,IF($A1179&lt;VLOOKUP(L$5,NFI,5,0),1,0)*Table_NFI[[#This Row],[Tarpaulin]],Table_NFI[[#This Row],[Tarpaulin]])</f>
        <v>0</v>
      </c>
      <c r="AD1179" s="378">
        <f>IF(NFI_Expiration=1,IF($A1179&lt;VLOOKUP(M$5,NFI,5,0),1,0)*Table_NFI[[#This Row],[Blanket]],Table_NFI[[#This Row],[Blanket]])</f>
        <v>0</v>
      </c>
      <c r="AE1179" s="378">
        <f>IF(NFI_Expiration=1,IF($A1179&lt;VLOOKUP(N$5,NFI,5,0),1,0)*Table_NFI[[#This Row],[Kitchen Set]],Table_NFI[Kitchen Set])</f>
        <v>0</v>
      </c>
      <c r="AF1179" s="378">
        <f>IF(NFI_Expiration=1,IF($A1179&lt;VLOOKUP(O$5,NFI,5,0),1,0)*Table_NFI[[#This Row],[Clothes Kit]],Table_NFI[Clothes Kit])</f>
        <v>0</v>
      </c>
      <c r="AG1179" s="378">
        <f>IF(NFI_Expiration=1,IF($A1179&lt;VLOOKUP(P$5,NFI,5,0),1,0)*Table_NFI[[#This Row],[Plastic Bucket]],Table_NFI[Plastic Bucket])</f>
        <v>0</v>
      </c>
      <c r="AH1179" s="378">
        <f>IF(NFI_Expiration=1,IF($A1179&lt;VLOOKUP(Q$5,NFI,5,0),1,0)*Table_NFI[[#This Row],[Plastic Mat]],Table_NFI[Plastic Mat])*IF(Table_NFI[[#This Row],[Distribution Date]]&gt;"2014-04-01",1,2.5)</f>
        <v>0</v>
      </c>
      <c r="AI1179" s="378">
        <f>IF(NFI_Expiration=1,IF($A1179&lt;VLOOKUP(R$5,NFI,5,0),1,0)*Table_NFI[[#This Row],[Winter Clothes Adult]],Table_NFI[Winter Clothes Adult])</f>
        <v>0</v>
      </c>
      <c r="AJ1179" s="378">
        <f>IF(NFI_Expiration=1,IF($A1179&lt;VLOOKUP(S$5,NFI,5,0),1,0)*Table_NFI[[#This Row],[Winter Clothes Children]],Table_NFI[Winter Clothes Children])</f>
        <v>0</v>
      </c>
      <c r="AK1179" s="378">
        <f>IF(NFI_Expiration=1,IF($A1179&lt;VLOOKUP(T$5,NFI,5,0),1,0)*Table_NFI[[#This Row],[Winter Items Other]],Table_NFI[Winter Items Other])</f>
        <v>0</v>
      </c>
      <c r="AL1179" s="378">
        <f>IF(NFI_Expiration=1,IF($A1179&lt;VLOOKUP(M$5,NFI,5,0),1,0)*Table_NFI[[#This Row],[Winter Blanket]],Table_NFI[[#This Row],[Winter Blanket]])</f>
        <v>0</v>
      </c>
      <c r="AM1179" s="378">
        <f>IF(Table_NFI[[#This Row],[Winter Clothes Adult]]+Table_NFI[[#This Row],[Winter Clothes Children]]+Table_NFI[[#This Row],[Winter Items Other]]+Table_NFI[[#This Row],[Winter Blanket]]&gt;0,1,0)</f>
        <v>0</v>
      </c>
      <c r="AN1179" s="418">
        <f>IF(NFI_Expiration=1,IF($A1179&lt;VLOOKUP(V$5,NFI,5,0),1,0)*Table_NFI[[#This Row],[Jerry Can]],Table_NFI[Jerry Can])</f>
        <v>0</v>
      </c>
      <c r="AO1179" s="579" t="str">
        <f>IFERROR(VLOOKUP(Table_NFI[[#This Row],[Camp Name]],CL,2,0),"")</f>
        <v/>
      </c>
      <c r="AP1179" s="574" t="str">
        <f ca="1">IF(Table_NFI[[#This Row],[Pcode]]="","",IF(OFFSET(CampList[Opening Date],MATCH(Table_NFI[[#This Row],[Pcode]],CampList[CP_Pcode],0)-1,0,1,1)&gt;=NFI_Monitor_Date,1,0))</f>
        <v/>
      </c>
      <c r="AQ1179" s="579" t="str">
        <f>IFERROR(VLOOKUP(Table_NFI[[#This Row],[Camp Name]],CL,3,0),"")</f>
        <v/>
      </c>
      <c r="AR1179" s="378" t="str">
        <f ca="1">IF(Table_NFI[[#This Row],[Pcode]]="","",OFFSET(CampList[Priority],MATCH(Table_NFI[[#This Row],[Pcode]],CampList[CP_Pcode],0)-1,0,1,1))</f>
        <v/>
      </c>
      <c r="AS1179" s="377" t="str">
        <f>IFERROR(Table_NFI[[#This Row],[Kitchen Set]]/VLOOKUP(Table_NFI[[#This Row],[Camp Name]],CL,4,0),"")</f>
        <v/>
      </c>
      <c r="AT1179" s="577"/>
      <c r="AU1179" s="580"/>
    </row>
    <row r="1180" spans="1:47" x14ac:dyDescent="0.25">
      <c r="A1180" s="381" t="str">
        <f t="shared" si="18"/>
        <v/>
      </c>
      <c r="B1180" s="571"/>
      <c r="C1180" s="577"/>
      <c r="D1180" s="577"/>
      <c r="E1180" s="577"/>
      <c r="F1180" s="577"/>
      <c r="G1180" s="577"/>
      <c r="H1180" s="376"/>
      <c r="I1180" s="376"/>
      <c r="J1180" s="376"/>
      <c r="K1180" s="376"/>
      <c r="L1180" s="376"/>
      <c r="M1180" s="376"/>
      <c r="N1180" s="376"/>
      <c r="O1180" s="376"/>
      <c r="P1180" s="378"/>
      <c r="Q1180" s="378"/>
      <c r="R1180" s="378"/>
      <c r="S1180" s="378"/>
      <c r="T1180" s="378"/>
      <c r="U1180" s="378"/>
      <c r="V1180" s="533"/>
      <c r="W1180" s="602"/>
      <c r="X1180" s="602"/>
      <c r="Y1180" s="378">
        <f>IF(NFI_Expiration=1,IF($A1180&lt;VLOOKUP(H$5,NFI,5,0),1,0)*Table_NFI[[#This Row],[Hygiene Kit]],Table_NFI[Hygiene Kit])</f>
        <v>0</v>
      </c>
      <c r="Z1180" s="378">
        <f>IF(NFI_Expiration=1,IF($A1180&lt;VLOOKUP(I$5,NFI,5,0),1,0)*Table_NFI[[#This Row],[NFI Core Kit]],Table_NFI[NFI Core Kit])</f>
        <v>0</v>
      </c>
      <c r="AA1180" s="378">
        <f>IF(NFI_Expiration=1,IF($A1180&lt;VLOOKUP(J$5,NFI,5,0),1,0)*Table_NFI[[#This Row],[Sanitary Kit]],Table_NFI[Sanitary Kit])</f>
        <v>0</v>
      </c>
      <c r="AB1180" s="378">
        <f>IF(NFI_Expiration=1,IF($A1180&lt;VLOOKUP(K$5,NFI,5,0),1,0)*Table_NFI[[#This Row],[Mosquito net]],Table_NFI[Mosquito net])</f>
        <v>0</v>
      </c>
      <c r="AC1180" s="378">
        <f>IF(NFI_Expiration=1,IF($A1180&lt;VLOOKUP(L$5,NFI,5,0),1,0)*Table_NFI[[#This Row],[Tarpaulin]],Table_NFI[[#This Row],[Tarpaulin]])</f>
        <v>0</v>
      </c>
      <c r="AD1180" s="378">
        <f>IF(NFI_Expiration=1,IF($A1180&lt;VLOOKUP(M$5,NFI,5,0),1,0)*Table_NFI[[#This Row],[Blanket]],Table_NFI[[#This Row],[Blanket]])</f>
        <v>0</v>
      </c>
      <c r="AE1180" s="378">
        <f>IF(NFI_Expiration=1,IF($A1180&lt;VLOOKUP(N$5,NFI,5,0),1,0)*Table_NFI[[#This Row],[Kitchen Set]],Table_NFI[Kitchen Set])</f>
        <v>0</v>
      </c>
      <c r="AF1180" s="378">
        <f>IF(NFI_Expiration=1,IF($A1180&lt;VLOOKUP(O$5,NFI,5,0),1,0)*Table_NFI[[#This Row],[Clothes Kit]],Table_NFI[Clothes Kit])</f>
        <v>0</v>
      </c>
      <c r="AG1180" s="378">
        <f>IF(NFI_Expiration=1,IF($A1180&lt;VLOOKUP(P$5,NFI,5,0),1,0)*Table_NFI[[#This Row],[Plastic Bucket]],Table_NFI[Plastic Bucket])</f>
        <v>0</v>
      </c>
      <c r="AH1180" s="378">
        <f>IF(NFI_Expiration=1,IF($A1180&lt;VLOOKUP(Q$5,NFI,5,0),1,0)*Table_NFI[[#This Row],[Plastic Mat]],Table_NFI[Plastic Mat])*IF(Table_NFI[[#This Row],[Distribution Date]]&gt;"2014-04-01",1,2.5)</f>
        <v>0</v>
      </c>
      <c r="AI1180" s="378">
        <f>IF(NFI_Expiration=1,IF($A1180&lt;VLOOKUP(R$5,NFI,5,0),1,0)*Table_NFI[[#This Row],[Winter Clothes Adult]],Table_NFI[Winter Clothes Adult])</f>
        <v>0</v>
      </c>
      <c r="AJ1180" s="378">
        <f>IF(NFI_Expiration=1,IF($A1180&lt;VLOOKUP(S$5,NFI,5,0),1,0)*Table_NFI[[#This Row],[Winter Clothes Children]],Table_NFI[Winter Clothes Children])</f>
        <v>0</v>
      </c>
      <c r="AK1180" s="378">
        <f>IF(NFI_Expiration=1,IF($A1180&lt;VLOOKUP(T$5,NFI,5,0),1,0)*Table_NFI[[#This Row],[Winter Items Other]],Table_NFI[Winter Items Other])</f>
        <v>0</v>
      </c>
      <c r="AL1180" s="378">
        <f>IF(NFI_Expiration=1,IF($A1180&lt;VLOOKUP(M$5,NFI,5,0),1,0)*Table_NFI[[#This Row],[Winter Blanket]],Table_NFI[[#This Row],[Winter Blanket]])</f>
        <v>0</v>
      </c>
      <c r="AM1180" s="378">
        <f>IF(Table_NFI[[#This Row],[Winter Clothes Adult]]+Table_NFI[[#This Row],[Winter Clothes Children]]+Table_NFI[[#This Row],[Winter Items Other]]+Table_NFI[[#This Row],[Winter Blanket]]&gt;0,1,0)</f>
        <v>0</v>
      </c>
      <c r="AN1180" s="418">
        <f>IF(NFI_Expiration=1,IF($A1180&lt;VLOOKUP(V$5,NFI,5,0),1,0)*Table_NFI[[#This Row],[Jerry Can]],Table_NFI[Jerry Can])</f>
        <v>0</v>
      </c>
      <c r="AO1180" s="579" t="str">
        <f>IFERROR(VLOOKUP(Table_NFI[[#This Row],[Camp Name]],CL,2,0),"")</f>
        <v/>
      </c>
      <c r="AP1180" s="574" t="str">
        <f ca="1">IF(Table_NFI[[#This Row],[Pcode]]="","",IF(OFFSET(CampList[Opening Date],MATCH(Table_NFI[[#This Row],[Pcode]],CampList[CP_Pcode],0)-1,0,1,1)&gt;=NFI_Monitor_Date,1,0))</f>
        <v/>
      </c>
      <c r="AQ1180" s="579" t="str">
        <f>IFERROR(VLOOKUP(Table_NFI[[#This Row],[Camp Name]],CL,3,0),"")</f>
        <v/>
      </c>
      <c r="AR1180" s="378" t="str">
        <f ca="1">IF(Table_NFI[[#This Row],[Pcode]]="","",OFFSET(CampList[Priority],MATCH(Table_NFI[[#This Row],[Pcode]],CampList[CP_Pcode],0)-1,0,1,1))</f>
        <v/>
      </c>
      <c r="AS1180" s="377" t="str">
        <f>IFERROR(Table_NFI[[#This Row],[Kitchen Set]]/VLOOKUP(Table_NFI[[#This Row],[Camp Name]],CL,4,0),"")</f>
        <v/>
      </c>
      <c r="AT1180" s="577"/>
      <c r="AU1180" s="580"/>
    </row>
    <row r="1181" spans="1:47" x14ac:dyDescent="0.25">
      <c r="A1181" s="381" t="str">
        <f t="shared" si="18"/>
        <v/>
      </c>
      <c r="B1181" s="571"/>
      <c r="C1181" s="577"/>
      <c r="D1181" s="577"/>
      <c r="E1181" s="577"/>
      <c r="F1181" s="577"/>
      <c r="G1181" s="577"/>
      <c r="H1181" s="376"/>
      <c r="I1181" s="376"/>
      <c r="J1181" s="376"/>
      <c r="K1181" s="376"/>
      <c r="L1181" s="376"/>
      <c r="M1181" s="376"/>
      <c r="N1181" s="376"/>
      <c r="O1181" s="376"/>
      <c r="P1181" s="378"/>
      <c r="Q1181" s="378"/>
      <c r="R1181" s="378"/>
      <c r="S1181" s="378"/>
      <c r="T1181" s="378"/>
      <c r="U1181" s="378"/>
      <c r="V1181" s="533"/>
      <c r="W1181" s="602"/>
      <c r="X1181" s="602"/>
      <c r="Y1181" s="378">
        <f>IF(NFI_Expiration=1,IF($A1181&lt;VLOOKUP(H$5,NFI,5,0),1,0)*Table_NFI[[#This Row],[Hygiene Kit]],Table_NFI[Hygiene Kit])</f>
        <v>0</v>
      </c>
      <c r="Z1181" s="378">
        <f>IF(NFI_Expiration=1,IF($A1181&lt;VLOOKUP(I$5,NFI,5,0),1,0)*Table_NFI[[#This Row],[NFI Core Kit]],Table_NFI[NFI Core Kit])</f>
        <v>0</v>
      </c>
      <c r="AA1181" s="378">
        <f>IF(NFI_Expiration=1,IF($A1181&lt;VLOOKUP(J$5,NFI,5,0),1,0)*Table_NFI[[#This Row],[Sanitary Kit]],Table_NFI[Sanitary Kit])</f>
        <v>0</v>
      </c>
      <c r="AB1181" s="378">
        <f>IF(NFI_Expiration=1,IF($A1181&lt;VLOOKUP(K$5,NFI,5,0),1,0)*Table_NFI[[#This Row],[Mosquito net]],Table_NFI[Mosquito net])</f>
        <v>0</v>
      </c>
      <c r="AC1181" s="378">
        <f>IF(NFI_Expiration=1,IF($A1181&lt;VLOOKUP(L$5,NFI,5,0),1,0)*Table_NFI[[#This Row],[Tarpaulin]],Table_NFI[[#This Row],[Tarpaulin]])</f>
        <v>0</v>
      </c>
      <c r="AD1181" s="378">
        <f>IF(NFI_Expiration=1,IF($A1181&lt;VLOOKUP(M$5,NFI,5,0),1,0)*Table_NFI[[#This Row],[Blanket]],Table_NFI[[#This Row],[Blanket]])</f>
        <v>0</v>
      </c>
      <c r="AE1181" s="378">
        <f>IF(NFI_Expiration=1,IF($A1181&lt;VLOOKUP(N$5,NFI,5,0),1,0)*Table_NFI[[#This Row],[Kitchen Set]],Table_NFI[Kitchen Set])</f>
        <v>0</v>
      </c>
      <c r="AF1181" s="378">
        <f>IF(NFI_Expiration=1,IF($A1181&lt;VLOOKUP(O$5,NFI,5,0),1,0)*Table_NFI[[#This Row],[Clothes Kit]],Table_NFI[Clothes Kit])</f>
        <v>0</v>
      </c>
      <c r="AG1181" s="378">
        <f>IF(NFI_Expiration=1,IF($A1181&lt;VLOOKUP(P$5,NFI,5,0),1,0)*Table_NFI[[#This Row],[Plastic Bucket]],Table_NFI[Plastic Bucket])</f>
        <v>0</v>
      </c>
      <c r="AH1181" s="378">
        <f>IF(NFI_Expiration=1,IF($A1181&lt;VLOOKUP(Q$5,NFI,5,0),1,0)*Table_NFI[[#This Row],[Plastic Mat]],Table_NFI[Plastic Mat])*IF(Table_NFI[[#This Row],[Distribution Date]]&gt;"2014-04-01",1,2.5)</f>
        <v>0</v>
      </c>
      <c r="AI1181" s="378">
        <f>IF(NFI_Expiration=1,IF($A1181&lt;VLOOKUP(R$5,NFI,5,0),1,0)*Table_NFI[[#This Row],[Winter Clothes Adult]],Table_NFI[Winter Clothes Adult])</f>
        <v>0</v>
      </c>
      <c r="AJ1181" s="378">
        <f>IF(NFI_Expiration=1,IF($A1181&lt;VLOOKUP(S$5,NFI,5,0),1,0)*Table_NFI[[#This Row],[Winter Clothes Children]],Table_NFI[Winter Clothes Children])</f>
        <v>0</v>
      </c>
      <c r="AK1181" s="378">
        <f>IF(NFI_Expiration=1,IF($A1181&lt;VLOOKUP(T$5,NFI,5,0),1,0)*Table_NFI[[#This Row],[Winter Items Other]],Table_NFI[Winter Items Other])</f>
        <v>0</v>
      </c>
      <c r="AL1181" s="378">
        <f>IF(NFI_Expiration=1,IF($A1181&lt;VLOOKUP(M$5,NFI,5,0),1,0)*Table_NFI[[#This Row],[Winter Blanket]],Table_NFI[[#This Row],[Winter Blanket]])</f>
        <v>0</v>
      </c>
      <c r="AM1181" s="378">
        <f>IF(Table_NFI[[#This Row],[Winter Clothes Adult]]+Table_NFI[[#This Row],[Winter Clothes Children]]+Table_NFI[[#This Row],[Winter Items Other]]+Table_NFI[[#This Row],[Winter Blanket]]&gt;0,1,0)</f>
        <v>0</v>
      </c>
      <c r="AN1181" s="418">
        <f>IF(NFI_Expiration=1,IF($A1181&lt;VLOOKUP(V$5,NFI,5,0),1,0)*Table_NFI[[#This Row],[Jerry Can]],Table_NFI[Jerry Can])</f>
        <v>0</v>
      </c>
      <c r="AO1181" s="579" t="str">
        <f>IFERROR(VLOOKUP(Table_NFI[[#This Row],[Camp Name]],CL,2,0),"")</f>
        <v/>
      </c>
      <c r="AP1181" s="574" t="str">
        <f ca="1">IF(Table_NFI[[#This Row],[Pcode]]="","",IF(OFFSET(CampList[Opening Date],MATCH(Table_NFI[[#This Row],[Pcode]],CampList[CP_Pcode],0)-1,0,1,1)&gt;=NFI_Monitor_Date,1,0))</f>
        <v/>
      </c>
      <c r="AQ1181" s="579" t="str">
        <f>IFERROR(VLOOKUP(Table_NFI[[#This Row],[Camp Name]],CL,3,0),"")</f>
        <v/>
      </c>
      <c r="AR1181" s="378" t="str">
        <f ca="1">IF(Table_NFI[[#This Row],[Pcode]]="","",OFFSET(CampList[Priority],MATCH(Table_NFI[[#This Row],[Pcode]],CampList[CP_Pcode],0)-1,0,1,1))</f>
        <v/>
      </c>
      <c r="AS1181" s="377" t="str">
        <f>IFERROR(Table_NFI[[#This Row],[Kitchen Set]]/VLOOKUP(Table_NFI[[#This Row],[Camp Name]],CL,4,0),"")</f>
        <v/>
      </c>
      <c r="AT1181" s="577"/>
      <c r="AU1181" s="580"/>
    </row>
    <row r="1182" spans="1:47" x14ac:dyDescent="0.25">
      <c r="A1182" s="381" t="str">
        <f t="shared" si="18"/>
        <v/>
      </c>
      <c r="B1182" s="571"/>
      <c r="C1182" s="577"/>
      <c r="D1182" s="577"/>
      <c r="E1182" s="577"/>
      <c r="F1182" s="577"/>
      <c r="G1182" s="577"/>
      <c r="H1182" s="376"/>
      <c r="I1182" s="376"/>
      <c r="J1182" s="376"/>
      <c r="K1182" s="376"/>
      <c r="L1182" s="376"/>
      <c r="M1182" s="376"/>
      <c r="N1182" s="376"/>
      <c r="O1182" s="376"/>
      <c r="P1182" s="378"/>
      <c r="Q1182" s="378"/>
      <c r="R1182" s="378"/>
      <c r="S1182" s="378"/>
      <c r="T1182" s="378"/>
      <c r="U1182" s="378"/>
      <c r="V1182" s="533"/>
      <c r="W1182" s="602"/>
      <c r="X1182" s="602"/>
      <c r="Y1182" s="378">
        <f>IF(NFI_Expiration=1,IF($A1182&lt;VLOOKUP(H$5,NFI,5,0),1,0)*Table_NFI[[#This Row],[Hygiene Kit]],Table_NFI[Hygiene Kit])</f>
        <v>0</v>
      </c>
      <c r="Z1182" s="378">
        <f>IF(NFI_Expiration=1,IF($A1182&lt;VLOOKUP(I$5,NFI,5,0),1,0)*Table_NFI[[#This Row],[NFI Core Kit]],Table_NFI[NFI Core Kit])</f>
        <v>0</v>
      </c>
      <c r="AA1182" s="378">
        <f>IF(NFI_Expiration=1,IF($A1182&lt;VLOOKUP(J$5,NFI,5,0),1,0)*Table_NFI[[#This Row],[Sanitary Kit]],Table_NFI[Sanitary Kit])</f>
        <v>0</v>
      </c>
      <c r="AB1182" s="378">
        <f>IF(NFI_Expiration=1,IF($A1182&lt;VLOOKUP(K$5,NFI,5,0),1,0)*Table_NFI[[#This Row],[Mosquito net]],Table_NFI[Mosquito net])</f>
        <v>0</v>
      </c>
      <c r="AC1182" s="378">
        <f>IF(NFI_Expiration=1,IF($A1182&lt;VLOOKUP(L$5,NFI,5,0),1,0)*Table_NFI[[#This Row],[Tarpaulin]],Table_NFI[[#This Row],[Tarpaulin]])</f>
        <v>0</v>
      </c>
      <c r="AD1182" s="378">
        <f>IF(NFI_Expiration=1,IF($A1182&lt;VLOOKUP(M$5,NFI,5,0),1,0)*Table_NFI[[#This Row],[Blanket]],Table_NFI[[#This Row],[Blanket]])</f>
        <v>0</v>
      </c>
      <c r="AE1182" s="378">
        <f>IF(NFI_Expiration=1,IF($A1182&lt;VLOOKUP(N$5,NFI,5,0),1,0)*Table_NFI[[#This Row],[Kitchen Set]],Table_NFI[Kitchen Set])</f>
        <v>0</v>
      </c>
      <c r="AF1182" s="378">
        <f>IF(NFI_Expiration=1,IF($A1182&lt;VLOOKUP(O$5,NFI,5,0),1,0)*Table_NFI[[#This Row],[Clothes Kit]],Table_NFI[Clothes Kit])</f>
        <v>0</v>
      </c>
      <c r="AG1182" s="378">
        <f>IF(NFI_Expiration=1,IF($A1182&lt;VLOOKUP(P$5,NFI,5,0),1,0)*Table_NFI[[#This Row],[Plastic Bucket]],Table_NFI[Plastic Bucket])</f>
        <v>0</v>
      </c>
      <c r="AH1182" s="378">
        <f>IF(NFI_Expiration=1,IF($A1182&lt;VLOOKUP(Q$5,NFI,5,0),1,0)*Table_NFI[[#This Row],[Plastic Mat]],Table_NFI[Plastic Mat])*IF(Table_NFI[[#This Row],[Distribution Date]]&gt;"2014-04-01",1,2.5)</f>
        <v>0</v>
      </c>
      <c r="AI1182" s="378">
        <f>IF(NFI_Expiration=1,IF($A1182&lt;VLOOKUP(R$5,NFI,5,0),1,0)*Table_NFI[[#This Row],[Winter Clothes Adult]],Table_NFI[Winter Clothes Adult])</f>
        <v>0</v>
      </c>
      <c r="AJ1182" s="378">
        <f>IF(NFI_Expiration=1,IF($A1182&lt;VLOOKUP(S$5,NFI,5,0),1,0)*Table_NFI[[#This Row],[Winter Clothes Children]],Table_NFI[Winter Clothes Children])</f>
        <v>0</v>
      </c>
      <c r="AK1182" s="378">
        <f>IF(NFI_Expiration=1,IF($A1182&lt;VLOOKUP(T$5,NFI,5,0),1,0)*Table_NFI[[#This Row],[Winter Items Other]],Table_NFI[Winter Items Other])</f>
        <v>0</v>
      </c>
      <c r="AL1182" s="378">
        <f>IF(NFI_Expiration=1,IF($A1182&lt;VLOOKUP(M$5,NFI,5,0),1,0)*Table_NFI[[#This Row],[Winter Blanket]],Table_NFI[[#This Row],[Winter Blanket]])</f>
        <v>0</v>
      </c>
      <c r="AM1182" s="378">
        <f>IF(Table_NFI[[#This Row],[Winter Clothes Adult]]+Table_NFI[[#This Row],[Winter Clothes Children]]+Table_NFI[[#This Row],[Winter Items Other]]+Table_NFI[[#This Row],[Winter Blanket]]&gt;0,1,0)</f>
        <v>0</v>
      </c>
      <c r="AN1182" s="418">
        <f>IF(NFI_Expiration=1,IF($A1182&lt;VLOOKUP(V$5,NFI,5,0),1,0)*Table_NFI[[#This Row],[Jerry Can]],Table_NFI[Jerry Can])</f>
        <v>0</v>
      </c>
      <c r="AO1182" s="579" t="str">
        <f>IFERROR(VLOOKUP(Table_NFI[[#This Row],[Camp Name]],CL,2,0),"")</f>
        <v/>
      </c>
      <c r="AP1182" s="574" t="str">
        <f ca="1">IF(Table_NFI[[#This Row],[Pcode]]="","",IF(OFFSET(CampList[Opening Date],MATCH(Table_NFI[[#This Row],[Pcode]],CampList[CP_Pcode],0)-1,0,1,1)&gt;=NFI_Monitor_Date,1,0))</f>
        <v/>
      </c>
      <c r="AQ1182" s="579" t="str">
        <f>IFERROR(VLOOKUP(Table_NFI[[#This Row],[Camp Name]],CL,3,0),"")</f>
        <v/>
      </c>
      <c r="AR1182" s="378" t="str">
        <f ca="1">IF(Table_NFI[[#This Row],[Pcode]]="","",OFFSET(CampList[Priority],MATCH(Table_NFI[[#This Row],[Pcode]],CampList[CP_Pcode],0)-1,0,1,1))</f>
        <v/>
      </c>
      <c r="AS1182" s="377" t="str">
        <f>IFERROR(Table_NFI[[#This Row],[Kitchen Set]]/VLOOKUP(Table_NFI[[#This Row],[Camp Name]],CL,4,0),"")</f>
        <v/>
      </c>
      <c r="AT1182" s="577"/>
      <c r="AU1182" s="580"/>
    </row>
    <row r="1183" spans="1:47" x14ac:dyDescent="0.25">
      <c r="A1183" s="381" t="str">
        <f t="shared" si="18"/>
        <v/>
      </c>
      <c r="B1183" s="571"/>
      <c r="C1183" s="577"/>
      <c r="D1183" s="577"/>
      <c r="E1183" s="577"/>
      <c r="F1183" s="577"/>
      <c r="G1183" s="577"/>
      <c r="H1183" s="376"/>
      <c r="I1183" s="376"/>
      <c r="J1183" s="376"/>
      <c r="K1183" s="376"/>
      <c r="L1183" s="376"/>
      <c r="M1183" s="376"/>
      <c r="N1183" s="376"/>
      <c r="O1183" s="376"/>
      <c r="P1183" s="378"/>
      <c r="Q1183" s="378"/>
      <c r="R1183" s="378"/>
      <c r="S1183" s="378"/>
      <c r="T1183" s="378"/>
      <c r="U1183" s="378"/>
      <c r="V1183" s="533"/>
      <c r="W1183" s="602"/>
      <c r="X1183" s="602"/>
      <c r="Y1183" s="378">
        <f>IF(NFI_Expiration=1,IF($A1183&lt;VLOOKUP(H$5,NFI,5,0),1,0)*Table_NFI[[#This Row],[Hygiene Kit]],Table_NFI[Hygiene Kit])</f>
        <v>0</v>
      </c>
      <c r="Z1183" s="378">
        <f>IF(NFI_Expiration=1,IF($A1183&lt;VLOOKUP(I$5,NFI,5,0),1,0)*Table_NFI[[#This Row],[NFI Core Kit]],Table_NFI[NFI Core Kit])</f>
        <v>0</v>
      </c>
      <c r="AA1183" s="378">
        <f>IF(NFI_Expiration=1,IF($A1183&lt;VLOOKUP(J$5,NFI,5,0),1,0)*Table_NFI[[#This Row],[Sanitary Kit]],Table_NFI[Sanitary Kit])</f>
        <v>0</v>
      </c>
      <c r="AB1183" s="378">
        <f>IF(NFI_Expiration=1,IF($A1183&lt;VLOOKUP(K$5,NFI,5,0),1,0)*Table_NFI[[#This Row],[Mosquito net]],Table_NFI[Mosquito net])</f>
        <v>0</v>
      </c>
      <c r="AC1183" s="378">
        <f>IF(NFI_Expiration=1,IF($A1183&lt;VLOOKUP(L$5,NFI,5,0),1,0)*Table_NFI[[#This Row],[Tarpaulin]],Table_NFI[[#This Row],[Tarpaulin]])</f>
        <v>0</v>
      </c>
      <c r="AD1183" s="378">
        <f>IF(NFI_Expiration=1,IF($A1183&lt;VLOOKUP(M$5,NFI,5,0),1,0)*Table_NFI[[#This Row],[Blanket]],Table_NFI[[#This Row],[Blanket]])</f>
        <v>0</v>
      </c>
      <c r="AE1183" s="378">
        <f>IF(NFI_Expiration=1,IF($A1183&lt;VLOOKUP(N$5,NFI,5,0),1,0)*Table_NFI[[#This Row],[Kitchen Set]],Table_NFI[Kitchen Set])</f>
        <v>0</v>
      </c>
      <c r="AF1183" s="378">
        <f>IF(NFI_Expiration=1,IF($A1183&lt;VLOOKUP(O$5,NFI,5,0),1,0)*Table_NFI[[#This Row],[Clothes Kit]],Table_NFI[Clothes Kit])</f>
        <v>0</v>
      </c>
      <c r="AG1183" s="378">
        <f>IF(NFI_Expiration=1,IF($A1183&lt;VLOOKUP(P$5,NFI,5,0),1,0)*Table_NFI[[#This Row],[Plastic Bucket]],Table_NFI[Plastic Bucket])</f>
        <v>0</v>
      </c>
      <c r="AH1183" s="378">
        <f>IF(NFI_Expiration=1,IF($A1183&lt;VLOOKUP(Q$5,NFI,5,0),1,0)*Table_NFI[[#This Row],[Plastic Mat]],Table_NFI[Plastic Mat])*IF(Table_NFI[[#This Row],[Distribution Date]]&gt;"2014-04-01",1,2.5)</f>
        <v>0</v>
      </c>
      <c r="AI1183" s="378">
        <f>IF(NFI_Expiration=1,IF($A1183&lt;VLOOKUP(R$5,NFI,5,0),1,0)*Table_NFI[[#This Row],[Winter Clothes Adult]],Table_NFI[Winter Clothes Adult])</f>
        <v>0</v>
      </c>
      <c r="AJ1183" s="378">
        <f>IF(NFI_Expiration=1,IF($A1183&lt;VLOOKUP(S$5,NFI,5,0),1,0)*Table_NFI[[#This Row],[Winter Clothes Children]],Table_NFI[Winter Clothes Children])</f>
        <v>0</v>
      </c>
      <c r="AK1183" s="378">
        <f>IF(NFI_Expiration=1,IF($A1183&lt;VLOOKUP(T$5,NFI,5,0),1,0)*Table_NFI[[#This Row],[Winter Items Other]],Table_NFI[Winter Items Other])</f>
        <v>0</v>
      </c>
      <c r="AL1183" s="378">
        <f>IF(NFI_Expiration=1,IF($A1183&lt;VLOOKUP(M$5,NFI,5,0),1,0)*Table_NFI[[#This Row],[Winter Blanket]],Table_NFI[[#This Row],[Winter Blanket]])</f>
        <v>0</v>
      </c>
      <c r="AM1183" s="378">
        <f>IF(Table_NFI[[#This Row],[Winter Clothes Adult]]+Table_NFI[[#This Row],[Winter Clothes Children]]+Table_NFI[[#This Row],[Winter Items Other]]+Table_NFI[[#This Row],[Winter Blanket]]&gt;0,1,0)</f>
        <v>0</v>
      </c>
      <c r="AN1183" s="418">
        <f>IF(NFI_Expiration=1,IF($A1183&lt;VLOOKUP(V$5,NFI,5,0),1,0)*Table_NFI[[#This Row],[Jerry Can]],Table_NFI[Jerry Can])</f>
        <v>0</v>
      </c>
      <c r="AO1183" s="579" t="str">
        <f>IFERROR(VLOOKUP(Table_NFI[[#This Row],[Camp Name]],CL,2,0),"")</f>
        <v/>
      </c>
      <c r="AP1183" s="574" t="str">
        <f ca="1">IF(Table_NFI[[#This Row],[Pcode]]="","",IF(OFFSET(CampList[Opening Date],MATCH(Table_NFI[[#This Row],[Pcode]],CampList[CP_Pcode],0)-1,0,1,1)&gt;=NFI_Monitor_Date,1,0))</f>
        <v/>
      </c>
      <c r="AQ1183" s="579" t="str">
        <f>IFERROR(VLOOKUP(Table_NFI[[#This Row],[Camp Name]],CL,3,0),"")</f>
        <v/>
      </c>
      <c r="AR1183" s="378" t="str">
        <f ca="1">IF(Table_NFI[[#This Row],[Pcode]]="","",OFFSET(CampList[Priority],MATCH(Table_NFI[[#This Row],[Pcode]],CampList[CP_Pcode],0)-1,0,1,1))</f>
        <v/>
      </c>
      <c r="AS1183" s="377" t="str">
        <f>IFERROR(Table_NFI[[#This Row],[Kitchen Set]]/VLOOKUP(Table_NFI[[#This Row],[Camp Name]],CL,4,0),"")</f>
        <v/>
      </c>
      <c r="AT1183" s="577"/>
      <c r="AU1183" s="580"/>
    </row>
    <row r="1184" spans="1:47" x14ac:dyDescent="0.25">
      <c r="A1184" s="381" t="str">
        <f t="shared" si="18"/>
        <v/>
      </c>
      <c r="B1184" s="571"/>
      <c r="C1184" s="577"/>
      <c r="D1184" s="577"/>
      <c r="E1184" s="577"/>
      <c r="F1184" s="577"/>
      <c r="G1184" s="577"/>
      <c r="H1184" s="376"/>
      <c r="I1184" s="376"/>
      <c r="J1184" s="376"/>
      <c r="K1184" s="376"/>
      <c r="L1184" s="376"/>
      <c r="M1184" s="376"/>
      <c r="N1184" s="376"/>
      <c r="O1184" s="376"/>
      <c r="P1184" s="378"/>
      <c r="Q1184" s="378"/>
      <c r="R1184" s="378"/>
      <c r="S1184" s="378"/>
      <c r="T1184" s="378"/>
      <c r="U1184" s="378"/>
      <c r="V1184" s="533"/>
      <c r="W1184" s="602"/>
      <c r="X1184" s="602"/>
      <c r="Y1184" s="378">
        <f>IF(NFI_Expiration=1,IF($A1184&lt;VLOOKUP(H$5,NFI,5,0),1,0)*Table_NFI[[#This Row],[Hygiene Kit]],Table_NFI[Hygiene Kit])</f>
        <v>0</v>
      </c>
      <c r="Z1184" s="378">
        <f>IF(NFI_Expiration=1,IF($A1184&lt;VLOOKUP(I$5,NFI,5,0),1,0)*Table_NFI[[#This Row],[NFI Core Kit]],Table_NFI[NFI Core Kit])</f>
        <v>0</v>
      </c>
      <c r="AA1184" s="378">
        <f>IF(NFI_Expiration=1,IF($A1184&lt;VLOOKUP(J$5,NFI,5,0),1,0)*Table_NFI[[#This Row],[Sanitary Kit]],Table_NFI[Sanitary Kit])</f>
        <v>0</v>
      </c>
      <c r="AB1184" s="378">
        <f>IF(NFI_Expiration=1,IF($A1184&lt;VLOOKUP(K$5,NFI,5,0),1,0)*Table_NFI[[#This Row],[Mosquito net]],Table_NFI[Mosquito net])</f>
        <v>0</v>
      </c>
      <c r="AC1184" s="378">
        <f>IF(NFI_Expiration=1,IF($A1184&lt;VLOOKUP(L$5,NFI,5,0),1,0)*Table_NFI[[#This Row],[Tarpaulin]],Table_NFI[[#This Row],[Tarpaulin]])</f>
        <v>0</v>
      </c>
      <c r="AD1184" s="378">
        <f>IF(NFI_Expiration=1,IF($A1184&lt;VLOOKUP(M$5,NFI,5,0),1,0)*Table_NFI[[#This Row],[Blanket]],Table_NFI[[#This Row],[Blanket]])</f>
        <v>0</v>
      </c>
      <c r="AE1184" s="378">
        <f>IF(NFI_Expiration=1,IF($A1184&lt;VLOOKUP(N$5,NFI,5,0),1,0)*Table_NFI[[#This Row],[Kitchen Set]],Table_NFI[Kitchen Set])</f>
        <v>0</v>
      </c>
      <c r="AF1184" s="378">
        <f>IF(NFI_Expiration=1,IF($A1184&lt;VLOOKUP(O$5,NFI,5,0),1,0)*Table_NFI[[#This Row],[Clothes Kit]],Table_NFI[Clothes Kit])</f>
        <v>0</v>
      </c>
      <c r="AG1184" s="378">
        <f>IF(NFI_Expiration=1,IF($A1184&lt;VLOOKUP(P$5,NFI,5,0),1,0)*Table_NFI[[#This Row],[Plastic Bucket]],Table_NFI[Plastic Bucket])</f>
        <v>0</v>
      </c>
      <c r="AH1184" s="378">
        <f>IF(NFI_Expiration=1,IF($A1184&lt;VLOOKUP(Q$5,NFI,5,0),1,0)*Table_NFI[[#This Row],[Plastic Mat]],Table_NFI[Plastic Mat])*IF(Table_NFI[[#This Row],[Distribution Date]]&gt;"2014-04-01",1,2.5)</f>
        <v>0</v>
      </c>
      <c r="AI1184" s="378">
        <f>IF(NFI_Expiration=1,IF($A1184&lt;VLOOKUP(R$5,NFI,5,0),1,0)*Table_NFI[[#This Row],[Winter Clothes Adult]],Table_NFI[Winter Clothes Adult])</f>
        <v>0</v>
      </c>
      <c r="AJ1184" s="378">
        <f>IF(NFI_Expiration=1,IF($A1184&lt;VLOOKUP(S$5,NFI,5,0),1,0)*Table_NFI[[#This Row],[Winter Clothes Children]],Table_NFI[Winter Clothes Children])</f>
        <v>0</v>
      </c>
      <c r="AK1184" s="378">
        <f>IF(NFI_Expiration=1,IF($A1184&lt;VLOOKUP(T$5,NFI,5,0),1,0)*Table_NFI[[#This Row],[Winter Items Other]],Table_NFI[Winter Items Other])</f>
        <v>0</v>
      </c>
      <c r="AL1184" s="378">
        <f>IF(NFI_Expiration=1,IF($A1184&lt;VLOOKUP(M$5,NFI,5,0),1,0)*Table_NFI[[#This Row],[Winter Blanket]],Table_NFI[[#This Row],[Winter Blanket]])</f>
        <v>0</v>
      </c>
      <c r="AM1184" s="378">
        <f>IF(Table_NFI[[#This Row],[Winter Clothes Adult]]+Table_NFI[[#This Row],[Winter Clothes Children]]+Table_NFI[[#This Row],[Winter Items Other]]+Table_NFI[[#This Row],[Winter Blanket]]&gt;0,1,0)</f>
        <v>0</v>
      </c>
      <c r="AN1184" s="418">
        <f>IF(NFI_Expiration=1,IF($A1184&lt;VLOOKUP(V$5,NFI,5,0),1,0)*Table_NFI[[#This Row],[Jerry Can]],Table_NFI[Jerry Can])</f>
        <v>0</v>
      </c>
      <c r="AO1184" s="579" t="str">
        <f>IFERROR(VLOOKUP(Table_NFI[[#This Row],[Camp Name]],CL,2,0),"")</f>
        <v/>
      </c>
      <c r="AP1184" s="574" t="str">
        <f ca="1">IF(Table_NFI[[#This Row],[Pcode]]="","",IF(OFFSET(CampList[Opening Date],MATCH(Table_NFI[[#This Row],[Pcode]],CampList[CP_Pcode],0)-1,0,1,1)&gt;=NFI_Monitor_Date,1,0))</f>
        <v/>
      </c>
      <c r="AQ1184" s="579" t="str">
        <f>IFERROR(VLOOKUP(Table_NFI[[#This Row],[Camp Name]],CL,3,0),"")</f>
        <v/>
      </c>
      <c r="AR1184" s="378" t="str">
        <f ca="1">IF(Table_NFI[[#This Row],[Pcode]]="","",OFFSET(CampList[Priority],MATCH(Table_NFI[[#This Row],[Pcode]],CampList[CP_Pcode],0)-1,0,1,1))</f>
        <v/>
      </c>
      <c r="AS1184" s="377" t="str">
        <f>IFERROR(Table_NFI[[#This Row],[Kitchen Set]]/VLOOKUP(Table_NFI[[#This Row],[Camp Name]],CL,4,0),"")</f>
        <v/>
      </c>
      <c r="AT1184" s="577"/>
      <c r="AU1184" s="580"/>
    </row>
    <row r="1185" spans="1:47" x14ac:dyDescent="0.25">
      <c r="A1185" s="381" t="str">
        <f t="shared" si="18"/>
        <v/>
      </c>
      <c r="B1185" s="571"/>
      <c r="C1185" s="577"/>
      <c r="D1185" s="577"/>
      <c r="E1185" s="577"/>
      <c r="F1185" s="577"/>
      <c r="G1185" s="577"/>
      <c r="H1185" s="376"/>
      <c r="I1185" s="376"/>
      <c r="J1185" s="376"/>
      <c r="K1185" s="376"/>
      <c r="L1185" s="376"/>
      <c r="M1185" s="376"/>
      <c r="N1185" s="376"/>
      <c r="O1185" s="376"/>
      <c r="P1185" s="378"/>
      <c r="Q1185" s="378"/>
      <c r="R1185" s="378"/>
      <c r="S1185" s="378"/>
      <c r="T1185" s="378"/>
      <c r="U1185" s="378"/>
      <c r="V1185" s="533"/>
      <c r="W1185" s="602"/>
      <c r="X1185" s="602"/>
      <c r="Y1185" s="378">
        <f>IF(NFI_Expiration=1,IF($A1185&lt;VLOOKUP(H$5,NFI,5,0),1,0)*Table_NFI[[#This Row],[Hygiene Kit]],Table_NFI[Hygiene Kit])</f>
        <v>0</v>
      </c>
      <c r="Z1185" s="378">
        <f>IF(NFI_Expiration=1,IF($A1185&lt;VLOOKUP(I$5,NFI,5,0),1,0)*Table_NFI[[#This Row],[NFI Core Kit]],Table_NFI[NFI Core Kit])</f>
        <v>0</v>
      </c>
      <c r="AA1185" s="378">
        <f>IF(NFI_Expiration=1,IF($A1185&lt;VLOOKUP(J$5,NFI,5,0),1,0)*Table_NFI[[#This Row],[Sanitary Kit]],Table_NFI[Sanitary Kit])</f>
        <v>0</v>
      </c>
      <c r="AB1185" s="378">
        <f>IF(NFI_Expiration=1,IF($A1185&lt;VLOOKUP(K$5,NFI,5,0),1,0)*Table_NFI[[#This Row],[Mosquito net]],Table_NFI[Mosquito net])</f>
        <v>0</v>
      </c>
      <c r="AC1185" s="378">
        <f>IF(NFI_Expiration=1,IF($A1185&lt;VLOOKUP(L$5,NFI,5,0),1,0)*Table_NFI[[#This Row],[Tarpaulin]],Table_NFI[[#This Row],[Tarpaulin]])</f>
        <v>0</v>
      </c>
      <c r="AD1185" s="378">
        <f>IF(NFI_Expiration=1,IF($A1185&lt;VLOOKUP(M$5,NFI,5,0),1,0)*Table_NFI[[#This Row],[Blanket]],Table_NFI[[#This Row],[Blanket]])</f>
        <v>0</v>
      </c>
      <c r="AE1185" s="378">
        <f>IF(NFI_Expiration=1,IF($A1185&lt;VLOOKUP(N$5,NFI,5,0),1,0)*Table_NFI[[#This Row],[Kitchen Set]],Table_NFI[Kitchen Set])</f>
        <v>0</v>
      </c>
      <c r="AF1185" s="378">
        <f>IF(NFI_Expiration=1,IF($A1185&lt;VLOOKUP(O$5,NFI,5,0),1,0)*Table_NFI[[#This Row],[Clothes Kit]],Table_NFI[Clothes Kit])</f>
        <v>0</v>
      </c>
      <c r="AG1185" s="378">
        <f>IF(NFI_Expiration=1,IF($A1185&lt;VLOOKUP(P$5,NFI,5,0),1,0)*Table_NFI[[#This Row],[Plastic Bucket]],Table_NFI[Plastic Bucket])</f>
        <v>0</v>
      </c>
      <c r="AH1185" s="378">
        <f>IF(NFI_Expiration=1,IF($A1185&lt;VLOOKUP(Q$5,NFI,5,0),1,0)*Table_NFI[[#This Row],[Plastic Mat]],Table_NFI[Plastic Mat])*IF(Table_NFI[[#This Row],[Distribution Date]]&gt;"2014-04-01",1,2.5)</f>
        <v>0</v>
      </c>
      <c r="AI1185" s="378">
        <f>IF(NFI_Expiration=1,IF($A1185&lt;VLOOKUP(R$5,NFI,5,0),1,0)*Table_NFI[[#This Row],[Winter Clothes Adult]],Table_NFI[Winter Clothes Adult])</f>
        <v>0</v>
      </c>
      <c r="AJ1185" s="378">
        <f>IF(NFI_Expiration=1,IF($A1185&lt;VLOOKUP(S$5,NFI,5,0),1,0)*Table_NFI[[#This Row],[Winter Clothes Children]],Table_NFI[Winter Clothes Children])</f>
        <v>0</v>
      </c>
      <c r="AK1185" s="378">
        <f>IF(NFI_Expiration=1,IF($A1185&lt;VLOOKUP(T$5,NFI,5,0),1,0)*Table_NFI[[#This Row],[Winter Items Other]],Table_NFI[Winter Items Other])</f>
        <v>0</v>
      </c>
      <c r="AL1185" s="378">
        <f>IF(NFI_Expiration=1,IF($A1185&lt;VLOOKUP(M$5,NFI,5,0),1,0)*Table_NFI[[#This Row],[Winter Blanket]],Table_NFI[[#This Row],[Winter Blanket]])</f>
        <v>0</v>
      </c>
      <c r="AM1185" s="378">
        <f>IF(Table_NFI[[#This Row],[Winter Clothes Adult]]+Table_NFI[[#This Row],[Winter Clothes Children]]+Table_NFI[[#This Row],[Winter Items Other]]+Table_NFI[[#This Row],[Winter Blanket]]&gt;0,1,0)</f>
        <v>0</v>
      </c>
      <c r="AN1185" s="418">
        <f>IF(NFI_Expiration=1,IF($A1185&lt;VLOOKUP(V$5,NFI,5,0),1,0)*Table_NFI[[#This Row],[Jerry Can]],Table_NFI[Jerry Can])</f>
        <v>0</v>
      </c>
      <c r="AO1185" s="579" t="str">
        <f>IFERROR(VLOOKUP(Table_NFI[[#This Row],[Camp Name]],CL,2,0),"")</f>
        <v/>
      </c>
      <c r="AP1185" s="574" t="str">
        <f ca="1">IF(Table_NFI[[#This Row],[Pcode]]="","",IF(OFFSET(CampList[Opening Date],MATCH(Table_NFI[[#This Row],[Pcode]],CampList[CP_Pcode],0)-1,0,1,1)&gt;=NFI_Monitor_Date,1,0))</f>
        <v/>
      </c>
      <c r="AQ1185" s="579" t="str">
        <f>IFERROR(VLOOKUP(Table_NFI[[#This Row],[Camp Name]],CL,3,0),"")</f>
        <v/>
      </c>
      <c r="AR1185" s="378" t="str">
        <f ca="1">IF(Table_NFI[[#This Row],[Pcode]]="","",OFFSET(CampList[Priority],MATCH(Table_NFI[[#This Row],[Pcode]],CampList[CP_Pcode],0)-1,0,1,1))</f>
        <v/>
      </c>
      <c r="AS1185" s="377" t="str">
        <f>IFERROR(Table_NFI[[#This Row],[Kitchen Set]]/VLOOKUP(Table_NFI[[#This Row],[Camp Name]],CL,4,0),"")</f>
        <v/>
      </c>
      <c r="AT1185" s="577"/>
      <c r="AU1185" s="580"/>
    </row>
    <row r="1186" spans="1:47" x14ac:dyDescent="0.25">
      <c r="A1186" s="381" t="str">
        <f t="shared" si="18"/>
        <v/>
      </c>
      <c r="B1186" s="571"/>
      <c r="C1186" s="577"/>
      <c r="D1186" s="577"/>
      <c r="E1186" s="577"/>
      <c r="F1186" s="577"/>
      <c r="G1186" s="577"/>
      <c r="H1186" s="376"/>
      <c r="I1186" s="376"/>
      <c r="J1186" s="376"/>
      <c r="K1186" s="376"/>
      <c r="L1186" s="376"/>
      <c r="M1186" s="376"/>
      <c r="N1186" s="376"/>
      <c r="O1186" s="376"/>
      <c r="P1186" s="378"/>
      <c r="Q1186" s="378"/>
      <c r="R1186" s="378"/>
      <c r="S1186" s="378"/>
      <c r="T1186" s="378"/>
      <c r="U1186" s="378"/>
      <c r="V1186" s="533"/>
      <c r="W1186" s="602"/>
      <c r="X1186" s="602"/>
      <c r="Y1186" s="378">
        <f>IF(NFI_Expiration=1,IF($A1186&lt;VLOOKUP(H$5,NFI,5,0),1,0)*Table_NFI[[#This Row],[Hygiene Kit]],Table_NFI[Hygiene Kit])</f>
        <v>0</v>
      </c>
      <c r="Z1186" s="378">
        <f>IF(NFI_Expiration=1,IF($A1186&lt;VLOOKUP(I$5,NFI,5,0),1,0)*Table_NFI[[#This Row],[NFI Core Kit]],Table_NFI[NFI Core Kit])</f>
        <v>0</v>
      </c>
      <c r="AA1186" s="378">
        <f>IF(NFI_Expiration=1,IF($A1186&lt;VLOOKUP(J$5,NFI,5,0),1,0)*Table_NFI[[#This Row],[Sanitary Kit]],Table_NFI[Sanitary Kit])</f>
        <v>0</v>
      </c>
      <c r="AB1186" s="378">
        <f>IF(NFI_Expiration=1,IF($A1186&lt;VLOOKUP(K$5,NFI,5,0),1,0)*Table_NFI[[#This Row],[Mosquito net]],Table_NFI[Mosquito net])</f>
        <v>0</v>
      </c>
      <c r="AC1186" s="378">
        <f>IF(NFI_Expiration=1,IF($A1186&lt;VLOOKUP(L$5,NFI,5,0),1,0)*Table_NFI[[#This Row],[Tarpaulin]],Table_NFI[[#This Row],[Tarpaulin]])</f>
        <v>0</v>
      </c>
      <c r="AD1186" s="378">
        <f>IF(NFI_Expiration=1,IF($A1186&lt;VLOOKUP(M$5,NFI,5,0),1,0)*Table_NFI[[#This Row],[Blanket]],Table_NFI[[#This Row],[Blanket]])</f>
        <v>0</v>
      </c>
      <c r="AE1186" s="378">
        <f>IF(NFI_Expiration=1,IF($A1186&lt;VLOOKUP(N$5,NFI,5,0),1,0)*Table_NFI[[#This Row],[Kitchen Set]],Table_NFI[Kitchen Set])</f>
        <v>0</v>
      </c>
      <c r="AF1186" s="378">
        <f>IF(NFI_Expiration=1,IF($A1186&lt;VLOOKUP(O$5,NFI,5,0),1,0)*Table_NFI[[#This Row],[Clothes Kit]],Table_NFI[Clothes Kit])</f>
        <v>0</v>
      </c>
      <c r="AG1186" s="378">
        <f>IF(NFI_Expiration=1,IF($A1186&lt;VLOOKUP(P$5,NFI,5,0),1,0)*Table_NFI[[#This Row],[Plastic Bucket]],Table_NFI[Plastic Bucket])</f>
        <v>0</v>
      </c>
      <c r="AH1186" s="378">
        <f>IF(NFI_Expiration=1,IF($A1186&lt;VLOOKUP(Q$5,NFI,5,0),1,0)*Table_NFI[[#This Row],[Plastic Mat]],Table_NFI[Plastic Mat])*IF(Table_NFI[[#This Row],[Distribution Date]]&gt;"2014-04-01",1,2.5)</f>
        <v>0</v>
      </c>
      <c r="AI1186" s="378">
        <f>IF(NFI_Expiration=1,IF($A1186&lt;VLOOKUP(R$5,NFI,5,0),1,0)*Table_NFI[[#This Row],[Winter Clothes Adult]],Table_NFI[Winter Clothes Adult])</f>
        <v>0</v>
      </c>
      <c r="AJ1186" s="378">
        <f>IF(NFI_Expiration=1,IF($A1186&lt;VLOOKUP(S$5,NFI,5,0),1,0)*Table_NFI[[#This Row],[Winter Clothes Children]],Table_NFI[Winter Clothes Children])</f>
        <v>0</v>
      </c>
      <c r="AK1186" s="378">
        <f>IF(NFI_Expiration=1,IF($A1186&lt;VLOOKUP(T$5,NFI,5,0),1,0)*Table_NFI[[#This Row],[Winter Items Other]],Table_NFI[Winter Items Other])</f>
        <v>0</v>
      </c>
      <c r="AL1186" s="378">
        <f>IF(NFI_Expiration=1,IF($A1186&lt;VLOOKUP(M$5,NFI,5,0),1,0)*Table_NFI[[#This Row],[Winter Blanket]],Table_NFI[[#This Row],[Winter Blanket]])</f>
        <v>0</v>
      </c>
      <c r="AM1186" s="378">
        <f>IF(Table_NFI[[#This Row],[Winter Clothes Adult]]+Table_NFI[[#This Row],[Winter Clothes Children]]+Table_NFI[[#This Row],[Winter Items Other]]+Table_NFI[[#This Row],[Winter Blanket]]&gt;0,1,0)</f>
        <v>0</v>
      </c>
      <c r="AN1186" s="418">
        <f>IF(NFI_Expiration=1,IF($A1186&lt;VLOOKUP(V$5,NFI,5,0),1,0)*Table_NFI[[#This Row],[Jerry Can]],Table_NFI[Jerry Can])</f>
        <v>0</v>
      </c>
      <c r="AO1186" s="579" t="str">
        <f>IFERROR(VLOOKUP(Table_NFI[[#This Row],[Camp Name]],CL,2,0),"")</f>
        <v/>
      </c>
      <c r="AP1186" s="574" t="str">
        <f ca="1">IF(Table_NFI[[#This Row],[Pcode]]="","",IF(OFFSET(CampList[Opening Date],MATCH(Table_NFI[[#This Row],[Pcode]],CampList[CP_Pcode],0)-1,0,1,1)&gt;=NFI_Monitor_Date,1,0))</f>
        <v/>
      </c>
      <c r="AQ1186" s="579" t="str">
        <f>IFERROR(VLOOKUP(Table_NFI[[#This Row],[Camp Name]],CL,3,0),"")</f>
        <v/>
      </c>
      <c r="AR1186" s="378" t="str">
        <f ca="1">IF(Table_NFI[[#This Row],[Pcode]]="","",OFFSET(CampList[Priority],MATCH(Table_NFI[[#This Row],[Pcode]],CampList[CP_Pcode],0)-1,0,1,1))</f>
        <v/>
      </c>
      <c r="AS1186" s="377" t="str">
        <f>IFERROR(Table_NFI[[#This Row],[Kitchen Set]]/VLOOKUP(Table_NFI[[#This Row],[Camp Name]],CL,4,0),"")</f>
        <v/>
      </c>
      <c r="AT1186" s="577"/>
      <c r="AU1186" s="580"/>
    </row>
    <row r="1187" spans="1:47" x14ac:dyDescent="0.25">
      <c r="A1187" s="381" t="str">
        <f t="shared" si="18"/>
        <v/>
      </c>
      <c r="B1187" s="571"/>
      <c r="C1187" s="577"/>
      <c r="D1187" s="577"/>
      <c r="E1187" s="577"/>
      <c r="F1187" s="577"/>
      <c r="G1187" s="577"/>
      <c r="H1187" s="376"/>
      <c r="I1187" s="376"/>
      <c r="J1187" s="376"/>
      <c r="K1187" s="376"/>
      <c r="L1187" s="376"/>
      <c r="M1187" s="376"/>
      <c r="N1187" s="376"/>
      <c r="O1187" s="376"/>
      <c r="P1187" s="378"/>
      <c r="Q1187" s="378"/>
      <c r="R1187" s="378"/>
      <c r="S1187" s="378"/>
      <c r="T1187" s="378"/>
      <c r="U1187" s="378"/>
      <c r="V1187" s="533"/>
      <c r="W1187" s="602"/>
      <c r="X1187" s="602"/>
      <c r="Y1187" s="378">
        <f>IF(NFI_Expiration=1,IF($A1187&lt;VLOOKUP(H$5,NFI,5,0),1,0)*Table_NFI[[#This Row],[Hygiene Kit]],Table_NFI[Hygiene Kit])</f>
        <v>0</v>
      </c>
      <c r="Z1187" s="378">
        <f>IF(NFI_Expiration=1,IF($A1187&lt;VLOOKUP(I$5,NFI,5,0),1,0)*Table_NFI[[#This Row],[NFI Core Kit]],Table_NFI[NFI Core Kit])</f>
        <v>0</v>
      </c>
      <c r="AA1187" s="378">
        <f>IF(NFI_Expiration=1,IF($A1187&lt;VLOOKUP(J$5,NFI,5,0),1,0)*Table_NFI[[#This Row],[Sanitary Kit]],Table_NFI[Sanitary Kit])</f>
        <v>0</v>
      </c>
      <c r="AB1187" s="378">
        <f>IF(NFI_Expiration=1,IF($A1187&lt;VLOOKUP(K$5,NFI,5,0),1,0)*Table_NFI[[#This Row],[Mosquito net]],Table_NFI[Mosquito net])</f>
        <v>0</v>
      </c>
      <c r="AC1187" s="378">
        <f>IF(NFI_Expiration=1,IF($A1187&lt;VLOOKUP(L$5,NFI,5,0),1,0)*Table_NFI[[#This Row],[Tarpaulin]],Table_NFI[[#This Row],[Tarpaulin]])</f>
        <v>0</v>
      </c>
      <c r="AD1187" s="378">
        <f>IF(NFI_Expiration=1,IF($A1187&lt;VLOOKUP(M$5,NFI,5,0),1,0)*Table_NFI[[#This Row],[Blanket]],Table_NFI[[#This Row],[Blanket]])</f>
        <v>0</v>
      </c>
      <c r="AE1187" s="378">
        <f>IF(NFI_Expiration=1,IF($A1187&lt;VLOOKUP(N$5,NFI,5,0),1,0)*Table_NFI[[#This Row],[Kitchen Set]],Table_NFI[Kitchen Set])</f>
        <v>0</v>
      </c>
      <c r="AF1187" s="378">
        <f>IF(NFI_Expiration=1,IF($A1187&lt;VLOOKUP(O$5,NFI,5,0),1,0)*Table_NFI[[#This Row],[Clothes Kit]],Table_NFI[Clothes Kit])</f>
        <v>0</v>
      </c>
      <c r="AG1187" s="378">
        <f>IF(NFI_Expiration=1,IF($A1187&lt;VLOOKUP(P$5,NFI,5,0),1,0)*Table_NFI[[#This Row],[Plastic Bucket]],Table_NFI[Plastic Bucket])</f>
        <v>0</v>
      </c>
      <c r="AH1187" s="378">
        <f>IF(NFI_Expiration=1,IF($A1187&lt;VLOOKUP(Q$5,NFI,5,0),1,0)*Table_NFI[[#This Row],[Plastic Mat]],Table_NFI[Plastic Mat])*IF(Table_NFI[[#This Row],[Distribution Date]]&gt;"2014-04-01",1,2.5)</f>
        <v>0</v>
      </c>
      <c r="AI1187" s="378">
        <f>IF(NFI_Expiration=1,IF($A1187&lt;VLOOKUP(R$5,NFI,5,0),1,0)*Table_NFI[[#This Row],[Winter Clothes Adult]],Table_NFI[Winter Clothes Adult])</f>
        <v>0</v>
      </c>
      <c r="AJ1187" s="378">
        <f>IF(NFI_Expiration=1,IF($A1187&lt;VLOOKUP(S$5,NFI,5,0),1,0)*Table_NFI[[#This Row],[Winter Clothes Children]],Table_NFI[Winter Clothes Children])</f>
        <v>0</v>
      </c>
      <c r="AK1187" s="378">
        <f>IF(NFI_Expiration=1,IF($A1187&lt;VLOOKUP(T$5,NFI,5,0),1,0)*Table_NFI[[#This Row],[Winter Items Other]],Table_NFI[Winter Items Other])</f>
        <v>0</v>
      </c>
      <c r="AL1187" s="378">
        <f>IF(NFI_Expiration=1,IF($A1187&lt;VLOOKUP(M$5,NFI,5,0),1,0)*Table_NFI[[#This Row],[Winter Blanket]],Table_NFI[[#This Row],[Winter Blanket]])</f>
        <v>0</v>
      </c>
      <c r="AM1187" s="378">
        <f>IF(Table_NFI[[#This Row],[Winter Clothes Adult]]+Table_NFI[[#This Row],[Winter Clothes Children]]+Table_NFI[[#This Row],[Winter Items Other]]+Table_NFI[[#This Row],[Winter Blanket]]&gt;0,1,0)</f>
        <v>0</v>
      </c>
      <c r="AN1187" s="418">
        <f>IF(NFI_Expiration=1,IF($A1187&lt;VLOOKUP(V$5,NFI,5,0),1,0)*Table_NFI[[#This Row],[Jerry Can]],Table_NFI[Jerry Can])</f>
        <v>0</v>
      </c>
      <c r="AO1187" s="579" t="str">
        <f>IFERROR(VLOOKUP(Table_NFI[[#This Row],[Camp Name]],CL,2,0),"")</f>
        <v/>
      </c>
      <c r="AP1187" s="574" t="str">
        <f ca="1">IF(Table_NFI[[#This Row],[Pcode]]="","",IF(OFFSET(CampList[Opening Date],MATCH(Table_NFI[[#This Row],[Pcode]],CampList[CP_Pcode],0)-1,0,1,1)&gt;=NFI_Monitor_Date,1,0))</f>
        <v/>
      </c>
      <c r="AQ1187" s="579" t="str">
        <f>IFERROR(VLOOKUP(Table_NFI[[#This Row],[Camp Name]],CL,3,0),"")</f>
        <v/>
      </c>
      <c r="AR1187" s="378" t="str">
        <f ca="1">IF(Table_NFI[[#This Row],[Pcode]]="","",OFFSET(CampList[Priority],MATCH(Table_NFI[[#This Row],[Pcode]],CampList[CP_Pcode],0)-1,0,1,1))</f>
        <v/>
      </c>
      <c r="AS1187" s="377" t="str">
        <f>IFERROR(Table_NFI[[#This Row],[Kitchen Set]]/VLOOKUP(Table_NFI[[#This Row],[Camp Name]],CL,4,0),"")</f>
        <v/>
      </c>
      <c r="AT1187" s="577"/>
      <c r="AU1187" s="580"/>
    </row>
    <row r="1188" spans="1:47" x14ac:dyDescent="0.25">
      <c r="A1188" s="381" t="str">
        <f t="shared" si="18"/>
        <v/>
      </c>
      <c r="B1188" s="571"/>
      <c r="C1188" s="577"/>
      <c r="D1188" s="577"/>
      <c r="E1188" s="577"/>
      <c r="F1188" s="577"/>
      <c r="G1188" s="577"/>
      <c r="H1188" s="376"/>
      <c r="I1188" s="376"/>
      <c r="J1188" s="376"/>
      <c r="K1188" s="376"/>
      <c r="L1188" s="376"/>
      <c r="M1188" s="376"/>
      <c r="N1188" s="376"/>
      <c r="O1188" s="376"/>
      <c r="P1188" s="378"/>
      <c r="Q1188" s="378"/>
      <c r="R1188" s="378"/>
      <c r="S1188" s="378"/>
      <c r="T1188" s="378"/>
      <c r="U1188" s="378"/>
      <c r="V1188" s="533"/>
      <c r="W1188" s="602"/>
      <c r="X1188" s="602"/>
      <c r="Y1188" s="378">
        <f>IF(NFI_Expiration=1,IF($A1188&lt;VLOOKUP(H$5,NFI,5,0),1,0)*Table_NFI[[#This Row],[Hygiene Kit]],Table_NFI[Hygiene Kit])</f>
        <v>0</v>
      </c>
      <c r="Z1188" s="378">
        <f>IF(NFI_Expiration=1,IF($A1188&lt;VLOOKUP(I$5,NFI,5,0),1,0)*Table_NFI[[#This Row],[NFI Core Kit]],Table_NFI[NFI Core Kit])</f>
        <v>0</v>
      </c>
      <c r="AA1188" s="378">
        <f>IF(NFI_Expiration=1,IF($A1188&lt;VLOOKUP(J$5,NFI,5,0),1,0)*Table_NFI[[#This Row],[Sanitary Kit]],Table_NFI[Sanitary Kit])</f>
        <v>0</v>
      </c>
      <c r="AB1188" s="378">
        <f>IF(NFI_Expiration=1,IF($A1188&lt;VLOOKUP(K$5,NFI,5,0),1,0)*Table_NFI[[#This Row],[Mosquito net]],Table_NFI[Mosquito net])</f>
        <v>0</v>
      </c>
      <c r="AC1188" s="378">
        <f>IF(NFI_Expiration=1,IF($A1188&lt;VLOOKUP(L$5,NFI,5,0),1,0)*Table_NFI[[#This Row],[Tarpaulin]],Table_NFI[[#This Row],[Tarpaulin]])</f>
        <v>0</v>
      </c>
      <c r="AD1188" s="378">
        <f>IF(NFI_Expiration=1,IF($A1188&lt;VLOOKUP(M$5,NFI,5,0),1,0)*Table_NFI[[#This Row],[Blanket]],Table_NFI[[#This Row],[Blanket]])</f>
        <v>0</v>
      </c>
      <c r="AE1188" s="378">
        <f>IF(NFI_Expiration=1,IF($A1188&lt;VLOOKUP(N$5,NFI,5,0),1,0)*Table_NFI[[#This Row],[Kitchen Set]],Table_NFI[Kitchen Set])</f>
        <v>0</v>
      </c>
      <c r="AF1188" s="378">
        <f>IF(NFI_Expiration=1,IF($A1188&lt;VLOOKUP(O$5,NFI,5,0),1,0)*Table_NFI[[#This Row],[Clothes Kit]],Table_NFI[Clothes Kit])</f>
        <v>0</v>
      </c>
      <c r="AG1188" s="378">
        <f>IF(NFI_Expiration=1,IF($A1188&lt;VLOOKUP(P$5,NFI,5,0),1,0)*Table_NFI[[#This Row],[Plastic Bucket]],Table_NFI[Plastic Bucket])</f>
        <v>0</v>
      </c>
      <c r="AH1188" s="378">
        <f>IF(NFI_Expiration=1,IF($A1188&lt;VLOOKUP(Q$5,NFI,5,0),1,0)*Table_NFI[[#This Row],[Plastic Mat]],Table_NFI[Plastic Mat])*IF(Table_NFI[[#This Row],[Distribution Date]]&gt;"2014-04-01",1,2.5)</f>
        <v>0</v>
      </c>
      <c r="AI1188" s="378">
        <f>IF(NFI_Expiration=1,IF($A1188&lt;VLOOKUP(R$5,NFI,5,0),1,0)*Table_NFI[[#This Row],[Winter Clothes Adult]],Table_NFI[Winter Clothes Adult])</f>
        <v>0</v>
      </c>
      <c r="AJ1188" s="378">
        <f>IF(NFI_Expiration=1,IF($A1188&lt;VLOOKUP(S$5,NFI,5,0),1,0)*Table_NFI[[#This Row],[Winter Clothes Children]],Table_NFI[Winter Clothes Children])</f>
        <v>0</v>
      </c>
      <c r="AK1188" s="378">
        <f>IF(NFI_Expiration=1,IF($A1188&lt;VLOOKUP(T$5,NFI,5,0),1,0)*Table_NFI[[#This Row],[Winter Items Other]],Table_NFI[Winter Items Other])</f>
        <v>0</v>
      </c>
      <c r="AL1188" s="378">
        <f>IF(NFI_Expiration=1,IF($A1188&lt;VLOOKUP(M$5,NFI,5,0),1,0)*Table_NFI[[#This Row],[Winter Blanket]],Table_NFI[[#This Row],[Winter Blanket]])</f>
        <v>0</v>
      </c>
      <c r="AM1188" s="378">
        <f>IF(Table_NFI[[#This Row],[Winter Clothes Adult]]+Table_NFI[[#This Row],[Winter Clothes Children]]+Table_NFI[[#This Row],[Winter Items Other]]+Table_NFI[[#This Row],[Winter Blanket]]&gt;0,1,0)</f>
        <v>0</v>
      </c>
      <c r="AN1188" s="418">
        <f>IF(NFI_Expiration=1,IF($A1188&lt;VLOOKUP(V$5,NFI,5,0),1,0)*Table_NFI[[#This Row],[Jerry Can]],Table_NFI[Jerry Can])</f>
        <v>0</v>
      </c>
      <c r="AO1188" s="579" t="str">
        <f>IFERROR(VLOOKUP(Table_NFI[[#This Row],[Camp Name]],CL,2,0),"")</f>
        <v/>
      </c>
      <c r="AP1188" s="574" t="str">
        <f ca="1">IF(Table_NFI[[#This Row],[Pcode]]="","",IF(OFFSET(CampList[Opening Date],MATCH(Table_NFI[[#This Row],[Pcode]],CampList[CP_Pcode],0)-1,0,1,1)&gt;=NFI_Monitor_Date,1,0))</f>
        <v/>
      </c>
      <c r="AQ1188" s="579" t="str">
        <f>IFERROR(VLOOKUP(Table_NFI[[#This Row],[Camp Name]],CL,3,0),"")</f>
        <v/>
      </c>
      <c r="AR1188" s="378" t="str">
        <f ca="1">IF(Table_NFI[[#This Row],[Pcode]]="","",OFFSET(CampList[Priority],MATCH(Table_NFI[[#This Row],[Pcode]],CampList[CP_Pcode],0)-1,0,1,1))</f>
        <v/>
      </c>
      <c r="AS1188" s="377" t="str">
        <f>IFERROR(Table_NFI[[#This Row],[Kitchen Set]]/VLOOKUP(Table_NFI[[#This Row],[Camp Name]],CL,4,0),"")</f>
        <v/>
      </c>
      <c r="AT1188" s="577"/>
      <c r="AU1188" s="580"/>
    </row>
    <row r="1189" spans="1:47" x14ac:dyDescent="0.25">
      <c r="A1189" s="381" t="str">
        <f t="shared" si="18"/>
        <v/>
      </c>
      <c r="B1189" s="571"/>
      <c r="C1189" s="577"/>
      <c r="D1189" s="577"/>
      <c r="E1189" s="577"/>
      <c r="F1189" s="577"/>
      <c r="G1189" s="577"/>
      <c r="H1189" s="376"/>
      <c r="I1189" s="376"/>
      <c r="J1189" s="376"/>
      <c r="K1189" s="376"/>
      <c r="L1189" s="376"/>
      <c r="M1189" s="376"/>
      <c r="N1189" s="376"/>
      <c r="O1189" s="376"/>
      <c r="P1189" s="378"/>
      <c r="Q1189" s="378"/>
      <c r="R1189" s="378"/>
      <c r="S1189" s="378"/>
      <c r="T1189" s="378"/>
      <c r="U1189" s="378"/>
      <c r="V1189" s="533"/>
      <c r="W1189" s="602"/>
      <c r="X1189" s="602"/>
      <c r="Y1189" s="378">
        <f>IF(NFI_Expiration=1,IF($A1189&lt;VLOOKUP(H$5,NFI,5,0),1,0)*Table_NFI[[#This Row],[Hygiene Kit]],Table_NFI[Hygiene Kit])</f>
        <v>0</v>
      </c>
      <c r="Z1189" s="378">
        <f>IF(NFI_Expiration=1,IF($A1189&lt;VLOOKUP(I$5,NFI,5,0),1,0)*Table_NFI[[#This Row],[NFI Core Kit]],Table_NFI[NFI Core Kit])</f>
        <v>0</v>
      </c>
      <c r="AA1189" s="378">
        <f>IF(NFI_Expiration=1,IF($A1189&lt;VLOOKUP(J$5,NFI,5,0),1,0)*Table_NFI[[#This Row],[Sanitary Kit]],Table_NFI[Sanitary Kit])</f>
        <v>0</v>
      </c>
      <c r="AB1189" s="378">
        <f>IF(NFI_Expiration=1,IF($A1189&lt;VLOOKUP(K$5,NFI,5,0),1,0)*Table_NFI[[#This Row],[Mosquito net]],Table_NFI[Mosquito net])</f>
        <v>0</v>
      </c>
      <c r="AC1189" s="378">
        <f>IF(NFI_Expiration=1,IF($A1189&lt;VLOOKUP(L$5,NFI,5,0),1,0)*Table_NFI[[#This Row],[Tarpaulin]],Table_NFI[[#This Row],[Tarpaulin]])</f>
        <v>0</v>
      </c>
      <c r="AD1189" s="378">
        <f>IF(NFI_Expiration=1,IF($A1189&lt;VLOOKUP(M$5,NFI,5,0),1,0)*Table_NFI[[#This Row],[Blanket]],Table_NFI[[#This Row],[Blanket]])</f>
        <v>0</v>
      </c>
      <c r="AE1189" s="378">
        <f>IF(NFI_Expiration=1,IF($A1189&lt;VLOOKUP(N$5,NFI,5,0),1,0)*Table_NFI[[#This Row],[Kitchen Set]],Table_NFI[Kitchen Set])</f>
        <v>0</v>
      </c>
      <c r="AF1189" s="378">
        <f>IF(NFI_Expiration=1,IF($A1189&lt;VLOOKUP(O$5,NFI,5,0),1,0)*Table_NFI[[#This Row],[Clothes Kit]],Table_NFI[Clothes Kit])</f>
        <v>0</v>
      </c>
      <c r="AG1189" s="378">
        <f>IF(NFI_Expiration=1,IF($A1189&lt;VLOOKUP(P$5,NFI,5,0),1,0)*Table_NFI[[#This Row],[Plastic Bucket]],Table_NFI[Plastic Bucket])</f>
        <v>0</v>
      </c>
      <c r="AH1189" s="378">
        <f>IF(NFI_Expiration=1,IF($A1189&lt;VLOOKUP(Q$5,NFI,5,0),1,0)*Table_NFI[[#This Row],[Plastic Mat]],Table_NFI[Plastic Mat])*IF(Table_NFI[[#This Row],[Distribution Date]]&gt;"2014-04-01",1,2.5)</f>
        <v>0</v>
      </c>
      <c r="AI1189" s="378">
        <f>IF(NFI_Expiration=1,IF($A1189&lt;VLOOKUP(R$5,NFI,5,0),1,0)*Table_NFI[[#This Row],[Winter Clothes Adult]],Table_NFI[Winter Clothes Adult])</f>
        <v>0</v>
      </c>
      <c r="AJ1189" s="378">
        <f>IF(NFI_Expiration=1,IF($A1189&lt;VLOOKUP(S$5,NFI,5,0),1,0)*Table_NFI[[#This Row],[Winter Clothes Children]],Table_NFI[Winter Clothes Children])</f>
        <v>0</v>
      </c>
      <c r="AK1189" s="378">
        <f>IF(NFI_Expiration=1,IF($A1189&lt;VLOOKUP(T$5,NFI,5,0),1,0)*Table_NFI[[#This Row],[Winter Items Other]],Table_NFI[Winter Items Other])</f>
        <v>0</v>
      </c>
      <c r="AL1189" s="378">
        <f>IF(NFI_Expiration=1,IF($A1189&lt;VLOOKUP(M$5,NFI,5,0),1,0)*Table_NFI[[#This Row],[Winter Blanket]],Table_NFI[[#This Row],[Winter Blanket]])</f>
        <v>0</v>
      </c>
      <c r="AM1189" s="378">
        <f>IF(Table_NFI[[#This Row],[Winter Clothes Adult]]+Table_NFI[[#This Row],[Winter Clothes Children]]+Table_NFI[[#This Row],[Winter Items Other]]+Table_NFI[[#This Row],[Winter Blanket]]&gt;0,1,0)</f>
        <v>0</v>
      </c>
      <c r="AN1189" s="418">
        <f>IF(NFI_Expiration=1,IF($A1189&lt;VLOOKUP(V$5,NFI,5,0),1,0)*Table_NFI[[#This Row],[Jerry Can]],Table_NFI[Jerry Can])</f>
        <v>0</v>
      </c>
      <c r="AO1189" s="579" t="str">
        <f>IFERROR(VLOOKUP(Table_NFI[[#This Row],[Camp Name]],CL,2,0),"")</f>
        <v/>
      </c>
      <c r="AP1189" s="574" t="str">
        <f ca="1">IF(Table_NFI[[#This Row],[Pcode]]="","",IF(OFFSET(CampList[Opening Date],MATCH(Table_NFI[[#This Row],[Pcode]],CampList[CP_Pcode],0)-1,0,1,1)&gt;=NFI_Monitor_Date,1,0))</f>
        <v/>
      </c>
      <c r="AQ1189" s="579" t="str">
        <f>IFERROR(VLOOKUP(Table_NFI[[#This Row],[Camp Name]],CL,3,0),"")</f>
        <v/>
      </c>
      <c r="AR1189" s="378" t="str">
        <f ca="1">IF(Table_NFI[[#This Row],[Pcode]]="","",OFFSET(CampList[Priority],MATCH(Table_NFI[[#This Row],[Pcode]],CampList[CP_Pcode],0)-1,0,1,1))</f>
        <v/>
      </c>
      <c r="AS1189" s="377" t="str">
        <f>IFERROR(Table_NFI[[#This Row],[Kitchen Set]]/VLOOKUP(Table_NFI[[#This Row],[Camp Name]],CL,4,0),"")</f>
        <v/>
      </c>
      <c r="AT1189" s="577"/>
      <c r="AU1189" s="580"/>
    </row>
    <row r="1190" spans="1:47" x14ac:dyDescent="0.25">
      <c r="A1190" s="381" t="str">
        <f t="shared" si="18"/>
        <v/>
      </c>
      <c r="B1190" s="571"/>
      <c r="C1190" s="577"/>
      <c r="D1190" s="577"/>
      <c r="E1190" s="577"/>
      <c r="F1190" s="577"/>
      <c r="G1190" s="577"/>
      <c r="H1190" s="376"/>
      <c r="I1190" s="376"/>
      <c r="J1190" s="376"/>
      <c r="K1190" s="376"/>
      <c r="L1190" s="376"/>
      <c r="M1190" s="376"/>
      <c r="N1190" s="376"/>
      <c r="O1190" s="376"/>
      <c r="P1190" s="378"/>
      <c r="Q1190" s="378"/>
      <c r="R1190" s="378"/>
      <c r="S1190" s="378"/>
      <c r="T1190" s="378"/>
      <c r="U1190" s="378"/>
      <c r="V1190" s="533"/>
      <c r="W1190" s="602"/>
      <c r="X1190" s="602"/>
      <c r="Y1190" s="378">
        <f>IF(NFI_Expiration=1,IF($A1190&lt;VLOOKUP(H$5,NFI,5,0),1,0)*Table_NFI[[#This Row],[Hygiene Kit]],Table_NFI[Hygiene Kit])</f>
        <v>0</v>
      </c>
      <c r="Z1190" s="378">
        <f>IF(NFI_Expiration=1,IF($A1190&lt;VLOOKUP(I$5,NFI,5,0),1,0)*Table_NFI[[#This Row],[NFI Core Kit]],Table_NFI[NFI Core Kit])</f>
        <v>0</v>
      </c>
      <c r="AA1190" s="378">
        <f>IF(NFI_Expiration=1,IF($A1190&lt;VLOOKUP(J$5,NFI,5,0),1,0)*Table_NFI[[#This Row],[Sanitary Kit]],Table_NFI[Sanitary Kit])</f>
        <v>0</v>
      </c>
      <c r="AB1190" s="378">
        <f>IF(NFI_Expiration=1,IF($A1190&lt;VLOOKUP(K$5,NFI,5,0),1,0)*Table_NFI[[#This Row],[Mosquito net]],Table_NFI[Mosquito net])</f>
        <v>0</v>
      </c>
      <c r="AC1190" s="378">
        <f>IF(NFI_Expiration=1,IF($A1190&lt;VLOOKUP(L$5,NFI,5,0),1,0)*Table_NFI[[#This Row],[Tarpaulin]],Table_NFI[[#This Row],[Tarpaulin]])</f>
        <v>0</v>
      </c>
      <c r="AD1190" s="378">
        <f>IF(NFI_Expiration=1,IF($A1190&lt;VLOOKUP(M$5,NFI,5,0),1,0)*Table_NFI[[#This Row],[Blanket]],Table_NFI[[#This Row],[Blanket]])</f>
        <v>0</v>
      </c>
      <c r="AE1190" s="378">
        <f>IF(NFI_Expiration=1,IF($A1190&lt;VLOOKUP(N$5,NFI,5,0),1,0)*Table_NFI[[#This Row],[Kitchen Set]],Table_NFI[Kitchen Set])</f>
        <v>0</v>
      </c>
      <c r="AF1190" s="378">
        <f>IF(NFI_Expiration=1,IF($A1190&lt;VLOOKUP(O$5,NFI,5,0),1,0)*Table_NFI[[#This Row],[Clothes Kit]],Table_NFI[Clothes Kit])</f>
        <v>0</v>
      </c>
      <c r="AG1190" s="378">
        <f>IF(NFI_Expiration=1,IF($A1190&lt;VLOOKUP(P$5,NFI,5,0),1,0)*Table_NFI[[#This Row],[Plastic Bucket]],Table_NFI[Plastic Bucket])</f>
        <v>0</v>
      </c>
      <c r="AH1190" s="378">
        <f>IF(NFI_Expiration=1,IF($A1190&lt;VLOOKUP(Q$5,NFI,5,0),1,0)*Table_NFI[[#This Row],[Plastic Mat]],Table_NFI[Plastic Mat])*IF(Table_NFI[[#This Row],[Distribution Date]]&gt;"2014-04-01",1,2.5)</f>
        <v>0</v>
      </c>
      <c r="AI1190" s="378">
        <f>IF(NFI_Expiration=1,IF($A1190&lt;VLOOKUP(R$5,NFI,5,0),1,0)*Table_NFI[[#This Row],[Winter Clothes Adult]],Table_NFI[Winter Clothes Adult])</f>
        <v>0</v>
      </c>
      <c r="AJ1190" s="378">
        <f>IF(NFI_Expiration=1,IF($A1190&lt;VLOOKUP(S$5,NFI,5,0),1,0)*Table_NFI[[#This Row],[Winter Clothes Children]],Table_NFI[Winter Clothes Children])</f>
        <v>0</v>
      </c>
      <c r="AK1190" s="378">
        <f>IF(NFI_Expiration=1,IF($A1190&lt;VLOOKUP(T$5,NFI,5,0),1,0)*Table_NFI[[#This Row],[Winter Items Other]],Table_NFI[Winter Items Other])</f>
        <v>0</v>
      </c>
      <c r="AL1190" s="378">
        <f>IF(NFI_Expiration=1,IF($A1190&lt;VLOOKUP(M$5,NFI,5,0),1,0)*Table_NFI[[#This Row],[Winter Blanket]],Table_NFI[[#This Row],[Winter Blanket]])</f>
        <v>0</v>
      </c>
      <c r="AM1190" s="378">
        <f>IF(Table_NFI[[#This Row],[Winter Clothes Adult]]+Table_NFI[[#This Row],[Winter Clothes Children]]+Table_NFI[[#This Row],[Winter Items Other]]+Table_NFI[[#This Row],[Winter Blanket]]&gt;0,1,0)</f>
        <v>0</v>
      </c>
      <c r="AN1190" s="418">
        <f>IF(NFI_Expiration=1,IF($A1190&lt;VLOOKUP(V$5,NFI,5,0),1,0)*Table_NFI[[#This Row],[Jerry Can]],Table_NFI[Jerry Can])</f>
        <v>0</v>
      </c>
      <c r="AO1190" s="579" t="str">
        <f>IFERROR(VLOOKUP(Table_NFI[[#This Row],[Camp Name]],CL,2,0),"")</f>
        <v/>
      </c>
      <c r="AP1190" s="574" t="str">
        <f ca="1">IF(Table_NFI[[#This Row],[Pcode]]="","",IF(OFFSET(CampList[Opening Date],MATCH(Table_NFI[[#This Row],[Pcode]],CampList[CP_Pcode],0)-1,0,1,1)&gt;=NFI_Monitor_Date,1,0))</f>
        <v/>
      </c>
      <c r="AQ1190" s="579" t="str">
        <f>IFERROR(VLOOKUP(Table_NFI[[#This Row],[Camp Name]],CL,3,0),"")</f>
        <v/>
      </c>
      <c r="AR1190" s="378" t="str">
        <f ca="1">IF(Table_NFI[[#This Row],[Pcode]]="","",OFFSET(CampList[Priority],MATCH(Table_NFI[[#This Row],[Pcode]],CampList[CP_Pcode],0)-1,0,1,1))</f>
        <v/>
      </c>
      <c r="AS1190" s="377" t="str">
        <f>IFERROR(Table_NFI[[#This Row],[Kitchen Set]]/VLOOKUP(Table_NFI[[#This Row],[Camp Name]],CL,4,0),"")</f>
        <v/>
      </c>
      <c r="AT1190" s="577"/>
      <c r="AU1190" s="580"/>
    </row>
    <row r="1191" spans="1:47" x14ac:dyDescent="0.25">
      <c r="A1191" s="381" t="str">
        <f t="shared" si="18"/>
        <v/>
      </c>
      <c r="B1191" s="571"/>
      <c r="C1191" s="577"/>
      <c r="D1191" s="577"/>
      <c r="E1191" s="577"/>
      <c r="F1191" s="577"/>
      <c r="G1191" s="577"/>
      <c r="H1191" s="376"/>
      <c r="I1191" s="376"/>
      <c r="J1191" s="376"/>
      <c r="K1191" s="376"/>
      <c r="L1191" s="376"/>
      <c r="M1191" s="376"/>
      <c r="N1191" s="376"/>
      <c r="O1191" s="376"/>
      <c r="P1191" s="378"/>
      <c r="Q1191" s="378"/>
      <c r="R1191" s="378"/>
      <c r="S1191" s="378"/>
      <c r="T1191" s="378"/>
      <c r="U1191" s="378"/>
      <c r="V1191" s="533"/>
      <c r="W1191" s="602"/>
      <c r="X1191" s="602"/>
      <c r="Y1191" s="378">
        <f>IF(NFI_Expiration=1,IF($A1191&lt;VLOOKUP(H$5,NFI,5,0),1,0)*Table_NFI[[#This Row],[Hygiene Kit]],Table_NFI[Hygiene Kit])</f>
        <v>0</v>
      </c>
      <c r="Z1191" s="378">
        <f>IF(NFI_Expiration=1,IF($A1191&lt;VLOOKUP(I$5,NFI,5,0),1,0)*Table_NFI[[#This Row],[NFI Core Kit]],Table_NFI[NFI Core Kit])</f>
        <v>0</v>
      </c>
      <c r="AA1191" s="378">
        <f>IF(NFI_Expiration=1,IF($A1191&lt;VLOOKUP(J$5,NFI,5,0),1,0)*Table_NFI[[#This Row],[Sanitary Kit]],Table_NFI[Sanitary Kit])</f>
        <v>0</v>
      </c>
      <c r="AB1191" s="378">
        <f>IF(NFI_Expiration=1,IF($A1191&lt;VLOOKUP(K$5,NFI,5,0),1,0)*Table_NFI[[#This Row],[Mosquito net]],Table_NFI[Mosquito net])</f>
        <v>0</v>
      </c>
      <c r="AC1191" s="378">
        <f>IF(NFI_Expiration=1,IF($A1191&lt;VLOOKUP(L$5,NFI,5,0),1,0)*Table_NFI[[#This Row],[Tarpaulin]],Table_NFI[[#This Row],[Tarpaulin]])</f>
        <v>0</v>
      </c>
      <c r="AD1191" s="378">
        <f>IF(NFI_Expiration=1,IF($A1191&lt;VLOOKUP(M$5,NFI,5,0),1,0)*Table_NFI[[#This Row],[Blanket]],Table_NFI[[#This Row],[Blanket]])</f>
        <v>0</v>
      </c>
      <c r="AE1191" s="378">
        <f>IF(NFI_Expiration=1,IF($A1191&lt;VLOOKUP(N$5,NFI,5,0),1,0)*Table_NFI[[#This Row],[Kitchen Set]],Table_NFI[Kitchen Set])</f>
        <v>0</v>
      </c>
      <c r="AF1191" s="378">
        <f>IF(NFI_Expiration=1,IF($A1191&lt;VLOOKUP(O$5,NFI,5,0),1,0)*Table_NFI[[#This Row],[Clothes Kit]],Table_NFI[Clothes Kit])</f>
        <v>0</v>
      </c>
      <c r="AG1191" s="378">
        <f>IF(NFI_Expiration=1,IF($A1191&lt;VLOOKUP(P$5,NFI,5,0),1,0)*Table_NFI[[#This Row],[Plastic Bucket]],Table_NFI[Plastic Bucket])</f>
        <v>0</v>
      </c>
      <c r="AH1191" s="378">
        <f>IF(NFI_Expiration=1,IF($A1191&lt;VLOOKUP(Q$5,NFI,5,0),1,0)*Table_NFI[[#This Row],[Plastic Mat]],Table_NFI[Plastic Mat])*IF(Table_NFI[[#This Row],[Distribution Date]]&gt;"2014-04-01",1,2.5)</f>
        <v>0</v>
      </c>
      <c r="AI1191" s="378">
        <f>IF(NFI_Expiration=1,IF($A1191&lt;VLOOKUP(R$5,NFI,5,0),1,0)*Table_NFI[[#This Row],[Winter Clothes Adult]],Table_NFI[Winter Clothes Adult])</f>
        <v>0</v>
      </c>
      <c r="AJ1191" s="378">
        <f>IF(NFI_Expiration=1,IF($A1191&lt;VLOOKUP(S$5,NFI,5,0),1,0)*Table_NFI[[#This Row],[Winter Clothes Children]],Table_NFI[Winter Clothes Children])</f>
        <v>0</v>
      </c>
      <c r="AK1191" s="378">
        <f>IF(NFI_Expiration=1,IF($A1191&lt;VLOOKUP(T$5,NFI,5,0),1,0)*Table_NFI[[#This Row],[Winter Items Other]],Table_NFI[Winter Items Other])</f>
        <v>0</v>
      </c>
      <c r="AL1191" s="378">
        <f>IF(NFI_Expiration=1,IF($A1191&lt;VLOOKUP(M$5,NFI,5,0),1,0)*Table_NFI[[#This Row],[Winter Blanket]],Table_NFI[[#This Row],[Winter Blanket]])</f>
        <v>0</v>
      </c>
      <c r="AM1191" s="378">
        <f>IF(Table_NFI[[#This Row],[Winter Clothes Adult]]+Table_NFI[[#This Row],[Winter Clothes Children]]+Table_NFI[[#This Row],[Winter Items Other]]+Table_NFI[[#This Row],[Winter Blanket]]&gt;0,1,0)</f>
        <v>0</v>
      </c>
      <c r="AN1191" s="418">
        <f>IF(NFI_Expiration=1,IF($A1191&lt;VLOOKUP(V$5,NFI,5,0),1,0)*Table_NFI[[#This Row],[Jerry Can]],Table_NFI[Jerry Can])</f>
        <v>0</v>
      </c>
      <c r="AO1191" s="579" t="str">
        <f>IFERROR(VLOOKUP(Table_NFI[[#This Row],[Camp Name]],CL,2,0),"")</f>
        <v/>
      </c>
      <c r="AP1191" s="574" t="str">
        <f ca="1">IF(Table_NFI[[#This Row],[Pcode]]="","",IF(OFFSET(CampList[Opening Date],MATCH(Table_NFI[[#This Row],[Pcode]],CampList[CP_Pcode],0)-1,0,1,1)&gt;=NFI_Monitor_Date,1,0))</f>
        <v/>
      </c>
      <c r="AQ1191" s="579" t="str">
        <f>IFERROR(VLOOKUP(Table_NFI[[#This Row],[Camp Name]],CL,3,0),"")</f>
        <v/>
      </c>
      <c r="AR1191" s="378" t="str">
        <f ca="1">IF(Table_NFI[[#This Row],[Pcode]]="","",OFFSET(CampList[Priority],MATCH(Table_NFI[[#This Row],[Pcode]],CampList[CP_Pcode],0)-1,0,1,1))</f>
        <v/>
      </c>
      <c r="AS1191" s="377" t="str">
        <f>IFERROR(Table_NFI[[#This Row],[Kitchen Set]]/VLOOKUP(Table_NFI[[#This Row],[Camp Name]],CL,4,0),"")</f>
        <v/>
      </c>
      <c r="AT1191" s="577"/>
      <c r="AU1191" s="580"/>
    </row>
    <row r="1192" spans="1:47" x14ac:dyDescent="0.25">
      <c r="A1192" s="416" t="str">
        <f t="shared" si="18"/>
        <v/>
      </c>
      <c r="B1192" s="581"/>
      <c r="C1192" s="583"/>
      <c r="D1192" s="583"/>
      <c r="E1192" s="583"/>
      <c r="F1192" s="583"/>
      <c r="G1192" s="583"/>
      <c r="H1192" s="417"/>
      <c r="I1192" s="417"/>
      <c r="J1192" s="417"/>
      <c r="K1192" s="417"/>
      <c r="L1192" s="417"/>
      <c r="M1192" s="417"/>
      <c r="N1192" s="417"/>
      <c r="O1192" s="417"/>
      <c r="P1192" s="418"/>
      <c r="Q1192" s="418"/>
      <c r="R1192" s="418"/>
      <c r="S1192" s="418"/>
      <c r="T1192" s="418"/>
      <c r="U1192" s="418"/>
      <c r="V1192" s="533"/>
      <c r="W1192" s="602"/>
      <c r="X1192" s="602"/>
      <c r="Y1192" s="418">
        <f>IF(NFI_Expiration=1,IF($A1192&lt;VLOOKUP(H$5,NFI,5,0),1,0)*Table_NFI[[#This Row],[Hygiene Kit]],Table_NFI[Hygiene Kit])</f>
        <v>0</v>
      </c>
      <c r="Z1192" s="418">
        <f>IF(NFI_Expiration=1,IF($A1192&lt;VLOOKUP(I$5,NFI,5,0),1,0)*Table_NFI[[#This Row],[NFI Core Kit]],Table_NFI[NFI Core Kit])</f>
        <v>0</v>
      </c>
      <c r="AA1192" s="418">
        <f>IF(NFI_Expiration=1,IF($A1192&lt;VLOOKUP(J$5,NFI,5,0),1,0)*Table_NFI[[#This Row],[Sanitary Kit]],Table_NFI[Sanitary Kit])</f>
        <v>0</v>
      </c>
      <c r="AB1192" s="418">
        <f>IF(NFI_Expiration=1,IF($A1192&lt;VLOOKUP(K$5,NFI,5,0),1,0)*Table_NFI[[#This Row],[Mosquito net]],Table_NFI[Mosquito net])</f>
        <v>0</v>
      </c>
      <c r="AC1192" s="418">
        <f>IF(NFI_Expiration=1,IF($A1192&lt;VLOOKUP(L$5,NFI,5,0),1,0)*Table_NFI[[#This Row],[Tarpaulin]],Table_NFI[[#This Row],[Tarpaulin]])</f>
        <v>0</v>
      </c>
      <c r="AD1192" s="418">
        <f>IF(NFI_Expiration=1,IF($A1192&lt;VLOOKUP(M$5,NFI,5,0),1,0)*Table_NFI[[#This Row],[Blanket]],Table_NFI[[#This Row],[Blanket]])</f>
        <v>0</v>
      </c>
      <c r="AE1192" s="418">
        <f>IF(NFI_Expiration=1,IF($A1192&lt;VLOOKUP(N$5,NFI,5,0),1,0)*Table_NFI[[#This Row],[Kitchen Set]],Table_NFI[Kitchen Set])</f>
        <v>0</v>
      </c>
      <c r="AF1192" s="418">
        <f>IF(NFI_Expiration=1,IF($A1192&lt;VLOOKUP(O$5,NFI,5,0),1,0)*Table_NFI[[#This Row],[Clothes Kit]],Table_NFI[Clothes Kit])</f>
        <v>0</v>
      </c>
      <c r="AG1192" s="418">
        <f>IF(NFI_Expiration=1,IF($A1192&lt;VLOOKUP(P$5,NFI,5,0),1,0)*Table_NFI[[#This Row],[Plastic Bucket]],Table_NFI[Plastic Bucket])</f>
        <v>0</v>
      </c>
      <c r="AH1192" s="418">
        <f>IF(NFI_Expiration=1,IF($A1192&lt;VLOOKUP(Q$5,NFI,5,0),1,0)*Table_NFI[[#This Row],[Plastic Mat]],Table_NFI[Plastic Mat])*IF(Table_NFI[[#This Row],[Distribution Date]]&gt;"2014-04-01",1,2.5)</f>
        <v>0</v>
      </c>
      <c r="AI1192" s="418">
        <f>IF(NFI_Expiration=1,IF($A1192&lt;VLOOKUP(R$5,NFI,5,0),1,0)*Table_NFI[[#This Row],[Winter Clothes Adult]],Table_NFI[Winter Clothes Adult])</f>
        <v>0</v>
      </c>
      <c r="AJ1192" s="418">
        <f>IF(NFI_Expiration=1,IF($A1192&lt;VLOOKUP(S$5,NFI,5,0),1,0)*Table_NFI[[#This Row],[Winter Clothes Children]],Table_NFI[Winter Clothes Children])</f>
        <v>0</v>
      </c>
      <c r="AK1192" s="418">
        <f>IF(NFI_Expiration=1,IF($A1192&lt;VLOOKUP(T$5,NFI,5,0),1,0)*Table_NFI[[#This Row],[Winter Items Other]],Table_NFI[Winter Items Other])</f>
        <v>0</v>
      </c>
      <c r="AL1192" s="418">
        <f>IF(NFI_Expiration=1,IF($A1192&lt;VLOOKUP(M$5,NFI,5,0),1,0)*Table_NFI[[#This Row],[Winter Blanket]],Table_NFI[[#This Row],[Winter Blanket]])</f>
        <v>0</v>
      </c>
      <c r="AM1192" s="418">
        <f>IF(Table_NFI[[#This Row],[Winter Clothes Adult]]+Table_NFI[[#This Row],[Winter Clothes Children]]+Table_NFI[[#This Row],[Winter Items Other]]+Table_NFI[[#This Row],[Winter Blanket]]&gt;0,1,0)</f>
        <v>0</v>
      </c>
      <c r="AN1192" s="418">
        <f>IF(NFI_Expiration=1,IF($A1192&lt;VLOOKUP(V$5,NFI,5,0),1,0)*Table_NFI[[#This Row],[Jerry Can]],Table_NFI[Jerry Can])</f>
        <v>0</v>
      </c>
      <c r="AO1192" s="590" t="str">
        <f>IFERROR(VLOOKUP(Table_NFI[[#This Row],[Camp Name]],CL,2,0),"")</f>
        <v/>
      </c>
      <c r="AP1192" s="584" t="str">
        <f ca="1">IF(Table_NFI[[#This Row],[Pcode]]="","",IF(OFFSET(CampList[Opening Date],MATCH(Table_NFI[[#This Row],[Pcode]],CampList[CP_Pcode],0)-1,0,1,1)&gt;=NFI_Monitor_Date,1,0))</f>
        <v/>
      </c>
      <c r="AQ1192" s="590" t="str">
        <f>IFERROR(VLOOKUP(Table_NFI[[#This Row],[Camp Name]],CL,3,0),"")</f>
        <v/>
      </c>
      <c r="AR1192" s="418" t="str">
        <f ca="1">IF(Table_NFI[[#This Row],[Pcode]]="","",OFFSET(CampList[Priority],MATCH(Table_NFI[[#This Row],[Pcode]],CampList[CP_Pcode],0)-1,0,1,1))</f>
        <v/>
      </c>
      <c r="AS1192" s="419" t="str">
        <f>IFERROR(Table_NFI[[#This Row],[Kitchen Set]]/VLOOKUP(Table_NFI[[#This Row],[Camp Name]],CL,4,0),"")</f>
        <v/>
      </c>
      <c r="AT1192" s="583"/>
      <c r="AU1192" s="591"/>
    </row>
    <row r="1193" spans="1:47" x14ac:dyDescent="0.25">
      <c r="A1193" s="416" t="str">
        <f t="shared" si="18"/>
        <v/>
      </c>
      <c r="B1193" s="581"/>
      <c r="C1193" s="583"/>
      <c r="D1193" s="583"/>
      <c r="E1193" s="583"/>
      <c r="F1193" s="583"/>
      <c r="G1193" s="583"/>
      <c r="H1193" s="417"/>
      <c r="I1193" s="417"/>
      <c r="J1193" s="417"/>
      <c r="K1193" s="417"/>
      <c r="L1193" s="417"/>
      <c r="M1193" s="417"/>
      <c r="N1193" s="417"/>
      <c r="O1193" s="417"/>
      <c r="P1193" s="418"/>
      <c r="Q1193" s="418"/>
      <c r="R1193" s="418"/>
      <c r="S1193" s="418"/>
      <c r="T1193" s="418"/>
      <c r="U1193" s="418"/>
      <c r="V1193" s="533"/>
      <c r="W1193" s="418"/>
      <c r="X1193" s="418"/>
      <c r="Y1193" s="418">
        <f>IF(NFI_Expiration=1,IF($A1193&lt;VLOOKUP(H$5,NFI,5,0),1,0)*Table_NFI[[#This Row],[Hygiene Kit]],Table_NFI[Hygiene Kit])</f>
        <v>0</v>
      </c>
      <c r="Z1193" s="418">
        <f>IF(NFI_Expiration=1,IF($A1193&lt;VLOOKUP(I$5,NFI,5,0),1,0)*Table_NFI[[#This Row],[NFI Core Kit]],Table_NFI[NFI Core Kit])</f>
        <v>0</v>
      </c>
      <c r="AA1193" s="418">
        <f>IF(NFI_Expiration=1,IF($A1193&lt;VLOOKUP(J$5,NFI,5,0),1,0)*Table_NFI[[#This Row],[Sanitary Kit]],Table_NFI[Sanitary Kit])</f>
        <v>0</v>
      </c>
      <c r="AB1193" s="418">
        <f>IF(NFI_Expiration=1,IF($A1193&lt;VLOOKUP(K$5,NFI,5,0),1,0)*Table_NFI[[#This Row],[Mosquito net]],Table_NFI[Mosquito net])</f>
        <v>0</v>
      </c>
      <c r="AC1193" s="418">
        <f>IF(NFI_Expiration=1,IF($A1193&lt;VLOOKUP(L$5,NFI,5,0),1,0)*Table_NFI[[#This Row],[Tarpaulin]],Table_NFI[[#This Row],[Tarpaulin]])</f>
        <v>0</v>
      </c>
      <c r="AD1193" s="418">
        <f>IF(NFI_Expiration=1,IF($A1193&lt;VLOOKUP(M$5,NFI,5,0),1,0)*Table_NFI[[#This Row],[Blanket]],Table_NFI[[#This Row],[Blanket]])</f>
        <v>0</v>
      </c>
      <c r="AE1193" s="418">
        <f>IF(NFI_Expiration=1,IF($A1193&lt;VLOOKUP(N$5,NFI,5,0),1,0)*Table_NFI[[#This Row],[Kitchen Set]],Table_NFI[Kitchen Set])</f>
        <v>0</v>
      </c>
      <c r="AF1193" s="418">
        <f>IF(NFI_Expiration=1,IF($A1193&lt;VLOOKUP(O$5,NFI,5,0),1,0)*Table_NFI[[#This Row],[Clothes Kit]],Table_NFI[Clothes Kit])</f>
        <v>0</v>
      </c>
      <c r="AG1193" s="418">
        <f>IF(NFI_Expiration=1,IF($A1193&lt;VLOOKUP(P$5,NFI,5,0),1,0)*Table_NFI[[#This Row],[Plastic Bucket]],Table_NFI[Plastic Bucket])</f>
        <v>0</v>
      </c>
      <c r="AH1193" s="418">
        <f>IF(NFI_Expiration=1,IF($A1193&lt;VLOOKUP(Q$5,NFI,5,0),1,0)*Table_NFI[[#This Row],[Plastic Mat]],Table_NFI[Plastic Mat])*IF(Table_NFI[[#This Row],[Distribution Date]]&gt;"2014-04-01",1,2.5)</f>
        <v>0</v>
      </c>
      <c r="AI1193" s="418">
        <f>IF(NFI_Expiration=1,IF($A1193&lt;VLOOKUP(R$5,NFI,5,0),1,0)*Table_NFI[[#This Row],[Winter Clothes Adult]],Table_NFI[Winter Clothes Adult])</f>
        <v>0</v>
      </c>
      <c r="AJ1193" s="418">
        <f>IF(NFI_Expiration=1,IF($A1193&lt;VLOOKUP(S$5,NFI,5,0),1,0)*Table_NFI[[#This Row],[Winter Clothes Children]],Table_NFI[Winter Clothes Children])</f>
        <v>0</v>
      </c>
      <c r="AK1193" s="418">
        <f>IF(NFI_Expiration=1,IF($A1193&lt;VLOOKUP(T$5,NFI,5,0),1,0)*Table_NFI[[#This Row],[Winter Items Other]],Table_NFI[Winter Items Other])</f>
        <v>0</v>
      </c>
      <c r="AL1193" s="418">
        <f>IF(NFI_Expiration=1,IF($A1193&lt;VLOOKUP(M$5,NFI,5,0),1,0)*Table_NFI[[#This Row],[Winter Blanket]],Table_NFI[[#This Row],[Winter Blanket]])</f>
        <v>0</v>
      </c>
      <c r="AM1193" s="418">
        <f>IF(Table_NFI[[#This Row],[Winter Clothes Adult]]+Table_NFI[[#This Row],[Winter Clothes Children]]+Table_NFI[[#This Row],[Winter Items Other]]+Table_NFI[[#This Row],[Winter Blanket]]&gt;0,1,0)</f>
        <v>0</v>
      </c>
      <c r="AN1193" s="418">
        <f>IF(NFI_Expiration=1,IF($A1193&lt;VLOOKUP(V$5,NFI,5,0),1,0)*Table_NFI[[#This Row],[Jerry Can]],Table_NFI[Jerry Can])</f>
        <v>0</v>
      </c>
      <c r="AO1193" s="590" t="str">
        <f>IFERROR(VLOOKUP(Table_NFI[[#This Row],[Camp Name]],CL,2,0),"")</f>
        <v/>
      </c>
      <c r="AP1193" s="584" t="str">
        <f ca="1">IF(Table_NFI[[#This Row],[Pcode]]="","",IF(OFFSET(CampList[Opening Date],MATCH(Table_NFI[[#This Row],[Pcode]],CampList[CP_Pcode],0)-1,0,1,1)&gt;=NFI_Monitor_Date,1,0))</f>
        <v/>
      </c>
      <c r="AQ1193" s="590" t="str">
        <f>IFERROR(VLOOKUP(Table_NFI[[#This Row],[Camp Name]],CL,3,0),"")</f>
        <v/>
      </c>
      <c r="AR1193" s="418" t="str">
        <f ca="1">IF(Table_NFI[[#This Row],[Pcode]]="","",OFFSET(CampList[Priority],MATCH(Table_NFI[[#This Row],[Pcode]],CampList[CP_Pcode],0)-1,0,1,1))</f>
        <v/>
      </c>
      <c r="AS1193" s="377" t="str">
        <f>IFERROR(Table_NFI[[#This Row],[Kitchen Set]]/VLOOKUP(Table_NFI[[#This Row],[Camp Name]],CL,4,0),"")</f>
        <v/>
      </c>
      <c r="AT1193" s="583"/>
      <c r="AU1193" s="591"/>
    </row>
    <row r="1194" spans="1:47" x14ac:dyDescent="0.25">
      <c r="A1194" s="381" t="str">
        <f t="shared" si="18"/>
        <v/>
      </c>
      <c r="B1194" s="571"/>
      <c r="C1194" s="577"/>
      <c r="D1194" s="577"/>
      <c r="E1194" s="572"/>
      <c r="F1194" s="572"/>
      <c r="G1194" s="577"/>
      <c r="H1194" s="376"/>
      <c r="I1194" s="376"/>
      <c r="J1194" s="376"/>
      <c r="K1194" s="376"/>
      <c r="L1194" s="376"/>
      <c r="M1194" s="376"/>
      <c r="N1194" s="376"/>
      <c r="O1194" s="376"/>
      <c r="P1194" s="378"/>
      <c r="Q1194" s="378"/>
      <c r="R1194" s="378"/>
      <c r="S1194" s="378"/>
      <c r="T1194" s="378"/>
      <c r="U1194" s="378"/>
      <c r="V1194" s="533"/>
      <c r="W1194" s="418"/>
      <c r="X1194" s="418"/>
      <c r="Y1194" s="378">
        <f>IF(NFI_Expiration=1,IF($A1194&lt;VLOOKUP(H$5,NFI,5,0),1,0)*Table_NFI[[#This Row],[Hygiene Kit]],Table_NFI[Hygiene Kit])</f>
        <v>0</v>
      </c>
      <c r="Z1194" s="378">
        <f>IF(NFI_Expiration=1,IF($A1194&lt;VLOOKUP(I$5,NFI,5,0),1,0)*Table_NFI[[#This Row],[NFI Core Kit]],Table_NFI[NFI Core Kit])</f>
        <v>0</v>
      </c>
      <c r="AA1194" s="378">
        <f>IF(NFI_Expiration=1,IF($A1194&lt;VLOOKUP(J$5,NFI,5,0),1,0)*Table_NFI[[#This Row],[Sanitary Kit]],Table_NFI[Sanitary Kit])</f>
        <v>0</v>
      </c>
      <c r="AB1194" s="378">
        <f>IF(NFI_Expiration=1,IF($A1194&lt;VLOOKUP(K$5,NFI,5,0),1,0)*Table_NFI[[#This Row],[Mosquito net]],Table_NFI[Mosquito net])</f>
        <v>0</v>
      </c>
      <c r="AC1194" s="378">
        <f>IF(NFI_Expiration=1,IF($A1194&lt;VLOOKUP(L$5,NFI,5,0),1,0)*Table_NFI[[#This Row],[Tarpaulin]],Table_NFI[[#This Row],[Tarpaulin]])</f>
        <v>0</v>
      </c>
      <c r="AD1194" s="378">
        <f>IF(NFI_Expiration=1,IF($A1194&lt;VLOOKUP(M$5,NFI,5,0),1,0)*Table_NFI[[#This Row],[Blanket]],Table_NFI[[#This Row],[Blanket]])</f>
        <v>0</v>
      </c>
      <c r="AE1194" s="378">
        <f>IF(NFI_Expiration=1,IF($A1194&lt;VLOOKUP(N$5,NFI,5,0),1,0)*Table_NFI[[#This Row],[Kitchen Set]],Table_NFI[Kitchen Set])</f>
        <v>0</v>
      </c>
      <c r="AF1194" s="378">
        <f>IF(NFI_Expiration=1,IF($A1194&lt;VLOOKUP(O$5,NFI,5,0),1,0)*Table_NFI[[#This Row],[Clothes Kit]],Table_NFI[Clothes Kit])</f>
        <v>0</v>
      </c>
      <c r="AG1194" s="378">
        <f>IF(NFI_Expiration=1,IF($A1194&lt;VLOOKUP(P$5,NFI,5,0),1,0)*Table_NFI[[#This Row],[Plastic Bucket]],Table_NFI[Plastic Bucket])</f>
        <v>0</v>
      </c>
      <c r="AH1194" s="378">
        <f>IF(NFI_Expiration=1,IF($A1194&lt;VLOOKUP(Q$5,NFI,5,0),1,0)*Table_NFI[[#This Row],[Plastic Mat]],Table_NFI[Plastic Mat])*IF(Table_NFI[[#This Row],[Distribution Date]]&gt;"2014-04-01",1,2.5)</f>
        <v>0</v>
      </c>
      <c r="AI1194" s="378">
        <f>IF(NFI_Expiration=1,IF($A1194&lt;VLOOKUP(R$5,NFI,5,0),1,0)*Table_NFI[[#This Row],[Winter Clothes Adult]],Table_NFI[Winter Clothes Adult])</f>
        <v>0</v>
      </c>
      <c r="AJ1194" s="378">
        <f>IF(NFI_Expiration=1,IF($A1194&lt;VLOOKUP(S$5,NFI,5,0),1,0)*Table_NFI[[#This Row],[Winter Clothes Children]],Table_NFI[Winter Clothes Children])</f>
        <v>0</v>
      </c>
      <c r="AK1194" s="378">
        <f>IF(NFI_Expiration=1,IF($A1194&lt;VLOOKUP(T$5,NFI,5,0),1,0)*Table_NFI[[#This Row],[Winter Items Other]],Table_NFI[Winter Items Other])</f>
        <v>0</v>
      </c>
      <c r="AL1194" s="378">
        <f>IF(NFI_Expiration=1,IF($A1194&lt;VLOOKUP(M$5,NFI,5,0),1,0)*Table_NFI[[#This Row],[Winter Blanket]],Table_NFI[[#This Row],[Winter Blanket]])</f>
        <v>0</v>
      </c>
      <c r="AM1194" s="378">
        <f>IF(Table_NFI[[#This Row],[Winter Clothes Adult]]+Table_NFI[[#This Row],[Winter Clothes Children]]+Table_NFI[[#This Row],[Winter Items Other]]+Table_NFI[[#This Row],[Winter Blanket]]&gt;0,1,0)</f>
        <v>0</v>
      </c>
      <c r="AN1194" s="418">
        <f>IF(NFI_Expiration=1,IF($A1194&lt;VLOOKUP(V$5,NFI,5,0),1,0)*Table_NFI[[#This Row],[Jerry Can]],Table_NFI[Jerry Can])</f>
        <v>0</v>
      </c>
      <c r="AO1194" s="579" t="str">
        <f>IFERROR(VLOOKUP(Table_NFI[[#This Row],[Camp Name]],CL,2,0),"")</f>
        <v/>
      </c>
      <c r="AP1194" s="574" t="str">
        <f ca="1">IF(Table_NFI[[#This Row],[Pcode]]="","",IF(OFFSET(CampList[Opening Date],MATCH(Table_NFI[[#This Row],[Pcode]],CampList[CP_Pcode],0)-1,0,1,1)&gt;=NFI_Monitor_Date,1,0))</f>
        <v/>
      </c>
      <c r="AQ1194" s="579" t="str">
        <f>IFERROR(VLOOKUP(Table_NFI[[#This Row],[Camp Name]],CL,3,0),"")</f>
        <v/>
      </c>
      <c r="AR1194" s="378" t="str">
        <f ca="1">IF(Table_NFI[[#This Row],[Pcode]]="","",OFFSET(CampList[Priority],MATCH(Table_NFI[[#This Row],[Pcode]],CampList[CP_Pcode],0)-1,0,1,1))</f>
        <v/>
      </c>
      <c r="AS1194" s="377" t="str">
        <f>IFERROR(Table_NFI[[#This Row],[Kitchen Set]]/VLOOKUP(Table_NFI[[#This Row],[Camp Name]],CL,4,0),"")</f>
        <v/>
      </c>
      <c r="AT1194" s="577"/>
      <c r="AU1194" s="580"/>
    </row>
  </sheetData>
  <sortState ref="A873:G911">
    <sortCondition descending="1" ref="A8"/>
  </sortState>
  <mergeCells count="3">
    <mergeCell ref="A4:C4"/>
    <mergeCell ref="A2:H2"/>
    <mergeCell ref="A3:H3"/>
  </mergeCells>
  <conditionalFormatting sqref="AO721:AP780 AO784:AP802 AQ721:AQ929 AO11:AQ720">
    <cfRule type="containsText" dxfId="99" priority="43" operator="containsText" text="close">
      <formula>NOT(ISERROR(SEARCH("close",AO11)))</formula>
    </cfRule>
    <cfRule type="containsText" dxfId="98" priority="44" operator="containsText" text="open">
      <formula>NOT(ISERROR(SEARCH("open",AO11)))</formula>
    </cfRule>
  </conditionalFormatting>
  <conditionalFormatting sqref="AO781:AP783">
    <cfRule type="containsText" dxfId="97" priority="39" operator="containsText" text="close">
      <formula>NOT(ISERROR(SEARCH("close",AO781)))</formula>
    </cfRule>
    <cfRule type="containsText" dxfId="96" priority="40" operator="containsText" text="open">
      <formula>NOT(ISERROR(SEARCH("open",AO781)))</formula>
    </cfRule>
  </conditionalFormatting>
  <conditionalFormatting sqref="AO855:AP909">
    <cfRule type="containsText" dxfId="95" priority="1" operator="containsText" text="close">
      <formula>NOT(ISERROR(SEARCH("close",AO855)))</formula>
    </cfRule>
    <cfRule type="containsText" dxfId="94" priority="2" operator="containsText" text="open">
      <formula>NOT(ISERROR(SEARCH("open",AO855)))</formula>
    </cfRule>
  </conditionalFormatting>
  <dataValidations count="3">
    <dataValidation type="list" allowBlank="1" showInputMessage="1" showErrorMessage="1" sqref="G6:G906 G908:G1050">
      <formula1>OFFSET(TCL_T1,MATCH(F6,TCL_T,0)-1,1,COUNTIF(TCL_T,F6),1)</formula1>
    </dataValidation>
    <dataValidation type="list" allowBlank="1" showInputMessage="1" showErrorMessage="1" sqref="E1193:E1194 E6:E1050">
      <formula1>State</formula1>
    </dataValidation>
    <dataValidation type="list" showInputMessage="1" showErrorMessage="1" sqref="F1193:F1194 F6:F1050">
      <formula1>INDIRECT(E6)</formula1>
    </dataValidation>
  </dataValidations>
  <printOptions gridLines="1"/>
  <pageMargins left="0.25" right="0.25" top="0.75" bottom="0.75" header="0.3" footer="0.3"/>
  <pageSetup paperSize="9" scale="70" orientation="landscape" r:id="rId1"/>
  <drawing r:id="rId2"/>
  <tableParts count="1">
    <tablePart r:id="rId3"/>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FF0000"/>
    <pageSetUpPr fitToPage="1"/>
  </sheetPr>
  <dimension ref="A1:BP404"/>
  <sheetViews>
    <sheetView showZeros="0" zoomScale="80" zoomScaleNormal="80" workbookViewId="0">
      <selection activeCell="A5" sqref="A5:A6"/>
    </sheetView>
  </sheetViews>
  <sheetFormatPr defaultColWidth="5" defaultRowHeight="51.75" customHeight="1" x14ac:dyDescent="0.25"/>
  <cols>
    <col min="1" max="1" width="10.85546875" customWidth="1"/>
    <col min="2" max="2" width="8.85546875" customWidth="1"/>
    <col min="3" max="3" width="9.140625" customWidth="1"/>
    <col min="4" max="4" width="8.28515625" customWidth="1"/>
    <col min="5" max="5" width="10.140625" customWidth="1"/>
    <col min="6" max="6" width="6.140625" style="46" customWidth="1"/>
    <col min="7" max="7" width="6.140625" style="1" customWidth="1"/>
    <col min="8" max="8" width="6.140625" style="47" customWidth="1"/>
    <col min="9" max="9" width="6.140625" style="46" customWidth="1"/>
    <col min="10" max="10" width="6.140625" style="1" customWidth="1"/>
    <col min="11" max="11" width="6.140625" style="47" customWidth="1"/>
    <col min="12" max="12" width="6.140625" style="46" customWidth="1"/>
    <col min="13" max="13" width="6.140625" style="1" customWidth="1"/>
    <col min="14" max="14" width="6.140625" style="47" customWidth="1"/>
    <col min="15" max="15" width="9.7109375" style="46" customWidth="1"/>
    <col min="16" max="16" width="9.140625" style="1" customWidth="1"/>
    <col min="17" max="17" width="6.5703125" style="1" customWidth="1"/>
    <col min="18" max="18" width="8.85546875" style="46" customWidth="1"/>
    <col min="19" max="19" width="9.7109375" style="1" customWidth="1"/>
    <col min="20" max="20" width="6.140625" style="47" bestFit="1" customWidth="1"/>
    <col min="21" max="21" width="8.85546875" customWidth="1"/>
    <col min="22" max="22" width="9.140625" style="37" customWidth="1"/>
    <col min="23" max="23" width="6.140625" style="37" bestFit="1" customWidth="1"/>
    <col min="24" max="24" width="8.85546875" style="46" customWidth="1"/>
    <col min="25" max="25" width="10" style="1" customWidth="1"/>
    <col min="26" max="26" width="6.140625" style="47" bestFit="1" customWidth="1"/>
    <col min="27" max="27" width="9" style="46" customWidth="1"/>
    <col min="28" max="28" width="9.28515625" style="1" customWidth="1"/>
    <col min="29" max="29" width="6.140625" style="47" bestFit="1" customWidth="1"/>
    <col min="30" max="30" width="8.7109375" style="46" customWidth="1"/>
    <col min="31" max="31" width="9.42578125" style="1" customWidth="1"/>
    <col min="32" max="32" width="6.140625" style="47" bestFit="1" customWidth="1"/>
    <col min="33" max="33" width="8.85546875" style="46" customWidth="1"/>
    <col min="34" max="34" width="9.28515625" style="1" customWidth="1"/>
    <col min="35" max="35" width="6.7109375" style="47" customWidth="1"/>
    <col min="36" max="38" width="6.7109375" style="422" customWidth="1"/>
    <col min="39" max="39" width="8.85546875" style="46" customWidth="1"/>
    <col min="40" max="40" width="9.42578125" style="1" customWidth="1"/>
    <col min="41" max="41" width="7.5703125" style="47" customWidth="1"/>
    <col min="42" max="42" width="8.85546875" style="46" customWidth="1"/>
    <col min="43" max="43" width="9.5703125" style="1" customWidth="1"/>
    <col min="44" max="44" width="8.85546875" style="47" customWidth="1"/>
    <col min="45" max="45" width="8.85546875" style="46" customWidth="1"/>
    <col min="46" max="46" width="9.7109375" style="1" customWidth="1"/>
    <col min="47" max="47" width="8.85546875" style="47" customWidth="1"/>
    <col min="48" max="48" width="8.85546875" style="46" customWidth="1"/>
    <col min="49" max="49" width="9.28515625" style="1" customWidth="1"/>
    <col min="50" max="50" width="8.85546875" style="47" customWidth="1"/>
  </cols>
  <sheetData>
    <row r="1" spans="1:68" s="1" customFormat="1" ht="36" x14ac:dyDescent="0.25">
      <c r="A1" s="290"/>
      <c r="B1" s="291"/>
      <c r="C1" s="291"/>
      <c r="D1" s="291"/>
      <c r="E1" s="291"/>
      <c r="F1" s="291"/>
      <c r="G1" s="291"/>
      <c r="H1" s="291"/>
      <c r="I1" s="296"/>
      <c r="J1" s="291"/>
      <c r="K1" s="291"/>
      <c r="L1" s="291"/>
      <c r="M1" s="291"/>
      <c r="N1" s="291"/>
      <c r="O1" s="291"/>
      <c r="P1" s="291"/>
      <c r="Q1" s="291"/>
      <c r="R1" s="291"/>
      <c r="S1" s="291"/>
      <c r="T1" s="291"/>
      <c r="U1" s="291"/>
      <c r="V1" s="291"/>
      <c r="W1" s="291"/>
      <c r="X1" s="291"/>
      <c r="Y1" s="291"/>
      <c r="Z1" s="291"/>
      <c r="AA1" s="291"/>
      <c r="AB1" s="291"/>
      <c r="AC1" s="291"/>
      <c r="AD1" s="291"/>
      <c r="AE1" s="291"/>
      <c r="AF1" s="291"/>
      <c r="AG1" s="291"/>
      <c r="AH1" s="291"/>
      <c r="AI1" s="291"/>
      <c r="AJ1" s="291"/>
      <c r="AK1" s="291"/>
      <c r="AL1" s="291"/>
      <c r="AM1" s="291"/>
      <c r="AN1" s="291"/>
      <c r="AO1" s="291"/>
      <c r="AP1" s="291"/>
      <c r="AQ1" s="291"/>
      <c r="AR1" s="291"/>
      <c r="AS1" s="291"/>
      <c r="AT1" s="291"/>
      <c r="AU1" s="297"/>
      <c r="AV1" s="241"/>
      <c r="AW1" s="241"/>
      <c r="AX1" s="242"/>
      <c r="BO1" s="56"/>
      <c r="BP1" s="56"/>
    </row>
    <row r="2" spans="1:68" s="1" customFormat="1" ht="66" customHeight="1" x14ac:dyDescent="0.25">
      <c r="A2" s="382" t="s">
        <v>511</v>
      </c>
      <c r="B2" s="263"/>
      <c r="C2" s="263"/>
      <c r="D2" s="263"/>
      <c r="E2" s="263"/>
      <c r="F2" s="263"/>
      <c r="G2" s="263"/>
      <c r="H2" s="263"/>
      <c r="I2" s="263"/>
      <c r="J2" s="263"/>
      <c r="K2" s="263"/>
      <c r="L2" s="263"/>
      <c r="M2" s="263"/>
      <c r="N2" s="263"/>
      <c r="O2" s="263"/>
      <c r="P2" s="263"/>
      <c r="Q2" s="263"/>
      <c r="R2" s="263"/>
      <c r="S2" s="263"/>
      <c r="T2" s="263"/>
      <c r="U2" s="263"/>
      <c r="V2" s="263"/>
      <c r="W2" s="263"/>
      <c r="X2" s="263"/>
      <c r="Y2" s="263"/>
      <c r="Z2" s="263"/>
      <c r="AA2" s="263"/>
      <c r="AB2" s="263"/>
      <c r="AC2" s="263"/>
      <c r="AD2" s="263"/>
      <c r="AE2" s="263"/>
      <c r="AF2" s="263"/>
      <c r="AG2" s="263"/>
      <c r="AH2" s="263"/>
      <c r="AI2" s="263"/>
      <c r="AJ2" s="263"/>
      <c r="AK2" s="263"/>
      <c r="AL2" s="263"/>
      <c r="AM2" s="263"/>
      <c r="AN2" s="263"/>
      <c r="AO2" s="263"/>
      <c r="AP2" s="263"/>
      <c r="AQ2" s="263"/>
      <c r="AR2" s="263"/>
      <c r="AS2" s="263"/>
      <c r="AT2" s="263"/>
      <c r="AU2" s="263"/>
      <c r="AV2" s="209"/>
      <c r="AW2" s="209"/>
      <c r="AX2" s="243"/>
      <c r="BO2" s="56"/>
      <c r="BP2" s="56"/>
    </row>
    <row r="3" spans="1:68" s="18" customFormat="1" ht="18" customHeight="1" thickBot="1" x14ac:dyDescent="0.3">
      <c r="A3" s="1020">
        <f>Definition!B23</f>
        <v>42522</v>
      </c>
      <c r="B3" s="1021"/>
      <c r="C3" s="1021"/>
      <c r="D3" s="362"/>
      <c r="E3" s="362"/>
      <c r="F3" s="362"/>
      <c r="G3" s="362"/>
      <c r="H3" s="362"/>
      <c r="I3" s="362"/>
      <c r="J3" s="362"/>
      <c r="K3" s="245"/>
      <c r="L3" s="362"/>
      <c r="M3" s="362"/>
      <c r="N3" s="362"/>
      <c r="O3" s="362"/>
      <c r="P3" s="362"/>
      <c r="Q3" s="362"/>
      <c r="R3" s="362"/>
      <c r="S3" s="383"/>
      <c r="T3" s="362"/>
      <c r="U3" s="362"/>
      <c r="V3" s="245"/>
      <c r="W3" s="245"/>
      <c r="X3" s="245"/>
      <c r="Y3" s="245"/>
      <c r="Z3" s="245"/>
      <c r="AA3" s="245"/>
      <c r="AB3" s="245"/>
      <c r="AC3" s="245"/>
      <c r="AD3" s="245"/>
      <c r="AE3" s="245"/>
      <c r="AF3" s="245"/>
      <c r="AG3" s="245"/>
      <c r="AH3" s="245"/>
      <c r="AI3" s="245"/>
      <c r="AJ3" s="245"/>
      <c r="AK3" s="245"/>
      <c r="AL3" s="245"/>
      <c r="AM3" s="245"/>
      <c r="AN3" s="245"/>
      <c r="AO3" s="245"/>
      <c r="AP3" s="245"/>
      <c r="AQ3" s="245"/>
      <c r="AR3" s="245"/>
      <c r="AS3" s="245"/>
      <c r="AT3" s="245"/>
      <c r="AU3" s="245"/>
      <c r="AV3" s="245"/>
      <c r="AW3" s="245"/>
      <c r="AX3" s="246"/>
      <c r="BO3" s="57"/>
      <c r="BP3" s="57"/>
    </row>
    <row r="4" spans="1:68" s="48" customFormat="1" ht="16.5" hidden="1" customHeight="1" thickBot="1" x14ac:dyDescent="0.3">
      <c r="AA4" s="77"/>
      <c r="AB4" s="77"/>
      <c r="AC4" s="77"/>
      <c r="AD4" s="77"/>
      <c r="AE4" s="77"/>
      <c r="AF4" s="77"/>
      <c r="AJ4" s="421"/>
      <c r="AK4" s="421"/>
      <c r="AL4" s="421"/>
      <c r="AM4" s="123"/>
      <c r="AN4" s="123"/>
      <c r="AO4" s="123"/>
      <c r="AP4" s="123"/>
      <c r="AQ4" s="123"/>
      <c r="AR4" s="123"/>
      <c r="AS4" s="123"/>
      <c r="AT4" s="123"/>
      <c r="AU4" s="123"/>
      <c r="AV4" s="123"/>
      <c r="AW4" s="123"/>
      <c r="AX4" s="123"/>
    </row>
    <row r="5" spans="1:68" s="42" customFormat="1" ht="47.25" customHeight="1" thickBot="1" x14ac:dyDescent="0.3">
      <c r="A5" s="1039" t="s">
        <v>410</v>
      </c>
      <c r="B5" s="1035" t="s">
        <v>403</v>
      </c>
      <c r="C5" s="1035" t="s">
        <v>414</v>
      </c>
      <c r="D5" s="1037" t="s">
        <v>396</v>
      </c>
      <c r="E5" s="1035" t="s">
        <v>0</v>
      </c>
      <c r="F5" s="1046" t="s">
        <v>404</v>
      </c>
      <c r="G5" s="1046"/>
      <c r="H5" s="1046"/>
      <c r="I5" s="1047" t="s">
        <v>405</v>
      </c>
      <c r="J5" s="1047"/>
      <c r="K5" s="1047"/>
      <c r="L5" s="1045" t="s">
        <v>406</v>
      </c>
      <c r="M5" s="1045"/>
      <c r="N5" s="1045"/>
      <c r="O5" s="1044" t="s">
        <v>407</v>
      </c>
      <c r="P5" s="1044"/>
      <c r="Q5" s="1044"/>
      <c r="R5" s="1041" t="s">
        <v>408</v>
      </c>
      <c r="S5" s="1042"/>
      <c r="T5" s="1043"/>
      <c r="U5" s="1032" t="s">
        <v>436</v>
      </c>
      <c r="V5" s="1033"/>
      <c r="W5" s="1034"/>
      <c r="X5" s="1029" t="s">
        <v>437</v>
      </c>
      <c r="Y5" s="1030"/>
      <c r="Z5" s="1031"/>
      <c r="AA5" s="1051" t="s">
        <v>1227</v>
      </c>
      <c r="AB5" s="1052"/>
      <c r="AC5" s="1053"/>
      <c r="AD5" s="1048" t="s">
        <v>579</v>
      </c>
      <c r="AE5" s="1049"/>
      <c r="AF5" s="1050"/>
      <c r="AG5" s="1026" t="s">
        <v>580</v>
      </c>
      <c r="AH5" s="1027"/>
      <c r="AI5" s="1028"/>
      <c r="AJ5" s="1026" t="s">
        <v>1397</v>
      </c>
      <c r="AK5" s="1027"/>
      <c r="AL5" s="1028"/>
      <c r="AM5" s="1051" t="s">
        <v>990</v>
      </c>
      <c r="AN5" s="1052"/>
      <c r="AO5" s="1053"/>
      <c r="AP5" s="1048" t="s">
        <v>994</v>
      </c>
      <c r="AQ5" s="1049"/>
      <c r="AR5" s="1050"/>
      <c r="AS5" s="1026" t="s">
        <v>998</v>
      </c>
      <c r="AT5" s="1027"/>
      <c r="AU5" s="1028"/>
      <c r="AV5" s="1026" t="s">
        <v>1114</v>
      </c>
      <c r="AW5" s="1027"/>
      <c r="AX5" s="1028"/>
    </row>
    <row r="6" spans="1:68" s="42" customFormat="1" ht="75.75" customHeight="1" thickBot="1" x14ac:dyDescent="0.3">
      <c r="A6" s="1040"/>
      <c r="B6" s="1036"/>
      <c r="C6" s="1036"/>
      <c r="D6" s="1038"/>
      <c r="E6" s="1036"/>
      <c r="F6" s="587" t="s">
        <v>409</v>
      </c>
      <c r="G6" s="587" t="s">
        <v>411</v>
      </c>
      <c r="H6" s="587" t="s">
        <v>412</v>
      </c>
      <c r="I6" s="587" t="s">
        <v>409</v>
      </c>
      <c r="J6" s="587" t="s">
        <v>411</v>
      </c>
      <c r="K6" s="587" t="s">
        <v>412</v>
      </c>
      <c r="L6" s="587" t="s">
        <v>409</v>
      </c>
      <c r="M6" s="587" t="s">
        <v>411</v>
      </c>
      <c r="N6" s="587" t="s">
        <v>412</v>
      </c>
      <c r="O6" s="385" t="s">
        <v>409</v>
      </c>
      <c r="P6" s="385" t="s">
        <v>411</v>
      </c>
      <c r="Q6" s="385" t="s">
        <v>412</v>
      </c>
      <c r="R6" s="384" t="s">
        <v>409</v>
      </c>
      <c r="S6" s="385" t="s">
        <v>411</v>
      </c>
      <c r="T6" s="387" t="s">
        <v>412</v>
      </c>
      <c r="U6" s="386" t="s">
        <v>409</v>
      </c>
      <c r="V6" s="385" t="s">
        <v>411</v>
      </c>
      <c r="W6" s="386" t="s">
        <v>412</v>
      </c>
      <c r="X6" s="384" t="s">
        <v>409</v>
      </c>
      <c r="Y6" s="385" t="s">
        <v>411</v>
      </c>
      <c r="Z6" s="387" t="s">
        <v>412</v>
      </c>
      <c r="AA6" s="384" t="s">
        <v>409</v>
      </c>
      <c r="AB6" s="385" t="s">
        <v>411</v>
      </c>
      <c r="AC6" s="387" t="s">
        <v>412</v>
      </c>
      <c r="AD6" s="384" t="s">
        <v>409</v>
      </c>
      <c r="AE6" s="385" t="s">
        <v>411</v>
      </c>
      <c r="AF6" s="387" t="s">
        <v>412</v>
      </c>
      <c r="AG6" s="384" t="s">
        <v>409</v>
      </c>
      <c r="AH6" s="385" t="s">
        <v>411</v>
      </c>
      <c r="AI6" s="387" t="s">
        <v>412</v>
      </c>
      <c r="AJ6" s="384" t="s">
        <v>409</v>
      </c>
      <c r="AK6" s="385" t="s">
        <v>411</v>
      </c>
      <c r="AL6" s="387" t="s">
        <v>412</v>
      </c>
      <c r="AM6" s="384" t="s">
        <v>409</v>
      </c>
      <c r="AN6" s="385" t="s">
        <v>411</v>
      </c>
      <c r="AO6" s="387" t="s">
        <v>412</v>
      </c>
      <c r="AP6" s="384" t="s">
        <v>409</v>
      </c>
      <c r="AQ6" s="385" t="s">
        <v>411</v>
      </c>
      <c r="AR6" s="387" t="s">
        <v>412</v>
      </c>
      <c r="AS6" s="384" t="s">
        <v>409</v>
      </c>
      <c r="AT6" s="385" t="s">
        <v>411</v>
      </c>
      <c r="AU6" s="387" t="s">
        <v>412</v>
      </c>
      <c r="AV6" s="384" t="s">
        <v>409</v>
      </c>
      <c r="AW6" s="385" t="s">
        <v>411</v>
      </c>
      <c r="AX6" s="387" t="s">
        <v>412</v>
      </c>
    </row>
    <row r="7" spans="1:68" s="4" customFormat="1" ht="23.25" customHeight="1" x14ac:dyDescent="0.25">
      <c r="A7" s="539">
        <v>42499</v>
      </c>
      <c r="B7" s="4" t="s">
        <v>454</v>
      </c>
      <c r="C7" s="4" t="s">
        <v>454</v>
      </c>
      <c r="D7" s="4" t="s">
        <v>380</v>
      </c>
      <c r="E7" s="4" t="s">
        <v>5</v>
      </c>
      <c r="F7" s="537"/>
      <c r="G7" s="428"/>
      <c r="H7" s="538"/>
      <c r="I7" s="537">
        <v>203</v>
      </c>
      <c r="J7" s="428"/>
      <c r="K7" s="538"/>
      <c r="L7" s="537">
        <v>103</v>
      </c>
      <c r="M7" s="428"/>
      <c r="N7" s="538"/>
      <c r="O7" s="537">
        <v>715</v>
      </c>
      <c r="P7" s="428"/>
      <c r="Q7" s="428"/>
      <c r="R7" s="537">
        <v>313</v>
      </c>
      <c r="S7" s="428"/>
      <c r="T7" s="538"/>
      <c r="U7" s="4">
        <v>498</v>
      </c>
      <c r="X7" s="537">
        <v>205</v>
      </c>
      <c r="Y7" s="428"/>
      <c r="Z7" s="538"/>
      <c r="AA7" s="537"/>
      <c r="AB7" s="428"/>
      <c r="AC7" s="538"/>
      <c r="AD7" s="537">
        <v>106</v>
      </c>
      <c r="AE7" s="428"/>
      <c r="AF7" s="538"/>
      <c r="AG7" s="537">
        <v>654</v>
      </c>
      <c r="AH7" s="428"/>
      <c r="AI7" s="538"/>
      <c r="AJ7" s="537">
        <v>47</v>
      </c>
      <c r="AK7" s="428"/>
      <c r="AL7" s="538"/>
      <c r="AM7" s="537"/>
      <c r="AN7" s="428"/>
      <c r="AO7" s="538"/>
      <c r="AP7" s="537"/>
      <c r="AQ7" s="428"/>
      <c r="AR7" s="538"/>
      <c r="AS7" s="537"/>
      <c r="AT7" s="428"/>
      <c r="AU7" s="538"/>
      <c r="AV7" s="537">
        <v>615</v>
      </c>
      <c r="AW7" s="428"/>
      <c r="AX7" s="538"/>
    </row>
    <row r="8" spans="1:68" s="4" customFormat="1" ht="23.25" customHeight="1" x14ac:dyDescent="0.25">
      <c r="A8" s="539">
        <v>42499</v>
      </c>
      <c r="B8" s="4" t="s">
        <v>454</v>
      </c>
      <c r="C8" s="4" t="s">
        <v>454</v>
      </c>
      <c r="D8" s="4" t="s">
        <v>380</v>
      </c>
      <c r="E8" s="4" t="s">
        <v>237</v>
      </c>
      <c r="F8" s="537"/>
      <c r="G8" s="428"/>
      <c r="H8" s="538"/>
      <c r="I8" s="537">
        <v>866</v>
      </c>
      <c r="J8" s="428"/>
      <c r="K8" s="538"/>
      <c r="L8" s="537">
        <v>146</v>
      </c>
      <c r="M8" s="428"/>
      <c r="N8" s="538"/>
      <c r="O8" s="537">
        <v>1921</v>
      </c>
      <c r="P8" s="428"/>
      <c r="Q8" s="428"/>
      <c r="R8" s="537">
        <v>1131</v>
      </c>
      <c r="S8" s="428"/>
      <c r="T8" s="538"/>
      <c r="U8" s="4">
        <v>4126</v>
      </c>
      <c r="X8" s="537">
        <v>962</v>
      </c>
      <c r="Y8" s="428"/>
      <c r="Z8" s="538"/>
      <c r="AA8" s="537"/>
      <c r="AB8" s="428"/>
      <c r="AC8" s="538"/>
      <c r="AD8" s="537">
        <v>820</v>
      </c>
      <c r="AE8" s="428"/>
      <c r="AF8" s="538"/>
      <c r="AG8" s="537">
        <v>4152</v>
      </c>
      <c r="AH8" s="428"/>
      <c r="AI8" s="538"/>
      <c r="AJ8" s="537">
        <v>38</v>
      </c>
      <c r="AK8" s="428"/>
      <c r="AL8" s="538"/>
      <c r="AM8" s="537"/>
      <c r="AN8" s="428"/>
      <c r="AO8" s="538"/>
      <c r="AP8" s="537"/>
      <c r="AQ8" s="428"/>
      <c r="AR8" s="538"/>
      <c r="AS8" s="537"/>
      <c r="AT8" s="428"/>
      <c r="AU8" s="538"/>
      <c r="AV8" s="537">
        <v>52</v>
      </c>
      <c r="AW8" s="428"/>
      <c r="AX8" s="538"/>
    </row>
    <row r="9" spans="1:68" s="4" customFormat="1" ht="23.25" customHeight="1" x14ac:dyDescent="0.25">
      <c r="A9" s="539">
        <v>42485</v>
      </c>
      <c r="B9" s="4" t="s">
        <v>454</v>
      </c>
      <c r="C9" s="4" t="s">
        <v>462</v>
      </c>
      <c r="D9" s="4" t="s">
        <v>380</v>
      </c>
      <c r="E9" s="4" t="s">
        <v>237</v>
      </c>
      <c r="F9" s="537"/>
      <c r="G9" s="428"/>
      <c r="H9" s="538"/>
      <c r="I9" s="537">
        <v>7</v>
      </c>
      <c r="J9" s="428"/>
      <c r="K9" s="538"/>
      <c r="L9" s="537"/>
      <c r="M9" s="428"/>
      <c r="N9" s="538"/>
      <c r="O9" s="537">
        <v>200</v>
      </c>
      <c r="P9" s="428"/>
      <c r="Q9" s="428"/>
      <c r="R9" s="537">
        <v>1</v>
      </c>
      <c r="S9" s="428"/>
      <c r="T9" s="538"/>
      <c r="U9" s="4">
        <v>15</v>
      </c>
      <c r="X9" s="537">
        <v>107</v>
      </c>
      <c r="Y9" s="428"/>
      <c r="Z9" s="538"/>
      <c r="AA9" s="537"/>
      <c r="AB9" s="428"/>
      <c r="AC9" s="538"/>
      <c r="AD9" s="537">
        <v>16</v>
      </c>
      <c r="AE9" s="428"/>
      <c r="AF9" s="538"/>
      <c r="AG9" s="537">
        <v>32</v>
      </c>
      <c r="AH9" s="428"/>
      <c r="AI9" s="538"/>
      <c r="AJ9" s="537"/>
      <c r="AK9" s="428"/>
      <c r="AL9" s="538"/>
      <c r="AM9" s="537"/>
      <c r="AN9" s="428"/>
      <c r="AO9" s="538"/>
      <c r="AP9" s="537"/>
      <c r="AQ9" s="428"/>
      <c r="AR9" s="538"/>
      <c r="AS9" s="537"/>
      <c r="AT9" s="428"/>
      <c r="AU9" s="538"/>
      <c r="AV9" s="537"/>
      <c r="AW9" s="428"/>
      <c r="AX9" s="538"/>
    </row>
    <row r="10" spans="1:68" s="4" customFormat="1" ht="23.25" customHeight="1" x14ac:dyDescent="0.25">
      <c r="A10" s="539">
        <v>42486</v>
      </c>
      <c r="B10" s="4" t="s">
        <v>454</v>
      </c>
      <c r="C10" s="4" t="s">
        <v>462</v>
      </c>
      <c r="D10" s="4" t="s">
        <v>1394</v>
      </c>
      <c r="E10" s="4" t="s">
        <v>230</v>
      </c>
      <c r="F10" s="537"/>
      <c r="G10" s="428"/>
      <c r="H10" s="538"/>
      <c r="I10" s="537">
        <v>156</v>
      </c>
      <c r="J10" s="428"/>
      <c r="K10" s="538"/>
      <c r="L10" s="537"/>
      <c r="M10" s="428"/>
      <c r="N10" s="538"/>
      <c r="O10" s="537">
        <v>584</v>
      </c>
      <c r="P10" s="428"/>
      <c r="Q10" s="428"/>
      <c r="R10" s="537">
        <v>57</v>
      </c>
      <c r="S10" s="428"/>
      <c r="T10" s="538"/>
      <c r="U10" s="4">
        <v>674</v>
      </c>
      <c r="X10" s="537">
        <v>32</v>
      </c>
      <c r="Y10" s="428"/>
      <c r="Z10" s="538"/>
      <c r="AA10" s="537"/>
      <c r="AB10" s="428"/>
      <c r="AC10" s="538"/>
      <c r="AD10" s="537">
        <v>247</v>
      </c>
      <c r="AE10" s="428"/>
      <c r="AF10" s="538"/>
      <c r="AG10" s="537">
        <v>777</v>
      </c>
      <c r="AH10" s="428"/>
      <c r="AI10" s="538"/>
      <c r="AJ10" s="537">
        <v>33</v>
      </c>
      <c r="AK10" s="428"/>
      <c r="AL10" s="538"/>
      <c r="AM10" s="537"/>
      <c r="AN10" s="428"/>
      <c r="AO10" s="538"/>
      <c r="AP10" s="537">
        <v>465</v>
      </c>
      <c r="AQ10" s="428"/>
      <c r="AR10" s="538"/>
      <c r="AS10" s="537"/>
      <c r="AT10" s="428"/>
      <c r="AU10" s="538"/>
      <c r="AV10" s="537"/>
      <c r="AW10" s="428"/>
      <c r="AX10" s="538"/>
    </row>
    <row r="11" spans="1:68" s="4" customFormat="1" ht="23.25" customHeight="1" x14ac:dyDescent="0.25">
      <c r="A11" s="539">
        <v>42486</v>
      </c>
      <c r="B11" s="4" t="s">
        <v>454</v>
      </c>
      <c r="C11" s="4" t="s">
        <v>462</v>
      </c>
      <c r="D11" s="4" t="s">
        <v>1395</v>
      </c>
      <c r="E11" s="4" t="s">
        <v>1396</v>
      </c>
      <c r="F11" s="537"/>
      <c r="G11" s="428"/>
      <c r="H11" s="538"/>
      <c r="I11" s="537">
        <v>20</v>
      </c>
      <c r="J11" s="428"/>
      <c r="K11" s="538"/>
      <c r="L11" s="537"/>
      <c r="M11" s="428"/>
      <c r="N11" s="538"/>
      <c r="O11" s="537">
        <v>32</v>
      </c>
      <c r="P11" s="428"/>
      <c r="Q11" s="428"/>
      <c r="R11" s="537">
        <v>1</v>
      </c>
      <c r="S11" s="428"/>
      <c r="T11" s="538"/>
      <c r="U11" s="4">
        <v>411</v>
      </c>
      <c r="X11" s="537">
        <v>17</v>
      </c>
      <c r="Y11" s="428"/>
      <c r="Z11" s="538"/>
      <c r="AA11" s="537"/>
      <c r="AB11" s="428"/>
      <c r="AC11" s="538"/>
      <c r="AD11" s="537">
        <v>24</v>
      </c>
      <c r="AE11" s="428"/>
      <c r="AF11" s="538"/>
      <c r="AG11" s="537">
        <v>596</v>
      </c>
      <c r="AH11" s="428"/>
      <c r="AI11" s="538"/>
      <c r="AJ11" s="537">
        <v>0</v>
      </c>
      <c r="AK11" s="428"/>
      <c r="AL11" s="538"/>
      <c r="AM11" s="537"/>
      <c r="AN11" s="428"/>
      <c r="AO11" s="538"/>
      <c r="AP11" s="537"/>
      <c r="AQ11" s="428"/>
      <c r="AR11" s="538"/>
      <c r="AS11" s="537"/>
      <c r="AT11" s="428"/>
      <c r="AU11" s="538"/>
      <c r="AV11" s="537"/>
      <c r="AW11" s="428"/>
      <c r="AX11" s="538"/>
    </row>
    <row r="12" spans="1:68" s="4" customFormat="1" ht="23.25" customHeight="1" x14ac:dyDescent="0.25">
      <c r="A12" s="539">
        <v>42503</v>
      </c>
      <c r="B12" s="4" t="s">
        <v>454</v>
      </c>
      <c r="C12" s="4" t="s">
        <v>454</v>
      </c>
      <c r="D12" s="4" t="s">
        <v>380</v>
      </c>
      <c r="E12" s="4" t="s">
        <v>237</v>
      </c>
      <c r="F12" s="537"/>
      <c r="G12" s="428"/>
      <c r="H12" s="538"/>
      <c r="I12" s="537">
        <v>848</v>
      </c>
      <c r="J12" s="428"/>
      <c r="K12" s="538"/>
      <c r="L12" s="537">
        <v>146</v>
      </c>
      <c r="M12" s="428"/>
      <c r="N12" s="538"/>
      <c r="O12" s="537">
        <v>1921</v>
      </c>
      <c r="P12" s="428"/>
      <c r="Q12" s="428"/>
      <c r="R12" s="537">
        <v>1131</v>
      </c>
      <c r="S12" s="428"/>
      <c r="T12" s="538"/>
      <c r="U12" s="4">
        <v>4126</v>
      </c>
      <c r="X12" s="537">
        <v>962</v>
      </c>
      <c r="Y12" s="428"/>
      <c r="Z12" s="538"/>
      <c r="AA12" s="537"/>
      <c r="AB12" s="428"/>
      <c r="AC12" s="538"/>
      <c r="AD12" s="537">
        <v>820</v>
      </c>
      <c r="AE12" s="428"/>
      <c r="AF12" s="538"/>
      <c r="AG12" s="537">
        <v>4152</v>
      </c>
      <c r="AH12" s="428"/>
      <c r="AI12" s="538"/>
      <c r="AJ12" s="537"/>
      <c r="AK12" s="428"/>
      <c r="AL12" s="428"/>
      <c r="AM12" s="537"/>
      <c r="AN12" s="428"/>
      <c r="AO12" s="538"/>
      <c r="AP12" s="537"/>
      <c r="AQ12" s="428"/>
      <c r="AR12" s="538"/>
      <c r="AS12" s="537"/>
      <c r="AT12" s="428"/>
      <c r="AU12" s="538"/>
      <c r="AV12" s="537">
        <v>52</v>
      </c>
      <c r="AW12" s="428"/>
      <c r="AX12" s="538"/>
    </row>
    <row r="13" spans="1:68" s="4" customFormat="1" ht="23.25" customHeight="1" x14ac:dyDescent="0.25">
      <c r="A13" s="539">
        <v>42424</v>
      </c>
      <c r="B13" s="4" t="s">
        <v>454</v>
      </c>
      <c r="C13" s="4" t="s">
        <v>454</v>
      </c>
      <c r="D13" s="4" t="s">
        <v>380</v>
      </c>
      <c r="E13" s="4" t="s">
        <v>5</v>
      </c>
      <c r="F13" s="537"/>
      <c r="G13" s="428"/>
      <c r="H13" s="538"/>
      <c r="I13" s="537">
        <v>203</v>
      </c>
      <c r="J13" s="428"/>
      <c r="K13" s="538"/>
      <c r="L13" s="537">
        <v>103</v>
      </c>
      <c r="M13" s="428"/>
      <c r="N13" s="538"/>
      <c r="O13" s="537">
        <v>715</v>
      </c>
      <c r="P13" s="428"/>
      <c r="Q13" s="428"/>
      <c r="R13" s="537">
        <v>313</v>
      </c>
      <c r="S13" s="428"/>
      <c r="T13" s="538"/>
      <c r="U13" s="4">
        <v>498</v>
      </c>
      <c r="X13" s="537">
        <v>105</v>
      </c>
      <c r="Y13" s="428"/>
      <c r="Z13" s="538"/>
      <c r="AA13" s="537"/>
      <c r="AB13" s="428"/>
      <c r="AC13" s="538"/>
      <c r="AD13" s="537">
        <v>106</v>
      </c>
      <c r="AE13" s="428"/>
      <c r="AF13" s="538"/>
      <c r="AG13" s="537">
        <v>654</v>
      </c>
      <c r="AH13" s="428"/>
      <c r="AI13" s="538"/>
      <c r="AJ13" s="428"/>
      <c r="AK13" s="428"/>
      <c r="AL13" s="428"/>
      <c r="AM13" s="537"/>
      <c r="AN13" s="428"/>
      <c r="AO13" s="538"/>
      <c r="AP13" s="537"/>
      <c r="AQ13" s="428"/>
      <c r="AR13" s="538"/>
      <c r="AS13" s="537"/>
      <c r="AT13" s="428"/>
      <c r="AU13" s="538"/>
      <c r="AV13" s="537">
        <v>615</v>
      </c>
      <c r="AW13" s="428"/>
      <c r="AX13" s="538"/>
    </row>
    <row r="14" spans="1:68" ht="23.25" customHeight="1" x14ac:dyDescent="0.25">
      <c r="A14" s="129">
        <v>41888</v>
      </c>
      <c r="B14" s="123" t="s">
        <v>454</v>
      </c>
      <c r="C14" s="123" t="s">
        <v>454</v>
      </c>
      <c r="D14" s="123" t="s">
        <v>380</v>
      </c>
      <c r="E14" s="123"/>
      <c r="I14" s="537"/>
      <c r="J14" s="428"/>
      <c r="K14" s="538"/>
      <c r="L14" s="537"/>
      <c r="M14" s="428"/>
      <c r="N14" s="538"/>
      <c r="O14" s="537"/>
      <c r="P14" s="428">
        <v>20000</v>
      </c>
      <c r="Q14" s="428"/>
      <c r="R14" s="537"/>
      <c r="S14" s="428">
        <v>10000</v>
      </c>
      <c r="T14" s="538"/>
      <c r="U14" s="4"/>
      <c r="V14" s="4">
        <v>20000</v>
      </c>
      <c r="W14" s="4"/>
      <c r="X14" s="537"/>
      <c r="Y14" s="428">
        <v>10000</v>
      </c>
      <c r="Z14" s="538"/>
      <c r="AA14" s="537"/>
      <c r="AB14" s="428">
        <v>10000</v>
      </c>
      <c r="AC14" s="538"/>
      <c r="AD14" s="537"/>
      <c r="AE14" s="428">
        <v>10000</v>
      </c>
      <c r="AF14" s="538"/>
      <c r="AG14" s="537"/>
      <c r="AH14" s="428">
        <v>50000</v>
      </c>
      <c r="AI14" s="538"/>
      <c r="AJ14" s="428"/>
      <c r="AK14" s="428"/>
      <c r="AL14" s="428"/>
      <c r="AM14" s="537"/>
      <c r="AN14" s="428"/>
      <c r="AO14" s="538"/>
      <c r="AP14" s="537"/>
      <c r="AQ14" s="428"/>
      <c r="AR14" s="538"/>
      <c r="AS14" s="537"/>
      <c r="AT14" s="428"/>
      <c r="AU14" s="538"/>
      <c r="AV14" s="537"/>
      <c r="AW14" s="428"/>
      <c r="AX14" s="538"/>
      <c r="AY14" s="4"/>
      <c r="AZ14" s="4"/>
    </row>
    <row r="15" spans="1:68" ht="23.25" customHeight="1" x14ac:dyDescent="0.25">
      <c r="I15" s="537"/>
      <c r="J15" s="428"/>
      <c r="K15" s="538"/>
      <c r="L15" s="537"/>
      <c r="M15" s="428"/>
      <c r="N15" s="538"/>
      <c r="O15" s="537"/>
      <c r="P15" s="428"/>
      <c r="Q15" s="428"/>
      <c r="R15" s="537"/>
      <c r="S15" s="428"/>
      <c r="T15" s="538"/>
      <c r="U15" s="4"/>
      <c r="V15" s="4"/>
      <c r="W15" s="4"/>
      <c r="X15" s="537"/>
      <c r="Y15" s="428"/>
      <c r="Z15" s="538"/>
      <c r="AA15" s="537"/>
      <c r="AB15" s="428"/>
      <c r="AC15" s="538"/>
      <c r="AD15" s="537"/>
      <c r="AE15" s="428"/>
      <c r="AF15" s="538"/>
      <c r="AG15" s="537"/>
      <c r="AH15" s="428"/>
      <c r="AI15" s="538"/>
      <c r="AJ15" s="428"/>
      <c r="AK15" s="428"/>
      <c r="AL15" s="428"/>
      <c r="AM15" s="537"/>
      <c r="AN15" s="428"/>
      <c r="AO15" s="538"/>
      <c r="AP15" s="537"/>
      <c r="AQ15" s="428"/>
      <c r="AR15" s="538"/>
      <c r="AS15" s="537"/>
      <c r="AT15" s="428"/>
      <c r="AU15" s="538"/>
      <c r="AV15" s="537"/>
      <c r="AW15" s="428"/>
      <c r="AX15" s="538"/>
      <c r="AY15" s="4"/>
      <c r="AZ15" s="4"/>
    </row>
    <row r="16" spans="1:68" ht="23.25" customHeight="1" x14ac:dyDescent="0.25"/>
    <row r="17" ht="23.25" customHeight="1" x14ac:dyDescent="0.25"/>
    <row r="18" ht="23.25" customHeight="1" x14ac:dyDescent="0.25"/>
    <row r="19" ht="23.25" customHeight="1" x14ac:dyDescent="0.25"/>
    <row r="20" ht="23.25" customHeight="1" x14ac:dyDescent="0.25"/>
    <row r="21" ht="23.25" customHeight="1" x14ac:dyDescent="0.25"/>
    <row r="22" ht="23.25" customHeight="1" x14ac:dyDescent="0.25"/>
    <row r="23" ht="23.25" customHeight="1" x14ac:dyDescent="0.25"/>
    <row r="24" ht="23.25" customHeight="1" x14ac:dyDescent="0.25"/>
    <row r="25" ht="23.25" customHeight="1" x14ac:dyDescent="0.25"/>
    <row r="26" ht="23.25" customHeight="1" x14ac:dyDescent="0.25"/>
    <row r="27" ht="23.25" customHeight="1" x14ac:dyDescent="0.25"/>
    <row r="28" ht="23.25" customHeight="1" x14ac:dyDescent="0.25"/>
    <row r="29" ht="23.25" customHeight="1" x14ac:dyDescent="0.25"/>
    <row r="30" ht="23.25" customHeight="1" x14ac:dyDescent="0.25"/>
    <row r="31" ht="23.25" customHeight="1" x14ac:dyDescent="0.25"/>
    <row r="32" ht="23.25" customHeight="1" x14ac:dyDescent="0.25"/>
    <row r="33" ht="23.25" customHeight="1" x14ac:dyDescent="0.25"/>
    <row r="34" ht="23.25" customHeight="1" x14ac:dyDescent="0.25"/>
    <row r="35" ht="23.25" customHeight="1" x14ac:dyDescent="0.25"/>
    <row r="36" ht="23.25" customHeight="1" x14ac:dyDescent="0.25"/>
    <row r="37" ht="23.25" customHeight="1" x14ac:dyDescent="0.25"/>
    <row r="38" ht="23.25" customHeight="1" x14ac:dyDescent="0.25"/>
    <row r="39" ht="23.25" customHeight="1" x14ac:dyDescent="0.25"/>
    <row r="40" ht="23.25" customHeight="1" x14ac:dyDescent="0.25"/>
    <row r="41" ht="23.25" customHeight="1" x14ac:dyDescent="0.25"/>
    <row r="42" ht="23.25" customHeight="1" x14ac:dyDescent="0.25"/>
    <row r="43" ht="23.25" customHeight="1" x14ac:dyDescent="0.25"/>
    <row r="44" ht="23.25" customHeight="1" x14ac:dyDescent="0.25"/>
    <row r="45" ht="23.25" customHeight="1" x14ac:dyDescent="0.25"/>
    <row r="46" ht="23.25" customHeight="1" x14ac:dyDescent="0.25"/>
    <row r="47" ht="23.25" customHeight="1" x14ac:dyDescent="0.25"/>
    <row r="48" ht="23.25" customHeight="1" x14ac:dyDescent="0.25"/>
    <row r="49" ht="23.25" customHeight="1" x14ac:dyDescent="0.25"/>
    <row r="50" ht="23.25" customHeight="1" x14ac:dyDescent="0.25"/>
    <row r="51" ht="23.25" customHeight="1" x14ac:dyDescent="0.25"/>
    <row r="52" ht="23.25" customHeight="1" x14ac:dyDescent="0.25"/>
    <row r="53" ht="23.25" customHeight="1" x14ac:dyDescent="0.25"/>
    <row r="54" ht="23.25" customHeight="1" x14ac:dyDescent="0.25"/>
    <row r="55" ht="23.25" customHeight="1" x14ac:dyDescent="0.25"/>
    <row r="56" ht="23.25" customHeight="1" x14ac:dyDescent="0.25"/>
    <row r="57" ht="23.25" customHeight="1" x14ac:dyDescent="0.25"/>
    <row r="58" ht="23.25" customHeight="1" x14ac:dyDescent="0.25"/>
    <row r="59" ht="23.25" customHeight="1" x14ac:dyDescent="0.25"/>
    <row r="60" ht="23.25" customHeight="1" x14ac:dyDescent="0.25"/>
    <row r="61" ht="23.25" customHeight="1" x14ac:dyDescent="0.25"/>
    <row r="62" ht="23.25" customHeight="1" x14ac:dyDescent="0.25"/>
    <row r="63" ht="23.25" customHeight="1" x14ac:dyDescent="0.25"/>
    <row r="64" ht="23.25" customHeight="1" x14ac:dyDescent="0.25"/>
    <row r="65" ht="23.25" customHeight="1" x14ac:dyDescent="0.25"/>
    <row r="66" ht="23.25" customHeight="1" x14ac:dyDescent="0.25"/>
    <row r="67" ht="23.25" customHeight="1" x14ac:dyDescent="0.25"/>
    <row r="68" ht="23.25" customHeight="1" x14ac:dyDescent="0.25"/>
    <row r="69" ht="23.25" customHeight="1" x14ac:dyDescent="0.25"/>
    <row r="70" ht="23.25" customHeight="1" x14ac:dyDescent="0.25"/>
    <row r="71" ht="23.25" customHeight="1" x14ac:dyDescent="0.25"/>
    <row r="72" ht="23.25" customHeight="1" x14ac:dyDescent="0.25"/>
    <row r="73" ht="23.25" customHeight="1" x14ac:dyDescent="0.25"/>
    <row r="74" ht="23.25" customHeight="1" x14ac:dyDescent="0.25"/>
    <row r="75" ht="23.25" customHeight="1" x14ac:dyDescent="0.25"/>
    <row r="76" ht="23.25" customHeight="1" x14ac:dyDescent="0.25"/>
    <row r="77" ht="23.25" customHeight="1" x14ac:dyDescent="0.25"/>
    <row r="78" ht="23.25" customHeight="1" x14ac:dyDescent="0.25"/>
    <row r="79" ht="23.25" customHeight="1" x14ac:dyDescent="0.25"/>
    <row r="80" ht="23.25" customHeight="1" x14ac:dyDescent="0.25"/>
    <row r="81" ht="23.25" customHeight="1" x14ac:dyDescent="0.25"/>
    <row r="82" ht="23.25" customHeight="1" x14ac:dyDescent="0.25"/>
    <row r="83" ht="23.25" customHeight="1" x14ac:dyDescent="0.25"/>
    <row r="84" ht="23.25" customHeight="1" x14ac:dyDescent="0.25"/>
    <row r="85" ht="23.25" customHeight="1" x14ac:dyDescent="0.25"/>
    <row r="86" ht="23.25" customHeight="1" x14ac:dyDescent="0.25"/>
    <row r="87" ht="23.25" customHeight="1" x14ac:dyDescent="0.25"/>
    <row r="88" ht="23.25" customHeight="1" x14ac:dyDescent="0.25"/>
    <row r="89" ht="23.25" customHeight="1" x14ac:dyDescent="0.25"/>
    <row r="90" ht="23.25" customHeight="1" x14ac:dyDescent="0.25"/>
    <row r="91" ht="23.25" customHeight="1" x14ac:dyDescent="0.25"/>
    <row r="92" ht="23.25" customHeight="1" x14ac:dyDescent="0.25"/>
    <row r="93" ht="23.25" customHeight="1" x14ac:dyDescent="0.25"/>
    <row r="94" ht="23.25" customHeight="1" x14ac:dyDescent="0.25"/>
    <row r="95" ht="23.25" customHeight="1" x14ac:dyDescent="0.25"/>
    <row r="96" ht="23.25" customHeight="1" x14ac:dyDescent="0.25"/>
    <row r="97" ht="23.25" customHeight="1" x14ac:dyDescent="0.25"/>
    <row r="98" ht="23.25" customHeight="1" x14ac:dyDescent="0.25"/>
    <row r="99" ht="23.25" customHeight="1" x14ac:dyDescent="0.25"/>
    <row r="100" ht="23.25" customHeight="1" x14ac:dyDescent="0.25"/>
    <row r="101" ht="23.25" customHeight="1" x14ac:dyDescent="0.25"/>
    <row r="102" ht="23.25" customHeight="1" x14ac:dyDescent="0.25"/>
    <row r="103" ht="23.25" customHeight="1" x14ac:dyDescent="0.25"/>
    <row r="104" ht="23.25" customHeight="1" x14ac:dyDescent="0.25"/>
    <row r="105" ht="23.25" customHeight="1" x14ac:dyDescent="0.25"/>
    <row r="106" ht="23.25" customHeight="1" x14ac:dyDescent="0.25"/>
    <row r="107" ht="23.25" customHeight="1" x14ac:dyDescent="0.25"/>
    <row r="108" ht="23.25" customHeight="1" x14ac:dyDescent="0.25"/>
    <row r="109" ht="23.25" customHeight="1" x14ac:dyDescent="0.25"/>
    <row r="110" ht="23.25" customHeight="1" x14ac:dyDescent="0.25"/>
    <row r="111" ht="23.25" customHeight="1" x14ac:dyDescent="0.25"/>
    <row r="112" ht="23.25" customHeight="1" x14ac:dyDescent="0.25"/>
    <row r="113" ht="23.25" customHeight="1" x14ac:dyDescent="0.25"/>
    <row r="114" ht="23.25" customHeight="1" x14ac:dyDescent="0.25"/>
    <row r="115" ht="23.25" customHeight="1" x14ac:dyDescent="0.25"/>
    <row r="116" ht="23.25" customHeight="1" x14ac:dyDescent="0.25"/>
    <row r="117" ht="23.25" customHeight="1" x14ac:dyDescent="0.25"/>
    <row r="118" ht="23.25" customHeight="1" x14ac:dyDescent="0.25"/>
    <row r="119" ht="23.25" customHeight="1" x14ac:dyDescent="0.25"/>
    <row r="120" ht="23.25" customHeight="1" x14ac:dyDescent="0.25"/>
    <row r="121" ht="23.25" customHeight="1" x14ac:dyDescent="0.25"/>
    <row r="122" ht="23.25" customHeight="1" x14ac:dyDescent="0.25"/>
    <row r="123" ht="23.25" customHeight="1" x14ac:dyDescent="0.25"/>
    <row r="124" ht="23.25" customHeight="1" x14ac:dyDescent="0.25"/>
    <row r="125" ht="23.25" customHeight="1" x14ac:dyDescent="0.25"/>
    <row r="126" ht="23.25" customHeight="1" x14ac:dyDescent="0.25"/>
    <row r="127" ht="23.25" customHeight="1" x14ac:dyDescent="0.25"/>
    <row r="128" ht="23.25" customHeight="1" x14ac:dyDescent="0.25"/>
    <row r="129" ht="23.25" customHeight="1" x14ac:dyDescent="0.25"/>
    <row r="130" ht="23.25" customHeight="1" x14ac:dyDescent="0.25"/>
    <row r="131" ht="23.25" customHeight="1" x14ac:dyDescent="0.25"/>
    <row r="132" ht="23.25" customHeight="1" x14ac:dyDescent="0.25"/>
    <row r="133" ht="23.25" customHeight="1" x14ac:dyDescent="0.25"/>
    <row r="134" ht="23.25" customHeight="1" x14ac:dyDescent="0.25"/>
    <row r="135" ht="23.25" customHeight="1" x14ac:dyDescent="0.25"/>
    <row r="136" ht="23.25" customHeight="1" x14ac:dyDescent="0.25"/>
    <row r="137" ht="23.25" customHeight="1" x14ac:dyDescent="0.25"/>
    <row r="138" ht="23.25" customHeight="1" x14ac:dyDescent="0.25"/>
    <row r="139" ht="23.25" customHeight="1" x14ac:dyDescent="0.25"/>
    <row r="140" ht="23.25" customHeight="1" x14ac:dyDescent="0.25"/>
    <row r="141" ht="23.25" customHeight="1" x14ac:dyDescent="0.25"/>
    <row r="142" ht="23.25" customHeight="1" x14ac:dyDescent="0.25"/>
    <row r="143" ht="23.25" customHeight="1" x14ac:dyDescent="0.25"/>
    <row r="144" ht="23.25" customHeight="1" x14ac:dyDescent="0.25"/>
    <row r="145" ht="23.25" customHeight="1" x14ac:dyDescent="0.25"/>
    <row r="146" ht="23.25" customHeight="1" x14ac:dyDescent="0.25"/>
    <row r="147" ht="23.25" customHeight="1" x14ac:dyDescent="0.25"/>
    <row r="148" ht="23.25" customHeight="1" x14ac:dyDescent="0.25"/>
    <row r="149" ht="23.25" customHeight="1" x14ac:dyDescent="0.25"/>
    <row r="150" ht="23.25" customHeight="1" x14ac:dyDescent="0.25"/>
    <row r="151" ht="23.25" customHeight="1" x14ac:dyDescent="0.25"/>
    <row r="152" ht="23.25" customHeight="1" x14ac:dyDescent="0.25"/>
    <row r="153" ht="23.25" customHeight="1" x14ac:dyDescent="0.25"/>
    <row r="154" ht="23.25" customHeight="1" x14ac:dyDescent="0.25"/>
    <row r="155" ht="23.25" customHeight="1" x14ac:dyDescent="0.25"/>
    <row r="156" ht="23.25" customHeight="1" x14ac:dyDescent="0.25"/>
    <row r="157" ht="23.25" customHeight="1" x14ac:dyDescent="0.25"/>
    <row r="158" ht="23.25" customHeight="1" x14ac:dyDescent="0.25"/>
    <row r="159" ht="23.25" customHeight="1" x14ac:dyDescent="0.25"/>
    <row r="160" ht="23.25" customHeight="1" x14ac:dyDescent="0.25"/>
    <row r="161" ht="23.25" customHeight="1" x14ac:dyDescent="0.25"/>
    <row r="162" ht="23.25" customHeight="1" x14ac:dyDescent="0.25"/>
    <row r="163" ht="23.25" customHeight="1" x14ac:dyDescent="0.25"/>
    <row r="164" ht="23.25" customHeight="1" x14ac:dyDescent="0.25"/>
    <row r="165" ht="23.25" customHeight="1" x14ac:dyDescent="0.25"/>
    <row r="166" ht="23.25" customHeight="1" x14ac:dyDescent="0.25"/>
    <row r="167" ht="23.25" customHeight="1" x14ac:dyDescent="0.25"/>
    <row r="168" ht="23.25" customHeight="1" x14ac:dyDescent="0.25"/>
    <row r="169" ht="23.25" customHeight="1" x14ac:dyDescent="0.25"/>
    <row r="170" ht="23.25" customHeight="1" x14ac:dyDescent="0.25"/>
    <row r="171" ht="23.25" customHeight="1" x14ac:dyDescent="0.25"/>
    <row r="172" ht="23.25" customHeight="1" x14ac:dyDescent="0.25"/>
    <row r="173" ht="23.25" customHeight="1" x14ac:dyDescent="0.25"/>
    <row r="174" ht="23.25" customHeight="1" x14ac:dyDescent="0.25"/>
    <row r="175" ht="23.25" customHeight="1" x14ac:dyDescent="0.25"/>
    <row r="176" ht="23.25" customHeight="1" x14ac:dyDescent="0.25"/>
    <row r="177" ht="23.25" customHeight="1" x14ac:dyDescent="0.25"/>
    <row r="178" ht="23.25" customHeight="1" x14ac:dyDescent="0.25"/>
    <row r="179" ht="23.25" customHeight="1" x14ac:dyDescent="0.25"/>
    <row r="180" ht="23.25" customHeight="1" x14ac:dyDescent="0.25"/>
    <row r="181" ht="23.25" customHeight="1" x14ac:dyDescent="0.25"/>
    <row r="182" ht="23.25" customHeight="1" x14ac:dyDescent="0.25"/>
    <row r="183" ht="23.25" customHeight="1" x14ac:dyDescent="0.25"/>
    <row r="184" ht="23.25" customHeight="1" x14ac:dyDescent="0.25"/>
    <row r="185" ht="23.25" customHeight="1" x14ac:dyDescent="0.25"/>
    <row r="186" ht="23.25" customHeight="1" x14ac:dyDescent="0.25"/>
    <row r="187" ht="23.25" customHeight="1" x14ac:dyDescent="0.25"/>
    <row r="188" ht="23.25" customHeight="1" x14ac:dyDescent="0.25"/>
    <row r="189" ht="23.25" customHeight="1" x14ac:dyDescent="0.25"/>
    <row r="190" ht="23.25" customHeight="1" x14ac:dyDescent="0.25"/>
    <row r="191" ht="23.25" customHeight="1" x14ac:dyDescent="0.25"/>
    <row r="192" ht="23.25" customHeight="1" x14ac:dyDescent="0.25"/>
    <row r="193" ht="23.25" customHeight="1" x14ac:dyDescent="0.25"/>
    <row r="194" ht="23.25" customHeight="1" x14ac:dyDescent="0.25"/>
    <row r="195" ht="23.25" customHeight="1" x14ac:dyDescent="0.25"/>
    <row r="196" ht="23.25" customHeight="1" x14ac:dyDescent="0.25"/>
    <row r="197" ht="23.25" customHeight="1" x14ac:dyDescent="0.25"/>
    <row r="198" ht="23.25" customHeight="1" x14ac:dyDescent="0.25"/>
    <row r="199" ht="23.25" customHeight="1" x14ac:dyDescent="0.25"/>
    <row r="200" ht="23.25" customHeight="1" x14ac:dyDescent="0.25"/>
    <row r="201" ht="23.25" customHeight="1" x14ac:dyDescent="0.25"/>
    <row r="202" ht="23.25" customHeight="1" x14ac:dyDescent="0.25"/>
    <row r="203" ht="23.25" customHeight="1" x14ac:dyDescent="0.25"/>
    <row r="204" ht="23.25" customHeight="1" x14ac:dyDescent="0.25"/>
    <row r="205" ht="23.25" customHeight="1" x14ac:dyDescent="0.25"/>
    <row r="206" ht="23.25" customHeight="1" x14ac:dyDescent="0.25"/>
    <row r="207" ht="23.25" customHeight="1" x14ac:dyDescent="0.25"/>
    <row r="208" ht="23.25" customHeight="1" x14ac:dyDescent="0.25"/>
    <row r="209" ht="23.25" customHeight="1" x14ac:dyDescent="0.25"/>
    <row r="210" ht="23.25" customHeight="1" x14ac:dyDescent="0.25"/>
    <row r="211" ht="23.25" customHeight="1" x14ac:dyDescent="0.25"/>
    <row r="212" ht="23.25" customHeight="1" x14ac:dyDescent="0.25"/>
    <row r="213" ht="23.25" customHeight="1" x14ac:dyDescent="0.25"/>
    <row r="214" ht="23.25" customHeight="1" x14ac:dyDescent="0.25"/>
    <row r="215" ht="23.25" customHeight="1" x14ac:dyDescent="0.25"/>
    <row r="216" ht="23.25" customHeight="1" x14ac:dyDescent="0.25"/>
    <row r="217" ht="23.25" customHeight="1" x14ac:dyDescent="0.25"/>
    <row r="218" ht="23.25" customHeight="1" x14ac:dyDescent="0.25"/>
    <row r="219" ht="23.25" customHeight="1" x14ac:dyDescent="0.25"/>
    <row r="220" ht="23.25" customHeight="1" x14ac:dyDescent="0.25"/>
    <row r="221" ht="23.25" customHeight="1" x14ac:dyDescent="0.25"/>
    <row r="222" ht="23.25" customHeight="1" x14ac:dyDescent="0.25"/>
    <row r="223" ht="23.25" customHeight="1" x14ac:dyDescent="0.25"/>
    <row r="224" ht="23.25" customHeight="1" x14ac:dyDescent="0.25"/>
    <row r="225" ht="23.25" customHeight="1" x14ac:dyDescent="0.25"/>
    <row r="226" ht="23.25" customHeight="1" x14ac:dyDescent="0.25"/>
    <row r="227" ht="23.25" customHeight="1" x14ac:dyDescent="0.25"/>
    <row r="228" ht="23.25" customHeight="1" x14ac:dyDescent="0.25"/>
    <row r="229" ht="23.25" customHeight="1" x14ac:dyDescent="0.25"/>
    <row r="230" ht="23.25" customHeight="1" x14ac:dyDescent="0.25"/>
    <row r="231" ht="23.25" customHeight="1" x14ac:dyDescent="0.25"/>
    <row r="232" ht="23.25" customHeight="1" x14ac:dyDescent="0.25"/>
    <row r="233" ht="23.25" customHeight="1" x14ac:dyDescent="0.25"/>
    <row r="234" ht="23.25" customHeight="1" x14ac:dyDescent="0.25"/>
    <row r="235" ht="23.25" customHeight="1" x14ac:dyDescent="0.25"/>
    <row r="236" ht="23.25" customHeight="1" x14ac:dyDescent="0.25"/>
    <row r="237" ht="23.25" customHeight="1" x14ac:dyDescent="0.25"/>
    <row r="238" ht="23.25" customHeight="1" x14ac:dyDescent="0.25"/>
    <row r="239" ht="23.25" customHeight="1" x14ac:dyDescent="0.25"/>
    <row r="240" ht="23.25" customHeight="1" x14ac:dyDescent="0.25"/>
    <row r="241" ht="23.25" customHeight="1" x14ac:dyDescent="0.25"/>
    <row r="242" ht="23.25" customHeight="1" x14ac:dyDescent="0.25"/>
    <row r="243" ht="23.25" customHeight="1" x14ac:dyDescent="0.25"/>
    <row r="244" ht="23.25" customHeight="1" x14ac:dyDescent="0.25"/>
    <row r="245" ht="23.25" customHeight="1" x14ac:dyDescent="0.25"/>
    <row r="246" ht="23.25" customHeight="1" x14ac:dyDescent="0.25"/>
    <row r="247" ht="23.25" customHeight="1" x14ac:dyDescent="0.25"/>
    <row r="248" ht="23.25" customHeight="1" x14ac:dyDescent="0.25"/>
    <row r="249" ht="23.25" customHeight="1" x14ac:dyDescent="0.25"/>
    <row r="250" ht="23.25" customHeight="1" x14ac:dyDescent="0.25"/>
    <row r="251" ht="23.25" customHeight="1" x14ac:dyDescent="0.25"/>
    <row r="252" ht="23.25" customHeight="1" x14ac:dyDescent="0.25"/>
    <row r="253" ht="23.25" customHeight="1" x14ac:dyDescent="0.25"/>
    <row r="254" ht="23.25" customHeight="1" x14ac:dyDescent="0.25"/>
    <row r="255" ht="23.25" customHeight="1" x14ac:dyDescent="0.25"/>
    <row r="256" ht="23.25" customHeight="1" x14ac:dyDescent="0.25"/>
    <row r="257" ht="23.25" customHeight="1" x14ac:dyDescent="0.25"/>
    <row r="258" ht="23.25" customHeight="1" x14ac:dyDescent="0.25"/>
    <row r="259" ht="23.25" customHeight="1" x14ac:dyDescent="0.25"/>
    <row r="260" ht="23.25" customHeight="1" x14ac:dyDescent="0.25"/>
    <row r="261" ht="23.25" customHeight="1" x14ac:dyDescent="0.25"/>
    <row r="262" ht="23.25" customHeight="1" x14ac:dyDescent="0.25"/>
    <row r="263" ht="23.25" customHeight="1" x14ac:dyDescent="0.25"/>
    <row r="264" ht="23.25" customHeight="1" x14ac:dyDescent="0.25"/>
    <row r="265" ht="23.25" customHeight="1" x14ac:dyDescent="0.25"/>
    <row r="266" ht="23.25" customHeight="1" x14ac:dyDescent="0.25"/>
    <row r="267" ht="23.25" customHeight="1" x14ac:dyDescent="0.25"/>
    <row r="268" ht="23.25" customHeight="1" x14ac:dyDescent="0.25"/>
    <row r="269" ht="23.25" customHeight="1" x14ac:dyDescent="0.25"/>
    <row r="270" ht="23.25" customHeight="1" x14ac:dyDescent="0.25"/>
    <row r="271" ht="23.25" customHeight="1" x14ac:dyDescent="0.25"/>
    <row r="272" ht="23.25" customHeight="1" x14ac:dyDescent="0.25"/>
    <row r="273" ht="23.25" customHeight="1" x14ac:dyDescent="0.25"/>
    <row r="274" ht="23.25" customHeight="1" x14ac:dyDescent="0.25"/>
    <row r="275" ht="23.25" customHeight="1" x14ac:dyDescent="0.25"/>
    <row r="276" ht="23.25" customHeight="1" x14ac:dyDescent="0.25"/>
    <row r="277" ht="23.25" customHeight="1" x14ac:dyDescent="0.25"/>
    <row r="278" ht="23.25" customHeight="1" x14ac:dyDescent="0.25"/>
    <row r="279" ht="23.25" customHeight="1" x14ac:dyDescent="0.25"/>
    <row r="280" ht="23.25" customHeight="1" x14ac:dyDescent="0.25"/>
    <row r="281" ht="23.25" customHeight="1" x14ac:dyDescent="0.25"/>
    <row r="282" ht="23.25" customHeight="1" x14ac:dyDescent="0.25"/>
    <row r="283" ht="23.25" customHeight="1" x14ac:dyDescent="0.25"/>
    <row r="284" ht="23.25" customHeight="1" x14ac:dyDescent="0.25"/>
    <row r="285" ht="23.25" customHeight="1" x14ac:dyDescent="0.25"/>
    <row r="286" ht="23.25" customHeight="1" x14ac:dyDescent="0.25"/>
    <row r="287" ht="23.25" customHeight="1" x14ac:dyDescent="0.25"/>
    <row r="288" ht="23.25" customHeight="1" x14ac:dyDescent="0.25"/>
    <row r="289" ht="23.25" customHeight="1" x14ac:dyDescent="0.25"/>
    <row r="290" ht="23.25" customHeight="1" x14ac:dyDescent="0.25"/>
    <row r="291" ht="23.25" customHeight="1" x14ac:dyDescent="0.25"/>
    <row r="292" ht="23.25" customHeight="1" x14ac:dyDescent="0.25"/>
    <row r="293" ht="23.25" customHeight="1" x14ac:dyDescent="0.25"/>
    <row r="294" ht="23.25" customHeight="1" x14ac:dyDescent="0.25"/>
    <row r="295" ht="23.25" customHeight="1" x14ac:dyDescent="0.25"/>
    <row r="296" ht="23.25" customHeight="1" x14ac:dyDescent="0.25"/>
    <row r="297" ht="23.25" customHeight="1" x14ac:dyDescent="0.25"/>
    <row r="298" ht="23.25" customHeight="1" x14ac:dyDescent="0.25"/>
    <row r="299" ht="23.25" customHeight="1" x14ac:dyDescent="0.25"/>
    <row r="300" ht="23.25" customHeight="1" x14ac:dyDescent="0.25"/>
    <row r="301" ht="23.25" customHeight="1" x14ac:dyDescent="0.25"/>
    <row r="302" ht="23.25" customHeight="1" x14ac:dyDescent="0.25"/>
    <row r="303" ht="23.25" customHeight="1" x14ac:dyDescent="0.25"/>
    <row r="304" ht="23.25" customHeight="1" x14ac:dyDescent="0.25"/>
    <row r="305" ht="23.25" customHeight="1" x14ac:dyDescent="0.25"/>
    <row r="306" ht="23.25" customHeight="1" x14ac:dyDescent="0.25"/>
    <row r="307" ht="23.25" customHeight="1" x14ac:dyDescent="0.25"/>
    <row r="308" ht="23.25" customHeight="1" x14ac:dyDescent="0.25"/>
    <row r="309" ht="23.25" customHeight="1" x14ac:dyDescent="0.25"/>
    <row r="310" ht="23.25" customHeight="1" x14ac:dyDescent="0.25"/>
    <row r="311" ht="23.25" customHeight="1" x14ac:dyDescent="0.25"/>
    <row r="312" ht="23.25" customHeight="1" x14ac:dyDescent="0.25"/>
    <row r="313" ht="23.25" customHeight="1" x14ac:dyDescent="0.25"/>
    <row r="314" ht="23.25" customHeight="1" x14ac:dyDescent="0.25"/>
    <row r="315" ht="23.25" customHeight="1" x14ac:dyDescent="0.25"/>
    <row r="316" ht="23.25" customHeight="1" x14ac:dyDescent="0.25"/>
    <row r="317" ht="23.25" customHeight="1" x14ac:dyDescent="0.25"/>
    <row r="318" ht="23.25" customHeight="1" x14ac:dyDescent="0.25"/>
    <row r="319" ht="23.25" customHeight="1" x14ac:dyDescent="0.25"/>
    <row r="320" ht="23.25" customHeight="1" x14ac:dyDescent="0.25"/>
    <row r="321" ht="23.25" customHeight="1" x14ac:dyDescent="0.25"/>
    <row r="322" ht="23.25" customHeight="1" x14ac:dyDescent="0.25"/>
    <row r="323" ht="23.25" customHeight="1" x14ac:dyDescent="0.25"/>
    <row r="324" ht="23.25" customHeight="1" x14ac:dyDescent="0.25"/>
    <row r="325" ht="23.25" customHeight="1" x14ac:dyDescent="0.25"/>
    <row r="326" ht="23.25" customHeight="1" x14ac:dyDescent="0.25"/>
    <row r="327" ht="23.25" customHeight="1" x14ac:dyDescent="0.25"/>
    <row r="328" ht="23.25" customHeight="1" x14ac:dyDescent="0.25"/>
    <row r="329" ht="23.25" customHeight="1" x14ac:dyDescent="0.25"/>
    <row r="330" ht="23.25" customHeight="1" x14ac:dyDescent="0.25"/>
    <row r="331" ht="23.25" customHeight="1" x14ac:dyDescent="0.25"/>
    <row r="332" ht="23.25" customHeight="1" x14ac:dyDescent="0.25"/>
    <row r="333" ht="23.25" customHeight="1" x14ac:dyDescent="0.25"/>
    <row r="334" ht="23.25" customHeight="1" x14ac:dyDescent="0.25"/>
    <row r="335" ht="23.25" customHeight="1" x14ac:dyDescent="0.25"/>
    <row r="336" ht="23.25" customHeight="1" x14ac:dyDescent="0.25"/>
    <row r="337" ht="23.25" customHeight="1" x14ac:dyDescent="0.25"/>
    <row r="338" ht="23.25" customHeight="1" x14ac:dyDescent="0.25"/>
    <row r="339" ht="23.25" customHeight="1" x14ac:dyDescent="0.25"/>
    <row r="340" ht="23.25" customHeight="1" x14ac:dyDescent="0.25"/>
    <row r="341" ht="23.25" customHeight="1" x14ac:dyDescent="0.25"/>
    <row r="342" ht="23.25" customHeight="1" x14ac:dyDescent="0.25"/>
    <row r="343" ht="23.25" customHeight="1" x14ac:dyDescent="0.25"/>
    <row r="344" ht="23.25" customHeight="1" x14ac:dyDescent="0.25"/>
    <row r="345" ht="23.25" customHeight="1" x14ac:dyDescent="0.25"/>
    <row r="346" ht="23.25" customHeight="1" x14ac:dyDescent="0.25"/>
    <row r="347" ht="23.25" customHeight="1" x14ac:dyDescent="0.25"/>
    <row r="348" ht="23.25" customHeight="1" x14ac:dyDescent="0.25"/>
    <row r="349" ht="23.25" customHeight="1" x14ac:dyDescent="0.25"/>
    <row r="350" ht="23.25" customHeight="1" x14ac:dyDescent="0.25"/>
    <row r="351" ht="23.25" customHeight="1" x14ac:dyDescent="0.25"/>
    <row r="352" ht="23.25" customHeight="1" x14ac:dyDescent="0.25"/>
    <row r="353" ht="23.25" customHeight="1" x14ac:dyDescent="0.25"/>
    <row r="354" ht="23.25" customHeight="1" x14ac:dyDescent="0.25"/>
    <row r="355" ht="23.25" customHeight="1" x14ac:dyDescent="0.25"/>
    <row r="356" ht="23.25" customHeight="1" x14ac:dyDescent="0.25"/>
    <row r="357" ht="23.25" customHeight="1" x14ac:dyDescent="0.25"/>
    <row r="358" ht="23.25" customHeight="1" x14ac:dyDescent="0.25"/>
    <row r="359" ht="23.25" customHeight="1" x14ac:dyDescent="0.25"/>
    <row r="360" ht="23.25" customHeight="1" x14ac:dyDescent="0.25"/>
    <row r="361" ht="23.25" customHeight="1" x14ac:dyDescent="0.25"/>
    <row r="362" ht="23.25" customHeight="1" x14ac:dyDescent="0.25"/>
    <row r="363" ht="23.25" customHeight="1" x14ac:dyDescent="0.25"/>
    <row r="364" ht="23.25" customHeight="1" x14ac:dyDescent="0.25"/>
    <row r="365" ht="23.25" customHeight="1" x14ac:dyDescent="0.25"/>
    <row r="366" ht="23.25" customHeight="1" x14ac:dyDescent="0.25"/>
    <row r="367" ht="23.25" customHeight="1" x14ac:dyDescent="0.25"/>
    <row r="368" ht="23.25" customHeight="1" x14ac:dyDescent="0.25"/>
    <row r="369" ht="23.25" customHeight="1" x14ac:dyDescent="0.25"/>
    <row r="370" ht="23.25" customHeight="1" x14ac:dyDescent="0.25"/>
    <row r="371" ht="23.25" customHeight="1" x14ac:dyDescent="0.25"/>
    <row r="372" ht="23.25" customHeight="1" x14ac:dyDescent="0.25"/>
    <row r="373" ht="23.25" customHeight="1" x14ac:dyDescent="0.25"/>
    <row r="374" ht="23.25" customHeight="1" x14ac:dyDescent="0.25"/>
    <row r="375" ht="23.25" customHeight="1" x14ac:dyDescent="0.25"/>
    <row r="376" ht="23.25" customHeight="1" x14ac:dyDescent="0.25"/>
    <row r="377" ht="23.25" customHeight="1" x14ac:dyDescent="0.25"/>
    <row r="378" ht="23.25" customHeight="1" x14ac:dyDescent="0.25"/>
    <row r="379" ht="23.25" customHeight="1" x14ac:dyDescent="0.25"/>
    <row r="380" ht="23.25" customHeight="1" x14ac:dyDescent="0.25"/>
    <row r="381" ht="23.25" customHeight="1" x14ac:dyDescent="0.25"/>
    <row r="382" ht="23.25" customHeight="1" x14ac:dyDescent="0.25"/>
    <row r="383" ht="23.25" customHeight="1" x14ac:dyDescent="0.25"/>
    <row r="384" ht="23.25" customHeight="1" x14ac:dyDescent="0.25"/>
    <row r="385" ht="23.25" customHeight="1" x14ac:dyDescent="0.25"/>
    <row r="386" ht="23.25" customHeight="1" x14ac:dyDescent="0.25"/>
    <row r="387" ht="23.25" customHeight="1" x14ac:dyDescent="0.25"/>
    <row r="388" ht="23.25" customHeight="1" x14ac:dyDescent="0.25"/>
    <row r="389" ht="23.25" customHeight="1" x14ac:dyDescent="0.25"/>
    <row r="390" ht="23.25" customHeight="1" x14ac:dyDescent="0.25"/>
    <row r="391" ht="23.25" customHeight="1" x14ac:dyDescent="0.25"/>
    <row r="392" ht="23.25" customHeight="1" x14ac:dyDescent="0.25"/>
    <row r="393" ht="23.25" customHeight="1" x14ac:dyDescent="0.25"/>
    <row r="394" ht="23.25" customHeight="1" x14ac:dyDescent="0.25"/>
    <row r="395" ht="23.25" customHeight="1" x14ac:dyDescent="0.25"/>
    <row r="396" ht="23.25" customHeight="1" x14ac:dyDescent="0.25"/>
    <row r="397" ht="23.25" customHeight="1" x14ac:dyDescent="0.25"/>
    <row r="398" ht="23.25" customHeight="1" x14ac:dyDescent="0.25"/>
    <row r="399" ht="23.25" customHeight="1" x14ac:dyDescent="0.25"/>
    <row r="400" ht="23.25" customHeight="1" x14ac:dyDescent="0.25"/>
    <row r="401" ht="23.25" customHeight="1" x14ac:dyDescent="0.25"/>
    <row r="402" ht="23.25" customHeight="1" x14ac:dyDescent="0.25"/>
    <row r="403" ht="23.25" customHeight="1" x14ac:dyDescent="0.25"/>
    <row r="404" ht="23.25" customHeight="1" x14ac:dyDescent="0.25"/>
  </sheetData>
  <mergeCells count="21">
    <mergeCell ref="AV5:AX5"/>
    <mergeCell ref="AM5:AO5"/>
    <mergeCell ref="AP5:AR5"/>
    <mergeCell ref="AS5:AU5"/>
    <mergeCell ref="C5:C6"/>
    <mergeCell ref="AJ5:AL5"/>
    <mergeCell ref="A3:C3"/>
    <mergeCell ref="AG5:AI5"/>
    <mergeCell ref="X5:Z5"/>
    <mergeCell ref="U5:W5"/>
    <mergeCell ref="E5:E6"/>
    <mergeCell ref="D5:D6"/>
    <mergeCell ref="B5:B6"/>
    <mergeCell ref="A5:A6"/>
    <mergeCell ref="R5:T5"/>
    <mergeCell ref="O5:Q5"/>
    <mergeCell ref="L5:N5"/>
    <mergeCell ref="F5:H5"/>
    <mergeCell ref="I5:K5"/>
    <mergeCell ref="AD5:AF5"/>
    <mergeCell ref="AA5:AC5"/>
  </mergeCells>
  <pageMargins left="0.25" right="0.25" top="0.75" bottom="0.75" header="0.3" footer="0.3"/>
  <pageSetup paperSize="9" scale="48"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Q7"/>
  <sheetViews>
    <sheetView topLeftCell="D1" workbookViewId="0">
      <selection activeCell="K2" sqref="K2:K7"/>
    </sheetView>
  </sheetViews>
  <sheetFormatPr defaultRowHeight="15" x14ac:dyDescent="0.25"/>
  <cols>
    <col min="1" max="1" width="9.42578125" customWidth="1"/>
    <col min="2" max="2" width="17" customWidth="1"/>
    <col min="3" max="3" width="13.5703125" customWidth="1"/>
    <col min="4" max="4" width="21.28515625" customWidth="1"/>
    <col min="6" max="6" width="11" customWidth="1"/>
    <col min="7" max="7" width="13.28515625" customWidth="1"/>
    <col min="8" max="8" width="12.28515625" customWidth="1"/>
    <col min="9" max="9" width="12.7109375" customWidth="1"/>
    <col min="10" max="10" width="12.42578125" customWidth="1"/>
    <col min="11" max="11" width="14.28515625" customWidth="1"/>
    <col min="12" max="12" width="10.7109375" customWidth="1"/>
    <col min="13" max="13" width="9.28515625" customWidth="1"/>
    <col min="14" max="14" width="12.28515625" customWidth="1"/>
    <col min="15" max="15" width="11.7109375" customWidth="1"/>
    <col min="16" max="16" width="14.42578125" customWidth="1"/>
    <col min="17" max="17" width="12.140625" customWidth="1"/>
    <col min="18" max="18" width="20.28515625" customWidth="1"/>
    <col min="19" max="19" width="22.7109375" customWidth="1"/>
    <col min="20" max="20" width="18.85546875" customWidth="1"/>
    <col min="21" max="22" width="15.28515625" customWidth="1"/>
    <col min="23" max="23" width="15.5703125" customWidth="1"/>
    <col min="24" max="24" width="15.28515625" customWidth="1"/>
    <col min="25" max="25" width="17.140625" customWidth="1"/>
    <col min="26" max="26" width="13.7109375" customWidth="1"/>
    <col min="27" max="27" width="12.140625" customWidth="1"/>
    <col min="28" max="28" width="15.28515625" customWidth="1"/>
    <col min="29" max="29" width="14.7109375" customWidth="1"/>
    <col min="30" max="30" width="17.7109375" customWidth="1"/>
    <col min="31" max="31" width="15.42578125" customWidth="1"/>
    <col min="32" max="32" width="23.140625" customWidth="1"/>
    <col min="33" max="33" width="25.5703125" customWidth="1"/>
    <col min="34" max="34" width="21.7109375" customWidth="1"/>
    <col min="35" max="35" width="18.28515625" customWidth="1"/>
    <col min="38" max="38" width="14.5703125" customWidth="1"/>
    <col min="40" max="40" width="9" customWidth="1"/>
    <col min="41" max="41" width="10.7109375" customWidth="1"/>
    <col min="42" max="42" width="20" customWidth="1"/>
    <col min="43" max="43" width="11.28515625" customWidth="1"/>
  </cols>
  <sheetData>
    <row r="1" spans="1:43" x14ac:dyDescent="0.25">
      <c r="A1" t="s">
        <v>440</v>
      </c>
      <c r="B1" t="s">
        <v>413</v>
      </c>
      <c r="C1" t="s">
        <v>403</v>
      </c>
      <c r="D1" t="s">
        <v>414</v>
      </c>
      <c r="E1" t="s">
        <v>396</v>
      </c>
      <c r="F1" t="s">
        <v>0</v>
      </c>
      <c r="G1" t="s">
        <v>395</v>
      </c>
      <c r="H1" t="s">
        <v>457</v>
      </c>
      <c r="I1" t="s">
        <v>405</v>
      </c>
      <c r="J1" t="s">
        <v>458</v>
      </c>
      <c r="K1" t="s">
        <v>597</v>
      </c>
      <c r="L1" t="s">
        <v>459</v>
      </c>
      <c r="M1" t="s">
        <v>436</v>
      </c>
      <c r="N1" t="s">
        <v>437</v>
      </c>
      <c r="O1" t="s">
        <v>1222</v>
      </c>
      <c r="P1" t="s">
        <v>579</v>
      </c>
      <c r="Q1" t="s">
        <v>580</v>
      </c>
      <c r="R1" t="s">
        <v>990</v>
      </c>
      <c r="S1" t="s">
        <v>994</v>
      </c>
      <c r="T1" t="s">
        <v>998</v>
      </c>
      <c r="U1" t="s">
        <v>1114</v>
      </c>
      <c r="V1" t="s">
        <v>1139</v>
      </c>
      <c r="W1" t="s">
        <v>1140</v>
      </c>
      <c r="X1" t="s">
        <v>1141</v>
      </c>
      <c r="Y1" t="s">
        <v>1142</v>
      </c>
      <c r="Z1" t="s">
        <v>1143</v>
      </c>
      <c r="AA1" t="s">
        <v>1145</v>
      </c>
      <c r="AB1" t="s">
        <v>1144</v>
      </c>
      <c r="AC1" t="s">
        <v>1223</v>
      </c>
      <c r="AD1" t="s">
        <v>1146</v>
      </c>
      <c r="AE1" t="s">
        <v>1147</v>
      </c>
      <c r="AF1" t="s">
        <v>1148</v>
      </c>
      <c r="AG1" t="s">
        <v>1149</v>
      </c>
      <c r="AH1" t="s">
        <v>1150</v>
      </c>
      <c r="AI1" t="s">
        <v>1151</v>
      </c>
      <c r="AJ1" t="s">
        <v>1154</v>
      </c>
      <c r="AK1" t="s">
        <v>560</v>
      </c>
      <c r="AL1" t="s">
        <v>1138</v>
      </c>
      <c r="AM1" t="s">
        <v>500</v>
      </c>
      <c r="AN1" t="s">
        <v>1083</v>
      </c>
      <c r="AO1" t="s">
        <v>442</v>
      </c>
      <c r="AP1" t="s">
        <v>1094</v>
      </c>
      <c r="AQ1" t="s">
        <v>498</v>
      </c>
    </row>
    <row r="2" spans="1:43" x14ac:dyDescent="0.25">
      <c r="A2">
        <v>15.566666666666666</v>
      </c>
      <c r="B2" s="181">
        <v>41750</v>
      </c>
      <c r="C2" t="s">
        <v>454</v>
      </c>
      <c r="E2" t="s">
        <v>555</v>
      </c>
      <c r="F2" t="s">
        <v>289</v>
      </c>
      <c r="G2" t="s">
        <v>1058</v>
      </c>
      <c r="K2">
        <v>90</v>
      </c>
      <c r="L2">
        <v>49</v>
      </c>
      <c r="M2">
        <v>98</v>
      </c>
      <c r="N2">
        <v>49</v>
      </c>
      <c r="P2">
        <v>49</v>
      </c>
      <c r="Q2">
        <v>225</v>
      </c>
      <c r="V2">
        <v>0</v>
      </c>
      <c r="W2">
        <v>0</v>
      </c>
      <c r="X2">
        <v>0</v>
      </c>
      <c r="Y2">
        <v>0</v>
      </c>
      <c r="Z2">
        <v>0</v>
      </c>
      <c r="AA2">
        <v>0</v>
      </c>
      <c r="AB2">
        <v>0</v>
      </c>
      <c r="AC2">
        <v>0</v>
      </c>
      <c r="AD2">
        <v>0</v>
      </c>
      <c r="AE2">
        <v>0</v>
      </c>
      <c r="AF2">
        <v>0</v>
      </c>
      <c r="AG2">
        <v>0</v>
      </c>
      <c r="AH2">
        <v>0</v>
      </c>
      <c r="AI2">
        <v>0</v>
      </c>
      <c r="AJ2">
        <v>0</v>
      </c>
      <c r="AK2" t="s">
        <v>1059</v>
      </c>
      <c r="AL2">
        <v>1</v>
      </c>
      <c r="AM2" t="s">
        <v>502</v>
      </c>
      <c r="AN2" t="s">
        <v>1096</v>
      </c>
      <c r="AO2">
        <v>1.1951219512195121</v>
      </c>
    </row>
    <row r="3" spans="1:43" x14ac:dyDescent="0.25">
      <c r="A3">
        <v>15.566666666666666</v>
      </c>
      <c r="B3" s="181">
        <v>41750</v>
      </c>
      <c r="C3" t="s">
        <v>454</v>
      </c>
      <c r="E3" t="s">
        <v>555</v>
      </c>
      <c r="F3" t="s">
        <v>289</v>
      </c>
      <c r="G3" t="s">
        <v>1058</v>
      </c>
      <c r="K3">
        <v>0</v>
      </c>
      <c r="L3">
        <v>1</v>
      </c>
      <c r="M3">
        <v>167</v>
      </c>
      <c r="N3">
        <v>1</v>
      </c>
      <c r="O3">
        <v>0</v>
      </c>
      <c r="P3">
        <v>1</v>
      </c>
      <c r="Q3">
        <v>0</v>
      </c>
      <c r="V3">
        <v>0</v>
      </c>
      <c r="W3">
        <v>0</v>
      </c>
      <c r="X3">
        <v>0</v>
      </c>
      <c r="Y3">
        <v>0</v>
      </c>
      <c r="Z3">
        <v>0</v>
      </c>
      <c r="AA3">
        <v>0</v>
      </c>
      <c r="AB3">
        <v>0</v>
      </c>
      <c r="AC3">
        <v>0</v>
      </c>
      <c r="AD3">
        <v>0</v>
      </c>
      <c r="AE3">
        <v>0</v>
      </c>
      <c r="AF3">
        <v>0</v>
      </c>
      <c r="AG3">
        <v>0</v>
      </c>
      <c r="AH3">
        <v>0</v>
      </c>
      <c r="AI3">
        <v>0</v>
      </c>
      <c r="AJ3">
        <v>0</v>
      </c>
      <c r="AK3" t="s">
        <v>1059</v>
      </c>
      <c r="AL3">
        <v>1</v>
      </c>
      <c r="AM3" t="s">
        <v>502</v>
      </c>
      <c r="AN3" t="s">
        <v>1096</v>
      </c>
      <c r="AO3">
        <v>2.4390243902439025E-2</v>
      </c>
      <c r="AQ3" t="s">
        <v>1236</v>
      </c>
    </row>
    <row r="4" spans="1:43" x14ac:dyDescent="0.25">
      <c r="A4">
        <v>14.866666666666667</v>
      </c>
      <c r="B4" s="181">
        <v>41771</v>
      </c>
      <c r="C4" t="s">
        <v>454</v>
      </c>
      <c r="E4" t="s">
        <v>555</v>
      </c>
      <c r="F4" t="s">
        <v>230</v>
      </c>
      <c r="G4" t="s">
        <v>1066</v>
      </c>
      <c r="K4">
        <v>82</v>
      </c>
      <c r="L4">
        <v>41</v>
      </c>
      <c r="M4">
        <v>82</v>
      </c>
      <c r="N4">
        <v>41</v>
      </c>
      <c r="P4">
        <v>41</v>
      </c>
      <c r="Q4">
        <v>205</v>
      </c>
      <c r="V4">
        <v>0</v>
      </c>
      <c r="W4">
        <v>0</v>
      </c>
      <c r="X4">
        <v>0</v>
      </c>
      <c r="Y4">
        <v>0</v>
      </c>
      <c r="Z4">
        <v>0</v>
      </c>
      <c r="AA4">
        <v>0</v>
      </c>
      <c r="AB4">
        <v>0</v>
      </c>
      <c r="AC4">
        <v>0</v>
      </c>
      <c r="AD4">
        <v>0</v>
      </c>
      <c r="AE4">
        <v>0</v>
      </c>
      <c r="AF4">
        <v>0</v>
      </c>
      <c r="AG4">
        <v>0</v>
      </c>
      <c r="AH4">
        <v>0</v>
      </c>
      <c r="AI4">
        <v>0</v>
      </c>
      <c r="AJ4">
        <v>0</v>
      </c>
      <c r="AK4" t="s">
        <v>1067</v>
      </c>
      <c r="AL4">
        <v>1</v>
      </c>
      <c r="AM4" t="s">
        <v>502</v>
      </c>
      <c r="AN4" t="s">
        <v>1096</v>
      </c>
      <c r="AO4">
        <v>1.3666666666666667</v>
      </c>
    </row>
    <row r="5" spans="1:43" x14ac:dyDescent="0.25">
      <c r="A5">
        <v>14.866666666666667</v>
      </c>
      <c r="B5" s="181">
        <v>41771</v>
      </c>
      <c r="C5" t="s">
        <v>454</v>
      </c>
      <c r="E5" t="s">
        <v>555</v>
      </c>
      <c r="F5" t="s">
        <v>230</v>
      </c>
      <c r="G5" t="s">
        <v>1066</v>
      </c>
      <c r="K5">
        <v>68</v>
      </c>
      <c r="L5">
        <v>9</v>
      </c>
      <c r="M5">
        <v>118</v>
      </c>
      <c r="N5">
        <v>9</v>
      </c>
      <c r="O5">
        <v>0</v>
      </c>
      <c r="P5">
        <v>9</v>
      </c>
      <c r="Q5">
        <v>45</v>
      </c>
      <c r="V5">
        <v>0</v>
      </c>
      <c r="W5">
        <v>0</v>
      </c>
      <c r="X5">
        <v>0</v>
      </c>
      <c r="Y5">
        <v>0</v>
      </c>
      <c r="Z5">
        <v>0</v>
      </c>
      <c r="AA5">
        <v>0</v>
      </c>
      <c r="AB5">
        <v>0</v>
      </c>
      <c r="AC5">
        <v>0</v>
      </c>
      <c r="AD5">
        <v>0</v>
      </c>
      <c r="AE5">
        <v>0</v>
      </c>
      <c r="AF5">
        <v>0</v>
      </c>
      <c r="AG5">
        <v>0</v>
      </c>
      <c r="AH5">
        <v>0</v>
      </c>
      <c r="AI5">
        <v>0</v>
      </c>
      <c r="AJ5">
        <v>0</v>
      </c>
      <c r="AK5" t="s">
        <v>1067</v>
      </c>
      <c r="AL5">
        <v>1</v>
      </c>
      <c r="AM5" t="s">
        <v>502</v>
      </c>
      <c r="AN5" t="s">
        <v>1096</v>
      </c>
      <c r="AO5">
        <v>0.3</v>
      </c>
      <c r="AQ5" t="s">
        <v>1236</v>
      </c>
    </row>
    <row r="6" spans="1:43" x14ac:dyDescent="0.25">
      <c r="A6">
        <v>14.9</v>
      </c>
      <c r="B6" s="181">
        <v>41770</v>
      </c>
      <c r="C6" t="s">
        <v>454</v>
      </c>
      <c r="E6" t="s">
        <v>555</v>
      </c>
      <c r="F6" t="s">
        <v>230</v>
      </c>
      <c r="G6" t="s">
        <v>1056</v>
      </c>
      <c r="K6">
        <v>162</v>
      </c>
      <c r="L6">
        <v>81</v>
      </c>
      <c r="M6">
        <v>162</v>
      </c>
      <c r="N6">
        <v>81</v>
      </c>
      <c r="P6">
        <v>81</v>
      </c>
      <c r="Q6">
        <v>405</v>
      </c>
      <c r="V6">
        <v>0</v>
      </c>
      <c r="W6">
        <v>0</v>
      </c>
      <c r="X6">
        <v>0</v>
      </c>
      <c r="Y6">
        <v>0</v>
      </c>
      <c r="Z6">
        <v>0</v>
      </c>
      <c r="AA6">
        <v>0</v>
      </c>
      <c r="AB6">
        <v>0</v>
      </c>
      <c r="AC6">
        <v>0</v>
      </c>
      <c r="AD6">
        <v>0</v>
      </c>
      <c r="AE6">
        <v>0</v>
      </c>
      <c r="AF6">
        <v>0</v>
      </c>
      <c r="AG6">
        <v>0</v>
      </c>
      <c r="AH6">
        <v>0</v>
      </c>
      <c r="AI6">
        <v>0</v>
      </c>
      <c r="AJ6">
        <v>0</v>
      </c>
      <c r="AK6" t="s">
        <v>1057</v>
      </c>
      <c r="AL6">
        <v>1</v>
      </c>
      <c r="AM6" t="s">
        <v>502</v>
      </c>
      <c r="AN6" t="s">
        <v>1096</v>
      </c>
      <c r="AO6">
        <v>1.3278688524590163</v>
      </c>
    </row>
    <row r="7" spans="1:43" x14ac:dyDescent="0.25">
      <c r="A7">
        <v>14.9</v>
      </c>
      <c r="B7" s="181">
        <v>41770</v>
      </c>
      <c r="C7" t="s">
        <v>454</v>
      </c>
      <c r="E7" t="s">
        <v>555</v>
      </c>
      <c r="F7" t="s">
        <v>230</v>
      </c>
      <c r="G7" t="s">
        <v>1056</v>
      </c>
      <c r="K7">
        <v>138</v>
      </c>
      <c r="L7">
        <v>19</v>
      </c>
      <c r="M7">
        <v>238</v>
      </c>
      <c r="N7">
        <v>19</v>
      </c>
      <c r="O7">
        <v>0</v>
      </c>
      <c r="P7">
        <v>19</v>
      </c>
      <c r="Q7">
        <v>95</v>
      </c>
      <c r="V7">
        <v>0</v>
      </c>
      <c r="W7">
        <v>0</v>
      </c>
      <c r="X7">
        <v>0</v>
      </c>
      <c r="Y7">
        <v>0</v>
      </c>
      <c r="Z7">
        <v>0</v>
      </c>
      <c r="AA7">
        <v>0</v>
      </c>
      <c r="AB7">
        <v>0</v>
      </c>
      <c r="AC7">
        <v>0</v>
      </c>
      <c r="AD7">
        <v>0</v>
      </c>
      <c r="AE7">
        <v>0</v>
      </c>
      <c r="AF7">
        <v>0</v>
      </c>
      <c r="AG7">
        <v>0</v>
      </c>
      <c r="AH7">
        <v>0</v>
      </c>
      <c r="AI7">
        <v>0</v>
      </c>
      <c r="AJ7">
        <v>0</v>
      </c>
      <c r="AK7" t="s">
        <v>1057</v>
      </c>
      <c r="AL7">
        <v>1</v>
      </c>
      <c r="AM7" t="s">
        <v>502</v>
      </c>
      <c r="AN7" t="s">
        <v>1096</v>
      </c>
      <c r="AO7">
        <v>0.31147540983606559</v>
      </c>
      <c r="AQ7" t="s">
        <v>1236</v>
      </c>
    </row>
  </sheetData>
  <pageMargins left="0.7" right="0.7" top="0.75" bottom="0.75" header="0.3" footer="0.3"/>
  <tableParts count="1">
    <tablePart r:id="rId1"/>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92D050"/>
    <pageSetUpPr fitToPage="1"/>
  </sheetPr>
  <dimension ref="A1:BG79"/>
  <sheetViews>
    <sheetView showZeros="0" zoomScale="70" zoomScaleNormal="70" workbookViewId="0">
      <pane ySplit="2" topLeftCell="A3" activePane="bottomLeft" state="frozen"/>
      <selection activeCell="AS915" sqref="AS915"/>
      <selection pane="bottomLeft" activeCell="K61" sqref="K61"/>
    </sheetView>
  </sheetViews>
  <sheetFormatPr defaultRowHeight="15" x14ac:dyDescent="0.25"/>
  <cols>
    <col min="1" max="1" width="17.85546875" customWidth="1"/>
    <col min="2" max="2" width="18.28515625" customWidth="1"/>
    <col min="3" max="3" width="12.42578125" customWidth="1"/>
    <col min="4" max="4" width="10.28515625" customWidth="1"/>
    <col min="5" max="5" width="15" customWidth="1"/>
    <col min="6" max="6" width="18.85546875" customWidth="1"/>
    <col min="7" max="7" width="14.85546875" customWidth="1"/>
    <col min="8" max="8" width="17.7109375" customWidth="1"/>
    <col min="9" max="13" width="15" customWidth="1"/>
    <col min="14" max="15" width="17" customWidth="1"/>
    <col min="16" max="16" width="17.28515625" bestFit="1" customWidth="1"/>
    <col min="17" max="20" width="10.85546875" customWidth="1"/>
    <col min="21" max="21" width="14.7109375" customWidth="1"/>
    <col min="22" max="22" width="11.28515625" customWidth="1"/>
  </cols>
  <sheetData>
    <row r="1" spans="1:59" s="1" customFormat="1" ht="36" x14ac:dyDescent="0.25">
      <c r="A1" s="290"/>
      <c r="B1" s="291"/>
      <c r="C1" s="291"/>
      <c r="D1" s="291"/>
      <c r="E1" s="291"/>
      <c r="F1" s="291"/>
      <c r="G1" s="291"/>
      <c r="H1" s="291"/>
      <c r="I1" s="291"/>
      <c r="J1" s="291"/>
      <c r="K1" s="291"/>
      <c r="L1" s="291"/>
      <c r="M1" s="291"/>
      <c r="N1" s="292"/>
      <c r="O1" s="278"/>
      <c r="P1" s="278"/>
      <c r="Q1" s="278"/>
      <c r="R1" s="278"/>
      <c r="S1" s="278"/>
      <c r="T1" s="278"/>
      <c r="U1" s="278"/>
      <c r="V1" s="278"/>
      <c r="W1" s="278"/>
      <c r="X1" s="278"/>
      <c r="Y1" s="278"/>
      <c r="Z1" s="278"/>
      <c r="AA1" s="18"/>
      <c r="AB1" s="18"/>
      <c r="BF1" s="56"/>
      <c r="BG1" s="56"/>
    </row>
    <row r="2" spans="1:59" s="1" customFormat="1" ht="33.75" x14ac:dyDescent="0.35">
      <c r="A2" s="1018" t="s">
        <v>460</v>
      </c>
      <c r="B2" s="1019"/>
      <c r="C2" s="1019"/>
      <c r="D2" s="1019"/>
      <c r="E2" s="1019"/>
      <c r="F2" s="1019"/>
      <c r="G2" s="1019"/>
      <c r="H2" s="1019"/>
      <c r="I2" s="80"/>
      <c r="J2" s="80"/>
      <c r="K2" s="80"/>
      <c r="L2" s="80"/>
      <c r="M2" s="80"/>
      <c r="N2" s="293"/>
      <c r="O2" s="279"/>
      <c r="P2" s="18"/>
      <c r="Q2" s="18"/>
      <c r="R2" s="18"/>
      <c r="S2" s="18"/>
      <c r="T2" s="18"/>
      <c r="U2" s="18"/>
      <c r="V2" s="4"/>
      <c r="W2" s="4"/>
      <c r="X2" s="4"/>
      <c r="Y2" s="4"/>
      <c r="Z2" s="4"/>
      <c r="AA2" s="4"/>
      <c r="AB2" s="4"/>
      <c r="AC2" s="77"/>
      <c r="AD2" s="77"/>
      <c r="AE2" s="77"/>
      <c r="AF2" s="77"/>
      <c r="AG2" s="77"/>
      <c r="AH2" s="77"/>
      <c r="AI2" s="77"/>
      <c r="AJ2" s="77"/>
      <c r="AK2" s="77"/>
      <c r="AL2" s="77"/>
      <c r="AM2" s="77"/>
      <c r="AN2" s="77"/>
      <c r="AO2" s="77"/>
      <c r="AP2" s="77"/>
      <c r="AZ2" s="56"/>
      <c r="BA2" s="56"/>
    </row>
    <row r="3" spans="1:59" s="18" customFormat="1" ht="33.75" x14ac:dyDescent="0.35">
      <c r="A3" s="1020">
        <f>Definition!B23</f>
        <v>42522</v>
      </c>
      <c r="B3" s="1021"/>
      <c r="C3" s="1021"/>
      <c r="D3" s="1021"/>
      <c r="E3" s="1021"/>
      <c r="F3" s="1021"/>
      <c r="G3" s="1021"/>
      <c r="H3" s="1021"/>
      <c r="I3" s="294"/>
      <c r="J3" s="294"/>
      <c r="K3" s="294"/>
      <c r="L3" s="294"/>
      <c r="M3" s="294"/>
      <c r="N3" s="295"/>
      <c r="O3" s="279"/>
      <c r="W3" s="4"/>
      <c r="X3" s="4"/>
      <c r="Y3" s="4"/>
      <c r="Z3" s="4"/>
      <c r="AA3" s="4"/>
      <c r="AB3" s="4"/>
      <c r="AC3" s="77"/>
      <c r="AD3" s="77"/>
      <c r="AE3" s="77"/>
      <c r="AF3" s="77"/>
      <c r="AG3" s="77"/>
      <c r="AH3" s="77"/>
      <c r="AI3" s="77"/>
      <c r="AJ3" s="77"/>
      <c r="AK3" s="77"/>
      <c r="AL3" s="77"/>
      <c r="AM3" s="77"/>
      <c r="AN3" s="77"/>
      <c r="AO3" s="77"/>
      <c r="AP3" s="77"/>
      <c r="AZ3" s="57"/>
      <c r="BA3" s="57"/>
    </row>
    <row r="4" spans="1:59" s="18" customFormat="1" ht="36" x14ac:dyDescent="0.25">
      <c r="A4" s="58"/>
      <c r="B4" s="58"/>
      <c r="C4" s="58"/>
      <c r="D4" s="43"/>
      <c r="E4" s="43"/>
      <c r="F4" s="43"/>
      <c r="G4" s="43"/>
      <c r="H4" s="43"/>
      <c r="I4" s="43"/>
      <c r="J4" s="43"/>
      <c r="L4" s="43"/>
      <c r="M4" s="43"/>
      <c r="N4" s="43"/>
      <c r="O4" s="43"/>
      <c r="P4" s="43"/>
      <c r="Q4" s="43"/>
      <c r="R4" s="43"/>
      <c r="S4" s="57"/>
      <c r="T4" s="43"/>
      <c r="U4" s="43"/>
      <c r="BF4" s="57"/>
      <c r="BG4" s="57"/>
    </row>
    <row r="5" spans="1:59" s="48" customFormat="1" ht="32.25" thickBot="1" x14ac:dyDescent="0.55000000000000004">
      <c r="A5" s="52" t="s">
        <v>380</v>
      </c>
      <c r="B5" s="54"/>
      <c r="C5" s="54"/>
      <c r="D5" s="54"/>
      <c r="E5" s="54"/>
      <c r="F5" s="54"/>
      <c r="G5" s="54"/>
      <c r="H5" s="54"/>
      <c r="I5" s="54"/>
      <c r="J5" s="54"/>
      <c r="K5" s="54"/>
      <c r="L5" s="54"/>
      <c r="M5" s="54"/>
      <c r="N5" s="54"/>
      <c r="O5" s="280"/>
      <c r="P5" s="280"/>
      <c r="Q5" s="280"/>
      <c r="R5" s="280"/>
      <c r="S5" s="280"/>
      <c r="T5" s="280"/>
      <c r="U5" s="280"/>
      <c r="V5" s="280"/>
      <c r="W5" s="280"/>
      <c r="X5" s="280"/>
      <c r="Y5" s="280"/>
      <c r="Z5" s="280"/>
      <c r="AA5" s="4"/>
      <c r="AB5" s="4"/>
    </row>
    <row r="6" spans="1:59" ht="25.5" x14ac:dyDescent="0.25">
      <c r="A6" s="1057" t="s">
        <v>0</v>
      </c>
      <c r="B6" s="1059" t="s">
        <v>427</v>
      </c>
      <c r="C6" s="1059" t="s">
        <v>428</v>
      </c>
      <c r="D6" s="314" t="s">
        <v>485</v>
      </c>
      <c r="E6" s="314" t="s">
        <v>459</v>
      </c>
      <c r="F6" s="314" t="s">
        <v>436</v>
      </c>
      <c r="G6" s="314" t="s">
        <v>437</v>
      </c>
      <c r="H6" s="314" t="s">
        <v>486</v>
      </c>
      <c r="I6" s="314" t="s">
        <v>579</v>
      </c>
      <c r="J6" s="314" t="s">
        <v>580</v>
      </c>
      <c r="K6" s="314" t="s">
        <v>990</v>
      </c>
      <c r="L6" s="314" t="s">
        <v>994</v>
      </c>
      <c r="M6" s="314" t="s">
        <v>998</v>
      </c>
      <c r="N6" s="92" t="s">
        <v>998</v>
      </c>
      <c r="O6" s="4"/>
      <c r="P6" s="4"/>
      <c r="Q6" s="4"/>
      <c r="R6" s="4"/>
      <c r="S6" s="4"/>
      <c r="T6" s="4"/>
      <c r="U6" s="4"/>
      <c r="V6" s="4"/>
      <c r="W6" s="4"/>
      <c r="X6" s="4"/>
      <c r="Y6" s="4"/>
      <c r="Z6" s="4"/>
      <c r="AA6" s="4"/>
      <c r="AB6" s="4"/>
    </row>
    <row r="7" spans="1:59" x14ac:dyDescent="0.25">
      <c r="A7" s="1058"/>
      <c r="B7" s="1060"/>
      <c r="C7" s="1060"/>
      <c r="D7" s="315" t="s">
        <v>438</v>
      </c>
      <c r="E7" s="315" t="s">
        <v>438</v>
      </c>
      <c r="F7" s="315" t="s">
        <v>438</v>
      </c>
      <c r="G7" s="315" t="s">
        <v>438</v>
      </c>
      <c r="H7" s="315" t="s">
        <v>438</v>
      </c>
      <c r="I7" s="315" t="s">
        <v>438</v>
      </c>
      <c r="J7" s="315" t="s">
        <v>438</v>
      </c>
      <c r="K7" s="315" t="s">
        <v>438</v>
      </c>
      <c r="L7" s="315" t="s">
        <v>438</v>
      </c>
      <c r="M7" s="315" t="s">
        <v>438</v>
      </c>
      <c r="N7" s="93" t="s">
        <v>438</v>
      </c>
      <c r="O7" s="4"/>
      <c r="P7" s="4"/>
      <c r="Q7" s="4"/>
      <c r="R7" s="4"/>
      <c r="S7" s="4"/>
      <c r="T7" s="4"/>
      <c r="U7" s="4"/>
      <c r="V7" s="4"/>
      <c r="W7" s="4"/>
      <c r="X7" s="4"/>
      <c r="Y7" s="4"/>
      <c r="Z7" s="4"/>
      <c r="AA7" s="4"/>
      <c r="AB7" s="4"/>
    </row>
    <row r="8" spans="1:59" x14ac:dyDescent="0.25">
      <c r="A8" s="389" t="s">
        <v>5</v>
      </c>
      <c r="B8" s="388">
        <f>SUMIFS(Camplist_HH,Camplist_Township,'NFI Distribution (by Tship)'!$A8,Camplist_Type_Of_Acc,"Camp")</f>
        <v>1290</v>
      </c>
      <c r="C8" s="388">
        <f>SUMIFS(Camplist_Popl,Camplist_Township,'NFI Distribution (by Tship)'!$A8,Camplist_Type_Of_Acc,"Camp")</f>
        <v>7191</v>
      </c>
      <c r="D8" s="34">
        <f t="shared" ref="D8:D28" si="0">SUMIF(NFI_Township,$A8,NFI_Mosquito_Track)</f>
        <v>0</v>
      </c>
      <c r="E8" s="34">
        <f t="shared" ref="E8:E28" si="1">SUMIF(NFI_Township,$A8,NFI_Tarpaulin_Track)</f>
        <v>14</v>
      </c>
      <c r="F8" s="34">
        <f t="shared" ref="F8:F28" si="2">SUMIF(NFI_Township,$A8,NFI_Blanket_Track)</f>
        <v>0</v>
      </c>
      <c r="G8" s="34">
        <f t="shared" ref="G8:G28" si="3">SUMIF(NFI_Township,$A8,NFI_Kitchen_Track)</f>
        <v>0</v>
      </c>
      <c r="H8" s="34">
        <f t="shared" ref="H8:H28" si="4">SUMIF(NFI_Township,$A8,NFI_Clothes_Track)</f>
        <v>0</v>
      </c>
      <c r="I8" s="34">
        <f t="shared" ref="I8:I28" si="5">SUMIF(NFI_Township,$A8,NFI_Plastic_Bucket_Track)</f>
        <v>0</v>
      </c>
      <c r="J8" s="34">
        <f t="shared" ref="J8:J28" si="6">SUMIF(NFI_Township,$A8,NFI_Plastic_Mat_Track)</f>
        <v>0</v>
      </c>
      <c r="K8" s="34">
        <f t="shared" ref="K8:K28" si="7">SUMIF(NFI_Township,$A8,NFI_Winter_Clothes_Adult_Track)</f>
        <v>0</v>
      </c>
      <c r="L8" s="34">
        <f t="shared" ref="L8:L28" si="8">SUMIF(NFI_Township,$A8,NFI_Winter_Clothes_Children_Track)</f>
        <v>0</v>
      </c>
      <c r="M8" s="34">
        <f t="shared" ref="M8:M28" si="9">SUMIF(NFI_Township,$A8,NFI_Winter_Items_Other_Track)</f>
        <v>0</v>
      </c>
      <c r="N8" s="390">
        <f t="shared" ref="N8:N28" si="10">SUMIF(NFI_Township,$A8,NFI_Winter_Blanket_Track)</f>
        <v>0</v>
      </c>
      <c r="O8" s="4"/>
      <c r="P8" s="4"/>
      <c r="Q8" s="4"/>
      <c r="R8" s="4"/>
      <c r="S8" s="4"/>
      <c r="T8" s="4"/>
      <c r="U8" s="4"/>
      <c r="V8" s="4"/>
      <c r="W8" s="4"/>
      <c r="X8" s="4"/>
      <c r="Y8" s="4"/>
      <c r="Z8" s="4"/>
      <c r="AA8" s="4"/>
      <c r="AB8" s="4"/>
    </row>
    <row r="9" spans="1:59" x14ac:dyDescent="0.25">
      <c r="A9" s="389" t="s">
        <v>27</v>
      </c>
      <c r="B9" s="388">
        <f>SUMIFS(Camplist_HH,Camplist_Township,'NFI Distribution (by Tship)'!$A9,Camplist_Type_Of_Acc,"Camp")</f>
        <v>496</v>
      </c>
      <c r="C9" s="388">
        <f>SUMIFS(Camplist_Popl,Camplist_Township,'NFI Distribution (by Tship)'!$A9,Camplist_Type_Of_Acc,"Camp")</f>
        <v>2511</v>
      </c>
      <c r="D9" s="34">
        <f t="shared" si="0"/>
        <v>0</v>
      </c>
      <c r="E9" s="34">
        <f t="shared" si="1"/>
        <v>0</v>
      </c>
      <c r="F9" s="34">
        <f t="shared" si="2"/>
        <v>345</v>
      </c>
      <c r="G9" s="34">
        <f t="shared" si="3"/>
        <v>0</v>
      </c>
      <c r="H9" s="34">
        <f t="shared" si="4"/>
        <v>0</v>
      </c>
      <c r="I9" s="34">
        <f t="shared" si="5"/>
        <v>0</v>
      </c>
      <c r="J9" s="34">
        <f t="shared" si="6"/>
        <v>0</v>
      </c>
      <c r="K9" s="34">
        <f t="shared" si="7"/>
        <v>0</v>
      </c>
      <c r="L9" s="34">
        <f t="shared" si="8"/>
        <v>765</v>
      </c>
      <c r="M9" s="34">
        <f t="shared" si="9"/>
        <v>0</v>
      </c>
      <c r="N9" s="390">
        <f t="shared" si="10"/>
        <v>0</v>
      </c>
      <c r="O9" s="4"/>
      <c r="P9" s="4"/>
      <c r="Q9" s="4"/>
      <c r="R9" s="4"/>
      <c r="S9" s="4"/>
      <c r="T9" s="4"/>
      <c r="U9" s="4"/>
      <c r="V9" s="4"/>
      <c r="W9" s="4"/>
      <c r="X9" s="4"/>
      <c r="Y9" s="4"/>
      <c r="Z9" s="4"/>
      <c r="AA9" s="4"/>
      <c r="AB9" s="4"/>
    </row>
    <row r="10" spans="1:59" x14ac:dyDescent="0.25">
      <c r="A10" s="389" t="s">
        <v>529</v>
      </c>
      <c r="B10" s="388">
        <f>SUMIFS(Camplist_HH,Camplist_Township,'NFI Distribution (by Tship)'!$A10,Camplist_Type_Of_Acc,"Camp")</f>
        <v>707</v>
      </c>
      <c r="C10" s="388">
        <f>SUMIFS(Camplist_Popl,Camplist_Township,'NFI Distribution (by Tship)'!$A10,Camplist_Type_Of_Acc,"Camp")</f>
        <v>3526</v>
      </c>
      <c r="D10" s="34">
        <f t="shared" si="0"/>
        <v>0</v>
      </c>
      <c r="E10" s="34">
        <f t="shared" si="1"/>
        <v>0</v>
      </c>
      <c r="F10" s="34">
        <f t="shared" si="2"/>
        <v>0</v>
      </c>
      <c r="G10" s="34">
        <f t="shared" si="3"/>
        <v>0</v>
      </c>
      <c r="H10" s="34">
        <f t="shared" si="4"/>
        <v>0</v>
      </c>
      <c r="I10" s="34">
        <f t="shared" si="5"/>
        <v>0</v>
      </c>
      <c r="J10" s="34">
        <f t="shared" si="6"/>
        <v>0</v>
      </c>
      <c r="K10" s="34">
        <f t="shared" si="7"/>
        <v>0</v>
      </c>
      <c r="L10" s="34">
        <f t="shared" si="8"/>
        <v>0</v>
      </c>
      <c r="M10" s="34">
        <f t="shared" si="9"/>
        <v>0</v>
      </c>
      <c r="N10" s="390">
        <f t="shared" si="10"/>
        <v>0</v>
      </c>
    </row>
    <row r="11" spans="1:59" x14ac:dyDescent="0.25">
      <c r="A11" s="389" t="s">
        <v>781</v>
      </c>
      <c r="B11" s="388">
        <f>SUMIFS(Camplist_HH,Camplist_Township,'NFI Distribution (by Tship)'!$A11,Camplist_Type_Of_Acc,"Camp")</f>
        <v>38</v>
      </c>
      <c r="C11" s="388">
        <f>SUMIFS(Camplist_Popl,Camplist_Township,'NFI Distribution (by Tship)'!$A11,Camplist_Type_Of_Acc,"Camp")</f>
        <v>172</v>
      </c>
      <c r="D11" s="34">
        <f t="shared" si="0"/>
        <v>0</v>
      </c>
      <c r="E11" s="34">
        <f t="shared" si="1"/>
        <v>0</v>
      </c>
      <c r="F11" s="34">
        <f t="shared" si="2"/>
        <v>0</v>
      </c>
      <c r="G11" s="34">
        <f t="shared" si="3"/>
        <v>0</v>
      </c>
      <c r="H11" s="34">
        <f t="shared" si="4"/>
        <v>0</v>
      </c>
      <c r="I11" s="34">
        <f t="shared" si="5"/>
        <v>0</v>
      </c>
      <c r="J11" s="34">
        <f t="shared" si="6"/>
        <v>0</v>
      </c>
      <c r="K11" s="34">
        <f t="shared" si="7"/>
        <v>0</v>
      </c>
      <c r="L11" s="34">
        <f t="shared" si="8"/>
        <v>0</v>
      </c>
      <c r="M11" s="34">
        <f t="shared" si="9"/>
        <v>0</v>
      </c>
      <c r="N11" s="390">
        <f t="shared" si="10"/>
        <v>0</v>
      </c>
    </row>
    <row r="12" spans="1:59" x14ac:dyDescent="0.25">
      <c r="A12" s="389" t="s">
        <v>363</v>
      </c>
      <c r="B12" s="388">
        <f>SUMIFS(Camplist_HH,Camplist_Township,'NFI Distribution (by Tship)'!$A12,Camplist_Type_Of_Acc,"Camp")</f>
        <v>0</v>
      </c>
      <c r="C12" s="388">
        <f>SUMIFS(Camplist_Popl,Camplist_Township,'NFI Distribution (by Tship)'!$A12,Camplist_Type_Of_Acc,"Camp")</f>
        <v>0</v>
      </c>
      <c r="D12" s="34">
        <f t="shared" si="0"/>
        <v>0</v>
      </c>
      <c r="E12" s="34">
        <f t="shared" si="1"/>
        <v>0</v>
      </c>
      <c r="F12" s="34">
        <f t="shared" si="2"/>
        <v>0</v>
      </c>
      <c r="G12" s="34">
        <f t="shared" si="3"/>
        <v>0</v>
      </c>
      <c r="H12" s="34">
        <f t="shared" si="4"/>
        <v>0</v>
      </c>
      <c r="I12" s="34">
        <f t="shared" si="5"/>
        <v>0</v>
      </c>
      <c r="J12" s="34">
        <f t="shared" si="6"/>
        <v>0</v>
      </c>
      <c r="K12" s="34">
        <f t="shared" si="7"/>
        <v>0</v>
      </c>
      <c r="L12" s="34">
        <f t="shared" si="8"/>
        <v>0</v>
      </c>
      <c r="M12" s="34">
        <f t="shared" si="9"/>
        <v>0</v>
      </c>
      <c r="N12" s="390">
        <f t="shared" si="10"/>
        <v>0</v>
      </c>
    </row>
    <row r="13" spans="1:59" s="77" customFormat="1" x14ac:dyDescent="0.25">
      <c r="A13" s="389" t="s">
        <v>144</v>
      </c>
      <c r="B13" s="388">
        <f>SUMIFS(Camplist_HH,Camplist_Township,'NFI Distribution (by Tship)'!$A13,Camplist_Type_Of_Acc,"Camp")</f>
        <v>11</v>
      </c>
      <c r="C13" s="388">
        <f>SUMIFS(Camplist_Popl,Camplist_Township,'NFI Distribution (by Tship)'!$A13,Camplist_Type_Of_Acc,"Camp")</f>
        <v>17</v>
      </c>
      <c r="D13" s="34">
        <f t="shared" si="0"/>
        <v>0</v>
      </c>
      <c r="E13" s="34">
        <f t="shared" si="1"/>
        <v>0</v>
      </c>
      <c r="F13" s="34">
        <f t="shared" si="2"/>
        <v>0</v>
      </c>
      <c r="G13" s="34">
        <f t="shared" si="3"/>
        <v>0</v>
      </c>
      <c r="H13" s="34">
        <f t="shared" si="4"/>
        <v>0</v>
      </c>
      <c r="I13" s="34">
        <f t="shared" si="5"/>
        <v>0</v>
      </c>
      <c r="J13" s="34">
        <f t="shared" si="6"/>
        <v>0</v>
      </c>
      <c r="K13" s="34">
        <f t="shared" si="7"/>
        <v>0</v>
      </c>
      <c r="L13" s="34">
        <f t="shared" si="8"/>
        <v>0</v>
      </c>
      <c r="M13" s="34">
        <f t="shared" si="9"/>
        <v>0</v>
      </c>
      <c r="N13" s="390">
        <f t="shared" si="10"/>
        <v>0</v>
      </c>
    </row>
    <row r="14" spans="1:59" s="77" customFormat="1" x14ac:dyDescent="0.25">
      <c r="A14" s="389" t="s">
        <v>146</v>
      </c>
      <c r="B14" s="388">
        <f>SUMIFS(Camplist_HH,Camplist_Township,'NFI Distribution (by Tship)'!$A14,Camplist_Type_Of_Acc,"Camp")</f>
        <v>686</v>
      </c>
      <c r="C14" s="388">
        <f>SUMIFS(Camplist_Popl,Camplist_Township,'NFI Distribution (by Tship)'!$A14,Camplist_Type_Of_Acc,"Camp")</f>
        <v>3377</v>
      </c>
      <c r="D14" s="34">
        <f t="shared" si="0"/>
        <v>600</v>
      </c>
      <c r="E14" s="34">
        <f t="shared" si="1"/>
        <v>0</v>
      </c>
      <c r="F14" s="34">
        <f t="shared" si="2"/>
        <v>0</v>
      </c>
      <c r="G14" s="34">
        <f t="shared" si="3"/>
        <v>0</v>
      </c>
      <c r="H14" s="34">
        <f t="shared" si="4"/>
        <v>0</v>
      </c>
      <c r="I14" s="34">
        <f t="shared" si="5"/>
        <v>0</v>
      </c>
      <c r="J14" s="34">
        <f t="shared" si="6"/>
        <v>0</v>
      </c>
      <c r="K14" s="34">
        <f t="shared" si="7"/>
        <v>0</v>
      </c>
      <c r="L14" s="34">
        <f t="shared" si="8"/>
        <v>0</v>
      </c>
      <c r="M14" s="34">
        <f t="shared" si="9"/>
        <v>0</v>
      </c>
      <c r="N14" s="390">
        <f t="shared" si="10"/>
        <v>0</v>
      </c>
    </row>
    <row r="15" spans="1:59" s="77" customFormat="1" x14ac:dyDescent="0.25">
      <c r="A15" s="389" t="s">
        <v>895</v>
      </c>
      <c r="B15" s="388">
        <f>SUMIFS(Camplist_HH,Camplist_Township,'NFI Distribution (by Tship)'!$A15,Camplist_Type_Of_Acc,"Camp")</f>
        <v>0</v>
      </c>
      <c r="C15" s="388">
        <f>SUMIFS(Camplist_Popl,Camplist_Township,'NFI Distribution (by Tship)'!$A15,Camplist_Type_Of_Acc,"Camp")</f>
        <v>0</v>
      </c>
      <c r="D15" s="34">
        <f t="shared" si="0"/>
        <v>0</v>
      </c>
      <c r="E15" s="34">
        <f t="shared" si="1"/>
        <v>0</v>
      </c>
      <c r="F15" s="34">
        <f t="shared" si="2"/>
        <v>0</v>
      </c>
      <c r="G15" s="34">
        <f t="shared" si="3"/>
        <v>0</v>
      </c>
      <c r="H15" s="34">
        <f t="shared" si="4"/>
        <v>0</v>
      </c>
      <c r="I15" s="34">
        <f t="shared" si="5"/>
        <v>0</v>
      </c>
      <c r="J15" s="34">
        <f t="shared" si="6"/>
        <v>0</v>
      </c>
      <c r="K15" s="34">
        <f t="shared" si="7"/>
        <v>0</v>
      </c>
      <c r="L15" s="34">
        <f t="shared" si="8"/>
        <v>0</v>
      </c>
      <c r="M15" s="34">
        <f t="shared" si="9"/>
        <v>0</v>
      </c>
      <c r="N15" s="390">
        <f t="shared" si="10"/>
        <v>0</v>
      </c>
    </row>
    <row r="16" spans="1:59" s="77" customFormat="1" x14ac:dyDescent="0.25">
      <c r="A16" s="389" t="s">
        <v>151</v>
      </c>
      <c r="B16" s="388">
        <f>SUMIFS(Camplist_HH,Camplist_Township,'NFI Distribution (by Tship)'!$A16,Camplist_Type_Of_Acc,"Camp")</f>
        <v>2519</v>
      </c>
      <c r="C16" s="388">
        <f>SUMIFS(Camplist_Popl,Camplist_Township,'NFI Distribution (by Tship)'!$A16,Camplist_Type_Of_Acc,"Camp")</f>
        <v>11637</v>
      </c>
      <c r="D16" s="34">
        <f t="shared" si="0"/>
        <v>332</v>
      </c>
      <c r="E16" s="34">
        <f t="shared" si="1"/>
        <v>185</v>
      </c>
      <c r="F16" s="34">
        <f t="shared" si="2"/>
        <v>332</v>
      </c>
      <c r="G16" s="34">
        <f t="shared" si="3"/>
        <v>185</v>
      </c>
      <c r="H16" s="34">
        <f t="shared" si="4"/>
        <v>0</v>
      </c>
      <c r="I16" s="34">
        <f t="shared" si="5"/>
        <v>185</v>
      </c>
      <c r="J16" s="34">
        <f t="shared" si="6"/>
        <v>2312.5</v>
      </c>
      <c r="K16" s="34">
        <f t="shared" si="7"/>
        <v>0</v>
      </c>
      <c r="L16" s="34">
        <f t="shared" si="8"/>
        <v>0</v>
      </c>
      <c r="M16" s="34">
        <f t="shared" si="9"/>
        <v>0</v>
      </c>
      <c r="N16" s="390">
        <f t="shared" si="10"/>
        <v>0</v>
      </c>
    </row>
    <row r="17" spans="1:15" x14ac:dyDescent="0.25">
      <c r="A17" s="389" t="s">
        <v>166</v>
      </c>
      <c r="B17" s="388">
        <f>SUMIFS(Camplist_HH,Camplist_Township,'NFI Distribution (by Tship)'!$A17,Camplist_Type_Of_Acc,"Camp")</f>
        <v>68</v>
      </c>
      <c r="C17" s="388">
        <f>SUMIFS(Camplist_Popl,Camplist_Township,'NFI Distribution (by Tship)'!$A17,Camplist_Type_Of_Acc,"Camp")</f>
        <v>342</v>
      </c>
      <c r="D17" s="34">
        <f t="shared" si="0"/>
        <v>0</v>
      </c>
      <c r="E17" s="34">
        <f t="shared" si="1"/>
        <v>0</v>
      </c>
      <c r="F17" s="34">
        <f t="shared" si="2"/>
        <v>0</v>
      </c>
      <c r="G17" s="34">
        <f t="shared" si="3"/>
        <v>0</v>
      </c>
      <c r="H17" s="34">
        <f t="shared" si="4"/>
        <v>0</v>
      </c>
      <c r="I17" s="34">
        <f t="shared" si="5"/>
        <v>0</v>
      </c>
      <c r="J17" s="34">
        <f t="shared" si="6"/>
        <v>0</v>
      </c>
      <c r="K17" s="34">
        <f t="shared" si="7"/>
        <v>0</v>
      </c>
      <c r="L17" s="34">
        <f t="shared" si="8"/>
        <v>0</v>
      </c>
      <c r="M17" s="34">
        <f t="shared" si="9"/>
        <v>0</v>
      </c>
      <c r="N17" s="390">
        <f t="shared" si="10"/>
        <v>0</v>
      </c>
    </row>
    <row r="18" spans="1:15" x14ac:dyDescent="0.25">
      <c r="A18" s="389" t="s">
        <v>173</v>
      </c>
      <c r="B18" s="388">
        <f>SUMIFS(Camplist_HH,Camplist_Township,'NFI Distribution (by Tship)'!$A18,Camplist_Type_Of_Acc,"Camp")</f>
        <v>81</v>
      </c>
      <c r="C18" s="388">
        <f>SUMIFS(Camplist_Popl,Camplist_Township,'NFI Distribution (by Tship)'!$A18,Camplist_Type_Of_Acc,"Camp")</f>
        <v>359</v>
      </c>
      <c r="D18" s="34">
        <f t="shared" si="0"/>
        <v>27</v>
      </c>
      <c r="E18" s="34">
        <f t="shared" si="1"/>
        <v>21</v>
      </c>
      <c r="F18" s="34">
        <f t="shared" si="2"/>
        <v>13</v>
      </c>
      <c r="G18" s="34">
        <f t="shared" si="3"/>
        <v>7</v>
      </c>
      <c r="H18" s="34">
        <f t="shared" si="4"/>
        <v>7</v>
      </c>
      <c r="I18" s="34">
        <f t="shared" si="5"/>
        <v>13</v>
      </c>
      <c r="J18" s="34">
        <f t="shared" si="6"/>
        <v>0</v>
      </c>
      <c r="K18" s="34">
        <f t="shared" si="7"/>
        <v>0</v>
      </c>
      <c r="L18" s="34">
        <f t="shared" si="8"/>
        <v>0</v>
      </c>
      <c r="M18" s="34">
        <f t="shared" si="9"/>
        <v>0</v>
      </c>
      <c r="N18" s="390">
        <f t="shared" si="10"/>
        <v>0</v>
      </c>
    </row>
    <row r="19" spans="1:15" x14ac:dyDescent="0.25">
      <c r="A19" s="389" t="s">
        <v>180</v>
      </c>
      <c r="B19" s="388">
        <f>SUMIFS(Camplist_HH,Camplist_Township,'NFI Distribution (by Tship)'!$A19,Camplist_Type_Of_Acc,"Camp")</f>
        <v>31</v>
      </c>
      <c r="C19" s="388">
        <f>SUMIFS(Camplist_Popl,Camplist_Township,'NFI Distribution (by Tship)'!$A19,Camplist_Type_Of_Acc,"Camp")</f>
        <v>155</v>
      </c>
      <c r="D19" s="34">
        <f t="shared" si="0"/>
        <v>0</v>
      </c>
      <c r="E19" s="34">
        <f t="shared" si="1"/>
        <v>0</v>
      </c>
      <c r="F19" s="34">
        <f t="shared" si="2"/>
        <v>0</v>
      </c>
      <c r="G19" s="34">
        <f t="shared" si="3"/>
        <v>0</v>
      </c>
      <c r="H19" s="34">
        <f t="shared" si="4"/>
        <v>0</v>
      </c>
      <c r="I19" s="34">
        <f t="shared" si="5"/>
        <v>0</v>
      </c>
      <c r="J19" s="34">
        <f t="shared" si="6"/>
        <v>0</v>
      </c>
      <c r="K19" s="34">
        <f t="shared" si="7"/>
        <v>0</v>
      </c>
      <c r="L19" s="34">
        <f t="shared" si="8"/>
        <v>0</v>
      </c>
      <c r="M19" s="34">
        <f t="shared" si="9"/>
        <v>0</v>
      </c>
      <c r="N19" s="390">
        <f t="shared" si="10"/>
        <v>0</v>
      </c>
    </row>
    <row r="20" spans="1:15" x14ac:dyDescent="0.25">
      <c r="A20" s="389" t="s">
        <v>185</v>
      </c>
      <c r="B20" s="388">
        <f>SUMIFS(Camplist_HH,Camplist_Township,'NFI Distribution (by Tship)'!$A20,Camplist_Type_Of_Acc,"Camp")</f>
        <v>2675</v>
      </c>
      <c r="C20" s="388">
        <f>SUMIFS(Camplist_Popl,Camplist_Township,'NFI Distribution (by Tship)'!$A20,Camplist_Type_Of_Acc,"Camp")</f>
        <v>13880</v>
      </c>
      <c r="D20" s="34">
        <f t="shared" si="0"/>
        <v>0</v>
      </c>
      <c r="E20" s="34">
        <f t="shared" si="1"/>
        <v>0</v>
      </c>
      <c r="F20" s="34">
        <f t="shared" si="2"/>
        <v>0</v>
      </c>
      <c r="G20" s="34">
        <f t="shared" si="3"/>
        <v>0</v>
      </c>
      <c r="H20" s="34">
        <f t="shared" si="4"/>
        <v>0</v>
      </c>
      <c r="I20" s="34">
        <f t="shared" si="5"/>
        <v>0</v>
      </c>
      <c r="J20" s="34">
        <f t="shared" si="6"/>
        <v>0</v>
      </c>
      <c r="K20" s="34">
        <f t="shared" si="7"/>
        <v>0</v>
      </c>
      <c r="L20" s="34">
        <f t="shared" si="8"/>
        <v>0</v>
      </c>
      <c r="M20" s="34">
        <f t="shared" si="9"/>
        <v>0</v>
      </c>
      <c r="N20" s="390">
        <f t="shared" si="10"/>
        <v>0</v>
      </c>
    </row>
    <row r="21" spans="1:15" x14ac:dyDescent="0.25">
      <c r="A21" s="389" t="s">
        <v>230</v>
      </c>
      <c r="B21" s="388">
        <f>SUMIFS(Camplist_HH,Camplist_Township,'NFI Distribution (by Tship)'!$A21,Camplist_Type_Of_Acc,"Camp")</f>
        <v>78</v>
      </c>
      <c r="C21" s="388">
        <f>SUMIFS(Camplist_Popl,Camplist_Township,'NFI Distribution (by Tship)'!$A21,Camplist_Type_Of_Acc,"Camp")</f>
        <v>323</v>
      </c>
      <c r="D21" s="34">
        <f>SUMIF(NFI_Township,$A21,NFI_Mosquito_Track)</f>
        <v>0</v>
      </c>
      <c r="E21" s="34">
        <f t="shared" si="1"/>
        <v>0</v>
      </c>
      <c r="F21" s="34">
        <f t="shared" si="2"/>
        <v>0</v>
      </c>
      <c r="G21" s="34">
        <f t="shared" si="3"/>
        <v>0</v>
      </c>
      <c r="H21" s="34">
        <f t="shared" si="4"/>
        <v>0</v>
      </c>
      <c r="I21" s="34">
        <f t="shared" si="5"/>
        <v>0</v>
      </c>
      <c r="J21" s="34">
        <f t="shared" si="6"/>
        <v>0</v>
      </c>
      <c r="K21" s="34">
        <f t="shared" si="7"/>
        <v>0</v>
      </c>
      <c r="L21" s="34">
        <f t="shared" si="8"/>
        <v>0</v>
      </c>
      <c r="M21" s="34">
        <f t="shared" si="9"/>
        <v>0</v>
      </c>
      <c r="N21" s="390">
        <f t="shared" si="10"/>
        <v>0</v>
      </c>
    </row>
    <row r="22" spans="1:15" x14ac:dyDescent="0.25">
      <c r="A22" s="389" t="s">
        <v>237</v>
      </c>
      <c r="B22" s="388">
        <f>SUMIFS(Camplist_HH,Camplist_Township,'NFI Distribution (by Tship)'!$A22,Camplist_Type_Of_Acc,"Camp")</f>
        <v>1414</v>
      </c>
      <c r="C22" s="388">
        <f>SUMIFS(Camplist_Popl,Camplist_Township,'NFI Distribution (by Tship)'!$A22,Camplist_Type_Of_Acc,"Camp")</f>
        <v>7179</v>
      </c>
      <c r="D22" s="34">
        <f>SUMIF(NFI_Township,$A22,NFI_Mosquito_Track)</f>
        <v>34</v>
      </c>
      <c r="E22" s="34">
        <f t="shared" si="1"/>
        <v>27</v>
      </c>
      <c r="F22" s="34">
        <f t="shared" si="2"/>
        <v>27</v>
      </c>
      <c r="G22" s="34">
        <f t="shared" si="3"/>
        <v>22</v>
      </c>
      <c r="H22" s="34">
        <f t="shared" si="4"/>
        <v>0</v>
      </c>
      <c r="I22" s="34">
        <f t="shared" si="5"/>
        <v>22</v>
      </c>
      <c r="J22" s="34">
        <f t="shared" si="6"/>
        <v>197.5</v>
      </c>
      <c r="K22" s="34">
        <f t="shared" si="7"/>
        <v>0</v>
      </c>
      <c r="L22" s="34">
        <f t="shared" si="8"/>
        <v>0</v>
      </c>
      <c r="M22" s="34">
        <f t="shared" si="9"/>
        <v>0</v>
      </c>
      <c r="N22" s="390">
        <f t="shared" si="10"/>
        <v>88</v>
      </c>
    </row>
    <row r="23" spans="1:15" x14ac:dyDescent="0.25">
      <c r="A23" s="389" t="s">
        <v>289</v>
      </c>
      <c r="B23" s="388">
        <f>SUMIFS(Camplist_HH,Camplist_Township,'NFI Distribution (by Tship)'!$A23,Camplist_Type_Of_Acc,"Camp")</f>
        <v>351</v>
      </c>
      <c r="C23" s="388">
        <f>SUMIFS(Camplist_Popl,Camplist_Township,'NFI Distribution (by Tship)'!$A23,Camplist_Type_Of_Acc,"Camp")</f>
        <v>1739</v>
      </c>
      <c r="D23" s="34">
        <f>SUMIF(NFI_Township,$A23,NFI_Mosquito_Track)</f>
        <v>126</v>
      </c>
      <c r="E23" s="34">
        <f t="shared" si="1"/>
        <v>0</v>
      </c>
      <c r="F23" s="34">
        <f t="shared" si="2"/>
        <v>126</v>
      </c>
      <c r="G23" s="34">
        <f t="shared" si="3"/>
        <v>64</v>
      </c>
      <c r="H23" s="34">
        <f t="shared" si="4"/>
        <v>0</v>
      </c>
      <c r="I23" s="34">
        <f t="shared" si="5"/>
        <v>0</v>
      </c>
      <c r="J23" s="34">
        <f t="shared" si="6"/>
        <v>305</v>
      </c>
      <c r="K23" s="34">
        <f t="shared" si="7"/>
        <v>0</v>
      </c>
      <c r="L23" s="34">
        <f t="shared" si="8"/>
        <v>0</v>
      </c>
      <c r="M23" s="34">
        <f t="shared" si="9"/>
        <v>0</v>
      </c>
      <c r="N23" s="390">
        <f t="shared" si="10"/>
        <v>0</v>
      </c>
    </row>
    <row r="24" spans="1:15" x14ac:dyDescent="0.25">
      <c r="A24" s="389" t="s">
        <v>298</v>
      </c>
      <c r="B24" s="388">
        <f>SUMIFS(Camplist_HH,Camplist_Township,'NFI Distribution (by Tship)'!$A24,Camplist_Type_Of_Acc,"Camp")</f>
        <v>9</v>
      </c>
      <c r="C24" s="388">
        <f>SUMIFS(Camplist_Popl,Camplist_Township,'NFI Distribution (by Tship)'!$A24,Camplist_Type_Of_Acc,"Camp")</f>
        <v>37</v>
      </c>
      <c r="D24" s="34">
        <f>SUMIF(NFI_Township,$A24,NFI_Mosquito_Track)</f>
        <v>35</v>
      </c>
      <c r="E24" s="34">
        <f t="shared" si="1"/>
        <v>0</v>
      </c>
      <c r="F24" s="34">
        <f t="shared" si="2"/>
        <v>35</v>
      </c>
      <c r="G24" s="34">
        <f t="shared" si="3"/>
        <v>18</v>
      </c>
      <c r="H24" s="34">
        <f t="shared" si="4"/>
        <v>0</v>
      </c>
      <c r="I24" s="34">
        <f t="shared" si="5"/>
        <v>18</v>
      </c>
      <c r="J24" s="34">
        <f t="shared" si="6"/>
        <v>205</v>
      </c>
      <c r="K24" s="34">
        <f t="shared" si="7"/>
        <v>0</v>
      </c>
      <c r="L24" s="34">
        <f t="shared" si="8"/>
        <v>0</v>
      </c>
      <c r="M24" s="34">
        <f t="shared" si="9"/>
        <v>0</v>
      </c>
      <c r="N24" s="390">
        <f t="shared" si="10"/>
        <v>0</v>
      </c>
    </row>
    <row r="25" spans="1:15" x14ac:dyDescent="0.25">
      <c r="A25" s="389" t="s">
        <v>300</v>
      </c>
      <c r="B25" s="388">
        <f>SUMIFS(Camplist_HH,Camplist_Township,'NFI Distribution (by Tship)'!$A25,Camplist_Type_Of_Acc,"Camp")</f>
        <v>59</v>
      </c>
      <c r="C25" s="388">
        <f>SUMIFS(Camplist_Popl,Camplist_Township,'NFI Distribution (by Tship)'!$A25,Camplist_Type_Of_Acc,"Camp")</f>
        <v>235</v>
      </c>
      <c r="D25" s="34">
        <f t="shared" si="0"/>
        <v>0</v>
      </c>
      <c r="E25" s="34">
        <f t="shared" si="1"/>
        <v>0</v>
      </c>
      <c r="F25" s="34">
        <f t="shared" si="2"/>
        <v>0</v>
      </c>
      <c r="G25" s="34">
        <f t="shared" si="3"/>
        <v>0</v>
      </c>
      <c r="H25" s="34">
        <f t="shared" si="4"/>
        <v>0</v>
      </c>
      <c r="I25" s="34">
        <f>SUMIF(NFI_Township,$A25,NFI_Plastic_Bucket_Track)</f>
        <v>0</v>
      </c>
      <c r="J25" s="34">
        <f t="shared" si="6"/>
        <v>0</v>
      </c>
      <c r="K25" s="34">
        <f t="shared" si="7"/>
        <v>0</v>
      </c>
      <c r="L25" s="34">
        <f t="shared" si="8"/>
        <v>0</v>
      </c>
      <c r="M25" s="34">
        <f t="shared" si="9"/>
        <v>0</v>
      </c>
      <c r="N25" s="390">
        <f t="shared" si="10"/>
        <v>0</v>
      </c>
    </row>
    <row r="26" spans="1:15" s="77" customFormat="1" x14ac:dyDescent="0.25">
      <c r="A26" s="389" t="s">
        <v>302</v>
      </c>
      <c r="B26" s="388">
        <f>SUMIFS(Camplist_HH,Camplist_Township,'NFI Distribution (by Tship)'!$A26,Camplist_Type_Of_Acc,"Camp")</f>
        <v>127</v>
      </c>
      <c r="C26" s="388">
        <f>SUMIFS(Camplist_Popl,Camplist_Township,'NFI Distribution (by Tship)'!$A26,Camplist_Type_Of_Acc,"Camp")</f>
        <v>461</v>
      </c>
      <c r="D26" s="34">
        <f t="shared" si="0"/>
        <v>0</v>
      </c>
      <c r="E26" s="34">
        <f t="shared" si="1"/>
        <v>17</v>
      </c>
      <c r="F26" s="34">
        <f t="shared" si="2"/>
        <v>51</v>
      </c>
      <c r="G26" s="34">
        <f t="shared" si="3"/>
        <v>17</v>
      </c>
      <c r="H26" s="34">
        <f t="shared" si="4"/>
        <v>0</v>
      </c>
      <c r="I26" s="34">
        <f t="shared" si="5"/>
        <v>16</v>
      </c>
      <c r="J26" s="34">
        <f t="shared" si="6"/>
        <v>152.5</v>
      </c>
      <c r="K26" s="34">
        <f t="shared" si="7"/>
        <v>0</v>
      </c>
      <c r="L26" s="34">
        <f t="shared" si="8"/>
        <v>0</v>
      </c>
      <c r="M26" s="34">
        <f t="shared" si="9"/>
        <v>0</v>
      </c>
      <c r="N26" s="390">
        <f t="shared" si="10"/>
        <v>0</v>
      </c>
    </row>
    <row r="27" spans="1:15" s="77" customFormat="1" x14ac:dyDescent="0.25">
      <c r="A27" s="389" t="s">
        <v>810</v>
      </c>
      <c r="B27" s="388">
        <f>SUMIFS(Camplist_HH,Camplist_Township,'NFI Distribution (by Tship)'!$A27,Camplist_Type_Of_Acc,"Camp")</f>
        <v>166</v>
      </c>
      <c r="C27" s="388">
        <f>SUMIFS(Camplist_Popl,Camplist_Township,'NFI Distribution (by Tship)'!$A27,Camplist_Type_Of_Acc,"Camp")</f>
        <v>1232</v>
      </c>
      <c r="D27" s="34">
        <f t="shared" si="0"/>
        <v>0</v>
      </c>
      <c r="E27" s="34">
        <f t="shared" si="1"/>
        <v>250</v>
      </c>
      <c r="F27" s="34">
        <f t="shared" si="2"/>
        <v>0</v>
      </c>
      <c r="G27" s="34">
        <f t="shared" si="3"/>
        <v>0</v>
      </c>
      <c r="H27" s="34">
        <f t="shared" si="4"/>
        <v>0</v>
      </c>
      <c r="I27" s="34">
        <f t="shared" si="5"/>
        <v>0</v>
      </c>
      <c r="J27" s="34">
        <f t="shared" si="6"/>
        <v>0</v>
      </c>
      <c r="K27" s="34">
        <f t="shared" si="7"/>
        <v>0</v>
      </c>
      <c r="L27" s="34">
        <f t="shared" si="8"/>
        <v>0</v>
      </c>
      <c r="M27" s="34">
        <f t="shared" si="9"/>
        <v>0</v>
      </c>
      <c r="N27" s="390">
        <f t="shared" si="10"/>
        <v>0</v>
      </c>
    </row>
    <row r="28" spans="1:15" x14ac:dyDescent="0.25">
      <c r="A28" s="389" t="s">
        <v>310</v>
      </c>
      <c r="B28" s="388">
        <f>SUMIFS(Camplist_HH,Camplist_Township,'NFI Distribution (by Tship)'!$A28,Camplist_Type_Of_Acc,"Camp")</f>
        <v>6286</v>
      </c>
      <c r="C28" s="388">
        <f>SUMIFS(Camplist_Popl,Camplist_Township,'NFI Distribution (by Tship)'!$A28,Camplist_Type_Of_Acc,"Camp")</f>
        <v>31646</v>
      </c>
      <c r="D28" s="34">
        <f t="shared" si="0"/>
        <v>41</v>
      </c>
      <c r="E28" s="34">
        <f t="shared" si="1"/>
        <v>16</v>
      </c>
      <c r="F28" s="34">
        <f t="shared" si="2"/>
        <v>41</v>
      </c>
      <c r="G28" s="34">
        <f t="shared" si="3"/>
        <v>16</v>
      </c>
      <c r="H28" s="34">
        <f t="shared" si="4"/>
        <v>0</v>
      </c>
      <c r="I28" s="34">
        <f t="shared" si="5"/>
        <v>16</v>
      </c>
      <c r="J28" s="34">
        <f t="shared" si="6"/>
        <v>200</v>
      </c>
      <c r="K28" s="34">
        <f t="shared" si="7"/>
        <v>710</v>
      </c>
      <c r="L28" s="34">
        <f t="shared" si="8"/>
        <v>1380</v>
      </c>
      <c r="M28" s="34">
        <f t="shared" si="9"/>
        <v>0</v>
      </c>
      <c r="N28" s="390">
        <f t="shared" si="10"/>
        <v>346</v>
      </c>
    </row>
    <row r="29" spans="1:15" ht="21" customHeight="1" thickBot="1" x14ac:dyDescent="0.3">
      <c r="A29" s="95" t="s">
        <v>3</v>
      </c>
      <c r="B29" s="96">
        <f t="shared" ref="B29:N29" si="11">SUM(B8:B28)</f>
        <v>17092</v>
      </c>
      <c r="C29" s="96">
        <f t="shared" si="11"/>
        <v>86019</v>
      </c>
      <c r="D29" s="96">
        <f t="shared" si="11"/>
        <v>1195</v>
      </c>
      <c r="E29" s="96">
        <f t="shared" si="11"/>
        <v>530</v>
      </c>
      <c r="F29" s="96">
        <f t="shared" si="11"/>
        <v>970</v>
      </c>
      <c r="G29" s="96">
        <f t="shared" si="11"/>
        <v>329</v>
      </c>
      <c r="H29" s="96">
        <f t="shared" si="11"/>
        <v>7</v>
      </c>
      <c r="I29" s="96">
        <f t="shared" si="11"/>
        <v>270</v>
      </c>
      <c r="J29" s="391">
        <f t="shared" si="11"/>
        <v>3372.5</v>
      </c>
      <c r="K29" s="96">
        <f t="shared" si="11"/>
        <v>710</v>
      </c>
      <c r="L29" s="96">
        <f t="shared" si="11"/>
        <v>2145</v>
      </c>
      <c r="M29" s="96">
        <f t="shared" si="11"/>
        <v>0</v>
      </c>
      <c r="N29" s="97">
        <f t="shared" si="11"/>
        <v>434</v>
      </c>
    </row>
    <row r="30" spans="1:15" s="123" customFormat="1" ht="21" hidden="1" customHeight="1" x14ac:dyDescent="0.25">
      <c r="A30" s="146"/>
      <c r="B30" s="146"/>
      <c r="C30" s="146"/>
      <c r="D30" s="146"/>
      <c r="E30" s="146"/>
      <c r="F30" s="146"/>
      <c r="G30" s="146"/>
      <c r="H30" s="146"/>
      <c r="I30" s="146"/>
      <c r="J30" s="146"/>
      <c r="K30" s="146"/>
      <c r="L30" s="146"/>
      <c r="M30" s="146"/>
      <c r="N30" s="146"/>
    </row>
    <row r="31" spans="1:15" s="77" customFormat="1" ht="21" hidden="1" customHeight="1" thickBot="1" x14ac:dyDescent="0.3">
      <c r="A31"/>
      <c r="B31"/>
      <c r="C31"/>
      <c r="D31"/>
      <c r="E31"/>
      <c r="F31"/>
      <c r="G31"/>
      <c r="H31"/>
      <c r="I31"/>
      <c r="J31"/>
    </row>
    <row r="32" spans="1:15" s="77" customFormat="1" ht="21" hidden="1" customHeight="1" x14ac:dyDescent="0.25">
      <c r="A32" s="1057" t="s">
        <v>0</v>
      </c>
      <c r="B32" s="1059" t="s">
        <v>427</v>
      </c>
      <c r="C32" s="1059" t="s">
        <v>428</v>
      </c>
      <c r="D32" s="1055" t="s">
        <v>457</v>
      </c>
      <c r="E32" s="1055"/>
      <c r="F32" s="1055"/>
      <c r="G32" s="1056"/>
      <c r="H32" s="124" t="s">
        <v>405</v>
      </c>
      <c r="I32" s="125"/>
      <c r="J32" s="125"/>
      <c r="K32" s="126"/>
      <c r="L32" s="1054" t="s">
        <v>458</v>
      </c>
      <c r="M32" s="1055"/>
      <c r="N32" s="1055"/>
      <c r="O32" s="1056"/>
    </row>
    <row r="33" spans="1:15" s="77" customFormat="1" ht="21" hidden="1" customHeight="1" x14ac:dyDescent="0.25">
      <c r="A33" s="1058"/>
      <c r="B33" s="1060"/>
      <c r="C33" s="1060"/>
      <c r="D33" s="87" t="s">
        <v>438</v>
      </c>
      <c r="E33" s="88" t="s">
        <v>441</v>
      </c>
      <c r="F33" s="88" t="s">
        <v>411</v>
      </c>
      <c r="G33" s="13" t="s">
        <v>439</v>
      </c>
      <c r="H33" s="88" t="s">
        <v>438</v>
      </c>
      <c r="I33" s="88" t="s">
        <v>441</v>
      </c>
      <c r="J33" s="88" t="s">
        <v>411</v>
      </c>
      <c r="K33" s="13" t="s">
        <v>439</v>
      </c>
      <c r="L33" s="88" t="s">
        <v>438</v>
      </c>
      <c r="M33" s="88" t="s">
        <v>441</v>
      </c>
      <c r="N33" s="88" t="s">
        <v>411</v>
      </c>
      <c r="O33" s="13" t="s">
        <v>439</v>
      </c>
    </row>
    <row r="34" spans="1:15" s="77" customFormat="1" ht="21" hidden="1" customHeight="1" x14ac:dyDescent="0.25">
      <c r="A34" s="94" t="s">
        <v>5</v>
      </c>
      <c r="B34" s="9">
        <f>SUMIF(Camplist_Township,'NFI Distribution (by Tship)'!$A34,Camplist_HH)</f>
        <v>1501</v>
      </c>
      <c r="C34" s="9">
        <f>SUMIF(Camplist_Township,'NFI Distribution (by Tship)'!$A34,Camplist_Popl)</f>
        <v>8180</v>
      </c>
      <c r="D34" s="90">
        <f t="shared" ref="D34:D53" si="12">SUMIF(NFI_Township,$A34,NFI_Hygiene_Track)</f>
        <v>0</v>
      </c>
      <c r="E34" s="9">
        <f t="shared" ref="E34:E53" si="13">SUMIF(NFI_Pipeline_Township,$A34,NFI_Hygiene_Stock)</f>
        <v>0</v>
      </c>
      <c r="F34" s="9">
        <f t="shared" ref="F34:F53" si="14">SUMIF(NFI_Pipeline_Township,$A32,NFI_Hygiene_Pipeline)</f>
        <v>0</v>
      </c>
      <c r="G34" s="14">
        <f t="shared" ref="G34:G53" si="15">IF(B34-(D34+E34+F34)&lt;0,0,B34-(D34+E34+F34))</f>
        <v>1501</v>
      </c>
      <c r="H34" s="8">
        <f t="shared" ref="H34:H53" si="16">SUMIF(NFI_Township,$A34,NFI_Core_Track)</f>
        <v>0</v>
      </c>
      <c r="I34" s="8">
        <f t="shared" ref="I34:I53" si="17">SUMIF(NFI_Pipeline_Township,$A34,NFI_Core_Stock)</f>
        <v>406</v>
      </c>
      <c r="J34" s="8">
        <f t="shared" ref="J34:J53" si="18">SUMIF(NFI_Pipeline_Township,$A32,NFI_Core_Pipeline)</f>
        <v>0</v>
      </c>
      <c r="K34" s="16">
        <f t="shared" ref="K34:K53" si="19">IF(B34-(H34+I34+J34)&lt;0,0,B34-(H34+I34+J34))</f>
        <v>1095</v>
      </c>
      <c r="L34" s="8">
        <f t="shared" ref="L34:L53" si="20">SUMIF(NFI_Township,$A34,NFI_Sanitary_Track)</f>
        <v>0</v>
      </c>
      <c r="M34" s="8">
        <f t="shared" ref="M34:M53" si="21">SUMIF(NFI_Pipeline_Township,$A34,NFI_Sanitary_Stock)</f>
        <v>206</v>
      </c>
      <c r="N34" s="8">
        <f t="shared" ref="N34:N53" si="22">SUMIF(NFI_Pipeline_Township,$A32,NFI_Sanitary_Pipeline)</f>
        <v>0</v>
      </c>
      <c r="O34" s="16">
        <f t="shared" ref="O34:O53" si="23">IF(B34-(L34+M34+N34)&lt;0,0,B34-(L34+M34+N34))</f>
        <v>1295</v>
      </c>
    </row>
    <row r="35" spans="1:15" s="77" customFormat="1" ht="21" hidden="1" customHeight="1" x14ac:dyDescent="0.25">
      <c r="A35" s="94" t="s">
        <v>27</v>
      </c>
      <c r="B35" s="9">
        <f>SUMIF(Camplist_Township,'NFI Distribution (by Tship)'!$A35,Camplist_HH)</f>
        <v>496</v>
      </c>
      <c r="C35" s="9">
        <f>SUMIF(Camplist_Township,'NFI Distribution (by Tship)'!$A35,Camplist_Popl)</f>
        <v>2511</v>
      </c>
      <c r="D35" s="90">
        <f t="shared" si="12"/>
        <v>0</v>
      </c>
      <c r="E35" s="9">
        <f t="shared" si="13"/>
        <v>0</v>
      </c>
      <c r="F35" s="9">
        <f t="shared" si="14"/>
        <v>0</v>
      </c>
      <c r="G35" s="14">
        <f t="shared" si="15"/>
        <v>496</v>
      </c>
      <c r="H35" s="8">
        <f t="shared" si="16"/>
        <v>0</v>
      </c>
      <c r="I35" s="8">
        <f t="shared" si="17"/>
        <v>0</v>
      </c>
      <c r="J35" s="8">
        <f t="shared" si="18"/>
        <v>0</v>
      </c>
      <c r="K35" s="16">
        <f t="shared" si="19"/>
        <v>496</v>
      </c>
      <c r="L35" s="8">
        <f t="shared" si="20"/>
        <v>0</v>
      </c>
      <c r="M35" s="8">
        <f t="shared" si="21"/>
        <v>0</v>
      </c>
      <c r="N35" s="8">
        <f t="shared" si="22"/>
        <v>0</v>
      </c>
      <c r="O35" s="16">
        <f t="shared" si="23"/>
        <v>496</v>
      </c>
    </row>
    <row r="36" spans="1:15" s="77" customFormat="1" ht="21" hidden="1" customHeight="1" x14ac:dyDescent="0.25">
      <c r="A36" s="94" t="s">
        <v>529</v>
      </c>
      <c r="B36" s="9">
        <f>SUMIF(Camplist_Township,'NFI Distribution (by Tship)'!$A36,Camplist_HH)</f>
        <v>707</v>
      </c>
      <c r="C36" s="9">
        <f>SUMIF(Camplist_Township,'NFI Distribution (by Tship)'!$A36,Camplist_Popl)</f>
        <v>3526</v>
      </c>
      <c r="D36" s="90">
        <f t="shared" si="12"/>
        <v>0</v>
      </c>
      <c r="E36" s="9">
        <f t="shared" si="13"/>
        <v>0</v>
      </c>
      <c r="F36" s="9">
        <f t="shared" si="14"/>
        <v>0</v>
      </c>
      <c r="G36" s="14">
        <f t="shared" si="15"/>
        <v>707</v>
      </c>
      <c r="H36" s="8">
        <f t="shared" si="16"/>
        <v>0</v>
      </c>
      <c r="I36" s="8">
        <f t="shared" si="17"/>
        <v>0</v>
      </c>
      <c r="J36" s="8">
        <f t="shared" si="18"/>
        <v>0</v>
      </c>
      <c r="K36" s="16">
        <f t="shared" si="19"/>
        <v>707</v>
      </c>
      <c r="L36" s="8">
        <f t="shared" si="20"/>
        <v>0</v>
      </c>
      <c r="M36" s="8">
        <f t="shared" si="21"/>
        <v>0</v>
      </c>
      <c r="N36" s="8">
        <f t="shared" si="22"/>
        <v>0</v>
      </c>
      <c r="O36" s="16">
        <f t="shared" si="23"/>
        <v>707</v>
      </c>
    </row>
    <row r="37" spans="1:15" s="77" customFormat="1" ht="21" hidden="1" customHeight="1" x14ac:dyDescent="0.25">
      <c r="A37" s="94" t="s">
        <v>781</v>
      </c>
      <c r="B37" s="9">
        <f>SUMIF(Camplist_Township,'NFI Distribution (by Tship)'!$A37,Camplist_HH)</f>
        <v>105</v>
      </c>
      <c r="C37" s="9">
        <f>SUMIF(Camplist_Township,'NFI Distribution (by Tship)'!$A37,Camplist_Popl)</f>
        <v>564</v>
      </c>
      <c r="D37" s="90">
        <f t="shared" si="12"/>
        <v>0</v>
      </c>
      <c r="E37" s="9">
        <f t="shared" si="13"/>
        <v>0</v>
      </c>
      <c r="F37" s="9">
        <f t="shared" si="14"/>
        <v>0</v>
      </c>
      <c r="G37" s="14">
        <f t="shared" si="15"/>
        <v>105</v>
      </c>
      <c r="H37" s="8">
        <f t="shared" si="16"/>
        <v>0</v>
      </c>
      <c r="I37" s="8">
        <f t="shared" si="17"/>
        <v>0</v>
      </c>
      <c r="J37" s="8">
        <f t="shared" si="18"/>
        <v>0</v>
      </c>
      <c r="K37" s="16">
        <f t="shared" si="19"/>
        <v>105</v>
      </c>
      <c r="L37" s="8">
        <f t="shared" si="20"/>
        <v>0</v>
      </c>
      <c r="M37" s="8">
        <f t="shared" si="21"/>
        <v>0</v>
      </c>
      <c r="N37" s="8">
        <f t="shared" si="22"/>
        <v>0</v>
      </c>
      <c r="O37" s="16">
        <f t="shared" si="23"/>
        <v>105</v>
      </c>
    </row>
    <row r="38" spans="1:15" s="77" customFormat="1" ht="21" hidden="1" customHeight="1" x14ac:dyDescent="0.25">
      <c r="A38" s="94" t="s">
        <v>363</v>
      </c>
      <c r="B38" s="9">
        <f>SUMIF(Camplist_Township,'NFI Distribution (by Tship)'!$A38,Camplist_HH)</f>
        <v>0</v>
      </c>
      <c r="C38" s="9">
        <f>SUMIF(Camplist_Township,'NFI Distribution (by Tship)'!$A38,Camplist_Popl)</f>
        <v>0</v>
      </c>
      <c r="D38" s="90">
        <f t="shared" si="12"/>
        <v>0</v>
      </c>
      <c r="E38" s="9">
        <f t="shared" si="13"/>
        <v>0</v>
      </c>
      <c r="F38" s="9">
        <f t="shared" si="14"/>
        <v>0</v>
      </c>
      <c r="G38" s="14">
        <f t="shared" si="15"/>
        <v>0</v>
      </c>
      <c r="H38" s="8">
        <f t="shared" si="16"/>
        <v>0</v>
      </c>
      <c r="I38" s="8">
        <f t="shared" si="17"/>
        <v>0</v>
      </c>
      <c r="J38" s="8">
        <f t="shared" si="18"/>
        <v>0</v>
      </c>
      <c r="K38" s="16">
        <f t="shared" si="19"/>
        <v>0</v>
      </c>
      <c r="L38" s="8">
        <f t="shared" si="20"/>
        <v>0</v>
      </c>
      <c r="M38" s="8">
        <f t="shared" si="21"/>
        <v>0</v>
      </c>
      <c r="N38" s="8">
        <f t="shared" si="22"/>
        <v>0</v>
      </c>
      <c r="O38" s="16">
        <f t="shared" si="23"/>
        <v>0</v>
      </c>
    </row>
    <row r="39" spans="1:15" s="77" customFormat="1" ht="21" hidden="1" customHeight="1" x14ac:dyDescent="0.25">
      <c r="A39" s="94" t="s">
        <v>144</v>
      </c>
      <c r="B39" s="9">
        <f>SUMIF(Camplist_Township,'NFI Distribution (by Tship)'!$A39,Camplist_HH)</f>
        <v>11</v>
      </c>
      <c r="C39" s="9">
        <f>SUMIF(Camplist_Township,'NFI Distribution (by Tship)'!$A39,Camplist_Popl)</f>
        <v>17</v>
      </c>
      <c r="D39" s="90">
        <f t="shared" si="12"/>
        <v>0</v>
      </c>
      <c r="E39" s="9">
        <f t="shared" si="13"/>
        <v>0</v>
      </c>
      <c r="F39" s="9">
        <f t="shared" si="14"/>
        <v>0</v>
      </c>
      <c r="G39" s="14">
        <f t="shared" si="15"/>
        <v>11</v>
      </c>
      <c r="H39" s="8">
        <f t="shared" si="16"/>
        <v>0</v>
      </c>
      <c r="I39" s="8">
        <f t="shared" si="17"/>
        <v>0</v>
      </c>
      <c r="J39" s="8">
        <f t="shared" si="18"/>
        <v>0</v>
      </c>
      <c r="K39" s="16">
        <f t="shared" si="19"/>
        <v>11</v>
      </c>
      <c r="L39" s="8">
        <f t="shared" si="20"/>
        <v>0</v>
      </c>
      <c r="M39" s="8">
        <f t="shared" si="21"/>
        <v>0</v>
      </c>
      <c r="N39" s="8">
        <f t="shared" si="22"/>
        <v>0</v>
      </c>
      <c r="O39" s="16">
        <f t="shared" si="23"/>
        <v>11</v>
      </c>
    </row>
    <row r="40" spans="1:15" s="77" customFormat="1" ht="21" hidden="1" customHeight="1" x14ac:dyDescent="0.25">
      <c r="A40" s="94" t="s">
        <v>146</v>
      </c>
      <c r="B40" s="9">
        <f>SUMIF(Camplist_Township,'NFI Distribution (by Tship)'!$A40,Camplist_HH)</f>
        <v>686</v>
      </c>
      <c r="C40" s="9">
        <f>SUMIF(Camplist_Township,'NFI Distribution (by Tship)'!$A40,Camplist_Popl)</f>
        <v>3377</v>
      </c>
      <c r="D40" s="90">
        <f t="shared" si="12"/>
        <v>0</v>
      </c>
      <c r="E40" s="9">
        <f t="shared" si="13"/>
        <v>0</v>
      </c>
      <c r="F40" s="9">
        <f t="shared" si="14"/>
        <v>0</v>
      </c>
      <c r="G40" s="14">
        <f t="shared" si="15"/>
        <v>686</v>
      </c>
      <c r="H40" s="8">
        <f t="shared" si="16"/>
        <v>0</v>
      </c>
      <c r="I40" s="8">
        <f t="shared" si="17"/>
        <v>0</v>
      </c>
      <c r="J40" s="8">
        <f t="shared" si="18"/>
        <v>0</v>
      </c>
      <c r="K40" s="16">
        <f t="shared" si="19"/>
        <v>686</v>
      </c>
      <c r="L40" s="8">
        <f t="shared" si="20"/>
        <v>0</v>
      </c>
      <c r="M40" s="8">
        <f t="shared" si="21"/>
        <v>0</v>
      </c>
      <c r="N40" s="8">
        <f t="shared" si="22"/>
        <v>0</v>
      </c>
      <c r="O40" s="16">
        <f t="shared" si="23"/>
        <v>686</v>
      </c>
    </row>
    <row r="41" spans="1:15" s="77" customFormat="1" ht="21" hidden="1" customHeight="1" x14ac:dyDescent="0.25">
      <c r="A41" s="94" t="s">
        <v>151</v>
      </c>
      <c r="B41" s="9">
        <f>SUMIF(Camplist_Township,'NFI Distribution (by Tship)'!$A41,Camplist_HH)</f>
        <v>2770</v>
      </c>
      <c r="C41" s="9">
        <f>SUMIF(Camplist_Township,'NFI Distribution (by Tship)'!$A41,Camplist_Popl)</f>
        <v>12727</v>
      </c>
      <c r="D41" s="90">
        <f t="shared" si="12"/>
        <v>0</v>
      </c>
      <c r="E41" s="9">
        <f t="shared" si="13"/>
        <v>0</v>
      </c>
      <c r="F41" s="9">
        <f t="shared" si="14"/>
        <v>0</v>
      </c>
      <c r="G41" s="14">
        <f t="shared" si="15"/>
        <v>2770</v>
      </c>
      <c r="H41" s="8">
        <f t="shared" si="16"/>
        <v>77</v>
      </c>
      <c r="I41" s="8">
        <f t="shared" si="17"/>
        <v>0</v>
      </c>
      <c r="J41" s="8">
        <f t="shared" si="18"/>
        <v>0</v>
      </c>
      <c r="K41" s="16">
        <f t="shared" si="19"/>
        <v>2693</v>
      </c>
      <c r="L41" s="8">
        <f t="shared" si="20"/>
        <v>600</v>
      </c>
      <c r="M41" s="8">
        <f t="shared" si="21"/>
        <v>0</v>
      </c>
      <c r="N41" s="8">
        <f t="shared" si="22"/>
        <v>0</v>
      </c>
      <c r="O41" s="16">
        <f t="shared" si="23"/>
        <v>2170</v>
      </c>
    </row>
    <row r="42" spans="1:15" s="77" customFormat="1" ht="21" hidden="1" customHeight="1" x14ac:dyDescent="0.25">
      <c r="A42" s="94" t="s">
        <v>166</v>
      </c>
      <c r="B42" s="9">
        <f>SUMIF(Camplist_Township,'NFI Distribution (by Tship)'!$A42,Camplist_HH)</f>
        <v>68</v>
      </c>
      <c r="C42" s="9">
        <f>SUMIF(Camplist_Township,'NFI Distribution (by Tship)'!$A42,Camplist_Popl)</f>
        <v>342</v>
      </c>
      <c r="D42" s="90">
        <f t="shared" si="12"/>
        <v>0</v>
      </c>
      <c r="E42" s="9">
        <f t="shared" si="13"/>
        <v>0</v>
      </c>
      <c r="F42" s="9">
        <f t="shared" si="14"/>
        <v>0</v>
      </c>
      <c r="G42" s="14">
        <f t="shared" si="15"/>
        <v>68</v>
      </c>
      <c r="H42" s="8">
        <f t="shared" si="16"/>
        <v>0</v>
      </c>
      <c r="I42" s="8">
        <f t="shared" si="17"/>
        <v>0</v>
      </c>
      <c r="J42" s="8">
        <f t="shared" si="18"/>
        <v>0</v>
      </c>
      <c r="K42" s="16">
        <f t="shared" si="19"/>
        <v>68</v>
      </c>
      <c r="L42" s="8">
        <f t="shared" si="20"/>
        <v>0</v>
      </c>
      <c r="M42" s="8">
        <f t="shared" si="21"/>
        <v>0</v>
      </c>
      <c r="N42" s="8">
        <f t="shared" si="22"/>
        <v>0</v>
      </c>
      <c r="O42" s="16">
        <f t="shared" si="23"/>
        <v>68</v>
      </c>
    </row>
    <row r="43" spans="1:15" s="77" customFormat="1" ht="21" hidden="1" customHeight="1" x14ac:dyDescent="0.25">
      <c r="A43" s="94" t="s">
        <v>173</v>
      </c>
      <c r="B43" s="9">
        <f>SUMIF(Camplist_Township,'NFI Distribution (by Tship)'!$A43,Camplist_HH)</f>
        <v>105</v>
      </c>
      <c r="C43" s="9">
        <f>SUMIF(Camplist_Township,'NFI Distribution (by Tship)'!$A43,Camplist_Popl)</f>
        <v>442</v>
      </c>
      <c r="D43" s="90">
        <f t="shared" si="12"/>
        <v>0</v>
      </c>
      <c r="E43" s="9">
        <f t="shared" si="13"/>
        <v>0</v>
      </c>
      <c r="F43" s="9">
        <f t="shared" si="14"/>
        <v>0</v>
      </c>
      <c r="G43" s="14">
        <f t="shared" si="15"/>
        <v>105</v>
      </c>
      <c r="H43" s="8">
        <f t="shared" si="16"/>
        <v>7</v>
      </c>
      <c r="I43" s="8">
        <f t="shared" si="17"/>
        <v>0</v>
      </c>
      <c r="J43" s="8">
        <f t="shared" si="18"/>
        <v>0</v>
      </c>
      <c r="K43" s="16">
        <f t="shared" si="19"/>
        <v>98</v>
      </c>
      <c r="L43" s="8">
        <f t="shared" si="20"/>
        <v>7</v>
      </c>
      <c r="M43" s="8">
        <f t="shared" si="21"/>
        <v>0</v>
      </c>
      <c r="N43" s="8">
        <f t="shared" si="22"/>
        <v>0</v>
      </c>
      <c r="O43" s="16">
        <f t="shared" si="23"/>
        <v>98</v>
      </c>
    </row>
    <row r="44" spans="1:15" s="77" customFormat="1" ht="21" hidden="1" customHeight="1" x14ac:dyDescent="0.25">
      <c r="A44" s="94" t="s">
        <v>180</v>
      </c>
      <c r="B44" s="9">
        <f>SUMIF(Camplist_Township,'NFI Distribution (by Tship)'!$A44,Camplist_HH)</f>
        <v>82</v>
      </c>
      <c r="C44" s="9">
        <f>SUMIF(Camplist_Township,'NFI Distribution (by Tship)'!$A44,Camplist_Popl)</f>
        <v>372</v>
      </c>
      <c r="D44" s="90">
        <f t="shared" si="12"/>
        <v>0</v>
      </c>
      <c r="E44" s="9">
        <f t="shared" si="13"/>
        <v>0</v>
      </c>
      <c r="F44" s="9">
        <f t="shared" si="14"/>
        <v>0</v>
      </c>
      <c r="G44" s="14">
        <f t="shared" si="15"/>
        <v>82</v>
      </c>
      <c r="H44" s="8">
        <f t="shared" si="16"/>
        <v>0</v>
      </c>
      <c r="I44" s="8">
        <f t="shared" si="17"/>
        <v>0</v>
      </c>
      <c r="J44" s="8">
        <f t="shared" si="18"/>
        <v>0</v>
      </c>
      <c r="K44" s="16">
        <f t="shared" si="19"/>
        <v>82</v>
      </c>
      <c r="L44" s="8">
        <f t="shared" si="20"/>
        <v>0</v>
      </c>
      <c r="M44" s="8">
        <f t="shared" si="21"/>
        <v>0</v>
      </c>
      <c r="N44" s="8">
        <f t="shared" si="22"/>
        <v>0</v>
      </c>
      <c r="O44" s="16">
        <f t="shared" si="23"/>
        <v>82</v>
      </c>
    </row>
    <row r="45" spans="1:15" s="77" customFormat="1" ht="21" hidden="1" customHeight="1" x14ac:dyDescent="0.25">
      <c r="A45" s="94" t="s">
        <v>185</v>
      </c>
      <c r="B45" s="9">
        <f>SUMIF(Camplist_Township,'NFI Distribution (by Tship)'!$A45,Camplist_HH)</f>
        <v>3091</v>
      </c>
      <c r="C45" s="9">
        <f>SUMIF(Camplist_Township,'NFI Distribution (by Tship)'!$A45,Camplist_Popl)</f>
        <v>15492</v>
      </c>
      <c r="D45" s="90">
        <f t="shared" si="12"/>
        <v>0</v>
      </c>
      <c r="E45" s="9">
        <f t="shared" si="13"/>
        <v>0</v>
      </c>
      <c r="F45" s="9">
        <f t="shared" si="14"/>
        <v>0</v>
      </c>
      <c r="G45" s="14">
        <f t="shared" si="15"/>
        <v>3091</v>
      </c>
      <c r="H45" s="8">
        <f t="shared" si="16"/>
        <v>0</v>
      </c>
      <c r="I45" s="8">
        <f t="shared" si="17"/>
        <v>0</v>
      </c>
      <c r="J45" s="8">
        <f t="shared" si="18"/>
        <v>0</v>
      </c>
      <c r="K45" s="16">
        <f t="shared" si="19"/>
        <v>3091</v>
      </c>
      <c r="L45" s="8">
        <f t="shared" si="20"/>
        <v>0</v>
      </c>
      <c r="M45" s="8">
        <f t="shared" si="21"/>
        <v>0</v>
      </c>
      <c r="N45" s="8">
        <f t="shared" si="22"/>
        <v>0</v>
      </c>
      <c r="O45" s="16">
        <f t="shared" si="23"/>
        <v>3091</v>
      </c>
    </row>
    <row r="46" spans="1:15" s="77" customFormat="1" ht="21" hidden="1" customHeight="1" x14ac:dyDescent="0.25">
      <c r="A46" s="94" t="s">
        <v>230</v>
      </c>
      <c r="B46" s="9">
        <f>SUMIF(Camplist_Township,'NFI Distribution (by Tship)'!$A46,Camplist_HH)</f>
        <v>271</v>
      </c>
      <c r="C46" s="9">
        <f>SUMIF(Camplist_Township,'NFI Distribution (by Tship)'!$A46,Camplist_Popl)</f>
        <v>1013</v>
      </c>
      <c r="D46" s="90">
        <f t="shared" si="12"/>
        <v>0</v>
      </c>
      <c r="E46" s="9">
        <f t="shared" si="13"/>
        <v>0</v>
      </c>
      <c r="F46" s="9">
        <f t="shared" si="14"/>
        <v>0</v>
      </c>
      <c r="G46" s="14">
        <f t="shared" si="15"/>
        <v>271</v>
      </c>
      <c r="H46" s="8">
        <f t="shared" si="16"/>
        <v>0</v>
      </c>
      <c r="I46" s="8">
        <f t="shared" si="17"/>
        <v>156</v>
      </c>
      <c r="J46" s="8">
        <f t="shared" si="18"/>
        <v>0</v>
      </c>
      <c r="K46" s="16">
        <f t="shared" si="19"/>
        <v>115</v>
      </c>
      <c r="L46" s="8">
        <f t="shared" si="20"/>
        <v>0</v>
      </c>
      <c r="M46" s="8">
        <f t="shared" si="21"/>
        <v>0</v>
      </c>
      <c r="N46" s="8">
        <f t="shared" si="22"/>
        <v>0</v>
      </c>
      <c r="O46" s="16">
        <f t="shared" si="23"/>
        <v>271</v>
      </c>
    </row>
    <row r="47" spans="1:15" s="77" customFormat="1" ht="21" hidden="1" customHeight="1" x14ac:dyDescent="0.25">
      <c r="A47" s="94" t="s">
        <v>237</v>
      </c>
      <c r="B47" s="9">
        <f>SUMIF(Camplist_Township,'NFI Distribution (by Tship)'!$A47,Camplist_HH)</f>
        <v>1414</v>
      </c>
      <c r="C47" s="9">
        <f>SUMIF(Camplist_Township,'NFI Distribution (by Tship)'!$A47,Camplist_Popl)</f>
        <v>7179</v>
      </c>
      <c r="D47" s="90">
        <f t="shared" si="12"/>
        <v>0</v>
      </c>
      <c r="E47" s="9">
        <f t="shared" si="13"/>
        <v>0</v>
      </c>
      <c r="F47" s="9">
        <f t="shared" si="14"/>
        <v>0</v>
      </c>
      <c r="G47" s="14">
        <f t="shared" si="15"/>
        <v>1414</v>
      </c>
      <c r="H47" s="8">
        <f t="shared" si="16"/>
        <v>11</v>
      </c>
      <c r="I47" s="8">
        <f t="shared" si="17"/>
        <v>1721</v>
      </c>
      <c r="J47" s="8">
        <f t="shared" si="18"/>
        <v>0</v>
      </c>
      <c r="K47" s="16">
        <f t="shared" si="19"/>
        <v>0</v>
      </c>
      <c r="L47" s="8">
        <f t="shared" si="20"/>
        <v>11</v>
      </c>
      <c r="M47" s="8">
        <f t="shared" si="21"/>
        <v>292</v>
      </c>
      <c r="N47" s="8">
        <f t="shared" si="22"/>
        <v>0</v>
      </c>
      <c r="O47" s="16">
        <f t="shared" si="23"/>
        <v>1111</v>
      </c>
    </row>
    <row r="48" spans="1:15" s="77" customFormat="1" ht="21" hidden="1" customHeight="1" x14ac:dyDescent="0.25">
      <c r="A48" s="94" t="s">
        <v>289</v>
      </c>
      <c r="B48" s="9">
        <f>SUMIF(Camplist_Township,'NFI Distribution (by Tship)'!$A48,Camplist_HH)</f>
        <v>351</v>
      </c>
      <c r="C48" s="9">
        <f>SUMIF(Camplist_Township,'NFI Distribution (by Tship)'!$A48,Camplist_Popl)</f>
        <v>1739</v>
      </c>
      <c r="D48" s="90">
        <f t="shared" si="12"/>
        <v>0</v>
      </c>
      <c r="E48" s="9">
        <f t="shared" si="13"/>
        <v>0</v>
      </c>
      <c r="F48" s="9">
        <f t="shared" si="14"/>
        <v>0</v>
      </c>
      <c r="G48" s="14">
        <f t="shared" si="15"/>
        <v>351</v>
      </c>
      <c r="H48" s="8">
        <f t="shared" si="16"/>
        <v>0</v>
      </c>
      <c r="I48" s="8">
        <f t="shared" si="17"/>
        <v>0</v>
      </c>
      <c r="J48" s="8">
        <f t="shared" si="18"/>
        <v>0</v>
      </c>
      <c r="K48" s="16">
        <f t="shared" si="19"/>
        <v>351</v>
      </c>
      <c r="L48" s="8">
        <f t="shared" si="20"/>
        <v>0</v>
      </c>
      <c r="M48" s="8">
        <f t="shared" si="21"/>
        <v>0</v>
      </c>
      <c r="N48" s="8">
        <f t="shared" si="22"/>
        <v>0</v>
      </c>
      <c r="O48" s="16">
        <f t="shared" si="23"/>
        <v>351</v>
      </c>
    </row>
    <row r="49" spans="1:15" s="77" customFormat="1" ht="21" hidden="1" customHeight="1" x14ac:dyDescent="0.25">
      <c r="A49" s="94" t="s">
        <v>298</v>
      </c>
      <c r="B49" s="9">
        <f>SUMIF(Camplist_Township,'NFI Distribution (by Tship)'!$A49,Camplist_HH)</f>
        <v>127</v>
      </c>
      <c r="C49" s="9">
        <f>SUMIF(Camplist_Township,'NFI Distribution (by Tship)'!$A49,Camplist_Popl)</f>
        <v>557</v>
      </c>
      <c r="D49" s="90">
        <f t="shared" si="12"/>
        <v>0</v>
      </c>
      <c r="E49" s="9">
        <f t="shared" si="13"/>
        <v>0</v>
      </c>
      <c r="F49" s="9">
        <f t="shared" si="14"/>
        <v>0</v>
      </c>
      <c r="G49" s="14">
        <f t="shared" si="15"/>
        <v>127</v>
      </c>
      <c r="H49" s="8">
        <f t="shared" si="16"/>
        <v>0</v>
      </c>
      <c r="I49" s="8">
        <f t="shared" si="17"/>
        <v>0</v>
      </c>
      <c r="J49" s="8">
        <f t="shared" si="18"/>
        <v>0</v>
      </c>
      <c r="K49" s="16">
        <f t="shared" si="19"/>
        <v>127</v>
      </c>
      <c r="L49" s="8">
        <f t="shared" si="20"/>
        <v>0</v>
      </c>
      <c r="M49" s="8">
        <f t="shared" si="21"/>
        <v>0</v>
      </c>
      <c r="N49" s="8">
        <f t="shared" si="22"/>
        <v>0</v>
      </c>
      <c r="O49" s="16">
        <f t="shared" si="23"/>
        <v>127</v>
      </c>
    </row>
    <row r="50" spans="1:15" s="77" customFormat="1" ht="21" hidden="1" customHeight="1" x14ac:dyDescent="0.25">
      <c r="A50" s="94" t="s">
        <v>300</v>
      </c>
      <c r="B50" s="9">
        <f>SUMIF(Camplist_Township,'NFI Distribution (by Tship)'!$A50,Camplist_HH)</f>
        <v>83</v>
      </c>
      <c r="C50" s="9">
        <f>SUMIF(Camplist_Township,'NFI Distribution (by Tship)'!$A50,Camplist_Popl)</f>
        <v>355</v>
      </c>
      <c r="D50" s="90">
        <f t="shared" si="12"/>
        <v>0</v>
      </c>
      <c r="E50" s="9">
        <f t="shared" si="13"/>
        <v>0</v>
      </c>
      <c r="F50" s="9">
        <f t="shared" si="14"/>
        <v>0</v>
      </c>
      <c r="G50" s="14">
        <f t="shared" si="15"/>
        <v>83</v>
      </c>
      <c r="H50" s="8">
        <f t="shared" si="16"/>
        <v>0</v>
      </c>
      <c r="I50" s="8">
        <f t="shared" si="17"/>
        <v>0</v>
      </c>
      <c r="J50" s="8">
        <f t="shared" si="18"/>
        <v>0</v>
      </c>
      <c r="K50" s="16">
        <f t="shared" si="19"/>
        <v>83</v>
      </c>
      <c r="L50" s="8">
        <f t="shared" si="20"/>
        <v>0</v>
      </c>
      <c r="M50" s="8">
        <f t="shared" si="21"/>
        <v>0</v>
      </c>
      <c r="N50" s="8">
        <f t="shared" si="22"/>
        <v>0</v>
      </c>
      <c r="O50" s="16">
        <f t="shared" si="23"/>
        <v>83</v>
      </c>
    </row>
    <row r="51" spans="1:15" s="77" customFormat="1" ht="21" hidden="1" customHeight="1" x14ac:dyDescent="0.25">
      <c r="A51" s="94" t="s">
        <v>302</v>
      </c>
      <c r="B51" s="9">
        <f>SUMIF(Camplist_Township,'NFI Distribution (by Tship)'!$A51,Camplist_HH)</f>
        <v>511</v>
      </c>
      <c r="C51" s="9">
        <f>SUMIF(Camplist_Township,'NFI Distribution (by Tship)'!$A51,Camplist_Popl)</f>
        <v>2182</v>
      </c>
      <c r="D51" s="90">
        <f t="shared" si="12"/>
        <v>0</v>
      </c>
      <c r="E51" s="9">
        <f t="shared" si="13"/>
        <v>0</v>
      </c>
      <c r="F51" s="9">
        <f t="shared" si="14"/>
        <v>0</v>
      </c>
      <c r="G51" s="14">
        <f t="shared" si="15"/>
        <v>511</v>
      </c>
      <c r="H51" s="8">
        <f t="shared" si="16"/>
        <v>0</v>
      </c>
      <c r="I51" s="8">
        <f t="shared" si="17"/>
        <v>0</v>
      </c>
      <c r="J51" s="8">
        <f t="shared" si="18"/>
        <v>0</v>
      </c>
      <c r="K51" s="16">
        <f t="shared" si="19"/>
        <v>511</v>
      </c>
      <c r="L51" s="8">
        <f t="shared" si="20"/>
        <v>0</v>
      </c>
      <c r="M51" s="8">
        <f t="shared" si="21"/>
        <v>0</v>
      </c>
      <c r="N51" s="8">
        <f t="shared" si="22"/>
        <v>0</v>
      </c>
      <c r="O51" s="16">
        <f t="shared" si="23"/>
        <v>511</v>
      </c>
    </row>
    <row r="52" spans="1:15" s="77" customFormat="1" ht="21" hidden="1" customHeight="1" x14ac:dyDescent="0.25">
      <c r="A52" s="94" t="s">
        <v>810</v>
      </c>
      <c r="B52" s="9">
        <f>SUMIF(Camplist_Township,'NFI Distribution (by Tship)'!$A52,Camplist_HH)</f>
        <v>166</v>
      </c>
      <c r="C52" s="9">
        <f>SUMIF(Camplist_Township,'NFI Distribution (by Tship)'!$A52,Camplist_Popl)</f>
        <v>1232</v>
      </c>
      <c r="D52" s="90">
        <f t="shared" si="12"/>
        <v>0</v>
      </c>
      <c r="E52" s="9">
        <f t="shared" si="13"/>
        <v>0</v>
      </c>
      <c r="F52" s="9">
        <f t="shared" si="14"/>
        <v>0</v>
      </c>
      <c r="G52" s="14">
        <f t="shared" si="15"/>
        <v>166</v>
      </c>
      <c r="H52" s="8">
        <f t="shared" si="16"/>
        <v>0</v>
      </c>
      <c r="I52" s="8">
        <f t="shared" si="17"/>
        <v>0</v>
      </c>
      <c r="J52" s="8">
        <f t="shared" si="18"/>
        <v>0</v>
      </c>
      <c r="K52" s="16">
        <f t="shared" si="19"/>
        <v>166</v>
      </c>
      <c r="L52" s="8">
        <f t="shared" si="20"/>
        <v>0</v>
      </c>
      <c r="M52" s="8">
        <f t="shared" si="21"/>
        <v>0</v>
      </c>
      <c r="N52" s="8">
        <f t="shared" si="22"/>
        <v>0</v>
      </c>
      <c r="O52" s="16">
        <f t="shared" si="23"/>
        <v>166</v>
      </c>
    </row>
    <row r="53" spans="1:15" s="77" customFormat="1" ht="21" hidden="1" customHeight="1" x14ac:dyDescent="0.25">
      <c r="A53" s="94" t="s">
        <v>310</v>
      </c>
      <c r="B53" s="9">
        <f>SUMIF(Camplist_Township,'NFI Distribution (by Tship)'!$A53,Camplist_HH)</f>
        <v>6641</v>
      </c>
      <c r="C53" s="9">
        <f>SUMIF(Camplist_Township,'NFI Distribution (by Tship)'!$A53,Camplist_Popl)</f>
        <v>37143</v>
      </c>
      <c r="D53" s="90">
        <f t="shared" si="12"/>
        <v>0</v>
      </c>
      <c r="E53" s="9">
        <f t="shared" si="13"/>
        <v>0</v>
      </c>
      <c r="F53" s="9">
        <f t="shared" si="14"/>
        <v>0</v>
      </c>
      <c r="G53" s="14">
        <f t="shared" si="15"/>
        <v>6641</v>
      </c>
      <c r="H53" s="8">
        <f t="shared" si="16"/>
        <v>0</v>
      </c>
      <c r="I53" s="8">
        <f t="shared" si="17"/>
        <v>0</v>
      </c>
      <c r="J53" s="8">
        <f t="shared" si="18"/>
        <v>0</v>
      </c>
      <c r="K53" s="16">
        <f t="shared" si="19"/>
        <v>6641</v>
      </c>
      <c r="L53" s="8">
        <f t="shared" si="20"/>
        <v>0</v>
      </c>
      <c r="M53" s="8">
        <f t="shared" si="21"/>
        <v>0</v>
      </c>
      <c r="N53" s="8">
        <f t="shared" si="22"/>
        <v>0</v>
      </c>
      <c r="O53" s="16">
        <f t="shared" si="23"/>
        <v>6641</v>
      </c>
    </row>
    <row r="54" spans="1:15" ht="21" hidden="1" customHeight="1" thickBot="1" x14ac:dyDescent="0.3">
      <c r="A54" s="95" t="s">
        <v>3</v>
      </c>
      <c r="B54" s="96">
        <f t="shared" ref="B54:J54" si="24">SUM(B34:B53)</f>
        <v>19186</v>
      </c>
      <c r="C54" s="96">
        <f t="shared" si="24"/>
        <v>98950</v>
      </c>
      <c r="D54" s="91">
        <f t="shared" si="24"/>
        <v>0</v>
      </c>
      <c r="E54" s="10">
        <f t="shared" si="24"/>
        <v>0</v>
      </c>
      <c r="F54" s="10">
        <f t="shared" si="24"/>
        <v>0</v>
      </c>
      <c r="G54" s="15">
        <f t="shared" si="24"/>
        <v>19186</v>
      </c>
      <c r="H54" s="10">
        <f t="shared" si="24"/>
        <v>95</v>
      </c>
      <c r="I54" s="10">
        <f t="shared" si="24"/>
        <v>2283</v>
      </c>
      <c r="J54" s="10">
        <f t="shared" si="24"/>
        <v>0</v>
      </c>
      <c r="K54" s="15">
        <f>SUM(K34:K53)</f>
        <v>17126</v>
      </c>
      <c r="L54" s="10">
        <f>SUM(L34:L53)</f>
        <v>618</v>
      </c>
      <c r="M54" s="10">
        <f>SUM(M34:M53)</f>
        <v>498</v>
      </c>
      <c r="N54" s="10">
        <f>SUM(N34:N53)</f>
        <v>0</v>
      </c>
      <c r="O54" s="36">
        <f>SUM(O34:O53)</f>
        <v>18070</v>
      </c>
    </row>
    <row r="55" spans="1:15" ht="21" customHeight="1" x14ac:dyDescent="0.25"/>
    <row r="56" spans="1:15" ht="17.25" hidden="1" customHeight="1" x14ac:dyDescent="0.25">
      <c r="I56" s="37"/>
    </row>
    <row r="57" spans="1:15" hidden="1" x14ac:dyDescent="0.25">
      <c r="I57" s="37"/>
    </row>
    <row r="59" spans="1:15" x14ac:dyDescent="0.25">
      <c r="A59" s="360" t="s">
        <v>500</v>
      </c>
      <c r="B59" s="26" t="s">
        <v>502</v>
      </c>
    </row>
    <row r="60" spans="1:15" x14ac:dyDescent="0.25">
      <c r="A60" s="360" t="s">
        <v>1138</v>
      </c>
      <c r="B60" s="26" t="s">
        <v>1125</v>
      </c>
      <c r="C60" s="37"/>
      <c r="D60" s="37"/>
      <c r="E60" s="37"/>
      <c r="F60" s="37"/>
      <c r="G60" s="37"/>
      <c r="H60" s="37"/>
    </row>
    <row r="61" spans="1:15" x14ac:dyDescent="0.25">
      <c r="A61" s="37"/>
      <c r="B61" s="37"/>
      <c r="C61" s="37"/>
      <c r="D61" s="37"/>
      <c r="E61" s="37"/>
      <c r="F61" s="37"/>
      <c r="G61" s="37"/>
      <c r="H61" s="37"/>
    </row>
    <row r="62" spans="1:15" x14ac:dyDescent="0.25">
      <c r="A62" s="360" t="s">
        <v>415</v>
      </c>
      <c r="B62" s="26" t="s">
        <v>1229</v>
      </c>
      <c r="C62" s="26" t="s">
        <v>459</v>
      </c>
      <c r="D62" s="26" t="s">
        <v>436</v>
      </c>
      <c r="E62" s="26" t="s">
        <v>437</v>
      </c>
      <c r="F62" s="26" t="s">
        <v>1230</v>
      </c>
      <c r="G62" s="26" t="s">
        <v>1231</v>
      </c>
    </row>
    <row r="63" spans="1:15" s="123" customFormat="1" x14ac:dyDescent="0.25">
      <c r="A63" s="359" t="s">
        <v>908</v>
      </c>
      <c r="B63" s="506"/>
      <c r="C63" s="506"/>
      <c r="D63" s="506"/>
      <c r="E63" s="506"/>
      <c r="F63" s="506"/>
      <c r="G63" s="506"/>
      <c r="H63"/>
      <c r="I63"/>
      <c r="J63"/>
      <c r="K63"/>
      <c r="L63"/>
    </row>
    <row r="64" spans="1:15" s="123" customFormat="1" x14ac:dyDescent="0.25">
      <c r="A64" s="359" t="s">
        <v>454</v>
      </c>
      <c r="B64" s="506">
        <v>753</v>
      </c>
      <c r="C64" s="506">
        <v>407</v>
      </c>
      <c r="D64" s="506">
        <v>878</v>
      </c>
      <c r="E64" s="506">
        <v>207</v>
      </c>
      <c r="F64" s="506">
        <v>213</v>
      </c>
      <c r="G64" s="506">
        <v>975</v>
      </c>
      <c r="H64"/>
    </row>
    <row r="65" spans="1:12" s="123" customFormat="1" x14ac:dyDescent="0.25">
      <c r="A65" s="359" t="s">
        <v>416</v>
      </c>
      <c r="B65" s="506">
        <v>753</v>
      </c>
      <c r="C65" s="506">
        <v>407</v>
      </c>
      <c r="D65" s="506">
        <v>878</v>
      </c>
      <c r="E65" s="506">
        <v>207</v>
      </c>
      <c r="F65" s="506">
        <v>213</v>
      </c>
      <c r="G65" s="506">
        <v>975</v>
      </c>
      <c r="H65"/>
    </row>
    <row r="66" spans="1:12" s="123" customFormat="1" x14ac:dyDescent="0.25">
      <c r="A66"/>
      <c r="B66"/>
      <c r="C66"/>
      <c r="D66"/>
      <c r="E66"/>
      <c r="F66"/>
      <c r="G66"/>
      <c r="H66"/>
    </row>
    <row r="67" spans="1:12" s="123" customFormat="1" x14ac:dyDescent="0.25">
      <c r="A67"/>
      <c r="B67"/>
      <c r="C67"/>
      <c r="D67"/>
      <c r="E67"/>
      <c r="F67"/>
      <c r="G67"/>
      <c r="H67"/>
    </row>
    <row r="68" spans="1:12" s="123" customFormat="1" x14ac:dyDescent="0.25">
      <c r="A68" s="360" t="s">
        <v>500</v>
      </c>
      <c r="B68" s="26" t="s">
        <v>502</v>
      </c>
      <c r="C68"/>
      <c r="D68"/>
      <c r="E68"/>
      <c r="F68"/>
      <c r="G68"/>
      <c r="H68"/>
    </row>
    <row r="69" spans="1:12" s="123" customFormat="1" x14ac:dyDescent="0.25">
      <c r="A69" s="360" t="s">
        <v>1083</v>
      </c>
      <c r="B69" s="26" t="s">
        <v>1080</v>
      </c>
      <c r="E69"/>
      <c r="F69"/>
      <c r="G69"/>
    </row>
    <row r="70" spans="1:12" x14ac:dyDescent="0.25">
      <c r="A70" s="360" t="s">
        <v>1154</v>
      </c>
      <c r="B70" s="359">
        <v>1</v>
      </c>
      <c r="C70" s="123"/>
      <c r="D70" s="123"/>
      <c r="H70" s="123"/>
    </row>
    <row r="71" spans="1:12" x14ac:dyDescent="0.25">
      <c r="A71" s="123"/>
      <c r="B71" s="123"/>
      <c r="C71" s="123"/>
      <c r="D71" s="123"/>
      <c r="H71" s="123"/>
    </row>
    <row r="72" spans="1:12" s="133" customFormat="1" ht="45" x14ac:dyDescent="0.25">
      <c r="A72" s="392" t="s">
        <v>415</v>
      </c>
      <c r="B72" s="393" t="s">
        <v>1002</v>
      </c>
      <c r="C72" s="393" t="s">
        <v>1003</v>
      </c>
      <c r="D72" s="393" t="s">
        <v>1228</v>
      </c>
    </row>
    <row r="73" spans="1:12" x14ac:dyDescent="0.25">
      <c r="A73" s="359" t="s">
        <v>1107</v>
      </c>
      <c r="B73" s="506"/>
      <c r="C73" s="506"/>
      <c r="D73" s="506">
        <v>684</v>
      </c>
    </row>
    <row r="74" spans="1:12" x14ac:dyDescent="0.25">
      <c r="A74" s="359" t="s">
        <v>455</v>
      </c>
      <c r="B74" s="506">
        <v>944</v>
      </c>
      <c r="C74" s="506">
        <v>553</v>
      </c>
      <c r="D74" s="506"/>
    </row>
    <row r="75" spans="1:12" x14ac:dyDescent="0.25">
      <c r="A75" s="359" t="s">
        <v>1097</v>
      </c>
      <c r="B75" s="506">
        <v>941</v>
      </c>
      <c r="C75" s="506">
        <v>619</v>
      </c>
      <c r="D75" s="506">
        <v>549</v>
      </c>
    </row>
    <row r="76" spans="1:12" x14ac:dyDescent="0.25">
      <c r="A76" s="359" t="s">
        <v>1039</v>
      </c>
      <c r="B76" s="506"/>
      <c r="C76" s="506">
        <v>1333</v>
      </c>
      <c r="D76" s="506"/>
      <c r="L76" s="3"/>
    </row>
    <row r="77" spans="1:12" x14ac:dyDescent="0.25">
      <c r="A77" s="359" t="s">
        <v>908</v>
      </c>
      <c r="B77" s="506">
        <v>1155</v>
      </c>
      <c r="C77" s="506">
        <v>2263</v>
      </c>
      <c r="D77" s="506">
        <v>3418</v>
      </c>
    </row>
    <row r="78" spans="1:12" x14ac:dyDescent="0.25">
      <c r="A78" s="359" t="s">
        <v>454</v>
      </c>
      <c r="B78" s="506">
        <v>2342</v>
      </c>
      <c r="C78" s="506">
        <v>4566</v>
      </c>
      <c r="D78" s="506">
        <v>3416</v>
      </c>
    </row>
    <row r="79" spans="1:12" x14ac:dyDescent="0.25">
      <c r="A79" s="359" t="s">
        <v>416</v>
      </c>
      <c r="B79" s="506">
        <v>5382</v>
      </c>
      <c r="C79" s="506">
        <v>9334</v>
      </c>
      <c r="D79" s="506">
        <v>8067</v>
      </c>
    </row>
  </sheetData>
  <sortState ref="A8:T17">
    <sortCondition ref="A8:A17"/>
  </sortState>
  <mergeCells count="10">
    <mergeCell ref="A2:H2"/>
    <mergeCell ref="A3:H3"/>
    <mergeCell ref="A6:A7"/>
    <mergeCell ref="B6:B7"/>
    <mergeCell ref="C6:C7"/>
    <mergeCell ref="L32:O32"/>
    <mergeCell ref="A32:A33"/>
    <mergeCell ref="B32:B33"/>
    <mergeCell ref="C32:C33"/>
    <mergeCell ref="D32:G32"/>
  </mergeCells>
  <pageMargins left="0.25" right="0.25" top="0.75" bottom="0.75" header="0.3" footer="0.3"/>
  <pageSetup paperSize="9" scale="40" orientation="landscape" r:id="rId3"/>
  <drawing r:id="rId4"/>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4" tint="0.39997558519241921"/>
  </sheetPr>
  <dimension ref="A1:T168"/>
  <sheetViews>
    <sheetView zoomScale="80" zoomScaleNormal="80" workbookViewId="0">
      <selection activeCell="J37" sqref="J37"/>
    </sheetView>
  </sheetViews>
  <sheetFormatPr defaultRowHeight="15" x14ac:dyDescent="0.25"/>
  <cols>
    <col min="1" max="1" width="19.7109375" style="123" customWidth="1"/>
    <col min="2" max="2" width="11.85546875" customWidth="1"/>
    <col min="3" max="3" width="38.7109375" customWidth="1"/>
    <col min="4" max="4" width="11.5703125" bestFit="1" customWidth="1"/>
    <col min="5" max="5" width="10.7109375" customWidth="1"/>
    <col min="6" max="6" width="7.7109375" customWidth="1"/>
    <col min="7" max="7" width="23.42578125" customWidth="1"/>
    <col min="8" max="8" width="20.28515625" customWidth="1"/>
    <col min="9" max="9" width="19" bestFit="1" customWidth="1"/>
    <col min="10" max="10" width="14.7109375" bestFit="1" customWidth="1"/>
    <col min="11" max="11" width="17" customWidth="1"/>
    <col min="12" max="12" width="17.42578125" customWidth="1"/>
    <col min="13" max="13" width="13" style="145" customWidth="1"/>
    <col min="14" max="14" width="11.140625" customWidth="1"/>
    <col min="17" max="17" width="13.85546875" customWidth="1"/>
    <col min="18" max="18" width="21.7109375" bestFit="1" customWidth="1"/>
    <col min="19" max="19" width="21.42578125" customWidth="1"/>
    <col min="20" max="20" width="21.5703125" bestFit="1" customWidth="1"/>
    <col min="21" max="21" width="6" customWidth="1"/>
    <col min="22" max="22" width="21.140625" bestFit="1" customWidth="1"/>
    <col min="23" max="23" width="6" customWidth="1"/>
    <col min="24" max="24" width="26.5703125" bestFit="1" customWidth="1"/>
    <col min="25" max="26" width="26.28515625" bestFit="1" customWidth="1"/>
  </cols>
  <sheetData>
    <row r="1" spans="1:20" s="133" customFormat="1" ht="30" x14ac:dyDescent="0.25">
      <c r="A1" s="399" t="s">
        <v>560</v>
      </c>
      <c r="B1" s="400" t="s">
        <v>1083</v>
      </c>
      <c r="C1" s="400" t="s">
        <v>556</v>
      </c>
      <c r="D1" s="400" t="s">
        <v>0</v>
      </c>
      <c r="E1" s="400" t="s">
        <v>2</v>
      </c>
      <c r="F1" s="400" t="s">
        <v>1084</v>
      </c>
      <c r="G1" s="400" t="s">
        <v>1002</v>
      </c>
      <c r="H1" s="400" t="s">
        <v>1003</v>
      </c>
      <c r="I1" s="400" t="s">
        <v>1004</v>
      </c>
      <c r="J1" s="400" t="s">
        <v>1085</v>
      </c>
      <c r="K1" s="400" t="s">
        <v>1087</v>
      </c>
      <c r="L1" s="400" t="s">
        <v>1086</v>
      </c>
      <c r="M1" s="401" t="s">
        <v>1094</v>
      </c>
      <c r="N1" s="402" t="s">
        <v>1091</v>
      </c>
      <c r="Q1" s="133">
        <f>SUM(N:N)</f>
        <v>0</v>
      </c>
      <c r="R1" s="133">
        <f>COUNTA(A:A)-1</f>
        <v>167</v>
      </c>
    </row>
    <row r="2" spans="1:20" x14ac:dyDescent="0.25">
      <c r="A2" s="320" t="s">
        <v>30</v>
      </c>
      <c r="B2" s="26" t="str">
        <f ca="1">OFFSET(CampList[Priority],MATCH(Table10[[#This Row],[Pcode]],CampList[CP_Pcode],0)-1,0,1,1)</f>
        <v>P1</v>
      </c>
      <c r="C2" s="26" t="str">
        <f ca="1">OFFSET(CampList[Camp],MATCH(Table10[[#This Row],[Pcode]],CampList[CP_Pcode],0)-1,0,1,1)</f>
        <v>Chipwi KBC camp</v>
      </c>
      <c r="D2" s="26" t="str">
        <f ca="1">OFFSET(CampList[Township],MATCH(Table10[[#This Row],[Pcode]],CampList[CP_Pcode],0)-1,0,1,1)</f>
        <v>Chipwi</v>
      </c>
      <c r="E2" s="26">
        <f ca="1">OFFSET(CampList[HH],MATCH(Table10[[#This Row],[Pcode]],CampList[CP_Pcode],0)-1,0,1,1)</f>
        <v>109</v>
      </c>
      <c r="F2" s="26">
        <f ca="1">OFFSET(CampList[Total],MATCH(Table10[[#This Row],[Pcode]],CampList[CP_Pcode],0)-1,0,1,1)</f>
        <v>504</v>
      </c>
      <c r="G2" s="361">
        <f>SUMIF('NFI Tracking'!AO$11:AO$1048576,Table10[[#This Row],[Pcode]],'NFI Tracking'!AI$11:AI$1048576)</f>
        <v>0</v>
      </c>
      <c r="H2" s="361">
        <f>SUMIF('NFI Tracking'!AO$11:AO$1048576,Table10[[#This Row],[Pcode]],'NFI Tracking'!AJ$11:AJ$1048576)</f>
        <v>0</v>
      </c>
      <c r="I2" s="361">
        <f>SUMIF('NFI Tracking'!AO$11:AO$1048576,Table10[[#This Row],[Pcode]],'NFI Tracking'!AK$11:AK$1048576)</f>
        <v>0</v>
      </c>
      <c r="J2" s="361">
        <f ca="1">MAX(Table10[[#This Row],[HH]]*VLOOKUP("Winter Clothes Adult",NFI,6)-Table10[[#This Row],[Winter Clothes Adult ]],0)</f>
        <v>218</v>
      </c>
      <c r="K2" s="361">
        <f ca="1">MAX(Table10[[#This Row],[HH]]*VLOOKUP("Winter Clothes Children ",NFI,6)-Table10[[#This Row],[Winter Clothes Children ]],0)</f>
        <v>109</v>
      </c>
      <c r="L2" s="361">
        <f ca="1">MAX(Table10[[#This Row],[HH]]*VLOOKUP("Winter Items Other ",NFI,6)-Table10[[#This Row],[Winter Items Other ]],0)</f>
        <v>109</v>
      </c>
      <c r="M2" s="394" t="str">
        <f>IF(OR(Table10[[#This Row],[Winter Clothes Adult ]]&lt;&gt;0,Table10[[#This Row],[Winter Clothes Children ]]&lt;&gt;0,Table10[[#This Row],[Winter Items Other ]]&lt;&gt;0),"No","")</f>
        <v/>
      </c>
      <c r="N2" s="395">
        <f>COUNTIF(A:A,Table10[[#This Row],[Pcode]])-1</f>
        <v>0</v>
      </c>
    </row>
    <row r="3" spans="1:20" x14ac:dyDescent="0.25">
      <c r="A3" s="320" t="s">
        <v>31</v>
      </c>
      <c r="B3" s="26" t="str">
        <f ca="1">OFFSET(CampList[Priority],MATCH(Table10[[#This Row],[Pcode]],CampList[CP_Pcode],0)-1,0,1,1)</f>
        <v>P1</v>
      </c>
      <c r="C3" s="26" t="str">
        <f ca="1">OFFSET(CampList[Camp],MATCH(Table10[[#This Row],[Pcode]],CampList[CP_Pcode],0)-1,0,1,1)</f>
        <v>Gant Gwin</v>
      </c>
      <c r="D3" s="26" t="str">
        <f ca="1">OFFSET(CampList[Township],MATCH(Table10[[#This Row],[Pcode]],CampList[CP_Pcode],0)-1,0,1,1)</f>
        <v>Chipwi</v>
      </c>
      <c r="E3" s="26">
        <f ca="1">OFFSET(CampList[HH],MATCH(Table10[[#This Row],[Pcode]],CampList[CP_Pcode],0)-1,0,1,1)</f>
        <v>0</v>
      </c>
      <c r="F3" s="26">
        <f ca="1">OFFSET(CampList[Total],MATCH(Table10[[#This Row],[Pcode]],CampList[CP_Pcode],0)-1,0,1,1)</f>
        <v>0</v>
      </c>
      <c r="G3" s="361">
        <f>SUMIF('NFI Tracking'!AO$11:AO$1048576,Table10[[#This Row],[Pcode]],'NFI Tracking'!AI$11:AI$1048576)</f>
        <v>0</v>
      </c>
      <c r="H3" s="361">
        <f>SUMIF('NFI Tracking'!AO$11:AO$1048576,Table10[[#This Row],[Pcode]],'NFI Tracking'!AJ$11:AJ$1048576)</f>
        <v>0</v>
      </c>
      <c r="I3" s="361">
        <f>SUMIF('NFI Tracking'!AO$11:AO$1048576,Table10[[#This Row],[Pcode]],'NFI Tracking'!AK$11:AK$1048576)</f>
        <v>0</v>
      </c>
      <c r="J3" s="361">
        <f ca="1">MAX(Table10[[#This Row],[HH]]*VLOOKUP("Winter Clothes Adult",NFI,6)-Table10[[#This Row],[Winter Clothes Adult ]],0)</f>
        <v>0</v>
      </c>
      <c r="K3" s="361">
        <f ca="1">MAX(Table10[[#This Row],[HH]]*VLOOKUP("Winter Clothes Children ",NFI,6)-Table10[[#This Row],[Winter Clothes Children ]],0)</f>
        <v>0</v>
      </c>
      <c r="L3" s="361">
        <f ca="1">MAX(Table10[[#This Row],[HH]]*VLOOKUP("Winter Items Other ",NFI,6)-Table10[[#This Row],[Winter Items Other ]],0)</f>
        <v>0</v>
      </c>
      <c r="M3" s="394" t="str">
        <f>IF(OR(Table10[[#This Row],[Winter Clothes Adult ]]&lt;&gt;0,Table10[[#This Row],[Winter Clothes Children ]]&lt;&gt;0,Table10[[#This Row],[Winter Items Other ]]&lt;&gt;0),"No","")</f>
        <v/>
      </c>
      <c r="N3" s="395">
        <f>COUNTIF(A:A,Table10[[#This Row],[Pcode]])-1</f>
        <v>0</v>
      </c>
    </row>
    <row r="4" spans="1:20" x14ac:dyDescent="0.25">
      <c r="A4" s="320" t="s">
        <v>29</v>
      </c>
      <c r="B4" s="26" t="str">
        <f ca="1">OFFSET(CampList[Priority],MATCH(Table10[[#This Row],[Pcode]],CampList[CP_Pcode],0)-1,0,1,1)</f>
        <v>P1</v>
      </c>
      <c r="C4" s="26" t="str">
        <f ca="1">OFFSET(CampList[Camp],MATCH(Table10[[#This Row],[Pcode]],CampList[CP_Pcode],0)-1,0,1,1)</f>
        <v>Hpare Hkyer - BP6</v>
      </c>
      <c r="D4" s="26" t="str">
        <f ca="1">OFFSET(CampList[Township],MATCH(Table10[[#This Row],[Pcode]],CampList[CP_Pcode],0)-1,0,1,1)</f>
        <v>Chipwi</v>
      </c>
      <c r="E4" s="26">
        <f ca="1">OFFSET(CampList[HH],MATCH(Table10[[#This Row],[Pcode]],CampList[CP_Pcode],0)-1,0,1,1)</f>
        <v>154</v>
      </c>
      <c r="F4" s="26">
        <f ca="1">OFFSET(CampList[Total],MATCH(Table10[[#This Row],[Pcode]],CampList[CP_Pcode],0)-1,0,1,1)</f>
        <v>920</v>
      </c>
      <c r="G4" s="361">
        <f>SUMIF('NFI Tracking'!AO$11:AO$1048576,Table10[[#This Row],[Pcode]],'NFI Tracking'!AI$11:AI$1048576)</f>
        <v>380</v>
      </c>
      <c r="H4" s="361">
        <f>SUMIF('NFI Tracking'!AO$11:AO$1048576,Table10[[#This Row],[Pcode]],'NFI Tracking'!AJ$11:AJ$1048576)</f>
        <v>1145</v>
      </c>
      <c r="I4" s="361">
        <f>SUMIF('NFI Tracking'!AO$11:AO$1048576,Table10[[#This Row],[Pcode]],'NFI Tracking'!AK$11:AK$1048576)</f>
        <v>0</v>
      </c>
      <c r="J4" s="361">
        <f ca="1">MAX(Table10[[#This Row],[HH]]*VLOOKUP("Winter Clothes Adult",NFI,6)-Table10[[#This Row],[Winter Clothes Adult ]],0)</f>
        <v>0</v>
      </c>
      <c r="K4" s="361">
        <f ca="1">MAX(Table10[[#This Row],[HH]]*VLOOKUP("Winter Clothes Children ",NFI,6)-Table10[[#This Row],[Winter Clothes Children ]],0)</f>
        <v>0</v>
      </c>
      <c r="L4" s="361">
        <f ca="1">MAX(Table10[[#This Row],[HH]]*VLOOKUP("Winter Items Other ",NFI,6)-Table10[[#This Row],[Winter Items Other ]],0)</f>
        <v>154</v>
      </c>
      <c r="M4" s="394" t="str">
        <f>IF(OR(Table10[[#This Row],[Winter Clothes Adult ]]&lt;&gt;0,Table10[[#This Row],[Winter Clothes Children ]]&lt;&gt;0,Table10[[#This Row],[Winter Items Other ]]&lt;&gt;0),"No","")</f>
        <v>No</v>
      </c>
      <c r="N4" s="395">
        <f>COUNTIF(A:A,Table10[[#This Row],[Pcode]])-1</f>
        <v>0</v>
      </c>
    </row>
    <row r="5" spans="1:20" x14ac:dyDescent="0.25">
      <c r="A5" s="320" t="s">
        <v>33</v>
      </c>
      <c r="B5" s="26" t="str">
        <f ca="1">OFFSET(CampList[Priority],MATCH(Table10[[#This Row],[Pcode]],CampList[CP_Pcode],0)-1,0,1,1)</f>
        <v>P1</v>
      </c>
      <c r="C5" s="26" t="str">
        <f ca="1">OFFSET(CampList[Camp],MATCH(Table10[[#This Row],[Pcode]],CampList[CP_Pcode],0)-1,0,1,1)</f>
        <v xml:space="preserve">Lan Jaw </v>
      </c>
      <c r="D5" s="26" t="str">
        <f ca="1">OFFSET(CampList[Township],MATCH(Table10[[#This Row],[Pcode]],CampList[CP_Pcode],0)-1,0,1,1)</f>
        <v>Chipwi</v>
      </c>
      <c r="E5" s="26">
        <f ca="1">OFFSET(CampList[HH],MATCH(Table10[[#This Row],[Pcode]],CampList[CP_Pcode],0)-1,0,1,1)</f>
        <v>0</v>
      </c>
      <c r="F5" s="26">
        <f ca="1">OFFSET(CampList[Total],MATCH(Table10[[#This Row],[Pcode]],CampList[CP_Pcode],0)-1,0,1,1)</f>
        <v>0</v>
      </c>
      <c r="G5" s="361">
        <f>SUMIF('NFI Tracking'!AO$11:AO$1048576,Table10[[#This Row],[Pcode]],'NFI Tracking'!AI$11:AI$1048576)</f>
        <v>0</v>
      </c>
      <c r="H5" s="361">
        <f>SUMIF('NFI Tracking'!AO$11:AO$1048576,Table10[[#This Row],[Pcode]],'NFI Tracking'!AJ$11:AJ$1048576)</f>
        <v>0</v>
      </c>
      <c r="I5" s="361">
        <f>SUMIF('NFI Tracking'!AO$11:AO$1048576,Table10[[#This Row],[Pcode]],'NFI Tracking'!AK$11:AK$1048576)</f>
        <v>0</v>
      </c>
      <c r="J5" s="361">
        <f ca="1">MAX(Table10[[#This Row],[HH]]*VLOOKUP("Winter Clothes Adult",NFI,6)-Table10[[#This Row],[Winter Clothes Adult ]],0)</f>
        <v>0</v>
      </c>
      <c r="K5" s="361">
        <f ca="1">MAX(Table10[[#This Row],[HH]]*VLOOKUP("Winter Clothes Children ",NFI,6)-Table10[[#This Row],[Winter Clothes Children ]],0)</f>
        <v>0</v>
      </c>
      <c r="L5" s="361">
        <f ca="1">MAX(Table10[[#This Row],[HH]]*VLOOKUP("Winter Items Other ",NFI,6)-Table10[[#This Row],[Winter Items Other ]],0)</f>
        <v>0</v>
      </c>
      <c r="M5" s="394" t="str">
        <f>IF(OR(Table10[[#This Row],[Winter Clothes Adult ]]&lt;&gt;0,Table10[[#This Row],[Winter Clothes Children ]]&lt;&gt;0,Table10[[#This Row],[Winter Items Other ]]&lt;&gt;0),"No","")</f>
        <v/>
      </c>
      <c r="N5" s="395">
        <f>COUNTIF(A:A,Table10[[#This Row],[Pcode]])-1</f>
        <v>0</v>
      </c>
    </row>
    <row r="6" spans="1:20" x14ac:dyDescent="0.25">
      <c r="A6" s="320" t="s">
        <v>378</v>
      </c>
      <c r="B6" s="26" t="str">
        <f ca="1">OFFSET(CampList[Priority],MATCH(Table10[[#This Row],[Pcode]],CampList[CP_Pcode],0)-1,0,1,1)</f>
        <v>P1</v>
      </c>
      <c r="C6" s="26" t="str">
        <f ca="1">OFFSET(CampList[Camp],MATCH(Table10[[#This Row],[Pcode]],CampList[CP_Pcode],0)-1,0,1,1)</f>
        <v>Lhaovao Baptist Church (LBC)</v>
      </c>
      <c r="D6" s="26" t="str">
        <f ca="1">OFFSET(CampList[Township],MATCH(Table10[[#This Row],[Pcode]],CampList[CP_Pcode],0)-1,0,1,1)</f>
        <v>Chipwi</v>
      </c>
      <c r="E6" s="26">
        <f ca="1">OFFSET(CampList[HH],MATCH(Table10[[#This Row],[Pcode]],CampList[CP_Pcode],0)-1,0,1,1)</f>
        <v>143</v>
      </c>
      <c r="F6" s="26">
        <f ca="1">OFFSET(CampList[Total],MATCH(Table10[[#This Row],[Pcode]],CampList[CP_Pcode],0)-1,0,1,1)</f>
        <v>638</v>
      </c>
      <c r="G6" s="361">
        <f>SUMIF('NFI Tracking'!AO$11:AO$1048576,Table10[[#This Row],[Pcode]],'NFI Tracking'!AI$11:AI$1048576)</f>
        <v>0</v>
      </c>
      <c r="H6" s="361">
        <f>SUMIF('NFI Tracking'!AO$11:AO$1048576,Table10[[#This Row],[Pcode]],'NFI Tracking'!AJ$11:AJ$1048576)</f>
        <v>0</v>
      </c>
      <c r="I6" s="361">
        <f>SUMIF('NFI Tracking'!AO$11:AO$1048576,Table10[[#This Row],[Pcode]],'NFI Tracking'!AK$11:AK$1048576)</f>
        <v>0</v>
      </c>
      <c r="J6" s="361">
        <f ca="1">MAX(Table10[[#This Row],[HH]]*VLOOKUP("Winter Clothes Adult",NFI,6)-Table10[[#This Row],[Winter Clothes Adult ]],0)</f>
        <v>286</v>
      </c>
      <c r="K6" s="361">
        <f ca="1">MAX(Table10[[#This Row],[HH]]*VLOOKUP("Winter Clothes Children ",NFI,6)-Table10[[#This Row],[Winter Clothes Children ]],0)</f>
        <v>143</v>
      </c>
      <c r="L6" s="361">
        <f ca="1">MAX(Table10[[#This Row],[HH]]*VLOOKUP("Winter Items Other ",NFI,6)-Table10[[#This Row],[Winter Items Other ]],0)</f>
        <v>143</v>
      </c>
      <c r="M6" s="394" t="str">
        <f>IF(OR(Table10[[#This Row],[Winter Clothes Adult ]]&lt;&gt;0,Table10[[#This Row],[Winter Clothes Children ]]&lt;&gt;0,Table10[[#This Row],[Winter Items Other ]]&lt;&gt;0),"No","")</f>
        <v/>
      </c>
      <c r="N6" s="395">
        <f>COUNTIF(A:A,Table10[[#This Row],[Pcode]])-1</f>
        <v>0</v>
      </c>
    </row>
    <row r="7" spans="1:20" x14ac:dyDescent="0.25">
      <c r="A7" s="320" t="s">
        <v>1023</v>
      </c>
      <c r="B7" s="26" t="str">
        <f ca="1">OFFSET(CampList[Priority],MATCH(Table10[[#This Row],[Pcode]],CampList[CP_Pcode],0)-1,0,1,1)</f>
        <v>P1</v>
      </c>
      <c r="C7" s="26" t="str">
        <f ca="1">OFFSET(CampList[Camp],MATCH(Table10[[#This Row],[Pcode]],CampList[CP_Pcode],0)-1,0,1,1)</f>
        <v>Saw Zam</v>
      </c>
      <c r="D7" s="26" t="str">
        <f ca="1">OFFSET(CampList[Township],MATCH(Table10[[#This Row],[Pcode]],CampList[CP_Pcode],0)-1,0,1,1)</f>
        <v>Chipwi</v>
      </c>
      <c r="E7" s="26">
        <f ca="1">OFFSET(CampList[HH],MATCH(Table10[[#This Row],[Pcode]],CampList[CP_Pcode],0)-1,0,1,1)</f>
        <v>30</v>
      </c>
      <c r="F7" s="26">
        <f ca="1">OFFSET(CampList[Total],MATCH(Table10[[#This Row],[Pcode]],CampList[CP_Pcode],0)-1,0,1,1)</f>
        <v>174</v>
      </c>
      <c r="G7" s="361">
        <f>SUMIF('NFI Tracking'!AO$11:AO$1048576,Table10[[#This Row],[Pcode]],'NFI Tracking'!AI$11:AI$1048576)</f>
        <v>0</v>
      </c>
      <c r="H7" s="361">
        <f>SUMIF('NFI Tracking'!AO$11:AO$1048576,Table10[[#This Row],[Pcode]],'NFI Tracking'!AJ$11:AJ$1048576)</f>
        <v>0</v>
      </c>
      <c r="I7" s="361">
        <f>SUMIF('NFI Tracking'!AO$11:AO$1048576,Table10[[#This Row],[Pcode]],'NFI Tracking'!AK$11:AK$1048576)</f>
        <v>0</v>
      </c>
      <c r="J7" s="361">
        <f ca="1">MAX(Table10[[#This Row],[HH]]*VLOOKUP("Winter Clothes Adult",NFI,6)-Table10[[#This Row],[Winter Clothes Adult ]],0)</f>
        <v>60</v>
      </c>
      <c r="K7" s="361">
        <f ca="1">MAX(Table10[[#This Row],[HH]]*VLOOKUP("Winter Clothes Children ",NFI,6)-Table10[[#This Row],[Winter Clothes Children ]],0)</f>
        <v>30</v>
      </c>
      <c r="L7" s="361">
        <f ca="1">MAX(Table10[[#This Row],[HH]]*VLOOKUP("Winter Items Other ",NFI,6)-Table10[[#This Row],[Winter Items Other ]],0)</f>
        <v>30</v>
      </c>
      <c r="M7" s="394" t="str">
        <f>IF(OR(Table10[[#This Row],[Winter Clothes Adult ]]&lt;&gt;0,Table10[[#This Row],[Winter Clothes Children ]]&lt;&gt;0,Table10[[#This Row],[Winter Items Other ]]&lt;&gt;0),"No","")</f>
        <v/>
      </c>
      <c r="N7" s="395">
        <f>COUNTIF(A:A,Table10[[#This Row],[Pcode]])-1</f>
        <v>0</v>
      </c>
    </row>
    <row r="8" spans="1:20" x14ac:dyDescent="0.25">
      <c r="A8" s="320" t="s">
        <v>865</v>
      </c>
      <c r="B8" s="26" t="str">
        <f ca="1">OFFSET(CampList[Priority],MATCH(Table10[[#This Row],[Pcode]],CampList[CP_Pcode],0)-1,0,1,1)</f>
        <v>P1</v>
      </c>
      <c r="C8" s="26" t="str">
        <f ca="1">OFFSET(CampList[Camp],MATCH(Table10[[#This Row],[Pcode]],CampList[CP_Pcode],0)-1,0,1,1)</f>
        <v>Pan Wa</v>
      </c>
      <c r="D8" s="26" t="str">
        <f ca="1">OFFSET(CampList[Township],MATCH(Table10[[#This Row],[Pcode]],CampList[CP_Pcode],0)-1,0,1,1)</f>
        <v>Chipwi</v>
      </c>
      <c r="E8" s="26">
        <f ca="1">OFFSET(CampList[HH],MATCH(Table10[[#This Row],[Pcode]],CampList[CP_Pcode],0)-1,0,1,1)</f>
        <v>60</v>
      </c>
      <c r="F8" s="26">
        <f ca="1">OFFSET(CampList[Total],MATCH(Table10[[#This Row],[Pcode]],CampList[CP_Pcode],0)-1,0,1,1)</f>
        <v>275</v>
      </c>
      <c r="G8" s="361">
        <f>SUMIF('NFI Tracking'!AO$11:AO$1048576,Table10[[#This Row],[Pcode]],'NFI Tracking'!AI$11:AI$1048576)</f>
        <v>0</v>
      </c>
      <c r="H8" s="361">
        <f>SUMIF('NFI Tracking'!AO$11:AO$1048576,Table10[[#This Row],[Pcode]],'NFI Tracking'!AJ$11:AJ$1048576)</f>
        <v>0</v>
      </c>
      <c r="I8" s="361">
        <f>SUMIF('NFI Tracking'!AO$11:AO$1048576,Table10[[#This Row],[Pcode]],'NFI Tracking'!AK$11:AK$1048576)</f>
        <v>0</v>
      </c>
      <c r="J8" s="361">
        <f ca="1">MAX(Table10[[#This Row],[HH]]*VLOOKUP("Winter Clothes Adult",NFI,6)-Table10[[#This Row],[Winter Clothes Adult ]],0)</f>
        <v>120</v>
      </c>
      <c r="K8" s="361">
        <f ca="1">MAX(Table10[[#This Row],[HH]]*VLOOKUP("Winter Clothes Children ",NFI,6)-Table10[[#This Row],[Winter Clothes Children ]],0)</f>
        <v>60</v>
      </c>
      <c r="L8" s="361">
        <f ca="1">MAX(Table10[[#This Row],[HH]]*VLOOKUP("Winter Items Other ",NFI,6)-Table10[[#This Row],[Winter Items Other ]],0)</f>
        <v>60</v>
      </c>
      <c r="M8" s="394" t="str">
        <f>IF(OR(Table10[[#This Row],[Winter Clothes Adult ]]&lt;&gt;0,Table10[[#This Row],[Winter Clothes Children ]]&lt;&gt;0,Table10[[#This Row],[Winter Items Other ]]&lt;&gt;0),"No","")</f>
        <v/>
      </c>
      <c r="N8" s="395">
        <f>COUNTIF(A:A,Table10[[#This Row],[Pcode]])-1</f>
        <v>0</v>
      </c>
    </row>
    <row r="9" spans="1:20" x14ac:dyDescent="0.25">
      <c r="A9" s="320" t="s">
        <v>335</v>
      </c>
      <c r="B9" s="26" t="str">
        <f ca="1">OFFSET(CampList[Priority],MATCH(Table10[[#This Row],[Pcode]],CampList[CP_Pcode],0)-1,0,1,1)</f>
        <v>P1</v>
      </c>
      <c r="C9" s="26" t="str">
        <f ca="1">OFFSET(CampList[Camp],MATCH(Table10[[#This Row],[Pcode]],CampList[CP_Pcode],0)-1,0,1,1)</f>
        <v>Hkau Shau (BP 12)</v>
      </c>
      <c r="D9" s="26" t="str">
        <f ca="1">OFFSET(CampList[Township],MATCH(Table10[[#This Row],[Pcode]],CampList[CP_Pcode],0)-1,0,1,1)</f>
        <v>Waingmaw</v>
      </c>
      <c r="E9" s="26">
        <f ca="1">OFFSET(CampList[HH],MATCH(Table10[[#This Row],[Pcode]],CampList[CP_Pcode],0)-1,0,1,1)</f>
        <v>146</v>
      </c>
      <c r="F9" s="26">
        <f ca="1">OFFSET(CampList[Total],MATCH(Table10[[#This Row],[Pcode]],CampList[CP_Pcode],0)-1,0,1,1)</f>
        <v>1072</v>
      </c>
      <c r="G9" s="361">
        <f>SUMIF('NFI Tracking'!AO$11:AO$1048576,Table10[[#This Row],[Pcode]],'NFI Tracking'!AI$11:AI$1048576)</f>
        <v>0</v>
      </c>
      <c r="H9" s="361">
        <f>SUMIF('NFI Tracking'!AO$11:AO$1048576,Table10[[#This Row],[Pcode]],'NFI Tracking'!AJ$11:AJ$1048576)</f>
        <v>0</v>
      </c>
      <c r="I9" s="361">
        <f>SUMIF('NFI Tracking'!AO$11:AO$1048576,Table10[[#This Row],[Pcode]],'NFI Tracking'!AK$11:AK$1048576)</f>
        <v>0</v>
      </c>
      <c r="J9" s="361">
        <f ca="1">MAX(Table10[[#This Row],[HH]]*VLOOKUP("Winter Clothes Adult",NFI,6)-Table10[[#This Row],[Winter Clothes Adult ]],0)</f>
        <v>292</v>
      </c>
      <c r="K9" s="361">
        <f ca="1">MAX(Table10[[#This Row],[HH]]*VLOOKUP("Winter Clothes Children ",NFI,6)-Table10[[#This Row],[Winter Clothes Children ]],0)</f>
        <v>146</v>
      </c>
      <c r="L9" s="361">
        <f ca="1">MAX(Table10[[#This Row],[HH]]*VLOOKUP("Winter Items Other ",NFI,6)-Table10[[#This Row],[Winter Items Other ]],0)</f>
        <v>146</v>
      </c>
      <c r="M9" s="394" t="str">
        <f>IF(OR(Table10[[#This Row],[Winter Clothes Adult ]]&lt;&gt;0,Table10[[#This Row],[Winter Clothes Children ]]&lt;&gt;0,Table10[[#This Row],[Winter Items Other ]]&lt;&gt;0),"No","")</f>
        <v/>
      </c>
      <c r="N9" s="395">
        <f>COUNTIF(A:A,Table10[[#This Row],[Pcode]])-1</f>
        <v>0</v>
      </c>
    </row>
    <row r="10" spans="1:20" x14ac:dyDescent="0.25">
      <c r="A10" s="320" t="s">
        <v>345</v>
      </c>
      <c r="B10" s="26" t="str">
        <f ca="1">OFFSET(CampList[Priority],MATCH(Table10[[#This Row],[Pcode]],CampList[CP_Pcode],0)-1,0,1,1)</f>
        <v>P1</v>
      </c>
      <c r="C10" s="26" t="str">
        <f ca="1">OFFSET(CampList[Camp],MATCH(Table10[[#This Row],[Pcode]],CampList[CP_Pcode],0)-1,0,1,1)</f>
        <v>Pajau - Jan Mai</v>
      </c>
      <c r="D10" s="26" t="str">
        <f ca="1">OFFSET(CampList[Township],MATCH(Table10[[#This Row],[Pcode]],CampList[CP_Pcode],0)-1,0,1,1)</f>
        <v>Waingmaw</v>
      </c>
      <c r="E10" s="26">
        <f ca="1">OFFSET(CampList[HH],MATCH(Table10[[#This Row],[Pcode]],CampList[CP_Pcode],0)-1,0,1,1)</f>
        <v>178</v>
      </c>
      <c r="F10" s="26">
        <f ca="1">OFFSET(CampList[Total],MATCH(Table10[[#This Row],[Pcode]],CampList[CP_Pcode],0)-1,0,1,1)</f>
        <v>850</v>
      </c>
      <c r="G10" s="361">
        <f>SUMIF('NFI Tracking'!AO$11:AO$1048576,Table10[[#This Row],[Pcode]],'NFI Tracking'!AI$11:AI$1048576)</f>
        <v>330</v>
      </c>
      <c r="H10" s="361">
        <f>SUMIF('NFI Tracking'!AO$11:AO$1048576,Table10[[#This Row],[Pcode]],'NFI Tracking'!AJ$11:AJ$1048576)</f>
        <v>1000</v>
      </c>
      <c r="I10" s="361">
        <f>SUMIF('NFI Tracking'!AO$11:AO$1048576,Table10[[#This Row],[Pcode]],'NFI Tracking'!AK$11:AK$1048576)</f>
        <v>0</v>
      </c>
      <c r="J10" s="361">
        <f ca="1">MAX(Table10[[#This Row],[HH]]*VLOOKUP("Winter Clothes Adult",NFI,6)-Table10[[#This Row],[Winter Clothes Adult ]],0)</f>
        <v>26</v>
      </c>
      <c r="K10" s="361">
        <f ca="1">MAX(Table10[[#This Row],[HH]]*VLOOKUP("Winter Clothes Children ",NFI,6)-Table10[[#This Row],[Winter Clothes Children ]],0)</f>
        <v>0</v>
      </c>
      <c r="L10" s="361">
        <f ca="1">MAX(Table10[[#This Row],[HH]]*VLOOKUP("Winter Items Other ",NFI,6)-Table10[[#This Row],[Winter Items Other ]],0)</f>
        <v>178</v>
      </c>
      <c r="M10" s="394" t="str">
        <f>IF(OR(Table10[[#This Row],[Winter Clothes Adult ]]&lt;&gt;0,Table10[[#This Row],[Winter Clothes Children ]]&lt;&gt;0,Table10[[#This Row],[Winter Items Other ]]&lt;&gt;0),"No","")</f>
        <v>No</v>
      </c>
      <c r="N10" s="395">
        <f>COUNTIF(A:A,Table10[[#This Row],[Pcode]])-1</f>
        <v>0</v>
      </c>
    </row>
    <row r="11" spans="1:20" x14ac:dyDescent="0.25">
      <c r="A11" s="320" t="s">
        <v>354</v>
      </c>
      <c r="B11" s="26" t="str">
        <f ca="1">OFFSET(CampList[Priority],MATCH(Table10[[#This Row],[Pcode]],CampList[CP_Pcode],0)-1,0,1,1)</f>
        <v>P1</v>
      </c>
      <c r="C11" s="26" t="str">
        <f ca="1">OFFSET(CampList[Camp],MATCH(Table10[[#This Row],[Pcode]],CampList[CP_Pcode],0)-1,0,1,1)</f>
        <v>Post 6 Camp</v>
      </c>
      <c r="D11" s="26" t="str">
        <f ca="1">OFFSET(CampList[Township],MATCH(Table10[[#This Row],[Pcode]],CampList[CP_Pcode],0)-1,0,1,1)</f>
        <v>Waingmaw</v>
      </c>
      <c r="E11" s="26">
        <f ca="1">OFFSET(CampList[HH],MATCH(Table10[[#This Row],[Pcode]],CampList[CP_Pcode],0)-1,0,1,1)</f>
        <v>98</v>
      </c>
      <c r="F11" s="26">
        <f ca="1">OFFSET(CampList[Total],MATCH(Table10[[#This Row],[Pcode]],CampList[CP_Pcode],0)-1,0,1,1)</f>
        <v>554</v>
      </c>
      <c r="G11" s="361">
        <f>SUMIF('NFI Tracking'!AO$11:AO$1048576,Table10[[#This Row],[Pcode]],'NFI Tracking'!AI$11:AI$1048576)</f>
        <v>0</v>
      </c>
      <c r="H11" s="361">
        <f>SUMIF('NFI Tracking'!AO$11:AO$1048576,Table10[[#This Row],[Pcode]],'NFI Tracking'!AJ$11:AJ$1048576)</f>
        <v>0</v>
      </c>
      <c r="I11" s="361">
        <f>SUMIF('NFI Tracking'!AO$11:AO$1048576,Table10[[#This Row],[Pcode]],'NFI Tracking'!AK$11:AK$1048576)</f>
        <v>0</v>
      </c>
      <c r="J11" s="361">
        <f ca="1">MAX(Table10[[#This Row],[HH]]*VLOOKUP("Winter Clothes Adult",NFI,6)-Table10[[#This Row],[Winter Clothes Adult ]],0)</f>
        <v>196</v>
      </c>
      <c r="K11" s="361">
        <f ca="1">MAX(Table10[[#This Row],[HH]]*VLOOKUP("Winter Clothes Children ",NFI,6)-Table10[[#This Row],[Winter Clothes Children ]],0)</f>
        <v>98</v>
      </c>
      <c r="L11" s="361">
        <f ca="1">MAX(Table10[[#This Row],[HH]]*VLOOKUP("Winter Items Other ",NFI,6)-Table10[[#This Row],[Winter Items Other ]],0)</f>
        <v>98</v>
      </c>
      <c r="M11" s="394" t="str">
        <f>IF(OR(Table10[[#This Row],[Winter Clothes Adult ]]&lt;&gt;0,Table10[[#This Row],[Winter Clothes Children ]]&lt;&gt;0,Table10[[#This Row],[Winter Items Other ]]&lt;&gt;0),"No","")</f>
        <v/>
      </c>
      <c r="N11" s="395">
        <f>COUNTIF(A:A,Table10[[#This Row],[Pcode]])-1</f>
        <v>0</v>
      </c>
    </row>
    <row r="12" spans="1:20" x14ac:dyDescent="0.25">
      <c r="A12" s="320" t="s">
        <v>333</v>
      </c>
      <c r="B12" s="26" t="str">
        <f ca="1">OFFSET(CampList[Priority],MATCH(Table10[[#This Row],[Pcode]],CampList[CP_Pcode],0)-1,0,1,1)</f>
        <v>P1</v>
      </c>
      <c r="C12" s="26" t="str">
        <f ca="1">OFFSET(CampList[Camp],MATCH(Table10[[#This Row],[Pcode]],CampList[CP_Pcode],0)-1,0,1,1)</f>
        <v>Border Post 8</v>
      </c>
      <c r="D12" s="26" t="str">
        <f ca="1">OFFSET(CampList[Township],MATCH(Table10[[#This Row],[Pcode]],CampList[CP_Pcode],0)-1,0,1,1)</f>
        <v>Waingmaw</v>
      </c>
      <c r="E12" s="26">
        <f ca="1">OFFSET(CampList[HH],MATCH(Table10[[#This Row],[Pcode]],CampList[CP_Pcode],0)-1,0,1,1)</f>
        <v>155</v>
      </c>
      <c r="F12" s="26">
        <f ca="1">OFFSET(CampList[Total],MATCH(Table10[[#This Row],[Pcode]],CampList[CP_Pcode],0)-1,0,1,1)</f>
        <v>665</v>
      </c>
      <c r="G12" s="361">
        <f>SUMIF('NFI Tracking'!AO$11:AO$1048576,Table10[[#This Row],[Pcode]],'NFI Tracking'!AI$11:AI$1048576)</f>
        <v>0</v>
      </c>
      <c r="H12" s="361">
        <f>SUMIF('NFI Tracking'!AO$11:AO$1048576,Table10[[#This Row],[Pcode]],'NFI Tracking'!AJ$11:AJ$1048576)</f>
        <v>0</v>
      </c>
      <c r="I12" s="361">
        <f>SUMIF('NFI Tracking'!AO$11:AO$1048576,Table10[[#This Row],[Pcode]],'NFI Tracking'!AK$11:AK$1048576)</f>
        <v>0</v>
      </c>
      <c r="J12" s="361">
        <f ca="1">MAX(Table10[[#This Row],[HH]]*VLOOKUP("Winter Clothes Adult",NFI,6)-Table10[[#This Row],[Winter Clothes Adult ]],0)</f>
        <v>310</v>
      </c>
      <c r="K12" s="361">
        <f ca="1">MAX(Table10[[#This Row],[HH]]*VLOOKUP("Winter Clothes Children ",NFI,6)-Table10[[#This Row],[Winter Clothes Children ]],0)</f>
        <v>155</v>
      </c>
      <c r="L12" s="361">
        <f ca="1">MAX(Table10[[#This Row],[HH]]*VLOOKUP("Winter Items Other ",NFI,6)-Table10[[#This Row],[Winter Items Other ]],0)</f>
        <v>155</v>
      </c>
      <c r="M12" s="394" t="str">
        <f>IF(OR(Table10[[#This Row],[Winter Clothes Adult ]]&lt;&gt;0,Table10[[#This Row],[Winter Clothes Children ]]&lt;&gt;0,Table10[[#This Row],[Winter Items Other ]]&lt;&gt;0),"No","")</f>
        <v/>
      </c>
      <c r="N12" s="395">
        <f>COUNTIF(A:A,Table10[[#This Row],[Pcode]])-1</f>
        <v>0</v>
      </c>
    </row>
    <row r="13" spans="1:20" x14ac:dyDescent="0.25">
      <c r="A13" s="320" t="s">
        <v>346</v>
      </c>
      <c r="B13" s="26" t="str">
        <f ca="1">OFFSET(CampList[Priority],MATCH(Table10[[#This Row],[Pcode]],CampList[CP_Pcode],0)-1,0,1,1)</f>
        <v>P1</v>
      </c>
      <c r="C13" s="26" t="str">
        <f ca="1">OFFSET(CampList[Camp],MATCH(Table10[[#This Row],[Pcode]],CampList[CP_Pcode],0)-1,0,1,1)</f>
        <v>Shing Jai</v>
      </c>
      <c r="D13" s="26" t="str">
        <f ca="1">OFFSET(CampList[Township],MATCH(Table10[[#This Row],[Pcode]],CampList[CP_Pcode],0)-1,0,1,1)</f>
        <v>Waingmaw</v>
      </c>
      <c r="E13" s="26">
        <f ca="1">OFFSET(CampList[HH],MATCH(Table10[[#This Row],[Pcode]],CampList[CP_Pcode],0)-1,0,1,1)</f>
        <v>179</v>
      </c>
      <c r="F13" s="26">
        <f ca="1">OFFSET(CampList[Total],MATCH(Table10[[#This Row],[Pcode]],CampList[CP_Pcode],0)-1,0,1,1)</f>
        <v>940</v>
      </c>
      <c r="G13" s="361">
        <f>SUMIF('NFI Tracking'!AO$11:AO$1048576,Table10[[#This Row],[Pcode]],'NFI Tracking'!AI$11:AI$1048576)</f>
        <v>0</v>
      </c>
      <c r="H13" s="361">
        <f>SUMIF('NFI Tracking'!AO$11:AO$1048576,Table10[[#This Row],[Pcode]],'NFI Tracking'!AJ$11:AJ$1048576)</f>
        <v>0</v>
      </c>
      <c r="I13" s="361">
        <f>SUMIF('NFI Tracking'!AO$11:AO$1048576,Table10[[#This Row],[Pcode]],'NFI Tracking'!AK$11:AK$1048576)</f>
        <v>0</v>
      </c>
      <c r="J13" s="361">
        <f ca="1">MAX(Table10[[#This Row],[HH]]*VLOOKUP("Winter Clothes Adult",NFI,6)-Table10[[#This Row],[Winter Clothes Adult ]],0)</f>
        <v>358</v>
      </c>
      <c r="K13" s="361">
        <f ca="1">MAX(Table10[[#This Row],[HH]]*VLOOKUP("Winter Clothes Children ",NFI,6)-Table10[[#This Row],[Winter Clothes Children ]],0)</f>
        <v>179</v>
      </c>
      <c r="L13" s="361">
        <f ca="1">MAX(Table10[[#This Row],[HH]]*VLOOKUP("Winter Items Other ",NFI,6)-Table10[[#This Row],[Winter Items Other ]],0)</f>
        <v>179</v>
      </c>
      <c r="M13" s="394" t="str">
        <f>IF(OR(Table10[[#This Row],[Winter Clothes Adult ]]&lt;&gt;0,Table10[[#This Row],[Winter Clothes Children ]]&lt;&gt;0,Table10[[#This Row],[Winter Items Other ]]&lt;&gt;0),"No","")</f>
        <v/>
      </c>
      <c r="N13" s="395">
        <f>COUNTIF(A:A,Table10[[#This Row],[Pcode]])-1</f>
        <v>0</v>
      </c>
    </row>
    <row r="14" spans="1:20" x14ac:dyDescent="0.25">
      <c r="A14" s="320" t="s">
        <v>214</v>
      </c>
      <c r="B14" s="26" t="str">
        <f ca="1">OFFSET(CampList[Priority],MATCH(Table10[[#This Row],[Pcode]],CampList[CP_Pcode],0)-1,0,1,1)</f>
        <v>P1</v>
      </c>
      <c r="C14" s="26" t="str">
        <f ca="1">OFFSET(CampList[Camp],MATCH(Table10[[#This Row],[Pcode]],CampList[CP_Pcode],0)-1,0,1,1)</f>
        <v xml:space="preserve">Nhkawng Pa </v>
      </c>
      <c r="D14" s="26" t="str">
        <f ca="1">OFFSET(CampList[Township],MATCH(Table10[[#This Row],[Pcode]],CampList[CP_Pcode],0)-1,0,1,1)</f>
        <v>Momauk</v>
      </c>
      <c r="E14" s="26">
        <f ca="1">OFFSET(CampList[HH],MATCH(Table10[[#This Row],[Pcode]],CampList[CP_Pcode],0)-1,0,1,1)</f>
        <v>375</v>
      </c>
      <c r="F14" s="26">
        <f ca="1">OFFSET(CampList[Total],MATCH(Table10[[#This Row],[Pcode]],CampList[CP_Pcode],0)-1,0,1,1)</f>
        <v>1598</v>
      </c>
      <c r="G14" s="361">
        <f>SUMIF('NFI Tracking'!AO$11:AO$1048576,Table10[[#This Row],[Pcode]],'NFI Tracking'!AI$11:AI$1048576)</f>
        <v>0</v>
      </c>
      <c r="H14" s="361">
        <f>SUMIF('NFI Tracking'!AO$11:AO$1048576,Table10[[#This Row],[Pcode]],'NFI Tracking'!AJ$11:AJ$1048576)</f>
        <v>0</v>
      </c>
      <c r="I14" s="361">
        <f>SUMIF('NFI Tracking'!AO$11:AO$1048576,Table10[[#This Row],[Pcode]],'NFI Tracking'!AK$11:AK$1048576)</f>
        <v>0</v>
      </c>
      <c r="J14" s="361">
        <f ca="1">MAX(Table10[[#This Row],[HH]]*VLOOKUP("Winter Clothes Adult",NFI,6)-Table10[[#This Row],[Winter Clothes Adult ]],0)</f>
        <v>750</v>
      </c>
      <c r="K14" s="361">
        <f ca="1">MAX(Table10[[#This Row],[HH]]*VLOOKUP("Winter Clothes Children ",NFI,6)-Table10[[#This Row],[Winter Clothes Children ]],0)</f>
        <v>375</v>
      </c>
      <c r="L14" s="361">
        <f ca="1">MAX(Table10[[#This Row],[HH]]*VLOOKUP("Winter Items Other ",NFI,6)-Table10[[#This Row],[Winter Items Other ]],0)</f>
        <v>375</v>
      </c>
      <c r="M14" s="394" t="str">
        <f>IF(OR(Table10[[#This Row],[Winter Clothes Adult ]]&lt;&gt;0,Table10[[#This Row],[Winter Clothes Children ]]&lt;&gt;0,Table10[[#This Row],[Winter Items Other ]]&lt;&gt;0),"No","")</f>
        <v/>
      </c>
      <c r="N14" s="395">
        <f>COUNTIF(A:A,Table10[[#This Row],[Pcode]])-1</f>
        <v>0</v>
      </c>
    </row>
    <row r="15" spans="1:20" x14ac:dyDescent="0.25">
      <c r="A15" s="320" t="s">
        <v>147</v>
      </c>
      <c r="B15" s="26" t="str">
        <f ca="1">OFFSET(CampList[Priority],MATCH(Table10[[#This Row],[Pcode]],CampList[CP_Pcode],0)-1,0,1,1)</f>
        <v>P1</v>
      </c>
      <c r="C15" s="26" t="str">
        <f ca="1">OFFSET(CampList[Camp],MATCH(Table10[[#This Row],[Pcode]],CampList[CP_Pcode],0)-1,0,1,1)</f>
        <v xml:space="preserve">Mungji Pa Dabang (Baptist Church)         </v>
      </c>
      <c r="D15" s="26" t="str">
        <f ca="1">OFFSET(CampList[Township],MATCH(Table10[[#This Row],[Pcode]],CampList[CP_Pcode],0)-1,0,1,1)</f>
        <v>Kutkai</v>
      </c>
      <c r="E15" s="26">
        <f ca="1">OFFSET(CampList[HH],MATCH(Table10[[#This Row],[Pcode]],CampList[CP_Pcode],0)-1,0,1,1)</f>
        <v>49</v>
      </c>
      <c r="F15" s="26">
        <f ca="1">OFFSET(CampList[Total],MATCH(Table10[[#This Row],[Pcode]],CampList[CP_Pcode],0)-1,0,1,1)</f>
        <v>261</v>
      </c>
      <c r="G15" s="361">
        <f>SUMIF('NFI Tracking'!AO$11:AO$1048576,Table10[[#This Row],[Pcode]],'NFI Tracking'!AI$11:AI$1048576)</f>
        <v>0</v>
      </c>
      <c r="H15" s="361">
        <f>SUMIF('NFI Tracking'!AO$11:AO$1048576,Table10[[#This Row],[Pcode]],'NFI Tracking'!AJ$11:AJ$1048576)</f>
        <v>0</v>
      </c>
      <c r="I15" s="361">
        <f>SUMIF('NFI Tracking'!AO$11:AO$1048576,Table10[[#This Row],[Pcode]],'NFI Tracking'!AK$11:AK$1048576)</f>
        <v>0</v>
      </c>
      <c r="J15" s="361">
        <f ca="1">MAX(Table10[[#This Row],[HH]]*VLOOKUP("Winter Clothes Adult",NFI,6)-Table10[[#This Row],[Winter Clothes Adult ]],0)</f>
        <v>98</v>
      </c>
      <c r="K15" s="361">
        <f ca="1">MAX(Table10[[#This Row],[HH]]*VLOOKUP("Winter Clothes Children ",NFI,6)-Table10[[#This Row],[Winter Clothes Children ]],0)</f>
        <v>49</v>
      </c>
      <c r="L15" s="361">
        <f ca="1">MAX(Table10[[#This Row],[HH]]*VLOOKUP("Winter Items Other ",NFI,6)-Table10[[#This Row],[Winter Items Other ]],0)</f>
        <v>49</v>
      </c>
      <c r="M15" s="394" t="str">
        <f>IF(OR(Table10[[#This Row],[Winter Clothes Adult ]]&lt;&gt;0,Table10[[#This Row],[Winter Clothes Children ]]&lt;&gt;0,Table10[[#This Row],[Winter Items Other ]]&lt;&gt;0),"No","")</f>
        <v/>
      </c>
      <c r="N15" s="395">
        <f>COUNTIF(A:A,Table10[[#This Row],[Pcode]])-1</f>
        <v>0</v>
      </c>
    </row>
    <row r="16" spans="1:20" x14ac:dyDescent="0.25">
      <c r="A16" s="320" t="s">
        <v>234</v>
      </c>
      <c r="B16" s="26" t="str">
        <f ca="1">OFFSET(CampList[Priority],MATCH(Table10[[#This Row],[Pcode]],CampList[CP_Pcode],0)-1,0,1,1)</f>
        <v>P1</v>
      </c>
      <c r="C16" s="26" t="str">
        <f ca="1">OFFSET(CampList[Camp],MATCH(Table10[[#This Row],[Pcode]],CampList[CP_Pcode],0)-1,0,1,1)</f>
        <v xml:space="preserve">Mung Baw </v>
      </c>
      <c r="D16" s="26" t="str">
        <f ca="1">OFFSET(CampList[Township],MATCH(Table10[[#This Row],[Pcode]],CampList[CP_Pcode],0)-1,0,1,1)</f>
        <v>Muse</v>
      </c>
      <c r="E16" s="26">
        <f ca="1">OFFSET(CampList[HH],MATCH(Table10[[#This Row],[Pcode]],CampList[CP_Pcode],0)-1,0,1,1)</f>
        <v>123</v>
      </c>
      <c r="F16" s="26">
        <f ca="1">OFFSET(CampList[Total],MATCH(Table10[[#This Row],[Pcode]],CampList[CP_Pcode],0)-1,0,1,1)</f>
        <v>503</v>
      </c>
      <c r="G16" s="361">
        <f>SUMIF('NFI Tracking'!AO$11:AO$1048576,Table10[[#This Row],[Pcode]],'NFI Tracking'!AI$11:AI$1048576)</f>
        <v>0</v>
      </c>
      <c r="H16" s="361">
        <f>SUMIF('NFI Tracking'!AO$11:AO$1048576,Table10[[#This Row],[Pcode]],'NFI Tracking'!AJ$11:AJ$1048576)</f>
        <v>0</v>
      </c>
      <c r="I16" s="361">
        <f>SUMIF('NFI Tracking'!AO$11:AO$1048576,Table10[[#This Row],[Pcode]],'NFI Tracking'!AK$11:AK$1048576)</f>
        <v>0</v>
      </c>
      <c r="J16" s="361">
        <f ca="1">MAX(Table10[[#This Row],[HH]]*VLOOKUP("Winter Clothes Adult",NFI,6)-Table10[[#This Row],[Winter Clothes Adult ]],0)</f>
        <v>246</v>
      </c>
      <c r="K16" s="361">
        <f ca="1">MAX(Table10[[#This Row],[HH]]*VLOOKUP("Winter Clothes Children ",NFI,6)-Table10[[#This Row],[Winter Clothes Children ]],0)</f>
        <v>123</v>
      </c>
      <c r="L16" s="361">
        <f ca="1">MAX(Table10[[#This Row],[HH]]*VLOOKUP("Winter Items Other ",NFI,6)-Table10[[#This Row],[Winter Items Other ]],0)</f>
        <v>123</v>
      </c>
      <c r="M16" s="394" t="str">
        <f>IF(OR(Table10[[#This Row],[Winter Clothes Adult ]]&lt;&gt;0,Table10[[#This Row],[Winter Clothes Children ]]&lt;&gt;0,Table10[[#This Row],[Winter Items Other ]]&lt;&gt;0),"No","")</f>
        <v/>
      </c>
      <c r="N16" s="395">
        <f>COUNTIF(A:A,Table10[[#This Row],[Pcode]])-1</f>
        <v>0</v>
      </c>
      <c r="Q16" s="360" t="s">
        <v>415</v>
      </c>
      <c r="R16" s="26" t="s">
        <v>1088</v>
      </c>
      <c r="S16" s="26" t="s">
        <v>1089</v>
      </c>
      <c r="T16" s="26" t="s">
        <v>1090</v>
      </c>
    </row>
    <row r="17" spans="1:20" x14ac:dyDescent="0.25">
      <c r="A17" s="320" t="s">
        <v>232</v>
      </c>
      <c r="B17" s="26" t="str">
        <f ca="1">OFFSET(CampList[Priority],MATCH(Table10[[#This Row],[Pcode]],CampList[CP_Pcode],0)-1,0,1,1)</f>
        <v>P1</v>
      </c>
      <c r="C17" s="26" t="str">
        <f ca="1">OFFSET(CampList[Camp],MATCH(Table10[[#This Row],[Pcode]],CampList[CP_Pcode],0)-1,0,1,1)</f>
        <v xml:space="preserve">Munekoe Pa (Giwang) - Hka San (Mung  Go  Pa ) </v>
      </c>
      <c r="D17" s="26" t="str">
        <f ca="1">OFFSET(CampList[Township],MATCH(Table10[[#This Row],[Pcode]],CampList[CP_Pcode],0)-1,0,1,1)</f>
        <v>Muse</v>
      </c>
      <c r="E17" s="26">
        <f ca="1">OFFSET(CampList[HH],MATCH(Table10[[#This Row],[Pcode]],CampList[CP_Pcode],0)-1,0,1,1)</f>
        <v>0</v>
      </c>
      <c r="F17" s="26">
        <f ca="1">OFFSET(CampList[Total],MATCH(Table10[[#This Row],[Pcode]],CampList[CP_Pcode],0)-1,0,1,1)</f>
        <v>0</v>
      </c>
      <c r="G17" s="361">
        <f>SUMIF('NFI Tracking'!AO$11:AO$1048576,Table10[[#This Row],[Pcode]],'NFI Tracking'!AI$11:AI$1048576)</f>
        <v>0</v>
      </c>
      <c r="H17" s="361">
        <f>SUMIF('NFI Tracking'!AO$11:AO$1048576,Table10[[#This Row],[Pcode]],'NFI Tracking'!AJ$11:AJ$1048576)</f>
        <v>0</v>
      </c>
      <c r="I17" s="361">
        <f>SUMIF('NFI Tracking'!AO$11:AO$1048576,Table10[[#This Row],[Pcode]],'NFI Tracking'!AK$11:AK$1048576)</f>
        <v>0</v>
      </c>
      <c r="J17" s="361">
        <f ca="1">MAX(Table10[[#This Row],[HH]]*VLOOKUP("Winter Clothes Adult",NFI,6)-Table10[[#This Row],[Winter Clothes Adult ]],0)</f>
        <v>0</v>
      </c>
      <c r="K17" s="361">
        <f ca="1">MAX(Table10[[#This Row],[HH]]*VLOOKUP("Winter Clothes Children ",NFI,6)-Table10[[#This Row],[Winter Clothes Children ]],0)</f>
        <v>0</v>
      </c>
      <c r="L17" s="361">
        <f ca="1">MAX(Table10[[#This Row],[HH]]*VLOOKUP("Winter Items Other ",NFI,6)-Table10[[#This Row],[Winter Items Other ]],0)</f>
        <v>0</v>
      </c>
      <c r="M17" s="394" t="str">
        <f>IF(OR(Table10[[#This Row],[Winter Clothes Adult ]]&lt;&gt;0,Table10[[#This Row],[Winter Clothes Children ]]&lt;&gt;0,Table10[[#This Row],[Winter Items Other ]]&lt;&gt;0),"No","")</f>
        <v/>
      </c>
      <c r="N17" s="395">
        <f>COUNTIF(A:A,Table10[[#This Row],[Pcode]])-1</f>
        <v>0</v>
      </c>
      <c r="Q17" s="359" t="s">
        <v>1080</v>
      </c>
      <c r="R17" s="363">
        <v>1982</v>
      </c>
      <c r="S17" s="363">
        <v>3386</v>
      </c>
      <c r="T17" s="363">
        <v>3902</v>
      </c>
    </row>
    <row r="18" spans="1:20" x14ac:dyDescent="0.25">
      <c r="A18" s="320" t="s">
        <v>187</v>
      </c>
      <c r="B18" s="26" t="str">
        <f ca="1">OFFSET(CampList[Priority],MATCH(Table10[[#This Row],[Pcode]],CampList[CP_Pcode],0)-1,0,1,1)</f>
        <v>P2</v>
      </c>
      <c r="C18" s="26" t="str">
        <f ca="1">OFFSET(CampList[Camp],MATCH(Table10[[#This Row],[Pcode]],CampList[CP_Pcode],0)-1,0,1,1)</f>
        <v xml:space="preserve">Bum Tsit Pa </v>
      </c>
      <c r="D18" s="26" t="str">
        <f ca="1">OFFSET(CampList[Township],MATCH(Table10[[#This Row],[Pcode]],CampList[CP_Pcode],0)-1,0,1,1)</f>
        <v>Mansi</v>
      </c>
      <c r="E18" s="26">
        <f ca="1">OFFSET(CampList[HH],MATCH(Table10[[#This Row],[Pcode]],CampList[CP_Pcode],0)-1,0,1,1)</f>
        <v>245</v>
      </c>
      <c r="F18" s="26">
        <f ca="1">OFFSET(CampList[Total],MATCH(Table10[[#This Row],[Pcode]],CampList[CP_Pcode],0)-1,0,1,1)</f>
        <v>1232</v>
      </c>
      <c r="G18" s="361">
        <f>SUMIF('NFI Tracking'!AO$11:AO$1048576,Table10[[#This Row],[Pcode]],'NFI Tracking'!AI$11:AI$1048576)</f>
        <v>0</v>
      </c>
      <c r="H18" s="361">
        <f>SUMIF('NFI Tracking'!AO$11:AO$1048576,Table10[[#This Row],[Pcode]],'NFI Tracking'!AJ$11:AJ$1048576)</f>
        <v>0</v>
      </c>
      <c r="I18" s="361">
        <f>SUMIF('NFI Tracking'!AO$11:AO$1048576,Table10[[#This Row],[Pcode]],'NFI Tracking'!AK$11:AK$1048576)</f>
        <v>0</v>
      </c>
      <c r="J18" s="361">
        <f ca="1">MAX(Table10[[#This Row],[HH]]*VLOOKUP("Winter Clothes Adult",NFI,6)-Table10[[#This Row],[Winter Clothes Adult ]],0)</f>
        <v>490</v>
      </c>
      <c r="K18" s="361">
        <f ca="1">MAX(Table10[[#This Row],[HH]]*VLOOKUP("Winter Clothes Children ",NFI,6)-Table10[[#This Row],[Winter Clothes Children ]],0)</f>
        <v>245</v>
      </c>
      <c r="L18" s="361">
        <f ca="1">MAX(Table10[[#This Row],[HH]]*VLOOKUP("Winter Items Other ",NFI,6)-Table10[[#This Row],[Winter Items Other ]],0)</f>
        <v>245</v>
      </c>
      <c r="M18" s="394" t="str">
        <f>IF(OR(Table10[[#This Row],[Winter Clothes Adult ]]&lt;&gt;0,Table10[[#This Row],[Winter Clothes Children ]]&lt;&gt;0,Table10[[#This Row],[Winter Items Other ]]&lt;&gt;0),"No","")</f>
        <v/>
      </c>
      <c r="N18" s="395">
        <f>COUNTIF(A:A,Table10[[#This Row],[Pcode]])-1</f>
        <v>0</v>
      </c>
      <c r="Q18" s="359" t="s">
        <v>1081</v>
      </c>
      <c r="R18" s="363">
        <v>8138</v>
      </c>
      <c r="S18" s="363">
        <v>11436</v>
      </c>
      <c r="T18" s="363">
        <v>11898</v>
      </c>
    </row>
    <row r="19" spans="1:20" x14ac:dyDescent="0.25">
      <c r="A19" s="320" t="s">
        <v>1038</v>
      </c>
      <c r="B19" s="26" t="str">
        <f ca="1">OFFSET(CampList[Priority],MATCH(Table10[[#This Row],[Pcode]],CampList[CP_Pcode],0)-1,0,1,1)</f>
        <v>P2</v>
      </c>
      <c r="C19" s="26" t="str">
        <f ca="1">OFFSET(CampList[Camp],MATCH(Table10[[#This Row],[Pcode]],CampList[CP_Pcode],0)-1,0,1,1)</f>
        <v>Bum Tsit Pa Camp II</v>
      </c>
      <c r="D19" s="26" t="str">
        <f ca="1">OFFSET(CampList[Township],MATCH(Table10[[#This Row],[Pcode]],CampList[CP_Pcode],0)-1,0,1,1)</f>
        <v>Mansi</v>
      </c>
      <c r="E19" s="26">
        <f ca="1">OFFSET(CampList[HH],MATCH(Table10[[#This Row],[Pcode]],CampList[CP_Pcode],0)-1,0,1,1)</f>
        <v>219</v>
      </c>
      <c r="F19" s="26">
        <f ca="1">OFFSET(CampList[Total],MATCH(Table10[[#This Row],[Pcode]],CampList[CP_Pcode],0)-1,0,1,1)</f>
        <v>891</v>
      </c>
      <c r="G19" s="361">
        <f>SUMIF('NFI Tracking'!AO$11:AO$1048576,Table10[[#This Row],[Pcode]],'NFI Tracking'!AI$11:AI$1048576)</f>
        <v>0</v>
      </c>
      <c r="H19" s="361">
        <f>SUMIF('NFI Tracking'!AO$11:AO$1048576,Table10[[#This Row],[Pcode]],'NFI Tracking'!AJ$11:AJ$1048576)</f>
        <v>0</v>
      </c>
      <c r="I19" s="361">
        <f>SUMIF('NFI Tracking'!AO$11:AO$1048576,Table10[[#This Row],[Pcode]],'NFI Tracking'!AK$11:AK$1048576)</f>
        <v>0</v>
      </c>
      <c r="J19" s="361">
        <f ca="1">MAX(Table10[[#This Row],[HH]]*VLOOKUP("Winter Clothes Adult",NFI,6)-Table10[[#This Row],[Winter Clothes Adult ]],0)</f>
        <v>438</v>
      </c>
      <c r="K19" s="361">
        <f ca="1">MAX(Table10[[#This Row],[HH]]*VLOOKUP("Winter Clothes Children ",NFI,6)-Table10[[#This Row],[Winter Clothes Children ]],0)</f>
        <v>219</v>
      </c>
      <c r="L19" s="361">
        <f ca="1">MAX(Table10[[#This Row],[HH]]*VLOOKUP("Winter Items Other ",NFI,6)-Table10[[#This Row],[Winter Items Other ]],0)</f>
        <v>219</v>
      </c>
      <c r="M19" s="394" t="str">
        <f>IF(OR(Table10[[#This Row],[Winter Clothes Adult ]]&lt;&gt;0,Table10[[#This Row],[Winter Clothes Children ]]&lt;&gt;0,Table10[[#This Row],[Winter Items Other ]]&lt;&gt;0),"No","")</f>
        <v/>
      </c>
      <c r="N19" s="395">
        <f>COUNTIF(A:A,Table10[[#This Row],[Pcode]])-1</f>
        <v>0</v>
      </c>
      <c r="Q19" s="359" t="s">
        <v>1082</v>
      </c>
      <c r="R19" s="363">
        <v>1850</v>
      </c>
      <c r="S19" s="363">
        <v>3280</v>
      </c>
      <c r="T19" s="363">
        <v>2658</v>
      </c>
    </row>
    <row r="20" spans="1:20" x14ac:dyDescent="0.25">
      <c r="A20" s="320" t="s">
        <v>197</v>
      </c>
      <c r="B20" s="26" t="str">
        <f ca="1">OFFSET(CampList[Priority],MATCH(Table10[[#This Row],[Pcode]],CampList[CP_Pcode],0)-1,0,1,1)</f>
        <v>P2</v>
      </c>
      <c r="C20" s="26" t="str">
        <f ca="1">OFFSET(CampList[Camp],MATCH(Table10[[#This Row],[Pcode]],CampList[CP_Pcode],0)-1,0,1,1)</f>
        <v xml:space="preserve">Lana Zup Ja </v>
      </c>
      <c r="D20" s="26" t="str">
        <f ca="1">OFFSET(CampList[Township],MATCH(Table10[[#This Row],[Pcode]],CampList[CP_Pcode],0)-1,0,1,1)</f>
        <v>Mansi</v>
      </c>
      <c r="E20" s="26">
        <f ca="1">OFFSET(CampList[HH],MATCH(Table10[[#This Row],[Pcode]],CampList[CP_Pcode],0)-1,0,1,1)</f>
        <v>545</v>
      </c>
      <c r="F20" s="26">
        <f ca="1">OFFSET(CampList[Total],MATCH(Table10[[#This Row],[Pcode]],CampList[CP_Pcode],0)-1,0,1,1)</f>
        <v>2560</v>
      </c>
      <c r="G20" s="361">
        <f>SUMIF('NFI Tracking'!AO$11:AO$1048576,Table10[[#This Row],[Pcode]],'NFI Tracking'!AI$11:AI$1048576)</f>
        <v>0</v>
      </c>
      <c r="H20" s="361">
        <f>SUMIF('NFI Tracking'!AO$11:AO$1048576,Table10[[#This Row],[Pcode]],'NFI Tracking'!AJ$11:AJ$1048576)</f>
        <v>0</v>
      </c>
      <c r="I20" s="361">
        <f>SUMIF('NFI Tracking'!AO$11:AO$1048576,Table10[[#This Row],[Pcode]],'NFI Tracking'!AK$11:AK$1048576)</f>
        <v>0</v>
      </c>
      <c r="J20" s="361">
        <f ca="1">MAX(Table10[[#This Row],[HH]]*VLOOKUP("Winter Clothes Adult",NFI,6)-Table10[[#This Row],[Winter Clothes Adult ]],0)</f>
        <v>1090</v>
      </c>
      <c r="K20" s="361">
        <f ca="1">MAX(Table10[[#This Row],[HH]]*VLOOKUP("Winter Clothes Children ",NFI,6)-Table10[[#This Row],[Winter Clothes Children ]],0)</f>
        <v>545</v>
      </c>
      <c r="L20" s="361">
        <f ca="1">MAX(Table10[[#This Row],[HH]]*VLOOKUP("Winter Items Other ",NFI,6)-Table10[[#This Row],[Winter Items Other ]],0)</f>
        <v>545</v>
      </c>
      <c r="M20" s="394" t="str">
        <f>IF(OR(Table10[[#This Row],[Winter Clothes Adult ]]&lt;&gt;0,Table10[[#This Row],[Winter Clothes Children ]]&lt;&gt;0,Table10[[#This Row],[Winter Items Other ]]&lt;&gt;0),"No","")</f>
        <v/>
      </c>
      <c r="N20" s="395">
        <f>COUNTIF(A:A,Table10[[#This Row],[Pcode]])-1</f>
        <v>0</v>
      </c>
      <c r="Q20" s="359" t="s">
        <v>1096</v>
      </c>
      <c r="R20" s="363">
        <v>17942</v>
      </c>
      <c r="S20" s="363">
        <v>27631</v>
      </c>
      <c r="T20" s="363">
        <v>20936</v>
      </c>
    </row>
    <row r="21" spans="1:20" x14ac:dyDescent="0.25">
      <c r="A21" s="320" t="s">
        <v>157</v>
      </c>
      <c r="B21" s="26" t="str">
        <f ca="1">OFFSET(CampList[Priority],MATCH(Table10[[#This Row],[Pcode]],CampList[CP_Pcode],0)-1,0,1,1)</f>
        <v>P2</v>
      </c>
      <c r="C21" s="26" t="str">
        <f ca="1">OFFSET(CampList[Camp],MATCH(Table10[[#This Row],[Pcode]],CampList[CP_Pcode],0)-1,0,1,1)</f>
        <v>Lung Kawk  ( Hka Hkye Zup)</v>
      </c>
      <c r="D21" s="26" t="str">
        <f ca="1">OFFSET(CampList[Township],MATCH(Table10[[#This Row],[Pcode]],CampList[CP_Pcode],0)-1,0,1,1)</f>
        <v>Mansi</v>
      </c>
      <c r="E21" s="26">
        <f ca="1">OFFSET(CampList[HH],MATCH(Table10[[#This Row],[Pcode]],CampList[CP_Pcode],0)-1,0,1,1)</f>
        <v>0</v>
      </c>
      <c r="F21" s="26">
        <f ca="1">OFFSET(CampList[Total],MATCH(Table10[[#This Row],[Pcode]],CampList[CP_Pcode],0)-1,0,1,1)</f>
        <v>0</v>
      </c>
      <c r="G21" s="361">
        <f>SUMIF('NFI Tracking'!AO$11:AO$1048576,Table10[[#This Row],[Pcode]],'NFI Tracking'!AI$11:AI$1048576)</f>
        <v>0</v>
      </c>
      <c r="H21" s="361">
        <f>SUMIF('NFI Tracking'!AO$11:AO$1048576,Table10[[#This Row],[Pcode]],'NFI Tracking'!AJ$11:AJ$1048576)</f>
        <v>0</v>
      </c>
      <c r="I21" s="361">
        <f>SUMIF('NFI Tracking'!AO$11:AO$1048576,Table10[[#This Row],[Pcode]],'NFI Tracking'!AK$11:AK$1048576)</f>
        <v>0</v>
      </c>
      <c r="J21" s="361">
        <f ca="1">MAX(Table10[[#This Row],[HH]]*VLOOKUP("Winter Clothes Adult",NFI,6)-Table10[[#This Row],[Winter Clothes Adult ]],0)</f>
        <v>0</v>
      </c>
      <c r="K21" s="361">
        <f ca="1">MAX(Table10[[#This Row],[HH]]*VLOOKUP("Winter Clothes Children ",NFI,6)-Table10[[#This Row],[Winter Clothes Children ]],0)</f>
        <v>0</v>
      </c>
      <c r="L21" s="361">
        <f ca="1">MAX(Table10[[#This Row],[HH]]*VLOOKUP("Winter Items Other ",NFI,6)-Table10[[#This Row],[Winter Items Other ]],0)</f>
        <v>0</v>
      </c>
      <c r="M21" s="394" t="str">
        <f>IF(OR(Table10[[#This Row],[Winter Clothes Adult ]]&lt;&gt;0,Table10[[#This Row],[Winter Clothes Children ]]&lt;&gt;0,Table10[[#This Row],[Winter Items Other ]]&lt;&gt;0),"No","")</f>
        <v/>
      </c>
      <c r="N21" s="395">
        <f>COUNTIF(A:A,Table10[[#This Row],[Pcode]])-1</f>
        <v>0</v>
      </c>
      <c r="Q21" s="359" t="s">
        <v>416</v>
      </c>
      <c r="R21" s="363">
        <v>29912</v>
      </c>
      <c r="S21" s="363">
        <v>45733</v>
      </c>
      <c r="T21" s="363">
        <v>39394</v>
      </c>
    </row>
    <row r="22" spans="1:20" x14ac:dyDescent="0.25">
      <c r="A22" s="320" t="s">
        <v>193</v>
      </c>
      <c r="B22" s="26" t="str">
        <f ca="1">OFFSET(CampList[Priority],MATCH(Table10[[#This Row],[Pcode]],CampList[CP_Pcode],0)-1,0,1,1)</f>
        <v>P2</v>
      </c>
      <c r="C22" s="26" t="str">
        <f ca="1">OFFSET(CampList[Camp],MATCH(Table10[[#This Row],[Pcode]],CampList[CP_Pcode],0)-1,0,1,1)</f>
        <v xml:space="preserve">Hpun Lum Yang </v>
      </c>
      <c r="D22" s="26" t="str">
        <f ca="1">OFFSET(CampList[Township],MATCH(Table10[[#This Row],[Pcode]],CampList[CP_Pcode],0)-1,0,1,1)</f>
        <v>Momauk</v>
      </c>
      <c r="E22" s="26">
        <f ca="1">OFFSET(CampList[HH],MATCH(Table10[[#This Row],[Pcode]],CampList[CP_Pcode],0)-1,0,1,1)</f>
        <v>586</v>
      </c>
      <c r="F22" s="26">
        <f ca="1">OFFSET(CampList[Total],MATCH(Table10[[#This Row],[Pcode]],CampList[CP_Pcode],0)-1,0,1,1)</f>
        <v>2829</v>
      </c>
      <c r="G22" s="361">
        <f>SUMIF('NFI Tracking'!AO$11:AO$1048576,Table10[[#This Row],[Pcode]],'NFI Tracking'!AI$11:AI$1048576)</f>
        <v>0</v>
      </c>
      <c r="H22" s="361">
        <f>SUMIF('NFI Tracking'!AO$11:AO$1048576,Table10[[#This Row],[Pcode]],'NFI Tracking'!AJ$11:AJ$1048576)</f>
        <v>0</v>
      </c>
      <c r="I22" s="361">
        <f>SUMIF('NFI Tracking'!AO$11:AO$1048576,Table10[[#This Row],[Pcode]],'NFI Tracking'!AK$11:AK$1048576)</f>
        <v>0</v>
      </c>
      <c r="J22" s="361">
        <f ca="1">MAX(Table10[[#This Row],[HH]]*VLOOKUP("Winter Clothes Adult",NFI,6)-Table10[[#This Row],[Winter Clothes Adult ]],0)</f>
        <v>1172</v>
      </c>
      <c r="K22" s="361">
        <f ca="1">MAX(Table10[[#This Row],[HH]]*VLOOKUP("Winter Clothes Children ",NFI,6)-Table10[[#This Row],[Winter Clothes Children ]],0)</f>
        <v>586</v>
      </c>
      <c r="L22" s="361">
        <f ca="1">MAX(Table10[[#This Row],[HH]]*VLOOKUP("Winter Items Other ",NFI,6)-Table10[[#This Row],[Winter Items Other ]],0)</f>
        <v>586</v>
      </c>
      <c r="M22" s="394" t="str">
        <f>IF(OR(Table10[[#This Row],[Winter Clothes Adult ]]&lt;&gt;0,Table10[[#This Row],[Winter Clothes Children ]]&lt;&gt;0,Table10[[#This Row],[Winter Items Other ]]&lt;&gt;0),"No","")</f>
        <v/>
      </c>
      <c r="N22" s="395">
        <f>COUNTIF(A:A,Table10[[#This Row],[Pcode]])-1</f>
        <v>0</v>
      </c>
    </row>
    <row r="23" spans="1:20" x14ac:dyDescent="0.25">
      <c r="A23" s="320" t="s">
        <v>195</v>
      </c>
      <c r="B23" s="26" t="str">
        <f ca="1">OFFSET(CampList[Priority],MATCH(Table10[[#This Row],[Pcode]],CampList[CP_Pcode],0)-1,0,1,1)</f>
        <v>P2</v>
      </c>
      <c r="C23" s="26" t="str">
        <f ca="1">OFFSET(CampList[Camp],MATCH(Table10[[#This Row],[Pcode]],CampList[CP_Pcode],0)-1,0,1,1)</f>
        <v xml:space="preserve">Je Yang Hka </v>
      </c>
      <c r="D23" s="26" t="str">
        <f ca="1">OFFSET(CampList[Township],MATCH(Table10[[#This Row],[Pcode]],CampList[CP_Pcode],0)-1,0,1,1)</f>
        <v>Waingmaw</v>
      </c>
      <c r="E23" s="26">
        <f ca="1">OFFSET(CampList[HH],MATCH(Table10[[#This Row],[Pcode]],CampList[CP_Pcode],0)-1,0,1,1)</f>
        <v>1643</v>
      </c>
      <c r="F23" s="26">
        <f ca="1">OFFSET(CampList[Total],MATCH(Table10[[#This Row],[Pcode]],CampList[CP_Pcode],0)-1,0,1,1)</f>
        <v>8780</v>
      </c>
      <c r="G23" s="361">
        <f>SUMIF('NFI Tracking'!AO$11:AO$1048576,Table10[[#This Row],[Pcode]],'NFI Tracking'!AI$11:AI$1048576)</f>
        <v>0</v>
      </c>
      <c r="H23" s="361">
        <f>SUMIF('NFI Tracking'!AO$11:AO$1048576,Table10[[#This Row],[Pcode]],'NFI Tracking'!AJ$11:AJ$1048576)</f>
        <v>0</v>
      </c>
      <c r="I23" s="361">
        <f>SUMIF('NFI Tracking'!AO$11:AO$1048576,Table10[[#This Row],[Pcode]],'NFI Tracking'!AK$11:AK$1048576)</f>
        <v>0</v>
      </c>
      <c r="J23" s="361">
        <f ca="1">MAX(Table10[[#This Row],[HH]]*VLOOKUP("Winter Clothes Adult",NFI,6)-Table10[[#This Row],[Winter Clothes Adult ]],0)</f>
        <v>3286</v>
      </c>
      <c r="K23" s="361">
        <f ca="1">MAX(Table10[[#This Row],[HH]]*VLOOKUP("Winter Clothes Children ",NFI,6)-Table10[[#This Row],[Winter Clothes Children ]],0)</f>
        <v>1643</v>
      </c>
      <c r="L23" s="361">
        <f ca="1">MAX(Table10[[#This Row],[HH]]*VLOOKUP("Winter Items Other ",NFI,6)-Table10[[#This Row],[Winter Items Other ]],0)</f>
        <v>1643</v>
      </c>
      <c r="M23" s="394" t="str">
        <f>IF(OR(Table10[[#This Row],[Winter Clothes Adult ]]&lt;&gt;0,Table10[[#This Row],[Winter Clothes Children ]]&lt;&gt;0,Table10[[#This Row],[Winter Items Other ]]&lt;&gt;0),"No","")</f>
        <v/>
      </c>
      <c r="N23" s="395">
        <f>COUNTIF(A:A,Table10[[#This Row],[Pcode]])-1</f>
        <v>0</v>
      </c>
    </row>
    <row r="24" spans="1:20" x14ac:dyDescent="0.25">
      <c r="A24" s="320" t="s">
        <v>218</v>
      </c>
      <c r="B24" s="26" t="str">
        <f ca="1">OFFSET(CampList[Priority],MATCH(Table10[[#This Row],[Pcode]],CampList[CP_Pcode],0)-1,0,1,1)</f>
        <v>P2</v>
      </c>
      <c r="C24" s="26" t="str">
        <f ca="1">OFFSET(CampList[Camp],MATCH(Table10[[#This Row],[Pcode]],CampList[CP_Pcode],0)-1,0,1,1)</f>
        <v xml:space="preserve">Pa Kahtawng </v>
      </c>
      <c r="D24" s="26" t="str">
        <f ca="1">OFFSET(CampList[Township],MATCH(Table10[[#This Row],[Pcode]],CampList[CP_Pcode],0)-1,0,1,1)</f>
        <v>Momauk</v>
      </c>
      <c r="E24" s="26">
        <f ca="1">OFFSET(CampList[HH],MATCH(Table10[[#This Row],[Pcode]],CampList[CP_Pcode],0)-1,0,1,1)</f>
        <v>677</v>
      </c>
      <c r="F24" s="26">
        <f ca="1">OFFSET(CampList[Total],MATCH(Table10[[#This Row],[Pcode]],CampList[CP_Pcode],0)-1,0,1,1)</f>
        <v>3622</v>
      </c>
      <c r="G24" s="361">
        <f>SUMIF('NFI Tracking'!AO$11:AO$1048576,Table10[[#This Row],[Pcode]],'NFI Tracking'!AI$11:AI$1048576)</f>
        <v>0</v>
      </c>
      <c r="H24" s="361">
        <f>SUMIF('NFI Tracking'!AO$11:AO$1048576,Table10[[#This Row],[Pcode]],'NFI Tracking'!AJ$11:AJ$1048576)</f>
        <v>0</v>
      </c>
      <c r="I24" s="361">
        <f>SUMIF('NFI Tracking'!AO$11:AO$1048576,Table10[[#This Row],[Pcode]],'NFI Tracking'!AK$11:AK$1048576)</f>
        <v>0</v>
      </c>
      <c r="J24" s="361">
        <f ca="1">MAX(Table10[[#This Row],[HH]]*VLOOKUP("Winter Clothes Adult",NFI,6)-Table10[[#This Row],[Winter Clothes Adult ]],0)</f>
        <v>1354</v>
      </c>
      <c r="K24" s="361">
        <f ca="1">MAX(Table10[[#This Row],[HH]]*VLOOKUP("Winter Clothes Children ",NFI,6)-Table10[[#This Row],[Winter Clothes Children ]],0)</f>
        <v>677</v>
      </c>
      <c r="L24" s="361">
        <f ca="1">MAX(Table10[[#This Row],[HH]]*VLOOKUP("Winter Items Other ",NFI,6)-Table10[[#This Row],[Winter Items Other ]],0)</f>
        <v>677</v>
      </c>
      <c r="M24" s="394" t="str">
        <f>IF(OR(Table10[[#This Row],[Winter Clothes Adult ]]&lt;&gt;0,Table10[[#This Row],[Winter Clothes Children ]]&lt;&gt;0,Table10[[#This Row],[Winter Items Other ]]&lt;&gt;0),"No","")</f>
        <v/>
      </c>
      <c r="N24" s="395">
        <f>COUNTIF(A:A,Table10[[#This Row],[Pcode]])-1</f>
        <v>0</v>
      </c>
    </row>
    <row r="25" spans="1:20" x14ac:dyDescent="0.25">
      <c r="A25" s="320" t="s">
        <v>191</v>
      </c>
      <c r="B25" s="26" t="str">
        <f ca="1">OFFSET(CampList[Priority],MATCH(Table10[[#This Row],[Pcode]],CampList[CP_Pcode],0)-1,0,1,1)</f>
        <v>P2</v>
      </c>
      <c r="C25" s="26" t="str">
        <f ca="1">OFFSET(CampList[Camp],MATCH(Table10[[#This Row],[Pcode]],CampList[CP_Pcode],0)-1,0,1,1)</f>
        <v xml:space="preserve">Dum Bung </v>
      </c>
      <c r="D25" s="26" t="str">
        <f ca="1">OFFSET(CampList[Township],MATCH(Table10[[#This Row],[Pcode]],CampList[CP_Pcode],0)-1,0,1,1)</f>
        <v>Momauk</v>
      </c>
      <c r="E25" s="26">
        <f ca="1">OFFSET(CampList[HH],MATCH(Table10[[#This Row],[Pcode]],CampList[CP_Pcode],0)-1,0,1,1)</f>
        <v>111</v>
      </c>
      <c r="F25" s="26">
        <f ca="1">OFFSET(CampList[Total],MATCH(Table10[[#This Row],[Pcode]],CampList[CP_Pcode],0)-1,0,1,1)</f>
        <v>516</v>
      </c>
      <c r="G25" s="361">
        <f>SUMIF('NFI Tracking'!AO$11:AO$1048576,Table10[[#This Row],[Pcode]],'NFI Tracking'!AI$11:AI$1048576)</f>
        <v>0</v>
      </c>
      <c r="H25" s="361">
        <f>SUMIF('NFI Tracking'!AO$11:AO$1048576,Table10[[#This Row],[Pcode]],'NFI Tracking'!AJ$11:AJ$1048576)</f>
        <v>0</v>
      </c>
      <c r="I25" s="361">
        <f>SUMIF('NFI Tracking'!AO$11:AO$1048576,Table10[[#This Row],[Pcode]],'NFI Tracking'!AK$11:AK$1048576)</f>
        <v>0</v>
      </c>
      <c r="J25" s="361">
        <f ca="1">MAX(Table10[[#This Row],[HH]]*VLOOKUP("Winter Clothes Adult",NFI,6)-Table10[[#This Row],[Winter Clothes Adult ]],0)</f>
        <v>222</v>
      </c>
      <c r="K25" s="361">
        <f ca="1">MAX(Table10[[#This Row],[HH]]*VLOOKUP("Winter Clothes Children ",NFI,6)-Table10[[#This Row],[Winter Clothes Children ]],0)</f>
        <v>111</v>
      </c>
      <c r="L25" s="361">
        <f ca="1">MAX(Table10[[#This Row],[HH]]*VLOOKUP("Winter Items Other ",NFI,6)-Table10[[#This Row],[Winter Items Other ]],0)</f>
        <v>111</v>
      </c>
      <c r="M25" s="394" t="str">
        <f>IF(OR(Table10[[#This Row],[Winter Clothes Adult ]]&lt;&gt;0,Table10[[#This Row],[Winter Clothes Children ]]&lt;&gt;0,Table10[[#This Row],[Winter Items Other ]]&lt;&gt;0),"No","")</f>
        <v/>
      </c>
      <c r="N25" s="395">
        <f>COUNTIF(A:A,Table10[[#This Row],[Pcode]])-1</f>
        <v>0</v>
      </c>
    </row>
    <row r="26" spans="1:20" x14ac:dyDescent="0.25">
      <c r="A26" s="320" t="s">
        <v>816</v>
      </c>
      <c r="B26" s="26" t="str">
        <f ca="1">OFFSET(CampList[Priority],MATCH(Table10[[#This Row],[Pcode]],CampList[CP_Pcode],0)-1,0,1,1)</f>
        <v>P2</v>
      </c>
      <c r="C26" s="26" t="str">
        <f ca="1">OFFSET(CampList[Camp],MATCH(Table10[[#This Row],[Pcode]],CampList[CP_Pcode],0)-1,0,1,1)</f>
        <v>IDP Boarding School, A Len Bum</v>
      </c>
      <c r="D26" s="26" t="str">
        <f ca="1">OFFSET(CampList[Township],MATCH(Table10[[#This Row],[Pcode]],CampList[CP_Pcode],0)-1,0,1,1)</f>
        <v>Waingmaw</v>
      </c>
      <c r="E26" s="26">
        <f ca="1">OFFSET(CampList[HH],MATCH(Table10[[#This Row],[Pcode]],CampList[CP_Pcode],0)-1,0,1,1)</f>
        <v>0</v>
      </c>
      <c r="F26" s="26">
        <f ca="1">OFFSET(CampList[Total],MATCH(Table10[[#This Row],[Pcode]],CampList[CP_Pcode],0)-1,0,1,1)</f>
        <v>1047</v>
      </c>
      <c r="G26" s="361">
        <f>SUMIF('NFI Tracking'!AO$11:AO$1048576,Table10[[#This Row],[Pcode]],'NFI Tracking'!AI$11:AI$1048576)</f>
        <v>0</v>
      </c>
      <c r="H26" s="361">
        <f>SUMIF('NFI Tracking'!AO$11:AO$1048576,Table10[[#This Row],[Pcode]],'NFI Tracking'!AJ$11:AJ$1048576)</f>
        <v>0</v>
      </c>
      <c r="I26" s="361">
        <f>SUMIF('NFI Tracking'!AO$11:AO$1048576,Table10[[#This Row],[Pcode]],'NFI Tracking'!AK$11:AK$1048576)</f>
        <v>0</v>
      </c>
      <c r="J26" s="361">
        <f ca="1">MAX(Table10[[#This Row],[HH]]*VLOOKUP("Winter Clothes Adult",NFI,6)-Table10[[#This Row],[Winter Clothes Adult ]],0)</f>
        <v>0</v>
      </c>
      <c r="K26" s="361">
        <f ca="1">MAX(Table10[[#This Row],[HH]]*VLOOKUP("Winter Clothes Children ",NFI,6)-Table10[[#This Row],[Winter Clothes Children ]],0)</f>
        <v>0</v>
      </c>
      <c r="L26" s="361">
        <f ca="1">MAX(Table10[[#This Row],[HH]]*VLOOKUP("Winter Items Other ",NFI,6)-Table10[[#This Row],[Winter Items Other ]],0)</f>
        <v>0</v>
      </c>
      <c r="M26" s="394" t="str">
        <f>IF(OR(Table10[[#This Row],[Winter Clothes Adult ]]&lt;&gt;0,Table10[[#This Row],[Winter Clothes Children ]]&lt;&gt;0,Table10[[#This Row],[Winter Items Other ]]&lt;&gt;0),"No","")</f>
        <v/>
      </c>
      <c r="N26" s="395">
        <f>COUNTIF(A:A,Table10[[#This Row],[Pcode]])-1</f>
        <v>0</v>
      </c>
    </row>
    <row r="27" spans="1:20" x14ac:dyDescent="0.25">
      <c r="A27" s="320" t="s">
        <v>314</v>
      </c>
      <c r="B27" s="26" t="str">
        <f ca="1">OFFSET(CampList[Priority],MATCH(Table10[[#This Row],[Pcode]],CampList[CP_Pcode],0)-1,0,1,1)</f>
        <v>P2</v>
      </c>
      <c r="C27" s="26" t="str">
        <f ca="1">OFFSET(CampList[Camp],MATCH(Table10[[#This Row],[Pcode]],CampList[CP_Pcode],0)-1,0,1,1)</f>
        <v>Laiza Market 3 - Laiza Gat</v>
      </c>
      <c r="D27" s="26" t="str">
        <f ca="1">OFFSET(CampList[Township],MATCH(Table10[[#This Row],[Pcode]],CampList[CP_Pcode],0)-1,0,1,1)</f>
        <v>Waingmaw</v>
      </c>
      <c r="E27" s="26">
        <f ca="1">OFFSET(CampList[HH],MATCH(Table10[[#This Row],[Pcode]],CampList[CP_Pcode],0)-1,0,1,1)</f>
        <v>0</v>
      </c>
      <c r="F27" s="26">
        <f ca="1">OFFSET(CampList[Total],MATCH(Table10[[#This Row],[Pcode]],CampList[CP_Pcode],0)-1,0,1,1)</f>
        <v>0</v>
      </c>
      <c r="G27" s="361">
        <f>SUMIF('NFI Tracking'!AO$11:AO$1048576,Table10[[#This Row],[Pcode]],'NFI Tracking'!AI$11:AI$1048576)</f>
        <v>0</v>
      </c>
      <c r="H27" s="361">
        <f>SUMIF('NFI Tracking'!AO$11:AO$1048576,Table10[[#This Row],[Pcode]],'NFI Tracking'!AJ$11:AJ$1048576)</f>
        <v>0</v>
      </c>
      <c r="I27" s="361">
        <f>SUMIF('NFI Tracking'!AO$11:AO$1048576,Table10[[#This Row],[Pcode]],'NFI Tracking'!AK$11:AK$1048576)</f>
        <v>0</v>
      </c>
      <c r="J27" s="361">
        <f ca="1">MAX(Table10[[#This Row],[HH]]*VLOOKUP("Winter Clothes Adult",NFI,6)-Table10[[#This Row],[Winter Clothes Adult ]],0)</f>
        <v>0</v>
      </c>
      <c r="K27" s="361">
        <f ca="1">MAX(Table10[[#This Row],[HH]]*VLOOKUP("Winter Clothes Children ",NFI,6)-Table10[[#This Row],[Winter Clothes Children ]],0)</f>
        <v>0</v>
      </c>
      <c r="L27" s="361">
        <f ca="1">MAX(Table10[[#This Row],[HH]]*VLOOKUP("Winter Items Other ",NFI,6)-Table10[[#This Row],[Winter Items Other ]],0)</f>
        <v>0</v>
      </c>
      <c r="M27" s="394" t="str">
        <f>IF(OR(Table10[[#This Row],[Winter Clothes Adult ]]&lt;&gt;0,Table10[[#This Row],[Winter Clothes Children ]]&lt;&gt;0,Table10[[#This Row],[Winter Items Other ]]&lt;&gt;0),"No","")</f>
        <v/>
      </c>
      <c r="N27" s="395">
        <f>COUNTIF(A:A,Table10[[#This Row],[Pcode]])-1</f>
        <v>0</v>
      </c>
    </row>
    <row r="28" spans="1:20" x14ac:dyDescent="0.25">
      <c r="A28" s="320" t="s">
        <v>356</v>
      </c>
      <c r="B28" s="26" t="str">
        <f ca="1">OFFSET(CampList[Priority],MATCH(Table10[[#This Row],[Pcode]],CampList[CP_Pcode],0)-1,0,1,1)</f>
        <v>P2</v>
      </c>
      <c r="C28" s="26" t="str">
        <f ca="1">OFFSET(CampList[Camp],MATCH(Table10[[#This Row],[Pcode]],CampList[CP_Pcode],0)-1,0,1,1)</f>
        <v>Zai Awng - Mung Ga Zup</v>
      </c>
      <c r="D28" s="26" t="str">
        <f ca="1">OFFSET(CampList[Township],MATCH(Table10[[#This Row],[Pcode]],CampList[CP_Pcode],0)-1,0,1,1)</f>
        <v>Waingmaw</v>
      </c>
      <c r="E28" s="26">
        <f ca="1">OFFSET(CampList[HH],MATCH(Table10[[#This Row],[Pcode]],CampList[CP_Pcode],0)-1,0,1,1)</f>
        <v>612</v>
      </c>
      <c r="F28" s="26">
        <f ca="1">OFFSET(CampList[Total],MATCH(Table10[[#This Row],[Pcode]],CampList[CP_Pcode],0)-1,0,1,1)</f>
        <v>2806</v>
      </c>
      <c r="G28" s="361">
        <f>SUMIF('NFI Tracking'!AO$11:AO$1048576,Table10[[#This Row],[Pcode]],'NFI Tracking'!AI$11:AI$1048576)</f>
        <v>0</v>
      </c>
      <c r="H28" s="361">
        <f>SUMIF('NFI Tracking'!AO$11:AO$1048576,Table10[[#This Row],[Pcode]],'NFI Tracking'!AJ$11:AJ$1048576)</f>
        <v>0</v>
      </c>
      <c r="I28" s="361">
        <f>SUMIF('NFI Tracking'!AO$11:AO$1048576,Table10[[#This Row],[Pcode]],'NFI Tracking'!AK$11:AK$1048576)</f>
        <v>0</v>
      </c>
      <c r="J28" s="361">
        <f ca="1">MAX(Table10[[#This Row],[HH]]*VLOOKUP("Winter Clothes Adult",NFI,6)-Table10[[#This Row],[Winter Clothes Adult ]],0)</f>
        <v>1224</v>
      </c>
      <c r="K28" s="361">
        <f ca="1">MAX(Table10[[#This Row],[HH]]*VLOOKUP("Winter Clothes Children ",NFI,6)-Table10[[#This Row],[Winter Clothes Children ]],0)</f>
        <v>612</v>
      </c>
      <c r="L28" s="361">
        <f ca="1">MAX(Table10[[#This Row],[HH]]*VLOOKUP("Winter Items Other ",NFI,6)-Table10[[#This Row],[Winter Items Other ]],0)</f>
        <v>612</v>
      </c>
      <c r="M28" s="394" t="str">
        <f>IF(OR(Table10[[#This Row],[Winter Clothes Adult ]]&lt;&gt;0,Table10[[#This Row],[Winter Clothes Children ]]&lt;&gt;0,Table10[[#This Row],[Winter Items Other ]]&lt;&gt;0),"No","")</f>
        <v/>
      </c>
      <c r="N28" s="395">
        <f>COUNTIF(A:A,Table10[[#This Row],[Pcode]])-1</f>
        <v>0</v>
      </c>
    </row>
    <row r="29" spans="1:20" x14ac:dyDescent="0.25">
      <c r="A29" s="320" t="s">
        <v>321</v>
      </c>
      <c r="B29" s="26" t="str">
        <f ca="1">OFFSET(CampList[Priority],MATCH(Table10[[#This Row],[Pcode]],CampList[CP_Pcode],0)-1,0,1,1)</f>
        <v>P2</v>
      </c>
      <c r="C29" s="26" t="str">
        <f ca="1">OFFSET(CampList[Camp],MATCH(Table10[[#This Row],[Pcode]],CampList[CP_Pcode],0)-1,0,1,1)</f>
        <v xml:space="preserve">Maga Yang </v>
      </c>
      <c r="D29" s="26" t="str">
        <f ca="1">OFFSET(CampList[Township],MATCH(Table10[[#This Row],[Pcode]],CampList[CP_Pcode],0)-1,0,1,1)</f>
        <v>Waingmaw</v>
      </c>
      <c r="E29" s="26">
        <f ca="1">OFFSET(CampList[HH],MATCH(Table10[[#This Row],[Pcode]],CampList[CP_Pcode],0)-1,0,1,1)</f>
        <v>586</v>
      </c>
      <c r="F29" s="26">
        <f ca="1">OFFSET(CampList[Total],MATCH(Table10[[#This Row],[Pcode]],CampList[CP_Pcode],0)-1,0,1,1)</f>
        <v>2595</v>
      </c>
      <c r="G29" s="361">
        <f>SUMIF('NFI Tracking'!AO$11:AO$1048576,Table10[[#This Row],[Pcode]],'NFI Tracking'!AI$11:AI$1048576)</f>
        <v>0</v>
      </c>
      <c r="H29" s="361">
        <f>SUMIF('NFI Tracking'!AO$11:AO$1048576,Table10[[#This Row],[Pcode]],'NFI Tracking'!AJ$11:AJ$1048576)</f>
        <v>0</v>
      </c>
      <c r="I29" s="361">
        <f>SUMIF('NFI Tracking'!AO$11:AO$1048576,Table10[[#This Row],[Pcode]],'NFI Tracking'!AK$11:AK$1048576)</f>
        <v>0</v>
      </c>
      <c r="J29" s="361">
        <f ca="1">MAX(Table10[[#This Row],[HH]]*VLOOKUP("Winter Clothes Adult",NFI,6)-Table10[[#This Row],[Winter Clothes Adult ]],0)</f>
        <v>1172</v>
      </c>
      <c r="K29" s="361">
        <f ca="1">MAX(Table10[[#This Row],[HH]]*VLOOKUP("Winter Clothes Children ",NFI,6)-Table10[[#This Row],[Winter Clothes Children ]],0)</f>
        <v>586</v>
      </c>
      <c r="L29" s="361">
        <f ca="1">MAX(Table10[[#This Row],[HH]]*VLOOKUP("Winter Items Other ",NFI,6)-Table10[[#This Row],[Winter Items Other ]],0)</f>
        <v>586</v>
      </c>
      <c r="M29" s="394" t="str">
        <f>IF(OR(Table10[[#This Row],[Winter Clothes Adult ]]&lt;&gt;0,Table10[[#This Row],[Winter Clothes Children ]]&lt;&gt;0,Table10[[#This Row],[Winter Items Other ]]&lt;&gt;0),"No","")</f>
        <v/>
      </c>
      <c r="N29" s="395">
        <f>COUNTIF(A:A,Table10[[#This Row],[Pcode]])-1</f>
        <v>0</v>
      </c>
    </row>
    <row r="30" spans="1:20" x14ac:dyDescent="0.25">
      <c r="A30" s="320" t="s">
        <v>165</v>
      </c>
      <c r="B30" s="26" t="str">
        <f ca="1">OFFSET(CampList[Priority],MATCH(Table10[[#This Row],[Pcode]],CampList[CP_Pcode],0)-1,0,1,1)</f>
        <v>P2</v>
      </c>
      <c r="C30" s="26" t="str">
        <f ca="1">OFFSET(CampList[Camp],MATCH(Table10[[#This Row],[Pcode]],CampList[CP_Pcode],0)-1,0,1,1)</f>
        <v>Mandung - Jinghpaw</v>
      </c>
      <c r="D30" s="26" t="str">
        <f ca="1">OFFSET(CampList[Township],MATCH(Table10[[#This Row],[Pcode]],CampList[CP_Pcode],0)-1,0,1,1)</f>
        <v>Manton</v>
      </c>
      <c r="E30" s="26">
        <f ca="1">OFFSET(CampList[HH],MATCH(Table10[[#This Row],[Pcode]],CampList[CP_Pcode],0)-1,0,1,1)</f>
        <v>37</v>
      </c>
      <c r="F30" s="26">
        <f ca="1">OFFSET(CampList[Total],MATCH(Table10[[#This Row],[Pcode]],CampList[CP_Pcode],0)-1,0,1,1)</f>
        <v>159</v>
      </c>
      <c r="G30" s="361">
        <f>SUMIF('NFI Tracking'!AO$11:AO$1048576,Table10[[#This Row],[Pcode]],'NFI Tracking'!AI$11:AI$1048576)</f>
        <v>0</v>
      </c>
      <c r="H30" s="361">
        <f>SUMIF('NFI Tracking'!AO$11:AO$1048576,Table10[[#This Row],[Pcode]],'NFI Tracking'!AJ$11:AJ$1048576)</f>
        <v>0</v>
      </c>
      <c r="I30" s="361">
        <f>SUMIF('NFI Tracking'!AO$11:AO$1048576,Table10[[#This Row],[Pcode]],'NFI Tracking'!AK$11:AK$1048576)</f>
        <v>0</v>
      </c>
      <c r="J30" s="361">
        <f ca="1">MAX(Table10[[#This Row],[HH]]*VLOOKUP("Winter Clothes Adult",NFI,6)-Table10[[#This Row],[Winter Clothes Adult ]],0)</f>
        <v>74</v>
      </c>
      <c r="K30" s="361">
        <f ca="1">MAX(Table10[[#This Row],[HH]]*VLOOKUP("Winter Clothes Children ",NFI,6)-Table10[[#This Row],[Winter Clothes Children ]],0)</f>
        <v>37</v>
      </c>
      <c r="L30" s="361">
        <f ca="1">MAX(Table10[[#This Row],[HH]]*VLOOKUP("Winter Items Other ",NFI,6)-Table10[[#This Row],[Winter Items Other ]],0)</f>
        <v>37</v>
      </c>
      <c r="M30" s="394" t="str">
        <f>IF(OR(Table10[[#This Row],[Winter Clothes Adult ]]&lt;&gt;0,Table10[[#This Row],[Winter Clothes Children ]]&lt;&gt;0,Table10[[#This Row],[Winter Items Other ]]&lt;&gt;0),"No","")</f>
        <v/>
      </c>
      <c r="N30" s="395">
        <f>COUNTIF(A:A,Table10[[#This Row],[Pcode]])-1</f>
        <v>0</v>
      </c>
    </row>
    <row r="31" spans="1:20" x14ac:dyDescent="0.25">
      <c r="A31" s="320" t="s">
        <v>839</v>
      </c>
      <c r="B31" s="26" t="str">
        <f ca="1">OFFSET(CampList[Priority],MATCH(Table10[[#This Row],[Pcode]],CampList[CP_Pcode],0)-1,0,1,1)</f>
        <v>P2</v>
      </c>
      <c r="C31" s="26" t="str">
        <f ca="1">OFFSET(CampList[Camp],MATCH(Table10[[#This Row],[Pcode]],CampList[CP_Pcode],0)-1,0,1,1)</f>
        <v>Nam Hkawng</v>
      </c>
      <c r="D31" s="26" t="str">
        <f ca="1">OFFSET(CampList[Township],MATCH(Table10[[#This Row],[Pcode]],CampList[CP_Pcode],0)-1,0,1,1)</f>
        <v>Muse</v>
      </c>
      <c r="E31" s="26">
        <f ca="1">OFFSET(CampList[HH],MATCH(Table10[[#This Row],[Pcode]],CampList[CP_Pcode],0)-1,0,1,1)</f>
        <v>0</v>
      </c>
      <c r="F31" s="26">
        <f ca="1">OFFSET(CampList[Total],MATCH(Table10[[#This Row],[Pcode]],CampList[CP_Pcode],0)-1,0,1,1)</f>
        <v>0</v>
      </c>
      <c r="G31" s="361">
        <f>SUMIF('NFI Tracking'!AO$11:AO$1048576,Table10[[#This Row],[Pcode]],'NFI Tracking'!AI$11:AI$1048576)</f>
        <v>0</v>
      </c>
      <c r="H31" s="361">
        <f>SUMIF('NFI Tracking'!AO$11:AO$1048576,Table10[[#This Row],[Pcode]],'NFI Tracking'!AJ$11:AJ$1048576)</f>
        <v>0</v>
      </c>
      <c r="I31" s="361">
        <f>SUMIF('NFI Tracking'!AO$11:AO$1048576,Table10[[#This Row],[Pcode]],'NFI Tracking'!AK$11:AK$1048576)</f>
        <v>0</v>
      </c>
      <c r="J31" s="361">
        <f ca="1">MAX(Table10[[#This Row],[HH]]*VLOOKUP("Winter Clothes Adult",NFI,6)-Table10[[#This Row],[Winter Clothes Adult ]],0)</f>
        <v>0</v>
      </c>
      <c r="K31" s="361">
        <f ca="1">MAX(Table10[[#This Row],[HH]]*VLOOKUP("Winter Clothes Children ",NFI,6)-Table10[[#This Row],[Winter Clothes Children ]],0)</f>
        <v>0</v>
      </c>
      <c r="L31" s="361">
        <f ca="1">MAX(Table10[[#This Row],[HH]]*VLOOKUP("Winter Items Other ",NFI,6)-Table10[[#This Row],[Winter Items Other ]],0)</f>
        <v>0</v>
      </c>
      <c r="M31" s="394" t="str">
        <f>IF(OR(Table10[[#This Row],[Winter Clothes Adult ]]&lt;&gt;0,Table10[[#This Row],[Winter Clothes Children ]]&lt;&gt;0,Table10[[#This Row],[Winter Items Other ]]&lt;&gt;0),"No","")</f>
        <v/>
      </c>
      <c r="N31" s="395">
        <f>COUNTIF(A:A,Table10[[#This Row],[Pcode]])-1</f>
        <v>0</v>
      </c>
    </row>
    <row r="32" spans="1:20" x14ac:dyDescent="0.25">
      <c r="A32" s="320" t="s">
        <v>184</v>
      </c>
      <c r="B32" s="26" t="str">
        <f ca="1">OFFSET(CampList[Priority],MATCH(Table10[[#This Row],[Pcode]],CampList[CP_Pcode],0)-1,0,1,1)</f>
        <v>P3</v>
      </c>
      <c r="C32" s="26" t="str">
        <f ca="1">OFFSET(CampList[Camp],MATCH(Table10[[#This Row],[Pcode]],CampList[CP_Pcode],0)-1,0,1,1)</f>
        <v>Loi Je Baptist Church</v>
      </c>
      <c r="D32" s="26" t="str">
        <f ca="1">OFFSET(CampList[Township],MATCH(Table10[[#This Row],[Pcode]],CampList[CP_Pcode],0)-1,0,1,1)</f>
        <v>Momauk</v>
      </c>
      <c r="E32" s="26">
        <f ca="1">OFFSET(CampList[HH],MATCH(Table10[[#This Row],[Pcode]],CampList[CP_Pcode],0)-1,0,1,1)</f>
        <v>36</v>
      </c>
      <c r="F32" s="26">
        <f ca="1">OFFSET(CampList[Total],MATCH(Table10[[#This Row],[Pcode]],CampList[CP_Pcode],0)-1,0,1,1)</f>
        <v>214</v>
      </c>
      <c r="G32" s="361">
        <f>SUMIF('NFI Tracking'!AO$11:AO$1048576,Table10[[#This Row],[Pcode]],'NFI Tracking'!AI$11:AI$1048576)</f>
        <v>0</v>
      </c>
      <c r="H32" s="361">
        <f>SUMIF('NFI Tracking'!AO$11:AO$1048576,Table10[[#This Row],[Pcode]],'NFI Tracking'!AJ$11:AJ$1048576)</f>
        <v>0</v>
      </c>
      <c r="I32" s="361">
        <f>SUMIF('NFI Tracking'!AO$11:AO$1048576,Table10[[#This Row],[Pcode]],'NFI Tracking'!AK$11:AK$1048576)</f>
        <v>0</v>
      </c>
      <c r="J32" s="361">
        <f ca="1">MAX(Table10[[#This Row],[HH]]*VLOOKUP("Winter Clothes Adult",NFI,6)-Table10[[#This Row],[Winter Clothes Adult ]],0)</f>
        <v>72</v>
      </c>
      <c r="K32" s="361">
        <f ca="1">MAX(Table10[[#This Row],[HH]]*VLOOKUP("Winter Clothes Children ",NFI,6)-Table10[[#This Row],[Winter Clothes Children ]],0)</f>
        <v>36</v>
      </c>
      <c r="L32" s="361">
        <f ca="1">MAX(Table10[[#This Row],[HH]]*VLOOKUP("Winter Items Other ",NFI,6)-Table10[[#This Row],[Winter Items Other ]],0)</f>
        <v>36</v>
      </c>
      <c r="M32" s="394" t="str">
        <f>IF(OR(Table10[[#This Row],[Winter Clothes Adult ]]&lt;&gt;0,Table10[[#This Row],[Winter Clothes Children ]]&lt;&gt;0,Table10[[#This Row],[Winter Items Other ]]&lt;&gt;0),"No","")</f>
        <v/>
      </c>
      <c r="N32" s="395">
        <f>COUNTIF(A:A,Table10[[#This Row],[Pcode]])-1</f>
        <v>0</v>
      </c>
    </row>
    <row r="33" spans="1:14" x14ac:dyDescent="0.25">
      <c r="A33" s="320" t="s">
        <v>222</v>
      </c>
      <c r="B33" s="26" t="str">
        <f ca="1">OFFSET(CampList[Priority],MATCH(Table10[[#This Row],[Pcode]],CampList[CP_Pcode],0)-1,0,1,1)</f>
        <v>P3</v>
      </c>
      <c r="C33" s="26" t="str">
        <f ca="1">OFFSET(CampList[Camp],MATCH(Table10[[#This Row],[Pcode]],CampList[CP_Pcode],0)-1,0,1,1)</f>
        <v>Loi Je Catholic Church</v>
      </c>
      <c r="D33" s="26" t="str">
        <f ca="1">OFFSET(CampList[Township],MATCH(Table10[[#This Row],[Pcode]],CampList[CP_Pcode],0)-1,0,1,1)</f>
        <v>Momauk</v>
      </c>
      <c r="E33" s="26">
        <f ca="1">OFFSET(CampList[HH],MATCH(Table10[[#This Row],[Pcode]],CampList[CP_Pcode],0)-1,0,1,1)</f>
        <v>124</v>
      </c>
      <c r="F33" s="26">
        <f ca="1">OFFSET(CampList[Total],MATCH(Table10[[#This Row],[Pcode]],CampList[CP_Pcode],0)-1,0,1,1)</f>
        <v>544</v>
      </c>
      <c r="G33" s="361">
        <f>SUMIF('NFI Tracking'!AO$11:AO$1048576,Table10[[#This Row],[Pcode]],'NFI Tracking'!AI$11:AI$1048576)</f>
        <v>0</v>
      </c>
      <c r="H33" s="361">
        <f>SUMIF('NFI Tracking'!AO$11:AO$1048576,Table10[[#This Row],[Pcode]],'NFI Tracking'!AJ$11:AJ$1048576)</f>
        <v>0</v>
      </c>
      <c r="I33" s="361">
        <f>SUMIF('NFI Tracking'!AO$11:AO$1048576,Table10[[#This Row],[Pcode]],'NFI Tracking'!AK$11:AK$1048576)</f>
        <v>0</v>
      </c>
      <c r="J33" s="361">
        <f ca="1">MAX(Table10[[#This Row],[HH]]*VLOOKUP("Winter Clothes Adult",NFI,6)-Table10[[#This Row],[Winter Clothes Adult ]],0)</f>
        <v>248</v>
      </c>
      <c r="K33" s="361">
        <f ca="1">MAX(Table10[[#This Row],[HH]]*VLOOKUP("Winter Clothes Children ",NFI,6)-Table10[[#This Row],[Winter Clothes Children ]],0)</f>
        <v>124</v>
      </c>
      <c r="L33" s="361">
        <f ca="1">MAX(Table10[[#This Row],[HH]]*VLOOKUP("Winter Items Other ",NFI,6)-Table10[[#This Row],[Winter Items Other ]],0)</f>
        <v>124</v>
      </c>
      <c r="M33" s="394" t="str">
        <f>IF(OR(Table10[[#This Row],[Winter Clothes Adult ]]&lt;&gt;0,Table10[[#This Row],[Winter Clothes Children ]]&lt;&gt;0,Table10[[#This Row],[Winter Items Other ]]&lt;&gt;0),"No","")</f>
        <v/>
      </c>
      <c r="N33" s="395">
        <f>COUNTIF(A:A,Table10[[#This Row],[Pcode]])-1</f>
        <v>0</v>
      </c>
    </row>
    <row r="34" spans="1:14" x14ac:dyDescent="0.25">
      <c r="A34" s="320" t="s">
        <v>189</v>
      </c>
      <c r="B34" s="26" t="str">
        <f ca="1">OFFSET(CampList[Priority],MATCH(Table10[[#This Row],[Pcode]],CampList[CP_Pcode],0)-1,0,1,1)</f>
        <v>P3</v>
      </c>
      <c r="C34" s="26" t="str">
        <f ca="1">OFFSET(CampList[Camp],MATCH(Table10[[#This Row],[Pcode]],CampList[CP_Pcode],0)-1,0,1,1)</f>
        <v>Loi Je Lisu Camp</v>
      </c>
      <c r="D34" s="26" t="str">
        <f ca="1">OFFSET(CampList[Township],MATCH(Table10[[#This Row],[Pcode]],CampList[CP_Pcode],0)-1,0,1,1)</f>
        <v>Momauk</v>
      </c>
      <c r="E34" s="26">
        <f ca="1">OFFSET(CampList[HH],MATCH(Table10[[#This Row],[Pcode]],CampList[CP_Pcode],0)-1,0,1,1)</f>
        <v>190</v>
      </c>
      <c r="F34" s="26">
        <f ca="1">OFFSET(CampList[Total],MATCH(Table10[[#This Row],[Pcode]],CampList[CP_Pcode],0)-1,0,1,1)</f>
        <v>1021</v>
      </c>
      <c r="G34" s="361">
        <f>SUMIF('NFI Tracking'!AO$11:AO$1048576,Table10[[#This Row],[Pcode]],'NFI Tracking'!AI$11:AI$1048576)</f>
        <v>0</v>
      </c>
      <c r="H34" s="361">
        <f>SUMIF('NFI Tracking'!AO$11:AO$1048576,Table10[[#This Row],[Pcode]],'NFI Tracking'!AJ$11:AJ$1048576)</f>
        <v>0</v>
      </c>
      <c r="I34" s="361">
        <f>SUMIF('NFI Tracking'!AO$11:AO$1048576,Table10[[#This Row],[Pcode]],'NFI Tracking'!AK$11:AK$1048576)</f>
        <v>0</v>
      </c>
      <c r="J34" s="361">
        <f ca="1">MAX(Table10[[#This Row],[HH]]*VLOOKUP("Winter Clothes Adult",NFI,6)-Table10[[#This Row],[Winter Clothes Adult ]],0)</f>
        <v>380</v>
      </c>
      <c r="K34" s="361">
        <f ca="1">MAX(Table10[[#This Row],[HH]]*VLOOKUP("Winter Clothes Children ",NFI,6)-Table10[[#This Row],[Winter Clothes Children ]],0)</f>
        <v>190</v>
      </c>
      <c r="L34" s="361">
        <f ca="1">MAX(Table10[[#This Row],[HH]]*VLOOKUP("Winter Items Other ",NFI,6)-Table10[[#This Row],[Winter Items Other ]],0)</f>
        <v>190</v>
      </c>
      <c r="M34" s="394" t="str">
        <f>IF(OR(Table10[[#This Row],[Winter Clothes Adult ]]&lt;&gt;0,Table10[[#This Row],[Winter Clothes Children ]]&lt;&gt;0,Table10[[#This Row],[Winter Items Other ]]&lt;&gt;0),"No","")</f>
        <v/>
      </c>
      <c r="N34" s="395">
        <f>COUNTIF(A:A,Table10[[#This Row],[Pcode]])-1</f>
        <v>0</v>
      </c>
    </row>
    <row r="35" spans="1:14" x14ac:dyDescent="0.25">
      <c r="A35" s="320" t="s">
        <v>224</v>
      </c>
      <c r="B35" s="26" t="str">
        <f ca="1">OFFSET(CampList[Priority],MATCH(Table10[[#This Row],[Pcode]],CampList[CP_Pcode],0)-1,0,1,1)</f>
        <v>P3</v>
      </c>
      <c r="C35" s="26" t="str">
        <f ca="1">OFFSET(CampList[Camp],MATCH(Table10[[#This Row],[Pcode]],CampList[CP_Pcode],0)-1,0,1,1)</f>
        <v xml:space="preserve">Seng Ja </v>
      </c>
      <c r="D35" s="26" t="str">
        <f ca="1">OFFSET(CampList[Township],MATCH(Table10[[#This Row],[Pcode]],CampList[CP_Pcode],0)-1,0,1,1)</f>
        <v>Momauk</v>
      </c>
      <c r="E35" s="26">
        <f ca="1">OFFSET(CampList[HH],MATCH(Table10[[#This Row],[Pcode]],CampList[CP_Pcode],0)-1,0,1,1)</f>
        <v>39</v>
      </c>
      <c r="F35" s="26">
        <f ca="1">OFFSET(CampList[Total],MATCH(Table10[[#This Row],[Pcode]],CampList[CP_Pcode],0)-1,0,1,1)</f>
        <v>249</v>
      </c>
      <c r="G35" s="361">
        <f>SUMIF('NFI Tracking'!AO$11:AO$1048576,Table10[[#This Row],[Pcode]],'NFI Tracking'!AI$11:AI$1048576)</f>
        <v>0</v>
      </c>
      <c r="H35" s="361">
        <f>SUMIF('NFI Tracking'!AO$11:AO$1048576,Table10[[#This Row],[Pcode]],'NFI Tracking'!AJ$11:AJ$1048576)</f>
        <v>0</v>
      </c>
      <c r="I35" s="361">
        <f>SUMIF('NFI Tracking'!AO$11:AO$1048576,Table10[[#This Row],[Pcode]],'NFI Tracking'!AK$11:AK$1048576)</f>
        <v>0</v>
      </c>
      <c r="J35" s="361">
        <f ca="1">MAX(Table10[[#This Row],[HH]]*VLOOKUP("Winter Clothes Adult",NFI,6)-Table10[[#This Row],[Winter Clothes Adult ]],0)</f>
        <v>78</v>
      </c>
      <c r="K35" s="361">
        <f ca="1">MAX(Table10[[#This Row],[HH]]*VLOOKUP("Winter Clothes Children ",NFI,6)-Table10[[#This Row],[Winter Clothes Children ]],0)</f>
        <v>39</v>
      </c>
      <c r="L35" s="361">
        <f ca="1">MAX(Table10[[#This Row],[HH]]*VLOOKUP("Winter Items Other ",NFI,6)-Table10[[#This Row],[Winter Items Other ]],0)</f>
        <v>39</v>
      </c>
      <c r="M35" s="394" t="str">
        <f>IF(OR(Table10[[#This Row],[Winter Clothes Adult ]]&lt;&gt;0,Table10[[#This Row],[Winter Clothes Children ]]&lt;&gt;0,Table10[[#This Row],[Winter Items Other ]]&lt;&gt;0),"No","")</f>
        <v/>
      </c>
      <c r="N35" s="395">
        <f>COUNTIF(A:A,Table10[[#This Row],[Pcode]])-1</f>
        <v>0</v>
      </c>
    </row>
    <row r="36" spans="1:14" x14ac:dyDescent="0.25">
      <c r="A36" s="320" t="s">
        <v>228</v>
      </c>
      <c r="B36" s="26" t="str">
        <f ca="1">OFFSET(CampList[Priority],MATCH(Table10[[#This Row],[Pcode]],CampList[CP_Pcode],0)-1,0,1,1)</f>
        <v>P3</v>
      </c>
      <c r="C36" s="26" t="str">
        <f ca="1">OFFSET(CampList[Camp],MATCH(Table10[[#This Row],[Pcode]],CampList[CP_Pcode],0)-1,0,1,1)</f>
        <v xml:space="preserve">Nyaung Na Pin </v>
      </c>
      <c r="D36" s="26" t="str">
        <f ca="1">OFFSET(CampList[Township],MATCH(Table10[[#This Row],[Pcode]],CampList[CP_Pcode],0)-1,0,1,1)</f>
        <v>Momauk</v>
      </c>
      <c r="E36" s="26">
        <f ca="1">OFFSET(CampList[HH],MATCH(Table10[[#This Row],[Pcode]],CampList[CP_Pcode],0)-1,0,1,1)</f>
        <v>50</v>
      </c>
      <c r="F36" s="26">
        <f ca="1">OFFSET(CampList[Total],MATCH(Table10[[#This Row],[Pcode]],CampList[CP_Pcode],0)-1,0,1,1)</f>
        <v>308</v>
      </c>
      <c r="G36" s="361">
        <f>SUMIF('NFI Tracking'!AO$11:AO$1048576,Table10[[#This Row],[Pcode]],'NFI Tracking'!AI$11:AI$1048576)</f>
        <v>0</v>
      </c>
      <c r="H36" s="361">
        <f>SUMIF('NFI Tracking'!AO$11:AO$1048576,Table10[[#This Row],[Pcode]],'NFI Tracking'!AJ$11:AJ$1048576)</f>
        <v>0</v>
      </c>
      <c r="I36" s="361">
        <f>SUMIF('NFI Tracking'!AO$11:AO$1048576,Table10[[#This Row],[Pcode]],'NFI Tracking'!AK$11:AK$1048576)</f>
        <v>0</v>
      </c>
      <c r="J36" s="361">
        <f ca="1">MAX(Table10[[#This Row],[HH]]*VLOOKUP("Winter Clothes Adult",NFI,6)-Table10[[#This Row],[Winter Clothes Adult ]],0)</f>
        <v>100</v>
      </c>
      <c r="K36" s="361">
        <f ca="1">MAX(Table10[[#This Row],[HH]]*VLOOKUP("Winter Clothes Children ",NFI,6)-Table10[[#This Row],[Winter Clothes Children ]],0)</f>
        <v>50</v>
      </c>
      <c r="L36" s="361">
        <f ca="1">MAX(Table10[[#This Row],[HH]]*VLOOKUP("Winter Items Other ",NFI,6)-Table10[[#This Row],[Winter Items Other ]],0)</f>
        <v>50</v>
      </c>
      <c r="M36" s="394" t="str">
        <f>IF(OR(Table10[[#This Row],[Winter Clothes Adult ]]&lt;&gt;0,Table10[[#This Row],[Winter Clothes Children ]]&lt;&gt;0,Table10[[#This Row],[Winter Items Other ]]&lt;&gt;0),"No","")</f>
        <v/>
      </c>
      <c r="N36" s="395">
        <f>COUNTIF(A:A,Table10[[#This Row],[Pcode]])-1</f>
        <v>0</v>
      </c>
    </row>
    <row r="37" spans="1:14" x14ac:dyDescent="0.25">
      <c r="A37" s="320" t="s">
        <v>898</v>
      </c>
      <c r="B37" s="26" t="str">
        <f ca="1">OFFSET(CampList[Priority],MATCH(Table10[[#This Row],[Pcode]],CampList[CP_Pcode],0)-1,0,1,1)</f>
        <v>P3</v>
      </c>
      <c r="C37" s="26" t="str">
        <f ca="1">OFFSET(CampList[Camp],MATCH(Table10[[#This Row],[Pcode]],CampList[CP_Pcode],0)-1,0,1,1)</f>
        <v>Machanbaw - KBC</v>
      </c>
      <c r="D37" s="26" t="str">
        <f ca="1">OFFSET(CampList[Township],MATCH(Table10[[#This Row],[Pcode]],CampList[CP_Pcode],0)-1,0,1,1)</f>
        <v>Machanbaw</v>
      </c>
      <c r="E37" s="26">
        <f ca="1">OFFSET(CampList[HH],MATCH(Table10[[#This Row],[Pcode]],CampList[CP_Pcode],0)-1,0,1,1)</f>
        <v>0</v>
      </c>
      <c r="F37" s="26">
        <f ca="1">OFFSET(CampList[Total],MATCH(Table10[[#This Row],[Pcode]],CampList[CP_Pcode],0)-1,0,1,1)</f>
        <v>0</v>
      </c>
      <c r="G37" s="361">
        <f>SUMIF('NFI Tracking'!AO$11:AO$1048576,Table10[[#This Row],[Pcode]],'NFI Tracking'!AI$11:AI$1048576)</f>
        <v>0</v>
      </c>
      <c r="H37" s="361">
        <f>SUMIF('NFI Tracking'!AO$11:AO$1048576,Table10[[#This Row],[Pcode]],'NFI Tracking'!AJ$11:AJ$1048576)</f>
        <v>0</v>
      </c>
      <c r="I37" s="361">
        <f>SUMIF('NFI Tracking'!AO$11:AO$1048576,Table10[[#This Row],[Pcode]],'NFI Tracking'!AK$11:AK$1048576)</f>
        <v>0</v>
      </c>
      <c r="J37" s="361">
        <f ca="1">MAX(Table10[[#This Row],[HH]]*VLOOKUP("Winter Clothes Adult",NFI,6)-Table10[[#This Row],[Winter Clothes Adult ]],0)</f>
        <v>0</v>
      </c>
      <c r="K37" s="361">
        <f ca="1">MAX(Table10[[#This Row],[HH]]*VLOOKUP("Winter Clothes Children ",NFI,6)-Table10[[#This Row],[Winter Clothes Children ]],0)</f>
        <v>0</v>
      </c>
      <c r="L37" s="361">
        <f ca="1">MAX(Table10[[#This Row],[HH]]*VLOOKUP("Winter Items Other ",NFI,6)-Table10[[#This Row],[Winter Items Other ]],0)</f>
        <v>0</v>
      </c>
      <c r="M37" s="394" t="str">
        <f>IF(OR(Table10[[#This Row],[Winter Clothes Adult ]]&lt;&gt;0,Table10[[#This Row],[Winter Clothes Children ]]&lt;&gt;0,Table10[[#This Row],[Winter Items Other ]]&lt;&gt;0),"No","")</f>
        <v/>
      </c>
      <c r="N37" s="395">
        <f>COUNTIF(A:A,Table10[[#This Row],[Pcode]])-1</f>
        <v>0</v>
      </c>
    </row>
    <row r="38" spans="1:14" x14ac:dyDescent="0.25">
      <c r="A38" s="320" t="s">
        <v>1046</v>
      </c>
      <c r="B38" s="26" t="str">
        <f ca="1">OFFSET(CampList[Priority],MATCH(Table10[[#This Row],[Pcode]],CampList[CP_Pcode],0)-1,0,1,1)</f>
        <v>P3</v>
      </c>
      <c r="C38" s="26" t="str">
        <f ca="1">OFFSET(CampList[Camp],MATCH(Table10[[#This Row],[Pcode]],CampList[CP_Pcode],0)-1,0,1,1)</f>
        <v>Inn Lel Yan - Host Families</v>
      </c>
      <c r="D38" s="26" t="str">
        <f ca="1">OFFSET(CampList[Township],MATCH(Table10[[#This Row],[Pcode]],CampList[CP_Pcode],0)-1,0,1,1)</f>
        <v>Puta-O</v>
      </c>
      <c r="E38" s="26">
        <f ca="1">OFFSET(CampList[HH],MATCH(Table10[[#This Row],[Pcode]],CampList[CP_Pcode],0)-1,0,1,1)</f>
        <v>10</v>
      </c>
      <c r="F38" s="26">
        <f ca="1">OFFSET(CampList[Total],MATCH(Table10[[#This Row],[Pcode]],CampList[CP_Pcode],0)-1,0,1,1)</f>
        <v>56</v>
      </c>
      <c r="G38" s="361">
        <f>SUMIF('NFI Tracking'!AO$11:AO$1048576,Table10[[#This Row],[Pcode]],'NFI Tracking'!AI$11:AI$1048576)</f>
        <v>0</v>
      </c>
      <c r="H38" s="361">
        <f>SUMIF('NFI Tracking'!AO$11:AO$1048576,Table10[[#This Row],[Pcode]],'NFI Tracking'!AJ$11:AJ$1048576)</f>
        <v>0</v>
      </c>
      <c r="I38" s="361">
        <f>SUMIF('NFI Tracking'!AO$11:AO$1048576,Table10[[#This Row],[Pcode]],'NFI Tracking'!AK$11:AK$1048576)</f>
        <v>0</v>
      </c>
      <c r="J38" s="361">
        <f ca="1">MAX(Table10[[#This Row],[HH]]*VLOOKUP("Winter Clothes Adult",NFI,6)-Table10[[#This Row],[Winter Clothes Adult ]],0)</f>
        <v>20</v>
      </c>
      <c r="K38" s="361">
        <f ca="1">MAX(Table10[[#This Row],[HH]]*VLOOKUP("Winter Clothes Children ",NFI,6)-Table10[[#This Row],[Winter Clothes Children ]],0)</f>
        <v>10</v>
      </c>
      <c r="L38" s="361">
        <f ca="1">MAX(Table10[[#This Row],[HH]]*VLOOKUP("Winter Items Other ",NFI,6)-Table10[[#This Row],[Winter Items Other ]],0)</f>
        <v>10</v>
      </c>
      <c r="M38" s="394" t="str">
        <f>IF(OR(Table10[[#This Row],[Winter Clothes Adult ]]&lt;&gt;0,Table10[[#This Row],[Winter Clothes Children ]]&lt;&gt;0,Table10[[#This Row],[Winter Items Other ]]&lt;&gt;0),"No","")</f>
        <v/>
      </c>
      <c r="N38" s="395">
        <f>COUNTIF(A:A,Table10[[#This Row],[Pcode]])-1</f>
        <v>0</v>
      </c>
    </row>
    <row r="39" spans="1:14" x14ac:dyDescent="0.25">
      <c r="A39" s="320" t="s">
        <v>894</v>
      </c>
      <c r="B39" s="26" t="str">
        <f ca="1">OFFSET(CampList[Priority],MATCH(Table10[[#This Row],[Pcode]],CampList[CP_Pcode],0)-1,0,1,1)</f>
        <v>P3</v>
      </c>
      <c r="C39" s="26" t="str">
        <f ca="1">OFFSET(CampList[Camp],MATCH(Table10[[#This Row],[Pcode]],CampList[CP_Pcode],0)-1,0,1,1)</f>
        <v>Naung Khaing</v>
      </c>
      <c r="D39" s="26" t="str">
        <f ca="1">OFFSET(CampList[Township],MATCH(Table10[[#This Row],[Pcode]],CampList[CP_Pcode],0)-1,0,1,1)</f>
        <v>Puta-O</v>
      </c>
      <c r="E39" s="26">
        <f ca="1">OFFSET(CampList[HH],MATCH(Table10[[#This Row],[Pcode]],CampList[CP_Pcode],0)-1,0,1,1)</f>
        <v>0</v>
      </c>
      <c r="F39" s="26">
        <f ca="1">OFFSET(CampList[Total],MATCH(Table10[[#This Row],[Pcode]],CampList[CP_Pcode],0)-1,0,1,1)</f>
        <v>0</v>
      </c>
      <c r="G39" s="361">
        <f>SUMIF('NFI Tracking'!AO$11:AO$1048576,Table10[[#This Row],[Pcode]],'NFI Tracking'!AI$11:AI$1048576)</f>
        <v>0</v>
      </c>
      <c r="H39" s="361">
        <f>SUMIF('NFI Tracking'!AO$11:AO$1048576,Table10[[#This Row],[Pcode]],'NFI Tracking'!AJ$11:AJ$1048576)</f>
        <v>0</v>
      </c>
      <c r="I39" s="361">
        <f>SUMIF('NFI Tracking'!AO$11:AO$1048576,Table10[[#This Row],[Pcode]],'NFI Tracking'!AK$11:AK$1048576)</f>
        <v>0</v>
      </c>
      <c r="J39" s="361">
        <f ca="1">MAX(Table10[[#This Row],[HH]]*VLOOKUP("Winter Clothes Adult",NFI,6)-Table10[[#This Row],[Winter Clothes Adult ]],0)</f>
        <v>0</v>
      </c>
      <c r="K39" s="361">
        <f ca="1">MAX(Table10[[#This Row],[HH]]*VLOOKUP("Winter Clothes Children ",NFI,6)-Table10[[#This Row],[Winter Clothes Children ]],0)</f>
        <v>0</v>
      </c>
      <c r="L39" s="361">
        <f ca="1">MAX(Table10[[#This Row],[HH]]*VLOOKUP("Winter Items Other ",NFI,6)-Table10[[#This Row],[Winter Items Other ]],0)</f>
        <v>0</v>
      </c>
      <c r="M39" s="394" t="str">
        <f>IF(OR(Table10[[#This Row],[Winter Clothes Adult ]]&lt;&gt;0,Table10[[#This Row],[Winter Clothes Children ]]&lt;&gt;0,Table10[[#This Row],[Winter Items Other ]]&lt;&gt;0),"No","")</f>
        <v/>
      </c>
      <c r="N39" s="395">
        <f>COUNTIF(A:A,Table10[[#This Row],[Pcode]])-1</f>
        <v>0</v>
      </c>
    </row>
    <row r="40" spans="1:14" x14ac:dyDescent="0.25">
      <c r="A40" s="320" t="s">
        <v>299</v>
      </c>
      <c r="B40" s="26" t="str">
        <f ca="1">OFFSET(CampList[Priority],MATCH(Table10[[#This Row],[Pcode]],CampList[CP_Pcode],0)-1,0,1,1)</f>
        <v>P3</v>
      </c>
      <c r="C40" s="26" t="str">
        <f ca="1">OFFSET(CampList[Camp],MATCH(Table10[[#This Row],[Pcode]],CampList[CP_Pcode],0)-1,0,1,1)</f>
        <v>Tote Tan Ward</v>
      </c>
      <c r="D40" s="26" t="str">
        <f ca="1">OFFSET(CampList[Township],MATCH(Table10[[#This Row],[Pcode]],CampList[CP_Pcode],0)-1,0,1,1)</f>
        <v>Puta-O</v>
      </c>
      <c r="E40" s="26">
        <f ca="1">OFFSET(CampList[HH],MATCH(Table10[[#This Row],[Pcode]],CampList[CP_Pcode],0)-1,0,1,1)</f>
        <v>14</v>
      </c>
      <c r="F40" s="26">
        <f ca="1">OFFSET(CampList[Total],MATCH(Table10[[#This Row],[Pcode]],CampList[CP_Pcode],0)-1,0,1,1)</f>
        <v>64</v>
      </c>
      <c r="G40" s="361">
        <f>SUMIF('NFI Tracking'!AO$11:AO$1048576,Table10[[#This Row],[Pcode]],'NFI Tracking'!AI$11:AI$1048576)</f>
        <v>0</v>
      </c>
      <c r="H40" s="361">
        <f>SUMIF('NFI Tracking'!AO$11:AO$1048576,Table10[[#This Row],[Pcode]],'NFI Tracking'!AJ$11:AJ$1048576)</f>
        <v>0</v>
      </c>
      <c r="I40" s="361">
        <f>SUMIF('NFI Tracking'!AO$11:AO$1048576,Table10[[#This Row],[Pcode]],'NFI Tracking'!AK$11:AK$1048576)</f>
        <v>0</v>
      </c>
      <c r="J40" s="361">
        <f ca="1">MAX(Table10[[#This Row],[HH]]*VLOOKUP("Winter Clothes Adult",NFI,6)-Table10[[#This Row],[Winter Clothes Adult ]],0)</f>
        <v>28</v>
      </c>
      <c r="K40" s="361">
        <f ca="1">MAX(Table10[[#This Row],[HH]]*VLOOKUP("Winter Clothes Children ",NFI,6)-Table10[[#This Row],[Winter Clothes Children ]],0)</f>
        <v>14</v>
      </c>
      <c r="L40" s="361">
        <f ca="1">MAX(Table10[[#This Row],[HH]]*VLOOKUP("Winter Items Other ",NFI,6)-Table10[[#This Row],[Winter Items Other ]],0)</f>
        <v>14</v>
      </c>
      <c r="M40" s="394" t="str">
        <f>IF(OR(Table10[[#This Row],[Winter Clothes Adult ]]&lt;&gt;0,Table10[[#This Row],[Winter Clothes Children ]]&lt;&gt;0,Table10[[#This Row],[Winter Items Other ]]&lt;&gt;0),"No","")</f>
        <v/>
      </c>
      <c r="N40" s="395">
        <f>COUNTIF(A:A,Table10[[#This Row],[Pcode]])-1</f>
        <v>0</v>
      </c>
    </row>
    <row r="41" spans="1:14" x14ac:dyDescent="0.25">
      <c r="A41" s="320" t="s">
        <v>382</v>
      </c>
      <c r="B41" s="26" t="str">
        <f ca="1">OFFSET(CampList[Priority],MATCH(Table10[[#This Row],[Pcode]],CampList[CP_Pcode],0)-1,0,1,1)</f>
        <v>P3</v>
      </c>
      <c r="C41" s="26" t="str">
        <f ca="1">OFFSET(CampList[Camp],MATCH(Table10[[#This Row],[Pcode]],CampList[CP_Pcode],0)-1,0,1,1)</f>
        <v>Kone Khem Camp</v>
      </c>
      <c r="D41" s="26" t="str">
        <f ca="1">OFFSET(CampList[Township],MATCH(Table10[[#This Row],[Pcode]],CampList[CP_Pcode],0)-1,0,1,1)</f>
        <v>Kutkai</v>
      </c>
      <c r="E41" s="26">
        <f ca="1">OFFSET(CampList[HH],MATCH(Table10[[#This Row],[Pcode]],CampList[CP_Pcode],0)-1,0,1,1)</f>
        <v>88</v>
      </c>
      <c r="F41" s="26">
        <f ca="1">OFFSET(CampList[Total],MATCH(Table10[[#This Row],[Pcode]],CampList[CP_Pcode],0)-1,0,1,1)</f>
        <v>505</v>
      </c>
      <c r="G41" s="361">
        <f>SUMIF('NFI Tracking'!AO$11:AO$1048576,Table10[[#This Row],[Pcode]],'NFI Tracking'!AI$11:AI$1048576)</f>
        <v>0</v>
      </c>
      <c r="H41" s="361">
        <f>SUMIF('NFI Tracking'!AO$11:AO$1048576,Table10[[#This Row],[Pcode]],'NFI Tracking'!AJ$11:AJ$1048576)</f>
        <v>0</v>
      </c>
      <c r="I41" s="361">
        <f>SUMIF('NFI Tracking'!AO$11:AO$1048576,Table10[[#This Row],[Pcode]],'NFI Tracking'!AK$11:AK$1048576)</f>
        <v>0</v>
      </c>
      <c r="J41" s="361">
        <f ca="1">MAX(Table10[[#This Row],[HH]]*VLOOKUP("Winter Clothes Adult",NFI,6)-Table10[[#This Row],[Winter Clothes Adult ]],0)</f>
        <v>176</v>
      </c>
      <c r="K41" s="361">
        <f ca="1">MAX(Table10[[#This Row],[HH]]*VLOOKUP("Winter Clothes Children ",NFI,6)-Table10[[#This Row],[Winter Clothes Children ]],0)</f>
        <v>88</v>
      </c>
      <c r="L41" s="361">
        <f ca="1">MAX(Table10[[#This Row],[HH]]*VLOOKUP("Winter Items Other ",NFI,6)-Table10[[#This Row],[Winter Items Other ]],0)</f>
        <v>88</v>
      </c>
      <c r="M41" s="394" t="str">
        <f>IF(OR(Table10[[#This Row],[Winter Clothes Adult ]]&lt;&gt;0,Table10[[#This Row],[Winter Clothes Children ]]&lt;&gt;0,Table10[[#This Row],[Winter Items Other ]]&lt;&gt;0),"No","")</f>
        <v/>
      </c>
      <c r="N41" s="395">
        <f>COUNTIF(A:A,Table10[[#This Row],[Pcode]])-1</f>
        <v>0</v>
      </c>
    </row>
    <row r="42" spans="1:14" x14ac:dyDescent="0.25">
      <c r="A42" s="320" t="s">
        <v>383</v>
      </c>
      <c r="B42" s="26" t="str">
        <f ca="1">OFFSET(CampList[Priority],MATCH(Table10[[#This Row],[Pcode]],CampList[CP_Pcode],0)-1,0,1,1)</f>
        <v>P3</v>
      </c>
      <c r="C42" s="26" t="str">
        <f ca="1">OFFSET(CampList[Camp],MATCH(Table10[[#This Row],[Pcode]],CampList[CP_Pcode],0)-1,0,1,1)</f>
        <v>Kutkai downtown (KBC Church)</v>
      </c>
      <c r="D42" s="26" t="str">
        <f ca="1">OFFSET(CampList[Township],MATCH(Table10[[#This Row],[Pcode]],CampList[CP_Pcode],0)-1,0,1,1)</f>
        <v>Kutkai</v>
      </c>
      <c r="E42" s="26">
        <f ca="1">OFFSET(CampList[HH],MATCH(Table10[[#This Row],[Pcode]],CampList[CP_Pcode],0)-1,0,1,1)</f>
        <v>63</v>
      </c>
      <c r="F42" s="26">
        <f ca="1">OFFSET(CampList[Total],MATCH(Table10[[#This Row],[Pcode]],CampList[CP_Pcode],0)-1,0,1,1)</f>
        <v>295</v>
      </c>
      <c r="G42" s="361">
        <f>SUMIF('NFI Tracking'!AO$11:AO$1048576,Table10[[#This Row],[Pcode]],'NFI Tracking'!AI$11:AI$1048576)</f>
        <v>0</v>
      </c>
      <c r="H42" s="361">
        <f>SUMIF('NFI Tracking'!AO$11:AO$1048576,Table10[[#This Row],[Pcode]],'NFI Tracking'!AJ$11:AJ$1048576)</f>
        <v>0</v>
      </c>
      <c r="I42" s="361">
        <f>SUMIF('NFI Tracking'!AO$11:AO$1048576,Table10[[#This Row],[Pcode]],'NFI Tracking'!AK$11:AK$1048576)</f>
        <v>0</v>
      </c>
      <c r="J42" s="361">
        <f ca="1">MAX(Table10[[#This Row],[HH]]*VLOOKUP("Winter Clothes Adult",NFI,6)-Table10[[#This Row],[Winter Clothes Adult ]],0)</f>
        <v>126</v>
      </c>
      <c r="K42" s="361">
        <f ca="1">MAX(Table10[[#This Row],[HH]]*VLOOKUP("Winter Clothes Children ",NFI,6)-Table10[[#This Row],[Winter Clothes Children ]],0)</f>
        <v>63</v>
      </c>
      <c r="L42" s="361">
        <f ca="1">MAX(Table10[[#This Row],[HH]]*VLOOKUP("Winter Items Other ",NFI,6)-Table10[[#This Row],[Winter Items Other ]],0)</f>
        <v>63</v>
      </c>
      <c r="M42" s="394" t="str">
        <f>IF(OR(Table10[[#This Row],[Winter Clothes Adult ]]&lt;&gt;0,Table10[[#This Row],[Winter Clothes Children ]]&lt;&gt;0,Table10[[#This Row],[Winter Items Other ]]&lt;&gt;0),"No","")</f>
        <v/>
      </c>
      <c r="N42" s="395">
        <f>COUNTIF(A:A,Table10[[#This Row],[Pcode]])-1</f>
        <v>0</v>
      </c>
    </row>
    <row r="43" spans="1:14" x14ac:dyDescent="0.25">
      <c r="A43" s="320" t="s">
        <v>384</v>
      </c>
      <c r="B43" s="26" t="str">
        <f ca="1">OFFSET(CampList[Priority],MATCH(Table10[[#This Row],[Pcode]],CampList[CP_Pcode],0)-1,0,1,1)</f>
        <v>P3</v>
      </c>
      <c r="C43" s="26" t="str">
        <f ca="1">OFFSET(CampList[Camp],MATCH(Table10[[#This Row],[Pcode]],CampList[CP_Pcode],0)-1,0,1,1)</f>
        <v>Kutkai downtown (RC Church)</v>
      </c>
      <c r="D43" s="26" t="str">
        <f ca="1">OFFSET(CampList[Township],MATCH(Table10[[#This Row],[Pcode]],CampList[CP_Pcode],0)-1,0,1,1)</f>
        <v>Kutkai</v>
      </c>
      <c r="E43" s="26">
        <f ca="1">OFFSET(CampList[HH],MATCH(Table10[[#This Row],[Pcode]],CampList[CP_Pcode],0)-1,0,1,1)</f>
        <v>31</v>
      </c>
      <c r="F43" s="26">
        <f ca="1">OFFSET(CampList[Total],MATCH(Table10[[#This Row],[Pcode]],CampList[CP_Pcode],0)-1,0,1,1)</f>
        <v>144</v>
      </c>
      <c r="G43" s="361">
        <f>SUMIF('NFI Tracking'!AO$11:AO$1048576,Table10[[#This Row],[Pcode]],'NFI Tracking'!AI$11:AI$1048576)</f>
        <v>0</v>
      </c>
      <c r="H43" s="361">
        <f>SUMIF('NFI Tracking'!AO$11:AO$1048576,Table10[[#This Row],[Pcode]],'NFI Tracking'!AJ$11:AJ$1048576)</f>
        <v>0</v>
      </c>
      <c r="I43" s="361">
        <f>SUMIF('NFI Tracking'!AO$11:AO$1048576,Table10[[#This Row],[Pcode]],'NFI Tracking'!AK$11:AK$1048576)</f>
        <v>0</v>
      </c>
      <c r="J43" s="361">
        <f ca="1">MAX(Table10[[#This Row],[HH]]*VLOOKUP("Winter Clothes Adult",NFI,6)-Table10[[#This Row],[Winter Clothes Adult ]],0)</f>
        <v>62</v>
      </c>
      <c r="K43" s="361">
        <f ca="1">MAX(Table10[[#This Row],[HH]]*VLOOKUP("Winter Clothes Children ",NFI,6)-Table10[[#This Row],[Winter Clothes Children ]],0)</f>
        <v>31</v>
      </c>
      <c r="L43" s="361">
        <f ca="1">MAX(Table10[[#This Row],[HH]]*VLOOKUP("Winter Items Other ",NFI,6)-Table10[[#This Row],[Winter Items Other ]],0)</f>
        <v>31</v>
      </c>
      <c r="M43" s="394" t="str">
        <f>IF(OR(Table10[[#This Row],[Winter Clothes Adult ]]&lt;&gt;0,Table10[[#This Row],[Winter Clothes Children ]]&lt;&gt;0,Table10[[#This Row],[Winter Items Other ]]&lt;&gt;0),"No","")</f>
        <v/>
      </c>
      <c r="N43" s="395">
        <f>COUNTIF(A:A,Table10[[#This Row],[Pcode]])-1</f>
        <v>0</v>
      </c>
    </row>
    <row r="44" spans="1:14" x14ac:dyDescent="0.25">
      <c r="A44" s="320" t="s">
        <v>385</v>
      </c>
      <c r="B44" s="26" t="str">
        <f ca="1">OFFSET(CampList[Priority],MATCH(Table10[[#This Row],[Pcode]],CampList[CP_Pcode],0)-1,0,1,1)</f>
        <v>P3</v>
      </c>
      <c r="C44" s="26" t="str">
        <f ca="1">OFFSET(CampList[Camp],MATCH(Table10[[#This Row],[Pcode]],CampList[CP_Pcode],0)-1,0,1,1)</f>
        <v>Mine Yu Lay village</v>
      </c>
      <c r="D44" s="26" t="str">
        <f ca="1">OFFSET(CampList[Township],MATCH(Table10[[#This Row],[Pcode]],CampList[CP_Pcode],0)-1,0,1,1)</f>
        <v>Kutkai</v>
      </c>
      <c r="E44" s="26">
        <f ca="1">OFFSET(CampList[HH],MATCH(Table10[[#This Row],[Pcode]],CampList[CP_Pcode],0)-1,0,1,1)</f>
        <v>63</v>
      </c>
      <c r="F44" s="26">
        <f ca="1">OFFSET(CampList[Total],MATCH(Table10[[#This Row],[Pcode]],CampList[CP_Pcode],0)-1,0,1,1)</f>
        <v>305</v>
      </c>
      <c r="G44" s="361">
        <f>SUMIF('NFI Tracking'!AO$11:AO$1048576,Table10[[#This Row],[Pcode]],'NFI Tracking'!AI$11:AI$1048576)</f>
        <v>0</v>
      </c>
      <c r="H44" s="361">
        <f>SUMIF('NFI Tracking'!AO$11:AO$1048576,Table10[[#This Row],[Pcode]],'NFI Tracking'!AJ$11:AJ$1048576)</f>
        <v>0</v>
      </c>
      <c r="I44" s="361">
        <f>SUMIF('NFI Tracking'!AO$11:AO$1048576,Table10[[#This Row],[Pcode]],'NFI Tracking'!AK$11:AK$1048576)</f>
        <v>0</v>
      </c>
      <c r="J44" s="361">
        <f ca="1">MAX(Table10[[#This Row],[HH]]*VLOOKUP("Winter Clothes Adult",NFI,6)-Table10[[#This Row],[Winter Clothes Adult ]],0)</f>
        <v>126</v>
      </c>
      <c r="K44" s="361">
        <f ca="1">MAX(Table10[[#This Row],[HH]]*VLOOKUP("Winter Clothes Children ",NFI,6)-Table10[[#This Row],[Winter Clothes Children ]],0)</f>
        <v>63</v>
      </c>
      <c r="L44" s="361">
        <f ca="1">MAX(Table10[[#This Row],[HH]]*VLOOKUP("Winter Items Other ",NFI,6)-Table10[[#This Row],[Winter Items Other ]],0)</f>
        <v>63</v>
      </c>
      <c r="M44" s="394" t="str">
        <f>IF(OR(Table10[[#This Row],[Winter Clothes Adult ]]&lt;&gt;0,Table10[[#This Row],[Winter Clothes Children ]]&lt;&gt;0,Table10[[#This Row],[Winter Items Other ]]&lt;&gt;0),"No","")</f>
        <v/>
      </c>
      <c r="N44" s="395">
        <f>COUNTIF(A:A,Table10[[#This Row],[Pcode]])-1</f>
        <v>0</v>
      </c>
    </row>
    <row r="45" spans="1:14" x14ac:dyDescent="0.25">
      <c r="A45" s="320" t="s">
        <v>148</v>
      </c>
      <c r="B45" s="26" t="str">
        <f ca="1">OFFSET(CampList[Priority],MATCH(Table10[[#This Row],[Pcode]],CampList[CP_Pcode],0)-1,0,1,1)</f>
        <v>P3</v>
      </c>
      <c r="C45" s="26" t="str">
        <f ca="1">OFFSET(CampList[Camp],MATCH(Table10[[#This Row],[Pcode]],CampList[CP_Pcode],0)-1,0,1,1)</f>
        <v xml:space="preserve">Nam Hpak Ka Mare </v>
      </c>
      <c r="D45" s="26" t="str">
        <f ca="1">OFFSET(CampList[Township],MATCH(Table10[[#This Row],[Pcode]],CampList[CP_Pcode],0)-1,0,1,1)</f>
        <v>Kutkai</v>
      </c>
      <c r="E45" s="26">
        <f ca="1">OFFSET(CampList[HH],MATCH(Table10[[#This Row],[Pcode]],CampList[CP_Pcode],0)-1,0,1,1)</f>
        <v>62</v>
      </c>
      <c r="F45" s="26">
        <f ca="1">OFFSET(CampList[Total],MATCH(Table10[[#This Row],[Pcode]],CampList[CP_Pcode],0)-1,0,1,1)</f>
        <v>281</v>
      </c>
      <c r="G45" s="361">
        <f>SUMIF('NFI Tracking'!AO$11:AO$1048576,Table10[[#This Row],[Pcode]],'NFI Tracking'!AI$11:AI$1048576)</f>
        <v>0</v>
      </c>
      <c r="H45" s="361">
        <f>SUMIF('NFI Tracking'!AO$11:AO$1048576,Table10[[#This Row],[Pcode]],'NFI Tracking'!AJ$11:AJ$1048576)</f>
        <v>0</v>
      </c>
      <c r="I45" s="361">
        <f>SUMIF('NFI Tracking'!AO$11:AO$1048576,Table10[[#This Row],[Pcode]],'NFI Tracking'!AK$11:AK$1048576)</f>
        <v>0</v>
      </c>
      <c r="J45" s="361">
        <f ca="1">MAX(Table10[[#This Row],[HH]]*VLOOKUP("Winter Clothes Adult",NFI,6)-Table10[[#This Row],[Winter Clothes Adult ]],0)</f>
        <v>124</v>
      </c>
      <c r="K45" s="361">
        <f ca="1">MAX(Table10[[#This Row],[HH]]*VLOOKUP("Winter Clothes Children ",NFI,6)-Table10[[#This Row],[Winter Clothes Children ]],0)</f>
        <v>62</v>
      </c>
      <c r="L45" s="361">
        <f ca="1">MAX(Table10[[#This Row],[HH]]*VLOOKUP("Winter Items Other ",NFI,6)-Table10[[#This Row],[Winter Items Other ]],0)</f>
        <v>62</v>
      </c>
      <c r="M45" s="394" t="str">
        <f>IF(OR(Table10[[#This Row],[Winter Clothes Adult ]]&lt;&gt;0,Table10[[#This Row],[Winter Clothes Children ]]&lt;&gt;0,Table10[[#This Row],[Winter Items Other ]]&lt;&gt;0),"No","")</f>
        <v/>
      </c>
      <c r="N45" s="395">
        <f>COUNTIF(A:A,Table10[[#This Row],[Pcode]])-1</f>
        <v>0</v>
      </c>
    </row>
    <row r="46" spans="1:14" x14ac:dyDescent="0.25">
      <c r="A46" s="320" t="s">
        <v>387</v>
      </c>
      <c r="B46" s="26" t="str">
        <f ca="1">OFFSET(CampList[Priority],MATCH(Table10[[#This Row],[Pcode]],CampList[CP_Pcode],0)-1,0,1,1)</f>
        <v>P3</v>
      </c>
      <c r="C46" s="26" t="str">
        <f ca="1">OFFSET(CampList[Camp],MATCH(Table10[[#This Row],[Pcode]],CampList[CP_Pcode],0)-1,0,1,1)</f>
        <v>Zup Aung Camp</v>
      </c>
      <c r="D46" s="26" t="str">
        <f ca="1">OFFSET(CampList[Township],MATCH(Table10[[#This Row],[Pcode]],CampList[CP_Pcode],0)-1,0,1,1)</f>
        <v>Kutkai</v>
      </c>
      <c r="E46" s="26">
        <f ca="1">OFFSET(CampList[HH],MATCH(Table10[[#This Row],[Pcode]],CampList[CP_Pcode],0)-1,0,1,1)</f>
        <v>202</v>
      </c>
      <c r="F46" s="26">
        <f ca="1">OFFSET(CampList[Total],MATCH(Table10[[#This Row],[Pcode]],CampList[CP_Pcode],0)-1,0,1,1)</f>
        <v>906</v>
      </c>
      <c r="G46" s="361">
        <f>SUMIF('NFI Tracking'!AO$11:AO$1048576,Table10[[#This Row],[Pcode]],'NFI Tracking'!AI$11:AI$1048576)</f>
        <v>0</v>
      </c>
      <c r="H46" s="361">
        <f>SUMIF('NFI Tracking'!AO$11:AO$1048576,Table10[[#This Row],[Pcode]],'NFI Tracking'!AJ$11:AJ$1048576)</f>
        <v>0</v>
      </c>
      <c r="I46" s="361">
        <f>SUMIF('NFI Tracking'!AO$11:AO$1048576,Table10[[#This Row],[Pcode]],'NFI Tracking'!AK$11:AK$1048576)</f>
        <v>0</v>
      </c>
      <c r="J46" s="361">
        <f ca="1">MAX(Table10[[#This Row],[HH]]*VLOOKUP("Winter Clothes Adult",NFI,6)-Table10[[#This Row],[Winter Clothes Adult ]],0)</f>
        <v>404</v>
      </c>
      <c r="K46" s="361">
        <f ca="1">MAX(Table10[[#This Row],[HH]]*VLOOKUP("Winter Clothes Children ",NFI,6)-Table10[[#This Row],[Winter Clothes Children ]],0)</f>
        <v>202</v>
      </c>
      <c r="L46" s="361">
        <f ca="1">MAX(Table10[[#This Row],[HH]]*VLOOKUP("Winter Items Other ",NFI,6)-Table10[[#This Row],[Winter Items Other ]],0)</f>
        <v>202</v>
      </c>
      <c r="M46" s="394" t="str">
        <f>IF(OR(Table10[[#This Row],[Winter Clothes Adult ]]&lt;&gt;0,Table10[[#This Row],[Winter Clothes Children ]]&lt;&gt;0,Table10[[#This Row],[Winter Items Other ]]&lt;&gt;0),"No","")</f>
        <v/>
      </c>
      <c r="N46" s="395">
        <f>COUNTIF(A:A,Table10[[#This Row],[Pcode]])-1</f>
        <v>0</v>
      </c>
    </row>
    <row r="47" spans="1:14" x14ac:dyDescent="0.25">
      <c r="A47" s="320" t="s">
        <v>825</v>
      </c>
      <c r="B47" s="26" t="str">
        <f ca="1">OFFSET(CampList[Priority],MATCH(Table10[[#This Row],[Pcode]],CampList[CP_Pcode],0)-1,0,1,1)</f>
        <v>P3</v>
      </c>
      <c r="C47" s="26" t="str">
        <f ca="1">OFFSET(CampList[Camp],MATCH(Table10[[#This Row],[Pcode]],CampList[CP_Pcode],0)-1,0,1,1)</f>
        <v>Mandung - RC</v>
      </c>
      <c r="D47" s="26" t="str">
        <f ca="1">OFFSET(CampList[Township],MATCH(Table10[[#This Row],[Pcode]],CampList[CP_Pcode],0)-1,0,1,1)</f>
        <v>Manton</v>
      </c>
      <c r="E47" s="26">
        <f ca="1">OFFSET(CampList[HH],MATCH(Table10[[#This Row],[Pcode]],CampList[CP_Pcode],0)-1,0,1,1)</f>
        <v>31</v>
      </c>
      <c r="F47" s="26">
        <f ca="1">OFFSET(CampList[Total],MATCH(Table10[[#This Row],[Pcode]],CampList[CP_Pcode],0)-1,0,1,1)</f>
        <v>183</v>
      </c>
      <c r="G47" s="361">
        <f>SUMIF('NFI Tracking'!AO$11:AO$1048576,Table10[[#This Row],[Pcode]],'NFI Tracking'!AI$11:AI$1048576)</f>
        <v>0</v>
      </c>
      <c r="H47" s="361">
        <f>SUMIF('NFI Tracking'!AO$11:AO$1048576,Table10[[#This Row],[Pcode]],'NFI Tracking'!AJ$11:AJ$1048576)</f>
        <v>0</v>
      </c>
      <c r="I47" s="361">
        <f>SUMIF('NFI Tracking'!AO$11:AO$1048576,Table10[[#This Row],[Pcode]],'NFI Tracking'!AK$11:AK$1048576)</f>
        <v>0</v>
      </c>
      <c r="J47" s="361">
        <f ca="1">MAX(Table10[[#This Row],[HH]]*VLOOKUP("Winter Clothes Adult",NFI,6)-Table10[[#This Row],[Winter Clothes Adult ]],0)</f>
        <v>62</v>
      </c>
      <c r="K47" s="361">
        <f ca="1">MAX(Table10[[#This Row],[HH]]*VLOOKUP("Winter Clothes Children ",NFI,6)-Table10[[#This Row],[Winter Clothes Children ]],0)</f>
        <v>31</v>
      </c>
      <c r="L47" s="361">
        <f ca="1">MAX(Table10[[#This Row],[HH]]*VLOOKUP("Winter Items Other ",NFI,6)-Table10[[#This Row],[Winter Items Other ]],0)</f>
        <v>31</v>
      </c>
      <c r="M47" s="394" t="str">
        <f>IF(OR(Table10[[#This Row],[Winter Clothes Adult ]]&lt;&gt;0,Table10[[#This Row],[Winter Clothes Children ]]&lt;&gt;0,Table10[[#This Row],[Winter Items Other ]]&lt;&gt;0),"No","")</f>
        <v/>
      </c>
      <c r="N47" s="395">
        <f>COUNTIF(A:A,Table10[[#This Row],[Pcode]])-1</f>
        <v>0</v>
      </c>
    </row>
    <row r="48" spans="1:14" x14ac:dyDescent="0.25">
      <c r="A48" s="320" t="s">
        <v>168</v>
      </c>
      <c r="B48" s="26" t="str">
        <f ca="1">OFFSET(CampList[Priority],MATCH(Table10[[#This Row],[Pcode]],CampList[CP_Pcode],0)-1,0,1,1)</f>
        <v>P3</v>
      </c>
      <c r="C48" s="26" t="str">
        <f ca="1">OFFSET(CampList[Camp],MATCH(Table10[[#This Row],[Pcode]],CampList[CP_Pcode],0)-1,0,1,1)</f>
        <v>Howa</v>
      </c>
      <c r="D48" s="26" t="str">
        <f ca="1">OFFSET(CampList[Township],MATCH(Table10[[#This Row],[Pcode]],CampList[CP_Pcode],0)-1,0,1,1)</f>
        <v>Muse</v>
      </c>
      <c r="E48" s="26">
        <f ca="1">OFFSET(CampList[HH],MATCH(Table10[[#This Row],[Pcode]],CampList[CP_Pcode],0)-1,0,1,1)</f>
        <v>32</v>
      </c>
      <c r="F48" s="26">
        <f ca="1">OFFSET(CampList[Total],MATCH(Table10[[#This Row],[Pcode]],CampList[CP_Pcode],0)-1,0,1,1)</f>
        <v>0</v>
      </c>
      <c r="G48" s="361">
        <f>SUMIF('NFI Tracking'!AO$11:AO$1048576,Table10[[#This Row],[Pcode]],'NFI Tracking'!AI$11:AI$1048576)</f>
        <v>0</v>
      </c>
      <c r="H48" s="361">
        <f>SUMIF('NFI Tracking'!AO$11:AO$1048576,Table10[[#This Row],[Pcode]],'NFI Tracking'!AJ$11:AJ$1048576)</f>
        <v>0</v>
      </c>
      <c r="I48" s="361">
        <f>SUMIF('NFI Tracking'!AO$11:AO$1048576,Table10[[#This Row],[Pcode]],'NFI Tracking'!AK$11:AK$1048576)</f>
        <v>0</v>
      </c>
      <c r="J48" s="361">
        <f ca="1">MAX(Table10[[#This Row],[HH]]*VLOOKUP("Winter Clothes Adult",NFI,6)-Table10[[#This Row],[Winter Clothes Adult ]],0)</f>
        <v>64</v>
      </c>
      <c r="K48" s="361">
        <f ca="1">MAX(Table10[[#This Row],[HH]]*VLOOKUP("Winter Clothes Children ",NFI,6)-Table10[[#This Row],[Winter Clothes Children ]],0)</f>
        <v>32</v>
      </c>
      <c r="L48" s="361">
        <f ca="1">MAX(Table10[[#This Row],[HH]]*VLOOKUP("Winter Items Other ",NFI,6)-Table10[[#This Row],[Winter Items Other ]],0)</f>
        <v>32</v>
      </c>
      <c r="M48" s="394" t="str">
        <f>IF(OR(Table10[[#This Row],[Winter Clothes Adult ]]&lt;&gt;0,Table10[[#This Row],[Winter Clothes Children ]]&lt;&gt;0,Table10[[#This Row],[Winter Items Other ]]&lt;&gt;0),"No","")</f>
        <v/>
      </c>
      <c r="N48" s="395">
        <f>COUNTIF(A:A,Table10[[#This Row],[Pcode]])-1</f>
        <v>0</v>
      </c>
    </row>
    <row r="49" spans="1:14" x14ac:dyDescent="0.25">
      <c r="A49" s="320" t="s">
        <v>170</v>
      </c>
      <c r="B49" s="26" t="str">
        <f ca="1">OFFSET(CampList[Priority],MATCH(Table10[[#This Row],[Pcode]],CampList[CP_Pcode],0)-1,0,1,1)</f>
        <v>P3</v>
      </c>
      <c r="C49" s="26" t="str">
        <f ca="1">OFFSET(CampList[Camp],MATCH(Table10[[#This Row],[Pcode]],CampList[CP_Pcode],0)-1,0,1,1)</f>
        <v>Nam Hkyet</v>
      </c>
      <c r="D49" s="26" t="str">
        <f ca="1">OFFSET(CampList[Township],MATCH(Table10[[#This Row],[Pcode]],CampList[CP_Pcode],0)-1,0,1,1)</f>
        <v>Muse</v>
      </c>
      <c r="E49" s="26">
        <f ca="1">OFFSET(CampList[HH],MATCH(Table10[[#This Row],[Pcode]],CampList[CP_Pcode],0)-1,0,1,1)</f>
        <v>6</v>
      </c>
      <c r="F49" s="26">
        <f ca="1">OFFSET(CampList[Total],MATCH(Table10[[#This Row],[Pcode]],CampList[CP_Pcode],0)-1,0,1,1)</f>
        <v>0</v>
      </c>
      <c r="G49" s="361">
        <f>SUMIF('NFI Tracking'!AO$11:AO$1048576,Table10[[#This Row],[Pcode]],'NFI Tracking'!AI$11:AI$1048576)</f>
        <v>0</v>
      </c>
      <c r="H49" s="361">
        <f>SUMIF('NFI Tracking'!AO$11:AO$1048576,Table10[[#This Row],[Pcode]],'NFI Tracking'!AJ$11:AJ$1048576)</f>
        <v>0</v>
      </c>
      <c r="I49" s="361">
        <f>SUMIF('NFI Tracking'!AO$11:AO$1048576,Table10[[#This Row],[Pcode]],'NFI Tracking'!AK$11:AK$1048576)</f>
        <v>0</v>
      </c>
      <c r="J49" s="361">
        <f ca="1">MAX(Table10[[#This Row],[HH]]*VLOOKUP("Winter Clothes Adult",NFI,6)-Table10[[#This Row],[Winter Clothes Adult ]],0)</f>
        <v>12</v>
      </c>
      <c r="K49" s="361">
        <f ca="1">MAX(Table10[[#This Row],[HH]]*VLOOKUP("Winter Clothes Children ",NFI,6)-Table10[[#This Row],[Winter Clothes Children ]],0)</f>
        <v>6</v>
      </c>
      <c r="L49" s="361">
        <f ca="1">MAX(Table10[[#This Row],[HH]]*VLOOKUP("Winter Items Other ",NFI,6)-Table10[[#This Row],[Winter Items Other ]],0)</f>
        <v>6</v>
      </c>
      <c r="M49" s="394" t="str">
        <f>IF(OR(Table10[[#This Row],[Winter Clothes Adult ]]&lt;&gt;0,Table10[[#This Row],[Winter Clothes Children ]]&lt;&gt;0,Table10[[#This Row],[Winter Items Other ]]&lt;&gt;0),"No","")</f>
        <v/>
      </c>
      <c r="N49" s="395">
        <f>COUNTIF(A:A,Table10[[#This Row],[Pcode]])-1</f>
        <v>0</v>
      </c>
    </row>
    <row r="50" spans="1:14" x14ac:dyDescent="0.25">
      <c r="A50" s="320" t="s">
        <v>291</v>
      </c>
      <c r="B50" s="26" t="str">
        <f ca="1">OFFSET(CampList[Priority],MATCH(Table10[[#This Row],[Pcode]],CampList[CP_Pcode],0)-1,0,1,1)</f>
        <v>P3</v>
      </c>
      <c r="C50" s="26" t="str">
        <f ca="1">OFFSET(CampList[Camp],MATCH(Table10[[#This Row],[Pcode]],CampList[CP_Pcode],0)-1,0,1,1)</f>
        <v>Nam Hkam - Nay Win Ni (Palawng)</v>
      </c>
      <c r="D50" s="26" t="str">
        <f ca="1">OFFSET(CampList[Township],MATCH(Table10[[#This Row],[Pcode]],CampList[CP_Pcode],0)-1,0,1,1)</f>
        <v>Namhkan</v>
      </c>
      <c r="E50" s="26">
        <f ca="1">OFFSET(CampList[HH],MATCH(Table10[[#This Row],[Pcode]],CampList[CP_Pcode],0)-1,0,1,1)</f>
        <v>70</v>
      </c>
      <c r="F50" s="26">
        <f ca="1">OFFSET(CampList[Total],MATCH(Table10[[#This Row],[Pcode]],CampList[CP_Pcode],0)-1,0,1,1)</f>
        <v>368</v>
      </c>
      <c r="G50" s="361">
        <f>SUMIF('NFI Tracking'!AO$11:AO$1048576,Table10[[#This Row],[Pcode]],'NFI Tracking'!AI$11:AI$1048576)</f>
        <v>0</v>
      </c>
      <c r="H50" s="361">
        <f>SUMIF('NFI Tracking'!AO$11:AO$1048576,Table10[[#This Row],[Pcode]],'NFI Tracking'!AJ$11:AJ$1048576)</f>
        <v>0</v>
      </c>
      <c r="I50" s="361">
        <f>SUMIF('NFI Tracking'!AO$11:AO$1048576,Table10[[#This Row],[Pcode]],'NFI Tracking'!AK$11:AK$1048576)</f>
        <v>0</v>
      </c>
      <c r="J50" s="361">
        <f ca="1">MAX(Table10[[#This Row],[HH]]*VLOOKUP("Winter Clothes Adult",NFI,6)-Table10[[#This Row],[Winter Clothes Adult ]],0)</f>
        <v>140</v>
      </c>
      <c r="K50" s="361">
        <f ca="1">MAX(Table10[[#This Row],[HH]]*VLOOKUP("Winter Clothes Children ",NFI,6)-Table10[[#This Row],[Winter Clothes Children ]],0)</f>
        <v>70</v>
      </c>
      <c r="L50" s="361">
        <f ca="1">MAX(Table10[[#This Row],[HH]]*VLOOKUP("Winter Items Other ",NFI,6)-Table10[[#This Row],[Winter Items Other ]],0)</f>
        <v>70</v>
      </c>
      <c r="M50" s="394" t="str">
        <f>IF(OR(Table10[[#This Row],[Winter Clothes Adult ]]&lt;&gt;0,Table10[[#This Row],[Winter Clothes Children ]]&lt;&gt;0,Table10[[#This Row],[Winter Items Other ]]&lt;&gt;0),"No","")</f>
        <v/>
      </c>
      <c r="N50" s="395">
        <f>COUNTIF(A:A,Table10[[#This Row],[Pcode]])-1</f>
        <v>0</v>
      </c>
    </row>
    <row r="51" spans="1:14" x14ac:dyDescent="0.25">
      <c r="A51" s="320" t="s">
        <v>288</v>
      </c>
      <c r="B51" s="26" t="str">
        <f ca="1">OFFSET(CampList[Priority],MATCH(Table10[[#This Row],[Pcode]],CampList[CP_Pcode],0)-1,0,1,1)</f>
        <v>P3</v>
      </c>
      <c r="C51" s="26" t="str">
        <f ca="1">OFFSET(CampList[Camp],MATCH(Table10[[#This Row],[Pcode]],CampList[CP_Pcode],0)-1,0,1,1)</f>
        <v>Nam Hkam (KBC Jaw Wang)</v>
      </c>
      <c r="D51" s="26" t="str">
        <f ca="1">OFFSET(CampList[Township],MATCH(Table10[[#This Row],[Pcode]],CampList[CP_Pcode],0)-1,0,1,1)</f>
        <v>Namhkan</v>
      </c>
      <c r="E51" s="26">
        <f ca="1">OFFSET(CampList[HH],MATCH(Table10[[#This Row],[Pcode]],CampList[CP_Pcode],0)-1,0,1,1)</f>
        <v>73</v>
      </c>
      <c r="F51" s="26">
        <f ca="1">OFFSET(CampList[Total],MATCH(Table10[[#This Row],[Pcode]],CampList[CP_Pcode],0)-1,0,1,1)</f>
        <v>380</v>
      </c>
      <c r="G51" s="361">
        <f>SUMIF('NFI Tracking'!AO$11:AO$1048576,Table10[[#This Row],[Pcode]],'NFI Tracking'!AI$11:AI$1048576)</f>
        <v>0</v>
      </c>
      <c r="H51" s="361">
        <f>SUMIF('NFI Tracking'!AO$11:AO$1048576,Table10[[#This Row],[Pcode]],'NFI Tracking'!AJ$11:AJ$1048576)</f>
        <v>0</v>
      </c>
      <c r="I51" s="361">
        <f>SUMIF('NFI Tracking'!AO$11:AO$1048576,Table10[[#This Row],[Pcode]],'NFI Tracking'!AK$11:AK$1048576)</f>
        <v>0</v>
      </c>
      <c r="J51" s="361">
        <f ca="1">MAX(Table10[[#This Row],[HH]]*VLOOKUP("Winter Clothes Adult",NFI,6)-Table10[[#This Row],[Winter Clothes Adult ]],0)</f>
        <v>146</v>
      </c>
      <c r="K51" s="361">
        <f ca="1">MAX(Table10[[#This Row],[HH]]*VLOOKUP("Winter Clothes Children ",NFI,6)-Table10[[#This Row],[Winter Clothes Children ]],0)</f>
        <v>73</v>
      </c>
      <c r="L51" s="361">
        <f ca="1">MAX(Table10[[#This Row],[HH]]*VLOOKUP("Winter Items Other ",NFI,6)-Table10[[#This Row],[Winter Items Other ]],0)</f>
        <v>73</v>
      </c>
      <c r="M51" s="394" t="str">
        <f>IF(OR(Table10[[#This Row],[Winter Clothes Adult ]]&lt;&gt;0,Table10[[#This Row],[Winter Clothes Children ]]&lt;&gt;0,Table10[[#This Row],[Winter Items Other ]]&lt;&gt;0),"No","")</f>
        <v/>
      </c>
      <c r="N51" s="395">
        <f>COUNTIF(A:A,Table10[[#This Row],[Pcode]])-1</f>
        <v>0</v>
      </c>
    </row>
    <row r="52" spans="1:14" x14ac:dyDescent="0.25">
      <c r="A52" s="320" t="s">
        <v>295</v>
      </c>
      <c r="B52" s="26" t="str">
        <f ca="1">OFFSET(CampList[Priority],MATCH(Table10[[#This Row],[Pcode]],CampList[CP_Pcode],0)-1,0,1,1)</f>
        <v>P3</v>
      </c>
      <c r="C52" s="26" t="str">
        <f ca="1">OFFSET(CampList[Camp],MATCH(Table10[[#This Row],[Pcode]],CampList[CP_Pcode],0)-1,0,1,1)</f>
        <v>Nam Hkam Catholic Church ( St. Thomas I)</v>
      </c>
      <c r="D52" s="26" t="str">
        <f ca="1">OFFSET(CampList[Township],MATCH(Table10[[#This Row],[Pcode]],CampList[CP_Pcode],0)-1,0,1,1)</f>
        <v>Namhkan</v>
      </c>
      <c r="E52" s="26">
        <f ca="1">OFFSET(CampList[HH],MATCH(Table10[[#This Row],[Pcode]],CampList[CP_Pcode],0)-1,0,1,1)</f>
        <v>48</v>
      </c>
      <c r="F52" s="26">
        <f ca="1">OFFSET(CampList[Total],MATCH(Table10[[#This Row],[Pcode]],CampList[CP_Pcode],0)-1,0,1,1)</f>
        <v>218</v>
      </c>
      <c r="G52" s="361">
        <f>SUMIF('NFI Tracking'!AO$11:AO$1048576,Table10[[#This Row],[Pcode]],'NFI Tracking'!AI$11:AI$1048576)</f>
        <v>0</v>
      </c>
      <c r="H52" s="361">
        <f>SUMIF('NFI Tracking'!AO$11:AO$1048576,Table10[[#This Row],[Pcode]],'NFI Tracking'!AJ$11:AJ$1048576)</f>
        <v>0</v>
      </c>
      <c r="I52" s="361">
        <f>SUMIF('NFI Tracking'!AO$11:AO$1048576,Table10[[#This Row],[Pcode]],'NFI Tracking'!AK$11:AK$1048576)</f>
        <v>0</v>
      </c>
      <c r="J52" s="361">
        <f ca="1">MAX(Table10[[#This Row],[HH]]*VLOOKUP("Winter Clothes Adult",NFI,6)-Table10[[#This Row],[Winter Clothes Adult ]],0)</f>
        <v>96</v>
      </c>
      <c r="K52" s="361">
        <f ca="1">MAX(Table10[[#This Row],[HH]]*VLOOKUP("Winter Clothes Children ",NFI,6)-Table10[[#This Row],[Winter Clothes Children ]],0)</f>
        <v>48</v>
      </c>
      <c r="L52" s="361">
        <f ca="1">MAX(Table10[[#This Row],[HH]]*VLOOKUP("Winter Items Other ",NFI,6)-Table10[[#This Row],[Winter Items Other ]],0)</f>
        <v>48</v>
      </c>
      <c r="M52" s="394" t="str">
        <f>IF(OR(Table10[[#This Row],[Winter Clothes Adult ]]&lt;&gt;0,Table10[[#This Row],[Winter Clothes Children ]]&lt;&gt;0,Table10[[#This Row],[Winter Items Other ]]&lt;&gt;0),"No","")</f>
        <v/>
      </c>
      <c r="N52" s="395">
        <f>COUNTIF(A:A,Table10[[#This Row],[Pcode]])-1</f>
        <v>0</v>
      </c>
    </row>
    <row r="53" spans="1:14" x14ac:dyDescent="0.25">
      <c r="A53" s="320" t="s">
        <v>297</v>
      </c>
      <c r="B53" s="26" t="str">
        <f ca="1">OFFSET(CampList[Priority],MATCH(Table10[[#This Row],[Pcode]],CampList[CP_Pcode],0)-1,0,1,1)</f>
        <v>P3</v>
      </c>
      <c r="C53" s="26" t="str">
        <f ca="1">OFFSET(CampList[Camp],MATCH(Table10[[#This Row],[Pcode]],CampList[CP_Pcode],0)-1,0,1,1)</f>
        <v>Nam Tu Baptist</v>
      </c>
      <c r="D53" s="26" t="str">
        <f ca="1">OFFSET(CampList[Township],MATCH(Table10[[#This Row],[Pcode]],CampList[CP_Pcode],0)-1,0,1,1)</f>
        <v>Namtu</v>
      </c>
      <c r="E53" s="26">
        <f ca="1">OFFSET(CampList[HH],MATCH(Table10[[#This Row],[Pcode]],CampList[CP_Pcode],0)-1,0,1,1)</f>
        <v>9</v>
      </c>
      <c r="F53" s="26">
        <f ca="1">OFFSET(CampList[Total],MATCH(Table10[[#This Row],[Pcode]],CampList[CP_Pcode],0)-1,0,1,1)</f>
        <v>37</v>
      </c>
      <c r="G53" s="361">
        <f>SUMIF('NFI Tracking'!AO$11:AO$1048576,Table10[[#This Row],[Pcode]],'NFI Tracking'!AI$11:AI$1048576)</f>
        <v>0</v>
      </c>
      <c r="H53" s="361">
        <f>SUMIF('NFI Tracking'!AO$11:AO$1048576,Table10[[#This Row],[Pcode]],'NFI Tracking'!AJ$11:AJ$1048576)</f>
        <v>0</v>
      </c>
      <c r="I53" s="361">
        <f>SUMIF('NFI Tracking'!AO$11:AO$1048576,Table10[[#This Row],[Pcode]],'NFI Tracking'!AK$11:AK$1048576)</f>
        <v>0</v>
      </c>
      <c r="J53" s="361">
        <f ca="1">MAX(Table10[[#This Row],[HH]]*VLOOKUP("Winter Clothes Adult",NFI,6)-Table10[[#This Row],[Winter Clothes Adult ]],0)</f>
        <v>18</v>
      </c>
      <c r="K53" s="361">
        <f ca="1">MAX(Table10[[#This Row],[HH]]*VLOOKUP("Winter Clothes Children ",NFI,6)-Table10[[#This Row],[Winter Clothes Children ]],0)</f>
        <v>9</v>
      </c>
      <c r="L53" s="361">
        <f ca="1">MAX(Table10[[#This Row],[HH]]*VLOOKUP("Winter Items Other ",NFI,6)-Table10[[#This Row],[Winter Items Other ]],0)</f>
        <v>9</v>
      </c>
      <c r="M53" s="394" t="str">
        <f>IF(OR(Table10[[#This Row],[Winter Clothes Adult ]]&lt;&gt;0,Table10[[#This Row],[Winter Clothes Children ]]&lt;&gt;0,Table10[[#This Row],[Winter Items Other ]]&lt;&gt;0),"No","")</f>
        <v/>
      </c>
      <c r="N53" s="395">
        <f>COUNTIF(A:A,Table10[[#This Row],[Pcode]])-1</f>
        <v>0</v>
      </c>
    </row>
    <row r="54" spans="1:14" x14ac:dyDescent="0.25">
      <c r="A54" s="320" t="s">
        <v>826</v>
      </c>
      <c r="B54" s="26" t="str">
        <f ca="1">OFFSET(CampList[Priority],MATCH(Table10[[#This Row],[Pcode]],CampList[CP_Pcode],0)-1,0,1,1)</f>
        <v>P3</v>
      </c>
      <c r="C54" s="26" t="str">
        <f ca="1">OFFSET(CampList[Camp],MATCH(Table10[[#This Row],[Pcode]],CampList[CP_Pcode],0)-1,0,1,1)</f>
        <v>Nam Tu RC</v>
      </c>
      <c r="D54" s="26" t="str">
        <f ca="1">OFFSET(CampList[Township],MATCH(Table10[[#This Row],[Pcode]],CampList[CP_Pcode],0)-1,0,1,1)</f>
        <v>Namtu</v>
      </c>
      <c r="E54" s="26">
        <f ca="1">OFFSET(CampList[HH],MATCH(Table10[[#This Row],[Pcode]],CampList[CP_Pcode],0)-1,0,1,1)</f>
        <v>118</v>
      </c>
      <c r="F54" s="26">
        <f ca="1">OFFSET(CampList[Total],MATCH(Table10[[#This Row],[Pcode]],CampList[CP_Pcode],0)-1,0,1,1)</f>
        <v>520</v>
      </c>
      <c r="G54" s="361">
        <f>SUMIF('NFI Tracking'!AO$11:AO$1048576,Table10[[#This Row],[Pcode]],'NFI Tracking'!AI$11:AI$1048576)</f>
        <v>0</v>
      </c>
      <c r="H54" s="361">
        <f>SUMIF('NFI Tracking'!AO$11:AO$1048576,Table10[[#This Row],[Pcode]],'NFI Tracking'!AJ$11:AJ$1048576)</f>
        <v>0</v>
      </c>
      <c r="I54" s="361">
        <f>SUMIF('NFI Tracking'!AO$11:AO$1048576,Table10[[#This Row],[Pcode]],'NFI Tracking'!AK$11:AK$1048576)</f>
        <v>0</v>
      </c>
      <c r="J54" s="361">
        <f ca="1">MAX(Table10[[#This Row],[HH]]*VLOOKUP("Winter Clothes Adult",NFI,6)-Table10[[#This Row],[Winter Clothes Adult ]],0)</f>
        <v>236</v>
      </c>
      <c r="K54" s="361">
        <f ca="1">MAX(Table10[[#This Row],[HH]]*VLOOKUP("Winter Clothes Children ",NFI,6)-Table10[[#This Row],[Winter Clothes Children ]],0)</f>
        <v>118</v>
      </c>
      <c r="L54" s="361">
        <f ca="1">MAX(Table10[[#This Row],[HH]]*VLOOKUP("Winter Items Other ",NFI,6)-Table10[[#This Row],[Winter Items Other ]],0)</f>
        <v>118</v>
      </c>
      <c r="M54" s="394" t="str">
        <f>IF(OR(Table10[[#This Row],[Winter Clothes Adult ]]&lt;&gt;0,Table10[[#This Row],[Winter Clothes Children ]]&lt;&gt;0,Table10[[#This Row],[Winter Items Other ]]&lt;&gt;0),"No","")</f>
        <v/>
      </c>
      <c r="N54" s="395">
        <f>COUNTIF(A:A,Table10[[#This Row],[Pcode]])-1</f>
        <v>0</v>
      </c>
    </row>
    <row r="55" spans="1:14" x14ac:dyDescent="0.25">
      <c r="A55" s="320" t="s">
        <v>61</v>
      </c>
      <c r="B55" s="26" t="str">
        <f ca="1">OFFSET(CampList[Priority],MATCH(Table10[[#This Row],[Pcode]],CampList[CP_Pcode],0)-1,0,1,1)</f>
        <v>P4</v>
      </c>
      <c r="C55" s="26" t="str">
        <f ca="1">OFFSET(CampList[Camp],MATCH(Table10[[#This Row],[Pcode]],CampList[CP_Pcode],0)-1,0,1,1)</f>
        <v>5 Ward Baptist Church(lon Khin)</v>
      </c>
      <c r="D55" s="26" t="str">
        <f ca="1">OFFSET(CampList[Township],MATCH(Table10[[#This Row],[Pcode]],CampList[CP_Pcode],0)-1,0,1,1)</f>
        <v>Hpakant</v>
      </c>
      <c r="E55" s="361">
        <f ca="1">OFFSET(CampList[HH],MATCH(Table10[[#This Row],[Pcode]],CampList[CP_Pcode],0)-1,0,1,1)</f>
        <v>77</v>
      </c>
      <c r="F55" s="361">
        <f ca="1">OFFSET(CampList[Total],MATCH(Table10[[#This Row],[Pcode]],CampList[CP_Pcode],0)-1,0,1,1)</f>
        <v>393</v>
      </c>
      <c r="G55" s="361">
        <f>SUMIF('NFI Tracking'!AO$11:AO$1048576,Table10[[#This Row],[Pcode]],'NFI Tracking'!AI$11:AI$1048576)</f>
        <v>0</v>
      </c>
      <c r="H55" s="361">
        <f>SUMIF('NFI Tracking'!AO$11:AO$1048576,Table10[[#This Row],[Pcode]],'NFI Tracking'!AJ$11:AJ$1048576)</f>
        <v>0</v>
      </c>
      <c r="I55" s="361">
        <f>SUMIF('NFI Tracking'!AO$11:AO$1048576,Table10[[#This Row],[Pcode]],'NFI Tracking'!AK$11:AK$1048576)</f>
        <v>0</v>
      </c>
      <c r="J55" s="361">
        <f ca="1">MAX(Table10[[#This Row],[HH]]*VLOOKUP("Winter Clothes Adult",NFI,6)-Table10[[#This Row],[Winter Clothes Adult ]],0)</f>
        <v>154</v>
      </c>
      <c r="K55" s="361">
        <f ca="1">MAX(Table10[[#This Row],[HH]]*VLOOKUP("Winter Clothes Children ",NFI,6)-Table10[[#This Row],[Winter Clothes Children ]],0)</f>
        <v>77</v>
      </c>
      <c r="L55" s="361">
        <f ca="1">MAX(Table10[[#This Row],[HH]]*VLOOKUP("Winter Items Other ",NFI,6)-Table10[[#This Row],[Winter Items Other ]],0)</f>
        <v>77</v>
      </c>
      <c r="M55" s="394" t="str">
        <f>IF(OR(Table10[[#This Row],[Winter Clothes Adult ]]&lt;&gt;0,Table10[[#This Row],[Winter Clothes Children ]]&lt;&gt;0,Table10[[#This Row],[Winter Items Other ]]&lt;&gt;0),"No","")</f>
        <v/>
      </c>
      <c r="N55" s="395">
        <f>COUNTIF(A:A,Table10[[#This Row],[Pcode]])-1</f>
        <v>0</v>
      </c>
    </row>
    <row r="56" spans="1:14" x14ac:dyDescent="0.25">
      <c r="A56" s="320" t="s">
        <v>119</v>
      </c>
      <c r="B56" s="26" t="str">
        <f ca="1">OFFSET(CampList[Priority],MATCH(Table10[[#This Row],[Pcode]],CampList[CP_Pcode],0)-1,0,1,1)</f>
        <v>P4</v>
      </c>
      <c r="C56" s="26" t="str">
        <f ca="1">OFFSET(CampList[Camp],MATCH(Table10[[#This Row],[Pcode]],CampList[CP_Pcode],0)-1,0,1,1)</f>
        <v>5 Ward RC Church(lon Khin)</v>
      </c>
      <c r="D56" s="26" t="str">
        <f ca="1">OFFSET(CampList[Township],MATCH(Table10[[#This Row],[Pcode]],CampList[CP_Pcode],0)-1,0,1,1)</f>
        <v>Hpakant</v>
      </c>
      <c r="E56" s="361">
        <f ca="1">OFFSET(CampList[HH],MATCH(Table10[[#This Row],[Pcode]],CampList[CP_Pcode],0)-1,0,1,1)</f>
        <v>66</v>
      </c>
      <c r="F56" s="361">
        <f ca="1">OFFSET(CampList[Total],MATCH(Table10[[#This Row],[Pcode]],CampList[CP_Pcode],0)-1,0,1,1)</f>
        <v>367</v>
      </c>
      <c r="G56" s="361">
        <f>SUMIF('NFI Tracking'!AO$11:AO$1048576,Table10[[#This Row],[Pcode]],'NFI Tracking'!AI$11:AI$1048576)</f>
        <v>0</v>
      </c>
      <c r="H56" s="361">
        <f>SUMIF('NFI Tracking'!AO$11:AO$1048576,Table10[[#This Row],[Pcode]],'NFI Tracking'!AJ$11:AJ$1048576)</f>
        <v>0</v>
      </c>
      <c r="I56" s="361">
        <f>SUMIF('NFI Tracking'!AO$11:AO$1048576,Table10[[#This Row],[Pcode]],'NFI Tracking'!AK$11:AK$1048576)</f>
        <v>0</v>
      </c>
      <c r="J56" s="361">
        <f ca="1">MAX(Table10[[#This Row],[HH]]*VLOOKUP("Winter Clothes Adult",NFI,6)-Table10[[#This Row],[Winter Clothes Adult ]],0)</f>
        <v>132</v>
      </c>
      <c r="K56" s="361">
        <f ca="1">MAX(Table10[[#This Row],[HH]]*VLOOKUP("Winter Clothes Children ",NFI,6)-Table10[[#This Row],[Winter Clothes Children ]],0)</f>
        <v>66</v>
      </c>
      <c r="L56" s="361">
        <f ca="1">MAX(Table10[[#This Row],[HH]]*VLOOKUP("Winter Items Other ",NFI,6)-Table10[[#This Row],[Winter Items Other ]],0)</f>
        <v>66</v>
      </c>
      <c r="M56" s="394" t="str">
        <f>IF(OR(Table10[[#This Row],[Winter Clothes Adult ]]&lt;&gt;0,Table10[[#This Row],[Winter Clothes Children ]]&lt;&gt;0,Table10[[#This Row],[Winter Items Other ]]&lt;&gt;0),"No","")</f>
        <v/>
      </c>
      <c r="N56" s="395">
        <f>COUNTIF(A:A,Table10[[#This Row],[Pcode]])-1</f>
        <v>0</v>
      </c>
    </row>
    <row r="57" spans="1:14" x14ac:dyDescent="0.25">
      <c r="A57" s="320" t="s">
        <v>4</v>
      </c>
      <c r="B57" s="26" t="str">
        <f ca="1">OFFSET(CampList[Priority],MATCH(Table10[[#This Row],[Pcode]],CampList[CP_Pcode],0)-1,0,1,1)</f>
        <v>P4</v>
      </c>
      <c r="C57" s="26" t="str">
        <f ca="1">OFFSET(CampList[Camp],MATCH(Table10[[#This Row],[Pcode]],CampList[CP_Pcode],0)-1,0,1,1)</f>
        <v>AD-2000 Tharthana Compound</v>
      </c>
      <c r="D57" s="26" t="str">
        <f ca="1">OFFSET(CampList[Township],MATCH(Table10[[#This Row],[Pcode]],CampList[CP_Pcode],0)-1,0,1,1)</f>
        <v>Bhamo</v>
      </c>
      <c r="E57" s="361">
        <f ca="1">OFFSET(CampList[HH],MATCH(Table10[[#This Row],[Pcode]],CampList[CP_Pcode],0)-1,0,1,1)</f>
        <v>274</v>
      </c>
      <c r="F57" s="361">
        <f ca="1">OFFSET(CampList[Total],MATCH(Table10[[#This Row],[Pcode]],CampList[CP_Pcode],0)-1,0,1,1)</f>
        <v>1349</v>
      </c>
      <c r="G57" s="361">
        <f>SUMIF('NFI Tracking'!AO$11:AO$1048576,Table10[[#This Row],[Pcode]],'NFI Tracking'!AI$11:AI$1048576)</f>
        <v>0</v>
      </c>
      <c r="H57" s="361">
        <f>SUMIF('NFI Tracking'!AO$11:AO$1048576,Table10[[#This Row],[Pcode]],'NFI Tracking'!AJ$11:AJ$1048576)</f>
        <v>0</v>
      </c>
      <c r="I57" s="361">
        <f>SUMIF('NFI Tracking'!AO$11:AO$1048576,Table10[[#This Row],[Pcode]],'NFI Tracking'!AK$11:AK$1048576)</f>
        <v>0</v>
      </c>
      <c r="J57" s="361">
        <f ca="1">MAX(Table10[[#This Row],[HH]]*VLOOKUP("Winter Clothes Adult",NFI,6)-Table10[[#This Row],[Winter Clothes Adult ]],0)</f>
        <v>548</v>
      </c>
      <c r="K57" s="361">
        <f ca="1">MAX(Table10[[#This Row],[HH]]*VLOOKUP("Winter Clothes Children ",NFI,6)-Table10[[#This Row],[Winter Clothes Children ]],0)</f>
        <v>274</v>
      </c>
      <c r="L57" s="361">
        <f ca="1">MAX(Table10[[#This Row],[HH]]*VLOOKUP("Winter Items Other ",NFI,6)-Table10[[#This Row],[Winter Items Other ]],0)</f>
        <v>274</v>
      </c>
      <c r="M57" s="394" t="str">
        <f>IF(OR(Table10[[#This Row],[Winter Clothes Adult ]]&lt;&gt;0,Table10[[#This Row],[Winter Clothes Children ]]&lt;&gt;0,Table10[[#This Row],[Winter Items Other ]]&lt;&gt;0),"No","")</f>
        <v/>
      </c>
      <c r="N57" s="395">
        <f>COUNTIF(A:A,Table10[[#This Row],[Pcode]])-1</f>
        <v>0</v>
      </c>
    </row>
    <row r="58" spans="1:14" x14ac:dyDescent="0.25">
      <c r="A58" s="320" t="s">
        <v>40</v>
      </c>
      <c r="B58" s="26" t="str">
        <f ca="1">OFFSET(CampList[Priority],MATCH(Table10[[#This Row],[Pcode]],CampList[CP_Pcode],0)-1,0,1,1)</f>
        <v>P4</v>
      </c>
      <c r="C58" s="26" t="str">
        <f ca="1">OFFSET(CampList[Camp],MATCH(Table10[[#This Row],[Pcode]],CampList[CP_Pcode],0)-1,0,1,1)</f>
        <v>AG Church, Hmaw Si Sa</v>
      </c>
      <c r="D58" s="26" t="str">
        <f ca="1">OFFSET(CampList[Township],MATCH(Table10[[#This Row],[Pcode]],CampList[CP_Pcode],0)-1,0,1,1)</f>
        <v>Hpakant</v>
      </c>
      <c r="E58" s="361">
        <f ca="1">OFFSET(CampList[HH],MATCH(Table10[[#This Row],[Pcode]],CampList[CP_Pcode],0)-1,0,1,1)</f>
        <v>67</v>
      </c>
      <c r="F58" s="361">
        <f ca="1">OFFSET(CampList[Total],MATCH(Table10[[#This Row],[Pcode]],CampList[CP_Pcode],0)-1,0,1,1)</f>
        <v>350</v>
      </c>
      <c r="G58" s="361">
        <f>SUMIF('NFI Tracking'!AO$11:AO$1048576,Table10[[#This Row],[Pcode]],'NFI Tracking'!AI$11:AI$1048576)</f>
        <v>0</v>
      </c>
      <c r="H58" s="361">
        <f>SUMIF('NFI Tracking'!AO$11:AO$1048576,Table10[[#This Row],[Pcode]],'NFI Tracking'!AJ$11:AJ$1048576)</f>
        <v>0</v>
      </c>
      <c r="I58" s="361">
        <f>SUMIF('NFI Tracking'!AO$11:AO$1048576,Table10[[#This Row],[Pcode]],'NFI Tracking'!AK$11:AK$1048576)</f>
        <v>0</v>
      </c>
      <c r="J58" s="361">
        <f ca="1">MAX(Table10[[#This Row],[HH]]*VLOOKUP("Winter Clothes Adult",NFI,6)-Table10[[#This Row],[Winter Clothes Adult ]],0)</f>
        <v>134</v>
      </c>
      <c r="K58" s="361">
        <f ca="1">MAX(Table10[[#This Row],[HH]]*VLOOKUP("Winter Clothes Children ",NFI,6)-Table10[[#This Row],[Winter Clothes Children ]],0)</f>
        <v>67</v>
      </c>
      <c r="L58" s="361">
        <f ca="1">MAX(Table10[[#This Row],[HH]]*VLOOKUP("Winter Items Other ",NFI,6)-Table10[[#This Row],[Winter Items Other ]],0)</f>
        <v>67</v>
      </c>
      <c r="M58" s="394" t="str">
        <f>IF(OR(Table10[[#This Row],[Winter Clothes Adult ]]&lt;&gt;0,Table10[[#This Row],[Winter Clothes Children ]]&lt;&gt;0,Table10[[#This Row],[Winter Items Other ]]&lt;&gt;0),"No","")</f>
        <v/>
      </c>
      <c r="N58" s="395">
        <f>COUNTIF(A:A,Table10[[#This Row],[Pcode]])-1</f>
        <v>0</v>
      </c>
    </row>
    <row r="59" spans="1:14" x14ac:dyDescent="0.25">
      <c r="A59" s="320" t="s">
        <v>42</v>
      </c>
      <c r="B59" s="26" t="str">
        <f ca="1">OFFSET(CampList[Priority],MATCH(Table10[[#This Row],[Pcode]],CampList[CP_Pcode],0)-1,0,1,1)</f>
        <v>P4</v>
      </c>
      <c r="C59" s="26" t="str">
        <f ca="1">OFFSET(CampList[Camp],MATCH(Table10[[#This Row],[Pcode]],CampList[CP_Pcode],0)-1,0,1,1)</f>
        <v>AG Church, Maw Wan</v>
      </c>
      <c r="D59" s="26" t="str">
        <f ca="1">OFFSET(CampList[Township],MATCH(Table10[[#This Row],[Pcode]],CampList[CP_Pcode],0)-1,0,1,1)</f>
        <v>Hpakant</v>
      </c>
      <c r="E59" s="361">
        <f ca="1">OFFSET(CampList[HH],MATCH(Table10[[#This Row],[Pcode]],CampList[CP_Pcode],0)-1,0,1,1)</f>
        <v>14</v>
      </c>
      <c r="F59" s="361">
        <f ca="1">OFFSET(CampList[Total],MATCH(Table10[[#This Row],[Pcode]],CampList[CP_Pcode],0)-1,0,1,1)</f>
        <v>83</v>
      </c>
      <c r="G59" s="361">
        <f>SUMIF('NFI Tracking'!AO$11:AO$1048576,Table10[[#This Row],[Pcode]],'NFI Tracking'!AI$11:AI$1048576)</f>
        <v>0</v>
      </c>
      <c r="H59" s="361">
        <f>SUMIF('NFI Tracking'!AO$11:AO$1048576,Table10[[#This Row],[Pcode]],'NFI Tracking'!AJ$11:AJ$1048576)</f>
        <v>0</v>
      </c>
      <c r="I59" s="361">
        <f>SUMIF('NFI Tracking'!AO$11:AO$1048576,Table10[[#This Row],[Pcode]],'NFI Tracking'!AK$11:AK$1048576)</f>
        <v>0</v>
      </c>
      <c r="J59" s="361">
        <f ca="1">MAX(Table10[[#This Row],[HH]]*VLOOKUP("Winter Clothes Adult",NFI,6)-Table10[[#This Row],[Winter Clothes Adult ]],0)</f>
        <v>28</v>
      </c>
      <c r="K59" s="361">
        <f ca="1">MAX(Table10[[#This Row],[HH]]*VLOOKUP("Winter Clothes Children ",NFI,6)-Table10[[#This Row],[Winter Clothes Children ]],0)</f>
        <v>14</v>
      </c>
      <c r="L59" s="361">
        <f ca="1">MAX(Table10[[#This Row],[HH]]*VLOOKUP("Winter Items Other ",NFI,6)-Table10[[#This Row],[Winter Items Other ]],0)</f>
        <v>14</v>
      </c>
      <c r="M59" s="394" t="str">
        <f>IF(OR(Table10[[#This Row],[Winter Clothes Adult ]]&lt;&gt;0,Table10[[#This Row],[Winter Clothes Children ]]&lt;&gt;0,Table10[[#This Row],[Winter Items Other ]]&lt;&gt;0),"No","")</f>
        <v/>
      </c>
      <c r="N59" s="395">
        <f>COUNTIF(A:A,Table10[[#This Row],[Pcode]])-1</f>
        <v>0</v>
      </c>
    </row>
    <row r="60" spans="1:14" x14ac:dyDescent="0.25">
      <c r="A60" s="320" t="s">
        <v>377</v>
      </c>
      <c r="B60" s="26" t="str">
        <f ca="1">OFFSET(CampList[Priority],MATCH(Table10[[#This Row],[Pcode]],CampList[CP_Pcode],0)-1,0,1,1)</f>
        <v>P4</v>
      </c>
      <c r="C60" s="26" t="str">
        <f ca="1">OFFSET(CampList[Camp],MATCH(Table10[[#This Row],[Pcode]],CampList[CP_Pcode],0)-1,0,1,1)</f>
        <v>Aung Thar Church</v>
      </c>
      <c r="D60" s="26" t="str">
        <f ca="1">OFFSET(CampList[Township],MATCH(Table10[[#This Row],[Pcode]],CampList[CP_Pcode],0)-1,0,1,1)</f>
        <v>Bhamo</v>
      </c>
      <c r="E60" s="361">
        <f ca="1">OFFSET(CampList[HH],MATCH(Table10[[#This Row],[Pcode]],CampList[CP_Pcode],0)-1,0,1,1)</f>
        <v>12</v>
      </c>
      <c r="F60" s="361">
        <f ca="1">OFFSET(CampList[Total],MATCH(Table10[[#This Row],[Pcode]],CampList[CP_Pcode],0)-1,0,1,1)</f>
        <v>54</v>
      </c>
      <c r="G60" s="361">
        <f>SUMIF('NFI Tracking'!AO$11:AO$1048576,Table10[[#This Row],[Pcode]],'NFI Tracking'!AI$11:AI$1048576)</f>
        <v>0</v>
      </c>
      <c r="H60" s="361">
        <f>SUMIF('NFI Tracking'!AO$11:AO$1048576,Table10[[#This Row],[Pcode]],'NFI Tracking'!AJ$11:AJ$1048576)</f>
        <v>0</v>
      </c>
      <c r="I60" s="361">
        <f>SUMIF('NFI Tracking'!AO$11:AO$1048576,Table10[[#This Row],[Pcode]],'NFI Tracking'!AK$11:AK$1048576)</f>
        <v>0</v>
      </c>
      <c r="J60" s="361">
        <f ca="1">MAX(Table10[[#This Row],[HH]]*VLOOKUP("Winter Clothes Adult",NFI,6)-Table10[[#This Row],[Winter Clothes Adult ]],0)</f>
        <v>24</v>
      </c>
      <c r="K60" s="361">
        <f ca="1">MAX(Table10[[#This Row],[HH]]*VLOOKUP("Winter Clothes Children ",NFI,6)-Table10[[#This Row],[Winter Clothes Children ]],0)</f>
        <v>12</v>
      </c>
      <c r="L60" s="361">
        <f ca="1">MAX(Table10[[#This Row],[HH]]*VLOOKUP("Winter Items Other ",NFI,6)-Table10[[#This Row],[Winter Items Other ]],0)</f>
        <v>12</v>
      </c>
      <c r="M60" s="394" t="str">
        <f>IF(OR(Table10[[#This Row],[Winter Clothes Adult ]]&lt;&gt;0,Table10[[#This Row],[Winter Clothes Children ]]&lt;&gt;0,Table10[[#This Row],[Winter Items Other ]]&lt;&gt;0),"No","")</f>
        <v/>
      </c>
      <c r="N60" s="395">
        <f>COUNTIF(A:A,Table10[[#This Row],[Pcode]])-1</f>
        <v>0</v>
      </c>
    </row>
    <row r="61" spans="1:14" x14ac:dyDescent="0.25">
      <c r="A61" s="320" t="s">
        <v>883</v>
      </c>
      <c r="B61" s="26" t="str">
        <f ca="1">OFFSET(CampList[Priority],MATCH(Table10[[#This Row],[Pcode]],CampList[CP_Pcode],0)-1,0,1,1)</f>
        <v>P4</v>
      </c>
      <c r="C61" s="26" t="str">
        <f ca="1">OFFSET(CampList[Camp],MATCH(Table10[[#This Row],[Pcode]],CampList[CP_Pcode],0)-1,0,1,1)</f>
        <v>Ban Hkung Yang</v>
      </c>
      <c r="D61" s="26" t="str">
        <f ca="1">OFFSET(CampList[Township],MATCH(Table10[[#This Row],[Pcode]],CampList[CP_Pcode],0)-1,0,1,1)</f>
        <v>Mansi</v>
      </c>
      <c r="E61" s="361">
        <f ca="1">OFFSET(CampList[HH],MATCH(Table10[[#This Row],[Pcode]],CampList[CP_Pcode],0)-1,0,1,1)</f>
        <v>0</v>
      </c>
      <c r="F61" s="361">
        <f ca="1">OFFSET(CampList[Total],MATCH(Table10[[#This Row],[Pcode]],CampList[CP_Pcode],0)-1,0,1,1)</f>
        <v>0</v>
      </c>
      <c r="G61" s="361">
        <f>SUMIF('NFI Tracking'!AO$11:AO$1048576,Table10[[#This Row],[Pcode]],'NFI Tracking'!AI$11:AI$1048576)</f>
        <v>0</v>
      </c>
      <c r="H61" s="361">
        <f>SUMIF('NFI Tracking'!AO$11:AO$1048576,Table10[[#This Row],[Pcode]],'NFI Tracking'!AJ$11:AJ$1048576)</f>
        <v>0</v>
      </c>
      <c r="I61" s="361">
        <f>SUMIF('NFI Tracking'!AO$11:AO$1048576,Table10[[#This Row],[Pcode]],'NFI Tracking'!AK$11:AK$1048576)</f>
        <v>0</v>
      </c>
      <c r="J61" s="361">
        <f ca="1">MAX(Table10[[#This Row],[HH]]*VLOOKUP("Winter Clothes Adult",NFI,6)-Table10[[#This Row],[Winter Clothes Adult ]],0)</f>
        <v>0</v>
      </c>
      <c r="K61" s="361">
        <f ca="1">MAX(Table10[[#This Row],[HH]]*VLOOKUP("Winter Clothes Children ",NFI,6)-Table10[[#This Row],[Winter Clothes Children ]],0)</f>
        <v>0</v>
      </c>
      <c r="L61" s="361">
        <f ca="1">MAX(Table10[[#This Row],[HH]]*VLOOKUP("Winter Items Other ",NFI,6)-Table10[[#This Row],[Winter Items Other ]],0)</f>
        <v>0</v>
      </c>
      <c r="M61" s="394" t="str">
        <f>IF(OR(Table10[[#This Row],[Winter Clothes Adult ]]&lt;&gt;0,Table10[[#This Row],[Winter Clothes Children ]]&lt;&gt;0,Table10[[#This Row],[Winter Items Other ]]&lt;&gt;0),"No","")</f>
        <v/>
      </c>
      <c r="N61" s="395">
        <f>COUNTIF(A:A,Table10[[#This Row],[Pcode]])-1</f>
        <v>0</v>
      </c>
    </row>
    <row r="62" spans="1:14" x14ac:dyDescent="0.25">
      <c r="A62" s="320" t="s">
        <v>51</v>
      </c>
      <c r="B62" s="26" t="str">
        <f ca="1">OFFSET(CampList[Priority],MATCH(Table10[[#This Row],[Pcode]],CampList[CP_Pcode],0)-1,0,1,1)</f>
        <v>P4</v>
      </c>
      <c r="C62" s="26" t="str">
        <f ca="1">OFFSET(CampList[Camp],MATCH(Table10[[#This Row],[Pcode]],CampList[CP_Pcode],0)-1,0,1,1)</f>
        <v>Baptist Church, Hmaw Si Sar(Lon Khin)</v>
      </c>
      <c r="D62" s="26" t="str">
        <f ca="1">OFFSET(CampList[Township],MATCH(Table10[[#This Row],[Pcode]],CampList[CP_Pcode],0)-1,0,1,1)</f>
        <v>Hpakant</v>
      </c>
      <c r="E62" s="361">
        <f ca="1">OFFSET(CampList[HH],MATCH(Table10[[#This Row],[Pcode]],CampList[CP_Pcode],0)-1,0,1,1)</f>
        <v>36</v>
      </c>
      <c r="F62" s="361">
        <f ca="1">OFFSET(CampList[Total],MATCH(Table10[[#This Row],[Pcode]],CampList[CP_Pcode],0)-1,0,1,1)</f>
        <v>220</v>
      </c>
      <c r="G62" s="361">
        <f>SUMIF('NFI Tracking'!AO$11:AO$1048576,Table10[[#This Row],[Pcode]],'NFI Tracking'!AI$11:AI$1048576)</f>
        <v>0</v>
      </c>
      <c r="H62" s="361">
        <f>SUMIF('NFI Tracking'!AO$11:AO$1048576,Table10[[#This Row],[Pcode]],'NFI Tracking'!AJ$11:AJ$1048576)</f>
        <v>0</v>
      </c>
      <c r="I62" s="361">
        <f>SUMIF('NFI Tracking'!AO$11:AO$1048576,Table10[[#This Row],[Pcode]],'NFI Tracking'!AK$11:AK$1048576)</f>
        <v>0</v>
      </c>
      <c r="J62" s="361">
        <f ca="1">MAX(Table10[[#This Row],[HH]]*VLOOKUP("Winter Clothes Adult",NFI,6)-Table10[[#This Row],[Winter Clothes Adult ]],0)</f>
        <v>72</v>
      </c>
      <c r="K62" s="361">
        <f ca="1">MAX(Table10[[#This Row],[HH]]*VLOOKUP("Winter Clothes Children ",NFI,6)-Table10[[#This Row],[Winter Clothes Children ]],0)</f>
        <v>36</v>
      </c>
      <c r="L62" s="361">
        <f ca="1">MAX(Table10[[#This Row],[HH]]*VLOOKUP("Winter Items Other ",NFI,6)-Table10[[#This Row],[Winter Items Other ]],0)</f>
        <v>36</v>
      </c>
      <c r="M62" s="394" t="str">
        <f>IF(OR(Table10[[#This Row],[Winter Clothes Adult ]]&lt;&gt;0,Table10[[#This Row],[Winter Clothes Children ]]&lt;&gt;0,Table10[[#This Row],[Winter Items Other ]]&lt;&gt;0),"No","")</f>
        <v/>
      </c>
      <c r="N62" s="395">
        <f>COUNTIF(A:A,Table10[[#This Row],[Pcode]])-1</f>
        <v>0</v>
      </c>
    </row>
    <row r="63" spans="1:14" x14ac:dyDescent="0.25">
      <c r="A63" s="320" t="s">
        <v>57</v>
      </c>
      <c r="B63" s="26" t="str">
        <f ca="1">OFFSET(CampList[Priority],MATCH(Table10[[#This Row],[Pcode]],CampList[CP_Pcode],0)-1,0,1,1)</f>
        <v>P4</v>
      </c>
      <c r="C63" s="26" t="str">
        <f ca="1">OFFSET(CampList[Camp],MATCH(Table10[[#This Row],[Pcode]],CampList[CP_Pcode],0)-1,0,1,1)</f>
        <v>Baptist Church, Naung Hmee VT</v>
      </c>
      <c r="D63" s="26" t="str">
        <f ca="1">OFFSET(CampList[Township],MATCH(Table10[[#This Row],[Pcode]],CampList[CP_Pcode],0)-1,0,1,1)</f>
        <v>Hpakant</v>
      </c>
      <c r="E63" s="361">
        <f ca="1">OFFSET(CampList[HH],MATCH(Table10[[#This Row],[Pcode]],CampList[CP_Pcode],0)-1,0,1,1)</f>
        <v>0</v>
      </c>
      <c r="F63" s="361">
        <f ca="1">OFFSET(CampList[Total],MATCH(Table10[[#This Row],[Pcode]],CampList[CP_Pcode],0)-1,0,1,1)</f>
        <v>0</v>
      </c>
      <c r="G63" s="361">
        <f>SUMIF('NFI Tracking'!AO$11:AO$1048576,Table10[[#This Row],[Pcode]],'NFI Tracking'!AI$11:AI$1048576)</f>
        <v>0</v>
      </c>
      <c r="H63" s="361">
        <f>SUMIF('NFI Tracking'!AO$11:AO$1048576,Table10[[#This Row],[Pcode]],'NFI Tracking'!AJ$11:AJ$1048576)</f>
        <v>0</v>
      </c>
      <c r="I63" s="361">
        <f>SUMIF('NFI Tracking'!AO$11:AO$1048576,Table10[[#This Row],[Pcode]],'NFI Tracking'!AK$11:AK$1048576)</f>
        <v>0</v>
      </c>
      <c r="J63" s="361">
        <f ca="1">MAX(Table10[[#This Row],[HH]]*VLOOKUP("Winter Clothes Adult",NFI,6)-Table10[[#This Row],[Winter Clothes Adult ]],0)</f>
        <v>0</v>
      </c>
      <c r="K63" s="361">
        <f ca="1">MAX(Table10[[#This Row],[HH]]*VLOOKUP("Winter Clothes Children ",NFI,6)-Table10[[#This Row],[Winter Clothes Children ]],0)</f>
        <v>0</v>
      </c>
      <c r="L63" s="361">
        <f ca="1">MAX(Table10[[#This Row],[HH]]*VLOOKUP("Winter Items Other ",NFI,6)-Table10[[#This Row],[Winter Items Other ]],0)</f>
        <v>0</v>
      </c>
      <c r="M63" s="394" t="str">
        <f>IF(OR(Table10[[#This Row],[Winter Clothes Adult ]]&lt;&gt;0,Table10[[#This Row],[Winter Clothes Children ]]&lt;&gt;0,Table10[[#This Row],[Winter Items Other ]]&lt;&gt;0),"No","")</f>
        <v/>
      </c>
      <c r="N63" s="395">
        <f>COUNTIF(A:A,Table10[[#This Row],[Pcode]])-1</f>
        <v>0</v>
      </c>
    </row>
    <row r="64" spans="1:14" x14ac:dyDescent="0.25">
      <c r="A64" s="320" t="s">
        <v>71</v>
      </c>
      <c r="B64" s="26" t="str">
        <f ca="1">OFFSET(CampList[Priority],MATCH(Table10[[#This Row],[Pcode]],CampList[CP_Pcode],0)-1,0,1,1)</f>
        <v>P4</v>
      </c>
      <c r="C64" s="26" t="str">
        <f ca="1">OFFSET(CampList[Camp],MATCH(Table10[[#This Row],[Pcode]],CampList[CP_Pcode],0)-1,0,1,1)</f>
        <v>Chin Church, Seik Mu</v>
      </c>
      <c r="D64" s="26" t="str">
        <f ca="1">OFFSET(CampList[Township],MATCH(Table10[[#This Row],[Pcode]],CampList[CP_Pcode],0)-1,0,1,1)</f>
        <v>Hpakant</v>
      </c>
      <c r="E64" s="361">
        <f ca="1">OFFSET(CampList[HH],MATCH(Table10[[#This Row],[Pcode]],CampList[CP_Pcode],0)-1,0,1,1)</f>
        <v>6</v>
      </c>
      <c r="F64" s="361">
        <f ca="1">OFFSET(CampList[Total],MATCH(Table10[[#This Row],[Pcode]],CampList[CP_Pcode],0)-1,0,1,1)</f>
        <v>30</v>
      </c>
      <c r="G64" s="361">
        <f>SUMIF('NFI Tracking'!AO$11:AO$1048576,Table10[[#This Row],[Pcode]],'NFI Tracking'!AI$11:AI$1048576)</f>
        <v>0</v>
      </c>
      <c r="H64" s="361">
        <f>SUMIF('NFI Tracking'!AO$11:AO$1048576,Table10[[#This Row],[Pcode]],'NFI Tracking'!AJ$11:AJ$1048576)</f>
        <v>0</v>
      </c>
      <c r="I64" s="361">
        <f>SUMIF('NFI Tracking'!AO$11:AO$1048576,Table10[[#This Row],[Pcode]],'NFI Tracking'!AK$11:AK$1048576)</f>
        <v>0</v>
      </c>
      <c r="J64" s="361">
        <f ca="1">MAX(Table10[[#This Row],[HH]]*VLOOKUP("Winter Clothes Adult",NFI,6)-Table10[[#This Row],[Winter Clothes Adult ]],0)</f>
        <v>12</v>
      </c>
      <c r="K64" s="361">
        <f ca="1">MAX(Table10[[#This Row],[HH]]*VLOOKUP("Winter Clothes Children ",NFI,6)-Table10[[#This Row],[Winter Clothes Children ]],0)</f>
        <v>6</v>
      </c>
      <c r="L64" s="361">
        <f ca="1">MAX(Table10[[#This Row],[HH]]*VLOOKUP("Winter Items Other ",NFI,6)-Table10[[#This Row],[Winter Items Other ]],0)</f>
        <v>6</v>
      </c>
      <c r="M64" s="394" t="str">
        <f>IF(OR(Table10[[#This Row],[Winter Clothes Adult ]]&lt;&gt;0,Table10[[#This Row],[Winter Clothes Children ]]&lt;&gt;0,Table10[[#This Row],[Winter Items Other ]]&lt;&gt;0),"No","")</f>
        <v/>
      </c>
      <c r="N64" s="395">
        <f>COUNTIF(A:A,Table10[[#This Row],[Pcode]])-1</f>
        <v>0</v>
      </c>
    </row>
    <row r="65" spans="1:14" x14ac:dyDescent="0.25">
      <c r="A65" s="320" t="s">
        <v>75</v>
      </c>
      <c r="B65" s="26" t="str">
        <f ca="1">OFFSET(CampList[Priority],MATCH(Table10[[#This Row],[Pcode]],CampList[CP_Pcode],0)-1,0,1,1)</f>
        <v>P4</v>
      </c>
      <c r="C65" s="26" t="str">
        <f ca="1">OFFSET(CampList[Camp],MATCH(Table10[[#This Row],[Pcode]],CampList[CP_Pcode],0)-1,0,1,1)</f>
        <v>Dhama Rakhita, Nyein Chan Tar Yar Ward(Lon Khin)</v>
      </c>
      <c r="D65" s="26" t="str">
        <f ca="1">OFFSET(CampList[Township],MATCH(Table10[[#This Row],[Pcode]],CampList[CP_Pcode],0)-1,0,1,1)</f>
        <v>Hpakant</v>
      </c>
      <c r="E65" s="361">
        <f ca="1">OFFSET(CampList[HH],MATCH(Table10[[#This Row],[Pcode]],CampList[CP_Pcode],0)-1,0,1,1)</f>
        <v>66</v>
      </c>
      <c r="F65" s="361">
        <f ca="1">OFFSET(CampList[Total],MATCH(Table10[[#This Row],[Pcode]],CampList[CP_Pcode],0)-1,0,1,1)</f>
        <v>356</v>
      </c>
      <c r="G65" s="361">
        <f>SUMIF('NFI Tracking'!AO$11:AO$1048576,Table10[[#This Row],[Pcode]],'NFI Tracking'!AI$11:AI$1048576)</f>
        <v>0</v>
      </c>
      <c r="H65" s="361">
        <f>SUMIF('NFI Tracking'!AO$11:AO$1048576,Table10[[#This Row],[Pcode]],'NFI Tracking'!AJ$11:AJ$1048576)</f>
        <v>0</v>
      </c>
      <c r="I65" s="361">
        <f>SUMIF('NFI Tracking'!AO$11:AO$1048576,Table10[[#This Row],[Pcode]],'NFI Tracking'!AK$11:AK$1048576)</f>
        <v>0</v>
      </c>
      <c r="J65" s="361">
        <f ca="1">MAX(Table10[[#This Row],[HH]]*VLOOKUP("Winter Clothes Adult",NFI,6)-Table10[[#This Row],[Winter Clothes Adult ]],0)</f>
        <v>132</v>
      </c>
      <c r="K65" s="361">
        <f ca="1">MAX(Table10[[#This Row],[HH]]*VLOOKUP("Winter Clothes Children ",NFI,6)-Table10[[#This Row],[Winter Clothes Children ]],0)</f>
        <v>66</v>
      </c>
      <c r="L65" s="361">
        <f ca="1">MAX(Table10[[#This Row],[HH]]*VLOOKUP("Winter Items Other ",NFI,6)-Table10[[#This Row],[Winter Items Other ]],0)</f>
        <v>66</v>
      </c>
      <c r="M65" s="394" t="str">
        <f>IF(OR(Table10[[#This Row],[Winter Clothes Adult ]]&lt;&gt;0,Table10[[#This Row],[Winter Clothes Children ]]&lt;&gt;0,Table10[[#This Row],[Winter Items Other ]]&lt;&gt;0),"No","")</f>
        <v/>
      </c>
      <c r="N65" s="395">
        <f>COUNTIF(A:A,Table10[[#This Row],[Pcode]])-1</f>
        <v>0</v>
      </c>
    </row>
    <row r="66" spans="1:14" x14ac:dyDescent="0.25">
      <c r="A66" s="320" t="s">
        <v>242</v>
      </c>
      <c r="B66" s="26" t="str">
        <f ca="1">OFFSET(CampList[Priority],MATCH(Table10[[#This Row],[Pcode]],CampList[CP_Pcode],0)-1,0,1,1)</f>
        <v>P4</v>
      </c>
      <c r="C66" s="26" t="str">
        <f ca="1">OFFSET(CampList[Camp],MATCH(Table10[[#This Row],[Pcode]],CampList[CP_Pcode],0)-1,0,1,1)</f>
        <v>Du Kahtawng Qtr. 14</v>
      </c>
      <c r="D66" s="26" t="str">
        <f ca="1">OFFSET(CampList[Township],MATCH(Table10[[#This Row],[Pcode]],CampList[CP_Pcode],0)-1,0,1,1)</f>
        <v>Myitkyina</v>
      </c>
      <c r="E66" s="361">
        <f ca="1">OFFSET(CampList[HH],MATCH(Table10[[#This Row],[Pcode]],CampList[CP_Pcode],0)-1,0,1,1)</f>
        <v>6</v>
      </c>
      <c r="F66" s="361">
        <f ca="1">OFFSET(CampList[Total],MATCH(Table10[[#This Row],[Pcode]],CampList[CP_Pcode],0)-1,0,1,1)</f>
        <v>28</v>
      </c>
      <c r="G66" s="361">
        <f>SUMIF('NFI Tracking'!AO$11:AO$1048576,Table10[[#This Row],[Pcode]],'NFI Tracking'!AI$11:AI$1048576)</f>
        <v>0</v>
      </c>
      <c r="H66" s="361">
        <f>SUMIF('NFI Tracking'!AO$11:AO$1048576,Table10[[#This Row],[Pcode]],'NFI Tracking'!AJ$11:AJ$1048576)</f>
        <v>0</v>
      </c>
      <c r="I66" s="361">
        <f>SUMIF('NFI Tracking'!AO$11:AO$1048576,Table10[[#This Row],[Pcode]],'NFI Tracking'!AK$11:AK$1048576)</f>
        <v>0</v>
      </c>
      <c r="J66" s="361">
        <f ca="1">MAX(Table10[[#This Row],[HH]]*VLOOKUP("Winter Clothes Adult",NFI,6)-Table10[[#This Row],[Winter Clothes Adult ]],0)</f>
        <v>12</v>
      </c>
      <c r="K66" s="361">
        <f ca="1">MAX(Table10[[#This Row],[HH]]*VLOOKUP("Winter Clothes Children ",NFI,6)-Table10[[#This Row],[Winter Clothes Children ]],0)</f>
        <v>6</v>
      </c>
      <c r="L66" s="361">
        <f ca="1">MAX(Table10[[#This Row],[HH]]*VLOOKUP("Winter Items Other ",NFI,6)-Table10[[#This Row],[Winter Items Other ]],0)</f>
        <v>6</v>
      </c>
      <c r="M66" s="394" t="str">
        <f>IF(OR(Table10[[#This Row],[Winter Clothes Adult ]]&lt;&gt;0,Table10[[#This Row],[Winter Clothes Children ]]&lt;&gt;0,Table10[[#This Row],[Winter Items Other ]]&lt;&gt;0),"No","")</f>
        <v/>
      </c>
      <c r="N66" s="395">
        <f>COUNTIF(A:A,Table10[[#This Row],[Pcode]])-1</f>
        <v>0</v>
      </c>
    </row>
    <row r="67" spans="1:14" x14ac:dyDescent="0.25">
      <c r="A67" s="320" t="s">
        <v>244</v>
      </c>
      <c r="B67" s="26" t="str">
        <f ca="1">OFFSET(CampList[Priority],MATCH(Table10[[#This Row],[Pcode]],CampList[CP_Pcode],0)-1,0,1,1)</f>
        <v>P4</v>
      </c>
      <c r="C67" s="26" t="str">
        <f ca="1">OFFSET(CampList[Camp],MATCH(Table10[[#This Row],[Pcode]],CampList[CP_Pcode],0)-1,0,1,1)</f>
        <v>Du Kahtawng Qtr. 4</v>
      </c>
      <c r="D67" s="26" t="str">
        <f ca="1">OFFSET(CampList[Township],MATCH(Table10[[#This Row],[Pcode]],CampList[CP_Pcode],0)-1,0,1,1)</f>
        <v>Myitkyina</v>
      </c>
      <c r="E67" s="361">
        <f ca="1">OFFSET(CampList[HH],MATCH(Table10[[#This Row],[Pcode]],CampList[CP_Pcode],0)-1,0,1,1)</f>
        <v>6</v>
      </c>
      <c r="F67" s="361">
        <f ca="1">OFFSET(CampList[Total],MATCH(Table10[[#This Row],[Pcode]],CampList[CP_Pcode],0)-1,0,1,1)</f>
        <v>39</v>
      </c>
      <c r="G67" s="361">
        <f>SUMIF('NFI Tracking'!AO$11:AO$1048576,Table10[[#This Row],[Pcode]],'NFI Tracking'!AI$11:AI$1048576)</f>
        <v>0</v>
      </c>
      <c r="H67" s="361">
        <f>SUMIF('NFI Tracking'!AO$11:AO$1048576,Table10[[#This Row],[Pcode]],'NFI Tracking'!AJ$11:AJ$1048576)</f>
        <v>0</v>
      </c>
      <c r="I67" s="361">
        <f>SUMIF('NFI Tracking'!AO$11:AO$1048576,Table10[[#This Row],[Pcode]],'NFI Tracking'!AK$11:AK$1048576)</f>
        <v>0</v>
      </c>
      <c r="J67" s="361">
        <f ca="1">MAX(Table10[[#This Row],[HH]]*VLOOKUP("Winter Clothes Adult",NFI,6)-Table10[[#This Row],[Winter Clothes Adult ]],0)</f>
        <v>12</v>
      </c>
      <c r="K67" s="361">
        <f ca="1">MAX(Table10[[#This Row],[HH]]*VLOOKUP("Winter Clothes Children ",NFI,6)-Table10[[#This Row],[Winter Clothes Children ]],0)</f>
        <v>6</v>
      </c>
      <c r="L67" s="361">
        <f ca="1">MAX(Table10[[#This Row],[HH]]*VLOOKUP("Winter Items Other ",NFI,6)-Table10[[#This Row],[Winter Items Other ]],0)</f>
        <v>6</v>
      </c>
      <c r="M67" s="394" t="str">
        <f>IF(OR(Table10[[#This Row],[Winter Clothes Adult ]]&lt;&gt;0,Table10[[#This Row],[Winter Clothes Children ]]&lt;&gt;0,Table10[[#This Row],[Winter Items Other ]]&lt;&gt;0),"No","")</f>
        <v/>
      </c>
      <c r="N67" s="395">
        <f>COUNTIF(A:A,Table10[[#This Row],[Pcode]])-1</f>
        <v>0</v>
      </c>
    </row>
    <row r="68" spans="1:14" x14ac:dyDescent="0.25">
      <c r="A68" s="320" t="s">
        <v>246</v>
      </c>
      <c r="B68" s="26" t="str">
        <f ca="1">OFFSET(CampList[Priority],MATCH(Table10[[#This Row],[Pcode]],CampList[CP_Pcode],0)-1,0,1,1)</f>
        <v>P4</v>
      </c>
      <c r="C68" s="26" t="str">
        <f ca="1">OFFSET(CampList[Camp],MATCH(Table10[[#This Row],[Pcode]],CampList[CP_Pcode],0)-1,0,1,1)</f>
        <v>Du Kahtawng Qtr. 5</v>
      </c>
      <c r="D68" s="26" t="str">
        <f ca="1">OFFSET(CampList[Township],MATCH(Table10[[#This Row],[Pcode]],CampList[CP_Pcode],0)-1,0,1,1)</f>
        <v>Myitkyina</v>
      </c>
      <c r="E68" s="361">
        <f ca="1">OFFSET(CampList[HH],MATCH(Table10[[#This Row],[Pcode]],CampList[CP_Pcode],0)-1,0,1,1)</f>
        <v>42</v>
      </c>
      <c r="F68" s="361">
        <f ca="1">OFFSET(CampList[Total],MATCH(Table10[[#This Row],[Pcode]],CampList[CP_Pcode],0)-1,0,1,1)</f>
        <v>211</v>
      </c>
      <c r="G68" s="361">
        <f>SUMIF('NFI Tracking'!AO$11:AO$1048576,Table10[[#This Row],[Pcode]],'NFI Tracking'!AI$11:AI$1048576)</f>
        <v>0</v>
      </c>
      <c r="H68" s="361">
        <f>SUMIF('NFI Tracking'!AO$11:AO$1048576,Table10[[#This Row],[Pcode]],'NFI Tracking'!AJ$11:AJ$1048576)</f>
        <v>0</v>
      </c>
      <c r="I68" s="361">
        <f>SUMIF('NFI Tracking'!AO$11:AO$1048576,Table10[[#This Row],[Pcode]],'NFI Tracking'!AK$11:AK$1048576)</f>
        <v>0</v>
      </c>
      <c r="J68" s="361">
        <f ca="1">MAX(Table10[[#This Row],[HH]]*VLOOKUP("Winter Clothes Adult",NFI,6)-Table10[[#This Row],[Winter Clothes Adult ]],0)</f>
        <v>84</v>
      </c>
      <c r="K68" s="361">
        <f ca="1">MAX(Table10[[#This Row],[HH]]*VLOOKUP("Winter Clothes Children ",NFI,6)-Table10[[#This Row],[Winter Clothes Children ]],0)</f>
        <v>42</v>
      </c>
      <c r="L68" s="361">
        <f ca="1">MAX(Table10[[#This Row],[HH]]*VLOOKUP("Winter Items Other ",NFI,6)-Table10[[#This Row],[Winter Items Other ]],0)</f>
        <v>42</v>
      </c>
      <c r="M68" s="394" t="str">
        <f>IF(OR(Table10[[#This Row],[Winter Clothes Adult ]]&lt;&gt;0,Table10[[#This Row],[Winter Clothes Children ]]&lt;&gt;0,Table10[[#This Row],[Winter Items Other ]]&lt;&gt;0),"No","")</f>
        <v/>
      </c>
      <c r="N68" s="395">
        <f>COUNTIF(A:A,Table10[[#This Row],[Pcode]])-1</f>
        <v>0</v>
      </c>
    </row>
    <row r="69" spans="1:14" x14ac:dyDescent="0.25">
      <c r="A69" s="320" t="s">
        <v>312</v>
      </c>
      <c r="B69" s="26" t="str">
        <f ca="1">OFFSET(CampList[Priority],MATCH(Table10[[#This Row],[Pcode]],CampList[CP_Pcode],0)-1,0,1,1)</f>
        <v>P4</v>
      </c>
      <c r="C69" s="26" t="str">
        <f ca="1">OFFSET(CampList[Camp],MATCH(Table10[[#This Row],[Pcode]],CampList[CP_Pcode],0)-1,0,1,1)</f>
        <v xml:space="preserve">Hkat Cho </v>
      </c>
      <c r="D69" s="26" t="str">
        <f ca="1">OFFSET(CampList[Township],MATCH(Table10[[#This Row],[Pcode]],CampList[CP_Pcode],0)-1,0,1,1)</f>
        <v>Waingmaw</v>
      </c>
      <c r="E69" s="361">
        <f ca="1">OFFSET(CampList[HH],MATCH(Table10[[#This Row],[Pcode]],CampList[CP_Pcode],0)-1,0,1,1)</f>
        <v>99</v>
      </c>
      <c r="F69" s="361">
        <f ca="1">OFFSET(CampList[Total],MATCH(Table10[[#This Row],[Pcode]],CampList[CP_Pcode],0)-1,0,1,1)</f>
        <v>480</v>
      </c>
      <c r="G69" s="361">
        <f>SUMIF('NFI Tracking'!AO$11:AO$1048576,Table10[[#This Row],[Pcode]],'NFI Tracking'!AI$11:AI$1048576)</f>
        <v>0</v>
      </c>
      <c r="H69" s="361">
        <f>SUMIF('NFI Tracking'!AO$11:AO$1048576,Table10[[#This Row],[Pcode]],'NFI Tracking'!AJ$11:AJ$1048576)</f>
        <v>0</v>
      </c>
      <c r="I69" s="361">
        <f>SUMIF('NFI Tracking'!AO$11:AO$1048576,Table10[[#This Row],[Pcode]],'NFI Tracking'!AK$11:AK$1048576)</f>
        <v>0</v>
      </c>
      <c r="J69" s="361">
        <f ca="1">MAX(Table10[[#This Row],[HH]]*VLOOKUP("Winter Clothes Adult",NFI,6)-Table10[[#This Row],[Winter Clothes Adult ]],0)</f>
        <v>198</v>
      </c>
      <c r="K69" s="361">
        <f ca="1">MAX(Table10[[#This Row],[HH]]*VLOOKUP("Winter Clothes Children ",NFI,6)-Table10[[#This Row],[Winter Clothes Children ]],0)</f>
        <v>99</v>
      </c>
      <c r="L69" s="361">
        <f ca="1">MAX(Table10[[#This Row],[HH]]*VLOOKUP("Winter Items Other ",NFI,6)-Table10[[#This Row],[Winter Items Other ]],0)</f>
        <v>99</v>
      </c>
      <c r="M69" s="394" t="str">
        <f>IF(OR(Table10[[#This Row],[Winter Clothes Adult ]]&lt;&gt;0,Table10[[#This Row],[Winter Clothes Children ]]&lt;&gt;0,Table10[[#This Row],[Winter Items Other ]]&lt;&gt;0),"No","")</f>
        <v/>
      </c>
      <c r="N69" s="395">
        <f>COUNTIF(A:A,Table10[[#This Row],[Pcode]])-1</f>
        <v>0</v>
      </c>
    </row>
    <row r="70" spans="1:14" x14ac:dyDescent="0.25">
      <c r="A70" s="320" t="s">
        <v>87</v>
      </c>
      <c r="B70" s="26" t="str">
        <f ca="1">OFFSET(CampList[Priority],MATCH(Table10[[#This Row],[Pcode]],CampList[CP_Pcode],0)-1,0,1,1)</f>
        <v>P4</v>
      </c>
      <c r="C70" s="26" t="str">
        <f ca="1">OFFSET(CampList[Camp],MATCH(Table10[[#This Row],[Pcode]],CampList[CP_Pcode],0)-1,0,1,1)</f>
        <v>Hlaing Naung Baptist</v>
      </c>
      <c r="D70" s="26" t="str">
        <f ca="1">OFFSET(CampList[Township],MATCH(Table10[[#This Row],[Pcode]],CampList[CP_Pcode],0)-1,0,1,1)</f>
        <v>Hpakant</v>
      </c>
      <c r="E70" s="361">
        <f ca="1">OFFSET(CampList[HH],MATCH(Table10[[#This Row],[Pcode]],CampList[CP_Pcode],0)-1,0,1,1)</f>
        <v>14</v>
      </c>
      <c r="F70" s="361">
        <f ca="1">OFFSET(CampList[Total],MATCH(Table10[[#This Row],[Pcode]],CampList[CP_Pcode],0)-1,0,1,1)</f>
        <v>47</v>
      </c>
      <c r="G70" s="361">
        <f>SUMIF('NFI Tracking'!AO$11:AO$1048576,Table10[[#This Row],[Pcode]],'NFI Tracking'!AI$11:AI$1048576)</f>
        <v>0</v>
      </c>
      <c r="H70" s="361">
        <f>SUMIF('NFI Tracking'!AO$11:AO$1048576,Table10[[#This Row],[Pcode]],'NFI Tracking'!AJ$11:AJ$1048576)</f>
        <v>0</v>
      </c>
      <c r="I70" s="361">
        <f>SUMIF('NFI Tracking'!AO$11:AO$1048576,Table10[[#This Row],[Pcode]],'NFI Tracking'!AK$11:AK$1048576)</f>
        <v>0</v>
      </c>
      <c r="J70" s="361">
        <f ca="1">MAX(Table10[[#This Row],[HH]]*VLOOKUP("Winter Clothes Adult",NFI,6)-Table10[[#This Row],[Winter Clothes Adult ]],0)</f>
        <v>28</v>
      </c>
      <c r="K70" s="361">
        <f ca="1">MAX(Table10[[#This Row],[HH]]*VLOOKUP("Winter Clothes Children ",NFI,6)-Table10[[#This Row],[Winter Clothes Children ]],0)</f>
        <v>14</v>
      </c>
      <c r="L70" s="361">
        <f ca="1">MAX(Table10[[#This Row],[HH]]*VLOOKUP("Winter Items Other ",NFI,6)-Table10[[#This Row],[Winter Items Other ]],0)</f>
        <v>14</v>
      </c>
      <c r="M70" s="394" t="str">
        <f>IF(OR(Table10[[#This Row],[Winter Clothes Adult ]]&lt;&gt;0,Table10[[#This Row],[Winter Clothes Children ]]&lt;&gt;0,Table10[[#This Row],[Winter Items Other ]]&lt;&gt;0),"No","")</f>
        <v/>
      </c>
      <c r="N70" s="395">
        <f>COUNTIF(A:A,Table10[[#This Row],[Pcode]])-1</f>
        <v>0</v>
      </c>
    </row>
    <row r="71" spans="1:14" x14ac:dyDescent="0.25">
      <c r="A71" s="320" t="s">
        <v>45</v>
      </c>
      <c r="B71" s="26" t="str">
        <f ca="1">OFFSET(CampList[Priority],MATCH(Table10[[#This Row],[Pcode]],CampList[CP_Pcode],0)-1,0,1,1)</f>
        <v>P4</v>
      </c>
      <c r="C71" s="26" t="str">
        <f ca="1">OFFSET(CampList[Camp],MATCH(Table10[[#This Row],[Pcode]],CampList[CP_Pcode],0)-1,0,1,1)</f>
        <v>Hmaw Wan, Anglican</v>
      </c>
      <c r="D71" s="26" t="str">
        <f ca="1">OFFSET(CampList[Township],MATCH(Table10[[#This Row],[Pcode]],CampList[CP_Pcode],0)-1,0,1,1)</f>
        <v>Hpakant</v>
      </c>
      <c r="E71" s="361">
        <f ca="1">OFFSET(CampList[HH],MATCH(Table10[[#This Row],[Pcode]],CampList[CP_Pcode],0)-1,0,1,1)</f>
        <v>8</v>
      </c>
      <c r="F71" s="361">
        <f ca="1">OFFSET(CampList[Total],MATCH(Table10[[#This Row],[Pcode]],CampList[CP_Pcode],0)-1,0,1,1)</f>
        <v>46</v>
      </c>
      <c r="G71" s="361">
        <f>SUMIF('NFI Tracking'!AO$11:AO$1048576,Table10[[#This Row],[Pcode]],'NFI Tracking'!AI$11:AI$1048576)</f>
        <v>0</v>
      </c>
      <c r="H71" s="361">
        <f>SUMIF('NFI Tracking'!AO$11:AO$1048576,Table10[[#This Row],[Pcode]],'NFI Tracking'!AJ$11:AJ$1048576)</f>
        <v>0</v>
      </c>
      <c r="I71" s="361">
        <f>SUMIF('NFI Tracking'!AO$11:AO$1048576,Table10[[#This Row],[Pcode]],'NFI Tracking'!AK$11:AK$1048576)</f>
        <v>0</v>
      </c>
      <c r="J71" s="361">
        <f ca="1">MAX(Table10[[#This Row],[HH]]*VLOOKUP("Winter Clothes Adult",NFI,6)-Table10[[#This Row],[Winter Clothes Adult ]],0)</f>
        <v>16</v>
      </c>
      <c r="K71" s="361">
        <f ca="1">MAX(Table10[[#This Row],[HH]]*VLOOKUP("Winter Clothes Children ",NFI,6)-Table10[[#This Row],[Winter Clothes Children ]],0)</f>
        <v>8</v>
      </c>
      <c r="L71" s="361">
        <f ca="1">MAX(Table10[[#This Row],[HH]]*VLOOKUP("Winter Items Other ",NFI,6)-Table10[[#This Row],[Winter Items Other ]],0)</f>
        <v>8</v>
      </c>
      <c r="M71" s="394" t="str">
        <f>IF(OR(Table10[[#This Row],[Winter Clothes Adult ]]&lt;&gt;0,Table10[[#This Row],[Winter Clothes Children ]]&lt;&gt;0,Table10[[#This Row],[Winter Items Other ]]&lt;&gt;0),"No","")</f>
        <v/>
      </c>
      <c r="N71" s="395">
        <f>COUNTIF(A:A,Table10[[#This Row],[Pcode]])-1</f>
        <v>0</v>
      </c>
    </row>
    <row r="72" spans="1:14" x14ac:dyDescent="0.25">
      <c r="A72" s="320" t="s">
        <v>11</v>
      </c>
      <c r="B72" s="26" t="str">
        <f ca="1">OFFSET(CampList[Priority],MATCH(Table10[[#This Row],[Pcode]],CampList[CP_Pcode],0)-1,0,1,1)</f>
        <v>P4</v>
      </c>
      <c r="C72" s="26" t="str">
        <f ca="1">OFFSET(CampList[Camp],MATCH(Table10[[#This Row],[Pcode]],CampList[CP_Pcode],0)-1,0,1,1)</f>
        <v>Host Families</v>
      </c>
      <c r="D72" s="26" t="str">
        <f ca="1">OFFSET(CampList[Township],MATCH(Table10[[#This Row],[Pcode]],CampList[CP_Pcode],0)-1,0,1,1)</f>
        <v>Bhamo</v>
      </c>
      <c r="E72" s="361">
        <f ca="1">OFFSET(CampList[HH],MATCH(Table10[[#This Row],[Pcode]],CampList[CP_Pcode],0)-1,0,1,1)</f>
        <v>211</v>
      </c>
      <c r="F72" s="361">
        <f ca="1">OFFSET(CampList[Total],MATCH(Table10[[#This Row],[Pcode]],CampList[CP_Pcode],0)-1,0,1,1)</f>
        <v>989</v>
      </c>
      <c r="G72" s="361">
        <f>SUMIF('NFI Tracking'!AO$11:AO$1048576,Table10[[#This Row],[Pcode]],'NFI Tracking'!AI$11:AI$1048576)</f>
        <v>0</v>
      </c>
      <c r="H72" s="361">
        <f>SUMIF('NFI Tracking'!AO$11:AO$1048576,Table10[[#This Row],[Pcode]],'NFI Tracking'!AJ$11:AJ$1048576)</f>
        <v>0</v>
      </c>
      <c r="I72" s="361">
        <f>SUMIF('NFI Tracking'!AO$11:AO$1048576,Table10[[#This Row],[Pcode]],'NFI Tracking'!AK$11:AK$1048576)</f>
        <v>0</v>
      </c>
      <c r="J72" s="361">
        <f ca="1">MAX(Table10[[#This Row],[HH]]*VLOOKUP("Winter Clothes Adult",NFI,6)-Table10[[#This Row],[Winter Clothes Adult ]],0)</f>
        <v>422</v>
      </c>
      <c r="K72" s="361">
        <f ca="1">MAX(Table10[[#This Row],[HH]]*VLOOKUP("Winter Clothes Children ",NFI,6)-Table10[[#This Row],[Winter Clothes Children ]],0)</f>
        <v>211</v>
      </c>
      <c r="L72" s="361">
        <f ca="1">MAX(Table10[[#This Row],[HH]]*VLOOKUP("Winter Items Other ",NFI,6)-Table10[[#This Row],[Winter Items Other ]],0)</f>
        <v>211</v>
      </c>
      <c r="M72" s="394" t="str">
        <f>IF(OR(Table10[[#This Row],[Winter Clothes Adult ]]&lt;&gt;0,Table10[[#This Row],[Winter Clothes Children ]]&lt;&gt;0,Table10[[#This Row],[Winter Items Other ]]&lt;&gt;0),"No","")</f>
        <v/>
      </c>
      <c r="N72" s="395">
        <f>COUNTIF(A:A,Table10[[#This Row],[Pcode]])-1</f>
        <v>0</v>
      </c>
    </row>
    <row r="73" spans="1:14" x14ac:dyDescent="0.25">
      <c r="A73" s="320" t="s">
        <v>391</v>
      </c>
      <c r="B73" s="26" t="str">
        <f ca="1">OFFSET(CampList[Priority],MATCH(Table10[[#This Row],[Pcode]],CampList[CP_Pcode],0)-1,0,1,1)</f>
        <v>P4</v>
      </c>
      <c r="C73" s="26" t="str">
        <f ca="1">OFFSET(CampList[Camp],MATCH(Table10[[#This Row],[Pcode]],CampList[CP_Pcode],0)-1,0,1,1)</f>
        <v>Host Families</v>
      </c>
      <c r="D73" s="26" t="str">
        <f ca="1">OFFSET(CampList[Township],MATCH(Table10[[#This Row],[Pcode]],CampList[CP_Pcode],0)-1,0,1,1)</f>
        <v>Mansi</v>
      </c>
      <c r="E73" s="361">
        <f ca="1">OFFSET(CampList[HH],MATCH(Table10[[#This Row],[Pcode]],CampList[CP_Pcode],0)-1,0,1,1)</f>
        <v>76</v>
      </c>
      <c r="F73" s="361">
        <f ca="1">OFFSET(CampList[Total],MATCH(Table10[[#This Row],[Pcode]],CampList[CP_Pcode],0)-1,0,1,1)</f>
        <v>256</v>
      </c>
      <c r="G73" s="361">
        <f>SUMIF('NFI Tracking'!AO$11:AO$1048576,Table10[[#This Row],[Pcode]],'NFI Tracking'!AI$11:AI$1048576)</f>
        <v>0</v>
      </c>
      <c r="H73" s="361">
        <f>SUMIF('NFI Tracking'!AO$11:AO$1048576,Table10[[#This Row],[Pcode]],'NFI Tracking'!AJ$11:AJ$1048576)</f>
        <v>0</v>
      </c>
      <c r="I73" s="361">
        <f>SUMIF('NFI Tracking'!AO$11:AO$1048576,Table10[[#This Row],[Pcode]],'NFI Tracking'!AK$11:AK$1048576)</f>
        <v>0</v>
      </c>
      <c r="J73" s="361">
        <f ca="1">MAX(Table10[[#This Row],[HH]]*VLOOKUP("Winter Clothes Adult",NFI,6)-Table10[[#This Row],[Winter Clothes Adult ]],0)</f>
        <v>152</v>
      </c>
      <c r="K73" s="361">
        <f ca="1">MAX(Table10[[#This Row],[HH]]*VLOOKUP("Winter Clothes Children ",NFI,6)-Table10[[#This Row],[Winter Clothes Children ]],0)</f>
        <v>76</v>
      </c>
      <c r="L73" s="361">
        <f ca="1">MAX(Table10[[#This Row],[HH]]*VLOOKUP("Winter Items Other ",NFI,6)-Table10[[#This Row],[Winter Items Other ]],0)</f>
        <v>76</v>
      </c>
      <c r="M73" s="394" t="str">
        <f>IF(OR(Table10[[#This Row],[Winter Clothes Adult ]]&lt;&gt;0,Table10[[#This Row],[Winter Clothes Children ]]&lt;&gt;0,Table10[[#This Row],[Winter Items Other ]]&lt;&gt;0),"No","")</f>
        <v/>
      </c>
      <c r="N73" s="395">
        <f>COUNTIF(A:A,Table10[[#This Row],[Pcode]])-1</f>
        <v>0</v>
      </c>
    </row>
    <row r="74" spans="1:14" x14ac:dyDescent="0.25">
      <c r="A74" s="320" t="s">
        <v>392</v>
      </c>
      <c r="B74" s="26" t="str">
        <f ca="1">OFFSET(CampList[Priority],MATCH(Table10[[#This Row],[Pcode]],CampList[CP_Pcode],0)-1,0,1,1)</f>
        <v>P4</v>
      </c>
      <c r="C74" s="26" t="str">
        <f ca="1">OFFSET(CampList[Camp],MATCH(Table10[[#This Row],[Pcode]],CampList[CP_Pcode],0)-1,0,1,1)</f>
        <v>Host Families</v>
      </c>
      <c r="D74" s="26" t="str">
        <f ca="1">OFFSET(CampList[Township],MATCH(Table10[[#This Row],[Pcode]],CampList[CP_Pcode],0)-1,0,1,1)</f>
        <v>Momauk</v>
      </c>
      <c r="E74" s="361">
        <f ca="1">OFFSET(CampList[HH],MATCH(Table10[[#This Row],[Pcode]],CampList[CP_Pcode],0)-1,0,1,1)</f>
        <v>320</v>
      </c>
      <c r="F74" s="361">
        <f ca="1">OFFSET(CampList[Total],MATCH(Table10[[#This Row],[Pcode]],CampList[CP_Pcode],0)-1,0,1,1)</f>
        <v>1125</v>
      </c>
      <c r="G74" s="361">
        <f>SUMIF('NFI Tracking'!AO$11:AO$1048576,Table10[[#This Row],[Pcode]],'NFI Tracking'!AI$11:AI$1048576)</f>
        <v>0</v>
      </c>
      <c r="H74" s="361">
        <f>SUMIF('NFI Tracking'!AO$11:AO$1048576,Table10[[#This Row],[Pcode]],'NFI Tracking'!AJ$11:AJ$1048576)</f>
        <v>0</v>
      </c>
      <c r="I74" s="361">
        <f>SUMIF('NFI Tracking'!AO$11:AO$1048576,Table10[[#This Row],[Pcode]],'NFI Tracking'!AK$11:AK$1048576)</f>
        <v>0</v>
      </c>
      <c r="J74" s="361">
        <f ca="1">MAX(Table10[[#This Row],[HH]]*VLOOKUP("Winter Clothes Adult",NFI,6)-Table10[[#This Row],[Winter Clothes Adult ]],0)</f>
        <v>640</v>
      </c>
      <c r="K74" s="361">
        <f ca="1">MAX(Table10[[#This Row],[HH]]*VLOOKUP("Winter Clothes Children ",NFI,6)-Table10[[#This Row],[Winter Clothes Children ]],0)</f>
        <v>320</v>
      </c>
      <c r="L74" s="361">
        <f ca="1">MAX(Table10[[#This Row],[HH]]*VLOOKUP("Winter Items Other ",NFI,6)-Table10[[#This Row],[Winter Items Other ]],0)</f>
        <v>320</v>
      </c>
      <c r="M74" s="394" t="str">
        <f>IF(OR(Table10[[#This Row],[Winter Clothes Adult ]]&lt;&gt;0,Table10[[#This Row],[Winter Clothes Children ]]&lt;&gt;0,Table10[[#This Row],[Winter Items Other ]]&lt;&gt;0),"No","")</f>
        <v/>
      </c>
      <c r="N74" s="395">
        <f>COUNTIF(A:A,Table10[[#This Row],[Pcode]])-1</f>
        <v>0</v>
      </c>
    </row>
    <row r="75" spans="1:14" x14ac:dyDescent="0.25">
      <c r="A75" s="320" t="s">
        <v>394</v>
      </c>
      <c r="B75" s="26" t="str">
        <f ca="1">OFFSET(CampList[Priority],MATCH(Table10[[#This Row],[Pcode]],CampList[CP_Pcode],0)-1,0,1,1)</f>
        <v>P4</v>
      </c>
      <c r="C75" s="26" t="str">
        <f ca="1">OFFSET(CampList[Camp],MATCH(Table10[[#This Row],[Pcode]],CampList[CP_Pcode],0)-1,0,1,1)</f>
        <v>Host Families</v>
      </c>
      <c r="D75" s="26" t="str">
        <f ca="1">OFFSET(CampList[Township],MATCH(Table10[[#This Row],[Pcode]],CampList[CP_Pcode],0)-1,0,1,1)</f>
        <v>Shwegu</v>
      </c>
      <c r="E75" s="361">
        <f ca="1">OFFSET(CampList[HH],MATCH(Table10[[#This Row],[Pcode]],CampList[CP_Pcode],0)-1,0,1,1)</f>
        <v>9</v>
      </c>
      <c r="F75" s="361">
        <f ca="1">OFFSET(CampList[Total],MATCH(Table10[[#This Row],[Pcode]],CampList[CP_Pcode],0)-1,0,1,1)</f>
        <v>30</v>
      </c>
      <c r="G75" s="361">
        <f>SUMIF('NFI Tracking'!AO$11:AO$1048576,Table10[[#This Row],[Pcode]],'NFI Tracking'!AI$11:AI$1048576)</f>
        <v>0</v>
      </c>
      <c r="H75" s="361">
        <f>SUMIF('NFI Tracking'!AO$11:AO$1048576,Table10[[#This Row],[Pcode]],'NFI Tracking'!AJ$11:AJ$1048576)</f>
        <v>0</v>
      </c>
      <c r="I75" s="361">
        <f>SUMIF('NFI Tracking'!AO$11:AO$1048576,Table10[[#This Row],[Pcode]],'NFI Tracking'!AK$11:AK$1048576)</f>
        <v>0</v>
      </c>
      <c r="J75" s="361">
        <f ca="1">MAX(Table10[[#This Row],[HH]]*VLOOKUP("Winter Clothes Adult",NFI,6)-Table10[[#This Row],[Winter Clothes Adult ]],0)</f>
        <v>18</v>
      </c>
      <c r="K75" s="361">
        <f ca="1">MAX(Table10[[#This Row],[HH]]*VLOOKUP("Winter Clothes Children ",NFI,6)-Table10[[#This Row],[Winter Clothes Children ]],0)</f>
        <v>9</v>
      </c>
      <c r="L75" s="361">
        <f ca="1">MAX(Table10[[#This Row],[HH]]*VLOOKUP("Winter Items Other ",NFI,6)-Table10[[#This Row],[Winter Items Other ]],0)</f>
        <v>9</v>
      </c>
      <c r="M75" s="394" t="str">
        <f>IF(OR(Table10[[#This Row],[Winter Clothes Adult ]]&lt;&gt;0,Table10[[#This Row],[Winter Clothes Children ]]&lt;&gt;0,Table10[[#This Row],[Winter Items Other ]]&lt;&gt;0),"No","")</f>
        <v/>
      </c>
      <c r="N75" s="395">
        <f>COUNTIF(A:A,Table10[[#This Row],[Pcode]])-1</f>
        <v>0</v>
      </c>
    </row>
    <row r="76" spans="1:14" x14ac:dyDescent="0.25">
      <c r="A76" s="320" t="s">
        <v>388</v>
      </c>
      <c r="B76" s="26" t="str">
        <f ca="1">OFFSET(CampList[Priority],MATCH(Table10[[#This Row],[Pcode]],CampList[CP_Pcode],0)-1,0,1,1)</f>
        <v>P4</v>
      </c>
      <c r="C76" s="26" t="str">
        <f ca="1">OFFSET(CampList[Camp],MATCH(Table10[[#This Row],[Pcode]],CampList[CP_Pcode],0)-1,0,1,1)</f>
        <v>Hpai Kawng Mare</v>
      </c>
      <c r="D76" s="26" t="str">
        <f ca="1">OFFSET(CampList[Township],MATCH(Table10[[#This Row],[Pcode]],CampList[CP_Pcode],0)-1,0,1,1)</f>
        <v>Muse</v>
      </c>
      <c r="E76" s="361">
        <f ca="1">OFFSET(CampList[HH],MATCH(Table10[[#This Row],[Pcode]],CampList[CP_Pcode],0)-1,0,1,1)</f>
        <v>32</v>
      </c>
      <c r="F76" s="361">
        <f ca="1">OFFSET(CampList[Total],MATCH(Table10[[#This Row],[Pcode]],CampList[CP_Pcode],0)-1,0,1,1)</f>
        <v>187</v>
      </c>
      <c r="G76" s="361">
        <f>SUMIF('NFI Tracking'!AO$11:AO$1048576,Table10[[#This Row],[Pcode]],'NFI Tracking'!AI$11:AI$1048576)</f>
        <v>0</v>
      </c>
      <c r="H76" s="361">
        <f>SUMIF('NFI Tracking'!AO$11:AO$1048576,Table10[[#This Row],[Pcode]],'NFI Tracking'!AJ$11:AJ$1048576)</f>
        <v>0</v>
      </c>
      <c r="I76" s="361">
        <f>SUMIF('NFI Tracking'!AO$11:AO$1048576,Table10[[#This Row],[Pcode]],'NFI Tracking'!AK$11:AK$1048576)</f>
        <v>0</v>
      </c>
      <c r="J76" s="361">
        <f ca="1">MAX(Table10[[#This Row],[HH]]*VLOOKUP("Winter Clothes Adult",NFI,6)-Table10[[#This Row],[Winter Clothes Adult ]],0)</f>
        <v>64</v>
      </c>
      <c r="K76" s="361">
        <f ca="1">MAX(Table10[[#This Row],[HH]]*VLOOKUP("Winter Clothes Children ",NFI,6)-Table10[[#This Row],[Winter Clothes Children ]],0)</f>
        <v>32</v>
      </c>
      <c r="L76" s="361">
        <f ca="1">MAX(Table10[[#This Row],[HH]]*VLOOKUP("Winter Items Other ",NFI,6)-Table10[[#This Row],[Winter Items Other ]],0)</f>
        <v>32</v>
      </c>
      <c r="M76" s="394" t="str">
        <f>IF(OR(Table10[[#This Row],[Winter Clothes Adult ]]&lt;&gt;0,Table10[[#This Row],[Winter Clothes Children ]]&lt;&gt;0,Table10[[#This Row],[Winter Items Other ]]&lt;&gt;0),"No","")</f>
        <v/>
      </c>
      <c r="N76" s="395">
        <f>COUNTIF(A:A,Table10[[#This Row],[Pcode]])-1</f>
        <v>0</v>
      </c>
    </row>
    <row r="77" spans="1:14" x14ac:dyDescent="0.25">
      <c r="A77" s="320" t="s">
        <v>1069</v>
      </c>
      <c r="B77" s="26" t="str">
        <f ca="1">OFFSET(CampList[Priority],MATCH(Table10[[#This Row],[Pcode]],CampList[CP_Pcode],0)-1,0,1,1)</f>
        <v>P4</v>
      </c>
      <c r="C77" s="26" t="str">
        <f ca="1">OFFSET(CampList[Camp],MATCH(Table10[[#This Row],[Pcode]],CampList[CP_Pcode],0)-1,0,1,1)</f>
        <v>Hpakant Baptist Church, Nam Ma Hpit</v>
      </c>
      <c r="D77" s="26" t="str">
        <f ca="1">OFFSET(CampList[Township],MATCH(Table10[[#This Row],[Pcode]],CampList[CP_Pcode],0)-1,0,1,1)</f>
        <v>Hpakant</v>
      </c>
      <c r="E77" s="361">
        <f ca="1">OFFSET(CampList[HH],MATCH(Table10[[#This Row],[Pcode]],CampList[CP_Pcode],0)-1,0,1,1)</f>
        <v>116</v>
      </c>
      <c r="F77" s="361">
        <f ca="1">OFFSET(CampList[Total],MATCH(Table10[[#This Row],[Pcode]],CampList[CP_Pcode],0)-1,0,1,1)</f>
        <v>530</v>
      </c>
      <c r="G77" s="361">
        <f>SUMIF('NFI Tracking'!AO$11:AO$1048576,Table10[[#This Row],[Pcode]],'NFI Tracking'!AI$11:AI$1048576)</f>
        <v>0</v>
      </c>
      <c r="H77" s="361">
        <f>SUMIF('NFI Tracking'!AO$11:AO$1048576,Table10[[#This Row],[Pcode]],'NFI Tracking'!AJ$11:AJ$1048576)</f>
        <v>0</v>
      </c>
      <c r="I77" s="361">
        <f>SUMIF('NFI Tracking'!AO$11:AO$1048576,Table10[[#This Row],[Pcode]],'NFI Tracking'!AK$11:AK$1048576)</f>
        <v>0</v>
      </c>
      <c r="J77" s="361">
        <f ca="1">MAX(Table10[[#This Row],[HH]]*VLOOKUP("Winter Clothes Adult",NFI,6)-Table10[[#This Row],[Winter Clothes Adult ]],0)</f>
        <v>232</v>
      </c>
      <c r="K77" s="361">
        <f ca="1">MAX(Table10[[#This Row],[HH]]*VLOOKUP("Winter Clothes Children ",NFI,6)-Table10[[#This Row],[Winter Clothes Children ]],0)</f>
        <v>116</v>
      </c>
      <c r="L77" s="361">
        <f ca="1">MAX(Table10[[#This Row],[HH]]*VLOOKUP("Winter Items Other ",NFI,6)-Table10[[#This Row],[Winter Items Other ]],0)</f>
        <v>116</v>
      </c>
      <c r="M77" s="394" t="str">
        <f>IF(OR(Table10[[#This Row],[Winter Clothes Adult ]]&lt;&gt;0,Table10[[#This Row],[Winter Clothes Children ]]&lt;&gt;0,Table10[[#This Row],[Winter Items Other ]]&lt;&gt;0),"No","")</f>
        <v/>
      </c>
      <c r="N77" s="395">
        <f>COUNTIF(A:A,Table10[[#This Row],[Pcode]])-1</f>
        <v>0</v>
      </c>
    </row>
    <row r="78" spans="1:14" x14ac:dyDescent="0.25">
      <c r="A78" s="320" t="s">
        <v>13</v>
      </c>
      <c r="B78" s="26" t="str">
        <f ca="1">OFFSET(CampList[Priority],MATCH(Table10[[#This Row],[Pcode]],CampList[CP_Pcode],0)-1,0,1,1)</f>
        <v>P4</v>
      </c>
      <c r="C78" s="26" t="str">
        <f ca="1">OFFSET(CampList[Camp],MATCH(Table10[[#This Row],[Pcode]],CampList[CP_Pcode],0)-1,0,1,1)</f>
        <v>Htoi San Church</v>
      </c>
      <c r="D78" s="26" t="str">
        <f ca="1">OFFSET(CampList[Township],MATCH(Table10[[#This Row],[Pcode]],CampList[CP_Pcode],0)-1,0,1,1)</f>
        <v>Bhamo</v>
      </c>
      <c r="E78" s="361">
        <f ca="1">OFFSET(CampList[HH],MATCH(Table10[[#This Row],[Pcode]],CampList[CP_Pcode],0)-1,0,1,1)</f>
        <v>39</v>
      </c>
      <c r="F78" s="361">
        <f ca="1">OFFSET(CampList[Total],MATCH(Table10[[#This Row],[Pcode]],CampList[CP_Pcode],0)-1,0,1,1)</f>
        <v>227</v>
      </c>
      <c r="G78" s="361">
        <f>SUMIF('NFI Tracking'!AO$11:AO$1048576,Table10[[#This Row],[Pcode]],'NFI Tracking'!AI$11:AI$1048576)</f>
        <v>0</v>
      </c>
      <c r="H78" s="361">
        <f>SUMIF('NFI Tracking'!AO$11:AO$1048576,Table10[[#This Row],[Pcode]],'NFI Tracking'!AJ$11:AJ$1048576)</f>
        <v>0</v>
      </c>
      <c r="I78" s="361">
        <f>SUMIF('NFI Tracking'!AO$11:AO$1048576,Table10[[#This Row],[Pcode]],'NFI Tracking'!AK$11:AK$1048576)</f>
        <v>0</v>
      </c>
      <c r="J78" s="361">
        <f ca="1">MAX(Table10[[#This Row],[HH]]*VLOOKUP("Winter Clothes Adult",NFI,6)-Table10[[#This Row],[Winter Clothes Adult ]],0)</f>
        <v>78</v>
      </c>
      <c r="K78" s="361">
        <f ca="1">MAX(Table10[[#This Row],[HH]]*VLOOKUP("Winter Clothes Children ",NFI,6)-Table10[[#This Row],[Winter Clothes Children ]],0)</f>
        <v>39</v>
      </c>
      <c r="L78" s="361">
        <f ca="1">MAX(Table10[[#This Row],[HH]]*VLOOKUP("Winter Items Other ",NFI,6)-Table10[[#This Row],[Winter Items Other ]],0)</f>
        <v>39</v>
      </c>
      <c r="M78" s="394" t="str">
        <f>IF(OR(Table10[[#This Row],[Winter Clothes Adult ]]&lt;&gt;0,Table10[[#This Row],[Winter Clothes Children ]]&lt;&gt;0,Table10[[#This Row],[Winter Items Other ]]&lt;&gt;0),"No","")</f>
        <v/>
      </c>
      <c r="N78" s="395">
        <f>COUNTIF(A:A,Table10[[#This Row],[Pcode]])-1</f>
        <v>0</v>
      </c>
    </row>
    <row r="79" spans="1:14" x14ac:dyDescent="0.25">
      <c r="A79" s="320" t="s">
        <v>252</v>
      </c>
      <c r="B79" s="26" t="str">
        <f ca="1">OFFSET(CampList[Priority],MATCH(Table10[[#This Row],[Pcode]],CampList[CP_Pcode],0)-1,0,1,1)</f>
        <v>P4</v>
      </c>
      <c r="C79" s="26" t="str">
        <f ca="1">OFFSET(CampList[Camp],MATCH(Table10[[#This Row],[Pcode]],CampList[CP_Pcode],0)-1,0,1,1)</f>
        <v>Jan Mai Kawng Baptist Church</v>
      </c>
      <c r="D79" s="26" t="str">
        <f ca="1">OFFSET(CampList[Township],MATCH(Table10[[#This Row],[Pcode]],CampList[CP_Pcode],0)-1,0,1,1)</f>
        <v>Myitkyina</v>
      </c>
      <c r="E79" s="361">
        <f ca="1">OFFSET(CampList[HH],MATCH(Table10[[#This Row],[Pcode]],CampList[CP_Pcode],0)-1,0,1,1)</f>
        <v>204</v>
      </c>
      <c r="F79" s="361">
        <f ca="1">OFFSET(CampList[Total],MATCH(Table10[[#This Row],[Pcode]],CampList[CP_Pcode],0)-1,0,1,1)</f>
        <v>1104</v>
      </c>
      <c r="G79" s="361">
        <f>SUMIF('NFI Tracking'!AO$11:AO$1048576,Table10[[#This Row],[Pcode]],'NFI Tracking'!AI$11:AI$1048576)</f>
        <v>0</v>
      </c>
      <c r="H79" s="361">
        <f>SUMIF('NFI Tracking'!AO$11:AO$1048576,Table10[[#This Row],[Pcode]],'NFI Tracking'!AJ$11:AJ$1048576)</f>
        <v>0</v>
      </c>
      <c r="I79" s="361">
        <f>SUMIF('NFI Tracking'!AO$11:AO$1048576,Table10[[#This Row],[Pcode]],'NFI Tracking'!AK$11:AK$1048576)</f>
        <v>0</v>
      </c>
      <c r="J79" s="361">
        <f ca="1">MAX(Table10[[#This Row],[HH]]*VLOOKUP("Winter Clothes Adult",NFI,6)-Table10[[#This Row],[Winter Clothes Adult ]],0)</f>
        <v>408</v>
      </c>
      <c r="K79" s="361">
        <f ca="1">MAX(Table10[[#This Row],[HH]]*VLOOKUP("Winter Clothes Children ",NFI,6)-Table10[[#This Row],[Winter Clothes Children ]],0)</f>
        <v>204</v>
      </c>
      <c r="L79" s="361">
        <f ca="1">MAX(Table10[[#This Row],[HH]]*VLOOKUP("Winter Items Other ",NFI,6)-Table10[[#This Row],[Winter Items Other ]],0)</f>
        <v>204</v>
      </c>
      <c r="M79" s="394" t="str">
        <f>IF(OR(Table10[[#This Row],[Winter Clothes Adult ]]&lt;&gt;0,Table10[[#This Row],[Winter Clothes Children ]]&lt;&gt;0,Table10[[#This Row],[Winter Items Other ]]&lt;&gt;0),"No","")</f>
        <v/>
      </c>
      <c r="N79" s="395">
        <f>COUNTIF(A:A,Table10[[#This Row],[Pcode]])-1</f>
        <v>0</v>
      </c>
    </row>
    <row r="80" spans="1:14" x14ac:dyDescent="0.25">
      <c r="A80" s="320" t="s">
        <v>254</v>
      </c>
      <c r="B80" s="26" t="str">
        <f ca="1">OFFSET(CampList[Priority],MATCH(Table10[[#This Row],[Pcode]],CampList[CP_Pcode],0)-1,0,1,1)</f>
        <v>P4</v>
      </c>
      <c r="C80" s="26" t="str">
        <f ca="1">OFFSET(CampList[Camp],MATCH(Table10[[#This Row],[Pcode]],CampList[CP_Pcode],0)-1,0,1,1)</f>
        <v>Jan Mai Kawng Catholic Church</v>
      </c>
      <c r="D80" s="26" t="str">
        <f ca="1">OFFSET(CampList[Township],MATCH(Table10[[#This Row],[Pcode]],CampList[CP_Pcode],0)-1,0,1,1)</f>
        <v>Myitkyina</v>
      </c>
      <c r="E80" s="361">
        <f ca="1">OFFSET(CampList[HH],MATCH(Table10[[#This Row],[Pcode]],CampList[CP_Pcode],0)-1,0,1,1)</f>
        <v>103</v>
      </c>
      <c r="F80" s="361">
        <f ca="1">OFFSET(CampList[Total],MATCH(Table10[[#This Row],[Pcode]],CampList[CP_Pcode],0)-1,0,1,1)</f>
        <v>462</v>
      </c>
      <c r="G80" s="361">
        <f>SUMIF('NFI Tracking'!AO$11:AO$1048576,Table10[[#This Row],[Pcode]],'NFI Tracking'!AI$11:AI$1048576)</f>
        <v>0</v>
      </c>
      <c r="H80" s="361">
        <f>SUMIF('NFI Tracking'!AO$11:AO$1048576,Table10[[#This Row],[Pcode]],'NFI Tracking'!AJ$11:AJ$1048576)</f>
        <v>0</v>
      </c>
      <c r="I80" s="361">
        <f>SUMIF('NFI Tracking'!AO$11:AO$1048576,Table10[[#This Row],[Pcode]],'NFI Tracking'!AK$11:AK$1048576)</f>
        <v>0</v>
      </c>
      <c r="J80" s="361">
        <f ca="1">MAX(Table10[[#This Row],[HH]]*VLOOKUP("Winter Clothes Adult",NFI,6)-Table10[[#This Row],[Winter Clothes Adult ]],0)</f>
        <v>206</v>
      </c>
      <c r="K80" s="361">
        <f ca="1">MAX(Table10[[#This Row],[HH]]*VLOOKUP("Winter Clothes Children ",NFI,6)-Table10[[#This Row],[Winter Clothes Children ]],0)</f>
        <v>103</v>
      </c>
      <c r="L80" s="361">
        <f ca="1">MAX(Table10[[#This Row],[HH]]*VLOOKUP("Winter Items Other ",NFI,6)-Table10[[#This Row],[Winter Items Other ]],0)</f>
        <v>103</v>
      </c>
      <c r="M80" s="394" t="str">
        <f>IF(OR(Table10[[#This Row],[Winter Clothes Adult ]]&lt;&gt;0,Table10[[#This Row],[Winter Clothes Children ]]&lt;&gt;0,Table10[[#This Row],[Winter Items Other ]]&lt;&gt;0),"No","")</f>
        <v/>
      </c>
      <c r="N80" s="395">
        <f>COUNTIF(A:A,Table10[[#This Row],[Pcode]])-1</f>
        <v>0</v>
      </c>
    </row>
    <row r="81" spans="1:14" x14ac:dyDescent="0.25">
      <c r="A81" s="320" t="s">
        <v>524</v>
      </c>
      <c r="B81" s="26" t="str">
        <f ca="1">OFFSET(CampList[Priority],MATCH(Table10[[#This Row],[Pcode]],CampList[CP_Pcode],0)-1,0,1,1)</f>
        <v>P4</v>
      </c>
      <c r="C81" s="26" t="str">
        <f ca="1">OFFSET(CampList[Camp],MATCH(Table10[[#This Row],[Pcode]],CampList[CP_Pcode],0)-1,0,1,1)</f>
        <v>Khun Sint Village</v>
      </c>
      <c r="D81" s="26" t="str">
        <f ca="1">OFFSET(CampList[Township],MATCH(Table10[[#This Row],[Pcode]],CampList[CP_Pcode],0)-1,0,1,1)</f>
        <v>Momauk</v>
      </c>
      <c r="E81" s="361">
        <f ca="1">OFFSET(CampList[HH],MATCH(Table10[[#This Row],[Pcode]],CampList[CP_Pcode],0)-1,0,1,1)</f>
        <v>4</v>
      </c>
      <c r="F81" s="361">
        <f ca="1">OFFSET(CampList[Total],MATCH(Table10[[#This Row],[Pcode]],CampList[CP_Pcode],0)-1,0,1,1)</f>
        <v>26</v>
      </c>
      <c r="G81" s="361">
        <f>SUMIF('NFI Tracking'!AO$11:AO$1048576,Table10[[#This Row],[Pcode]],'NFI Tracking'!AI$11:AI$1048576)</f>
        <v>0</v>
      </c>
      <c r="H81" s="361">
        <f>SUMIF('NFI Tracking'!AO$11:AO$1048576,Table10[[#This Row],[Pcode]],'NFI Tracking'!AJ$11:AJ$1048576)</f>
        <v>0</v>
      </c>
      <c r="I81" s="361">
        <f>SUMIF('NFI Tracking'!AO$11:AO$1048576,Table10[[#This Row],[Pcode]],'NFI Tracking'!AK$11:AK$1048576)</f>
        <v>0</v>
      </c>
      <c r="J81" s="361">
        <f ca="1">MAX(Table10[[#This Row],[HH]]*VLOOKUP("Winter Clothes Adult",NFI,6)-Table10[[#This Row],[Winter Clothes Adult ]],0)</f>
        <v>8</v>
      </c>
      <c r="K81" s="361">
        <f ca="1">MAX(Table10[[#This Row],[HH]]*VLOOKUP("Winter Clothes Children ",NFI,6)-Table10[[#This Row],[Winter Clothes Children ]],0)</f>
        <v>4</v>
      </c>
      <c r="L81" s="361">
        <f ca="1">MAX(Table10[[#This Row],[HH]]*VLOOKUP("Winter Items Other ",NFI,6)-Table10[[#This Row],[Winter Items Other ]],0)</f>
        <v>4</v>
      </c>
      <c r="M81" s="394" t="str">
        <f>IF(OR(Table10[[#This Row],[Winter Clothes Adult ]]&lt;&gt;0,Table10[[#This Row],[Winter Clothes Children ]]&lt;&gt;0,Table10[[#This Row],[Winter Items Other ]]&lt;&gt;0),"No","")</f>
        <v/>
      </c>
      <c r="N81" s="395">
        <f>COUNTIF(A:A,Table10[[#This Row],[Pcode]])-1</f>
        <v>0</v>
      </c>
    </row>
    <row r="82" spans="1:14" x14ac:dyDescent="0.25">
      <c r="A82" s="320" t="s">
        <v>256</v>
      </c>
      <c r="B82" s="26" t="str">
        <f ca="1">OFFSET(CampList[Priority],MATCH(Table10[[#This Row],[Pcode]],CampList[CP_Pcode],0)-1,0,1,1)</f>
        <v>P4</v>
      </c>
      <c r="C82" s="26" t="str">
        <f ca="1">OFFSET(CampList[Camp],MATCH(Table10[[#This Row],[Pcode]],CampList[CP_Pcode],0)-1,0,1,1)</f>
        <v>Kyun Pin Thar Baptist Church</v>
      </c>
      <c r="D82" s="26" t="str">
        <f ca="1">OFFSET(CampList[Township],MATCH(Table10[[#This Row],[Pcode]],CampList[CP_Pcode],0)-1,0,1,1)</f>
        <v>Myitkyina</v>
      </c>
      <c r="E82" s="361">
        <f ca="1">OFFSET(CampList[HH],MATCH(Table10[[#This Row],[Pcode]],CampList[CP_Pcode],0)-1,0,1,1)</f>
        <v>44</v>
      </c>
      <c r="F82" s="361">
        <f ca="1">OFFSET(CampList[Total],MATCH(Table10[[#This Row],[Pcode]],CampList[CP_Pcode],0)-1,0,1,1)</f>
        <v>191</v>
      </c>
      <c r="G82" s="361">
        <f>SUMIF('NFI Tracking'!AO$11:AO$1048576,Table10[[#This Row],[Pcode]],'NFI Tracking'!AI$11:AI$1048576)</f>
        <v>0</v>
      </c>
      <c r="H82" s="361">
        <f>SUMIF('NFI Tracking'!AO$11:AO$1048576,Table10[[#This Row],[Pcode]],'NFI Tracking'!AJ$11:AJ$1048576)</f>
        <v>0</v>
      </c>
      <c r="I82" s="361">
        <f>SUMIF('NFI Tracking'!AO$11:AO$1048576,Table10[[#This Row],[Pcode]],'NFI Tracking'!AK$11:AK$1048576)</f>
        <v>0</v>
      </c>
      <c r="J82" s="361">
        <f ca="1">MAX(Table10[[#This Row],[HH]]*VLOOKUP("Winter Clothes Adult",NFI,6)-Table10[[#This Row],[Winter Clothes Adult ]],0)</f>
        <v>88</v>
      </c>
      <c r="K82" s="361">
        <f ca="1">MAX(Table10[[#This Row],[HH]]*VLOOKUP("Winter Clothes Children ",NFI,6)-Table10[[#This Row],[Winter Clothes Children ]],0)</f>
        <v>44</v>
      </c>
      <c r="L82" s="361">
        <f ca="1">MAX(Table10[[#This Row],[HH]]*VLOOKUP("Winter Items Other ",NFI,6)-Table10[[#This Row],[Winter Items Other ]],0)</f>
        <v>44</v>
      </c>
      <c r="M82" s="394" t="str">
        <f>IF(OR(Table10[[#This Row],[Winter Clothes Adult ]]&lt;&gt;0,Table10[[#This Row],[Winter Clothes Children ]]&lt;&gt;0,Table10[[#This Row],[Winter Items Other ]]&lt;&gt;0),"No","")</f>
        <v/>
      </c>
      <c r="N82" s="395">
        <f>COUNTIF(A:A,Table10[[#This Row],[Pcode]])-1</f>
        <v>0</v>
      </c>
    </row>
    <row r="83" spans="1:14" x14ac:dyDescent="0.25">
      <c r="A83" s="320" t="s">
        <v>172</v>
      </c>
      <c r="B83" s="26" t="str">
        <f ca="1">OFFSET(CampList[Priority],MATCH(Table10[[#This Row],[Pcode]],CampList[CP_Pcode],0)-1,0,1,1)</f>
        <v>P4</v>
      </c>
      <c r="C83" s="26" t="str">
        <f ca="1">OFFSET(CampList[Camp],MATCH(Table10[[#This Row],[Pcode]],CampList[CP_Pcode],0)-1,0,1,1)</f>
        <v xml:space="preserve">Kyun Taw Baptist Church </v>
      </c>
      <c r="D83" s="26" t="str">
        <f ca="1">OFFSET(CampList[Township],MATCH(Table10[[#This Row],[Pcode]],CampList[CP_Pcode],0)-1,0,1,1)</f>
        <v>Mogaung</v>
      </c>
      <c r="E83" s="361">
        <f ca="1">OFFSET(CampList[HH],MATCH(Table10[[#This Row],[Pcode]],CampList[CP_Pcode],0)-1,0,1,1)</f>
        <v>13</v>
      </c>
      <c r="F83" s="361">
        <f ca="1">OFFSET(CampList[Total],MATCH(Table10[[#This Row],[Pcode]],CampList[CP_Pcode],0)-1,0,1,1)</f>
        <v>64</v>
      </c>
      <c r="G83" s="361">
        <f>SUMIF('NFI Tracking'!AO$11:AO$1048576,Table10[[#This Row],[Pcode]],'NFI Tracking'!AI$11:AI$1048576)</f>
        <v>0</v>
      </c>
      <c r="H83" s="361">
        <f>SUMIF('NFI Tracking'!AO$11:AO$1048576,Table10[[#This Row],[Pcode]],'NFI Tracking'!AJ$11:AJ$1048576)</f>
        <v>0</v>
      </c>
      <c r="I83" s="361">
        <f>SUMIF('NFI Tracking'!AO$11:AO$1048576,Table10[[#This Row],[Pcode]],'NFI Tracking'!AK$11:AK$1048576)</f>
        <v>0</v>
      </c>
      <c r="J83" s="361">
        <f ca="1">MAX(Table10[[#This Row],[HH]]*VLOOKUP("Winter Clothes Adult",NFI,6)-Table10[[#This Row],[Winter Clothes Adult ]],0)</f>
        <v>26</v>
      </c>
      <c r="K83" s="361">
        <f ca="1">MAX(Table10[[#This Row],[HH]]*VLOOKUP("Winter Clothes Children ",NFI,6)-Table10[[#This Row],[Winter Clothes Children ]],0)</f>
        <v>13</v>
      </c>
      <c r="L83" s="361">
        <f ca="1">MAX(Table10[[#This Row],[HH]]*VLOOKUP("Winter Items Other ",NFI,6)-Table10[[#This Row],[Winter Items Other ]],0)</f>
        <v>13</v>
      </c>
      <c r="M83" s="394" t="str">
        <f>IF(OR(Table10[[#This Row],[Winter Clothes Adult ]]&lt;&gt;0,Table10[[#This Row],[Winter Clothes Children ]]&lt;&gt;0,Table10[[#This Row],[Winter Items Other ]]&lt;&gt;0),"No","")</f>
        <v/>
      </c>
      <c r="N83" s="395">
        <f>COUNTIF(A:A,Table10[[#This Row],[Pcode]])-1</f>
        <v>0</v>
      </c>
    </row>
    <row r="84" spans="1:14" x14ac:dyDescent="0.25">
      <c r="A84" s="320" t="s">
        <v>143</v>
      </c>
      <c r="B84" s="26" t="str">
        <f ca="1">OFFSET(CampList[Priority],MATCH(Table10[[#This Row],[Pcode]],CampList[CP_Pcode],0)-1,0,1,1)</f>
        <v>P4</v>
      </c>
      <c r="C84" s="26" t="str">
        <f ca="1">OFFSET(CampList[Camp],MATCH(Table10[[#This Row],[Pcode]],CampList[CP_Pcode],0)-1,0,1,1)</f>
        <v>La Ja</v>
      </c>
      <c r="D84" s="26" t="str">
        <f ca="1">OFFSET(CampList[Township],MATCH(Table10[[#This Row],[Pcode]],CampList[CP_Pcode],0)-1,0,1,1)</f>
        <v>Khaunglanhpu</v>
      </c>
      <c r="E84" s="361">
        <f ca="1">OFFSET(CampList[HH],MATCH(Table10[[#This Row],[Pcode]],CampList[CP_Pcode],0)-1,0,1,1)</f>
        <v>11</v>
      </c>
      <c r="F84" s="361">
        <f ca="1">OFFSET(CampList[Total],MATCH(Table10[[#This Row],[Pcode]],CampList[CP_Pcode],0)-1,0,1,1)</f>
        <v>17</v>
      </c>
      <c r="G84" s="361">
        <f>SUMIF('NFI Tracking'!AO$11:AO$1048576,Table10[[#This Row],[Pcode]],'NFI Tracking'!AI$11:AI$1048576)</f>
        <v>0</v>
      </c>
      <c r="H84" s="361">
        <f>SUMIF('NFI Tracking'!AO$11:AO$1048576,Table10[[#This Row],[Pcode]],'NFI Tracking'!AJ$11:AJ$1048576)</f>
        <v>0</v>
      </c>
      <c r="I84" s="361">
        <f>SUMIF('NFI Tracking'!AO$11:AO$1048576,Table10[[#This Row],[Pcode]],'NFI Tracking'!AK$11:AK$1048576)</f>
        <v>0</v>
      </c>
      <c r="J84" s="361">
        <f ca="1">MAX(Table10[[#This Row],[HH]]*VLOOKUP("Winter Clothes Adult",NFI,6)-Table10[[#This Row],[Winter Clothes Adult ]],0)</f>
        <v>22</v>
      </c>
      <c r="K84" s="361">
        <f ca="1">MAX(Table10[[#This Row],[HH]]*VLOOKUP("Winter Clothes Children ",NFI,6)-Table10[[#This Row],[Winter Clothes Children ]],0)</f>
        <v>11</v>
      </c>
      <c r="L84" s="361">
        <f ca="1">MAX(Table10[[#This Row],[HH]]*VLOOKUP("Winter Items Other ",NFI,6)-Table10[[#This Row],[Winter Items Other ]],0)</f>
        <v>11</v>
      </c>
      <c r="M84" s="394" t="str">
        <f>IF(OR(Table10[[#This Row],[Winter Clothes Adult ]]&lt;&gt;0,Table10[[#This Row],[Winter Clothes Children ]]&lt;&gt;0,Table10[[#This Row],[Winter Items Other ]]&lt;&gt;0),"No","")</f>
        <v/>
      </c>
      <c r="N84" s="395">
        <f>COUNTIF(A:A,Table10[[#This Row],[Pcode]])-1</f>
        <v>0</v>
      </c>
    </row>
    <row r="85" spans="1:14" x14ac:dyDescent="0.25">
      <c r="A85" s="320" t="s">
        <v>519</v>
      </c>
      <c r="B85" s="26" t="str">
        <f ca="1">OFFSET(CampList[Priority],MATCH(Table10[[#This Row],[Pcode]],CampList[CP_Pcode],0)-1,0,1,1)</f>
        <v>P4</v>
      </c>
      <c r="C85" s="26" t="str">
        <f ca="1">OFFSET(CampList[Camp],MATCH(Table10[[#This Row],[Pcode]],CampList[CP_Pcode],0)-1,0,1,1)</f>
        <v xml:space="preserve">Lagatyan </v>
      </c>
      <c r="D85" s="26" t="str">
        <f ca="1">OFFSET(CampList[Township],MATCH(Table10[[#This Row],[Pcode]],CampList[CP_Pcode],0)-1,0,1,1)</f>
        <v>Mansi</v>
      </c>
      <c r="E85" s="361">
        <f ca="1">OFFSET(CampList[HH],MATCH(Table10[[#This Row],[Pcode]],CampList[CP_Pcode],0)-1,0,1,1)</f>
        <v>0</v>
      </c>
      <c r="F85" s="361">
        <f ca="1">OFFSET(CampList[Total],MATCH(Table10[[#This Row],[Pcode]],CampList[CP_Pcode],0)-1,0,1,1)</f>
        <v>0</v>
      </c>
      <c r="G85" s="361">
        <f>SUMIF('NFI Tracking'!AO$11:AO$1048576,Table10[[#This Row],[Pcode]],'NFI Tracking'!AI$11:AI$1048576)</f>
        <v>0</v>
      </c>
      <c r="H85" s="361">
        <f>SUMIF('NFI Tracking'!AO$11:AO$1048576,Table10[[#This Row],[Pcode]],'NFI Tracking'!AJ$11:AJ$1048576)</f>
        <v>0</v>
      </c>
      <c r="I85" s="361">
        <f>SUMIF('NFI Tracking'!AO$11:AO$1048576,Table10[[#This Row],[Pcode]],'NFI Tracking'!AK$11:AK$1048576)</f>
        <v>0</v>
      </c>
      <c r="J85" s="361">
        <f ca="1">MAX(Table10[[#This Row],[HH]]*VLOOKUP("Winter Clothes Adult",NFI,6)-Table10[[#This Row],[Winter Clothes Adult ]],0)</f>
        <v>0</v>
      </c>
      <c r="K85" s="361">
        <f ca="1">MAX(Table10[[#This Row],[HH]]*VLOOKUP("Winter Clothes Children ",NFI,6)-Table10[[#This Row],[Winter Clothes Children ]],0)</f>
        <v>0</v>
      </c>
      <c r="L85" s="361">
        <f ca="1">MAX(Table10[[#This Row],[HH]]*VLOOKUP("Winter Items Other ",NFI,6)-Table10[[#This Row],[Winter Items Other ]],0)</f>
        <v>0</v>
      </c>
      <c r="M85" s="394" t="str">
        <f>IF(OR(Table10[[#This Row],[Winter Clothes Adult ]]&lt;&gt;0,Table10[[#This Row],[Winter Clothes Children ]]&lt;&gt;0,Table10[[#This Row],[Winter Items Other ]]&lt;&gt;0),"No","")</f>
        <v/>
      </c>
      <c r="N85" s="395">
        <f>COUNTIF(A:A,Table10[[#This Row],[Pcode]])-1</f>
        <v>0</v>
      </c>
    </row>
    <row r="86" spans="1:14" x14ac:dyDescent="0.25">
      <c r="A86" s="320" t="s">
        <v>339</v>
      </c>
      <c r="B86" s="26" t="str">
        <f ca="1">OFFSET(CampList[Priority],MATCH(Table10[[#This Row],[Pcode]],CampList[CP_Pcode],0)-1,0,1,1)</f>
        <v>P4</v>
      </c>
      <c r="C86" s="26" t="str">
        <f ca="1">OFFSET(CampList[Camp],MATCH(Table10[[#This Row],[Pcode]],CampList[CP_Pcode],0)-1,0,1,1)</f>
        <v>Laiza Muklum Hpyen  Yen Mungshawa ni</v>
      </c>
      <c r="D86" s="26" t="str">
        <f ca="1">OFFSET(CampList[Township],MATCH(Table10[[#This Row],[Pcode]],CampList[CP_Pcode],0)-1,0,1,1)</f>
        <v>Waingmaw</v>
      </c>
      <c r="E86" s="361">
        <f ca="1">OFFSET(CampList[HH],MATCH(Table10[[#This Row],[Pcode]],CampList[CP_Pcode],0)-1,0,1,1)</f>
        <v>355</v>
      </c>
      <c r="F86" s="361">
        <f ca="1">OFFSET(CampList[Total],MATCH(Table10[[#This Row],[Pcode]],CampList[CP_Pcode],0)-1,0,1,1)</f>
        <v>4450</v>
      </c>
      <c r="G86" s="361">
        <f>SUMIF('NFI Tracking'!AO$11:AO$1048576,Table10[[#This Row],[Pcode]],'NFI Tracking'!AI$11:AI$1048576)</f>
        <v>0</v>
      </c>
      <c r="H86" s="361">
        <f>SUMIF('NFI Tracking'!AO$11:AO$1048576,Table10[[#This Row],[Pcode]],'NFI Tracking'!AJ$11:AJ$1048576)</f>
        <v>0</v>
      </c>
      <c r="I86" s="361">
        <f>SUMIF('NFI Tracking'!AO$11:AO$1048576,Table10[[#This Row],[Pcode]],'NFI Tracking'!AK$11:AK$1048576)</f>
        <v>0</v>
      </c>
      <c r="J86" s="361">
        <f ca="1">MAX(Table10[[#This Row],[HH]]*VLOOKUP("Winter Clothes Adult",NFI,6)-Table10[[#This Row],[Winter Clothes Adult ]],0)</f>
        <v>710</v>
      </c>
      <c r="K86" s="361">
        <f ca="1">MAX(Table10[[#This Row],[HH]]*VLOOKUP("Winter Clothes Children ",NFI,6)-Table10[[#This Row],[Winter Clothes Children ]],0)</f>
        <v>355</v>
      </c>
      <c r="L86" s="361">
        <f ca="1">MAX(Table10[[#This Row],[HH]]*VLOOKUP("Winter Items Other ",NFI,6)-Table10[[#This Row],[Winter Items Other ]],0)</f>
        <v>355</v>
      </c>
      <c r="M86" s="394" t="str">
        <f>IF(OR(Table10[[#This Row],[Winter Clothes Adult ]]&lt;&gt;0,Table10[[#This Row],[Winter Clothes Children ]]&lt;&gt;0,Table10[[#This Row],[Winter Items Other ]]&lt;&gt;0),"No","")</f>
        <v/>
      </c>
      <c r="N86" s="395">
        <f>COUNTIF(A:A,Table10[[#This Row],[Pcode]])-1</f>
        <v>0</v>
      </c>
    </row>
    <row r="87" spans="1:14" x14ac:dyDescent="0.25">
      <c r="A87" s="320" t="s">
        <v>303</v>
      </c>
      <c r="B87" s="26" t="str">
        <f ca="1">OFFSET(CampList[Priority],MATCH(Table10[[#This Row],[Pcode]],CampList[CP_Pcode],0)-1,0,1,1)</f>
        <v>P4</v>
      </c>
      <c r="C87" s="26" t="str">
        <f ca="1">OFFSET(CampList[Camp],MATCH(Table10[[#This Row],[Pcode]],CampList[CP_Pcode],0)-1,0,1,1)</f>
        <v>Lawk Awng Mare D. (Sinbo Area)</v>
      </c>
      <c r="D87" s="26" t="str">
        <f ca="1">OFFSET(CampList[Township],MATCH(Table10[[#This Row],[Pcode]],CampList[CP_Pcode],0)-1,0,1,1)</f>
        <v>Shwegu</v>
      </c>
      <c r="E87" s="361">
        <f ca="1">OFFSET(CampList[HH],MATCH(Table10[[#This Row],[Pcode]],CampList[CP_Pcode],0)-1,0,1,1)</f>
        <v>375</v>
      </c>
      <c r="F87" s="361">
        <f ca="1">OFFSET(CampList[Total],MATCH(Table10[[#This Row],[Pcode]],CampList[CP_Pcode],0)-1,0,1,1)</f>
        <v>1691</v>
      </c>
      <c r="G87" s="361">
        <f>SUMIF('NFI Tracking'!AO$11:AO$1048576,Table10[[#This Row],[Pcode]],'NFI Tracking'!AI$11:AI$1048576)</f>
        <v>0</v>
      </c>
      <c r="H87" s="361">
        <f>SUMIF('NFI Tracking'!AO$11:AO$1048576,Table10[[#This Row],[Pcode]],'NFI Tracking'!AJ$11:AJ$1048576)</f>
        <v>0</v>
      </c>
      <c r="I87" s="361">
        <f>SUMIF('NFI Tracking'!AO$11:AO$1048576,Table10[[#This Row],[Pcode]],'NFI Tracking'!AK$11:AK$1048576)</f>
        <v>0</v>
      </c>
      <c r="J87" s="361">
        <f ca="1">MAX(Table10[[#This Row],[HH]]*VLOOKUP("Winter Clothes Adult",NFI,6)-Table10[[#This Row],[Winter Clothes Adult ]],0)</f>
        <v>750</v>
      </c>
      <c r="K87" s="361">
        <f ca="1">MAX(Table10[[#This Row],[HH]]*VLOOKUP("Winter Clothes Children ",NFI,6)-Table10[[#This Row],[Winter Clothes Children ]],0)</f>
        <v>375</v>
      </c>
      <c r="L87" s="361">
        <f ca="1">MAX(Table10[[#This Row],[HH]]*VLOOKUP("Winter Items Other ",NFI,6)-Table10[[#This Row],[Winter Items Other ]],0)</f>
        <v>375</v>
      </c>
      <c r="M87" s="394" t="str">
        <f>IF(OR(Table10[[#This Row],[Winter Clothes Adult ]]&lt;&gt;0,Table10[[#This Row],[Winter Clothes Children ]]&lt;&gt;0,Table10[[#This Row],[Winter Items Other ]]&lt;&gt;0),"No","")</f>
        <v/>
      </c>
      <c r="N87" s="395">
        <f>COUNTIF(A:A,Table10[[#This Row],[Pcode]])-1</f>
        <v>0</v>
      </c>
    </row>
    <row r="88" spans="1:14" x14ac:dyDescent="0.25">
      <c r="A88" s="320" t="s">
        <v>239</v>
      </c>
      <c r="B88" s="26" t="str">
        <f ca="1">OFFSET(CampList[Priority],MATCH(Table10[[#This Row],[Pcode]],CampList[CP_Pcode],0)-1,0,1,1)</f>
        <v>P4</v>
      </c>
      <c r="C88" s="26" t="str">
        <f ca="1">OFFSET(CampList[Camp],MATCH(Table10[[#This Row],[Pcode]],CampList[CP_Pcode],0)-1,0,1,1)</f>
        <v>Le Kone Bethlehem Church</v>
      </c>
      <c r="D88" s="26" t="str">
        <f ca="1">OFFSET(CampList[Township],MATCH(Table10[[#This Row],[Pcode]],CampList[CP_Pcode],0)-1,0,1,1)</f>
        <v>Myitkyina</v>
      </c>
      <c r="E88" s="361">
        <f ca="1">OFFSET(CampList[HH],MATCH(Table10[[#This Row],[Pcode]],CampList[CP_Pcode],0)-1,0,1,1)</f>
        <v>96</v>
      </c>
      <c r="F88" s="361">
        <f ca="1">OFFSET(CampList[Total],MATCH(Table10[[#This Row],[Pcode]],CampList[CP_Pcode],0)-1,0,1,1)</f>
        <v>544</v>
      </c>
      <c r="G88" s="361">
        <f>SUMIF('NFI Tracking'!AO$11:AO$1048576,Table10[[#This Row],[Pcode]],'NFI Tracking'!AI$11:AI$1048576)</f>
        <v>0</v>
      </c>
      <c r="H88" s="361">
        <f>SUMIF('NFI Tracking'!AO$11:AO$1048576,Table10[[#This Row],[Pcode]],'NFI Tracking'!AJ$11:AJ$1048576)</f>
        <v>0</v>
      </c>
      <c r="I88" s="361">
        <f>SUMIF('NFI Tracking'!AO$11:AO$1048576,Table10[[#This Row],[Pcode]],'NFI Tracking'!AK$11:AK$1048576)</f>
        <v>0</v>
      </c>
      <c r="J88" s="361">
        <f ca="1">MAX(Table10[[#This Row],[HH]]*VLOOKUP("Winter Clothes Adult",NFI,6)-Table10[[#This Row],[Winter Clothes Adult ]],0)</f>
        <v>192</v>
      </c>
      <c r="K88" s="361">
        <f ca="1">MAX(Table10[[#This Row],[HH]]*VLOOKUP("Winter Clothes Children ",NFI,6)-Table10[[#This Row],[Winter Clothes Children ]],0)</f>
        <v>96</v>
      </c>
      <c r="L88" s="361">
        <f ca="1">MAX(Table10[[#This Row],[HH]]*VLOOKUP("Winter Items Other ",NFI,6)-Table10[[#This Row],[Winter Items Other ]],0)</f>
        <v>96</v>
      </c>
      <c r="M88" s="394" t="str">
        <f>IF(OR(Table10[[#This Row],[Winter Clothes Adult ]]&lt;&gt;0,Table10[[#This Row],[Winter Clothes Children ]]&lt;&gt;0,Table10[[#This Row],[Winter Items Other ]]&lt;&gt;0),"No","")</f>
        <v/>
      </c>
      <c r="N88" s="395">
        <f>COUNTIF(A:A,Table10[[#This Row],[Pcode]])-1</f>
        <v>0</v>
      </c>
    </row>
    <row r="89" spans="1:14" x14ac:dyDescent="0.25">
      <c r="A89" s="320" t="s">
        <v>284</v>
      </c>
      <c r="B89" s="26" t="str">
        <f ca="1">OFFSET(CampList[Priority],MATCH(Table10[[#This Row],[Pcode]],CampList[CP_Pcode],0)-1,0,1,1)</f>
        <v>P4</v>
      </c>
      <c r="C89" s="26" t="str">
        <f ca="1">OFFSET(CampList[Camp],MATCH(Table10[[#This Row],[Pcode]],CampList[CP_Pcode],0)-1,0,1,1)</f>
        <v xml:space="preserve">Le Kone Ziun Baptist Church </v>
      </c>
      <c r="D89" s="26" t="str">
        <f ca="1">OFFSET(CampList[Township],MATCH(Table10[[#This Row],[Pcode]],CampList[CP_Pcode],0)-1,0,1,1)</f>
        <v>Myitkyina</v>
      </c>
      <c r="E89" s="361">
        <f ca="1">OFFSET(CampList[HH],MATCH(Table10[[#This Row],[Pcode]],CampList[CP_Pcode],0)-1,0,1,1)</f>
        <v>138</v>
      </c>
      <c r="F89" s="361">
        <f ca="1">OFFSET(CampList[Total],MATCH(Table10[[#This Row],[Pcode]],CampList[CP_Pcode],0)-1,0,1,1)</f>
        <v>697</v>
      </c>
      <c r="G89" s="361">
        <f>SUMIF('NFI Tracking'!AO$11:AO$1048576,Table10[[#This Row],[Pcode]],'NFI Tracking'!AI$11:AI$1048576)</f>
        <v>0</v>
      </c>
      <c r="H89" s="361">
        <f>SUMIF('NFI Tracking'!AO$11:AO$1048576,Table10[[#This Row],[Pcode]],'NFI Tracking'!AJ$11:AJ$1048576)</f>
        <v>0</v>
      </c>
      <c r="I89" s="361">
        <f>SUMIF('NFI Tracking'!AO$11:AO$1048576,Table10[[#This Row],[Pcode]],'NFI Tracking'!AK$11:AK$1048576)</f>
        <v>0</v>
      </c>
      <c r="J89" s="361">
        <f ca="1">MAX(Table10[[#This Row],[HH]]*VLOOKUP("Winter Clothes Adult",NFI,6)-Table10[[#This Row],[Winter Clothes Adult ]],0)</f>
        <v>276</v>
      </c>
      <c r="K89" s="361">
        <f ca="1">MAX(Table10[[#This Row],[HH]]*VLOOKUP("Winter Clothes Children ",NFI,6)-Table10[[#This Row],[Winter Clothes Children ]],0)</f>
        <v>138</v>
      </c>
      <c r="L89" s="361">
        <f ca="1">MAX(Table10[[#This Row],[HH]]*VLOOKUP("Winter Items Other ",NFI,6)-Table10[[#This Row],[Winter Items Other ]],0)</f>
        <v>138</v>
      </c>
      <c r="M89" s="394" t="str">
        <f>IF(OR(Table10[[#This Row],[Winter Clothes Adult ]]&lt;&gt;0,Table10[[#This Row],[Winter Clothes Children ]]&lt;&gt;0,Table10[[#This Row],[Winter Items Other ]]&lt;&gt;0),"No","")</f>
        <v/>
      </c>
      <c r="N89" s="395">
        <f>COUNTIF(A:A,Table10[[#This Row],[Pcode]])-1</f>
        <v>0</v>
      </c>
    </row>
    <row r="90" spans="1:14" x14ac:dyDescent="0.25">
      <c r="A90" s="320" t="s">
        <v>89</v>
      </c>
      <c r="B90" s="26" t="str">
        <f ca="1">OFFSET(CampList[Priority],MATCH(Table10[[#This Row],[Pcode]],CampList[CP_Pcode],0)-1,0,1,1)</f>
        <v>P4</v>
      </c>
      <c r="C90" s="26" t="str">
        <f ca="1">OFFSET(CampList[Camp],MATCH(Table10[[#This Row],[Pcode]],CampList[CP_Pcode],0)-1,0,1,1)</f>
        <v>Lisu Baptist Church, Maw Shan Vil,. Seik Mu</v>
      </c>
      <c r="D90" s="26" t="str">
        <f ca="1">OFFSET(CampList[Township],MATCH(Table10[[#This Row],[Pcode]],CampList[CP_Pcode],0)-1,0,1,1)</f>
        <v>Hpakant</v>
      </c>
      <c r="E90" s="361">
        <f ca="1">OFFSET(CampList[HH],MATCH(Table10[[#This Row],[Pcode]],CampList[CP_Pcode],0)-1,0,1,1)</f>
        <v>25</v>
      </c>
      <c r="F90" s="361">
        <f ca="1">OFFSET(CampList[Total],MATCH(Table10[[#This Row],[Pcode]],CampList[CP_Pcode],0)-1,0,1,1)</f>
        <v>133</v>
      </c>
      <c r="G90" s="361">
        <f>SUMIF('NFI Tracking'!AO$11:AO$1048576,Table10[[#This Row],[Pcode]],'NFI Tracking'!AI$11:AI$1048576)</f>
        <v>0</v>
      </c>
      <c r="H90" s="361">
        <f>SUMIF('NFI Tracking'!AO$11:AO$1048576,Table10[[#This Row],[Pcode]],'NFI Tracking'!AJ$11:AJ$1048576)</f>
        <v>0</v>
      </c>
      <c r="I90" s="361">
        <f>SUMIF('NFI Tracking'!AO$11:AO$1048576,Table10[[#This Row],[Pcode]],'NFI Tracking'!AK$11:AK$1048576)</f>
        <v>0</v>
      </c>
      <c r="J90" s="361">
        <f ca="1">MAX(Table10[[#This Row],[HH]]*VLOOKUP("Winter Clothes Adult",NFI,6)-Table10[[#This Row],[Winter Clothes Adult ]],0)</f>
        <v>50</v>
      </c>
      <c r="K90" s="361">
        <f ca="1">MAX(Table10[[#This Row],[HH]]*VLOOKUP("Winter Clothes Children ",NFI,6)-Table10[[#This Row],[Winter Clothes Children ]],0)</f>
        <v>25</v>
      </c>
      <c r="L90" s="361">
        <f ca="1">MAX(Table10[[#This Row],[HH]]*VLOOKUP("Winter Items Other ",NFI,6)-Table10[[#This Row],[Winter Items Other ]],0)</f>
        <v>25</v>
      </c>
      <c r="M90" s="394" t="str">
        <f>IF(OR(Table10[[#This Row],[Winter Clothes Adult ]]&lt;&gt;0,Table10[[#This Row],[Winter Clothes Children ]]&lt;&gt;0,Table10[[#This Row],[Winter Items Other ]]&lt;&gt;0),"No","")</f>
        <v/>
      </c>
      <c r="N90" s="395">
        <f>COUNTIF(A:A,Table10[[#This Row],[Pcode]])-1</f>
        <v>0</v>
      </c>
    </row>
    <row r="91" spans="1:14" x14ac:dyDescent="0.25">
      <c r="A91" s="320" t="s">
        <v>91</v>
      </c>
      <c r="B91" s="26" t="str">
        <f ca="1">OFFSET(CampList[Priority],MATCH(Table10[[#This Row],[Pcode]],CampList[CP_Pcode],0)-1,0,1,1)</f>
        <v>P4</v>
      </c>
      <c r="C91" s="26" t="str">
        <f ca="1">OFFSET(CampList[Camp],MATCH(Table10[[#This Row],[Pcode]],CampList[CP_Pcode],0)-1,0,1,1)</f>
        <v>Lisu Baptist Church, Maw Wan Ward</v>
      </c>
      <c r="D91" s="26" t="str">
        <f ca="1">OFFSET(CampList[Township],MATCH(Table10[[#This Row],[Pcode]],CampList[CP_Pcode],0)-1,0,1,1)</f>
        <v>Hpakant</v>
      </c>
      <c r="E91" s="361">
        <f ca="1">OFFSET(CampList[HH],MATCH(Table10[[#This Row],[Pcode]],CampList[CP_Pcode],0)-1,0,1,1)</f>
        <v>15</v>
      </c>
      <c r="F91" s="361">
        <f ca="1">OFFSET(CampList[Total],MATCH(Table10[[#This Row],[Pcode]],CampList[CP_Pcode],0)-1,0,1,1)</f>
        <v>74</v>
      </c>
      <c r="G91" s="361">
        <f>SUMIF('NFI Tracking'!AO$11:AO$1048576,Table10[[#This Row],[Pcode]],'NFI Tracking'!AI$11:AI$1048576)</f>
        <v>0</v>
      </c>
      <c r="H91" s="361">
        <f>SUMIF('NFI Tracking'!AO$11:AO$1048576,Table10[[#This Row],[Pcode]],'NFI Tracking'!AJ$11:AJ$1048576)</f>
        <v>0</v>
      </c>
      <c r="I91" s="361">
        <f>SUMIF('NFI Tracking'!AO$11:AO$1048576,Table10[[#This Row],[Pcode]],'NFI Tracking'!AK$11:AK$1048576)</f>
        <v>0</v>
      </c>
      <c r="J91" s="361">
        <f ca="1">MAX(Table10[[#This Row],[HH]]*VLOOKUP("Winter Clothes Adult",NFI,6)-Table10[[#This Row],[Winter Clothes Adult ]],0)</f>
        <v>30</v>
      </c>
      <c r="K91" s="361">
        <f ca="1">MAX(Table10[[#This Row],[HH]]*VLOOKUP("Winter Clothes Children ",NFI,6)-Table10[[#This Row],[Winter Clothes Children ]],0)</f>
        <v>15</v>
      </c>
      <c r="L91" s="361">
        <f ca="1">MAX(Table10[[#This Row],[HH]]*VLOOKUP("Winter Items Other ",NFI,6)-Table10[[#This Row],[Winter Items Other ]],0)</f>
        <v>15</v>
      </c>
      <c r="M91" s="394" t="str">
        <f>IF(OR(Table10[[#This Row],[Winter Clothes Adult ]]&lt;&gt;0,Table10[[#This Row],[Winter Clothes Children ]]&lt;&gt;0,Table10[[#This Row],[Winter Items Other ]]&lt;&gt;0),"No","")</f>
        <v/>
      </c>
      <c r="N91" s="395">
        <f>COUNTIF(A:A,Table10[[#This Row],[Pcode]])-1</f>
        <v>0</v>
      </c>
    </row>
    <row r="92" spans="1:14" x14ac:dyDescent="0.25">
      <c r="A92" s="320" t="s">
        <v>17</v>
      </c>
      <c r="B92" s="26" t="str">
        <f ca="1">OFFSET(CampList[Priority],MATCH(Table10[[#This Row],[Pcode]],CampList[CP_Pcode],0)-1,0,1,1)</f>
        <v>P4</v>
      </c>
      <c r="C92" s="26" t="str">
        <f ca="1">OFFSET(CampList[Camp],MATCH(Table10[[#This Row],[Pcode]],CampList[CP_Pcode],0)-1,0,1,1)</f>
        <v>Lisu Boarding-House</v>
      </c>
      <c r="D92" s="26" t="str">
        <f ca="1">OFFSET(CampList[Township],MATCH(Table10[[#This Row],[Pcode]],CampList[CP_Pcode],0)-1,0,1,1)</f>
        <v>Bhamo</v>
      </c>
      <c r="E92" s="361">
        <f ca="1">OFFSET(CampList[HH],MATCH(Table10[[#This Row],[Pcode]],CampList[CP_Pcode],0)-1,0,1,1)</f>
        <v>116</v>
      </c>
      <c r="F92" s="361">
        <f ca="1">OFFSET(CampList[Total],MATCH(Table10[[#This Row],[Pcode]],CampList[CP_Pcode],0)-1,0,1,1)</f>
        <v>659</v>
      </c>
      <c r="G92" s="361">
        <f>SUMIF('NFI Tracking'!AO$11:AO$1048576,Table10[[#This Row],[Pcode]],'NFI Tracking'!AI$11:AI$1048576)</f>
        <v>0</v>
      </c>
      <c r="H92" s="361">
        <f>SUMIF('NFI Tracking'!AO$11:AO$1048576,Table10[[#This Row],[Pcode]],'NFI Tracking'!AJ$11:AJ$1048576)</f>
        <v>0</v>
      </c>
      <c r="I92" s="361">
        <f>SUMIF('NFI Tracking'!AO$11:AO$1048576,Table10[[#This Row],[Pcode]],'NFI Tracking'!AK$11:AK$1048576)</f>
        <v>0</v>
      </c>
      <c r="J92" s="361">
        <f ca="1">MAX(Table10[[#This Row],[HH]]*VLOOKUP("Winter Clothes Adult",NFI,6)-Table10[[#This Row],[Winter Clothes Adult ]],0)</f>
        <v>232</v>
      </c>
      <c r="K92" s="361">
        <f ca="1">MAX(Table10[[#This Row],[HH]]*VLOOKUP("Winter Clothes Children ",NFI,6)-Table10[[#This Row],[Winter Clothes Children ]],0)</f>
        <v>116</v>
      </c>
      <c r="L92" s="361">
        <f ca="1">MAX(Table10[[#This Row],[HH]]*VLOOKUP("Winter Items Other ",NFI,6)-Table10[[#This Row],[Winter Items Other ]],0)</f>
        <v>116</v>
      </c>
      <c r="M92" s="394" t="str">
        <f>IF(OR(Table10[[#This Row],[Winter Clothes Adult ]]&lt;&gt;0,Table10[[#This Row],[Winter Clothes Children ]]&lt;&gt;0,Table10[[#This Row],[Winter Items Other ]]&lt;&gt;0),"No","")</f>
        <v/>
      </c>
      <c r="N92" s="395">
        <f>COUNTIF(A:A,Table10[[#This Row],[Pcode]])-1</f>
        <v>0</v>
      </c>
    </row>
    <row r="93" spans="1:14" x14ac:dyDescent="0.25">
      <c r="A93" s="320" t="s">
        <v>319</v>
      </c>
      <c r="B93" s="26" t="str">
        <f ca="1">OFFSET(CampList[Priority],MATCH(Table10[[#This Row],[Pcode]],CampList[CP_Pcode],0)-1,0,1,1)</f>
        <v>P4</v>
      </c>
      <c r="C93" s="26" t="str">
        <f ca="1">OFFSET(CampList[Camp],MATCH(Table10[[#This Row],[Pcode]],CampList[CP_Pcode],0)-1,0,1,1)</f>
        <v>Mading Baptist Church</v>
      </c>
      <c r="D93" s="26" t="str">
        <f ca="1">OFFSET(CampList[Township],MATCH(Table10[[#This Row],[Pcode]],CampList[CP_Pcode],0)-1,0,1,1)</f>
        <v>Waingmaw</v>
      </c>
      <c r="E93" s="361">
        <f ca="1">OFFSET(CampList[HH],MATCH(Table10[[#This Row],[Pcode]],CampList[CP_Pcode],0)-1,0,1,1)</f>
        <v>22</v>
      </c>
      <c r="F93" s="361">
        <f ca="1">OFFSET(CampList[Total],MATCH(Table10[[#This Row],[Pcode]],CampList[CP_Pcode],0)-1,0,1,1)</f>
        <v>128</v>
      </c>
      <c r="G93" s="361">
        <f>SUMIF('NFI Tracking'!AO$11:AO$1048576,Table10[[#This Row],[Pcode]],'NFI Tracking'!AI$11:AI$1048576)</f>
        <v>0</v>
      </c>
      <c r="H93" s="361">
        <f>SUMIF('NFI Tracking'!AO$11:AO$1048576,Table10[[#This Row],[Pcode]],'NFI Tracking'!AJ$11:AJ$1048576)</f>
        <v>0</v>
      </c>
      <c r="I93" s="361">
        <f>SUMIF('NFI Tracking'!AO$11:AO$1048576,Table10[[#This Row],[Pcode]],'NFI Tracking'!AK$11:AK$1048576)</f>
        <v>0</v>
      </c>
      <c r="J93" s="361">
        <f ca="1">MAX(Table10[[#This Row],[HH]]*VLOOKUP("Winter Clothes Adult",NFI,6)-Table10[[#This Row],[Winter Clothes Adult ]],0)</f>
        <v>44</v>
      </c>
      <c r="K93" s="361">
        <f ca="1">MAX(Table10[[#This Row],[HH]]*VLOOKUP("Winter Clothes Children ",NFI,6)-Table10[[#This Row],[Winter Clothes Children ]],0)</f>
        <v>22</v>
      </c>
      <c r="L93" s="361">
        <f ca="1">MAX(Table10[[#This Row],[HH]]*VLOOKUP("Winter Items Other ",NFI,6)-Table10[[#This Row],[Winter Items Other ]],0)</f>
        <v>22</v>
      </c>
      <c r="M93" s="394" t="str">
        <f>IF(OR(Table10[[#This Row],[Winter Clothes Adult ]]&lt;&gt;0,Table10[[#This Row],[Winter Clothes Children ]]&lt;&gt;0,Table10[[#This Row],[Winter Items Other ]]&lt;&gt;0),"No","")</f>
        <v/>
      </c>
      <c r="N93" s="395">
        <f>COUNTIF(A:A,Table10[[#This Row],[Pcode]])-1</f>
        <v>0</v>
      </c>
    </row>
    <row r="94" spans="1:14" x14ac:dyDescent="0.25">
      <c r="A94" s="320" t="s">
        <v>199</v>
      </c>
      <c r="B94" s="26" t="str">
        <f ca="1">OFFSET(CampList[Priority],MATCH(Table10[[#This Row],[Pcode]],CampList[CP_Pcode],0)-1,0,1,1)</f>
        <v>P4</v>
      </c>
      <c r="C94" s="26" t="str">
        <f ca="1">OFFSET(CampList[Camp],MATCH(Table10[[#This Row],[Pcode]],CampList[CP_Pcode],0)-1,0,1,1)</f>
        <v xml:space="preserve">Mai Khat </v>
      </c>
      <c r="D94" s="26" t="str">
        <f ca="1">OFFSET(CampList[Township],MATCH(Table10[[#This Row],[Pcode]],CampList[CP_Pcode],0)-1,0,1,1)</f>
        <v>Momauk</v>
      </c>
      <c r="E94" s="361">
        <f ca="1">OFFSET(CampList[HH],MATCH(Table10[[#This Row],[Pcode]],CampList[CP_Pcode],0)-1,0,1,1)</f>
        <v>2</v>
      </c>
      <c r="F94" s="361">
        <f ca="1">OFFSET(CampList[Total],MATCH(Table10[[#This Row],[Pcode]],CampList[CP_Pcode],0)-1,0,1,1)</f>
        <v>9</v>
      </c>
      <c r="G94" s="361">
        <f>SUMIF('NFI Tracking'!AO$11:AO$1048576,Table10[[#This Row],[Pcode]],'NFI Tracking'!AI$11:AI$1048576)</f>
        <v>0</v>
      </c>
      <c r="H94" s="361">
        <f>SUMIF('NFI Tracking'!AO$11:AO$1048576,Table10[[#This Row],[Pcode]],'NFI Tracking'!AJ$11:AJ$1048576)</f>
        <v>0</v>
      </c>
      <c r="I94" s="361">
        <f>SUMIF('NFI Tracking'!AO$11:AO$1048576,Table10[[#This Row],[Pcode]],'NFI Tracking'!AK$11:AK$1048576)</f>
        <v>0</v>
      </c>
      <c r="J94" s="361">
        <f ca="1">MAX(Table10[[#This Row],[HH]]*VLOOKUP("Winter Clothes Adult",NFI,6)-Table10[[#This Row],[Winter Clothes Adult ]],0)</f>
        <v>4</v>
      </c>
      <c r="K94" s="361">
        <f ca="1">MAX(Table10[[#This Row],[HH]]*VLOOKUP("Winter Clothes Children ",NFI,6)-Table10[[#This Row],[Winter Clothes Children ]],0)</f>
        <v>2</v>
      </c>
      <c r="L94" s="361">
        <f ca="1">MAX(Table10[[#This Row],[HH]]*VLOOKUP("Winter Items Other ",NFI,6)-Table10[[#This Row],[Winter Items Other ]],0)</f>
        <v>2</v>
      </c>
      <c r="M94" s="394" t="str">
        <f>IF(OR(Table10[[#This Row],[Winter Clothes Adult ]]&lt;&gt;0,Table10[[#This Row],[Winter Clothes Children ]]&lt;&gt;0,Table10[[#This Row],[Winter Items Other ]]&lt;&gt;0),"No","")</f>
        <v/>
      </c>
      <c r="N94" s="395">
        <f>COUNTIF(A:A,Table10[[#This Row],[Pcode]])-1</f>
        <v>0</v>
      </c>
    </row>
    <row r="95" spans="1:14" x14ac:dyDescent="0.25">
      <c r="A95" s="320" t="s">
        <v>327</v>
      </c>
      <c r="B95" s="26" t="str">
        <f ca="1">OFFSET(CampList[Priority],MATCH(Table10[[#This Row],[Pcode]],CampList[CP_Pcode],0)-1,0,1,1)</f>
        <v>P4</v>
      </c>
      <c r="C95" s="26" t="str">
        <f ca="1">OFFSET(CampList[Camp],MATCH(Table10[[#This Row],[Pcode]],CampList[CP_Pcode],0)-1,0,1,1)</f>
        <v>Maina AG Church</v>
      </c>
      <c r="D95" s="26" t="str">
        <f ca="1">OFFSET(CampList[Township],MATCH(Table10[[#This Row],[Pcode]],CampList[CP_Pcode],0)-1,0,1,1)</f>
        <v>Waingmaw</v>
      </c>
      <c r="E95" s="361">
        <f ca="1">OFFSET(CampList[HH],MATCH(Table10[[#This Row],[Pcode]],CampList[CP_Pcode],0)-1,0,1,1)</f>
        <v>143</v>
      </c>
      <c r="F95" s="361">
        <f ca="1">OFFSET(CampList[Total],MATCH(Table10[[#This Row],[Pcode]],CampList[CP_Pcode],0)-1,0,1,1)</f>
        <v>800</v>
      </c>
      <c r="G95" s="361">
        <f>SUMIF('NFI Tracking'!AO$11:AO$1048576,Table10[[#This Row],[Pcode]],'NFI Tracking'!AI$11:AI$1048576)</f>
        <v>0</v>
      </c>
      <c r="H95" s="361">
        <f>SUMIF('NFI Tracking'!AO$11:AO$1048576,Table10[[#This Row],[Pcode]],'NFI Tracking'!AJ$11:AJ$1048576)</f>
        <v>0</v>
      </c>
      <c r="I95" s="361">
        <f>SUMIF('NFI Tracking'!AO$11:AO$1048576,Table10[[#This Row],[Pcode]],'NFI Tracking'!AK$11:AK$1048576)</f>
        <v>0</v>
      </c>
      <c r="J95" s="361">
        <f ca="1">MAX(Table10[[#This Row],[HH]]*VLOOKUP("Winter Clothes Adult",NFI,6)-Table10[[#This Row],[Winter Clothes Adult ]],0)</f>
        <v>286</v>
      </c>
      <c r="K95" s="361">
        <f ca="1">MAX(Table10[[#This Row],[HH]]*VLOOKUP("Winter Clothes Children ",NFI,6)-Table10[[#This Row],[Winter Clothes Children ]],0)</f>
        <v>143</v>
      </c>
      <c r="L95" s="361">
        <f ca="1">MAX(Table10[[#This Row],[HH]]*VLOOKUP("Winter Items Other ",NFI,6)-Table10[[#This Row],[Winter Items Other ]],0)</f>
        <v>143</v>
      </c>
      <c r="M95" s="394" t="str">
        <f>IF(OR(Table10[[#This Row],[Winter Clothes Adult ]]&lt;&gt;0,Table10[[#This Row],[Winter Clothes Children ]]&lt;&gt;0,Table10[[#This Row],[Winter Items Other ]]&lt;&gt;0),"No","")</f>
        <v/>
      </c>
      <c r="N95" s="395">
        <f>COUNTIF(A:A,Table10[[#This Row],[Pcode]])-1</f>
        <v>0</v>
      </c>
    </row>
    <row r="96" spans="1:14" x14ac:dyDescent="0.25">
      <c r="A96" s="320" t="s">
        <v>329</v>
      </c>
      <c r="B96" s="26" t="str">
        <f ca="1">OFFSET(CampList[Priority],MATCH(Table10[[#This Row],[Pcode]],CampList[CP_Pcode],0)-1,0,1,1)</f>
        <v>P4</v>
      </c>
      <c r="C96" s="26" t="str">
        <f ca="1">OFFSET(CampList[Camp],MATCH(Table10[[#This Row],[Pcode]],CampList[CP_Pcode],0)-1,0,1,1)</f>
        <v>Maina Catholic Church (St. Joseph)</v>
      </c>
      <c r="D96" s="26" t="str">
        <f ca="1">OFFSET(CampList[Township],MATCH(Table10[[#This Row],[Pcode]],CampList[CP_Pcode],0)-1,0,1,1)</f>
        <v>Waingmaw</v>
      </c>
      <c r="E96" s="361">
        <f ca="1">OFFSET(CampList[HH],MATCH(Table10[[#This Row],[Pcode]],CampList[CP_Pcode],0)-1,0,1,1)</f>
        <v>222</v>
      </c>
      <c r="F96" s="361">
        <f ca="1">OFFSET(CampList[Total],MATCH(Table10[[#This Row],[Pcode]],CampList[CP_Pcode],0)-1,0,1,1)</f>
        <v>1210</v>
      </c>
      <c r="G96" s="361">
        <f>SUMIF('NFI Tracking'!AO$11:AO$1048576,Table10[[#This Row],[Pcode]],'NFI Tracking'!AI$11:AI$1048576)</f>
        <v>0</v>
      </c>
      <c r="H96" s="361">
        <f>SUMIF('NFI Tracking'!AO$11:AO$1048576,Table10[[#This Row],[Pcode]],'NFI Tracking'!AJ$11:AJ$1048576)</f>
        <v>0</v>
      </c>
      <c r="I96" s="361">
        <f>SUMIF('NFI Tracking'!AO$11:AO$1048576,Table10[[#This Row],[Pcode]],'NFI Tracking'!AK$11:AK$1048576)</f>
        <v>0</v>
      </c>
      <c r="J96" s="361">
        <f ca="1">MAX(Table10[[#This Row],[HH]]*VLOOKUP("Winter Clothes Adult",NFI,6)-Table10[[#This Row],[Winter Clothes Adult ]],0)</f>
        <v>444</v>
      </c>
      <c r="K96" s="361">
        <f ca="1">MAX(Table10[[#This Row],[HH]]*VLOOKUP("Winter Clothes Children ",NFI,6)-Table10[[#This Row],[Winter Clothes Children ]],0)</f>
        <v>222</v>
      </c>
      <c r="L96" s="361">
        <f ca="1">MAX(Table10[[#This Row],[HH]]*VLOOKUP("Winter Items Other ",NFI,6)-Table10[[#This Row],[Winter Items Other ]],0)</f>
        <v>222</v>
      </c>
      <c r="M96" s="394" t="str">
        <f>IF(OR(Table10[[#This Row],[Winter Clothes Adult ]]&lt;&gt;0,Table10[[#This Row],[Winter Clothes Children ]]&lt;&gt;0,Table10[[#This Row],[Winter Items Other ]]&lt;&gt;0),"No","")</f>
        <v/>
      </c>
      <c r="N96" s="395">
        <f>COUNTIF(A:A,Table10[[#This Row],[Pcode]])-1</f>
        <v>0</v>
      </c>
    </row>
    <row r="97" spans="1:14" x14ac:dyDescent="0.25">
      <c r="A97" s="320" t="s">
        <v>323</v>
      </c>
      <c r="B97" s="26" t="str">
        <f ca="1">OFFSET(CampList[Priority],MATCH(Table10[[#This Row],[Pcode]],CampList[CP_Pcode],0)-1,0,1,1)</f>
        <v>P4</v>
      </c>
      <c r="C97" s="26" t="str">
        <f ca="1">OFFSET(CampList[Camp],MATCH(Table10[[#This Row],[Pcode]],CampList[CP_Pcode],0)-1,0,1,1)</f>
        <v>Maina KBC (Bawng Ring)</v>
      </c>
      <c r="D97" s="26" t="str">
        <f ca="1">OFFSET(CampList[Township],MATCH(Table10[[#This Row],[Pcode]],CampList[CP_Pcode],0)-1,0,1,1)</f>
        <v>Waingmaw</v>
      </c>
      <c r="E97" s="361">
        <f ca="1">OFFSET(CampList[HH],MATCH(Table10[[#This Row],[Pcode]],CampList[CP_Pcode],0)-1,0,1,1)</f>
        <v>396</v>
      </c>
      <c r="F97" s="361">
        <f ca="1">OFFSET(CampList[Total],MATCH(Table10[[#This Row],[Pcode]],CampList[CP_Pcode],0)-1,0,1,1)</f>
        <v>2120</v>
      </c>
      <c r="G97" s="361">
        <f>SUMIF('NFI Tracking'!AO$11:AO$1048576,Table10[[#This Row],[Pcode]],'NFI Tracking'!AI$11:AI$1048576)</f>
        <v>0</v>
      </c>
      <c r="H97" s="361">
        <f>SUMIF('NFI Tracking'!AO$11:AO$1048576,Table10[[#This Row],[Pcode]],'NFI Tracking'!AJ$11:AJ$1048576)</f>
        <v>0</v>
      </c>
      <c r="I97" s="361">
        <f>SUMIF('NFI Tracking'!AO$11:AO$1048576,Table10[[#This Row],[Pcode]],'NFI Tracking'!AK$11:AK$1048576)</f>
        <v>0</v>
      </c>
      <c r="J97" s="361">
        <f ca="1">MAX(Table10[[#This Row],[HH]]*VLOOKUP("Winter Clothes Adult",NFI,6)-Table10[[#This Row],[Winter Clothes Adult ]],0)</f>
        <v>792</v>
      </c>
      <c r="K97" s="361">
        <f ca="1">MAX(Table10[[#This Row],[HH]]*VLOOKUP("Winter Clothes Children ",NFI,6)-Table10[[#This Row],[Winter Clothes Children ]],0)</f>
        <v>396</v>
      </c>
      <c r="L97" s="361">
        <f ca="1">MAX(Table10[[#This Row],[HH]]*VLOOKUP("Winter Items Other ",NFI,6)-Table10[[#This Row],[Winter Items Other ]],0)</f>
        <v>396</v>
      </c>
      <c r="M97" s="394" t="str">
        <f>IF(OR(Table10[[#This Row],[Winter Clothes Adult ]]&lt;&gt;0,Table10[[#This Row],[Winter Clothes Children ]]&lt;&gt;0,Table10[[#This Row],[Winter Items Other ]]&lt;&gt;0),"No","")</f>
        <v/>
      </c>
      <c r="N97" s="395">
        <f>COUNTIF(A:A,Table10[[#This Row],[Pcode]])-1</f>
        <v>0</v>
      </c>
    </row>
    <row r="98" spans="1:14" x14ac:dyDescent="0.25">
      <c r="A98" s="320" t="s">
        <v>325</v>
      </c>
      <c r="B98" s="26" t="str">
        <f ca="1">OFFSET(CampList[Priority],MATCH(Table10[[#This Row],[Pcode]],CampList[CP_Pcode],0)-1,0,1,1)</f>
        <v>P4</v>
      </c>
      <c r="C98" s="26" t="str">
        <f ca="1">OFFSET(CampList[Camp],MATCH(Table10[[#This Row],[Pcode]],CampList[CP_Pcode],0)-1,0,1,1)</f>
        <v>Maina Lawang Baptist Church</v>
      </c>
      <c r="D98" s="26" t="str">
        <f ca="1">OFFSET(CampList[Township],MATCH(Table10[[#This Row],[Pcode]],CampList[CP_Pcode],0)-1,0,1,1)</f>
        <v>Waingmaw</v>
      </c>
      <c r="E98" s="361">
        <f ca="1">OFFSET(CampList[HH],MATCH(Table10[[#This Row],[Pcode]],CampList[CP_Pcode],0)-1,0,1,1)</f>
        <v>46</v>
      </c>
      <c r="F98" s="361">
        <f ca="1">OFFSET(CampList[Total],MATCH(Table10[[#This Row],[Pcode]],CampList[CP_Pcode],0)-1,0,1,1)</f>
        <v>192</v>
      </c>
      <c r="G98" s="361">
        <f>SUMIF('NFI Tracking'!AO$11:AO$1048576,Table10[[#This Row],[Pcode]],'NFI Tracking'!AI$11:AI$1048576)</f>
        <v>0</v>
      </c>
      <c r="H98" s="361">
        <f>SUMIF('NFI Tracking'!AO$11:AO$1048576,Table10[[#This Row],[Pcode]],'NFI Tracking'!AJ$11:AJ$1048576)</f>
        <v>0</v>
      </c>
      <c r="I98" s="361">
        <f>SUMIF('NFI Tracking'!AO$11:AO$1048576,Table10[[#This Row],[Pcode]],'NFI Tracking'!AK$11:AK$1048576)</f>
        <v>0</v>
      </c>
      <c r="J98" s="361">
        <f ca="1">MAX(Table10[[#This Row],[HH]]*VLOOKUP("Winter Clothes Adult",NFI,6)-Table10[[#This Row],[Winter Clothes Adult ]],0)</f>
        <v>92</v>
      </c>
      <c r="K98" s="361">
        <f ca="1">MAX(Table10[[#This Row],[HH]]*VLOOKUP("Winter Clothes Children ",NFI,6)-Table10[[#This Row],[Winter Clothes Children ]],0)</f>
        <v>46</v>
      </c>
      <c r="L98" s="361">
        <f ca="1">MAX(Table10[[#This Row],[HH]]*VLOOKUP("Winter Items Other ",NFI,6)-Table10[[#This Row],[Winter Items Other ]],0)</f>
        <v>46</v>
      </c>
      <c r="M98" s="394" t="str">
        <f>IF(OR(Table10[[#This Row],[Winter Clothes Adult ]]&lt;&gt;0,Table10[[#This Row],[Winter Clothes Children ]]&lt;&gt;0,Table10[[#This Row],[Winter Items Other ]]&lt;&gt;0),"No","")</f>
        <v/>
      </c>
      <c r="N98" s="395">
        <f>COUNTIF(A:A,Table10[[#This Row],[Pcode]])-1</f>
        <v>0</v>
      </c>
    </row>
    <row r="99" spans="1:14" x14ac:dyDescent="0.25">
      <c r="A99" s="320" t="s">
        <v>888</v>
      </c>
      <c r="B99" s="26" t="str">
        <f ca="1">OFFSET(CampList[Priority],MATCH(Table10[[#This Row],[Pcode]],CampList[CP_Pcode],0)-1,0,1,1)</f>
        <v>P4</v>
      </c>
      <c r="C99" s="26" t="str">
        <f ca="1">OFFSET(CampList[Camp],MATCH(Table10[[#This Row],[Pcode]],CampList[CP_Pcode],0)-1,0,1,1)</f>
        <v>Maing Khaung</v>
      </c>
      <c r="D99" s="26" t="str">
        <f ca="1">OFFSET(CampList[Township],MATCH(Table10[[#This Row],[Pcode]],CampList[CP_Pcode],0)-1,0,1,1)</f>
        <v>Mansi</v>
      </c>
      <c r="E99" s="361">
        <f ca="1">OFFSET(CampList[HH],MATCH(Table10[[#This Row],[Pcode]],CampList[CP_Pcode],0)-1,0,1,1)</f>
        <v>365</v>
      </c>
      <c r="F99" s="361">
        <f ca="1">OFFSET(CampList[Total],MATCH(Table10[[#This Row],[Pcode]],CampList[CP_Pcode],0)-1,0,1,1)</f>
        <v>1672</v>
      </c>
      <c r="G99" s="361">
        <f>SUMIF('NFI Tracking'!AO$11:AO$1048576,Table10[[#This Row],[Pcode]],'NFI Tracking'!AI$11:AI$1048576)</f>
        <v>0</v>
      </c>
      <c r="H99" s="361">
        <f>SUMIF('NFI Tracking'!AO$11:AO$1048576,Table10[[#This Row],[Pcode]],'NFI Tracking'!AJ$11:AJ$1048576)</f>
        <v>0</v>
      </c>
      <c r="I99" s="361">
        <f>SUMIF('NFI Tracking'!AO$11:AO$1048576,Table10[[#This Row],[Pcode]],'NFI Tracking'!AK$11:AK$1048576)</f>
        <v>0</v>
      </c>
      <c r="J99" s="361">
        <f ca="1">MAX(Table10[[#This Row],[HH]]*VLOOKUP("Winter Clothes Adult",NFI,6)-Table10[[#This Row],[Winter Clothes Adult ]],0)</f>
        <v>730</v>
      </c>
      <c r="K99" s="361">
        <f ca="1">MAX(Table10[[#This Row],[HH]]*VLOOKUP("Winter Clothes Children ",NFI,6)-Table10[[#This Row],[Winter Clothes Children ]],0)</f>
        <v>365</v>
      </c>
      <c r="L99" s="361">
        <f ca="1">MAX(Table10[[#This Row],[HH]]*VLOOKUP("Winter Items Other ",NFI,6)-Table10[[#This Row],[Winter Items Other ]],0)</f>
        <v>365</v>
      </c>
      <c r="M99" s="394" t="str">
        <f>IF(OR(Table10[[#This Row],[Winter Clothes Adult ]]&lt;&gt;0,Table10[[#This Row],[Winter Clothes Children ]]&lt;&gt;0,Table10[[#This Row],[Winter Items Other ]]&lt;&gt;0),"No","")</f>
        <v/>
      </c>
      <c r="N99" s="395">
        <f>COUNTIF(A:A,Table10[[#This Row],[Pcode]])-1</f>
        <v>0</v>
      </c>
    </row>
    <row r="100" spans="1:14" x14ac:dyDescent="0.25">
      <c r="A100" s="320" t="s">
        <v>944</v>
      </c>
      <c r="B100" s="26" t="str">
        <f ca="1">OFFSET(CampList[Priority],MATCH(Table10[[#This Row],[Pcode]],CampList[CP_Pcode],0)-1,0,1,1)</f>
        <v>P4</v>
      </c>
      <c r="C100" s="26" t="str">
        <f ca="1">OFFSET(CampList[Camp],MATCH(Table10[[#This Row],[Pcode]],CampList[CP_Pcode],0)-1,0,1,1)</f>
        <v>Maing Khaung Catholic Church</v>
      </c>
      <c r="D100" s="26" t="str">
        <f ca="1">OFFSET(CampList[Township],MATCH(Table10[[#This Row],[Pcode]],CampList[CP_Pcode],0)-1,0,1,1)</f>
        <v>Mansi</v>
      </c>
      <c r="E100" s="361">
        <f ca="1">OFFSET(CampList[HH],MATCH(Table10[[#This Row],[Pcode]],CampList[CP_Pcode],0)-1,0,1,1)</f>
        <v>123</v>
      </c>
      <c r="F100" s="361">
        <f ca="1">OFFSET(CampList[Total],MATCH(Table10[[#This Row],[Pcode]],CampList[CP_Pcode],0)-1,0,1,1)</f>
        <v>582</v>
      </c>
      <c r="G100" s="361">
        <f>SUMIF('NFI Tracking'!AO$11:AO$1048576,Table10[[#This Row],[Pcode]],'NFI Tracking'!AI$11:AI$1048576)</f>
        <v>0</v>
      </c>
      <c r="H100" s="361">
        <f>SUMIF('NFI Tracking'!AO$11:AO$1048576,Table10[[#This Row],[Pcode]],'NFI Tracking'!AJ$11:AJ$1048576)</f>
        <v>0</v>
      </c>
      <c r="I100" s="361">
        <f>SUMIF('NFI Tracking'!AO$11:AO$1048576,Table10[[#This Row],[Pcode]],'NFI Tracking'!AK$11:AK$1048576)</f>
        <v>0</v>
      </c>
      <c r="J100" s="361">
        <f ca="1">MAX(Table10[[#This Row],[HH]]*VLOOKUP("Winter Clothes Adult",NFI,6)-Table10[[#This Row],[Winter Clothes Adult ]],0)</f>
        <v>246</v>
      </c>
      <c r="K100" s="361">
        <f ca="1">MAX(Table10[[#This Row],[HH]]*VLOOKUP("Winter Clothes Children ",NFI,6)-Table10[[#This Row],[Winter Clothes Children ]],0)</f>
        <v>123</v>
      </c>
      <c r="L100" s="361">
        <f ca="1">MAX(Table10[[#This Row],[HH]]*VLOOKUP("Winter Items Other ",NFI,6)-Table10[[#This Row],[Winter Items Other ]],0)</f>
        <v>123</v>
      </c>
      <c r="M100" s="394" t="str">
        <f>IF(OR(Table10[[#This Row],[Winter Clothes Adult ]]&lt;&gt;0,Table10[[#This Row],[Winter Clothes Children ]]&lt;&gt;0,Table10[[#This Row],[Winter Items Other ]]&lt;&gt;0),"No","")</f>
        <v/>
      </c>
      <c r="N100" s="395">
        <f>COUNTIF(A:A,Table10[[#This Row],[Pcode]])-1</f>
        <v>0</v>
      </c>
    </row>
    <row r="101" spans="1:14" x14ac:dyDescent="0.25">
      <c r="A101" s="320" t="s">
        <v>258</v>
      </c>
      <c r="B101" s="26" t="str">
        <f ca="1">OFFSET(CampList[Priority],MATCH(Table10[[#This Row],[Pcode]],CampList[CP_Pcode],0)-1,0,1,1)</f>
        <v>P4</v>
      </c>
      <c r="C101" s="26" t="str">
        <f ca="1">OFFSET(CampList[Camp],MATCH(Table10[[#This Row],[Pcode]],CampList[CP_Pcode],0)-1,0,1,1)</f>
        <v>Maliyang Baptist Church</v>
      </c>
      <c r="D101" s="26" t="str">
        <f ca="1">OFFSET(CampList[Township],MATCH(Table10[[#This Row],[Pcode]],CampList[CP_Pcode],0)-1,0,1,1)</f>
        <v>Myitkyina</v>
      </c>
      <c r="E101" s="361">
        <f ca="1">OFFSET(CampList[HH],MATCH(Table10[[#This Row],[Pcode]],CampList[CP_Pcode],0)-1,0,1,1)</f>
        <v>60</v>
      </c>
      <c r="F101" s="361">
        <f ca="1">OFFSET(CampList[Total],MATCH(Table10[[#This Row],[Pcode]],CampList[CP_Pcode],0)-1,0,1,1)</f>
        <v>293</v>
      </c>
      <c r="G101" s="361">
        <f>SUMIF('NFI Tracking'!AO$11:AO$1048576,Table10[[#This Row],[Pcode]],'NFI Tracking'!AI$11:AI$1048576)</f>
        <v>0</v>
      </c>
      <c r="H101" s="361">
        <f>SUMIF('NFI Tracking'!AO$11:AO$1048576,Table10[[#This Row],[Pcode]],'NFI Tracking'!AJ$11:AJ$1048576)</f>
        <v>0</v>
      </c>
      <c r="I101" s="361">
        <f>SUMIF('NFI Tracking'!AO$11:AO$1048576,Table10[[#This Row],[Pcode]],'NFI Tracking'!AK$11:AK$1048576)</f>
        <v>0</v>
      </c>
      <c r="J101" s="361">
        <f ca="1">MAX(Table10[[#This Row],[HH]]*VLOOKUP("Winter Clothes Adult",NFI,6)-Table10[[#This Row],[Winter Clothes Adult ]],0)</f>
        <v>120</v>
      </c>
      <c r="K101" s="361">
        <f ca="1">MAX(Table10[[#This Row],[HH]]*VLOOKUP("Winter Clothes Children ",NFI,6)-Table10[[#This Row],[Winter Clothes Children ]],0)</f>
        <v>60</v>
      </c>
      <c r="L101" s="361">
        <f ca="1">MAX(Table10[[#This Row],[HH]]*VLOOKUP("Winter Items Other ",NFI,6)-Table10[[#This Row],[Winter Items Other ]],0)</f>
        <v>60</v>
      </c>
      <c r="M101" s="394" t="str">
        <f>IF(OR(Table10[[#This Row],[Winter Clothes Adult ]]&lt;&gt;0,Table10[[#This Row],[Winter Clothes Children ]]&lt;&gt;0,Table10[[#This Row],[Winter Items Other ]]&lt;&gt;0),"No","")</f>
        <v/>
      </c>
      <c r="N101" s="395">
        <f>COUNTIF(A:A,Table10[[#This Row],[Pcode]])-1</f>
        <v>0</v>
      </c>
    </row>
    <row r="102" spans="1:14" x14ac:dyDescent="0.25">
      <c r="A102" s="320" t="s">
        <v>201</v>
      </c>
      <c r="B102" s="26" t="str">
        <f ca="1">OFFSET(CampList[Priority],MATCH(Table10[[#This Row],[Pcode]],CampList[CP_Pcode],0)-1,0,1,1)</f>
        <v>P4</v>
      </c>
      <c r="C102" s="26" t="str">
        <f ca="1">OFFSET(CampList[Camp],MATCH(Table10[[#This Row],[Pcode]],CampList[CP_Pcode],0)-1,0,1,1)</f>
        <v>Man Bung Catholic compound</v>
      </c>
      <c r="D102" s="26" t="str">
        <f ca="1">OFFSET(CampList[Township],MATCH(Table10[[#This Row],[Pcode]],CampList[CP_Pcode],0)-1,0,1,1)</f>
        <v>Momauk</v>
      </c>
      <c r="E102" s="361">
        <f ca="1">OFFSET(CampList[HH],MATCH(Table10[[#This Row],[Pcode]],CampList[CP_Pcode],0)-1,0,1,1)</f>
        <v>261</v>
      </c>
      <c r="F102" s="361">
        <f ca="1">OFFSET(CampList[Total],MATCH(Table10[[#This Row],[Pcode]],CampList[CP_Pcode],0)-1,0,1,1)</f>
        <v>1155</v>
      </c>
      <c r="G102" s="361">
        <f>SUMIF('NFI Tracking'!AO$11:AO$1048576,Table10[[#This Row],[Pcode]],'NFI Tracking'!AI$11:AI$1048576)</f>
        <v>0</v>
      </c>
      <c r="H102" s="361">
        <f>SUMIF('NFI Tracking'!AO$11:AO$1048576,Table10[[#This Row],[Pcode]],'NFI Tracking'!AJ$11:AJ$1048576)</f>
        <v>0</v>
      </c>
      <c r="I102" s="361">
        <f>SUMIF('NFI Tracking'!AO$11:AO$1048576,Table10[[#This Row],[Pcode]],'NFI Tracking'!AK$11:AK$1048576)</f>
        <v>0</v>
      </c>
      <c r="J102" s="361">
        <f ca="1">MAX(Table10[[#This Row],[HH]]*VLOOKUP("Winter Clothes Adult",NFI,6)-Table10[[#This Row],[Winter Clothes Adult ]],0)</f>
        <v>522</v>
      </c>
      <c r="K102" s="361">
        <f ca="1">MAX(Table10[[#This Row],[HH]]*VLOOKUP("Winter Clothes Children ",NFI,6)-Table10[[#This Row],[Winter Clothes Children ]],0)</f>
        <v>261</v>
      </c>
      <c r="L102" s="361">
        <f ca="1">MAX(Table10[[#This Row],[HH]]*VLOOKUP("Winter Items Other ",NFI,6)-Table10[[#This Row],[Winter Items Other ]],0)</f>
        <v>261</v>
      </c>
      <c r="M102" s="394" t="str">
        <f>IF(OR(Table10[[#This Row],[Winter Clothes Adult ]]&lt;&gt;0,Table10[[#This Row],[Winter Clothes Children ]]&lt;&gt;0,Table10[[#This Row],[Winter Items Other ]]&lt;&gt;0),"No","")</f>
        <v/>
      </c>
      <c r="N102" s="395">
        <f>COUNTIF(A:A,Table10[[#This Row],[Pcode]])-1</f>
        <v>0</v>
      </c>
    </row>
    <row r="103" spans="1:14" x14ac:dyDescent="0.25">
      <c r="A103" s="320" t="s">
        <v>260</v>
      </c>
      <c r="B103" s="26" t="str">
        <f ca="1">OFFSET(CampList[Priority],MATCH(Table10[[#This Row],[Pcode]],CampList[CP_Pcode],0)-1,0,1,1)</f>
        <v>P4</v>
      </c>
      <c r="C103" s="26" t="str">
        <f ca="1">OFFSET(CampList[Camp],MATCH(Table10[[#This Row],[Pcode]],CampList[CP_Pcode],0)-1,0,1,1)</f>
        <v>Man Hkring Baptist Church</v>
      </c>
      <c r="D103" s="26" t="str">
        <f ca="1">OFFSET(CampList[Township],MATCH(Table10[[#This Row],[Pcode]],CampList[CP_Pcode],0)-1,0,1,1)</f>
        <v>Myitkyina</v>
      </c>
      <c r="E103" s="361">
        <f ca="1">OFFSET(CampList[HH],MATCH(Table10[[#This Row],[Pcode]],CampList[CP_Pcode],0)-1,0,1,1)</f>
        <v>101</v>
      </c>
      <c r="F103" s="361">
        <f ca="1">OFFSET(CampList[Total],MATCH(Table10[[#This Row],[Pcode]],CampList[CP_Pcode],0)-1,0,1,1)</f>
        <v>544</v>
      </c>
      <c r="G103" s="361">
        <f>SUMIF('NFI Tracking'!AO$11:AO$1048576,Table10[[#This Row],[Pcode]],'NFI Tracking'!AI$11:AI$1048576)</f>
        <v>0</v>
      </c>
      <c r="H103" s="361">
        <f>SUMIF('NFI Tracking'!AO$11:AO$1048576,Table10[[#This Row],[Pcode]],'NFI Tracking'!AJ$11:AJ$1048576)</f>
        <v>0</v>
      </c>
      <c r="I103" s="361">
        <f>SUMIF('NFI Tracking'!AO$11:AO$1048576,Table10[[#This Row],[Pcode]],'NFI Tracking'!AK$11:AK$1048576)</f>
        <v>0</v>
      </c>
      <c r="J103" s="361">
        <f ca="1">MAX(Table10[[#This Row],[HH]]*VLOOKUP("Winter Clothes Adult",NFI,6)-Table10[[#This Row],[Winter Clothes Adult ]],0)</f>
        <v>202</v>
      </c>
      <c r="K103" s="361">
        <f ca="1">MAX(Table10[[#This Row],[HH]]*VLOOKUP("Winter Clothes Children ",NFI,6)-Table10[[#This Row],[Winter Clothes Children ]],0)</f>
        <v>101</v>
      </c>
      <c r="L103" s="361">
        <f ca="1">MAX(Table10[[#This Row],[HH]]*VLOOKUP("Winter Items Other ",NFI,6)-Table10[[#This Row],[Winter Items Other ]],0)</f>
        <v>101</v>
      </c>
      <c r="M103" s="394" t="str">
        <f>IF(OR(Table10[[#This Row],[Winter Clothes Adult ]]&lt;&gt;0,Table10[[#This Row],[Winter Clothes Children ]]&lt;&gt;0,Table10[[#This Row],[Winter Items Other ]]&lt;&gt;0),"No","")</f>
        <v/>
      </c>
      <c r="N103" s="395">
        <f>COUNTIF(A:A,Table10[[#This Row],[Pcode]])-1</f>
        <v>0</v>
      </c>
    </row>
    <row r="104" spans="1:14" x14ac:dyDescent="0.25">
      <c r="A104" s="320" t="s">
        <v>203</v>
      </c>
      <c r="B104" s="26" t="str">
        <f ca="1">OFFSET(CampList[Priority],MATCH(Table10[[#This Row],[Pcode]],CampList[CP_Pcode],0)-1,0,1,1)</f>
        <v>P4</v>
      </c>
      <c r="C104" s="26" t="str">
        <f ca="1">OFFSET(CampList[Camp],MATCH(Table10[[#This Row],[Pcode]],CampList[CP_Pcode],0)-1,0,1,1)</f>
        <v xml:space="preserve">Man Nawng </v>
      </c>
      <c r="D104" s="26" t="str">
        <f ca="1">OFFSET(CampList[Township],MATCH(Table10[[#This Row],[Pcode]],CampList[CP_Pcode],0)-1,0,1,1)</f>
        <v>Momauk</v>
      </c>
      <c r="E104" s="361">
        <f ca="1">OFFSET(CampList[HH],MATCH(Table10[[#This Row],[Pcode]],CampList[CP_Pcode],0)-1,0,1,1)</f>
        <v>28</v>
      </c>
      <c r="F104" s="361">
        <f ca="1">OFFSET(CampList[Total],MATCH(Table10[[#This Row],[Pcode]],CampList[CP_Pcode],0)-1,0,1,1)</f>
        <v>136</v>
      </c>
      <c r="G104" s="361">
        <f>SUMIF('NFI Tracking'!AO$11:AO$1048576,Table10[[#This Row],[Pcode]],'NFI Tracking'!AI$11:AI$1048576)</f>
        <v>0</v>
      </c>
      <c r="H104" s="361">
        <f>SUMIF('NFI Tracking'!AO$11:AO$1048576,Table10[[#This Row],[Pcode]],'NFI Tracking'!AJ$11:AJ$1048576)</f>
        <v>0</v>
      </c>
      <c r="I104" s="361">
        <f>SUMIF('NFI Tracking'!AO$11:AO$1048576,Table10[[#This Row],[Pcode]],'NFI Tracking'!AK$11:AK$1048576)</f>
        <v>0</v>
      </c>
      <c r="J104" s="361">
        <f ca="1">MAX(Table10[[#This Row],[HH]]*VLOOKUP("Winter Clothes Adult",NFI,6)-Table10[[#This Row],[Winter Clothes Adult ]],0)</f>
        <v>56</v>
      </c>
      <c r="K104" s="361">
        <f ca="1">MAX(Table10[[#This Row],[HH]]*VLOOKUP("Winter Clothes Children ",NFI,6)-Table10[[#This Row],[Winter Clothes Children ]],0)</f>
        <v>28</v>
      </c>
      <c r="L104" s="361">
        <f ca="1">MAX(Table10[[#This Row],[HH]]*VLOOKUP("Winter Items Other ",NFI,6)-Table10[[#This Row],[Winter Items Other ]],0)</f>
        <v>28</v>
      </c>
      <c r="M104" s="394" t="str">
        <f>IF(OR(Table10[[#This Row],[Winter Clothes Adult ]]&lt;&gt;0,Table10[[#This Row],[Winter Clothes Children ]]&lt;&gt;0,Table10[[#This Row],[Winter Items Other ]]&lt;&gt;0),"No","")</f>
        <v/>
      </c>
      <c r="N104" s="395">
        <f>COUNTIF(A:A,Table10[[#This Row],[Pcode]])-1</f>
        <v>0</v>
      </c>
    </row>
    <row r="105" spans="1:14" x14ac:dyDescent="0.25">
      <c r="A105" s="320" t="s">
        <v>393</v>
      </c>
      <c r="B105" s="26" t="str">
        <f ca="1">OFFSET(CampList[Priority],MATCH(Table10[[#This Row],[Pcode]],CampList[CP_Pcode],0)-1,0,1,1)</f>
        <v>P4</v>
      </c>
      <c r="C105" s="26" t="str">
        <f ca="1">OFFSET(CampList[Camp],MATCH(Table10[[#This Row],[Pcode]],CampList[CP_Pcode],0)-1,0,1,1)</f>
        <v>Man Ting</v>
      </c>
      <c r="D105" s="26" t="str">
        <f ca="1">OFFSET(CampList[Township],MATCH(Table10[[#This Row],[Pcode]],CampList[CP_Pcode],0)-1,0,1,1)</f>
        <v>Momauk</v>
      </c>
      <c r="E105" s="361">
        <f ca="1">OFFSET(CampList[HH],MATCH(Table10[[#This Row],[Pcode]],CampList[CP_Pcode],0)-1,0,1,1)</f>
        <v>0</v>
      </c>
      <c r="F105" s="361">
        <f ca="1">OFFSET(CampList[Total],MATCH(Table10[[#This Row],[Pcode]],CampList[CP_Pcode],0)-1,0,1,1)</f>
        <v>0</v>
      </c>
      <c r="G105" s="361">
        <f>SUMIF('NFI Tracking'!AO$11:AO$1048576,Table10[[#This Row],[Pcode]],'NFI Tracking'!AI$11:AI$1048576)</f>
        <v>0</v>
      </c>
      <c r="H105" s="361">
        <f>SUMIF('NFI Tracking'!AO$11:AO$1048576,Table10[[#This Row],[Pcode]],'NFI Tracking'!AJ$11:AJ$1048576)</f>
        <v>0</v>
      </c>
      <c r="I105" s="361">
        <f>SUMIF('NFI Tracking'!AO$11:AO$1048576,Table10[[#This Row],[Pcode]],'NFI Tracking'!AK$11:AK$1048576)</f>
        <v>0</v>
      </c>
      <c r="J105" s="361">
        <f ca="1">MAX(Table10[[#This Row],[HH]]*VLOOKUP("Winter Clothes Adult",NFI,6)-Table10[[#This Row],[Winter Clothes Adult ]],0)</f>
        <v>0</v>
      </c>
      <c r="K105" s="361">
        <f ca="1">MAX(Table10[[#This Row],[HH]]*VLOOKUP("Winter Clothes Children ",NFI,6)-Table10[[#This Row],[Winter Clothes Children ]],0)</f>
        <v>0</v>
      </c>
      <c r="L105" s="361">
        <f ca="1">MAX(Table10[[#This Row],[HH]]*VLOOKUP("Winter Items Other ",NFI,6)-Table10[[#This Row],[Winter Items Other ]],0)</f>
        <v>0</v>
      </c>
      <c r="M105" s="394" t="str">
        <f>IF(OR(Table10[[#This Row],[Winter Clothes Adult ]]&lt;&gt;0,Table10[[#This Row],[Winter Clothes Children ]]&lt;&gt;0,Table10[[#This Row],[Winter Items Other ]]&lt;&gt;0),"No","")</f>
        <v/>
      </c>
      <c r="N105" s="395">
        <f>COUNTIF(A:A,Table10[[#This Row],[Pcode]])-1</f>
        <v>0</v>
      </c>
    </row>
    <row r="106" spans="1:14" x14ac:dyDescent="0.25">
      <c r="A106" s="320" t="s">
        <v>159</v>
      </c>
      <c r="B106" s="26" t="str">
        <f ca="1">OFFSET(CampList[Priority],MATCH(Table10[[#This Row],[Pcode]],CampList[CP_Pcode],0)-1,0,1,1)</f>
        <v>P4</v>
      </c>
      <c r="C106" s="26" t="str">
        <f ca="1">OFFSET(CampList[Camp],MATCH(Table10[[#This Row],[Pcode]],CampList[CP_Pcode],0)-1,0,1,1)</f>
        <v>Man Wing Baptist Church</v>
      </c>
      <c r="D106" s="26" t="str">
        <f ca="1">OFFSET(CampList[Township],MATCH(Table10[[#This Row],[Pcode]],CampList[CP_Pcode],0)-1,0,1,1)</f>
        <v>Mansi</v>
      </c>
      <c r="E106" s="361">
        <f ca="1">OFFSET(CampList[HH],MATCH(Table10[[#This Row],[Pcode]],CampList[CP_Pcode],0)-1,0,1,1)</f>
        <v>107</v>
      </c>
      <c r="F106" s="361">
        <f ca="1">OFFSET(CampList[Total],MATCH(Table10[[#This Row],[Pcode]],CampList[CP_Pcode],0)-1,0,1,1)</f>
        <v>527</v>
      </c>
      <c r="G106" s="361">
        <f>SUMIF('NFI Tracking'!AO$11:AO$1048576,Table10[[#This Row],[Pcode]],'NFI Tracking'!AI$11:AI$1048576)</f>
        <v>0</v>
      </c>
      <c r="H106" s="361">
        <f>SUMIF('NFI Tracking'!AO$11:AO$1048576,Table10[[#This Row],[Pcode]],'NFI Tracking'!AJ$11:AJ$1048576)</f>
        <v>0</v>
      </c>
      <c r="I106" s="361">
        <f>SUMIF('NFI Tracking'!AO$11:AO$1048576,Table10[[#This Row],[Pcode]],'NFI Tracking'!AK$11:AK$1048576)</f>
        <v>0</v>
      </c>
      <c r="J106" s="361">
        <f ca="1">MAX(Table10[[#This Row],[HH]]*VLOOKUP("Winter Clothes Adult",NFI,6)-Table10[[#This Row],[Winter Clothes Adult ]],0)</f>
        <v>214</v>
      </c>
      <c r="K106" s="361">
        <f ca="1">MAX(Table10[[#This Row],[HH]]*VLOOKUP("Winter Clothes Children ",NFI,6)-Table10[[#This Row],[Winter Clothes Children ]],0)</f>
        <v>107</v>
      </c>
      <c r="L106" s="361">
        <f ca="1">MAX(Table10[[#This Row],[HH]]*VLOOKUP("Winter Items Other ",NFI,6)-Table10[[#This Row],[Winter Items Other ]],0)</f>
        <v>107</v>
      </c>
      <c r="M106" s="394" t="str">
        <f>IF(OR(Table10[[#This Row],[Winter Clothes Adult ]]&lt;&gt;0,Table10[[#This Row],[Winter Clothes Children ]]&lt;&gt;0,Table10[[#This Row],[Winter Items Other ]]&lt;&gt;0),"No","")</f>
        <v/>
      </c>
      <c r="N106" s="395">
        <f>COUNTIF(A:A,Table10[[#This Row],[Pcode]])-1</f>
        <v>0</v>
      </c>
    </row>
    <row r="107" spans="1:14" x14ac:dyDescent="0.25">
      <c r="A107" s="320" t="s">
        <v>153</v>
      </c>
      <c r="B107" s="26" t="str">
        <f ca="1">OFFSET(CampList[Priority],MATCH(Table10[[#This Row],[Pcode]],CampList[CP_Pcode],0)-1,0,1,1)</f>
        <v>P4</v>
      </c>
      <c r="C107" s="26" t="str">
        <f ca="1">OFFSET(CampList[Camp],MATCH(Table10[[#This Row],[Pcode]],CampList[CP_Pcode],0)-1,0,1,1)</f>
        <v>Man Wing Catholic Church</v>
      </c>
      <c r="D107" s="26" t="str">
        <f ca="1">OFFSET(CampList[Township],MATCH(Table10[[#This Row],[Pcode]],CampList[CP_Pcode],0)-1,0,1,1)</f>
        <v>Mansi</v>
      </c>
      <c r="E107" s="361">
        <f ca="1">OFFSET(CampList[HH],MATCH(Table10[[#This Row],[Pcode]],CampList[CP_Pcode],0)-1,0,1,1)</f>
        <v>458</v>
      </c>
      <c r="F107" s="361">
        <f ca="1">OFFSET(CampList[Total],MATCH(Table10[[#This Row],[Pcode]],CampList[CP_Pcode],0)-1,0,1,1)</f>
        <v>2139</v>
      </c>
      <c r="G107" s="361">
        <f>SUMIF('NFI Tracking'!AO$11:AO$1048576,Table10[[#This Row],[Pcode]],'NFI Tracking'!AI$11:AI$1048576)</f>
        <v>0</v>
      </c>
      <c r="H107" s="361">
        <f>SUMIF('NFI Tracking'!AO$11:AO$1048576,Table10[[#This Row],[Pcode]],'NFI Tracking'!AJ$11:AJ$1048576)</f>
        <v>0</v>
      </c>
      <c r="I107" s="361">
        <f>SUMIF('NFI Tracking'!AO$11:AO$1048576,Table10[[#This Row],[Pcode]],'NFI Tracking'!AK$11:AK$1048576)</f>
        <v>0</v>
      </c>
      <c r="J107" s="361">
        <f ca="1">MAX(Table10[[#This Row],[HH]]*VLOOKUP("Winter Clothes Adult",NFI,6)-Table10[[#This Row],[Winter Clothes Adult ]],0)</f>
        <v>916</v>
      </c>
      <c r="K107" s="361">
        <f ca="1">MAX(Table10[[#This Row],[HH]]*VLOOKUP("Winter Clothes Children ",NFI,6)-Table10[[#This Row],[Winter Clothes Children ]],0)</f>
        <v>458</v>
      </c>
      <c r="L107" s="361">
        <f ca="1">MAX(Table10[[#This Row],[HH]]*VLOOKUP("Winter Items Other ",NFI,6)-Table10[[#This Row],[Winter Items Other ]],0)</f>
        <v>458</v>
      </c>
      <c r="M107" s="394" t="str">
        <f>IF(OR(Table10[[#This Row],[Winter Clothes Adult ]]&lt;&gt;0,Table10[[#This Row],[Winter Clothes Children ]]&lt;&gt;0,Table10[[#This Row],[Winter Items Other ]]&lt;&gt;0),"No","")</f>
        <v/>
      </c>
      <c r="N107" s="395">
        <f>COUNTIF(A:A,Table10[[#This Row],[Pcode]])-1</f>
        <v>0</v>
      </c>
    </row>
    <row r="108" spans="1:14" x14ac:dyDescent="0.25">
      <c r="A108" s="320" t="s">
        <v>1065</v>
      </c>
      <c r="B108" s="26" t="str">
        <f ca="1">OFFSET(CampList[Priority],MATCH(Table10[[#This Row],[Pcode]],CampList[CP_Pcode],0)-1,0,1,1)</f>
        <v>P4</v>
      </c>
      <c r="C108" s="26" t="str">
        <f ca="1">OFFSET(CampList[Camp],MATCH(Table10[[#This Row],[Pcode]],CampList[CP_Pcode],0)-1,0,1,1)</f>
        <v>Man Wing Catholic Church II</v>
      </c>
      <c r="D108" s="26" t="str">
        <f ca="1">OFFSET(CampList[Township],MATCH(Table10[[#This Row],[Pcode]],CampList[CP_Pcode],0)-1,0,1,1)</f>
        <v>Mansi</v>
      </c>
      <c r="E108" s="361">
        <f ca="1">OFFSET(CampList[HH],MATCH(Table10[[#This Row],[Pcode]],CampList[CP_Pcode],0)-1,0,1,1)</f>
        <v>123</v>
      </c>
      <c r="F108" s="361">
        <f ca="1">OFFSET(CampList[Total],MATCH(Table10[[#This Row],[Pcode]],CampList[CP_Pcode],0)-1,0,1,1)</f>
        <v>555</v>
      </c>
      <c r="G108" s="361">
        <f>SUMIF('NFI Tracking'!AO$11:AO$1048576,Table10[[#This Row],[Pcode]],'NFI Tracking'!AI$11:AI$1048576)</f>
        <v>0</v>
      </c>
      <c r="H108" s="361">
        <f>SUMIF('NFI Tracking'!AO$11:AO$1048576,Table10[[#This Row],[Pcode]],'NFI Tracking'!AJ$11:AJ$1048576)</f>
        <v>0</v>
      </c>
      <c r="I108" s="361">
        <f>SUMIF('NFI Tracking'!AO$11:AO$1048576,Table10[[#This Row],[Pcode]],'NFI Tracking'!AK$11:AK$1048576)</f>
        <v>0</v>
      </c>
      <c r="J108" s="361">
        <f ca="1">MAX(Table10[[#This Row],[HH]]*VLOOKUP("Winter Clothes Adult",NFI,6)-Table10[[#This Row],[Winter Clothes Adult ]],0)</f>
        <v>246</v>
      </c>
      <c r="K108" s="361">
        <f ca="1">MAX(Table10[[#This Row],[HH]]*VLOOKUP("Winter Clothes Children ",NFI,6)-Table10[[#This Row],[Winter Clothes Children ]],0)</f>
        <v>123</v>
      </c>
      <c r="L108" s="361">
        <f ca="1">MAX(Table10[[#This Row],[HH]]*VLOOKUP("Winter Items Other ",NFI,6)-Table10[[#This Row],[Winter Items Other ]],0)</f>
        <v>123</v>
      </c>
      <c r="M108" s="394" t="str">
        <f>IF(OR(Table10[[#This Row],[Winter Clothes Adult ]]&lt;&gt;0,Table10[[#This Row],[Winter Clothes Children ]]&lt;&gt;0,Table10[[#This Row],[Winter Items Other ]]&lt;&gt;0),"No","")</f>
        <v/>
      </c>
      <c r="N108" s="395">
        <f>COUNTIF(A:A,Table10[[#This Row],[Pcode]])-1</f>
        <v>0</v>
      </c>
    </row>
    <row r="109" spans="1:14" x14ac:dyDescent="0.25">
      <c r="A109" s="320" t="s">
        <v>155</v>
      </c>
      <c r="B109" s="26" t="str">
        <f ca="1">OFFSET(CampList[Priority],MATCH(Table10[[#This Row],[Pcode]],CampList[CP_Pcode],0)-1,0,1,1)</f>
        <v>P4</v>
      </c>
      <c r="C109" s="26" t="str">
        <f ca="1">OFFSET(CampList[Camp],MATCH(Table10[[#This Row],[Pcode]],CampList[CP_Pcode],0)-1,0,1,1)</f>
        <v>Man Wing Host Families</v>
      </c>
      <c r="D109" s="26" t="str">
        <f ca="1">OFFSET(CampList[Township],MATCH(Table10[[#This Row],[Pcode]],CampList[CP_Pcode],0)-1,0,1,1)</f>
        <v>Mansi</v>
      </c>
      <c r="E109" s="361">
        <f ca="1">OFFSET(CampList[HH],MATCH(Table10[[#This Row],[Pcode]],CampList[CP_Pcode],0)-1,0,1,1)</f>
        <v>175</v>
      </c>
      <c r="F109" s="361">
        <f ca="1">OFFSET(CampList[Total],MATCH(Table10[[#This Row],[Pcode]],CampList[CP_Pcode],0)-1,0,1,1)</f>
        <v>834</v>
      </c>
      <c r="G109" s="361">
        <f>SUMIF('NFI Tracking'!AO$11:AO$1048576,Table10[[#This Row],[Pcode]],'NFI Tracking'!AI$11:AI$1048576)</f>
        <v>0</v>
      </c>
      <c r="H109" s="361">
        <f>SUMIF('NFI Tracking'!AO$11:AO$1048576,Table10[[#This Row],[Pcode]],'NFI Tracking'!AJ$11:AJ$1048576)</f>
        <v>0</v>
      </c>
      <c r="I109" s="361">
        <f>SUMIF('NFI Tracking'!AO$11:AO$1048576,Table10[[#This Row],[Pcode]],'NFI Tracking'!AK$11:AK$1048576)</f>
        <v>0</v>
      </c>
      <c r="J109" s="361">
        <f ca="1">MAX(Table10[[#This Row],[HH]]*VLOOKUP("Winter Clothes Adult",NFI,6)-Table10[[#This Row],[Winter Clothes Adult ]],0)</f>
        <v>350</v>
      </c>
      <c r="K109" s="361">
        <f ca="1">MAX(Table10[[#This Row],[HH]]*VLOOKUP("Winter Clothes Children ",NFI,6)-Table10[[#This Row],[Winter Clothes Children ]],0)</f>
        <v>175</v>
      </c>
      <c r="L109" s="361">
        <f ca="1">MAX(Table10[[#This Row],[HH]]*VLOOKUP("Winter Items Other ",NFI,6)-Table10[[#This Row],[Winter Items Other ]],0)</f>
        <v>175</v>
      </c>
      <c r="M109" s="394" t="str">
        <f>IF(OR(Table10[[#This Row],[Winter Clothes Adult ]]&lt;&gt;0,Table10[[#This Row],[Winter Clothes Children ]]&lt;&gt;0,Table10[[#This Row],[Winter Items Other ]]&lt;&gt;0),"No","")</f>
        <v/>
      </c>
      <c r="N109" s="395">
        <f>COUNTIF(A:A,Table10[[#This Row],[Pcode]])-1</f>
        <v>0</v>
      </c>
    </row>
    <row r="110" spans="1:14" x14ac:dyDescent="0.25">
      <c r="A110" s="320" t="s">
        <v>206</v>
      </c>
      <c r="B110" s="26" t="str">
        <f ca="1">OFFSET(CampList[Priority],MATCH(Table10[[#This Row],[Pcode]],CampList[CP_Pcode],0)-1,0,1,1)</f>
        <v>P4</v>
      </c>
      <c r="C110" s="26" t="str">
        <f ca="1">OFFSET(CampList[Camp],MATCH(Table10[[#This Row],[Pcode]],CampList[CP_Pcode],0)-1,0,1,1)</f>
        <v>Mandalay Monestry</v>
      </c>
      <c r="D110" s="26" t="str">
        <f ca="1">OFFSET(CampList[Township],MATCH(Table10[[#This Row],[Pcode]],CampList[CP_Pcode],0)-1,0,1,1)</f>
        <v>Momauk</v>
      </c>
      <c r="E110" s="361">
        <f ca="1">OFFSET(CampList[HH],MATCH(Table10[[#This Row],[Pcode]],CampList[CP_Pcode],0)-1,0,1,1)</f>
        <v>0</v>
      </c>
      <c r="F110" s="361">
        <f ca="1">OFFSET(CampList[Total],MATCH(Table10[[#This Row],[Pcode]],CampList[CP_Pcode],0)-1,0,1,1)</f>
        <v>0</v>
      </c>
      <c r="G110" s="361">
        <f>SUMIF('NFI Tracking'!AO$11:AO$1048576,Table10[[#This Row],[Pcode]],'NFI Tracking'!AI$11:AI$1048576)</f>
        <v>0</v>
      </c>
      <c r="H110" s="361">
        <f>SUMIF('NFI Tracking'!AO$11:AO$1048576,Table10[[#This Row],[Pcode]],'NFI Tracking'!AJ$11:AJ$1048576)</f>
        <v>0</v>
      </c>
      <c r="I110" s="361">
        <f>SUMIF('NFI Tracking'!AO$11:AO$1048576,Table10[[#This Row],[Pcode]],'NFI Tracking'!AK$11:AK$1048576)</f>
        <v>0</v>
      </c>
      <c r="J110" s="361">
        <f ca="1">MAX(Table10[[#This Row],[HH]]*VLOOKUP("Winter Clothes Adult",NFI,6)-Table10[[#This Row],[Winter Clothes Adult ]],0)</f>
        <v>0</v>
      </c>
      <c r="K110" s="361">
        <f ca="1">MAX(Table10[[#This Row],[HH]]*VLOOKUP("Winter Clothes Children ",NFI,6)-Table10[[#This Row],[Winter Clothes Children ]],0)</f>
        <v>0</v>
      </c>
      <c r="L110" s="361">
        <f ca="1">MAX(Table10[[#This Row],[HH]]*VLOOKUP("Winter Items Other ",NFI,6)-Table10[[#This Row],[Winter Items Other ]],0)</f>
        <v>0</v>
      </c>
      <c r="M110" s="394" t="str">
        <f>IF(OR(Table10[[#This Row],[Winter Clothes Adult ]]&lt;&gt;0,Table10[[#This Row],[Winter Clothes Children ]]&lt;&gt;0,Table10[[#This Row],[Winter Items Other ]]&lt;&gt;0),"No","")</f>
        <v/>
      </c>
      <c r="N110" s="395">
        <f>COUNTIF(A:A,Table10[[#This Row],[Pcode]])-1</f>
        <v>0</v>
      </c>
    </row>
    <row r="111" spans="1:14" x14ac:dyDescent="0.25">
      <c r="A111" s="320" t="s">
        <v>175</v>
      </c>
      <c r="B111" s="26" t="str">
        <f ca="1">OFFSET(CampList[Priority],MATCH(Table10[[#This Row],[Pcode]],CampList[CP_Pcode],0)-1,0,1,1)</f>
        <v>P4</v>
      </c>
      <c r="C111" s="26" t="str">
        <f ca="1">OFFSET(CampList[Camp],MATCH(Table10[[#This Row],[Pcode]],CampList[CP_Pcode],0)-1,0,1,1)</f>
        <v>Mang Hawng Baptist Church</v>
      </c>
      <c r="D111" s="26" t="str">
        <f ca="1">OFFSET(CampList[Township],MATCH(Table10[[#This Row],[Pcode]],CampList[CP_Pcode],0)-1,0,1,1)</f>
        <v>Mogaung</v>
      </c>
      <c r="E111" s="361">
        <f ca="1">OFFSET(CampList[HH],MATCH(Table10[[#This Row],[Pcode]],CampList[CP_Pcode],0)-1,0,1,1)</f>
        <v>17</v>
      </c>
      <c r="F111" s="361">
        <f ca="1">OFFSET(CampList[Total],MATCH(Table10[[#This Row],[Pcode]],CampList[CP_Pcode],0)-1,0,1,1)</f>
        <v>77</v>
      </c>
      <c r="G111" s="361">
        <f>SUMIF('NFI Tracking'!AO$11:AO$1048576,Table10[[#This Row],[Pcode]],'NFI Tracking'!AI$11:AI$1048576)</f>
        <v>0</v>
      </c>
      <c r="H111" s="361">
        <f>SUMIF('NFI Tracking'!AO$11:AO$1048576,Table10[[#This Row],[Pcode]],'NFI Tracking'!AJ$11:AJ$1048576)</f>
        <v>0</v>
      </c>
      <c r="I111" s="361">
        <f>SUMIF('NFI Tracking'!AO$11:AO$1048576,Table10[[#This Row],[Pcode]],'NFI Tracking'!AK$11:AK$1048576)</f>
        <v>0</v>
      </c>
      <c r="J111" s="361">
        <f ca="1">MAX(Table10[[#This Row],[HH]]*VLOOKUP("Winter Clothes Adult",NFI,6)-Table10[[#This Row],[Winter Clothes Adult ]],0)</f>
        <v>34</v>
      </c>
      <c r="K111" s="361">
        <f ca="1">MAX(Table10[[#This Row],[HH]]*VLOOKUP("Winter Clothes Children ",NFI,6)-Table10[[#This Row],[Winter Clothes Children ]],0)</f>
        <v>17</v>
      </c>
      <c r="L111" s="361">
        <f ca="1">MAX(Table10[[#This Row],[HH]]*VLOOKUP("Winter Items Other ",NFI,6)-Table10[[#This Row],[Winter Items Other ]],0)</f>
        <v>17</v>
      </c>
      <c r="M111" s="394" t="str">
        <f>IF(OR(Table10[[#This Row],[Winter Clothes Adult ]]&lt;&gt;0,Table10[[#This Row],[Winter Clothes Children ]]&lt;&gt;0,Table10[[#This Row],[Winter Items Other ]]&lt;&gt;0),"No","")</f>
        <v/>
      </c>
      <c r="N111" s="395">
        <f>COUNTIF(A:A,Table10[[#This Row],[Pcode]])-1</f>
        <v>0</v>
      </c>
    </row>
    <row r="112" spans="1:14" x14ac:dyDescent="0.25">
      <c r="A112" s="320" t="s">
        <v>150</v>
      </c>
      <c r="B112" s="26" t="str">
        <f ca="1">OFFSET(CampList[Priority],MATCH(Table10[[#This Row],[Pcode]],CampList[CP_Pcode],0)-1,0,1,1)</f>
        <v>P4</v>
      </c>
      <c r="C112" s="26" t="str">
        <f ca="1">OFFSET(CampList[Camp],MATCH(Table10[[#This Row],[Pcode]],CampList[CP_Pcode],0)-1,0,1,1)</f>
        <v>Mansi Baptist Church</v>
      </c>
      <c r="D112" s="26" t="str">
        <f ca="1">OFFSET(CampList[Township],MATCH(Table10[[#This Row],[Pcode]],CampList[CP_Pcode],0)-1,0,1,1)</f>
        <v>Mansi</v>
      </c>
      <c r="E112" s="361">
        <f ca="1">OFFSET(CampList[HH],MATCH(Table10[[#This Row],[Pcode]],CampList[CP_Pcode],0)-1,0,1,1)</f>
        <v>221</v>
      </c>
      <c r="F112" s="361">
        <f ca="1">OFFSET(CampList[Total],MATCH(Table10[[#This Row],[Pcode]],CampList[CP_Pcode],0)-1,0,1,1)</f>
        <v>1003</v>
      </c>
      <c r="G112" s="361">
        <f>SUMIF('NFI Tracking'!AO$11:AO$1048576,Table10[[#This Row],[Pcode]],'NFI Tracking'!AI$11:AI$1048576)</f>
        <v>0</v>
      </c>
      <c r="H112" s="361">
        <f>SUMIF('NFI Tracking'!AO$11:AO$1048576,Table10[[#This Row],[Pcode]],'NFI Tracking'!AJ$11:AJ$1048576)</f>
        <v>0</v>
      </c>
      <c r="I112" s="361">
        <f>SUMIF('NFI Tracking'!AO$11:AO$1048576,Table10[[#This Row],[Pcode]],'NFI Tracking'!AK$11:AK$1048576)</f>
        <v>0</v>
      </c>
      <c r="J112" s="361">
        <f ca="1">MAX(Table10[[#This Row],[HH]]*VLOOKUP("Winter Clothes Adult",NFI,6)-Table10[[#This Row],[Winter Clothes Adult ]],0)</f>
        <v>442</v>
      </c>
      <c r="K112" s="361">
        <f ca="1">MAX(Table10[[#This Row],[HH]]*VLOOKUP("Winter Clothes Children ",NFI,6)-Table10[[#This Row],[Winter Clothes Children ]],0)</f>
        <v>221</v>
      </c>
      <c r="L112" s="361">
        <f ca="1">MAX(Table10[[#This Row],[HH]]*VLOOKUP("Winter Items Other ",NFI,6)-Table10[[#This Row],[Winter Items Other ]],0)</f>
        <v>221</v>
      </c>
      <c r="M112" s="394" t="str">
        <f>IF(OR(Table10[[#This Row],[Winter Clothes Adult ]]&lt;&gt;0,Table10[[#This Row],[Winter Clothes Children ]]&lt;&gt;0,Table10[[#This Row],[Winter Items Other ]]&lt;&gt;0),"No","")</f>
        <v/>
      </c>
      <c r="N112" s="395">
        <f>COUNTIF(A:A,Table10[[#This Row],[Pcode]])-1</f>
        <v>0</v>
      </c>
    </row>
    <row r="113" spans="1:14" x14ac:dyDescent="0.25">
      <c r="A113" s="320" t="s">
        <v>262</v>
      </c>
      <c r="B113" s="26" t="str">
        <f ca="1">OFFSET(CampList[Priority],MATCH(Table10[[#This Row],[Pcode]],CampList[CP_Pcode],0)-1,0,1,1)</f>
        <v>P4</v>
      </c>
      <c r="C113" s="26" t="str">
        <f ca="1">OFFSET(CampList[Camp],MATCH(Table10[[#This Row],[Pcode]],CampList[CP_Pcode],0)-1,0,1,1)</f>
        <v>Maw Hpawng Hka Nan Baptist Church</v>
      </c>
      <c r="D113" s="26" t="str">
        <f ca="1">OFFSET(CampList[Township],MATCH(Table10[[#This Row],[Pcode]],CampList[CP_Pcode],0)-1,0,1,1)</f>
        <v>Myitkyina</v>
      </c>
      <c r="E113" s="361">
        <f ca="1">OFFSET(CampList[HH],MATCH(Table10[[#This Row],[Pcode]],CampList[CP_Pcode],0)-1,0,1,1)</f>
        <v>21</v>
      </c>
      <c r="F113" s="361">
        <f ca="1">OFFSET(CampList[Total],MATCH(Table10[[#This Row],[Pcode]],CampList[CP_Pcode],0)-1,0,1,1)</f>
        <v>97</v>
      </c>
      <c r="G113" s="361">
        <f>SUMIF('NFI Tracking'!AO$11:AO$1048576,Table10[[#This Row],[Pcode]],'NFI Tracking'!AI$11:AI$1048576)</f>
        <v>0</v>
      </c>
      <c r="H113" s="361">
        <f>SUMIF('NFI Tracking'!AO$11:AO$1048576,Table10[[#This Row],[Pcode]],'NFI Tracking'!AJ$11:AJ$1048576)</f>
        <v>0</v>
      </c>
      <c r="I113" s="361">
        <f>SUMIF('NFI Tracking'!AO$11:AO$1048576,Table10[[#This Row],[Pcode]],'NFI Tracking'!AK$11:AK$1048576)</f>
        <v>0</v>
      </c>
      <c r="J113" s="361">
        <f ca="1">MAX(Table10[[#This Row],[HH]]*VLOOKUP("Winter Clothes Adult",NFI,6)-Table10[[#This Row],[Winter Clothes Adult ]],0)</f>
        <v>42</v>
      </c>
      <c r="K113" s="361">
        <f ca="1">MAX(Table10[[#This Row],[HH]]*VLOOKUP("Winter Clothes Children ",NFI,6)-Table10[[#This Row],[Winter Clothes Children ]],0)</f>
        <v>21</v>
      </c>
      <c r="L113" s="361">
        <f ca="1">MAX(Table10[[#This Row],[HH]]*VLOOKUP("Winter Items Other ",NFI,6)-Table10[[#This Row],[Winter Items Other ]],0)</f>
        <v>21</v>
      </c>
      <c r="M113" s="394" t="str">
        <f>IF(OR(Table10[[#This Row],[Winter Clothes Adult ]]&lt;&gt;0,Table10[[#This Row],[Winter Clothes Children ]]&lt;&gt;0,Table10[[#This Row],[Winter Items Other ]]&lt;&gt;0),"No","")</f>
        <v/>
      </c>
      <c r="N113" s="395">
        <f>COUNTIF(A:A,Table10[[#This Row],[Pcode]])-1</f>
        <v>0</v>
      </c>
    </row>
    <row r="114" spans="1:14" x14ac:dyDescent="0.25">
      <c r="A114" s="320" t="s">
        <v>264</v>
      </c>
      <c r="B114" s="26" t="str">
        <f ca="1">OFFSET(CampList[Priority],MATCH(Table10[[#This Row],[Pcode]],CampList[CP_Pcode],0)-1,0,1,1)</f>
        <v>P4</v>
      </c>
      <c r="C114" s="26" t="str">
        <f ca="1">OFFSET(CampList[Camp],MATCH(Table10[[#This Row],[Pcode]],CampList[CP_Pcode],0)-1,0,1,1)</f>
        <v>Maw Hpawng Lhaovo Baptist Church</v>
      </c>
      <c r="D114" s="26" t="str">
        <f ca="1">OFFSET(CampList[Township],MATCH(Table10[[#This Row],[Pcode]],CampList[CP_Pcode],0)-1,0,1,1)</f>
        <v>Myitkyina</v>
      </c>
      <c r="E114" s="361">
        <f ca="1">OFFSET(CampList[HH],MATCH(Table10[[#This Row],[Pcode]],CampList[CP_Pcode],0)-1,0,1,1)</f>
        <v>14</v>
      </c>
      <c r="F114" s="361">
        <f ca="1">OFFSET(CampList[Total],MATCH(Table10[[#This Row],[Pcode]],CampList[CP_Pcode],0)-1,0,1,1)</f>
        <v>71</v>
      </c>
      <c r="G114" s="361">
        <f>SUMIF('NFI Tracking'!AO$11:AO$1048576,Table10[[#This Row],[Pcode]],'NFI Tracking'!AI$11:AI$1048576)</f>
        <v>0</v>
      </c>
      <c r="H114" s="361">
        <f>SUMIF('NFI Tracking'!AO$11:AO$1048576,Table10[[#This Row],[Pcode]],'NFI Tracking'!AJ$11:AJ$1048576)</f>
        <v>0</v>
      </c>
      <c r="I114" s="361">
        <f>SUMIF('NFI Tracking'!AO$11:AO$1048576,Table10[[#This Row],[Pcode]],'NFI Tracking'!AK$11:AK$1048576)</f>
        <v>0</v>
      </c>
      <c r="J114" s="361">
        <f ca="1">MAX(Table10[[#This Row],[HH]]*VLOOKUP("Winter Clothes Adult",NFI,6)-Table10[[#This Row],[Winter Clothes Adult ]],0)</f>
        <v>28</v>
      </c>
      <c r="K114" s="361">
        <f ca="1">MAX(Table10[[#This Row],[HH]]*VLOOKUP("Winter Clothes Children ",NFI,6)-Table10[[#This Row],[Winter Clothes Children ]],0)</f>
        <v>14</v>
      </c>
      <c r="L114" s="361">
        <f ca="1">MAX(Table10[[#This Row],[HH]]*VLOOKUP("Winter Items Other ",NFI,6)-Table10[[#This Row],[Winter Items Other ]],0)</f>
        <v>14</v>
      </c>
      <c r="M114" s="394" t="str">
        <f>IF(OR(Table10[[#This Row],[Winter Clothes Adult ]]&lt;&gt;0,Table10[[#This Row],[Winter Clothes Children ]]&lt;&gt;0,Table10[[#This Row],[Winter Items Other ]]&lt;&gt;0),"No","")</f>
        <v/>
      </c>
      <c r="N114" s="395">
        <f>COUNTIF(A:A,Table10[[#This Row],[Pcode]])-1</f>
        <v>0</v>
      </c>
    </row>
    <row r="115" spans="1:14" x14ac:dyDescent="0.25">
      <c r="A115" s="320" t="s">
        <v>99</v>
      </c>
      <c r="B115" s="26" t="str">
        <f ca="1">OFFSET(CampList[Priority],MATCH(Table10[[#This Row],[Pcode]],CampList[CP_Pcode],0)-1,0,1,1)</f>
        <v>P4</v>
      </c>
      <c r="C115" s="26" t="str">
        <f ca="1">OFFSET(CampList[Camp],MATCH(Table10[[#This Row],[Pcode]],CampList[CP_Pcode],0)-1,0,1,1)</f>
        <v>Maw Wan, Mu-yin Baptist Church</v>
      </c>
      <c r="D115" s="26" t="str">
        <f ca="1">OFFSET(CampList[Township],MATCH(Table10[[#This Row],[Pcode]],CampList[CP_Pcode],0)-1,0,1,1)</f>
        <v>Hpakant</v>
      </c>
      <c r="E115" s="361">
        <f ca="1">OFFSET(CampList[HH],MATCH(Table10[[#This Row],[Pcode]],CampList[CP_Pcode],0)-1,0,1,1)</f>
        <v>5</v>
      </c>
      <c r="F115" s="361">
        <f ca="1">OFFSET(CampList[Total],MATCH(Table10[[#This Row],[Pcode]],CampList[CP_Pcode],0)-1,0,1,1)</f>
        <v>26</v>
      </c>
      <c r="G115" s="361">
        <f>SUMIF('NFI Tracking'!AO$11:AO$1048576,Table10[[#This Row],[Pcode]],'NFI Tracking'!AI$11:AI$1048576)</f>
        <v>0</v>
      </c>
      <c r="H115" s="361">
        <f>SUMIF('NFI Tracking'!AO$11:AO$1048576,Table10[[#This Row],[Pcode]],'NFI Tracking'!AJ$11:AJ$1048576)</f>
        <v>0</v>
      </c>
      <c r="I115" s="361">
        <f>SUMIF('NFI Tracking'!AO$11:AO$1048576,Table10[[#This Row],[Pcode]],'NFI Tracking'!AK$11:AK$1048576)</f>
        <v>0</v>
      </c>
      <c r="J115" s="361">
        <f ca="1">MAX(Table10[[#This Row],[HH]]*VLOOKUP("Winter Clothes Adult",NFI,6)-Table10[[#This Row],[Winter Clothes Adult ]],0)</f>
        <v>10</v>
      </c>
      <c r="K115" s="361">
        <f ca="1">MAX(Table10[[#This Row],[HH]]*VLOOKUP("Winter Clothes Children ",NFI,6)-Table10[[#This Row],[Winter Clothes Children ]],0)</f>
        <v>5</v>
      </c>
      <c r="L115" s="361">
        <f ca="1">MAX(Table10[[#This Row],[HH]]*VLOOKUP("Winter Items Other ",NFI,6)-Table10[[#This Row],[Winter Items Other ]],0)</f>
        <v>5</v>
      </c>
      <c r="M115" s="394" t="str">
        <f>IF(OR(Table10[[#This Row],[Winter Clothes Adult ]]&lt;&gt;0,Table10[[#This Row],[Winter Clothes Children ]]&lt;&gt;0,Table10[[#This Row],[Winter Items Other ]]&lt;&gt;0),"No","")</f>
        <v/>
      </c>
      <c r="N115" s="395">
        <f>COUNTIF(A:A,Table10[[#This Row],[Pcode]])-1</f>
        <v>0</v>
      </c>
    </row>
    <row r="116" spans="1:14" x14ac:dyDescent="0.25">
      <c r="A116" s="320" t="s">
        <v>208</v>
      </c>
      <c r="B116" s="26" t="str">
        <f ca="1">OFFSET(CampList[Priority],MATCH(Table10[[#This Row],[Pcode]],CampList[CP_Pcode],0)-1,0,1,1)</f>
        <v>P4</v>
      </c>
      <c r="C116" s="26" t="str">
        <f ca="1">OFFSET(CampList[Camp],MATCH(Table10[[#This Row],[Pcode]],CampList[CP_Pcode],0)-1,0,1,1)</f>
        <v>Momauk Baptist Church</v>
      </c>
      <c r="D116" s="26" t="str">
        <f ca="1">OFFSET(CampList[Township],MATCH(Table10[[#This Row],[Pcode]],CampList[CP_Pcode],0)-1,0,1,1)</f>
        <v>Momauk</v>
      </c>
      <c r="E116" s="361">
        <f ca="1">OFFSET(CampList[HH],MATCH(Table10[[#This Row],[Pcode]],CampList[CP_Pcode],0)-1,0,1,1)</f>
        <v>226</v>
      </c>
      <c r="F116" s="361">
        <f ca="1">OFFSET(CampList[Total],MATCH(Table10[[#This Row],[Pcode]],CampList[CP_Pcode],0)-1,0,1,1)</f>
        <v>1824</v>
      </c>
      <c r="G116" s="361">
        <f>SUMIF('NFI Tracking'!AO$11:AO$1048576,Table10[[#This Row],[Pcode]],'NFI Tracking'!AI$11:AI$1048576)</f>
        <v>0</v>
      </c>
      <c r="H116" s="361">
        <f>SUMIF('NFI Tracking'!AO$11:AO$1048576,Table10[[#This Row],[Pcode]],'NFI Tracking'!AJ$11:AJ$1048576)</f>
        <v>0</v>
      </c>
      <c r="I116" s="361">
        <f>SUMIF('NFI Tracking'!AO$11:AO$1048576,Table10[[#This Row],[Pcode]],'NFI Tracking'!AK$11:AK$1048576)</f>
        <v>0</v>
      </c>
      <c r="J116" s="361">
        <f ca="1">MAX(Table10[[#This Row],[HH]]*VLOOKUP("Winter Clothes Adult",NFI,6)-Table10[[#This Row],[Winter Clothes Adult ]],0)</f>
        <v>452</v>
      </c>
      <c r="K116" s="361">
        <f ca="1">MAX(Table10[[#This Row],[HH]]*VLOOKUP("Winter Clothes Children ",NFI,6)-Table10[[#This Row],[Winter Clothes Children ]],0)</f>
        <v>226</v>
      </c>
      <c r="L116" s="361">
        <f ca="1">MAX(Table10[[#This Row],[HH]]*VLOOKUP("Winter Items Other ",NFI,6)-Table10[[#This Row],[Winter Items Other ]],0)</f>
        <v>226</v>
      </c>
      <c r="M116" s="394" t="str">
        <f>IF(OR(Table10[[#This Row],[Winter Clothes Adult ]]&lt;&gt;0,Table10[[#This Row],[Winter Clothes Children ]]&lt;&gt;0,Table10[[#This Row],[Winter Items Other ]]&lt;&gt;0),"No","")</f>
        <v/>
      </c>
      <c r="N116" s="395">
        <f>COUNTIF(A:A,Table10[[#This Row],[Pcode]])-1</f>
        <v>0</v>
      </c>
    </row>
    <row r="117" spans="1:14" x14ac:dyDescent="0.25">
      <c r="A117" s="320" t="s">
        <v>210</v>
      </c>
      <c r="B117" s="26" t="str">
        <f ca="1">OFFSET(CampList[Priority],MATCH(Table10[[#This Row],[Pcode]],CampList[CP_Pcode],0)-1,0,1,1)</f>
        <v>P4</v>
      </c>
      <c r="C117" s="26" t="str">
        <f ca="1">OFFSET(CampList[Camp],MATCH(Table10[[#This Row],[Pcode]],CampList[CP_Pcode],0)-1,0,1,1)</f>
        <v>Momauk Catholic Church (St. Patrick)</v>
      </c>
      <c r="D117" s="26" t="str">
        <f ca="1">OFFSET(CampList[Township],MATCH(Table10[[#This Row],[Pcode]],CampList[CP_Pcode],0)-1,0,1,1)</f>
        <v>Momauk</v>
      </c>
      <c r="E117" s="361">
        <f ca="1">OFFSET(CampList[HH],MATCH(Table10[[#This Row],[Pcode]],CampList[CP_Pcode],0)-1,0,1,1)</f>
        <v>0</v>
      </c>
      <c r="F117" s="361">
        <f ca="1">OFFSET(CampList[Total],MATCH(Table10[[#This Row],[Pcode]],CampList[CP_Pcode],0)-1,0,1,1)</f>
        <v>0</v>
      </c>
      <c r="G117" s="361">
        <f>SUMIF('NFI Tracking'!AO$11:AO$1048576,Table10[[#This Row],[Pcode]],'NFI Tracking'!AI$11:AI$1048576)</f>
        <v>0</v>
      </c>
      <c r="H117" s="361">
        <f>SUMIF('NFI Tracking'!AO$11:AO$1048576,Table10[[#This Row],[Pcode]],'NFI Tracking'!AJ$11:AJ$1048576)</f>
        <v>0</v>
      </c>
      <c r="I117" s="361">
        <f>SUMIF('NFI Tracking'!AO$11:AO$1048576,Table10[[#This Row],[Pcode]],'NFI Tracking'!AK$11:AK$1048576)</f>
        <v>0</v>
      </c>
      <c r="J117" s="361">
        <f ca="1">MAX(Table10[[#This Row],[HH]]*VLOOKUP("Winter Clothes Adult",NFI,6)-Table10[[#This Row],[Winter Clothes Adult ]],0)</f>
        <v>0</v>
      </c>
      <c r="K117" s="361">
        <f ca="1">MAX(Table10[[#This Row],[HH]]*VLOOKUP("Winter Clothes Children ",NFI,6)-Table10[[#This Row],[Winter Clothes Children ]],0)</f>
        <v>0</v>
      </c>
      <c r="L117" s="361">
        <f ca="1">MAX(Table10[[#This Row],[HH]]*VLOOKUP("Winter Items Other ",NFI,6)-Table10[[#This Row],[Winter Items Other ]],0)</f>
        <v>0</v>
      </c>
      <c r="M117" s="394" t="str">
        <f>IF(OR(Table10[[#This Row],[Winter Clothes Adult ]]&lt;&gt;0,Table10[[#This Row],[Winter Clothes Children ]]&lt;&gt;0,Table10[[#This Row],[Winter Items Other ]]&lt;&gt;0),"No","")</f>
        <v/>
      </c>
      <c r="N117" s="395">
        <f>COUNTIF(A:A,Table10[[#This Row],[Pcode]])-1</f>
        <v>0</v>
      </c>
    </row>
    <row r="118" spans="1:14" x14ac:dyDescent="0.25">
      <c r="A118" s="320" t="s">
        <v>1057</v>
      </c>
      <c r="B118" s="26" t="str">
        <f ca="1">OFFSET(CampList[Priority],MATCH(Table10[[#This Row],[Pcode]],CampList[CP_Pcode],0)-1,0,1,1)</f>
        <v>P4</v>
      </c>
      <c r="C118" s="26" t="str">
        <f ca="1">OFFSET(CampList[Camp],MATCH(Table10[[#This Row],[Pcode]],CampList[CP_Pcode],0)-1,0,1,1)</f>
        <v>Muse Baptist Church</v>
      </c>
      <c r="D118" s="26" t="str">
        <f ca="1">OFFSET(CampList[Township],MATCH(Table10[[#This Row],[Pcode]],CampList[CP_Pcode],0)-1,0,1,1)</f>
        <v>Muse</v>
      </c>
      <c r="E118" s="361">
        <f ca="1">OFFSET(CampList[HH],MATCH(Table10[[#This Row],[Pcode]],CampList[CP_Pcode],0)-1,0,1,1)</f>
        <v>52</v>
      </c>
      <c r="F118" s="361">
        <f ca="1">OFFSET(CampList[Total],MATCH(Table10[[#This Row],[Pcode]],CampList[CP_Pcode],0)-1,0,1,1)</f>
        <v>212</v>
      </c>
      <c r="G118" s="361">
        <f>SUMIF('NFI Tracking'!AO$11:AO$1048576,Table10[[#This Row],[Pcode]],'NFI Tracking'!AI$11:AI$1048576)</f>
        <v>0</v>
      </c>
      <c r="H118" s="361">
        <f>SUMIF('NFI Tracking'!AO$11:AO$1048576,Table10[[#This Row],[Pcode]],'NFI Tracking'!AJ$11:AJ$1048576)</f>
        <v>0</v>
      </c>
      <c r="I118" s="361">
        <f>SUMIF('NFI Tracking'!AO$11:AO$1048576,Table10[[#This Row],[Pcode]],'NFI Tracking'!AK$11:AK$1048576)</f>
        <v>0</v>
      </c>
      <c r="J118" s="361">
        <f ca="1">MAX(Table10[[#This Row],[HH]]*VLOOKUP("Winter Clothes Adult",NFI,6)-Table10[[#This Row],[Winter Clothes Adult ]],0)</f>
        <v>104</v>
      </c>
      <c r="K118" s="361">
        <f ca="1">MAX(Table10[[#This Row],[HH]]*VLOOKUP("Winter Clothes Children ",NFI,6)-Table10[[#This Row],[Winter Clothes Children ]],0)</f>
        <v>52</v>
      </c>
      <c r="L118" s="361">
        <f ca="1">MAX(Table10[[#This Row],[HH]]*VLOOKUP("Winter Items Other ",NFI,6)-Table10[[#This Row],[Winter Items Other ]],0)</f>
        <v>52</v>
      </c>
      <c r="M118" s="394" t="str">
        <f>IF(OR(Table10[[#This Row],[Winter Clothes Adult ]]&lt;&gt;0,Table10[[#This Row],[Winter Clothes Children ]]&lt;&gt;0,Table10[[#This Row],[Winter Items Other ]]&lt;&gt;0),"No","")</f>
        <v/>
      </c>
      <c r="N118" s="395">
        <f>COUNTIF(A:A,Table10[[#This Row],[Pcode]])-1</f>
        <v>0</v>
      </c>
    </row>
    <row r="119" spans="1:14" x14ac:dyDescent="0.25">
      <c r="A119" s="320" t="s">
        <v>1067</v>
      </c>
      <c r="B119" s="26" t="str">
        <f ca="1">OFFSET(CampList[Priority],MATCH(Table10[[#This Row],[Pcode]],CampList[CP_Pcode],0)-1,0,1,1)</f>
        <v>P4</v>
      </c>
      <c r="C119" s="26" t="str">
        <f ca="1">OFFSET(CampList[Camp],MATCH(Table10[[#This Row],[Pcode]],CampList[CP_Pcode],0)-1,0,1,1)</f>
        <v>Muse Catholic Church</v>
      </c>
      <c r="D119" s="26" t="str">
        <f ca="1">OFFSET(CampList[Township],MATCH(Table10[[#This Row],[Pcode]],CampList[CP_Pcode],0)-1,0,1,1)</f>
        <v>Muse</v>
      </c>
      <c r="E119" s="361">
        <f ca="1">OFFSET(CampList[HH],MATCH(Table10[[#This Row],[Pcode]],CampList[CP_Pcode],0)-1,0,1,1)</f>
        <v>26</v>
      </c>
      <c r="F119" s="361">
        <f ca="1">OFFSET(CampList[Total],MATCH(Table10[[#This Row],[Pcode]],CampList[CP_Pcode],0)-1,0,1,1)</f>
        <v>111</v>
      </c>
      <c r="G119" s="361">
        <f>SUMIF('NFI Tracking'!AO$11:AO$1048576,Table10[[#This Row],[Pcode]],'NFI Tracking'!AI$11:AI$1048576)</f>
        <v>0</v>
      </c>
      <c r="H119" s="361">
        <f>SUMIF('NFI Tracking'!AO$11:AO$1048576,Table10[[#This Row],[Pcode]],'NFI Tracking'!AJ$11:AJ$1048576)</f>
        <v>0</v>
      </c>
      <c r="I119" s="361">
        <f>SUMIF('NFI Tracking'!AO$11:AO$1048576,Table10[[#This Row],[Pcode]],'NFI Tracking'!AK$11:AK$1048576)</f>
        <v>0</v>
      </c>
      <c r="J119" s="361">
        <f ca="1">MAX(Table10[[#This Row],[HH]]*VLOOKUP("Winter Clothes Adult",NFI,6)-Table10[[#This Row],[Winter Clothes Adult ]],0)</f>
        <v>52</v>
      </c>
      <c r="K119" s="361">
        <f ca="1">MAX(Table10[[#This Row],[HH]]*VLOOKUP("Winter Clothes Children ",NFI,6)-Table10[[#This Row],[Winter Clothes Children ]],0)</f>
        <v>26</v>
      </c>
      <c r="L119" s="361">
        <f ca="1">MAX(Table10[[#This Row],[HH]]*VLOOKUP("Winter Items Other ",NFI,6)-Table10[[#This Row],[Winter Items Other ]],0)</f>
        <v>26</v>
      </c>
      <c r="M119" s="394" t="str">
        <f>IF(OR(Table10[[#This Row],[Winter Clothes Adult ]]&lt;&gt;0,Table10[[#This Row],[Winter Clothes Children ]]&lt;&gt;0,Table10[[#This Row],[Winter Items Other ]]&lt;&gt;0),"No","")</f>
        <v/>
      </c>
      <c r="N119" s="395">
        <f>COUNTIF(A:A,Table10[[#This Row],[Pcode]])-1</f>
        <v>0</v>
      </c>
    </row>
    <row r="120" spans="1:14" x14ac:dyDescent="0.25">
      <c r="A120" s="320" t="s">
        <v>7</v>
      </c>
      <c r="B120" s="26" t="str">
        <f ca="1">OFFSET(CampList[Priority],MATCH(Table10[[#This Row],[Pcode]],CampList[CP_Pcode],0)-1,0,1,1)</f>
        <v>P4</v>
      </c>
      <c r="C120" s="26" t="str">
        <f ca="1">OFFSET(CampList[Camp],MATCH(Table10[[#This Row],[Pcode]],CampList[CP_Pcode],0)-1,0,1,1)</f>
        <v>Mu-yin Baptist Church</v>
      </c>
      <c r="D120" s="26" t="str">
        <f ca="1">OFFSET(CampList[Township],MATCH(Table10[[#This Row],[Pcode]],CampList[CP_Pcode],0)-1,0,1,1)</f>
        <v>Bhamo</v>
      </c>
      <c r="E120" s="361">
        <f ca="1">OFFSET(CampList[HH],MATCH(Table10[[#This Row],[Pcode]],CampList[CP_Pcode],0)-1,0,1,1)</f>
        <v>14</v>
      </c>
      <c r="F120" s="361">
        <f ca="1">OFFSET(CampList[Total],MATCH(Table10[[#This Row],[Pcode]],CampList[CP_Pcode],0)-1,0,1,1)</f>
        <v>65</v>
      </c>
      <c r="G120" s="361">
        <f>SUMIF('NFI Tracking'!AO$11:AO$1048576,Table10[[#This Row],[Pcode]],'NFI Tracking'!AI$11:AI$1048576)</f>
        <v>0</v>
      </c>
      <c r="H120" s="361">
        <f>SUMIF('NFI Tracking'!AO$11:AO$1048576,Table10[[#This Row],[Pcode]],'NFI Tracking'!AJ$11:AJ$1048576)</f>
        <v>0</v>
      </c>
      <c r="I120" s="361">
        <f>SUMIF('NFI Tracking'!AO$11:AO$1048576,Table10[[#This Row],[Pcode]],'NFI Tracking'!AK$11:AK$1048576)</f>
        <v>0</v>
      </c>
      <c r="J120" s="361">
        <f ca="1">MAX(Table10[[#This Row],[HH]]*VLOOKUP("Winter Clothes Adult",NFI,6)-Table10[[#This Row],[Winter Clothes Adult ]],0)</f>
        <v>28</v>
      </c>
      <c r="K120" s="361">
        <f ca="1">MAX(Table10[[#This Row],[HH]]*VLOOKUP("Winter Clothes Children ",NFI,6)-Table10[[#This Row],[Winter Clothes Children ]],0)</f>
        <v>14</v>
      </c>
      <c r="L120" s="361">
        <f ca="1">MAX(Table10[[#This Row],[HH]]*VLOOKUP("Winter Items Other ",NFI,6)-Table10[[#This Row],[Winter Items Other ]],0)</f>
        <v>14</v>
      </c>
      <c r="M120" s="394" t="str">
        <f>IF(OR(Table10[[#This Row],[Winter Clothes Adult ]]&lt;&gt;0,Table10[[#This Row],[Winter Clothes Children ]]&lt;&gt;0,Table10[[#This Row],[Winter Items Other ]]&lt;&gt;0),"No","")</f>
        <v/>
      </c>
      <c r="N120" s="395">
        <f>COUNTIF(A:A,Table10[[#This Row],[Pcode]])-1</f>
        <v>0</v>
      </c>
    </row>
    <row r="121" spans="1:14" x14ac:dyDescent="0.25">
      <c r="A121" s="320" t="s">
        <v>266</v>
      </c>
      <c r="B121" s="26" t="str">
        <f ca="1">OFFSET(CampList[Priority],MATCH(Table10[[#This Row],[Pcode]],CampList[CP_Pcode],0)-1,0,1,1)</f>
        <v>P4</v>
      </c>
      <c r="C121" s="26" t="str">
        <f ca="1">OFFSET(CampList[Camp],MATCH(Table10[[#This Row],[Pcode]],CampList[CP_Pcode],0)-1,0,1,1)</f>
        <v>Myay Myint Baptist Church</v>
      </c>
      <c r="D121" s="26" t="str">
        <f ca="1">OFFSET(CampList[Township],MATCH(Table10[[#This Row],[Pcode]],CampList[CP_Pcode],0)-1,0,1,1)</f>
        <v>Myitkyina</v>
      </c>
      <c r="E121" s="361">
        <f ca="1">OFFSET(CampList[HH],MATCH(Table10[[#This Row],[Pcode]],CampList[CP_Pcode],0)-1,0,1,1)</f>
        <v>0</v>
      </c>
      <c r="F121" s="361">
        <f ca="1">OFFSET(CampList[Total],MATCH(Table10[[#This Row],[Pcode]],CampList[CP_Pcode],0)-1,0,1,1)</f>
        <v>0</v>
      </c>
      <c r="G121" s="361">
        <f>SUMIF('NFI Tracking'!AO$11:AO$1048576,Table10[[#This Row],[Pcode]],'NFI Tracking'!AI$11:AI$1048576)</f>
        <v>0</v>
      </c>
      <c r="H121" s="361">
        <f>SUMIF('NFI Tracking'!AO$11:AO$1048576,Table10[[#This Row],[Pcode]],'NFI Tracking'!AJ$11:AJ$1048576)</f>
        <v>0</v>
      </c>
      <c r="I121" s="361">
        <f>SUMIF('NFI Tracking'!AO$11:AO$1048576,Table10[[#This Row],[Pcode]],'NFI Tracking'!AK$11:AK$1048576)</f>
        <v>0</v>
      </c>
      <c r="J121" s="361">
        <f ca="1">MAX(Table10[[#This Row],[HH]]*VLOOKUP("Winter Clothes Adult",NFI,6)-Table10[[#This Row],[Winter Clothes Adult ]],0)</f>
        <v>0</v>
      </c>
      <c r="K121" s="361">
        <f ca="1">MAX(Table10[[#This Row],[HH]]*VLOOKUP("Winter Clothes Children ",NFI,6)-Table10[[#This Row],[Winter Clothes Children ]],0)</f>
        <v>0</v>
      </c>
      <c r="L121" s="361">
        <f ca="1">MAX(Table10[[#This Row],[HH]]*VLOOKUP("Winter Items Other ",NFI,6)-Table10[[#This Row],[Winter Items Other ]],0)</f>
        <v>0</v>
      </c>
      <c r="M121" s="394" t="str">
        <f>IF(OR(Table10[[#This Row],[Winter Clothes Adult ]]&lt;&gt;0,Table10[[#This Row],[Winter Clothes Children ]]&lt;&gt;0,Table10[[#This Row],[Winter Items Other ]]&lt;&gt;0),"No","")</f>
        <v/>
      </c>
      <c r="N121" s="395">
        <f>COUNTIF(A:A,Table10[[#This Row],[Pcode]])-1</f>
        <v>0</v>
      </c>
    </row>
    <row r="122" spans="1:14" x14ac:dyDescent="0.25">
      <c r="A122" s="320" t="s">
        <v>212</v>
      </c>
      <c r="B122" s="26" t="str">
        <f ca="1">OFFSET(CampList[Priority],MATCH(Table10[[#This Row],[Pcode]],CampList[CP_Pcode],0)-1,0,1,1)</f>
        <v>P4</v>
      </c>
      <c r="C122" s="26" t="str">
        <f ca="1">OFFSET(CampList[Camp],MATCH(Table10[[#This Row],[Pcode]],CampList[CP_Pcode],0)-1,0,1,1)</f>
        <v xml:space="preserve">Myo Thit </v>
      </c>
      <c r="D122" s="26" t="str">
        <f ca="1">OFFSET(CampList[Township],MATCH(Table10[[#This Row],[Pcode]],CampList[CP_Pcode],0)-1,0,1,1)</f>
        <v>Momauk</v>
      </c>
      <c r="E122" s="361">
        <f ca="1">OFFSET(CampList[HH],MATCH(Table10[[#This Row],[Pcode]],CampList[CP_Pcode],0)-1,0,1,1)</f>
        <v>13</v>
      </c>
      <c r="F122" s="361">
        <f ca="1">OFFSET(CampList[Total],MATCH(Table10[[#This Row],[Pcode]],CampList[CP_Pcode],0)-1,0,1,1)</f>
        <v>53</v>
      </c>
      <c r="G122" s="361">
        <f>SUMIF('NFI Tracking'!AO$11:AO$1048576,Table10[[#This Row],[Pcode]],'NFI Tracking'!AI$11:AI$1048576)</f>
        <v>0</v>
      </c>
      <c r="H122" s="361">
        <f>SUMIF('NFI Tracking'!AO$11:AO$1048576,Table10[[#This Row],[Pcode]],'NFI Tracking'!AJ$11:AJ$1048576)</f>
        <v>0</v>
      </c>
      <c r="I122" s="361">
        <f>SUMIF('NFI Tracking'!AO$11:AO$1048576,Table10[[#This Row],[Pcode]],'NFI Tracking'!AK$11:AK$1048576)</f>
        <v>0</v>
      </c>
      <c r="J122" s="361">
        <f ca="1">MAX(Table10[[#This Row],[HH]]*VLOOKUP("Winter Clothes Adult",NFI,6)-Table10[[#This Row],[Winter Clothes Adult ]],0)</f>
        <v>26</v>
      </c>
      <c r="K122" s="361">
        <f ca="1">MAX(Table10[[#This Row],[HH]]*VLOOKUP("Winter Clothes Children ",NFI,6)-Table10[[#This Row],[Winter Clothes Children ]],0)</f>
        <v>13</v>
      </c>
      <c r="L122" s="361">
        <f ca="1">MAX(Table10[[#This Row],[HH]]*VLOOKUP("Winter Items Other ",NFI,6)-Table10[[#This Row],[Winter Items Other ]],0)</f>
        <v>13</v>
      </c>
      <c r="M122" s="394" t="str">
        <f>IF(OR(Table10[[#This Row],[Winter Clothes Adult ]]&lt;&gt;0,Table10[[#This Row],[Winter Clothes Children ]]&lt;&gt;0,Table10[[#This Row],[Winter Items Other ]]&lt;&gt;0),"No","")</f>
        <v/>
      </c>
      <c r="N122" s="395">
        <f>COUNTIF(A:A,Table10[[#This Row],[Pcode]])-1</f>
        <v>0</v>
      </c>
    </row>
    <row r="123" spans="1:14" x14ac:dyDescent="0.25">
      <c r="A123" s="320" t="s">
        <v>1059</v>
      </c>
      <c r="B123" s="26" t="str">
        <f ca="1">OFFSET(CampList[Priority],MATCH(Table10[[#This Row],[Pcode]],CampList[CP_Pcode],0)-1,0,1,1)</f>
        <v>P4</v>
      </c>
      <c r="C123" s="26" t="str">
        <f ca="1">OFFSET(CampList[Camp],MATCH(Table10[[#This Row],[Pcode]],CampList[CP_Pcode],0)-1,0,1,1)</f>
        <v>Nam Hkam (KBC Jaw Wang) II</v>
      </c>
      <c r="D123" s="26" t="str">
        <f ca="1">OFFSET(CampList[Township],MATCH(Table10[[#This Row],[Pcode]],CampList[CP_Pcode],0)-1,0,1,1)</f>
        <v>Namhkan</v>
      </c>
      <c r="E123" s="361">
        <f ca="1">OFFSET(CampList[HH],MATCH(Table10[[#This Row],[Pcode]],CampList[CP_Pcode],0)-1,0,1,1)</f>
        <v>37</v>
      </c>
      <c r="F123" s="361">
        <f ca="1">OFFSET(CampList[Total],MATCH(Table10[[#This Row],[Pcode]],CampList[CP_Pcode],0)-1,0,1,1)</f>
        <v>198</v>
      </c>
      <c r="G123" s="361">
        <f>SUMIF('NFI Tracking'!AO$11:AO$1048576,Table10[[#This Row],[Pcode]],'NFI Tracking'!AI$11:AI$1048576)</f>
        <v>0</v>
      </c>
      <c r="H123" s="361">
        <f>SUMIF('NFI Tracking'!AO$11:AO$1048576,Table10[[#This Row],[Pcode]],'NFI Tracking'!AJ$11:AJ$1048576)</f>
        <v>0</v>
      </c>
      <c r="I123" s="361">
        <f>SUMIF('NFI Tracking'!AO$11:AO$1048576,Table10[[#This Row],[Pcode]],'NFI Tracking'!AK$11:AK$1048576)</f>
        <v>0</v>
      </c>
      <c r="J123" s="361">
        <f ca="1">MAX(Table10[[#This Row],[HH]]*VLOOKUP("Winter Clothes Adult",NFI,6)-Table10[[#This Row],[Winter Clothes Adult ]],0)</f>
        <v>74</v>
      </c>
      <c r="K123" s="361">
        <f ca="1">MAX(Table10[[#This Row],[HH]]*VLOOKUP("Winter Clothes Children ",NFI,6)-Table10[[#This Row],[Winter Clothes Children ]],0)</f>
        <v>37</v>
      </c>
      <c r="L123" s="361">
        <f ca="1">MAX(Table10[[#This Row],[HH]]*VLOOKUP("Winter Items Other ",NFI,6)-Table10[[#This Row],[Winter Items Other ]],0)</f>
        <v>37</v>
      </c>
      <c r="M123" s="394" t="str">
        <f>IF(OR(Table10[[#This Row],[Winter Clothes Adult ]]&lt;&gt;0,Table10[[#This Row],[Winter Clothes Children ]]&lt;&gt;0,Table10[[#This Row],[Winter Items Other ]]&lt;&gt;0),"No","")</f>
        <v/>
      </c>
      <c r="N123" s="395">
        <f>COUNTIF(A:A,Table10[[#This Row],[Pcode]])-1</f>
        <v>0</v>
      </c>
    </row>
    <row r="124" spans="1:14" x14ac:dyDescent="0.25">
      <c r="A124" s="320" t="s">
        <v>46</v>
      </c>
      <c r="B124" s="26" t="str">
        <f ca="1">OFFSET(CampList[Priority],MATCH(Table10[[#This Row],[Pcode]],CampList[CP_Pcode],0)-1,0,1,1)</f>
        <v>P4</v>
      </c>
      <c r="C124" s="26" t="str">
        <f ca="1">OFFSET(CampList[Camp],MATCH(Table10[[#This Row],[Pcode]],CampList[CP_Pcode],0)-1,0,1,1)</f>
        <v>Nam Ma Phyit, COC</v>
      </c>
      <c r="D124" s="26" t="str">
        <f ca="1">OFFSET(CampList[Township],MATCH(Table10[[#This Row],[Pcode]],CampList[CP_Pcode],0)-1,0,1,1)</f>
        <v>Hpakant</v>
      </c>
      <c r="E124" s="361">
        <f ca="1">OFFSET(CampList[HH],MATCH(Table10[[#This Row],[Pcode]],CampList[CP_Pcode],0)-1,0,1,1)</f>
        <v>17</v>
      </c>
      <c r="F124" s="361">
        <f ca="1">OFFSET(CampList[Total],MATCH(Table10[[#This Row],[Pcode]],CampList[CP_Pcode],0)-1,0,1,1)</f>
        <v>64</v>
      </c>
      <c r="G124" s="361">
        <f>SUMIF('NFI Tracking'!AO$11:AO$1048576,Table10[[#This Row],[Pcode]],'NFI Tracking'!AI$11:AI$1048576)</f>
        <v>0</v>
      </c>
      <c r="H124" s="361">
        <f>SUMIF('NFI Tracking'!AO$11:AO$1048576,Table10[[#This Row],[Pcode]],'NFI Tracking'!AJ$11:AJ$1048576)</f>
        <v>0</v>
      </c>
      <c r="I124" s="361">
        <f>SUMIF('NFI Tracking'!AO$11:AO$1048576,Table10[[#This Row],[Pcode]],'NFI Tracking'!AK$11:AK$1048576)</f>
        <v>0</v>
      </c>
      <c r="J124" s="361">
        <f ca="1">MAX(Table10[[#This Row],[HH]]*VLOOKUP("Winter Clothes Adult",NFI,6)-Table10[[#This Row],[Winter Clothes Adult ]],0)</f>
        <v>34</v>
      </c>
      <c r="K124" s="361">
        <f ca="1">MAX(Table10[[#This Row],[HH]]*VLOOKUP("Winter Clothes Children ",NFI,6)-Table10[[#This Row],[Winter Clothes Children ]],0)</f>
        <v>17</v>
      </c>
      <c r="L124" s="361">
        <f ca="1">MAX(Table10[[#This Row],[HH]]*VLOOKUP("Winter Items Other ",NFI,6)-Table10[[#This Row],[Winter Items Other ]],0)</f>
        <v>17</v>
      </c>
      <c r="M124" s="394" t="str">
        <f>IF(OR(Table10[[#This Row],[Winter Clothes Adult ]]&lt;&gt;0,Table10[[#This Row],[Winter Clothes Children ]]&lt;&gt;0,Table10[[#This Row],[Winter Items Other ]]&lt;&gt;0),"No","")</f>
        <v/>
      </c>
      <c r="N124" s="395">
        <f>COUNTIF(A:A,Table10[[#This Row],[Pcode]])-1</f>
        <v>0</v>
      </c>
    </row>
    <row r="125" spans="1:14" x14ac:dyDescent="0.25">
      <c r="A125" s="320" t="s">
        <v>1063</v>
      </c>
      <c r="B125" s="26" t="str">
        <f ca="1">OFFSET(CampList[Priority],MATCH(Table10[[#This Row],[Pcode]],CampList[CP_Pcode],0)-1,0,1,1)</f>
        <v>P4</v>
      </c>
      <c r="C125" s="26" t="str">
        <f ca="1">OFFSET(CampList[Camp],MATCH(Table10[[#This Row],[Pcode]],CampList[CP_Pcode],0)-1,0,1,1)</f>
        <v>Namhkan - Pang Long KBC</v>
      </c>
      <c r="D125" s="26" t="str">
        <f ca="1">OFFSET(CampList[Township],MATCH(Table10[[#This Row],[Pcode]],CampList[CP_Pcode],0)-1,0,1,1)</f>
        <v>Namhkan</v>
      </c>
      <c r="E125" s="361">
        <f ca="1">OFFSET(CampList[HH],MATCH(Table10[[#This Row],[Pcode]],CampList[CP_Pcode],0)-1,0,1,1)</f>
        <v>123</v>
      </c>
      <c r="F125" s="361">
        <f ca="1">OFFSET(CampList[Total],MATCH(Table10[[#This Row],[Pcode]],CampList[CP_Pcode],0)-1,0,1,1)</f>
        <v>575</v>
      </c>
      <c r="G125" s="361">
        <f>SUMIF('NFI Tracking'!AO$11:AO$1048576,Table10[[#This Row],[Pcode]],'NFI Tracking'!AI$11:AI$1048576)</f>
        <v>0</v>
      </c>
      <c r="H125" s="361">
        <f>SUMIF('NFI Tracking'!AO$11:AO$1048576,Table10[[#This Row],[Pcode]],'NFI Tracking'!AJ$11:AJ$1048576)</f>
        <v>0</v>
      </c>
      <c r="I125" s="361">
        <f>SUMIF('NFI Tracking'!AO$11:AO$1048576,Table10[[#This Row],[Pcode]],'NFI Tracking'!AK$11:AK$1048576)</f>
        <v>0</v>
      </c>
      <c r="J125" s="361">
        <f ca="1">MAX(Table10[[#This Row],[HH]]*VLOOKUP("Winter Clothes Adult",NFI,6)-Table10[[#This Row],[Winter Clothes Adult ]],0)</f>
        <v>246</v>
      </c>
      <c r="K125" s="361">
        <f ca="1">MAX(Table10[[#This Row],[HH]]*VLOOKUP("Winter Clothes Children ",NFI,6)-Table10[[#This Row],[Winter Clothes Children ]],0)</f>
        <v>123</v>
      </c>
      <c r="L125" s="361">
        <f ca="1">MAX(Table10[[#This Row],[HH]]*VLOOKUP("Winter Items Other ",NFI,6)-Table10[[#This Row],[Winter Items Other ]],0)</f>
        <v>123</v>
      </c>
      <c r="M125" s="394" t="str">
        <f>IF(OR(Table10[[#This Row],[Winter Clothes Adult ]]&lt;&gt;0,Table10[[#This Row],[Winter Clothes Children ]]&lt;&gt;0,Table10[[#This Row],[Winter Items Other ]]&lt;&gt;0),"No","")</f>
        <v/>
      </c>
      <c r="N125" s="395">
        <f>COUNTIF(A:A,Table10[[#This Row],[Pcode]])-1</f>
        <v>0</v>
      </c>
    </row>
    <row r="126" spans="1:14" x14ac:dyDescent="0.25">
      <c r="A126" s="320" t="s">
        <v>270</v>
      </c>
      <c r="B126" s="26" t="str">
        <f ca="1">OFFSET(CampList[Priority],MATCH(Table10[[#This Row],[Pcode]],CampList[CP_Pcode],0)-1,0,1,1)</f>
        <v>P4</v>
      </c>
      <c r="C126" s="26" t="str">
        <f ca="1">OFFSET(CampList[Camp],MATCH(Table10[[#This Row],[Pcode]],CampList[CP_Pcode],0)-1,0,1,1)</f>
        <v>Nan Kway St. John Catholic Church</v>
      </c>
      <c r="D126" s="26" t="str">
        <f ca="1">OFFSET(CampList[Township],MATCH(Table10[[#This Row],[Pcode]],CampList[CP_Pcode],0)-1,0,1,1)</f>
        <v>Myitkyina</v>
      </c>
      <c r="E126" s="361">
        <f ca="1">OFFSET(CampList[HH],MATCH(Table10[[#This Row],[Pcode]],CampList[CP_Pcode],0)-1,0,1,1)</f>
        <v>66</v>
      </c>
      <c r="F126" s="361">
        <f ca="1">OFFSET(CampList[Total],MATCH(Table10[[#This Row],[Pcode]],CampList[CP_Pcode],0)-1,0,1,1)</f>
        <v>323</v>
      </c>
      <c r="G126" s="361">
        <f>SUMIF('NFI Tracking'!AO$11:AO$1048576,Table10[[#This Row],[Pcode]],'NFI Tracking'!AI$11:AI$1048576)</f>
        <v>0</v>
      </c>
      <c r="H126" s="361">
        <f>SUMIF('NFI Tracking'!AO$11:AO$1048576,Table10[[#This Row],[Pcode]],'NFI Tracking'!AJ$11:AJ$1048576)</f>
        <v>0</v>
      </c>
      <c r="I126" s="361">
        <f>SUMIF('NFI Tracking'!AO$11:AO$1048576,Table10[[#This Row],[Pcode]],'NFI Tracking'!AK$11:AK$1048576)</f>
        <v>0</v>
      </c>
      <c r="J126" s="361">
        <f ca="1">MAX(Table10[[#This Row],[HH]]*VLOOKUP("Winter Clothes Adult",NFI,6)-Table10[[#This Row],[Winter Clothes Adult ]],0)</f>
        <v>132</v>
      </c>
      <c r="K126" s="361">
        <f ca="1">MAX(Table10[[#This Row],[HH]]*VLOOKUP("Winter Clothes Children ",NFI,6)-Table10[[#This Row],[Winter Clothes Children ]],0)</f>
        <v>66</v>
      </c>
      <c r="L126" s="361">
        <f ca="1">MAX(Table10[[#This Row],[HH]]*VLOOKUP("Winter Items Other ",NFI,6)-Table10[[#This Row],[Winter Items Other ]],0)</f>
        <v>66</v>
      </c>
      <c r="M126" s="394" t="str">
        <f>IF(OR(Table10[[#This Row],[Winter Clothes Adult ]]&lt;&gt;0,Table10[[#This Row],[Winter Clothes Children ]]&lt;&gt;0,Table10[[#This Row],[Winter Items Other ]]&lt;&gt;0),"No","")</f>
        <v/>
      </c>
      <c r="N126" s="395">
        <f>COUNTIF(A:A,Table10[[#This Row],[Pcode]])-1</f>
        <v>0</v>
      </c>
    </row>
    <row r="127" spans="1:14" x14ac:dyDescent="0.25">
      <c r="A127" s="320" t="s">
        <v>19</v>
      </c>
      <c r="B127" s="26" t="str">
        <f ca="1">OFFSET(CampList[Priority],MATCH(Table10[[#This Row],[Pcode]],CampList[CP_Pcode],0)-1,0,1,1)</f>
        <v>P4</v>
      </c>
      <c r="C127" s="26" t="str">
        <f ca="1">OFFSET(CampList[Camp],MATCH(Table10[[#This Row],[Pcode]],CampList[CP_Pcode],0)-1,0,1,1)</f>
        <v>Nant Hlaing Church</v>
      </c>
      <c r="D127" s="26" t="str">
        <f ca="1">OFFSET(CampList[Township],MATCH(Table10[[#This Row],[Pcode]],CampList[CP_Pcode],0)-1,0,1,1)</f>
        <v>Bhamo</v>
      </c>
      <c r="E127" s="361">
        <f ca="1">OFFSET(CampList[HH],MATCH(Table10[[#This Row],[Pcode]],CampList[CP_Pcode],0)-1,0,1,1)</f>
        <v>20</v>
      </c>
      <c r="F127" s="361">
        <f ca="1">OFFSET(CampList[Total],MATCH(Table10[[#This Row],[Pcode]],CampList[CP_Pcode],0)-1,0,1,1)</f>
        <v>103</v>
      </c>
      <c r="G127" s="361">
        <f>SUMIF('NFI Tracking'!AO$11:AO$1048576,Table10[[#This Row],[Pcode]],'NFI Tracking'!AI$11:AI$1048576)</f>
        <v>0</v>
      </c>
      <c r="H127" s="361">
        <f>SUMIF('NFI Tracking'!AO$11:AO$1048576,Table10[[#This Row],[Pcode]],'NFI Tracking'!AJ$11:AJ$1048576)</f>
        <v>0</v>
      </c>
      <c r="I127" s="361">
        <f>SUMIF('NFI Tracking'!AO$11:AO$1048576,Table10[[#This Row],[Pcode]],'NFI Tracking'!AK$11:AK$1048576)</f>
        <v>0</v>
      </c>
      <c r="J127" s="361">
        <f ca="1">MAX(Table10[[#This Row],[HH]]*VLOOKUP("Winter Clothes Adult",NFI,6)-Table10[[#This Row],[Winter Clothes Adult ]],0)</f>
        <v>40</v>
      </c>
      <c r="K127" s="361">
        <f ca="1">MAX(Table10[[#This Row],[HH]]*VLOOKUP("Winter Clothes Children ",NFI,6)-Table10[[#This Row],[Winter Clothes Children ]],0)</f>
        <v>20</v>
      </c>
      <c r="L127" s="361">
        <f ca="1">MAX(Table10[[#This Row],[HH]]*VLOOKUP("Winter Items Other ",NFI,6)-Table10[[#This Row],[Winter Items Other ]],0)</f>
        <v>20</v>
      </c>
      <c r="M127" s="394" t="str">
        <f>IF(OR(Table10[[#This Row],[Winter Clothes Adult ]]&lt;&gt;0,Table10[[#This Row],[Winter Clothes Children ]]&lt;&gt;0,Table10[[#This Row],[Winter Items Other ]]&lt;&gt;0),"No","")</f>
        <v/>
      </c>
      <c r="N127" s="395">
        <f>COUNTIF(A:A,Table10[[#This Row],[Pcode]])-1</f>
        <v>0</v>
      </c>
    </row>
    <row r="128" spans="1:14" x14ac:dyDescent="0.25">
      <c r="A128" s="320" t="s">
        <v>107</v>
      </c>
      <c r="B128" s="26" t="str">
        <f ca="1">OFFSET(CampList[Priority],MATCH(Table10[[#This Row],[Pcode]],CampList[CP_Pcode],0)-1,0,1,1)</f>
        <v>P4</v>
      </c>
      <c r="C128" s="26" t="str">
        <f ca="1">OFFSET(CampList[Camp],MATCH(Table10[[#This Row],[Pcode]],CampList[CP_Pcode],0)-1,0,1,1)</f>
        <v>Nant Ma Hpit Catholic Church</v>
      </c>
      <c r="D128" s="26" t="str">
        <f ca="1">OFFSET(CampList[Township],MATCH(Table10[[#This Row],[Pcode]],CampList[CP_Pcode],0)-1,0,1,1)</f>
        <v>Hpakant</v>
      </c>
      <c r="E128" s="361">
        <f ca="1">OFFSET(CampList[HH],MATCH(Table10[[#This Row],[Pcode]],CampList[CP_Pcode],0)-1,0,1,1)</f>
        <v>53</v>
      </c>
      <c r="F128" s="361">
        <f ca="1">OFFSET(CampList[Total],MATCH(Table10[[#This Row],[Pcode]],CampList[CP_Pcode],0)-1,0,1,1)</f>
        <v>241</v>
      </c>
      <c r="G128" s="361">
        <f>SUMIF('NFI Tracking'!AO$11:AO$1048576,Table10[[#This Row],[Pcode]],'NFI Tracking'!AI$11:AI$1048576)</f>
        <v>0</v>
      </c>
      <c r="H128" s="361">
        <f>SUMIF('NFI Tracking'!AO$11:AO$1048576,Table10[[#This Row],[Pcode]],'NFI Tracking'!AJ$11:AJ$1048576)</f>
        <v>0</v>
      </c>
      <c r="I128" s="361">
        <f>SUMIF('NFI Tracking'!AO$11:AO$1048576,Table10[[#This Row],[Pcode]],'NFI Tracking'!AK$11:AK$1048576)</f>
        <v>0</v>
      </c>
      <c r="J128" s="361">
        <f ca="1">MAX(Table10[[#This Row],[HH]]*VLOOKUP("Winter Clothes Adult",NFI,6)-Table10[[#This Row],[Winter Clothes Adult ]],0)</f>
        <v>106</v>
      </c>
      <c r="K128" s="361">
        <f ca="1">MAX(Table10[[#This Row],[HH]]*VLOOKUP("Winter Clothes Children ",NFI,6)-Table10[[#This Row],[Winter Clothes Children ]],0)</f>
        <v>53</v>
      </c>
      <c r="L128" s="361">
        <f ca="1">MAX(Table10[[#This Row],[HH]]*VLOOKUP("Winter Items Other ",NFI,6)-Table10[[#This Row],[Winter Items Other ]],0)</f>
        <v>53</v>
      </c>
      <c r="M128" s="394" t="str">
        <f>IF(OR(Table10[[#This Row],[Winter Clothes Adult ]]&lt;&gt;0,Table10[[#This Row],[Winter Clothes Children ]]&lt;&gt;0,Table10[[#This Row],[Winter Items Other ]]&lt;&gt;0),"No","")</f>
        <v/>
      </c>
      <c r="N128" s="395">
        <f>COUNTIF(A:A,Table10[[#This Row],[Pcode]])-1</f>
        <v>0</v>
      </c>
    </row>
    <row r="129" spans="1:14" x14ac:dyDescent="0.25">
      <c r="A129" s="320" t="s">
        <v>182</v>
      </c>
      <c r="B129" s="26" t="str">
        <f ca="1">OFFSET(CampList[Priority],MATCH(Table10[[#This Row],[Pcode]],CampList[CP_Pcode],0)-1,0,1,1)</f>
        <v>P4</v>
      </c>
      <c r="C129" s="26" t="str">
        <f ca="1">OFFSET(CampList[Camp],MATCH(Table10[[#This Row],[Pcode]],CampList[CP_Pcode],0)-1,0,1,1)</f>
        <v>Nant Mun</v>
      </c>
      <c r="D129" s="26" t="str">
        <f ca="1">OFFSET(CampList[Township],MATCH(Table10[[#This Row],[Pcode]],CampList[CP_Pcode],0)-1,0,1,1)</f>
        <v>Mohnyin</v>
      </c>
      <c r="E129" s="361">
        <f ca="1">OFFSET(CampList[HH],MATCH(Table10[[#This Row],[Pcode]],CampList[CP_Pcode],0)-1,0,1,1)</f>
        <v>0</v>
      </c>
      <c r="F129" s="361">
        <f ca="1">OFFSET(CampList[Total],MATCH(Table10[[#This Row],[Pcode]],CampList[CP_Pcode],0)-1,0,1,1)</f>
        <v>0</v>
      </c>
      <c r="G129" s="361">
        <f>SUMIF('NFI Tracking'!AO$11:AO$1048576,Table10[[#This Row],[Pcode]],'NFI Tracking'!AI$11:AI$1048576)</f>
        <v>0</v>
      </c>
      <c r="H129" s="361">
        <f>SUMIF('NFI Tracking'!AO$11:AO$1048576,Table10[[#This Row],[Pcode]],'NFI Tracking'!AJ$11:AJ$1048576)</f>
        <v>0</v>
      </c>
      <c r="I129" s="361">
        <f>SUMIF('NFI Tracking'!AO$11:AO$1048576,Table10[[#This Row],[Pcode]],'NFI Tracking'!AK$11:AK$1048576)</f>
        <v>0</v>
      </c>
      <c r="J129" s="361">
        <f ca="1">MAX(Table10[[#This Row],[HH]]*VLOOKUP("Winter Clothes Adult",NFI,6)-Table10[[#This Row],[Winter Clothes Adult ]],0)</f>
        <v>0</v>
      </c>
      <c r="K129" s="361">
        <f ca="1">MAX(Table10[[#This Row],[HH]]*VLOOKUP("Winter Clothes Children ",NFI,6)-Table10[[#This Row],[Winter Clothes Children ]],0)</f>
        <v>0</v>
      </c>
      <c r="L129" s="361">
        <f ca="1">MAX(Table10[[#This Row],[HH]]*VLOOKUP("Winter Items Other ",NFI,6)-Table10[[#This Row],[Winter Items Other ]],0)</f>
        <v>0</v>
      </c>
      <c r="M129" s="394" t="str">
        <f>IF(OR(Table10[[#This Row],[Winter Clothes Adult ]]&lt;&gt;0,Table10[[#This Row],[Winter Clothes Children ]]&lt;&gt;0,Table10[[#This Row],[Winter Items Other ]]&lt;&gt;0),"No","")</f>
        <v/>
      </c>
      <c r="N129" s="395">
        <f>COUNTIF(A:A,Table10[[#This Row],[Pcode]])-1</f>
        <v>0</v>
      </c>
    </row>
    <row r="130" spans="1:14" x14ac:dyDescent="0.25">
      <c r="A130" s="320" t="s">
        <v>840</v>
      </c>
      <c r="B130" s="26" t="str">
        <f ca="1">OFFSET(CampList[Priority],MATCH(Table10[[#This Row],[Pcode]],CampList[CP_Pcode],0)-1,0,1,1)</f>
        <v>P4</v>
      </c>
      <c r="C130" s="26" t="str">
        <f ca="1">OFFSET(CampList[Camp],MATCH(Table10[[#This Row],[Pcode]],CampList[CP_Pcode],0)-1,0,1,1)</f>
        <v>Narte</v>
      </c>
      <c r="D130" s="26" t="str">
        <f ca="1">OFFSET(CampList[Township],MATCH(Table10[[#This Row],[Pcode]],CampList[CP_Pcode],0)-1,0,1,1)</f>
        <v>Hseni</v>
      </c>
      <c r="E130" s="361">
        <f ca="1">OFFSET(CampList[HH],MATCH(Table10[[#This Row],[Pcode]],CampList[CP_Pcode],0)-1,0,1,1)</f>
        <v>67</v>
      </c>
      <c r="F130" s="361">
        <f ca="1">OFFSET(CampList[Total],MATCH(Table10[[#This Row],[Pcode]],CampList[CP_Pcode],0)-1,0,1,1)</f>
        <v>392</v>
      </c>
      <c r="G130" s="361">
        <f>SUMIF('NFI Tracking'!AO$11:AO$1048576,Table10[[#This Row],[Pcode]],'NFI Tracking'!AI$11:AI$1048576)</f>
        <v>0</v>
      </c>
      <c r="H130" s="361">
        <f>SUMIF('NFI Tracking'!AO$11:AO$1048576,Table10[[#This Row],[Pcode]],'NFI Tracking'!AJ$11:AJ$1048576)</f>
        <v>0</v>
      </c>
      <c r="I130" s="361">
        <f>SUMIF('NFI Tracking'!AO$11:AO$1048576,Table10[[#This Row],[Pcode]],'NFI Tracking'!AK$11:AK$1048576)</f>
        <v>0</v>
      </c>
      <c r="J130" s="361">
        <f ca="1">MAX(Table10[[#This Row],[HH]]*VLOOKUP("Winter Clothes Adult",NFI,6)-Table10[[#This Row],[Winter Clothes Adult ]],0)</f>
        <v>134</v>
      </c>
      <c r="K130" s="361">
        <f ca="1">MAX(Table10[[#This Row],[HH]]*VLOOKUP("Winter Clothes Children ",NFI,6)-Table10[[#This Row],[Winter Clothes Children ]],0)</f>
        <v>67</v>
      </c>
      <c r="L130" s="361">
        <f ca="1">MAX(Table10[[#This Row],[HH]]*VLOOKUP("Winter Items Other ",NFI,6)-Table10[[#This Row],[Winter Items Other ]],0)</f>
        <v>67</v>
      </c>
      <c r="M130" s="394" t="str">
        <f>IF(OR(Table10[[#This Row],[Winter Clothes Adult ]]&lt;&gt;0,Table10[[#This Row],[Winter Clothes Children ]]&lt;&gt;0,Table10[[#This Row],[Winter Items Other ]]&lt;&gt;0),"No","")</f>
        <v/>
      </c>
      <c r="N130" s="395">
        <f>COUNTIF(A:A,Table10[[#This Row],[Pcode]])-1</f>
        <v>0</v>
      </c>
    </row>
    <row r="131" spans="1:14" x14ac:dyDescent="0.25">
      <c r="A131" s="320" t="s">
        <v>177</v>
      </c>
      <c r="B131" s="26" t="str">
        <f ca="1">OFFSET(CampList[Priority],MATCH(Table10[[#This Row],[Pcode]],CampList[CP_Pcode],0)-1,0,1,1)</f>
        <v>P4</v>
      </c>
      <c r="C131" s="26" t="str">
        <f ca="1">OFFSET(CampList[Camp],MATCH(Table10[[#This Row],[Pcode]],CampList[CP_Pcode],0)-1,0,1,1)</f>
        <v xml:space="preserve">Nat Gyi Kone Baptist Church </v>
      </c>
      <c r="D131" s="26" t="str">
        <f ca="1">OFFSET(CampList[Township],MATCH(Table10[[#This Row],[Pcode]],CampList[CP_Pcode],0)-1,0,1,1)</f>
        <v>Mogaung</v>
      </c>
      <c r="E131" s="361">
        <f ca="1">OFFSET(CampList[HH],MATCH(Table10[[#This Row],[Pcode]],CampList[CP_Pcode],0)-1,0,1,1)</f>
        <v>12</v>
      </c>
      <c r="F131" s="361">
        <f ca="1">OFFSET(CampList[Total],MATCH(Table10[[#This Row],[Pcode]],CampList[CP_Pcode],0)-1,0,1,1)</f>
        <v>42</v>
      </c>
      <c r="G131" s="361">
        <f>SUMIF('NFI Tracking'!AO$11:AO$1048576,Table10[[#This Row],[Pcode]],'NFI Tracking'!AI$11:AI$1048576)</f>
        <v>0</v>
      </c>
      <c r="H131" s="361">
        <f>SUMIF('NFI Tracking'!AO$11:AO$1048576,Table10[[#This Row],[Pcode]],'NFI Tracking'!AJ$11:AJ$1048576)</f>
        <v>0</v>
      </c>
      <c r="I131" s="361">
        <f>SUMIF('NFI Tracking'!AO$11:AO$1048576,Table10[[#This Row],[Pcode]],'NFI Tracking'!AK$11:AK$1048576)</f>
        <v>0</v>
      </c>
      <c r="J131" s="361">
        <f ca="1">MAX(Table10[[#This Row],[HH]]*VLOOKUP("Winter Clothes Adult",NFI,6)-Table10[[#This Row],[Winter Clothes Adult ]],0)</f>
        <v>24</v>
      </c>
      <c r="K131" s="361">
        <f ca="1">MAX(Table10[[#This Row],[HH]]*VLOOKUP("Winter Clothes Children ",NFI,6)-Table10[[#This Row],[Winter Clothes Children ]],0)</f>
        <v>12</v>
      </c>
      <c r="L131" s="361">
        <f ca="1">MAX(Table10[[#This Row],[HH]]*VLOOKUP("Winter Items Other ",NFI,6)-Table10[[#This Row],[Winter Items Other ]],0)</f>
        <v>12</v>
      </c>
      <c r="M131" s="394" t="str">
        <f>IF(OR(Table10[[#This Row],[Winter Clothes Adult ]]&lt;&gt;0,Table10[[#This Row],[Winter Clothes Children ]]&lt;&gt;0,Table10[[#This Row],[Winter Items Other ]]&lt;&gt;0),"No","")</f>
        <v/>
      </c>
      <c r="N131" s="395">
        <f>COUNTIF(A:A,Table10[[#This Row],[Pcode]])-1</f>
        <v>0</v>
      </c>
    </row>
    <row r="132" spans="1:14" x14ac:dyDescent="0.25">
      <c r="A132" s="320" t="s">
        <v>343</v>
      </c>
      <c r="B132" s="26" t="str">
        <f ca="1">OFFSET(CampList[Priority],MATCH(Table10[[#This Row],[Pcode]],CampList[CP_Pcode],0)-1,0,1,1)</f>
        <v>P4</v>
      </c>
      <c r="C132" s="26" t="str">
        <f ca="1">OFFSET(CampList[Camp],MATCH(Table10[[#This Row],[Pcode]],CampList[CP_Pcode],0)-1,0,1,1)</f>
        <v>Nawng Hee Village</v>
      </c>
      <c r="D132" s="26" t="str">
        <f ca="1">OFFSET(CampList[Township],MATCH(Table10[[#This Row],[Pcode]],CampList[CP_Pcode],0)-1,0,1,1)</f>
        <v>Waingmaw</v>
      </c>
      <c r="E132" s="361">
        <f ca="1">OFFSET(CampList[HH],MATCH(Table10[[#This Row],[Pcode]],CampList[CP_Pcode],0)-1,0,1,1)</f>
        <v>18</v>
      </c>
      <c r="F132" s="361">
        <f ca="1">OFFSET(CampList[Total],MATCH(Table10[[#This Row],[Pcode]],CampList[CP_Pcode],0)-1,0,1,1)</f>
        <v>82</v>
      </c>
      <c r="G132" s="361">
        <f>SUMIF('NFI Tracking'!AO$11:AO$1048576,Table10[[#This Row],[Pcode]],'NFI Tracking'!AI$11:AI$1048576)</f>
        <v>0</v>
      </c>
      <c r="H132" s="361">
        <f>SUMIF('NFI Tracking'!AO$11:AO$1048576,Table10[[#This Row],[Pcode]],'NFI Tracking'!AJ$11:AJ$1048576)</f>
        <v>0</v>
      </c>
      <c r="I132" s="361">
        <f>SUMIF('NFI Tracking'!AO$11:AO$1048576,Table10[[#This Row],[Pcode]],'NFI Tracking'!AK$11:AK$1048576)</f>
        <v>0</v>
      </c>
      <c r="J132" s="361">
        <f ca="1">MAX(Table10[[#This Row],[HH]]*VLOOKUP("Winter Clothes Adult",NFI,6)-Table10[[#This Row],[Winter Clothes Adult ]],0)</f>
        <v>36</v>
      </c>
      <c r="K132" s="361">
        <f ca="1">MAX(Table10[[#This Row],[HH]]*VLOOKUP("Winter Clothes Children ",NFI,6)-Table10[[#This Row],[Winter Clothes Children ]],0)</f>
        <v>18</v>
      </c>
      <c r="L132" s="361">
        <f ca="1">MAX(Table10[[#This Row],[HH]]*VLOOKUP("Winter Items Other ",NFI,6)-Table10[[#This Row],[Winter Items Other ]],0)</f>
        <v>18</v>
      </c>
      <c r="M132" s="394" t="str">
        <f>IF(OR(Table10[[#This Row],[Winter Clothes Adult ]]&lt;&gt;0,Table10[[#This Row],[Winter Clothes Children ]]&lt;&gt;0,Table10[[#This Row],[Winter Items Other ]]&lt;&gt;0),"No","")</f>
        <v/>
      </c>
      <c r="N132" s="395">
        <f>COUNTIF(A:A,Table10[[#This Row],[Pcode]])-1</f>
        <v>0</v>
      </c>
    </row>
    <row r="133" spans="1:14" x14ac:dyDescent="0.25">
      <c r="A133" s="320" t="s">
        <v>286</v>
      </c>
      <c r="B133" s="26" t="str">
        <f ca="1">OFFSET(CampList[Priority],MATCH(Table10[[#This Row],[Pcode]],CampList[CP_Pcode],0)-1,0,1,1)</f>
        <v>P4</v>
      </c>
      <c r="C133" s="26" t="str">
        <f ca="1">OFFSET(CampList[Camp],MATCH(Table10[[#This Row],[Pcode]],CampList[CP_Pcode],0)-1,0,1,1)</f>
        <v xml:space="preserve">Nawng Ing (Indawgyi) Baptist Church  </v>
      </c>
      <c r="D133" s="26" t="str">
        <f ca="1">OFFSET(CampList[Township],MATCH(Table10[[#This Row],[Pcode]],CampList[CP_Pcode],0)-1,0,1,1)</f>
        <v>Mohnyin</v>
      </c>
      <c r="E133" s="361">
        <f ca="1">OFFSET(CampList[HH],MATCH(Table10[[#This Row],[Pcode]],CampList[CP_Pcode],0)-1,0,1,1)</f>
        <v>19</v>
      </c>
      <c r="F133" s="361">
        <f ca="1">OFFSET(CampList[Total],MATCH(Table10[[#This Row],[Pcode]],CampList[CP_Pcode],0)-1,0,1,1)</f>
        <v>100</v>
      </c>
      <c r="G133" s="361">
        <f>SUMIF('NFI Tracking'!AO$11:AO$1048576,Table10[[#This Row],[Pcode]],'NFI Tracking'!AI$11:AI$1048576)</f>
        <v>0</v>
      </c>
      <c r="H133" s="361">
        <f>SUMIF('NFI Tracking'!AO$11:AO$1048576,Table10[[#This Row],[Pcode]],'NFI Tracking'!AJ$11:AJ$1048576)</f>
        <v>0</v>
      </c>
      <c r="I133" s="361">
        <f>SUMIF('NFI Tracking'!AO$11:AO$1048576,Table10[[#This Row],[Pcode]],'NFI Tracking'!AK$11:AK$1048576)</f>
        <v>0</v>
      </c>
      <c r="J133" s="361">
        <f ca="1">MAX(Table10[[#This Row],[HH]]*VLOOKUP("Winter Clothes Adult",NFI,6)-Table10[[#This Row],[Winter Clothes Adult ]],0)</f>
        <v>38</v>
      </c>
      <c r="K133" s="361">
        <f ca="1">MAX(Table10[[#This Row],[HH]]*VLOOKUP("Winter Clothes Children ",NFI,6)-Table10[[#This Row],[Winter Clothes Children ]],0)</f>
        <v>19</v>
      </c>
      <c r="L133" s="361">
        <f ca="1">MAX(Table10[[#This Row],[HH]]*VLOOKUP("Winter Items Other ",NFI,6)-Table10[[#This Row],[Winter Items Other ]],0)</f>
        <v>19</v>
      </c>
      <c r="M133" s="394" t="str">
        <f>IF(OR(Table10[[#This Row],[Winter Clothes Adult ]]&lt;&gt;0,Table10[[#This Row],[Winter Clothes Children ]]&lt;&gt;0,Table10[[#This Row],[Winter Items Other ]]&lt;&gt;0),"No","")</f>
        <v/>
      </c>
      <c r="N133" s="395">
        <f>COUNTIF(A:A,Table10[[#This Row],[Pcode]])-1</f>
        <v>0</v>
      </c>
    </row>
    <row r="134" spans="1:14" x14ac:dyDescent="0.25">
      <c r="A134" s="320" t="s">
        <v>216</v>
      </c>
      <c r="B134" s="26" t="str">
        <f ca="1">OFFSET(CampList[Priority],MATCH(Table10[[#This Row],[Pcode]],CampList[CP_Pcode],0)-1,0,1,1)</f>
        <v>P4</v>
      </c>
      <c r="C134" s="26" t="str">
        <f ca="1">OFFSET(CampList[Camp],MATCH(Table10[[#This Row],[Pcode]],CampList[CP_Pcode],0)-1,0,1,1)</f>
        <v>Ni Thaw Ka Monestry</v>
      </c>
      <c r="D134" s="26" t="str">
        <f ca="1">OFFSET(CampList[Township],MATCH(Table10[[#This Row],[Pcode]],CampList[CP_Pcode],0)-1,0,1,1)</f>
        <v>Momauk</v>
      </c>
      <c r="E134" s="361">
        <f ca="1">OFFSET(CampList[HH],MATCH(Table10[[#This Row],[Pcode]],CampList[CP_Pcode],0)-1,0,1,1)</f>
        <v>0</v>
      </c>
      <c r="F134" s="361">
        <f ca="1">OFFSET(CampList[Total],MATCH(Table10[[#This Row],[Pcode]],CampList[CP_Pcode],0)-1,0,1,1)</f>
        <v>0</v>
      </c>
      <c r="G134" s="361">
        <f>SUMIF('NFI Tracking'!AO$11:AO$1048576,Table10[[#This Row],[Pcode]],'NFI Tracking'!AI$11:AI$1048576)</f>
        <v>0</v>
      </c>
      <c r="H134" s="361">
        <f>SUMIF('NFI Tracking'!AO$11:AO$1048576,Table10[[#This Row],[Pcode]],'NFI Tracking'!AJ$11:AJ$1048576)</f>
        <v>0</v>
      </c>
      <c r="I134" s="361">
        <f>SUMIF('NFI Tracking'!AO$11:AO$1048576,Table10[[#This Row],[Pcode]],'NFI Tracking'!AK$11:AK$1048576)</f>
        <v>0</v>
      </c>
      <c r="J134" s="361">
        <f ca="1">MAX(Table10[[#This Row],[HH]]*VLOOKUP("Winter Clothes Adult",NFI,6)-Table10[[#This Row],[Winter Clothes Adult ]],0)</f>
        <v>0</v>
      </c>
      <c r="K134" s="361">
        <f ca="1">MAX(Table10[[#This Row],[HH]]*VLOOKUP("Winter Clothes Children ",NFI,6)-Table10[[#This Row],[Winter Clothes Children ]],0)</f>
        <v>0</v>
      </c>
      <c r="L134" s="361">
        <f ca="1">MAX(Table10[[#This Row],[HH]]*VLOOKUP("Winter Items Other ",NFI,6)-Table10[[#This Row],[Winter Items Other ]],0)</f>
        <v>0</v>
      </c>
      <c r="M134" s="394" t="str">
        <f>IF(OR(Table10[[#This Row],[Winter Clothes Adult ]]&lt;&gt;0,Table10[[#This Row],[Winter Clothes Children ]]&lt;&gt;0,Table10[[#This Row],[Winter Items Other ]]&lt;&gt;0),"No","")</f>
        <v/>
      </c>
      <c r="N134" s="395">
        <f>COUNTIF(A:A,Table10[[#This Row],[Pcode]])-1</f>
        <v>0</v>
      </c>
    </row>
    <row r="135" spans="1:14" x14ac:dyDescent="0.25">
      <c r="A135" s="320" t="s">
        <v>268</v>
      </c>
      <c r="B135" s="26" t="str">
        <f ca="1">OFFSET(CampList[Priority],MATCH(Table10[[#This Row],[Pcode]],CampList[CP_Pcode],0)-1,0,1,1)</f>
        <v>P4</v>
      </c>
      <c r="C135" s="26" t="str">
        <f ca="1">OFFSET(CampList[Camp],MATCH(Table10[[#This Row],[Pcode]],CampList[CP_Pcode],0)-1,0,1,1)</f>
        <v xml:space="preserve">Njang Dung Baptist Church </v>
      </c>
      <c r="D135" s="26" t="str">
        <f ca="1">OFFSET(CampList[Township],MATCH(Table10[[#This Row],[Pcode]],CampList[CP_Pcode],0)-1,0,1,1)</f>
        <v>Myitkyina</v>
      </c>
      <c r="E135" s="361">
        <f ca="1">OFFSET(CampList[HH],MATCH(Table10[[#This Row],[Pcode]],CampList[CP_Pcode],0)-1,0,1,1)</f>
        <v>58</v>
      </c>
      <c r="F135" s="361">
        <f ca="1">OFFSET(CampList[Total],MATCH(Table10[[#This Row],[Pcode]],CampList[CP_Pcode],0)-1,0,1,1)</f>
        <v>241</v>
      </c>
      <c r="G135" s="361">
        <f>SUMIF('NFI Tracking'!AO$11:AO$1048576,Table10[[#This Row],[Pcode]],'NFI Tracking'!AI$11:AI$1048576)</f>
        <v>0</v>
      </c>
      <c r="H135" s="361">
        <f>SUMIF('NFI Tracking'!AO$11:AO$1048576,Table10[[#This Row],[Pcode]],'NFI Tracking'!AJ$11:AJ$1048576)</f>
        <v>0</v>
      </c>
      <c r="I135" s="361">
        <f>SUMIF('NFI Tracking'!AO$11:AO$1048576,Table10[[#This Row],[Pcode]],'NFI Tracking'!AK$11:AK$1048576)</f>
        <v>0</v>
      </c>
      <c r="J135" s="361">
        <f ca="1">MAX(Table10[[#This Row],[HH]]*VLOOKUP("Winter Clothes Adult",NFI,6)-Table10[[#This Row],[Winter Clothes Adult ]],0)</f>
        <v>116</v>
      </c>
      <c r="K135" s="361">
        <f ca="1">MAX(Table10[[#This Row],[HH]]*VLOOKUP("Winter Clothes Children ",NFI,6)-Table10[[#This Row],[Winter Clothes Children ]],0)</f>
        <v>58</v>
      </c>
      <c r="L135" s="361">
        <f ca="1">MAX(Table10[[#This Row],[HH]]*VLOOKUP("Winter Items Other ",NFI,6)-Table10[[#This Row],[Winter Items Other ]],0)</f>
        <v>58</v>
      </c>
      <c r="M135" s="394" t="str">
        <f>IF(OR(Table10[[#This Row],[Winter Clothes Adult ]]&lt;&gt;0,Table10[[#This Row],[Winter Clothes Children ]]&lt;&gt;0,Table10[[#This Row],[Winter Items Other ]]&lt;&gt;0),"No","")</f>
        <v/>
      </c>
      <c r="N135" s="395">
        <f>COUNTIF(A:A,Table10[[#This Row],[Pcode]])-1</f>
        <v>0</v>
      </c>
    </row>
    <row r="136" spans="1:14" x14ac:dyDescent="0.25">
      <c r="A136" s="320" t="s">
        <v>272</v>
      </c>
      <c r="B136" s="26" t="str">
        <f ca="1">OFFSET(CampList[Priority],MATCH(Table10[[#This Row],[Pcode]],CampList[CP_Pcode],0)-1,0,1,1)</f>
        <v>P4</v>
      </c>
      <c r="C136" s="26" t="str">
        <f ca="1">OFFSET(CampList[Camp],MATCH(Table10[[#This Row],[Pcode]],CampList[CP_Pcode],0)-1,0,1,1)</f>
        <v>Pa Dauk Myaing(Pa La Na)</v>
      </c>
      <c r="D136" s="26" t="str">
        <f ca="1">OFFSET(CampList[Township],MATCH(Table10[[#This Row],[Pcode]],CampList[CP_Pcode],0)-1,0,1,1)</f>
        <v>Myitkyina</v>
      </c>
      <c r="E136" s="361">
        <f ca="1">OFFSET(CampList[HH],MATCH(Table10[[#This Row],[Pcode]],CampList[CP_Pcode],0)-1,0,1,1)</f>
        <v>43</v>
      </c>
      <c r="F136" s="361">
        <f ca="1">OFFSET(CampList[Total],MATCH(Table10[[#This Row],[Pcode]],CampList[CP_Pcode],0)-1,0,1,1)</f>
        <v>271</v>
      </c>
      <c r="G136" s="361">
        <f>SUMIF('NFI Tracking'!AO$11:AO$1048576,Table10[[#This Row],[Pcode]],'NFI Tracking'!AI$11:AI$1048576)</f>
        <v>0</v>
      </c>
      <c r="H136" s="361">
        <f>SUMIF('NFI Tracking'!AO$11:AO$1048576,Table10[[#This Row],[Pcode]],'NFI Tracking'!AJ$11:AJ$1048576)</f>
        <v>0</v>
      </c>
      <c r="I136" s="361">
        <f>SUMIF('NFI Tracking'!AO$11:AO$1048576,Table10[[#This Row],[Pcode]],'NFI Tracking'!AK$11:AK$1048576)</f>
        <v>0</v>
      </c>
      <c r="J136" s="361">
        <f ca="1">MAX(Table10[[#This Row],[HH]]*VLOOKUP("Winter Clothes Adult",NFI,6)-Table10[[#This Row],[Winter Clothes Adult ]],0)</f>
        <v>86</v>
      </c>
      <c r="K136" s="361">
        <f ca="1">MAX(Table10[[#This Row],[HH]]*VLOOKUP("Winter Clothes Children ",NFI,6)-Table10[[#This Row],[Winter Clothes Children ]],0)</f>
        <v>43</v>
      </c>
      <c r="L136" s="361">
        <f ca="1">MAX(Table10[[#This Row],[HH]]*VLOOKUP("Winter Items Other ",NFI,6)-Table10[[#This Row],[Winter Items Other ]],0)</f>
        <v>43</v>
      </c>
      <c r="M136" s="394" t="str">
        <f>IF(OR(Table10[[#This Row],[Winter Clothes Adult ]]&lt;&gt;0,Table10[[#This Row],[Winter Clothes Children ]]&lt;&gt;0,Table10[[#This Row],[Winter Items Other ]]&lt;&gt;0),"No","")</f>
        <v/>
      </c>
      <c r="N136" s="395">
        <f>COUNTIF(A:A,Table10[[#This Row],[Pcode]])-1</f>
        <v>0</v>
      </c>
    </row>
    <row r="137" spans="1:14" x14ac:dyDescent="0.25">
      <c r="A137" s="320" t="s">
        <v>376</v>
      </c>
      <c r="B137" s="26" t="str">
        <f ca="1">OFFSET(CampList[Priority],MATCH(Table10[[#This Row],[Pcode]],CampList[CP_Pcode],0)-1,0,1,1)</f>
        <v>P4</v>
      </c>
      <c r="C137" s="26" t="str">
        <f ca="1">OFFSET(CampList[Camp],MATCH(Table10[[#This Row],[Pcode]],CampList[CP_Pcode],0)-1,0,1,1)</f>
        <v>Phan Khar Kone</v>
      </c>
      <c r="D137" s="26" t="str">
        <f ca="1">OFFSET(CampList[Township],MATCH(Table10[[#This Row],[Pcode]],CampList[CP_Pcode],0)-1,0,1,1)</f>
        <v>Bhamo</v>
      </c>
      <c r="E137" s="361">
        <f ca="1">OFFSET(CampList[HH],MATCH(Table10[[#This Row],[Pcode]],CampList[CP_Pcode],0)-1,0,1,1)</f>
        <v>150</v>
      </c>
      <c r="F137" s="361">
        <f ca="1">OFFSET(CampList[Total],MATCH(Table10[[#This Row],[Pcode]],CampList[CP_Pcode],0)-1,0,1,1)</f>
        <v>766</v>
      </c>
      <c r="G137" s="361">
        <f>SUMIF('NFI Tracking'!AO$11:AO$1048576,Table10[[#This Row],[Pcode]],'NFI Tracking'!AI$11:AI$1048576)</f>
        <v>0</v>
      </c>
      <c r="H137" s="361">
        <f>SUMIF('NFI Tracking'!AO$11:AO$1048576,Table10[[#This Row],[Pcode]],'NFI Tracking'!AJ$11:AJ$1048576)</f>
        <v>0</v>
      </c>
      <c r="I137" s="361">
        <f>SUMIF('NFI Tracking'!AO$11:AO$1048576,Table10[[#This Row],[Pcode]],'NFI Tracking'!AK$11:AK$1048576)</f>
        <v>0</v>
      </c>
      <c r="J137" s="361">
        <f ca="1">MAX(Table10[[#This Row],[HH]]*VLOOKUP("Winter Clothes Adult",NFI,6)-Table10[[#This Row],[Winter Clothes Adult ]],0)</f>
        <v>300</v>
      </c>
      <c r="K137" s="361">
        <f ca="1">MAX(Table10[[#This Row],[HH]]*VLOOKUP("Winter Clothes Children ",NFI,6)-Table10[[#This Row],[Winter Clothes Children ]],0)</f>
        <v>150</v>
      </c>
      <c r="L137" s="361">
        <f ca="1">MAX(Table10[[#This Row],[HH]]*VLOOKUP("Winter Items Other ",NFI,6)-Table10[[#This Row],[Winter Items Other ]],0)</f>
        <v>150</v>
      </c>
      <c r="M137" s="394" t="str">
        <f>IF(OR(Table10[[#This Row],[Winter Clothes Adult ]]&lt;&gt;0,Table10[[#This Row],[Winter Clothes Children ]]&lt;&gt;0,Table10[[#This Row],[Winter Items Other ]]&lt;&gt;0),"No","")</f>
        <v/>
      </c>
      <c r="N137" s="395">
        <f>COUNTIF(A:A,Table10[[#This Row],[Pcode]])-1</f>
        <v>0</v>
      </c>
    </row>
    <row r="138" spans="1:14" x14ac:dyDescent="0.25">
      <c r="A138" s="320" t="s">
        <v>220</v>
      </c>
      <c r="B138" s="26" t="str">
        <f ca="1">OFFSET(CampList[Priority],MATCH(Table10[[#This Row],[Pcode]],CampList[CP_Pcode],0)-1,0,1,1)</f>
        <v>P4</v>
      </c>
      <c r="C138" s="26" t="str">
        <f ca="1">OFFSET(CampList[Camp],MATCH(Table10[[#This Row],[Pcode]],CampList[CP_Pcode],0)-1,0,1,1)</f>
        <v xml:space="preserve">Phar Kay/Nant Waing </v>
      </c>
      <c r="D138" s="26" t="str">
        <f ca="1">OFFSET(CampList[Township],MATCH(Table10[[#This Row],[Pcode]],CampList[CP_Pcode],0)-1,0,1,1)</f>
        <v>Momauk</v>
      </c>
      <c r="E138" s="361">
        <f ca="1">OFFSET(CampList[HH],MATCH(Table10[[#This Row],[Pcode]],CampList[CP_Pcode],0)-1,0,1,1)</f>
        <v>39</v>
      </c>
      <c r="F138" s="361">
        <f ca="1">OFFSET(CampList[Total],MATCH(Table10[[#This Row],[Pcode]],CampList[CP_Pcode],0)-1,0,1,1)</f>
        <v>176</v>
      </c>
      <c r="G138" s="361">
        <f>SUMIF('NFI Tracking'!AO$11:AO$1048576,Table10[[#This Row],[Pcode]],'NFI Tracking'!AI$11:AI$1048576)</f>
        <v>0</v>
      </c>
      <c r="H138" s="361">
        <f>SUMIF('NFI Tracking'!AO$11:AO$1048576,Table10[[#This Row],[Pcode]],'NFI Tracking'!AJ$11:AJ$1048576)</f>
        <v>0</v>
      </c>
      <c r="I138" s="361">
        <f>SUMIF('NFI Tracking'!AO$11:AO$1048576,Table10[[#This Row],[Pcode]],'NFI Tracking'!AK$11:AK$1048576)</f>
        <v>0</v>
      </c>
      <c r="J138" s="361">
        <f ca="1">MAX(Table10[[#This Row],[HH]]*VLOOKUP("Winter Clothes Adult",NFI,6)-Table10[[#This Row],[Winter Clothes Adult ]],0)</f>
        <v>78</v>
      </c>
      <c r="K138" s="361">
        <f ca="1">MAX(Table10[[#This Row],[HH]]*VLOOKUP("Winter Clothes Children ",NFI,6)-Table10[[#This Row],[Winter Clothes Children ]],0)</f>
        <v>39</v>
      </c>
      <c r="L138" s="361">
        <f ca="1">MAX(Table10[[#This Row],[HH]]*VLOOKUP("Winter Items Other ",NFI,6)-Table10[[#This Row],[Winter Items Other ]],0)</f>
        <v>39</v>
      </c>
      <c r="M138" s="394" t="str">
        <f>IF(OR(Table10[[#This Row],[Winter Clothes Adult ]]&lt;&gt;0,Table10[[#This Row],[Winter Clothes Children ]]&lt;&gt;0,Table10[[#This Row],[Winter Items Other ]]&lt;&gt;0),"No","")</f>
        <v/>
      </c>
      <c r="N138" s="395">
        <f>COUNTIF(A:A,Table10[[#This Row],[Pcode]])-1</f>
        <v>0</v>
      </c>
    </row>
    <row r="139" spans="1:14" x14ac:dyDescent="0.25">
      <c r="A139" s="320" t="s">
        <v>317</v>
      </c>
      <c r="B139" s="26" t="str">
        <f ca="1">OFFSET(CampList[Priority],MATCH(Table10[[#This Row],[Pcode]],CampList[CP_Pcode],0)-1,0,1,1)</f>
        <v>P4</v>
      </c>
      <c r="C139" s="26" t="str">
        <f ca="1">OFFSET(CampList[Camp],MATCH(Table10[[#This Row],[Pcode]],CampList[CP_Pcode],0)-1,0,1,1)</f>
        <v>Qtr. 2 Lhaovo Baptist Church</v>
      </c>
      <c r="D139" s="26" t="str">
        <f ca="1">OFFSET(CampList[Township],MATCH(Table10[[#This Row],[Pcode]],CampList[CP_Pcode],0)-1,0,1,1)</f>
        <v>Waingmaw</v>
      </c>
      <c r="E139" s="361">
        <f ca="1">OFFSET(CampList[HH],MATCH(Table10[[#This Row],[Pcode]],CampList[CP_Pcode],0)-1,0,1,1)</f>
        <v>91</v>
      </c>
      <c r="F139" s="361">
        <f ca="1">OFFSET(CampList[Total],MATCH(Table10[[#This Row],[Pcode]],CampList[CP_Pcode],0)-1,0,1,1)</f>
        <v>329</v>
      </c>
      <c r="G139" s="361">
        <f>SUMIF('NFI Tracking'!AO$11:AO$1048576,Table10[[#This Row],[Pcode]],'NFI Tracking'!AI$11:AI$1048576)</f>
        <v>0</v>
      </c>
      <c r="H139" s="361">
        <f>SUMIF('NFI Tracking'!AO$11:AO$1048576,Table10[[#This Row],[Pcode]],'NFI Tracking'!AJ$11:AJ$1048576)</f>
        <v>0</v>
      </c>
      <c r="I139" s="361">
        <f>SUMIF('NFI Tracking'!AO$11:AO$1048576,Table10[[#This Row],[Pcode]],'NFI Tracking'!AK$11:AK$1048576)</f>
        <v>0</v>
      </c>
      <c r="J139" s="361">
        <f ca="1">MAX(Table10[[#This Row],[HH]]*VLOOKUP("Winter Clothes Adult",NFI,6)-Table10[[#This Row],[Winter Clothes Adult ]],0)</f>
        <v>182</v>
      </c>
      <c r="K139" s="361">
        <f ca="1">MAX(Table10[[#This Row],[HH]]*VLOOKUP("Winter Clothes Children ",NFI,6)-Table10[[#This Row],[Winter Clothes Children ]],0)</f>
        <v>91</v>
      </c>
      <c r="L139" s="361">
        <f ca="1">MAX(Table10[[#This Row],[HH]]*VLOOKUP("Winter Items Other ",NFI,6)-Table10[[#This Row],[Winter Items Other ]],0)</f>
        <v>91</v>
      </c>
      <c r="M139" s="394" t="str">
        <f>IF(OR(Table10[[#This Row],[Winter Clothes Adult ]]&lt;&gt;0,Table10[[#This Row],[Winter Clothes Children ]]&lt;&gt;0,Table10[[#This Row],[Winter Items Other ]]&lt;&gt;0),"No","")</f>
        <v/>
      </c>
      <c r="N139" s="395">
        <f>COUNTIF(A:A,Table10[[#This Row],[Pcode]])-1</f>
        <v>0</v>
      </c>
    </row>
    <row r="140" spans="1:14" x14ac:dyDescent="0.25">
      <c r="A140" s="320" t="s">
        <v>341</v>
      </c>
      <c r="B140" s="26" t="str">
        <f ca="1">OFFSET(CampList[Priority],MATCH(Table10[[#This Row],[Pcode]],CampList[CP_Pcode],0)-1,0,1,1)</f>
        <v>P4</v>
      </c>
      <c r="C140" s="26" t="str">
        <f ca="1">OFFSET(CampList[Camp],MATCH(Table10[[#This Row],[Pcode]],CampList[CP_Pcode],0)-1,0,1,1)</f>
        <v>Qtr. 2 Myoma Baptist Church</v>
      </c>
      <c r="D140" s="26" t="str">
        <f ca="1">OFFSET(CampList[Township],MATCH(Table10[[#This Row],[Pcode]],CampList[CP_Pcode],0)-1,0,1,1)</f>
        <v>Waingmaw</v>
      </c>
      <c r="E140" s="361">
        <f ca="1">OFFSET(CampList[HH],MATCH(Table10[[#This Row],[Pcode]],CampList[CP_Pcode],0)-1,0,1,1)</f>
        <v>65</v>
      </c>
      <c r="F140" s="361">
        <f ca="1">OFFSET(CampList[Total],MATCH(Table10[[#This Row],[Pcode]],CampList[CP_Pcode],0)-1,0,1,1)</f>
        <v>328</v>
      </c>
      <c r="G140" s="361">
        <f>SUMIF('NFI Tracking'!AO$11:AO$1048576,Table10[[#This Row],[Pcode]],'NFI Tracking'!AI$11:AI$1048576)</f>
        <v>0</v>
      </c>
      <c r="H140" s="361">
        <f>SUMIF('NFI Tracking'!AO$11:AO$1048576,Table10[[#This Row],[Pcode]],'NFI Tracking'!AJ$11:AJ$1048576)</f>
        <v>0</v>
      </c>
      <c r="I140" s="361">
        <f>SUMIF('NFI Tracking'!AO$11:AO$1048576,Table10[[#This Row],[Pcode]],'NFI Tracking'!AK$11:AK$1048576)</f>
        <v>0</v>
      </c>
      <c r="J140" s="361">
        <f ca="1">MAX(Table10[[#This Row],[HH]]*VLOOKUP("Winter Clothes Adult",NFI,6)-Table10[[#This Row],[Winter Clothes Adult ]],0)</f>
        <v>130</v>
      </c>
      <c r="K140" s="361">
        <f ca="1">MAX(Table10[[#This Row],[HH]]*VLOOKUP("Winter Clothes Children ",NFI,6)-Table10[[#This Row],[Winter Clothes Children ]],0)</f>
        <v>65</v>
      </c>
      <c r="L140" s="361">
        <f ca="1">MAX(Table10[[#This Row],[HH]]*VLOOKUP("Winter Items Other ",NFI,6)-Table10[[#This Row],[Winter Items Other ]],0)</f>
        <v>65</v>
      </c>
      <c r="M140" s="394" t="str">
        <f>IF(OR(Table10[[#This Row],[Winter Clothes Adult ]]&lt;&gt;0,Table10[[#This Row],[Winter Clothes Children ]]&lt;&gt;0,Table10[[#This Row],[Winter Items Other ]]&lt;&gt;0),"No","")</f>
        <v/>
      </c>
      <c r="N140" s="395">
        <f>COUNTIF(A:A,Table10[[#This Row],[Pcode]])-1</f>
        <v>0</v>
      </c>
    </row>
    <row r="141" spans="1:14" x14ac:dyDescent="0.25">
      <c r="A141" s="320" t="s">
        <v>337</v>
      </c>
      <c r="B141" s="26" t="str">
        <f ca="1">OFFSET(CampList[Priority],MATCH(Table10[[#This Row],[Pcode]],CampList[CP_Pcode],0)-1,0,1,1)</f>
        <v>P4</v>
      </c>
      <c r="C141" s="26" t="str">
        <f ca="1">OFFSET(CampList[Camp],MATCH(Table10[[#This Row],[Pcode]],CampList[CP_Pcode],0)-1,0,1,1)</f>
        <v>Qtr. 3 Mu-yin  Baptist Church</v>
      </c>
      <c r="D141" s="26" t="str">
        <f ca="1">OFFSET(CampList[Township],MATCH(Table10[[#This Row],[Pcode]],CampList[CP_Pcode],0)-1,0,1,1)</f>
        <v>Waingmaw</v>
      </c>
      <c r="E141" s="361">
        <f ca="1">OFFSET(CampList[HH],MATCH(Table10[[#This Row],[Pcode]],CampList[CP_Pcode],0)-1,0,1,1)</f>
        <v>31</v>
      </c>
      <c r="F141" s="361">
        <f ca="1">OFFSET(CampList[Total],MATCH(Table10[[#This Row],[Pcode]],CampList[CP_Pcode],0)-1,0,1,1)</f>
        <v>171</v>
      </c>
      <c r="G141" s="361">
        <f>SUMIF('NFI Tracking'!AO$11:AO$1048576,Table10[[#This Row],[Pcode]],'NFI Tracking'!AI$11:AI$1048576)</f>
        <v>0</v>
      </c>
      <c r="H141" s="361">
        <f>SUMIF('NFI Tracking'!AO$11:AO$1048576,Table10[[#This Row],[Pcode]],'NFI Tracking'!AJ$11:AJ$1048576)</f>
        <v>0</v>
      </c>
      <c r="I141" s="361">
        <f>SUMIF('NFI Tracking'!AO$11:AO$1048576,Table10[[#This Row],[Pcode]],'NFI Tracking'!AK$11:AK$1048576)</f>
        <v>0</v>
      </c>
      <c r="J141" s="361">
        <f ca="1">MAX(Table10[[#This Row],[HH]]*VLOOKUP("Winter Clothes Adult",NFI,6)-Table10[[#This Row],[Winter Clothes Adult ]],0)</f>
        <v>62</v>
      </c>
      <c r="K141" s="361">
        <f ca="1">MAX(Table10[[#This Row],[HH]]*VLOOKUP("Winter Clothes Children ",NFI,6)-Table10[[#This Row],[Winter Clothes Children ]],0)</f>
        <v>31</v>
      </c>
      <c r="L141" s="361">
        <f ca="1">MAX(Table10[[#This Row],[HH]]*VLOOKUP("Winter Items Other ",NFI,6)-Table10[[#This Row],[Winter Items Other ]],0)</f>
        <v>31</v>
      </c>
      <c r="M141" s="394" t="str">
        <f>IF(OR(Table10[[#This Row],[Winter Clothes Adult ]]&lt;&gt;0,Table10[[#This Row],[Winter Clothes Children ]]&lt;&gt;0,Table10[[#This Row],[Winter Items Other ]]&lt;&gt;0),"No","")</f>
        <v/>
      </c>
      <c r="N141" s="395">
        <f>COUNTIF(A:A,Table10[[#This Row],[Pcode]])-1</f>
        <v>0</v>
      </c>
    </row>
    <row r="142" spans="1:14" x14ac:dyDescent="0.25">
      <c r="A142" s="320" t="s">
        <v>350</v>
      </c>
      <c r="B142" s="26" t="str">
        <f ca="1">OFFSET(CampList[Priority],MATCH(Table10[[#This Row],[Pcode]],CampList[CP_Pcode],0)-1,0,1,1)</f>
        <v>P4</v>
      </c>
      <c r="C142" s="26" t="str">
        <f ca="1">OFFSET(CampList[Camp],MATCH(Table10[[#This Row],[Pcode]],CampList[CP_Pcode],0)-1,0,1,1)</f>
        <v>Qtr. 4 Monestry (Thargaya Thayett Taw)</v>
      </c>
      <c r="D142" s="26" t="str">
        <f ca="1">OFFSET(CampList[Township],MATCH(Table10[[#This Row],[Pcode]],CampList[CP_Pcode],0)-1,0,1,1)</f>
        <v>Waingmaw</v>
      </c>
      <c r="E142" s="361">
        <f ca="1">OFFSET(CampList[HH],MATCH(Table10[[#This Row],[Pcode]],CampList[CP_Pcode],0)-1,0,1,1)</f>
        <v>88</v>
      </c>
      <c r="F142" s="361">
        <f ca="1">OFFSET(CampList[Total],MATCH(Table10[[#This Row],[Pcode]],CampList[CP_Pcode],0)-1,0,1,1)</f>
        <v>482</v>
      </c>
      <c r="G142" s="361">
        <f>SUMIF('NFI Tracking'!AO$11:AO$1048576,Table10[[#This Row],[Pcode]],'NFI Tracking'!AI$11:AI$1048576)</f>
        <v>0</v>
      </c>
      <c r="H142" s="361">
        <f>SUMIF('NFI Tracking'!AO$11:AO$1048576,Table10[[#This Row],[Pcode]],'NFI Tracking'!AJ$11:AJ$1048576)</f>
        <v>0</v>
      </c>
      <c r="I142" s="361">
        <f>SUMIF('NFI Tracking'!AO$11:AO$1048576,Table10[[#This Row],[Pcode]],'NFI Tracking'!AK$11:AK$1048576)</f>
        <v>0</v>
      </c>
      <c r="J142" s="361">
        <f ca="1">MAX(Table10[[#This Row],[HH]]*VLOOKUP("Winter Clothes Adult",NFI,6)-Table10[[#This Row],[Winter Clothes Adult ]],0)</f>
        <v>176</v>
      </c>
      <c r="K142" s="361">
        <f ca="1">MAX(Table10[[#This Row],[HH]]*VLOOKUP("Winter Clothes Children ",NFI,6)-Table10[[#This Row],[Winter Clothes Children ]],0)</f>
        <v>88</v>
      </c>
      <c r="L142" s="361">
        <f ca="1">MAX(Table10[[#This Row],[HH]]*VLOOKUP("Winter Items Other ",NFI,6)-Table10[[#This Row],[Winter Items Other ]],0)</f>
        <v>88</v>
      </c>
      <c r="M142" s="394" t="str">
        <f>IF(OR(Table10[[#This Row],[Winter Clothes Adult ]]&lt;&gt;0,Table10[[#This Row],[Winter Clothes Children ]]&lt;&gt;0,Table10[[#This Row],[Winter Items Other ]]&lt;&gt;0),"No","")</f>
        <v/>
      </c>
      <c r="N142" s="395">
        <f>COUNTIF(A:A,Table10[[#This Row],[Pcode]])-1</f>
        <v>0</v>
      </c>
    </row>
    <row r="143" spans="1:14" x14ac:dyDescent="0.25">
      <c r="A143" s="320" t="s">
        <v>117</v>
      </c>
      <c r="B143" s="26" t="str">
        <f ca="1">OFFSET(CampList[Priority],MATCH(Table10[[#This Row],[Pcode]],CampList[CP_Pcode],0)-1,0,1,1)</f>
        <v>P4</v>
      </c>
      <c r="C143" s="26" t="str">
        <f ca="1">OFFSET(CampList[Camp],MATCH(Table10[[#This Row],[Pcode]],CampList[CP_Pcode],0)-1,0,1,1)</f>
        <v>Rawan Baptist Church, Maw Shan Vil., Seik Mu</v>
      </c>
      <c r="D143" s="26" t="str">
        <f ca="1">OFFSET(CampList[Township],MATCH(Table10[[#This Row],[Pcode]],CampList[CP_Pcode],0)-1,0,1,1)</f>
        <v>Hpakant</v>
      </c>
      <c r="E143" s="361">
        <f ca="1">OFFSET(CampList[HH],MATCH(Table10[[#This Row],[Pcode]],CampList[CP_Pcode],0)-1,0,1,1)</f>
        <v>10</v>
      </c>
      <c r="F143" s="361">
        <f ca="1">OFFSET(CampList[Total],MATCH(Table10[[#This Row],[Pcode]],CampList[CP_Pcode],0)-1,0,1,1)</f>
        <v>39</v>
      </c>
      <c r="G143" s="361">
        <f>SUMIF('NFI Tracking'!AO$11:AO$1048576,Table10[[#This Row],[Pcode]],'NFI Tracking'!AI$11:AI$1048576)</f>
        <v>0</v>
      </c>
      <c r="H143" s="361">
        <f>SUMIF('NFI Tracking'!AO$11:AO$1048576,Table10[[#This Row],[Pcode]],'NFI Tracking'!AJ$11:AJ$1048576)</f>
        <v>0</v>
      </c>
      <c r="I143" s="361">
        <f>SUMIF('NFI Tracking'!AO$11:AO$1048576,Table10[[#This Row],[Pcode]],'NFI Tracking'!AK$11:AK$1048576)</f>
        <v>0</v>
      </c>
      <c r="J143" s="361">
        <f ca="1">MAX(Table10[[#This Row],[HH]]*VLOOKUP("Winter Clothes Adult",NFI,6)-Table10[[#This Row],[Winter Clothes Adult ]],0)</f>
        <v>20</v>
      </c>
      <c r="K143" s="361">
        <f ca="1">MAX(Table10[[#This Row],[HH]]*VLOOKUP("Winter Clothes Children ",NFI,6)-Table10[[#This Row],[Winter Clothes Children ]],0)</f>
        <v>10</v>
      </c>
      <c r="L143" s="361">
        <f ca="1">MAX(Table10[[#This Row],[HH]]*VLOOKUP("Winter Items Other ",NFI,6)-Table10[[#This Row],[Winter Items Other ]],0)</f>
        <v>10</v>
      </c>
      <c r="M143" s="394" t="str">
        <f>IF(OR(Table10[[#This Row],[Winter Clothes Adult ]]&lt;&gt;0,Table10[[#This Row],[Winter Clothes Children ]]&lt;&gt;0,Table10[[#This Row],[Winter Items Other ]]&lt;&gt;0),"No","")</f>
        <v/>
      </c>
      <c r="N143" s="395">
        <f>COUNTIF(A:A,Table10[[#This Row],[Pcode]])-1</f>
        <v>0</v>
      </c>
    </row>
    <row r="144" spans="1:14" x14ac:dyDescent="0.25">
      <c r="A144" s="320" t="s">
        <v>21</v>
      </c>
      <c r="B144" s="26" t="str">
        <f ca="1">OFFSET(CampList[Priority],MATCH(Table10[[#This Row],[Pcode]],CampList[CP_Pcode],0)-1,0,1,1)</f>
        <v>P4</v>
      </c>
      <c r="C144" s="26" t="str">
        <f ca="1">OFFSET(CampList[Camp],MATCH(Table10[[#This Row],[Pcode]],CampList[CP_Pcode],0)-1,0,1,1)</f>
        <v>Robert Church</v>
      </c>
      <c r="D144" s="26" t="str">
        <f ca="1">OFFSET(CampList[Township],MATCH(Table10[[#This Row],[Pcode]],CampList[CP_Pcode],0)-1,0,1,1)</f>
        <v>Bhamo</v>
      </c>
      <c r="E144" s="361">
        <f ca="1">OFFSET(CampList[HH],MATCH(Table10[[#This Row],[Pcode]],CampList[CP_Pcode],0)-1,0,1,1)</f>
        <v>629</v>
      </c>
      <c r="F144" s="361">
        <f ca="1">OFFSET(CampList[Total],MATCH(Table10[[#This Row],[Pcode]],CampList[CP_Pcode],0)-1,0,1,1)</f>
        <v>3798</v>
      </c>
      <c r="G144" s="361">
        <f>SUMIF('NFI Tracking'!AO$11:AO$1048576,Table10[[#This Row],[Pcode]],'NFI Tracking'!AI$11:AI$1048576)</f>
        <v>0</v>
      </c>
      <c r="H144" s="361">
        <f>SUMIF('NFI Tracking'!AO$11:AO$1048576,Table10[[#This Row],[Pcode]],'NFI Tracking'!AJ$11:AJ$1048576)</f>
        <v>0</v>
      </c>
      <c r="I144" s="361">
        <f>SUMIF('NFI Tracking'!AO$11:AO$1048576,Table10[[#This Row],[Pcode]],'NFI Tracking'!AK$11:AK$1048576)</f>
        <v>0</v>
      </c>
      <c r="J144" s="361">
        <f ca="1">MAX(Table10[[#This Row],[HH]]*VLOOKUP("Winter Clothes Adult",NFI,6)-Table10[[#This Row],[Winter Clothes Adult ]],0)</f>
        <v>1258</v>
      </c>
      <c r="K144" s="361">
        <f ca="1">MAX(Table10[[#This Row],[HH]]*VLOOKUP("Winter Clothes Children ",NFI,6)-Table10[[#This Row],[Winter Clothes Children ]],0)</f>
        <v>629</v>
      </c>
      <c r="L144" s="361">
        <f ca="1">MAX(Table10[[#This Row],[HH]]*VLOOKUP("Winter Items Other ",NFI,6)-Table10[[#This Row],[Winter Items Other ]],0)</f>
        <v>629</v>
      </c>
      <c r="M144" s="394" t="str">
        <f>IF(OR(Table10[[#This Row],[Winter Clothes Adult ]]&lt;&gt;0,Table10[[#This Row],[Winter Clothes Children ]]&lt;&gt;0,Table10[[#This Row],[Winter Items Other ]]&lt;&gt;0),"No","")</f>
        <v/>
      </c>
      <c r="N144" s="395">
        <f>COUNTIF(A:A,Table10[[#This Row],[Pcode]])-1</f>
        <v>0</v>
      </c>
    </row>
    <row r="145" spans="1:14" x14ac:dyDescent="0.25">
      <c r="A145" s="320" t="s">
        <v>123</v>
      </c>
      <c r="B145" s="26" t="str">
        <f ca="1">OFFSET(CampList[Priority],MATCH(Table10[[#This Row],[Pcode]],CampList[CP_Pcode],0)-1,0,1,1)</f>
        <v>P4</v>
      </c>
      <c r="C145" s="26" t="str">
        <f ca="1">OFFSET(CampList[Camp],MATCH(Table10[[#This Row],[Pcode]],CampList[CP_Pcode],0)-1,0,1,1)</f>
        <v>Sai Nai Baptish Church, Maw Shan Vil., Seki Mu</v>
      </c>
      <c r="D145" s="26" t="str">
        <f ca="1">OFFSET(CampList[Township],MATCH(Table10[[#This Row],[Pcode]],CampList[CP_Pcode],0)-1,0,1,1)</f>
        <v>Hpakant</v>
      </c>
      <c r="E145" s="361">
        <f ca="1">OFFSET(CampList[HH],MATCH(Table10[[#This Row],[Pcode]],CampList[CP_Pcode],0)-1,0,1,1)</f>
        <v>8</v>
      </c>
      <c r="F145" s="361">
        <f ca="1">OFFSET(CampList[Total],MATCH(Table10[[#This Row],[Pcode]],CampList[CP_Pcode],0)-1,0,1,1)</f>
        <v>40</v>
      </c>
      <c r="G145" s="361">
        <f>SUMIF('NFI Tracking'!AO$11:AO$1048576,Table10[[#This Row],[Pcode]],'NFI Tracking'!AI$11:AI$1048576)</f>
        <v>0</v>
      </c>
      <c r="H145" s="361">
        <f>SUMIF('NFI Tracking'!AO$11:AO$1048576,Table10[[#This Row],[Pcode]],'NFI Tracking'!AJ$11:AJ$1048576)</f>
        <v>0</v>
      </c>
      <c r="I145" s="361">
        <f>SUMIF('NFI Tracking'!AO$11:AO$1048576,Table10[[#This Row],[Pcode]],'NFI Tracking'!AK$11:AK$1048576)</f>
        <v>0</v>
      </c>
      <c r="J145" s="361">
        <f ca="1">MAX(Table10[[#This Row],[HH]]*VLOOKUP("Winter Clothes Adult",NFI,6)-Table10[[#This Row],[Winter Clothes Adult ]],0)</f>
        <v>16</v>
      </c>
      <c r="K145" s="361">
        <f ca="1">MAX(Table10[[#This Row],[HH]]*VLOOKUP("Winter Clothes Children ",NFI,6)-Table10[[#This Row],[Winter Clothes Children ]],0)</f>
        <v>8</v>
      </c>
      <c r="L145" s="361">
        <f ca="1">MAX(Table10[[#This Row],[HH]]*VLOOKUP("Winter Items Other ",NFI,6)-Table10[[#This Row],[Winter Items Other ]],0)</f>
        <v>8</v>
      </c>
      <c r="M145" s="394" t="str">
        <f>IF(OR(Table10[[#This Row],[Winter Clothes Adult ]]&lt;&gt;0,Table10[[#This Row],[Winter Clothes Children ]]&lt;&gt;0,Table10[[#This Row],[Winter Items Other ]]&lt;&gt;0),"No","")</f>
        <v/>
      </c>
      <c r="N145" s="395">
        <f>COUNTIF(A:A,Table10[[#This Row],[Pcode]])-1</f>
        <v>0</v>
      </c>
    </row>
    <row r="146" spans="1:14" x14ac:dyDescent="0.25">
      <c r="A146" s="320" t="s">
        <v>276</v>
      </c>
      <c r="B146" s="26" t="str">
        <f ca="1">OFFSET(CampList[Priority],MATCH(Table10[[#This Row],[Pcode]],CampList[CP_Pcode],0)-1,0,1,1)</f>
        <v>P4</v>
      </c>
      <c r="C146" s="26" t="str">
        <f ca="1">OFFSET(CampList[Camp],MATCH(Table10[[#This Row],[Pcode]],CampList[CP_Pcode],0)-1,0,1,1)</f>
        <v>Shatapru Sut Ngai Tawng</v>
      </c>
      <c r="D146" s="26" t="str">
        <f ca="1">OFFSET(CampList[Township],MATCH(Table10[[#This Row],[Pcode]],CampList[CP_Pcode],0)-1,0,1,1)</f>
        <v>Myitkyina</v>
      </c>
      <c r="E146" s="361">
        <f ca="1">OFFSET(CampList[HH],MATCH(Table10[[#This Row],[Pcode]],CampList[CP_Pcode],0)-1,0,1,1)</f>
        <v>90</v>
      </c>
      <c r="F146" s="361">
        <f ca="1">OFFSET(CampList[Total],MATCH(Table10[[#This Row],[Pcode]],CampList[CP_Pcode],0)-1,0,1,1)</f>
        <v>395</v>
      </c>
      <c r="G146" s="361">
        <f>SUMIF('NFI Tracking'!AO$11:AO$1048576,Table10[[#This Row],[Pcode]],'NFI Tracking'!AI$11:AI$1048576)</f>
        <v>0</v>
      </c>
      <c r="H146" s="361">
        <f>SUMIF('NFI Tracking'!AO$11:AO$1048576,Table10[[#This Row],[Pcode]],'NFI Tracking'!AJ$11:AJ$1048576)</f>
        <v>0</v>
      </c>
      <c r="I146" s="361">
        <f>SUMIF('NFI Tracking'!AO$11:AO$1048576,Table10[[#This Row],[Pcode]],'NFI Tracking'!AK$11:AK$1048576)</f>
        <v>0</v>
      </c>
      <c r="J146" s="361">
        <f ca="1">MAX(Table10[[#This Row],[HH]]*VLOOKUP("Winter Clothes Adult",NFI,6)-Table10[[#This Row],[Winter Clothes Adult ]],0)</f>
        <v>180</v>
      </c>
      <c r="K146" s="361">
        <f ca="1">MAX(Table10[[#This Row],[HH]]*VLOOKUP("Winter Clothes Children ",NFI,6)-Table10[[#This Row],[Winter Clothes Children ]],0)</f>
        <v>90</v>
      </c>
      <c r="L146" s="361">
        <f ca="1">MAX(Table10[[#This Row],[HH]]*VLOOKUP("Winter Items Other ",NFI,6)-Table10[[#This Row],[Winter Items Other ]],0)</f>
        <v>90</v>
      </c>
      <c r="M146" s="394" t="str">
        <f>IF(OR(Table10[[#This Row],[Winter Clothes Adult ]]&lt;&gt;0,Table10[[#This Row],[Winter Clothes Children ]]&lt;&gt;0,Table10[[#This Row],[Winter Items Other ]]&lt;&gt;0),"No","")</f>
        <v/>
      </c>
      <c r="N146" s="395">
        <f>COUNTIF(A:A,Table10[[#This Row],[Pcode]])-1</f>
        <v>0</v>
      </c>
    </row>
    <row r="147" spans="1:14" x14ac:dyDescent="0.25">
      <c r="A147" s="320" t="s">
        <v>278</v>
      </c>
      <c r="B147" s="26" t="str">
        <f ca="1">OFFSET(CampList[Priority],MATCH(Table10[[#This Row],[Pcode]],CampList[CP_Pcode],0)-1,0,1,1)</f>
        <v>P4</v>
      </c>
      <c r="C147" s="26" t="str">
        <f ca="1">OFFSET(CampList[Camp],MATCH(Table10[[#This Row],[Pcode]],CampList[CP_Pcode],0)-1,0,1,1)</f>
        <v>Shatapru Thida Aye Baptist Church</v>
      </c>
      <c r="D147" s="26" t="str">
        <f ca="1">OFFSET(CampList[Township],MATCH(Table10[[#This Row],[Pcode]],CampList[CP_Pcode],0)-1,0,1,1)</f>
        <v>Myitkyina</v>
      </c>
      <c r="E147" s="361">
        <f ca="1">OFFSET(CampList[HH],MATCH(Table10[[#This Row],[Pcode]],CampList[CP_Pcode],0)-1,0,1,1)</f>
        <v>22</v>
      </c>
      <c r="F147" s="361">
        <f ca="1">OFFSET(CampList[Total],MATCH(Table10[[#This Row],[Pcode]],CampList[CP_Pcode],0)-1,0,1,1)</f>
        <v>111</v>
      </c>
      <c r="G147" s="361">
        <f>SUMIF('NFI Tracking'!AO$11:AO$1048576,Table10[[#This Row],[Pcode]],'NFI Tracking'!AI$11:AI$1048576)</f>
        <v>0</v>
      </c>
      <c r="H147" s="361">
        <f>SUMIF('NFI Tracking'!AO$11:AO$1048576,Table10[[#This Row],[Pcode]],'NFI Tracking'!AJ$11:AJ$1048576)</f>
        <v>0</v>
      </c>
      <c r="I147" s="361">
        <f>SUMIF('NFI Tracking'!AO$11:AO$1048576,Table10[[#This Row],[Pcode]],'NFI Tracking'!AK$11:AK$1048576)</f>
        <v>0</v>
      </c>
      <c r="J147" s="361">
        <f ca="1">MAX(Table10[[#This Row],[HH]]*VLOOKUP("Winter Clothes Adult",NFI,6)-Table10[[#This Row],[Winter Clothes Adult ]],0)</f>
        <v>44</v>
      </c>
      <c r="K147" s="361">
        <f ca="1">MAX(Table10[[#This Row],[HH]]*VLOOKUP("Winter Clothes Children ",NFI,6)-Table10[[#This Row],[Winter Clothes Children ]],0)</f>
        <v>22</v>
      </c>
      <c r="L147" s="361">
        <f ca="1">MAX(Table10[[#This Row],[HH]]*VLOOKUP("Winter Items Other ",NFI,6)-Table10[[#This Row],[Winter Items Other ]],0)</f>
        <v>22</v>
      </c>
      <c r="M147" s="394" t="str">
        <f>IF(OR(Table10[[#This Row],[Winter Clothes Adult ]]&lt;&gt;0,Table10[[#This Row],[Winter Clothes Children ]]&lt;&gt;0,Table10[[#This Row],[Winter Items Other ]]&lt;&gt;0),"No","")</f>
        <v/>
      </c>
      <c r="N147" s="395">
        <f>COUNTIF(A:A,Table10[[#This Row],[Pcode]])-1</f>
        <v>0</v>
      </c>
    </row>
    <row r="148" spans="1:14" x14ac:dyDescent="0.25">
      <c r="A148" s="320" t="s">
        <v>305</v>
      </c>
      <c r="B148" s="26" t="str">
        <f ca="1">OFFSET(CampList[Priority],MATCH(Table10[[#This Row],[Pcode]],CampList[CP_Pcode],0)-1,0,1,1)</f>
        <v>P4</v>
      </c>
      <c r="C148" s="26" t="str">
        <f ca="1">OFFSET(CampList[Camp],MATCH(Table10[[#This Row],[Pcode]],CampList[CP_Pcode],0)-1,0,1,1)</f>
        <v>Shwe Gu Baptist Church</v>
      </c>
      <c r="D148" s="26" t="str">
        <f ca="1">OFFSET(CampList[Township],MATCH(Table10[[#This Row],[Pcode]],CampList[CP_Pcode],0)-1,0,1,1)</f>
        <v>Shwegu</v>
      </c>
      <c r="E148" s="361">
        <f ca="1">OFFSET(CampList[HH],MATCH(Table10[[#This Row],[Pcode]],CampList[CP_Pcode],0)-1,0,1,1)</f>
        <v>86</v>
      </c>
      <c r="F148" s="361">
        <f ca="1">OFFSET(CampList[Total],MATCH(Table10[[#This Row],[Pcode]],CampList[CP_Pcode],0)-1,0,1,1)</f>
        <v>309</v>
      </c>
      <c r="G148" s="361">
        <f>SUMIF('NFI Tracking'!AO$11:AO$1048576,Table10[[#This Row],[Pcode]],'NFI Tracking'!AI$11:AI$1048576)</f>
        <v>0</v>
      </c>
      <c r="H148" s="361">
        <f>SUMIF('NFI Tracking'!AO$11:AO$1048576,Table10[[#This Row],[Pcode]],'NFI Tracking'!AJ$11:AJ$1048576)</f>
        <v>0</v>
      </c>
      <c r="I148" s="361">
        <f>SUMIF('NFI Tracking'!AO$11:AO$1048576,Table10[[#This Row],[Pcode]],'NFI Tracking'!AK$11:AK$1048576)</f>
        <v>0</v>
      </c>
      <c r="J148" s="361">
        <f ca="1">MAX(Table10[[#This Row],[HH]]*VLOOKUP("Winter Clothes Adult",NFI,6)-Table10[[#This Row],[Winter Clothes Adult ]],0)</f>
        <v>172</v>
      </c>
      <c r="K148" s="361">
        <f ca="1">MAX(Table10[[#This Row],[HH]]*VLOOKUP("Winter Clothes Children ",NFI,6)-Table10[[#This Row],[Winter Clothes Children ]],0)</f>
        <v>86</v>
      </c>
      <c r="L148" s="361">
        <f ca="1">MAX(Table10[[#This Row],[HH]]*VLOOKUP("Winter Items Other ",NFI,6)-Table10[[#This Row],[Winter Items Other ]],0)</f>
        <v>86</v>
      </c>
      <c r="M148" s="394" t="str">
        <f>IF(OR(Table10[[#This Row],[Winter Clothes Adult ]]&lt;&gt;0,Table10[[#This Row],[Winter Clothes Children ]]&lt;&gt;0,Table10[[#This Row],[Winter Items Other ]]&lt;&gt;0),"No","")</f>
        <v/>
      </c>
      <c r="N148" s="395">
        <f>COUNTIF(A:A,Table10[[#This Row],[Pcode]])-1</f>
        <v>0</v>
      </c>
    </row>
    <row r="149" spans="1:14" x14ac:dyDescent="0.25">
      <c r="A149" s="320" t="s">
        <v>307</v>
      </c>
      <c r="B149" s="26" t="str">
        <f ca="1">OFFSET(CampList[Priority],MATCH(Table10[[#This Row],[Pcode]],CampList[CP_Pcode],0)-1,0,1,1)</f>
        <v>P4</v>
      </c>
      <c r="C149" s="26" t="str">
        <f ca="1">OFFSET(CampList[Camp],MATCH(Table10[[#This Row],[Pcode]],CampList[CP_Pcode],0)-1,0,1,1)</f>
        <v>Shwe Gu Catholic Church</v>
      </c>
      <c r="D149" s="26" t="str">
        <f ca="1">OFFSET(CampList[Township],MATCH(Table10[[#This Row],[Pcode]],CampList[CP_Pcode],0)-1,0,1,1)</f>
        <v>Shwegu</v>
      </c>
      <c r="E149" s="361">
        <f ca="1">OFFSET(CampList[HH],MATCH(Table10[[#This Row],[Pcode]],CampList[CP_Pcode],0)-1,0,1,1)</f>
        <v>41</v>
      </c>
      <c r="F149" s="361">
        <f ca="1">OFFSET(CampList[Total],MATCH(Table10[[#This Row],[Pcode]],CampList[CP_Pcode],0)-1,0,1,1)</f>
        <v>152</v>
      </c>
      <c r="G149" s="361">
        <f>SUMIF('NFI Tracking'!AO$11:AO$1048576,Table10[[#This Row],[Pcode]],'NFI Tracking'!AI$11:AI$1048576)</f>
        <v>0</v>
      </c>
      <c r="H149" s="361">
        <f>SUMIF('NFI Tracking'!AO$11:AO$1048576,Table10[[#This Row],[Pcode]],'NFI Tracking'!AJ$11:AJ$1048576)</f>
        <v>0</v>
      </c>
      <c r="I149" s="361">
        <f>SUMIF('NFI Tracking'!AO$11:AO$1048576,Table10[[#This Row],[Pcode]],'NFI Tracking'!AK$11:AK$1048576)</f>
        <v>0</v>
      </c>
      <c r="J149" s="361">
        <f ca="1">MAX(Table10[[#This Row],[HH]]*VLOOKUP("Winter Clothes Adult",NFI,6)-Table10[[#This Row],[Winter Clothes Adult ]],0)</f>
        <v>82</v>
      </c>
      <c r="K149" s="361">
        <f ca="1">MAX(Table10[[#This Row],[HH]]*VLOOKUP("Winter Clothes Children ",NFI,6)-Table10[[#This Row],[Winter Clothes Children ]],0)</f>
        <v>41</v>
      </c>
      <c r="L149" s="361">
        <f ca="1">MAX(Table10[[#This Row],[HH]]*VLOOKUP("Winter Items Other ",NFI,6)-Table10[[#This Row],[Winter Items Other ]],0)</f>
        <v>41</v>
      </c>
      <c r="M149" s="394" t="str">
        <f>IF(OR(Table10[[#This Row],[Winter Clothes Adult ]]&lt;&gt;0,Table10[[#This Row],[Winter Clothes Children ]]&lt;&gt;0,Table10[[#This Row],[Winter Items Other ]]&lt;&gt;0),"No","")</f>
        <v/>
      </c>
      <c r="N149" s="395">
        <f>COUNTIF(A:A,Table10[[#This Row],[Pcode]])-1</f>
        <v>0</v>
      </c>
    </row>
    <row r="150" spans="1:14" x14ac:dyDescent="0.25">
      <c r="A150" s="320" t="s">
        <v>280</v>
      </c>
      <c r="B150" s="26" t="str">
        <f ca="1">OFFSET(CampList[Priority],MATCH(Table10[[#This Row],[Pcode]],CampList[CP_Pcode],0)-1,0,1,1)</f>
        <v>P4</v>
      </c>
      <c r="C150" s="26" t="str">
        <f ca="1">OFFSET(CampList[Camp],MATCH(Table10[[#This Row],[Pcode]],CampList[CP_Pcode],0)-1,0,1,1)</f>
        <v>Shwe Zet Baptist Church</v>
      </c>
      <c r="D150" s="26" t="str">
        <f ca="1">OFFSET(CampList[Township],MATCH(Table10[[#This Row],[Pcode]],CampList[CP_Pcode],0)-1,0,1,1)</f>
        <v>Myitkyina</v>
      </c>
      <c r="E150" s="361">
        <f ca="1">OFFSET(CampList[HH],MATCH(Table10[[#This Row],[Pcode]],CampList[CP_Pcode],0)-1,0,1,1)</f>
        <v>91</v>
      </c>
      <c r="F150" s="361">
        <f ca="1">OFFSET(CampList[Total],MATCH(Table10[[#This Row],[Pcode]],CampList[CP_Pcode],0)-1,0,1,1)</f>
        <v>491</v>
      </c>
      <c r="G150" s="361">
        <f>SUMIF('NFI Tracking'!AO$11:AO$1048576,Table10[[#This Row],[Pcode]],'NFI Tracking'!AI$11:AI$1048576)</f>
        <v>0</v>
      </c>
      <c r="H150" s="361">
        <f>SUMIF('NFI Tracking'!AO$11:AO$1048576,Table10[[#This Row],[Pcode]],'NFI Tracking'!AJ$11:AJ$1048576)</f>
        <v>0</v>
      </c>
      <c r="I150" s="361">
        <f>SUMIF('NFI Tracking'!AO$11:AO$1048576,Table10[[#This Row],[Pcode]],'NFI Tracking'!AK$11:AK$1048576)</f>
        <v>0</v>
      </c>
      <c r="J150" s="361">
        <f ca="1">MAX(Table10[[#This Row],[HH]]*VLOOKUP("Winter Clothes Adult",NFI,6)-Table10[[#This Row],[Winter Clothes Adult ]],0)</f>
        <v>182</v>
      </c>
      <c r="K150" s="361">
        <f ca="1">MAX(Table10[[#This Row],[HH]]*VLOOKUP("Winter Clothes Children ",NFI,6)-Table10[[#This Row],[Winter Clothes Children ]],0)</f>
        <v>91</v>
      </c>
      <c r="L150" s="361">
        <f ca="1">MAX(Table10[[#This Row],[HH]]*VLOOKUP("Winter Items Other ",NFI,6)-Table10[[#This Row],[Winter Items Other ]],0)</f>
        <v>91</v>
      </c>
      <c r="M150" s="394" t="str">
        <f>IF(OR(Table10[[#This Row],[Winter Clothes Adult ]]&lt;&gt;0,Table10[[#This Row],[Winter Clothes Children ]]&lt;&gt;0,Table10[[#This Row],[Winter Items Other ]]&lt;&gt;0),"No","")</f>
        <v/>
      </c>
      <c r="N150" s="395">
        <f>COUNTIF(A:A,Table10[[#This Row],[Pcode]])-1</f>
        <v>0</v>
      </c>
    </row>
    <row r="151" spans="1:14" x14ac:dyDescent="0.25">
      <c r="A151" s="320" t="s">
        <v>179</v>
      </c>
      <c r="B151" s="26" t="str">
        <f ca="1">OFFSET(CampList[Priority],MATCH(Table10[[#This Row],[Pcode]],CampList[CP_Pcode],0)-1,0,1,1)</f>
        <v>P4</v>
      </c>
      <c r="C151" s="26" t="str">
        <f ca="1">OFFSET(CampList[Camp],MATCH(Table10[[#This Row],[Pcode]],CampList[CP_Pcode],0)-1,0,1,1)</f>
        <v xml:space="preserve">St. Patrick Catholic Church </v>
      </c>
      <c r="D151" s="26" t="str">
        <f ca="1">OFFSET(CampList[Township],MATCH(Table10[[#This Row],[Pcode]],CampList[CP_Pcode],0)-1,0,1,1)</f>
        <v>Mohnyin</v>
      </c>
      <c r="E151" s="361">
        <f ca="1">OFFSET(CampList[HH],MATCH(Table10[[#This Row],[Pcode]],CampList[CP_Pcode],0)-1,0,1,1)</f>
        <v>12</v>
      </c>
      <c r="F151" s="361">
        <f ca="1">OFFSET(CampList[Total],MATCH(Table10[[#This Row],[Pcode]],CampList[CP_Pcode],0)-1,0,1,1)</f>
        <v>55</v>
      </c>
      <c r="G151" s="361">
        <f>SUMIF('NFI Tracking'!AO$11:AO$1048576,Table10[[#This Row],[Pcode]],'NFI Tracking'!AI$11:AI$1048576)</f>
        <v>0</v>
      </c>
      <c r="H151" s="361">
        <f>SUMIF('NFI Tracking'!AO$11:AO$1048576,Table10[[#This Row],[Pcode]],'NFI Tracking'!AJ$11:AJ$1048576)</f>
        <v>0</v>
      </c>
      <c r="I151" s="361">
        <f>SUMIF('NFI Tracking'!AO$11:AO$1048576,Table10[[#This Row],[Pcode]],'NFI Tracking'!AK$11:AK$1048576)</f>
        <v>0</v>
      </c>
      <c r="J151" s="361">
        <f ca="1">MAX(Table10[[#This Row],[HH]]*VLOOKUP("Winter Clothes Adult",NFI,6)-Table10[[#This Row],[Winter Clothes Adult ]],0)</f>
        <v>24</v>
      </c>
      <c r="K151" s="361">
        <f ca="1">MAX(Table10[[#This Row],[HH]]*VLOOKUP("Winter Clothes Children ",NFI,6)-Table10[[#This Row],[Winter Clothes Children ]],0)</f>
        <v>12</v>
      </c>
      <c r="L151" s="361">
        <f ca="1">MAX(Table10[[#This Row],[HH]]*VLOOKUP("Winter Items Other ",NFI,6)-Table10[[#This Row],[Winter Items Other ]],0)</f>
        <v>12</v>
      </c>
      <c r="M151" s="394" t="str">
        <f>IF(OR(Table10[[#This Row],[Winter Clothes Adult ]]&lt;&gt;0,Table10[[#This Row],[Winter Clothes Children ]]&lt;&gt;0,Table10[[#This Row],[Winter Items Other ]]&lt;&gt;0),"No","")</f>
        <v/>
      </c>
      <c r="N151" s="395">
        <f>COUNTIF(A:A,Table10[[#This Row],[Pcode]])-1</f>
        <v>0</v>
      </c>
    </row>
    <row r="152" spans="1:14" x14ac:dyDescent="0.25">
      <c r="A152" s="320" t="s">
        <v>814</v>
      </c>
      <c r="B152" s="26" t="str">
        <f ca="1">OFFSET(CampList[Priority],MATCH(Table10[[#This Row],[Pcode]],CampList[CP_Pcode],0)-1,0,1,1)</f>
        <v>P4</v>
      </c>
      <c r="C152" s="26" t="str">
        <f ca="1">OFFSET(CampList[Camp],MATCH(Table10[[#This Row],[Pcode]],CampList[CP_Pcode],0)-1,0,1,1)</f>
        <v>Sumprabum</v>
      </c>
      <c r="D152" s="26" t="str">
        <f ca="1">OFFSET(CampList[Township],MATCH(Table10[[#This Row],[Pcode]],CampList[CP_Pcode],0)-1,0,1,1)</f>
        <v>Sumprabum</v>
      </c>
      <c r="E152" s="361">
        <f ca="1">OFFSET(CampList[HH],MATCH(Table10[[#This Row],[Pcode]],CampList[CP_Pcode],0)-1,0,1,1)</f>
        <v>5</v>
      </c>
      <c r="F152" s="361">
        <f ca="1">OFFSET(CampList[Total],MATCH(Table10[[#This Row],[Pcode]],CampList[CP_Pcode],0)-1,0,1,1)</f>
        <v>32</v>
      </c>
      <c r="G152" s="361">
        <f>SUMIF('NFI Tracking'!AO$11:AO$1048576,Table10[[#This Row],[Pcode]],'NFI Tracking'!AI$11:AI$1048576)</f>
        <v>0</v>
      </c>
      <c r="H152" s="361">
        <f>SUMIF('NFI Tracking'!AO$11:AO$1048576,Table10[[#This Row],[Pcode]],'NFI Tracking'!AJ$11:AJ$1048576)</f>
        <v>0</v>
      </c>
      <c r="I152" s="361">
        <f>SUMIF('NFI Tracking'!AO$11:AO$1048576,Table10[[#This Row],[Pcode]],'NFI Tracking'!AK$11:AK$1048576)</f>
        <v>0</v>
      </c>
      <c r="J152" s="361">
        <f ca="1">MAX(Table10[[#This Row],[HH]]*VLOOKUP("Winter Clothes Adult",NFI,6)-Table10[[#This Row],[Winter Clothes Adult ]],0)</f>
        <v>10</v>
      </c>
      <c r="K152" s="361">
        <f ca="1">MAX(Table10[[#This Row],[HH]]*VLOOKUP("Winter Clothes Children ",NFI,6)-Table10[[#This Row],[Winter Clothes Children ]],0)</f>
        <v>5</v>
      </c>
      <c r="L152" s="361">
        <f ca="1">MAX(Table10[[#This Row],[HH]]*VLOOKUP("Winter Items Other ",NFI,6)-Table10[[#This Row],[Winter Items Other ]],0)</f>
        <v>5</v>
      </c>
      <c r="M152" s="394" t="str">
        <f>IF(OR(Table10[[#This Row],[Winter Clothes Adult ]]&lt;&gt;0,Table10[[#This Row],[Winter Clothes Children ]]&lt;&gt;0,Table10[[#This Row],[Winter Items Other ]]&lt;&gt;0),"No","")</f>
        <v/>
      </c>
      <c r="N152" s="395">
        <f>COUNTIF(A:A,Table10[[#This Row],[Pcode]])-1</f>
        <v>0</v>
      </c>
    </row>
    <row r="153" spans="1:14" x14ac:dyDescent="0.25">
      <c r="A153" s="320" t="s">
        <v>23</v>
      </c>
      <c r="B153" s="26" t="str">
        <f ca="1">OFFSET(CampList[Priority],MATCH(Table10[[#This Row],[Pcode]],CampList[CP_Pcode],0)-1,0,1,1)</f>
        <v>P4</v>
      </c>
      <c r="C153" s="26" t="str">
        <f ca="1">OFFSET(CampList[Camp],MATCH(Table10[[#This Row],[Pcode]],CampList[CP_Pcode],0)-1,0,1,1)</f>
        <v>Ta Gun Taing Monastery (Shwe Kyi Na)</v>
      </c>
      <c r="D153" s="26" t="str">
        <f ca="1">OFFSET(CampList[Township],MATCH(Table10[[#This Row],[Pcode]],CampList[CP_Pcode],0)-1,0,1,1)</f>
        <v>Bhamo</v>
      </c>
      <c r="E153" s="361">
        <f ca="1">OFFSET(CampList[HH],MATCH(Table10[[#This Row],[Pcode]],CampList[CP_Pcode],0)-1,0,1,1)</f>
        <v>21</v>
      </c>
      <c r="F153" s="361">
        <f ca="1">OFFSET(CampList[Total],MATCH(Table10[[#This Row],[Pcode]],CampList[CP_Pcode],0)-1,0,1,1)</f>
        <v>97</v>
      </c>
      <c r="G153" s="361">
        <f>SUMIF('NFI Tracking'!AO$11:AO$1048576,Table10[[#This Row],[Pcode]],'NFI Tracking'!AI$11:AI$1048576)</f>
        <v>0</v>
      </c>
      <c r="H153" s="361">
        <f>SUMIF('NFI Tracking'!AO$11:AO$1048576,Table10[[#This Row],[Pcode]],'NFI Tracking'!AJ$11:AJ$1048576)</f>
        <v>0</v>
      </c>
      <c r="I153" s="361">
        <f>SUMIF('NFI Tracking'!AO$11:AO$1048576,Table10[[#This Row],[Pcode]],'NFI Tracking'!AK$11:AK$1048576)</f>
        <v>0</v>
      </c>
      <c r="J153" s="361">
        <f ca="1">MAX(Table10[[#This Row],[HH]]*VLOOKUP("Winter Clothes Adult",NFI,6)-Table10[[#This Row],[Winter Clothes Adult ]],0)</f>
        <v>42</v>
      </c>
      <c r="K153" s="361">
        <f ca="1">MAX(Table10[[#This Row],[HH]]*VLOOKUP("Winter Clothes Children ",NFI,6)-Table10[[#This Row],[Winter Clothes Children ]],0)</f>
        <v>21</v>
      </c>
      <c r="L153" s="361">
        <f ca="1">MAX(Table10[[#This Row],[HH]]*VLOOKUP("Winter Items Other ",NFI,6)-Table10[[#This Row],[Winter Items Other ]],0)</f>
        <v>21</v>
      </c>
      <c r="M153" s="394" t="str">
        <f>IF(OR(Table10[[#This Row],[Winter Clothes Adult ]]&lt;&gt;0,Table10[[#This Row],[Winter Clothes Children ]]&lt;&gt;0,Table10[[#This Row],[Winter Items Other ]]&lt;&gt;0),"No","")</f>
        <v/>
      </c>
      <c r="N153" s="395">
        <f>COUNTIF(A:A,Table10[[#This Row],[Pcode]])-1</f>
        <v>0</v>
      </c>
    </row>
    <row r="154" spans="1:14" x14ac:dyDescent="0.25">
      <c r="A154" s="320" t="s">
        <v>226</v>
      </c>
      <c r="B154" s="26" t="str">
        <f ca="1">OFFSET(CampList[Priority],MATCH(Table10[[#This Row],[Pcode]],CampList[CP_Pcode],0)-1,0,1,1)</f>
        <v>P4</v>
      </c>
      <c r="C154" s="26" t="str">
        <f ca="1">OFFSET(CampList[Camp],MATCH(Table10[[#This Row],[Pcode]],CampList[CP_Pcode],0)-1,0,1,1)</f>
        <v xml:space="preserve">Tarli </v>
      </c>
      <c r="D154" s="26" t="str">
        <f ca="1">OFFSET(CampList[Township],MATCH(Table10[[#This Row],[Pcode]],CampList[CP_Pcode],0)-1,0,1,1)</f>
        <v>Momauk</v>
      </c>
      <c r="E154" s="361">
        <f ca="1">OFFSET(CampList[HH],MATCH(Table10[[#This Row],[Pcode]],CampList[CP_Pcode],0)-1,0,1,1)</f>
        <v>10</v>
      </c>
      <c r="F154" s="361">
        <f ca="1">OFFSET(CampList[Total],MATCH(Table10[[#This Row],[Pcode]],CampList[CP_Pcode],0)-1,0,1,1)</f>
        <v>38</v>
      </c>
      <c r="G154" s="361">
        <f>SUMIF('NFI Tracking'!AO$11:AO$1048576,Table10[[#This Row],[Pcode]],'NFI Tracking'!AI$11:AI$1048576)</f>
        <v>0</v>
      </c>
      <c r="H154" s="361">
        <f>SUMIF('NFI Tracking'!AO$11:AO$1048576,Table10[[#This Row],[Pcode]],'NFI Tracking'!AJ$11:AJ$1048576)</f>
        <v>0</v>
      </c>
      <c r="I154" s="361">
        <f>SUMIF('NFI Tracking'!AO$11:AO$1048576,Table10[[#This Row],[Pcode]],'NFI Tracking'!AK$11:AK$1048576)</f>
        <v>0</v>
      </c>
      <c r="J154" s="361">
        <f ca="1">MAX(Table10[[#This Row],[HH]]*VLOOKUP("Winter Clothes Adult",NFI,6)-Table10[[#This Row],[Winter Clothes Adult ]],0)</f>
        <v>20</v>
      </c>
      <c r="K154" s="361">
        <f ca="1">MAX(Table10[[#This Row],[HH]]*VLOOKUP("Winter Clothes Children ",NFI,6)-Table10[[#This Row],[Winter Clothes Children ]],0)</f>
        <v>10</v>
      </c>
      <c r="L154" s="361">
        <f ca="1">MAX(Table10[[#This Row],[HH]]*VLOOKUP("Winter Items Other ",NFI,6)-Table10[[#This Row],[Winter Items Other ]],0)</f>
        <v>10</v>
      </c>
      <c r="M154" s="394" t="str">
        <f>IF(OR(Table10[[#This Row],[Winter Clothes Adult ]]&lt;&gt;0,Table10[[#This Row],[Winter Clothes Children ]]&lt;&gt;0,Table10[[#This Row],[Winter Items Other ]]&lt;&gt;0),"No","")</f>
        <v/>
      </c>
      <c r="N154" s="395">
        <f>COUNTIF(A:A,Table10[[#This Row],[Pcode]])-1</f>
        <v>0</v>
      </c>
    </row>
    <row r="155" spans="1:14" x14ac:dyDescent="0.25">
      <c r="A155" s="320" t="s">
        <v>236</v>
      </c>
      <c r="B155" s="26" t="str">
        <f ca="1">OFFSET(CampList[Priority],MATCH(Table10[[#This Row],[Pcode]],CampList[CP_Pcode],0)-1,0,1,1)</f>
        <v>P4</v>
      </c>
      <c r="C155" s="26" t="str">
        <f ca="1">OFFSET(CampList[Camp],MATCH(Table10[[#This Row],[Pcode]],CampList[CP_Pcode],0)-1,0,1,1)</f>
        <v>Tat Kone Baptist Church</v>
      </c>
      <c r="D155" s="26" t="str">
        <f ca="1">OFFSET(CampList[Township],MATCH(Table10[[#This Row],[Pcode]],CampList[CP_Pcode],0)-1,0,1,1)</f>
        <v>Myitkyina</v>
      </c>
      <c r="E155" s="361">
        <f ca="1">OFFSET(CampList[HH],MATCH(Table10[[#This Row],[Pcode]],CampList[CP_Pcode],0)-1,0,1,1)</f>
        <v>67</v>
      </c>
      <c r="F155" s="361">
        <f ca="1">OFFSET(CampList[Total],MATCH(Table10[[#This Row],[Pcode]],CampList[CP_Pcode],0)-1,0,1,1)</f>
        <v>365</v>
      </c>
      <c r="G155" s="361">
        <f>SUMIF('NFI Tracking'!AO$11:AO$1048576,Table10[[#This Row],[Pcode]],'NFI Tracking'!AI$11:AI$1048576)</f>
        <v>0</v>
      </c>
      <c r="H155" s="361">
        <f>SUMIF('NFI Tracking'!AO$11:AO$1048576,Table10[[#This Row],[Pcode]],'NFI Tracking'!AJ$11:AJ$1048576)</f>
        <v>0</v>
      </c>
      <c r="I155" s="361">
        <f>SUMIF('NFI Tracking'!AO$11:AO$1048576,Table10[[#This Row],[Pcode]],'NFI Tracking'!AK$11:AK$1048576)</f>
        <v>0</v>
      </c>
      <c r="J155" s="361">
        <f ca="1">MAX(Table10[[#This Row],[HH]]*VLOOKUP("Winter Clothes Adult",NFI,6)-Table10[[#This Row],[Winter Clothes Adult ]],0)</f>
        <v>134</v>
      </c>
      <c r="K155" s="361">
        <f ca="1">MAX(Table10[[#This Row],[HH]]*VLOOKUP("Winter Clothes Children ",NFI,6)-Table10[[#This Row],[Winter Clothes Children ]],0)</f>
        <v>67</v>
      </c>
      <c r="L155" s="361">
        <f ca="1">MAX(Table10[[#This Row],[HH]]*VLOOKUP("Winter Items Other ",NFI,6)-Table10[[#This Row],[Winter Items Other ]],0)</f>
        <v>67</v>
      </c>
      <c r="M155" s="394" t="str">
        <f>IF(OR(Table10[[#This Row],[Winter Clothes Adult ]]&lt;&gt;0,Table10[[#This Row],[Winter Clothes Children ]]&lt;&gt;0,Table10[[#This Row],[Winter Items Other ]]&lt;&gt;0),"No","")</f>
        <v/>
      </c>
      <c r="N155" s="395">
        <f>COUNTIF(A:A,Table10[[#This Row],[Pcode]])-1</f>
        <v>0</v>
      </c>
    </row>
    <row r="156" spans="1:14" x14ac:dyDescent="0.25">
      <c r="A156" s="320" t="s">
        <v>241</v>
      </c>
      <c r="B156" s="26" t="str">
        <f ca="1">OFFSET(CampList[Priority],MATCH(Table10[[#This Row],[Pcode]],CampList[CP_Pcode],0)-1,0,1,1)</f>
        <v>P4</v>
      </c>
      <c r="C156" s="26" t="str">
        <f ca="1">OFFSET(CampList[Camp],MATCH(Table10[[#This Row],[Pcode]],CampList[CP_Pcode],0)-1,0,1,1)</f>
        <v>Tat Kone COC Baptist - Tat Kone Htoi San</v>
      </c>
      <c r="D156" s="26" t="str">
        <f ca="1">OFFSET(CampList[Township],MATCH(Table10[[#This Row],[Pcode]],CampList[CP_Pcode],0)-1,0,1,1)</f>
        <v>Myitkyina</v>
      </c>
      <c r="E156" s="361">
        <f ca="1">OFFSET(CampList[HH],MATCH(Table10[[#This Row],[Pcode]],CampList[CP_Pcode],0)-1,0,1,1)</f>
        <v>54</v>
      </c>
      <c r="F156" s="361">
        <f ca="1">OFFSET(CampList[Total],MATCH(Table10[[#This Row],[Pcode]],CampList[CP_Pcode],0)-1,0,1,1)</f>
        <v>258</v>
      </c>
      <c r="G156" s="361">
        <f>SUMIF('NFI Tracking'!AO$11:AO$1048576,Table10[[#This Row],[Pcode]],'NFI Tracking'!AI$11:AI$1048576)</f>
        <v>0</v>
      </c>
      <c r="H156" s="361">
        <f>SUMIF('NFI Tracking'!AO$11:AO$1048576,Table10[[#This Row],[Pcode]],'NFI Tracking'!AJ$11:AJ$1048576)</f>
        <v>0</v>
      </c>
      <c r="I156" s="361">
        <f>SUMIF('NFI Tracking'!AO$11:AO$1048576,Table10[[#This Row],[Pcode]],'NFI Tracking'!AK$11:AK$1048576)</f>
        <v>0</v>
      </c>
      <c r="J156" s="361">
        <f ca="1">MAX(Table10[[#This Row],[HH]]*VLOOKUP("Winter Clothes Adult",NFI,6)-Table10[[#This Row],[Winter Clothes Adult ]],0)</f>
        <v>108</v>
      </c>
      <c r="K156" s="361">
        <f ca="1">MAX(Table10[[#This Row],[HH]]*VLOOKUP("Winter Clothes Children ",NFI,6)-Table10[[#This Row],[Winter Clothes Children ]],0)</f>
        <v>54</v>
      </c>
      <c r="L156" s="361">
        <f ca="1">MAX(Table10[[#This Row],[HH]]*VLOOKUP("Winter Items Other ",NFI,6)-Table10[[#This Row],[Winter Items Other ]],0)</f>
        <v>54</v>
      </c>
      <c r="M156" s="394" t="str">
        <f>IF(OR(Table10[[#This Row],[Winter Clothes Adult ]]&lt;&gt;0,Table10[[#This Row],[Winter Clothes Children ]]&lt;&gt;0,Table10[[#This Row],[Winter Items Other ]]&lt;&gt;0),"No","")</f>
        <v/>
      </c>
      <c r="N156" s="395">
        <f>COUNTIF(A:A,Table10[[#This Row],[Pcode]])-1</f>
        <v>0</v>
      </c>
    </row>
    <row r="157" spans="1:14" x14ac:dyDescent="0.25">
      <c r="A157" s="320" t="s">
        <v>248</v>
      </c>
      <c r="B157" s="26" t="str">
        <f ca="1">OFFSET(CampList[Priority],MATCH(Table10[[#This Row],[Pcode]],CampList[CP_Pcode],0)-1,0,1,1)</f>
        <v>P4</v>
      </c>
      <c r="C157" s="26" t="str">
        <f ca="1">OFFSET(CampList[Camp],MATCH(Table10[[#This Row],[Pcode]],CampList[CP_Pcode],0)-1,0,1,1)</f>
        <v>Tat Kone Emanuel Church</v>
      </c>
      <c r="D157" s="26" t="str">
        <f ca="1">OFFSET(CampList[Township],MATCH(Table10[[#This Row],[Pcode]],CampList[CP_Pcode],0)-1,0,1,1)</f>
        <v>Myitkyina</v>
      </c>
      <c r="E157" s="361">
        <f ca="1">OFFSET(CampList[HH],MATCH(Table10[[#This Row],[Pcode]],CampList[CP_Pcode],0)-1,0,1,1)</f>
        <v>6</v>
      </c>
      <c r="F157" s="361">
        <f ca="1">OFFSET(CampList[Total],MATCH(Table10[[#This Row],[Pcode]],CampList[CP_Pcode],0)-1,0,1,1)</f>
        <v>29</v>
      </c>
      <c r="G157" s="361">
        <f>SUMIF('NFI Tracking'!AO$11:AO$1048576,Table10[[#This Row],[Pcode]],'NFI Tracking'!AI$11:AI$1048576)</f>
        <v>0</v>
      </c>
      <c r="H157" s="361">
        <f>SUMIF('NFI Tracking'!AO$11:AO$1048576,Table10[[#This Row],[Pcode]],'NFI Tracking'!AJ$11:AJ$1048576)</f>
        <v>0</v>
      </c>
      <c r="I157" s="361">
        <f>SUMIF('NFI Tracking'!AO$11:AO$1048576,Table10[[#This Row],[Pcode]],'NFI Tracking'!AK$11:AK$1048576)</f>
        <v>0</v>
      </c>
      <c r="J157" s="361">
        <f ca="1">MAX(Table10[[#This Row],[HH]]*VLOOKUP("Winter Clothes Adult",NFI,6)-Table10[[#This Row],[Winter Clothes Adult ]],0)</f>
        <v>12</v>
      </c>
      <c r="K157" s="361">
        <f ca="1">MAX(Table10[[#This Row],[HH]]*VLOOKUP("Winter Clothes Children ",NFI,6)-Table10[[#This Row],[Winter Clothes Children ]],0)</f>
        <v>6</v>
      </c>
      <c r="L157" s="361">
        <f ca="1">MAX(Table10[[#This Row],[HH]]*VLOOKUP("Winter Items Other ",NFI,6)-Table10[[#This Row],[Winter Items Other ]],0)</f>
        <v>6</v>
      </c>
      <c r="M157" s="394" t="str">
        <f>IF(OR(Table10[[#This Row],[Winter Clothes Adult ]]&lt;&gt;0,Table10[[#This Row],[Winter Clothes Children ]]&lt;&gt;0,Table10[[#This Row],[Winter Items Other ]]&lt;&gt;0),"No","")</f>
        <v/>
      </c>
      <c r="N157" s="395">
        <f>COUNTIF(A:A,Table10[[#This Row],[Pcode]])-1</f>
        <v>0</v>
      </c>
    </row>
    <row r="158" spans="1:14" x14ac:dyDescent="0.25">
      <c r="A158" s="320" t="s">
        <v>250</v>
      </c>
      <c r="B158" s="26" t="str">
        <f ca="1">OFFSET(CampList[Priority],MATCH(Table10[[#This Row],[Pcode]],CampList[CP_Pcode],0)-1,0,1,1)</f>
        <v>P4</v>
      </c>
      <c r="C158" s="26" t="str">
        <f ca="1">OFFSET(CampList[Camp],MATCH(Table10[[#This Row],[Pcode]],CampList[CP_Pcode],0)-1,0,1,1)</f>
        <v>Tat Kone Galile Baptist Church</v>
      </c>
      <c r="D158" s="26" t="str">
        <f ca="1">OFFSET(CampList[Township],MATCH(Table10[[#This Row],[Pcode]],CampList[CP_Pcode],0)-1,0,1,1)</f>
        <v>Myitkyina</v>
      </c>
      <c r="E158" s="361">
        <f ca="1">OFFSET(CampList[HH],MATCH(Table10[[#This Row],[Pcode]],CampList[CP_Pcode],0)-1,0,1,1)</f>
        <v>32</v>
      </c>
      <c r="F158" s="361">
        <f ca="1">OFFSET(CampList[Total],MATCH(Table10[[#This Row],[Pcode]],CampList[CP_Pcode],0)-1,0,1,1)</f>
        <v>161</v>
      </c>
      <c r="G158" s="361">
        <f>SUMIF('NFI Tracking'!AO$11:AO$1048576,Table10[[#This Row],[Pcode]],'NFI Tracking'!AI$11:AI$1048576)</f>
        <v>0</v>
      </c>
      <c r="H158" s="361">
        <f>SUMIF('NFI Tracking'!AO$11:AO$1048576,Table10[[#This Row],[Pcode]],'NFI Tracking'!AJ$11:AJ$1048576)</f>
        <v>0</v>
      </c>
      <c r="I158" s="361">
        <f>SUMIF('NFI Tracking'!AO$11:AO$1048576,Table10[[#This Row],[Pcode]],'NFI Tracking'!AK$11:AK$1048576)</f>
        <v>0</v>
      </c>
      <c r="J158" s="361">
        <f ca="1">MAX(Table10[[#This Row],[HH]]*VLOOKUP("Winter Clothes Adult",NFI,6)-Table10[[#This Row],[Winter Clothes Adult ]],0)</f>
        <v>64</v>
      </c>
      <c r="K158" s="361">
        <f ca="1">MAX(Table10[[#This Row],[HH]]*VLOOKUP("Winter Clothes Children ",NFI,6)-Table10[[#This Row],[Winter Clothes Children ]],0)</f>
        <v>32</v>
      </c>
      <c r="L158" s="361">
        <f ca="1">MAX(Table10[[#This Row],[HH]]*VLOOKUP("Winter Items Other ",NFI,6)-Table10[[#This Row],[Winter Items Other ]],0)</f>
        <v>32</v>
      </c>
      <c r="M158" s="394" t="str">
        <f>IF(OR(Table10[[#This Row],[Winter Clothes Adult ]]&lt;&gt;0,Table10[[#This Row],[Winter Clothes Children ]]&lt;&gt;0,Table10[[#This Row],[Winter Items Other ]]&lt;&gt;0),"No","")</f>
        <v/>
      </c>
      <c r="N158" s="395">
        <f>COUNTIF(A:A,Table10[[#This Row],[Pcode]])-1</f>
        <v>0</v>
      </c>
    </row>
    <row r="159" spans="1:14" x14ac:dyDescent="0.25">
      <c r="A159" s="320" t="s">
        <v>274</v>
      </c>
      <c r="B159" s="26" t="str">
        <f ca="1">OFFSET(CampList[Priority],MATCH(Table10[[#This Row],[Pcode]],CampList[CP_Pcode],0)-1,0,1,1)</f>
        <v>P4</v>
      </c>
      <c r="C159" s="26" t="str">
        <f ca="1">OFFSET(CampList[Camp],MATCH(Table10[[#This Row],[Pcode]],CampList[CP_Pcode],0)-1,0,1,1)</f>
        <v>Tat Kone San Pya Baptist Church</v>
      </c>
      <c r="D159" s="26" t="str">
        <f ca="1">OFFSET(CampList[Township],MATCH(Table10[[#This Row],[Pcode]],CampList[CP_Pcode],0)-1,0,1,1)</f>
        <v>Myitkyina</v>
      </c>
      <c r="E159" s="361">
        <f ca="1">OFFSET(CampList[HH],MATCH(Table10[[#This Row],[Pcode]],CampList[CP_Pcode],0)-1,0,1,1)</f>
        <v>43</v>
      </c>
      <c r="F159" s="361">
        <f ca="1">OFFSET(CampList[Total],MATCH(Table10[[#This Row],[Pcode]],CampList[CP_Pcode],0)-1,0,1,1)</f>
        <v>216</v>
      </c>
      <c r="G159" s="361">
        <f>SUMIF('NFI Tracking'!AO$11:AO$1048576,Table10[[#This Row],[Pcode]],'NFI Tracking'!AI$11:AI$1048576)</f>
        <v>0</v>
      </c>
      <c r="H159" s="361">
        <f>SUMIF('NFI Tracking'!AO$11:AO$1048576,Table10[[#This Row],[Pcode]],'NFI Tracking'!AJ$11:AJ$1048576)</f>
        <v>0</v>
      </c>
      <c r="I159" s="361">
        <f>SUMIF('NFI Tracking'!AO$11:AO$1048576,Table10[[#This Row],[Pcode]],'NFI Tracking'!AK$11:AK$1048576)</f>
        <v>0</v>
      </c>
      <c r="J159" s="361">
        <f ca="1">MAX(Table10[[#This Row],[HH]]*VLOOKUP("Winter Clothes Adult",NFI,6)-Table10[[#This Row],[Winter Clothes Adult ]],0)</f>
        <v>86</v>
      </c>
      <c r="K159" s="361">
        <f ca="1">MAX(Table10[[#This Row],[HH]]*VLOOKUP("Winter Clothes Children ",NFI,6)-Table10[[#This Row],[Winter Clothes Children ]],0)</f>
        <v>43</v>
      </c>
      <c r="L159" s="361">
        <f ca="1">MAX(Table10[[#This Row],[HH]]*VLOOKUP("Winter Items Other ",NFI,6)-Table10[[#This Row],[Winter Items Other ]],0)</f>
        <v>43</v>
      </c>
      <c r="M159" s="394" t="str">
        <f>IF(OR(Table10[[#This Row],[Winter Clothes Adult ]]&lt;&gt;0,Table10[[#This Row],[Winter Clothes Children ]]&lt;&gt;0,Table10[[#This Row],[Winter Items Other ]]&lt;&gt;0),"No","")</f>
        <v/>
      </c>
      <c r="N159" s="395">
        <f>COUNTIF(A:A,Table10[[#This Row],[Pcode]])-1</f>
        <v>0</v>
      </c>
    </row>
    <row r="160" spans="1:14" x14ac:dyDescent="0.25">
      <c r="A160" s="320" t="s">
        <v>348</v>
      </c>
      <c r="B160" s="26" t="str">
        <f ca="1">OFFSET(CampList[Priority],MATCH(Table10[[#This Row],[Pcode]],CampList[CP_Pcode],0)-1,0,1,1)</f>
        <v>P4</v>
      </c>
      <c r="C160" s="26" t="str">
        <f ca="1">OFFSET(CampList[Camp],MATCH(Table10[[#This Row],[Pcode]],CampList[CP_Pcode],0)-1,0,1,1)</f>
        <v>Thargaya Lisu Baptist Church</v>
      </c>
      <c r="D160" s="26" t="str">
        <f ca="1">OFFSET(CampList[Township],MATCH(Table10[[#This Row],[Pcode]],CampList[CP_Pcode],0)-1,0,1,1)</f>
        <v>Waingmaw</v>
      </c>
      <c r="E160" s="361">
        <f ca="1">OFFSET(CampList[HH],MATCH(Table10[[#This Row],[Pcode]],CampList[CP_Pcode],0)-1,0,1,1)</f>
        <v>44</v>
      </c>
      <c r="F160" s="361">
        <f ca="1">OFFSET(CampList[Total],MATCH(Table10[[#This Row],[Pcode]],CampList[CP_Pcode],0)-1,0,1,1)</f>
        <v>182</v>
      </c>
      <c r="G160" s="361">
        <f>SUMIF('NFI Tracking'!AO$11:AO$1048576,Table10[[#This Row],[Pcode]],'NFI Tracking'!AI$11:AI$1048576)</f>
        <v>0</v>
      </c>
      <c r="H160" s="361">
        <f>SUMIF('NFI Tracking'!AO$11:AO$1048576,Table10[[#This Row],[Pcode]],'NFI Tracking'!AJ$11:AJ$1048576)</f>
        <v>0</v>
      </c>
      <c r="I160" s="361">
        <f>SUMIF('NFI Tracking'!AO$11:AO$1048576,Table10[[#This Row],[Pcode]],'NFI Tracking'!AK$11:AK$1048576)</f>
        <v>0</v>
      </c>
      <c r="J160" s="361">
        <f ca="1">MAX(Table10[[#This Row],[HH]]*VLOOKUP("Winter Clothes Adult",NFI,6)-Table10[[#This Row],[Winter Clothes Adult ]],0)</f>
        <v>88</v>
      </c>
      <c r="K160" s="361">
        <f ca="1">MAX(Table10[[#This Row],[HH]]*VLOOKUP("Winter Clothes Children ",NFI,6)-Table10[[#This Row],[Winter Clothes Children ]],0)</f>
        <v>44</v>
      </c>
      <c r="L160" s="361">
        <f ca="1">MAX(Table10[[#This Row],[HH]]*VLOOKUP("Winter Items Other ",NFI,6)-Table10[[#This Row],[Winter Items Other ]],0)</f>
        <v>44</v>
      </c>
      <c r="M160" s="394" t="str">
        <f>IF(OR(Table10[[#This Row],[Winter Clothes Adult ]]&lt;&gt;0,Table10[[#This Row],[Winter Clothes Children ]]&lt;&gt;0,Table10[[#This Row],[Winter Items Other ]]&lt;&gt;0),"No","")</f>
        <v/>
      </c>
      <c r="N160" s="395">
        <f>COUNTIF(A:A,Table10[[#This Row],[Pcode]])-1</f>
        <v>0</v>
      </c>
    </row>
    <row r="161" spans="1:14" x14ac:dyDescent="0.25">
      <c r="A161" s="320" t="s">
        <v>1021</v>
      </c>
      <c r="B161" s="26" t="str">
        <f ca="1">OFFSET(CampList[Priority],MATCH(Table10[[#This Row],[Pcode]],CampList[CP_Pcode],0)-1,0,1,1)</f>
        <v>P4</v>
      </c>
      <c r="C161" s="26" t="str">
        <f ca="1">OFFSET(CampList[Camp],MATCH(Table10[[#This Row],[Pcode]],CampList[CP_Pcode],0)-1,0,1,1)</f>
        <v>Tharthana Ahlin Yaung New Monastery</v>
      </c>
      <c r="D161" s="26" t="str">
        <f ca="1">OFFSET(CampList[Township],MATCH(Table10[[#This Row],[Pcode]],CampList[CP_Pcode],0)-1,0,1,1)</f>
        <v>Bhamo</v>
      </c>
      <c r="E161" s="361">
        <f ca="1">OFFSET(CampList[HH],MATCH(Table10[[#This Row],[Pcode]],CampList[CP_Pcode],0)-1,0,1,1)</f>
        <v>0</v>
      </c>
      <c r="F161" s="361">
        <f ca="1">OFFSET(CampList[Total],MATCH(Table10[[#This Row],[Pcode]],CampList[CP_Pcode],0)-1,0,1,1)</f>
        <v>0</v>
      </c>
      <c r="G161" s="361">
        <f>SUMIF('NFI Tracking'!AO$11:AO$1048576,Table10[[#This Row],[Pcode]],'NFI Tracking'!AI$11:AI$1048576)</f>
        <v>0</v>
      </c>
      <c r="H161" s="361">
        <f>SUMIF('NFI Tracking'!AO$11:AO$1048576,Table10[[#This Row],[Pcode]],'NFI Tracking'!AJ$11:AJ$1048576)</f>
        <v>0</v>
      </c>
      <c r="I161" s="361">
        <f>SUMIF('NFI Tracking'!AO$11:AO$1048576,Table10[[#This Row],[Pcode]],'NFI Tracking'!AK$11:AK$1048576)</f>
        <v>0</v>
      </c>
      <c r="J161" s="361">
        <f ca="1">MAX(Table10[[#This Row],[HH]]*VLOOKUP("Winter Clothes Adult",NFI,6)-Table10[[#This Row],[Winter Clothes Adult ]],0)</f>
        <v>0</v>
      </c>
      <c r="K161" s="361">
        <f ca="1">MAX(Table10[[#This Row],[HH]]*VLOOKUP("Winter Clothes Children ",NFI,6)-Table10[[#This Row],[Winter Clothes Children ]],0)</f>
        <v>0</v>
      </c>
      <c r="L161" s="361">
        <f ca="1">MAX(Table10[[#This Row],[HH]]*VLOOKUP("Winter Items Other ",NFI,6)-Table10[[#This Row],[Winter Items Other ]],0)</f>
        <v>0</v>
      </c>
      <c r="M161" s="394" t="str">
        <f>IF(OR(Table10[[#This Row],[Winter Clothes Adult ]]&lt;&gt;0,Table10[[#This Row],[Winter Clothes Children ]]&lt;&gt;0,Table10[[#This Row],[Winter Items Other ]]&lt;&gt;0),"No","")</f>
        <v/>
      </c>
      <c r="N161" s="395">
        <f>COUNTIF(A:A,Table10[[#This Row],[Pcode]])-1</f>
        <v>0</v>
      </c>
    </row>
    <row r="162" spans="1:14" x14ac:dyDescent="0.25">
      <c r="A162" s="320" t="s">
        <v>315</v>
      </c>
      <c r="B162" s="26" t="str">
        <f ca="1">OFFSET(CampList[Priority],MATCH(Table10[[#This Row],[Pcode]],CampList[CP_Pcode],0)-1,0,1,1)</f>
        <v>P4</v>
      </c>
      <c r="C162" s="26" t="str">
        <f ca="1">OFFSET(CampList[Camp],MATCH(Table10[[#This Row],[Pcode]],CampList[CP_Pcode],0)-1,0,1,1)</f>
        <v>Waingmaw AG Church</v>
      </c>
      <c r="D162" s="26" t="str">
        <f ca="1">OFFSET(CampList[Township],MATCH(Table10[[#This Row],[Pcode]],CampList[CP_Pcode],0)-1,0,1,1)</f>
        <v>Waingmaw</v>
      </c>
      <c r="E162" s="361">
        <f ca="1">OFFSET(CampList[HH],MATCH(Table10[[#This Row],[Pcode]],CampList[CP_Pcode],0)-1,0,1,1)</f>
        <v>70</v>
      </c>
      <c r="F162" s="361">
        <f ca="1">OFFSET(CampList[Total],MATCH(Table10[[#This Row],[Pcode]],CampList[CP_Pcode],0)-1,0,1,1)</f>
        <v>278</v>
      </c>
      <c r="G162" s="361">
        <f>SUMIF('NFI Tracking'!AO$11:AO$1048576,Table10[[#This Row],[Pcode]],'NFI Tracking'!AI$11:AI$1048576)</f>
        <v>0</v>
      </c>
      <c r="H162" s="361">
        <f>SUMIF('NFI Tracking'!AO$11:AO$1048576,Table10[[#This Row],[Pcode]],'NFI Tracking'!AJ$11:AJ$1048576)</f>
        <v>0</v>
      </c>
      <c r="I162" s="361">
        <f>SUMIF('NFI Tracking'!AO$11:AO$1048576,Table10[[#This Row],[Pcode]],'NFI Tracking'!AK$11:AK$1048576)</f>
        <v>0</v>
      </c>
      <c r="J162" s="361">
        <f ca="1">MAX(Table10[[#This Row],[HH]]*VLOOKUP("Winter Clothes Adult",NFI,6)-Table10[[#This Row],[Winter Clothes Adult ]],0)</f>
        <v>140</v>
      </c>
      <c r="K162" s="361">
        <f ca="1">MAX(Table10[[#This Row],[HH]]*VLOOKUP("Winter Clothes Children ",NFI,6)-Table10[[#This Row],[Winter Clothes Children ]],0)</f>
        <v>70</v>
      </c>
      <c r="L162" s="361">
        <f ca="1">MAX(Table10[[#This Row],[HH]]*VLOOKUP("Winter Items Other ",NFI,6)-Table10[[#This Row],[Winter Items Other ]],0)</f>
        <v>70</v>
      </c>
      <c r="M162" s="394" t="str">
        <f>IF(OR(Table10[[#This Row],[Winter Clothes Adult ]]&lt;&gt;0,Table10[[#This Row],[Winter Clothes Children ]]&lt;&gt;0,Table10[[#This Row],[Winter Items Other ]]&lt;&gt;0),"No","")</f>
        <v/>
      </c>
      <c r="N162" s="395">
        <f>COUNTIF(A:A,Table10[[#This Row],[Pcode]])-1</f>
        <v>0</v>
      </c>
    </row>
    <row r="163" spans="1:14" x14ac:dyDescent="0.25">
      <c r="A163" s="320" t="s">
        <v>309</v>
      </c>
      <c r="B163" s="26" t="str">
        <f ca="1">OFFSET(CampList[Priority],MATCH(Table10[[#This Row],[Pcode]],CampList[CP_Pcode],0)-1,0,1,1)</f>
        <v>P4</v>
      </c>
      <c r="C163" s="26" t="str">
        <f ca="1">OFFSET(CampList[Camp],MATCH(Table10[[#This Row],[Pcode]],CampList[CP_Pcode],0)-1,0,1,1)</f>
        <v>Waingmaw Baptist Zonal Office</v>
      </c>
      <c r="D163" s="26" t="str">
        <f ca="1">OFFSET(CampList[Township],MATCH(Table10[[#This Row],[Pcode]],CampList[CP_Pcode],0)-1,0,1,1)</f>
        <v>Waingmaw</v>
      </c>
      <c r="E163" s="361">
        <f ca="1">OFFSET(CampList[HH],MATCH(Table10[[#This Row],[Pcode]],CampList[CP_Pcode],0)-1,0,1,1)</f>
        <v>0</v>
      </c>
      <c r="F163" s="361">
        <f ca="1">OFFSET(CampList[Total],MATCH(Table10[[#This Row],[Pcode]],CampList[CP_Pcode],0)-1,0,1,1)</f>
        <v>0</v>
      </c>
      <c r="G163" s="361">
        <f>SUMIF('NFI Tracking'!AO$11:AO$1048576,Table10[[#This Row],[Pcode]],'NFI Tracking'!AI$11:AI$1048576)</f>
        <v>0</v>
      </c>
      <c r="H163" s="361">
        <f>SUMIF('NFI Tracking'!AO$11:AO$1048576,Table10[[#This Row],[Pcode]],'NFI Tracking'!AJ$11:AJ$1048576)</f>
        <v>0</v>
      </c>
      <c r="I163" s="361">
        <f>SUMIF('NFI Tracking'!AO$11:AO$1048576,Table10[[#This Row],[Pcode]],'NFI Tracking'!AK$11:AK$1048576)</f>
        <v>0</v>
      </c>
      <c r="J163" s="361">
        <f ca="1">MAX(Table10[[#This Row],[HH]]*VLOOKUP("Winter Clothes Adult",NFI,6)-Table10[[#This Row],[Winter Clothes Adult ]],0)</f>
        <v>0</v>
      </c>
      <c r="K163" s="361">
        <f ca="1">MAX(Table10[[#This Row],[HH]]*VLOOKUP("Winter Clothes Children ",NFI,6)-Table10[[#This Row],[Winter Clothes Children ]],0)</f>
        <v>0</v>
      </c>
      <c r="L163" s="361">
        <f ca="1">MAX(Table10[[#This Row],[HH]]*VLOOKUP("Winter Items Other ",NFI,6)-Table10[[#This Row],[Winter Items Other ]],0)</f>
        <v>0</v>
      </c>
      <c r="M163" s="394" t="str">
        <f>IF(OR(Table10[[#This Row],[Winter Clothes Adult ]]&lt;&gt;0,Table10[[#This Row],[Winter Clothes Children ]]&lt;&gt;0,Table10[[#This Row],[Winter Items Other ]]&lt;&gt;0),"No","")</f>
        <v/>
      </c>
      <c r="N163" s="395">
        <f>COUNTIF(A:A,Table10[[#This Row],[Pcode]])-1</f>
        <v>0</v>
      </c>
    </row>
    <row r="164" spans="1:14" x14ac:dyDescent="0.25">
      <c r="A164" s="320" t="s">
        <v>125</v>
      </c>
      <c r="B164" s="26" t="str">
        <f ca="1">OFFSET(CampList[Priority],MATCH(Table10[[#This Row],[Pcode]],CampList[CP_Pcode],0)-1,0,1,1)</f>
        <v>P4</v>
      </c>
      <c r="C164" s="26" t="str">
        <f ca="1">OFFSET(CampList[Camp],MATCH(Table10[[#This Row],[Pcode]],CampList[CP_Pcode],0)-1,0,1,1)</f>
        <v xml:space="preserve">Ward 2 Sai Taung Baptist Church, Seik Mu </v>
      </c>
      <c r="D164" s="26" t="str">
        <f ca="1">OFFSET(CampList[Township],MATCH(Table10[[#This Row],[Pcode]],CampList[CP_Pcode],0)-1,0,1,1)</f>
        <v>Hpakant</v>
      </c>
      <c r="E164" s="361">
        <f ca="1">OFFSET(CampList[HH],MATCH(Table10[[#This Row],[Pcode]],CampList[CP_Pcode],0)-1,0,1,1)</f>
        <v>35</v>
      </c>
      <c r="F164" s="361">
        <f ca="1">OFFSET(CampList[Total],MATCH(Table10[[#This Row],[Pcode]],CampList[CP_Pcode],0)-1,0,1,1)</f>
        <v>173</v>
      </c>
      <c r="G164" s="361">
        <f>SUMIF('NFI Tracking'!AO$11:AO$1048576,Table10[[#This Row],[Pcode]],'NFI Tracking'!AI$11:AI$1048576)</f>
        <v>0</v>
      </c>
      <c r="H164" s="361">
        <f>SUMIF('NFI Tracking'!AO$11:AO$1048576,Table10[[#This Row],[Pcode]],'NFI Tracking'!AJ$11:AJ$1048576)</f>
        <v>0</v>
      </c>
      <c r="I164" s="361">
        <f>SUMIF('NFI Tracking'!AO$11:AO$1048576,Table10[[#This Row],[Pcode]],'NFI Tracking'!AK$11:AK$1048576)</f>
        <v>0</v>
      </c>
      <c r="J164" s="361">
        <f ca="1">MAX(Table10[[#This Row],[HH]]*VLOOKUP("Winter Clothes Adult",NFI,6)-Table10[[#This Row],[Winter Clothes Adult ]],0)</f>
        <v>70</v>
      </c>
      <c r="K164" s="361">
        <f ca="1">MAX(Table10[[#This Row],[HH]]*VLOOKUP("Winter Clothes Children ",NFI,6)-Table10[[#This Row],[Winter Clothes Children ]],0)</f>
        <v>35</v>
      </c>
      <c r="L164" s="361">
        <f ca="1">MAX(Table10[[#This Row],[HH]]*VLOOKUP("Winter Items Other ",NFI,6)-Table10[[#This Row],[Winter Items Other ]],0)</f>
        <v>35</v>
      </c>
      <c r="M164" s="394" t="str">
        <f>IF(OR(Table10[[#This Row],[Winter Clothes Adult ]]&lt;&gt;0,Table10[[#This Row],[Winter Clothes Children ]]&lt;&gt;0,Table10[[#This Row],[Winter Items Other ]]&lt;&gt;0),"No","")</f>
        <v/>
      </c>
      <c r="N164" s="395">
        <f>COUNTIF(A:A,Table10[[#This Row],[Pcode]])-1</f>
        <v>0</v>
      </c>
    </row>
    <row r="165" spans="1:14" x14ac:dyDescent="0.25">
      <c r="A165" s="320" t="s">
        <v>352</v>
      </c>
      <c r="B165" s="26" t="str">
        <f ca="1">OFFSET(CampList[Priority],MATCH(Table10[[#This Row],[Pcode]],CampList[CP_Pcode],0)-1,0,1,1)</f>
        <v>P4</v>
      </c>
      <c r="C165" s="26" t="str">
        <f ca="1">OFFSET(CampList[Camp],MATCH(Table10[[#This Row],[Pcode]],CampList[CP_Pcode],0)-1,0,1,1)</f>
        <v xml:space="preserve">Woi Chyai </v>
      </c>
      <c r="D165" s="26" t="str">
        <f ca="1">OFFSET(CampList[Township],MATCH(Table10[[#This Row],[Pcode]],CampList[CP_Pcode],0)-1,0,1,1)</f>
        <v>Waingmaw</v>
      </c>
      <c r="E165" s="361">
        <f ca="1">OFFSET(CampList[HH],MATCH(Table10[[#This Row],[Pcode]],CampList[CP_Pcode],0)-1,0,1,1)</f>
        <v>1354</v>
      </c>
      <c r="F165" s="361">
        <f ca="1">OFFSET(CampList[Total],MATCH(Table10[[#This Row],[Pcode]],CampList[CP_Pcode],0)-1,0,1,1)</f>
        <v>6602</v>
      </c>
      <c r="G165" s="361">
        <f>SUMIF('NFI Tracking'!AO$11:AO$1048576,Table10[[#This Row],[Pcode]],'NFI Tracking'!AI$11:AI$1048576)</f>
        <v>0</v>
      </c>
      <c r="H165" s="361">
        <f>SUMIF('NFI Tracking'!AO$11:AO$1048576,Table10[[#This Row],[Pcode]],'NFI Tracking'!AJ$11:AJ$1048576)</f>
        <v>0</v>
      </c>
      <c r="I165" s="361">
        <f>SUMIF('NFI Tracking'!AO$11:AO$1048576,Table10[[#This Row],[Pcode]],'NFI Tracking'!AK$11:AK$1048576)</f>
        <v>0</v>
      </c>
      <c r="J165" s="361">
        <f ca="1">MAX(Table10[[#This Row],[HH]]*VLOOKUP("Winter Clothes Adult",NFI,6)-Table10[[#This Row],[Winter Clothes Adult ]],0)</f>
        <v>2708</v>
      </c>
      <c r="K165" s="361">
        <f ca="1">MAX(Table10[[#This Row],[HH]]*VLOOKUP("Winter Clothes Children ",NFI,6)-Table10[[#This Row],[Winter Clothes Children ]],0)</f>
        <v>1354</v>
      </c>
      <c r="L165" s="361">
        <f ca="1">MAX(Table10[[#This Row],[HH]]*VLOOKUP("Winter Items Other ",NFI,6)-Table10[[#This Row],[Winter Items Other ]],0)</f>
        <v>1354</v>
      </c>
      <c r="M165" s="394" t="str">
        <f>IF(OR(Table10[[#This Row],[Winter Clothes Adult ]]&lt;&gt;0,Table10[[#This Row],[Winter Clothes Children ]]&lt;&gt;0,Table10[[#This Row],[Winter Items Other ]]&lt;&gt;0),"No","")</f>
        <v/>
      </c>
      <c r="N165" s="395">
        <f>COUNTIF(A:A,Table10[[#This Row],[Pcode]])-1</f>
        <v>0</v>
      </c>
    </row>
    <row r="166" spans="1:14" x14ac:dyDescent="0.25">
      <c r="A166" s="320" t="s">
        <v>282</v>
      </c>
      <c r="B166" s="26" t="str">
        <f ca="1">OFFSET(CampList[Priority],MATCH(Table10[[#This Row],[Pcode]],CampList[CP_Pcode],0)-1,0,1,1)</f>
        <v>P4</v>
      </c>
      <c r="C166" s="26" t="str">
        <f ca="1">OFFSET(CampList[Camp],MATCH(Table10[[#This Row],[Pcode]],CampList[CP_Pcode],0)-1,0,1,1)</f>
        <v>Wun Tho Buddhist Monastery</v>
      </c>
      <c r="D166" s="26" t="str">
        <f ca="1">OFFSET(CampList[Township],MATCH(Table10[[#This Row],[Pcode]],CampList[CP_Pcode],0)-1,0,1,1)</f>
        <v>Myitkyina</v>
      </c>
      <c r="E166" s="361">
        <f ca="1">OFFSET(CampList[HH],MATCH(Table10[[#This Row],[Pcode]],CampList[CP_Pcode],0)-1,0,1,1)</f>
        <v>7</v>
      </c>
      <c r="F166" s="361">
        <f ca="1">OFFSET(CampList[Total],MATCH(Table10[[#This Row],[Pcode]],CampList[CP_Pcode],0)-1,0,1,1)</f>
        <v>37</v>
      </c>
      <c r="G166" s="361">
        <f>SUMIF('NFI Tracking'!AO$11:AO$1048576,Table10[[#This Row],[Pcode]],'NFI Tracking'!AI$11:AI$1048576)</f>
        <v>0</v>
      </c>
      <c r="H166" s="361">
        <f>SUMIF('NFI Tracking'!AO$11:AO$1048576,Table10[[#This Row],[Pcode]],'NFI Tracking'!AJ$11:AJ$1048576)</f>
        <v>0</v>
      </c>
      <c r="I166" s="361">
        <f>SUMIF('NFI Tracking'!AO$11:AO$1048576,Table10[[#This Row],[Pcode]],'NFI Tracking'!AK$11:AK$1048576)</f>
        <v>0</v>
      </c>
      <c r="J166" s="361">
        <f ca="1">MAX(Table10[[#This Row],[HH]]*VLOOKUP("Winter Clothes Adult",NFI,6)-Table10[[#This Row],[Winter Clothes Adult ]],0)</f>
        <v>14</v>
      </c>
      <c r="K166" s="361">
        <f ca="1">MAX(Table10[[#This Row],[HH]]*VLOOKUP("Winter Clothes Children ",NFI,6)-Table10[[#This Row],[Winter Clothes Children ]],0)</f>
        <v>7</v>
      </c>
      <c r="L166" s="361">
        <f ca="1">MAX(Table10[[#This Row],[HH]]*VLOOKUP("Winter Items Other ",NFI,6)-Table10[[#This Row],[Winter Items Other ]],0)</f>
        <v>7</v>
      </c>
      <c r="M166" s="394" t="str">
        <f>IF(OR(Table10[[#This Row],[Winter Clothes Adult ]]&lt;&gt;0,Table10[[#This Row],[Winter Clothes Children ]]&lt;&gt;0,Table10[[#This Row],[Winter Items Other ]]&lt;&gt;0),"No","")</f>
        <v/>
      </c>
      <c r="N166" s="395">
        <f>COUNTIF(A:A,Table10[[#This Row],[Pcode]])-1</f>
        <v>0</v>
      </c>
    </row>
    <row r="167" spans="1:14" x14ac:dyDescent="0.25">
      <c r="A167" s="320" t="s">
        <v>25</v>
      </c>
      <c r="B167" s="26" t="str">
        <f ca="1">OFFSET(CampList[Priority],MATCH(Table10[[#This Row],[Pcode]],CampList[CP_Pcode],0)-1,0,1,1)</f>
        <v>P4</v>
      </c>
      <c r="C167" s="26" t="str">
        <f ca="1">OFFSET(CampList[Camp],MATCH(Table10[[#This Row],[Pcode]],CampList[CP_Pcode],0)-1,0,1,1)</f>
        <v>Yoe Kyi Monastery</v>
      </c>
      <c r="D167" s="26" t="str">
        <f ca="1">OFFSET(CampList[Township],MATCH(Table10[[#This Row],[Pcode]],CampList[CP_Pcode],0)-1,0,1,1)</f>
        <v>Bhamo</v>
      </c>
      <c r="E167" s="361">
        <f ca="1">OFFSET(CampList[HH],MATCH(Table10[[#This Row],[Pcode]],CampList[CP_Pcode],0)-1,0,1,1)</f>
        <v>15</v>
      </c>
      <c r="F167" s="361">
        <f ca="1">OFFSET(CampList[Total],MATCH(Table10[[#This Row],[Pcode]],CampList[CP_Pcode],0)-1,0,1,1)</f>
        <v>73</v>
      </c>
      <c r="G167" s="361">
        <f>SUMIF('NFI Tracking'!AO$11:AO$1048576,Table10[[#This Row],[Pcode]],'NFI Tracking'!AI$11:AI$1048576)</f>
        <v>0</v>
      </c>
      <c r="H167" s="361">
        <f>SUMIF('NFI Tracking'!AO$11:AO$1048576,Table10[[#This Row],[Pcode]],'NFI Tracking'!AJ$11:AJ$1048576)</f>
        <v>0</v>
      </c>
      <c r="I167" s="361">
        <f>SUMIF('NFI Tracking'!AO$11:AO$1048576,Table10[[#This Row],[Pcode]],'NFI Tracking'!AK$11:AK$1048576)</f>
        <v>0</v>
      </c>
      <c r="J167" s="361">
        <f ca="1">MAX(Table10[[#This Row],[HH]]*VLOOKUP("Winter Clothes Adult",NFI,6)-Table10[[#This Row],[Winter Clothes Adult ]],0)</f>
        <v>30</v>
      </c>
      <c r="K167" s="361">
        <f ca="1">MAX(Table10[[#This Row],[HH]]*VLOOKUP("Winter Clothes Children ",NFI,6)-Table10[[#This Row],[Winter Clothes Children ]],0)</f>
        <v>15</v>
      </c>
      <c r="L167" s="361">
        <f ca="1">MAX(Table10[[#This Row],[HH]]*VLOOKUP("Winter Items Other ",NFI,6)-Table10[[#This Row],[Winter Items Other ]],0)</f>
        <v>15</v>
      </c>
      <c r="M167" s="394" t="str">
        <f>IF(OR(Table10[[#This Row],[Winter Clothes Adult ]]&lt;&gt;0,Table10[[#This Row],[Winter Clothes Children ]]&lt;&gt;0,Table10[[#This Row],[Winter Items Other ]]&lt;&gt;0),"No","")</f>
        <v/>
      </c>
      <c r="N167" s="395">
        <f>COUNTIF(A:A,Table10[[#This Row],[Pcode]])-1</f>
        <v>0</v>
      </c>
    </row>
    <row r="168" spans="1:14" x14ac:dyDescent="0.25">
      <c r="A168" s="318" t="s">
        <v>139</v>
      </c>
      <c r="B168" s="364" t="str">
        <f ca="1">OFFSET(CampList[Priority],MATCH(Table10[[#This Row],[Pcode]],CampList[CP_Pcode],0)-1,0,1,1)</f>
        <v>P4</v>
      </c>
      <c r="C168" s="364" t="str">
        <f ca="1">OFFSET(CampList[Camp],MATCH(Table10[[#This Row],[Pcode]],CampList[CP_Pcode],0)-1,0,1,1)</f>
        <v>Yumar Baptist Church</v>
      </c>
      <c r="D168" s="364" t="str">
        <f ca="1">OFFSET(CampList[Township],MATCH(Table10[[#This Row],[Pcode]],CampList[CP_Pcode],0)-1,0,1,1)</f>
        <v>Hpakant</v>
      </c>
      <c r="E168" s="396">
        <f ca="1">OFFSET(CampList[HH],MATCH(Table10[[#This Row],[Pcode]],CampList[CP_Pcode],0)-1,0,1,1)</f>
        <v>19</v>
      </c>
      <c r="F168" s="396">
        <f ca="1">OFFSET(CampList[Total],MATCH(Table10[[#This Row],[Pcode]],CampList[CP_Pcode],0)-1,0,1,1)</f>
        <v>72</v>
      </c>
      <c r="G168" s="396">
        <f>SUMIF('NFI Tracking'!AO$11:AO$1048576,Table10[[#This Row],[Pcode]],'NFI Tracking'!AI$11:AI$1048576)</f>
        <v>0</v>
      </c>
      <c r="H168" s="396">
        <f>SUMIF('NFI Tracking'!AO$11:AO$1048576,Table10[[#This Row],[Pcode]],'NFI Tracking'!AJ$11:AJ$1048576)</f>
        <v>0</v>
      </c>
      <c r="I168" s="396">
        <f>SUMIF('NFI Tracking'!AO$11:AO$1048576,Table10[[#This Row],[Pcode]],'NFI Tracking'!AK$11:AK$1048576)</f>
        <v>0</v>
      </c>
      <c r="J168" s="396">
        <f ca="1">MAX(Table10[[#This Row],[HH]]*VLOOKUP("Winter Clothes Adult",NFI,6)-Table10[[#This Row],[Winter Clothes Adult ]],0)</f>
        <v>38</v>
      </c>
      <c r="K168" s="396">
        <f ca="1">MAX(Table10[[#This Row],[HH]]*VLOOKUP("Winter Clothes Children ",NFI,6)-Table10[[#This Row],[Winter Clothes Children ]],0)</f>
        <v>19</v>
      </c>
      <c r="L168" s="396">
        <f ca="1">MAX(Table10[[#This Row],[HH]]*VLOOKUP("Winter Items Other ",NFI,6)-Table10[[#This Row],[Winter Items Other ]],0)</f>
        <v>19</v>
      </c>
      <c r="M168" s="397" t="str">
        <f>IF(OR(Table10[[#This Row],[Winter Clothes Adult ]]&lt;&gt;0,Table10[[#This Row],[Winter Clothes Children ]]&lt;&gt;0,Table10[[#This Row],[Winter Items Other ]]&lt;&gt;0),"No","")</f>
        <v/>
      </c>
      <c r="N168" s="398">
        <f>COUNTIF(A:A,Table10[[#This Row],[Pcode]])-1</f>
        <v>0</v>
      </c>
    </row>
  </sheetData>
  <printOptions horizontalCentered="1"/>
  <pageMargins left="0" right="0" top="0" bottom="0" header="0.3" footer="0.3"/>
  <pageSetup paperSize="9" orientation="landscape" r:id="rId2"/>
  <tableParts count="1">
    <tablePart r:id="rId3"/>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FF0000"/>
  </sheetPr>
  <dimension ref="A1:BE252"/>
  <sheetViews>
    <sheetView showZeros="0" zoomScale="85" zoomScaleNormal="85" workbookViewId="0">
      <pane xSplit="1" ySplit="4" topLeftCell="B5" activePane="bottomRight" state="frozen"/>
      <selection activeCell="AS915" sqref="AS915"/>
      <selection pane="topRight" activeCell="AS915" sqref="AS915"/>
      <selection pane="bottomLeft" activeCell="AS915" sqref="AS915"/>
      <selection pane="bottomRight" activeCell="E41" sqref="E41"/>
    </sheetView>
  </sheetViews>
  <sheetFormatPr defaultColWidth="8.85546875" defaultRowHeight="15.6" customHeight="1" x14ac:dyDescent="0.25"/>
  <cols>
    <col min="1" max="1" width="14" style="830" customWidth="1"/>
    <col min="2" max="2" width="10.28515625" style="830" customWidth="1"/>
    <col min="3" max="3" width="9.28515625" style="712" customWidth="1"/>
    <col min="4" max="4" width="10.5703125" style="712" customWidth="1"/>
    <col min="5" max="5" width="13.85546875" style="712" customWidth="1"/>
    <col min="6" max="6" width="15.7109375" style="712" customWidth="1"/>
    <col min="7" max="7" width="19.28515625" style="712" customWidth="1"/>
    <col min="8" max="8" width="33.7109375" style="712" customWidth="1"/>
    <col min="9" max="10" width="19.28515625" style="712" customWidth="1"/>
    <col min="11" max="11" width="22.28515625" style="712" customWidth="1"/>
    <col min="12" max="12" width="38.85546875" style="831" customWidth="1"/>
    <col min="13" max="13" width="17.42578125" style="712" customWidth="1"/>
    <col min="14" max="15" width="13.7109375" style="715" customWidth="1"/>
    <col min="16" max="16" width="6.42578125" style="715" customWidth="1"/>
    <col min="17" max="17" width="8" style="713" customWidth="1"/>
    <col min="18" max="18" width="6.42578125" style="714" customWidth="1"/>
    <col min="19" max="19" width="11.5703125" style="858" customWidth="1"/>
    <col min="20" max="20" width="9.140625" style="706" customWidth="1"/>
    <col min="21" max="21" width="14.42578125" style="522" customWidth="1"/>
    <col min="22" max="22" width="24.140625" style="706" customWidth="1"/>
    <col min="23" max="23" width="18.7109375" style="706" customWidth="1"/>
    <col min="24" max="24" width="16.28515625" style="927" customWidth="1"/>
    <col min="25" max="25" width="11.42578125" style="928" customWidth="1"/>
    <col min="26" max="26" width="10.28515625" style="928" customWidth="1"/>
    <col min="27" max="27" width="7" style="715" customWidth="1"/>
    <col min="28" max="28" width="9.28515625" style="127" customWidth="1"/>
    <col min="29" max="29" width="12.42578125" style="715" customWidth="1"/>
    <col min="30" max="30" width="18.42578125" style="715" customWidth="1"/>
    <col min="31" max="31" width="9.7109375" style="706" customWidth="1"/>
    <col min="32" max="32" width="11.5703125" style="706" customWidth="1"/>
    <col min="33" max="33" width="17.7109375" style="706" customWidth="1"/>
    <col min="34" max="34" width="14.28515625" style="715" customWidth="1"/>
    <col min="35" max="35" width="16.7109375" style="706" customWidth="1"/>
    <col min="36" max="36" width="12.5703125" style="939" customWidth="1"/>
    <col min="37" max="37" width="11.140625" style="715" customWidth="1"/>
    <col min="38" max="40" width="9.140625" style="45"/>
    <col min="41" max="50" width="8.85546875" style="662"/>
    <col min="51" max="52" width="9.140625" style="2" customWidth="1"/>
    <col min="53" max="16384" width="8.85546875" style="662"/>
  </cols>
  <sheetData>
    <row r="1" spans="1:57" s="658" customFormat="1" ht="41.45" customHeight="1" x14ac:dyDescent="0.25">
      <c r="A1" s="815"/>
      <c r="B1" s="717"/>
      <c r="C1" s="717"/>
      <c r="D1" s="717"/>
      <c r="E1" s="717"/>
      <c r="F1" s="717"/>
      <c r="G1" s="717"/>
      <c r="H1" s="717"/>
      <c r="I1" s="717"/>
      <c r="J1" s="717"/>
      <c r="K1" s="717"/>
      <c r="L1" s="720"/>
      <c r="M1" s="717"/>
      <c r="N1" s="833"/>
      <c r="O1" s="833"/>
      <c r="P1" s="833"/>
      <c r="Q1" s="833"/>
      <c r="R1" s="833"/>
      <c r="S1" s="833"/>
      <c r="T1" s="716"/>
      <c r="U1" s="716"/>
      <c r="V1" s="716"/>
      <c r="W1" s="716"/>
      <c r="X1" s="863"/>
      <c r="Y1" s="864"/>
      <c r="Z1" s="864"/>
      <c r="AA1" s="833"/>
      <c r="AB1" s="718"/>
      <c r="AC1" s="833"/>
      <c r="AD1" s="865"/>
      <c r="AE1" s="929"/>
      <c r="AF1" s="929"/>
      <c r="AG1" s="929"/>
      <c r="AH1" s="865"/>
      <c r="AI1" s="929"/>
      <c r="AJ1" s="930"/>
      <c r="AK1" s="951"/>
      <c r="AL1" s="546"/>
      <c r="AM1" s="546"/>
      <c r="AN1" s="546"/>
      <c r="AX1" s="56"/>
      <c r="AY1" s="56"/>
    </row>
    <row r="2" spans="1:57" s="658" customFormat="1" ht="15.6" customHeight="1" x14ac:dyDescent="0.25">
      <c r="A2" s="942" t="s">
        <v>420</v>
      </c>
      <c r="B2" s="727"/>
      <c r="C2" s="727"/>
      <c r="D2" s="720"/>
      <c r="E2" s="720"/>
      <c r="F2" s="720"/>
      <c r="G2" s="720"/>
      <c r="H2" s="720"/>
      <c r="I2" s="720"/>
      <c r="J2" s="720"/>
      <c r="K2" s="720"/>
      <c r="L2" s="720"/>
      <c r="M2" s="720"/>
      <c r="N2" s="834"/>
      <c r="O2" s="834"/>
      <c r="P2" s="834"/>
      <c r="Q2" s="835"/>
      <c r="R2" s="835"/>
      <c r="S2" s="835"/>
      <c r="T2" s="719"/>
      <c r="U2" s="719"/>
      <c r="V2" s="719"/>
      <c r="W2" s="719"/>
      <c r="X2" s="866"/>
      <c r="Y2" s="867"/>
      <c r="Z2" s="867"/>
      <c r="AA2" s="834"/>
      <c r="AB2" s="721"/>
      <c r="AC2" s="834"/>
      <c r="AD2" s="868"/>
      <c r="AE2" s="931"/>
      <c r="AF2" s="931"/>
      <c r="AG2" s="931"/>
      <c r="AH2" s="868"/>
      <c r="AI2" s="931"/>
      <c r="AJ2" s="932"/>
      <c r="AK2" s="952"/>
      <c r="AL2" s="546"/>
      <c r="AM2" s="546"/>
      <c r="AN2" s="546"/>
      <c r="AV2" s="56"/>
      <c r="AW2" s="56"/>
    </row>
    <row r="3" spans="1:57" s="659" customFormat="1" ht="15.6" customHeight="1" x14ac:dyDescent="0.25">
      <c r="A3" s="1006">
        <f>Definition!B23</f>
        <v>42522</v>
      </c>
      <c r="B3" s="1007"/>
      <c r="C3" s="1007"/>
      <c r="D3" s="723"/>
      <c r="E3" s="723"/>
      <c r="F3" s="723"/>
      <c r="G3" s="723"/>
      <c r="H3" s="723"/>
      <c r="I3" s="723"/>
      <c r="J3" s="723"/>
      <c r="K3" s="723"/>
      <c r="L3" s="720"/>
      <c r="M3" s="723"/>
      <c r="N3" s="836"/>
      <c r="O3" s="836"/>
      <c r="P3" s="836"/>
      <c r="Q3" s="837"/>
      <c r="R3" s="837"/>
      <c r="S3" s="837"/>
      <c r="T3" s="722"/>
      <c r="U3" s="722"/>
      <c r="V3" s="722"/>
      <c r="W3" s="722"/>
      <c r="X3" s="869"/>
      <c r="Y3" s="870"/>
      <c r="Z3" s="870"/>
      <c r="AA3" s="836"/>
      <c r="AB3" s="724"/>
      <c r="AC3" s="836"/>
      <c r="AD3" s="871"/>
      <c r="AE3" s="933"/>
      <c r="AF3" s="933"/>
      <c r="AG3" s="933"/>
      <c r="AH3" s="871"/>
      <c r="AI3" s="933"/>
      <c r="AJ3" s="934"/>
      <c r="AK3" s="953"/>
      <c r="AL3" s="547"/>
      <c r="AM3" s="547"/>
      <c r="AN3" s="547"/>
      <c r="AV3" s="57"/>
      <c r="AW3" s="57"/>
    </row>
    <row r="4" spans="1:57" s="739" customFormat="1" ht="15.6" customHeight="1" thickBot="1" x14ac:dyDescent="0.3">
      <c r="A4" s="816" t="s">
        <v>500</v>
      </c>
      <c r="B4" s="660" t="s">
        <v>396</v>
      </c>
      <c r="C4" s="666" t="s">
        <v>922</v>
      </c>
      <c r="D4" s="817" t="s">
        <v>526</v>
      </c>
      <c r="E4" s="817" t="s">
        <v>923</v>
      </c>
      <c r="F4" s="818" t="s">
        <v>0</v>
      </c>
      <c r="G4" s="660" t="s">
        <v>924</v>
      </c>
      <c r="H4" s="661" t="s">
        <v>925</v>
      </c>
      <c r="I4" s="660" t="s">
        <v>926</v>
      </c>
      <c r="J4" s="661" t="s">
        <v>525</v>
      </c>
      <c r="K4" s="660" t="s">
        <v>927</v>
      </c>
      <c r="L4" s="661" t="s">
        <v>556</v>
      </c>
      <c r="M4" s="660" t="s">
        <v>928</v>
      </c>
      <c r="N4" s="838" t="s">
        <v>1</v>
      </c>
      <c r="O4" s="715" t="s">
        <v>1331</v>
      </c>
      <c r="P4" s="839" t="s">
        <v>854</v>
      </c>
      <c r="Q4" s="963" t="s">
        <v>2</v>
      </c>
      <c r="R4" s="663" t="s">
        <v>3</v>
      </c>
      <c r="S4" s="840" t="s">
        <v>492</v>
      </c>
      <c r="T4" s="731" t="s">
        <v>499</v>
      </c>
      <c r="U4" s="664" t="s">
        <v>1253</v>
      </c>
      <c r="V4" s="731" t="s">
        <v>402</v>
      </c>
      <c r="W4" s="664" t="s">
        <v>855</v>
      </c>
      <c r="X4" s="872" t="s">
        <v>856</v>
      </c>
      <c r="Y4" s="873" t="s">
        <v>930</v>
      </c>
      <c r="Z4" s="839" t="s">
        <v>929</v>
      </c>
      <c r="AA4" s="665" t="s">
        <v>493</v>
      </c>
      <c r="AB4" s="874" t="s">
        <v>494</v>
      </c>
      <c r="AC4" s="875" t="s">
        <v>503</v>
      </c>
      <c r="AD4" s="665" t="s">
        <v>498</v>
      </c>
      <c r="AE4" s="667" t="s">
        <v>1083</v>
      </c>
      <c r="AF4" s="734" t="s">
        <v>1129</v>
      </c>
      <c r="AG4" s="735" t="s">
        <v>1126</v>
      </c>
      <c r="AH4" s="962" t="s">
        <v>1127</v>
      </c>
      <c r="AI4" s="736" t="s">
        <v>1192</v>
      </c>
      <c r="AJ4" s="737" t="s">
        <v>1193</v>
      </c>
      <c r="AK4" s="954" t="s">
        <v>1214</v>
      </c>
      <c r="AL4" s="738"/>
      <c r="AM4" s="738"/>
      <c r="AN4" s="738"/>
      <c r="BC4" s="740"/>
      <c r="BD4" s="740"/>
    </row>
    <row r="5" spans="1:57" s="678" customFormat="1" ht="15.6" hidden="1" customHeight="1" x14ac:dyDescent="0.25">
      <c r="A5" s="819" t="s">
        <v>845</v>
      </c>
      <c r="B5" s="701" t="s">
        <v>380</v>
      </c>
      <c r="C5" s="701" t="s">
        <v>527</v>
      </c>
      <c r="D5" s="701" t="s">
        <v>180</v>
      </c>
      <c r="E5" s="701" t="s">
        <v>528</v>
      </c>
      <c r="F5" s="701" t="s">
        <v>529</v>
      </c>
      <c r="G5" s="701" t="s">
        <v>530</v>
      </c>
      <c r="H5" s="747" t="s">
        <v>614</v>
      </c>
      <c r="I5" s="747" t="s">
        <v>615</v>
      </c>
      <c r="J5" s="747" t="s">
        <v>614</v>
      </c>
      <c r="K5" s="747">
        <v>166773</v>
      </c>
      <c r="L5" s="701" t="s">
        <v>128</v>
      </c>
      <c r="M5" s="701" t="s">
        <v>127</v>
      </c>
      <c r="N5" s="729">
        <v>96.359549999999999</v>
      </c>
      <c r="O5" s="729">
        <v>25.658650000000002</v>
      </c>
      <c r="P5" s="670"/>
      <c r="Q5" s="748">
        <v>0</v>
      </c>
      <c r="R5" s="749">
        <v>0</v>
      </c>
      <c r="S5" s="841" t="str">
        <f>IF(CampList[[#This Row],[HH]]&gt;0,CampList[[#This Row],[Total]]/CampList[[#This Row],[HH]],"NA")</f>
        <v>NA</v>
      </c>
      <c r="T5" s="750" t="s">
        <v>513</v>
      </c>
      <c r="U5" s="703" t="s">
        <v>1194</v>
      </c>
      <c r="V5" s="700" t="s">
        <v>556</v>
      </c>
      <c r="W5" s="703"/>
      <c r="X5" s="876"/>
      <c r="Y5" s="710"/>
      <c r="Z5" s="877"/>
      <c r="AA5" s="751"/>
      <c r="AB5" s="878"/>
      <c r="AC5" s="879"/>
      <c r="AD5" s="880" t="s">
        <v>603</v>
      </c>
      <c r="AE5" s="711" t="s">
        <v>1010</v>
      </c>
      <c r="AF5" s="861">
        <f>IF(CampList[[#This Row],[Type of Accomodation]]="camp",MAX(0,CampList[[#This Row],[HH]]-SUMIF(Table_Shelter[Pcode],CampList[[#This Row],[CP_Pcode]],Table_Shelter[HH Covered])),0)</f>
        <v>0</v>
      </c>
      <c r="AG5" s="700"/>
      <c r="AH5" s="878">
        <f>MIN(CampList[[#This Row],[Shelter Gap]],CampList[[#This Row],[Land Status]])</f>
        <v>0</v>
      </c>
      <c r="AI5" s="700" t="str">
        <f ca="1">IFERROR(OFFSET(DistanceToCamp[Nearest Town],MATCH(CampList[[#This Row],[CP_Pcode]],DistanceToCamp[CP_Pcode],0)-1,0,1,1),"")</f>
        <v/>
      </c>
      <c r="AJ5" s="935" t="str">
        <f ca="1">IFERROR(OFFSET(DistanceToCamp[distance],MATCH(CampList[[#This Row],[CP_Pcode]],DistanceToCamp[CP_Pcode],0)-1,0,1,1),"")</f>
        <v/>
      </c>
      <c r="AK5" s="955" t="str">
        <f ca="1">IFERROR(INT(CampList[[#This Row],[Distance]]/5)+1,"")</f>
        <v/>
      </c>
      <c r="AL5" s="548"/>
      <c r="AM5" s="548"/>
      <c r="AN5" s="548"/>
      <c r="BD5" s="5"/>
      <c r="BE5" s="5"/>
    </row>
    <row r="6" spans="1:57" s="678" customFormat="1" ht="15.6" customHeight="1" x14ac:dyDescent="0.25">
      <c r="A6" s="820" t="s">
        <v>502</v>
      </c>
      <c r="B6" s="216" t="s">
        <v>380</v>
      </c>
      <c r="C6" s="216" t="s">
        <v>527</v>
      </c>
      <c r="D6" s="216" t="s">
        <v>5</v>
      </c>
      <c r="E6" s="216" t="s">
        <v>531</v>
      </c>
      <c r="F6" s="216" t="s">
        <v>5</v>
      </c>
      <c r="G6" s="216" t="s">
        <v>532</v>
      </c>
      <c r="H6" s="669" t="s">
        <v>639</v>
      </c>
      <c r="I6" s="669" t="s">
        <v>640</v>
      </c>
      <c r="J6" s="216"/>
      <c r="K6" s="216"/>
      <c r="L6" s="435" t="s">
        <v>12</v>
      </c>
      <c r="M6" s="216" t="s">
        <v>11</v>
      </c>
      <c r="N6" s="842">
        <v>97.228835000000004</v>
      </c>
      <c r="O6" s="729">
        <v>24.263786</v>
      </c>
      <c r="P6" s="744"/>
      <c r="Q6" s="671">
        <v>211</v>
      </c>
      <c r="R6" s="672">
        <v>989</v>
      </c>
      <c r="S6" s="843">
        <f>IF(CampList[[#This Row],[HH]]&gt;0,CampList[[#This Row],[Total]]/CampList[[#This Row],[HH]],"NA")</f>
        <v>4.6872037914691944</v>
      </c>
      <c r="T6" s="455" t="s">
        <v>513</v>
      </c>
      <c r="U6" s="673" t="s">
        <v>1194</v>
      </c>
      <c r="V6" s="676" t="s">
        <v>12</v>
      </c>
      <c r="W6" s="668" t="s">
        <v>805</v>
      </c>
      <c r="X6" s="898"/>
      <c r="Y6" s="670"/>
      <c r="Z6" s="899"/>
      <c r="AA6" s="683" t="s">
        <v>844</v>
      </c>
      <c r="AB6" s="883"/>
      <c r="AC6" s="914">
        <v>42317</v>
      </c>
      <c r="AD6" s="885" t="s">
        <v>1325</v>
      </c>
      <c r="AE6" s="674" t="s">
        <v>1096</v>
      </c>
      <c r="AF6" s="686">
        <f>IF(CampList[[#This Row],[Type of Accomodation]]="camp",MAX(0,CampList[[#This Row],[HH]]-SUMIF(Table_Shelter[Pcode],CampList[[#This Row],[CP_Pcode]],Table_Shelter[HH Covered])),0)</f>
        <v>0</v>
      </c>
      <c r="AG6" s="668"/>
      <c r="AH6" s="883">
        <f>MIN(CampList[[#This Row],[Shelter Gap]],CampList[[#This Row],[Land Status]])</f>
        <v>0</v>
      </c>
      <c r="AI6" s="668" t="str">
        <f ca="1">IFERROR(OFFSET(DistanceToCamp[Nearest Town],MATCH(CampList[[#This Row],[CP_Pcode]],DistanceToCamp[CP_Pcode],0)-1,0,1,1),"")</f>
        <v>Bhamo Town</v>
      </c>
      <c r="AJ6" s="936">
        <f ca="1">IFERROR(OFFSET(DistanceToCamp[distance],MATCH(CampList[[#This Row],[CP_Pcode]],DistanceToCamp[CP_Pcode],0)-1,0,1,1),"")</f>
        <v>1.1354007641426449</v>
      </c>
      <c r="AK6" s="957">
        <f ca="1">IFERROR(INT(CampList[[#This Row],[Distance]]/5)+1,"")</f>
        <v>1</v>
      </c>
      <c r="AL6" s="548"/>
      <c r="AM6" s="548"/>
      <c r="AN6" s="548"/>
      <c r="BD6" s="5"/>
      <c r="BE6" s="5"/>
    </row>
    <row r="7" spans="1:57" s="678" customFormat="1" ht="15.6" customHeight="1" x14ac:dyDescent="0.25">
      <c r="A7" s="825" t="s">
        <v>502</v>
      </c>
      <c r="B7" s="677" t="s">
        <v>380</v>
      </c>
      <c r="C7" s="677" t="s">
        <v>527</v>
      </c>
      <c r="D7" s="677" t="s">
        <v>5</v>
      </c>
      <c r="E7" s="677" t="s">
        <v>531</v>
      </c>
      <c r="F7" s="677" t="s">
        <v>5</v>
      </c>
      <c r="G7" s="677" t="s">
        <v>532</v>
      </c>
      <c r="H7" s="677" t="s">
        <v>1403</v>
      </c>
      <c r="I7" s="689" t="s">
        <v>1404</v>
      </c>
      <c r="J7" s="677" t="s">
        <v>1403</v>
      </c>
      <c r="K7" s="677">
        <v>166836</v>
      </c>
      <c r="L7" s="677" t="s">
        <v>6</v>
      </c>
      <c r="M7" s="677" t="s">
        <v>4</v>
      </c>
      <c r="N7" s="847">
        <v>97.238829999999993</v>
      </c>
      <c r="O7" s="681">
        <v>24.260719999999999</v>
      </c>
      <c r="P7" s="744"/>
      <c r="Q7" s="681">
        <v>274</v>
      </c>
      <c r="R7" s="687">
        <v>1349</v>
      </c>
      <c r="S7" s="843">
        <f>IF(CampList[[#This Row],[HH]]&gt;0,CampList[[#This Row],[Total]]/CampList[[#This Row],[HH]],"NA")</f>
        <v>4.9233576642335768</v>
      </c>
      <c r="T7" s="420" t="s">
        <v>513</v>
      </c>
      <c r="U7" s="455" t="s">
        <v>1194</v>
      </c>
      <c r="V7" s="420" t="s">
        <v>556</v>
      </c>
      <c r="W7" s="686" t="s">
        <v>805</v>
      </c>
      <c r="X7" s="905">
        <v>40848</v>
      </c>
      <c r="Y7" s="670">
        <v>2</v>
      </c>
      <c r="Z7" s="670" t="s">
        <v>1092</v>
      </c>
      <c r="AA7" s="681" t="s">
        <v>844</v>
      </c>
      <c r="AB7" s="907"/>
      <c r="AC7" s="693">
        <v>42397</v>
      </c>
      <c r="AD7" s="726" t="s">
        <v>1333</v>
      </c>
      <c r="AE7" s="690" t="s">
        <v>1096</v>
      </c>
      <c r="AF7" s="732">
        <f>IF(CampList[[#This Row],[Type of Accomodation]]="camp",MAX(0,CampList[[#This Row],[HH]]-SUMIF(Table_Shelter[Pcode],CampList[[#This Row],[CP_Pcode]],Table_Shelter[HH Covered])),0)</f>
        <v>104</v>
      </c>
      <c r="AG7" s="686">
        <v>20</v>
      </c>
      <c r="AH7" s="692">
        <f>MIN(CampList[[#This Row],[Shelter Gap]],CampList[[#This Row],[Land Status]])</f>
        <v>20</v>
      </c>
      <c r="AI7" s="732" t="str">
        <f ca="1">IFERROR(OFFSET(DistanceToCamp[Nearest Town],MATCH(CampList[[#This Row],[CP_Pcode]],DistanceToCamp[CP_Pcode],0)-1,0,1,1),"")</f>
        <v>Bhamo Town</v>
      </c>
      <c r="AJ7" s="936">
        <f ca="1">IFERROR(OFFSET(DistanceToCamp[distance],MATCH(CampList[[#This Row],[CP_Pcode]],DistanceToCamp[CP_Pcode],0)-1,0,1,1),"")</f>
        <v>0.78440046838596356</v>
      </c>
      <c r="AK7" s="956">
        <f ca="1">IFERROR(INT(CampList[[#This Row],[Distance]]/5)+1,"")</f>
        <v>1</v>
      </c>
      <c r="AL7" s="548"/>
      <c r="AM7" s="548"/>
      <c r="AN7" s="548"/>
      <c r="BD7" s="5"/>
      <c r="BE7" s="5"/>
    </row>
    <row r="8" spans="1:57" s="678" customFormat="1" ht="15.6" customHeight="1" x14ac:dyDescent="0.25">
      <c r="A8" s="820" t="s">
        <v>502</v>
      </c>
      <c r="B8" s="216" t="s">
        <v>380</v>
      </c>
      <c r="C8" s="216" t="s">
        <v>527</v>
      </c>
      <c r="D8" s="216" t="s">
        <v>5</v>
      </c>
      <c r="E8" s="216" t="s">
        <v>531</v>
      </c>
      <c r="F8" s="216" t="s">
        <v>5</v>
      </c>
      <c r="G8" s="216" t="s">
        <v>532</v>
      </c>
      <c r="H8" s="669" t="s">
        <v>1403</v>
      </c>
      <c r="I8" s="669" t="s">
        <v>1404</v>
      </c>
      <c r="J8" s="669" t="s">
        <v>1403</v>
      </c>
      <c r="K8" s="694">
        <v>166836</v>
      </c>
      <c r="L8" s="435" t="s">
        <v>18</v>
      </c>
      <c r="M8" s="216" t="s">
        <v>17</v>
      </c>
      <c r="N8" s="842">
        <v>97.240183461538507</v>
      </c>
      <c r="O8" s="729">
        <v>24.2631743589744</v>
      </c>
      <c r="P8" s="743">
        <v>0</v>
      </c>
      <c r="Q8" s="671">
        <v>116</v>
      </c>
      <c r="R8" s="672">
        <v>659</v>
      </c>
      <c r="S8" s="843">
        <f>IF(CampList[[#This Row],[HH]]&gt;0,CampList[[#This Row],[Total]]/CampList[[#This Row],[HH]],"NA")</f>
        <v>5.681034482758621</v>
      </c>
      <c r="T8" s="455" t="s">
        <v>513</v>
      </c>
      <c r="U8" s="673" t="s">
        <v>1194</v>
      </c>
      <c r="V8" s="668" t="s">
        <v>556</v>
      </c>
      <c r="W8" s="673" t="s">
        <v>805</v>
      </c>
      <c r="X8" s="881">
        <v>40695</v>
      </c>
      <c r="Y8" s="882">
        <v>2</v>
      </c>
      <c r="Z8" s="881" t="s">
        <v>507</v>
      </c>
      <c r="AA8" s="675" t="s">
        <v>844</v>
      </c>
      <c r="AB8" s="883"/>
      <c r="AC8" s="693">
        <v>42537</v>
      </c>
      <c r="AD8" s="885" t="s">
        <v>1497</v>
      </c>
      <c r="AE8" s="682" t="s">
        <v>1096</v>
      </c>
      <c r="AF8" s="686">
        <f>IF(CampList[[#This Row],[Type of Accomodation]]="camp",MAX(0,CampList[[#This Row],[HH]]-SUMIF(Table_Shelter[Pcode],CampList[[#This Row],[CP_Pcode]],Table_Shelter[HH Covered])),0)</f>
        <v>14</v>
      </c>
      <c r="AG8" s="668"/>
      <c r="AH8" s="883">
        <f>MIN(CampList[[#This Row],[Shelter Gap]],CampList[[#This Row],[Land Status]])</f>
        <v>14</v>
      </c>
      <c r="AI8" s="668" t="str">
        <f ca="1">IFERROR(OFFSET(DistanceToCamp[Nearest Town],MATCH(CampList[[#This Row],[CP_Pcode]],DistanceToCamp[CP_Pcode],0)-1,0,1,1),"")</f>
        <v>Bhamo Town</v>
      </c>
      <c r="AJ8" s="936">
        <f ca="1">IFERROR(OFFSET(DistanceToCamp[distance],MATCH(CampList[[#This Row],[CP_Pcode]],DistanceToCamp[CP_Pcode],0)-1,0,1,1),"")</f>
        <v>1.0876401420946245</v>
      </c>
      <c r="AK8" s="957">
        <f ca="1">IFERROR(INT(CampList[[#This Row],[Distance]]/5)+1,"")</f>
        <v>1</v>
      </c>
      <c r="AL8" s="548"/>
      <c r="AM8" s="548"/>
      <c r="AN8" s="548"/>
      <c r="BD8" s="5"/>
      <c r="BE8" s="5"/>
    </row>
    <row r="9" spans="1:57" s="678" customFormat="1" ht="15.6" customHeight="1" x14ac:dyDescent="0.25">
      <c r="A9" s="825" t="s">
        <v>502</v>
      </c>
      <c r="B9" s="677" t="s">
        <v>380</v>
      </c>
      <c r="C9" s="677" t="s">
        <v>527</v>
      </c>
      <c r="D9" s="677" t="s">
        <v>5</v>
      </c>
      <c r="E9" s="677" t="s">
        <v>531</v>
      </c>
      <c r="F9" s="677" t="s">
        <v>5</v>
      </c>
      <c r="G9" s="677" t="s">
        <v>532</v>
      </c>
      <c r="H9" s="677" t="s">
        <v>656</v>
      </c>
      <c r="I9" s="689" t="s">
        <v>657</v>
      </c>
      <c r="J9" s="677" t="s">
        <v>656</v>
      </c>
      <c r="K9" s="677">
        <v>166844</v>
      </c>
      <c r="L9" s="677" t="s">
        <v>20</v>
      </c>
      <c r="M9" s="677" t="s">
        <v>19</v>
      </c>
      <c r="N9" s="847">
        <v>97.315860000000001</v>
      </c>
      <c r="O9" s="681">
        <v>24.32638</v>
      </c>
      <c r="P9" s="744"/>
      <c r="Q9" s="681">
        <v>20</v>
      </c>
      <c r="R9" s="687">
        <v>103</v>
      </c>
      <c r="S9" s="843">
        <f>IF(CampList[[#This Row],[HH]]&gt;0,CampList[[#This Row],[Total]]/CampList[[#This Row],[HH]],"NA")</f>
        <v>5.15</v>
      </c>
      <c r="T9" s="420" t="s">
        <v>513</v>
      </c>
      <c r="U9" s="455" t="s">
        <v>1194</v>
      </c>
      <c r="V9" s="420" t="s">
        <v>556</v>
      </c>
      <c r="W9" s="686" t="s">
        <v>805</v>
      </c>
      <c r="X9" s="905">
        <v>40848</v>
      </c>
      <c r="Y9" s="670">
        <v>2</v>
      </c>
      <c r="Z9" s="670" t="s">
        <v>1092</v>
      </c>
      <c r="AA9" s="681" t="s">
        <v>844</v>
      </c>
      <c r="AB9" s="907"/>
      <c r="AC9" s="693">
        <v>42397</v>
      </c>
      <c r="AD9" s="726" t="s">
        <v>1340</v>
      </c>
      <c r="AE9" s="690" t="s">
        <v>1096</v>
      </c>
      <c r="AF9" s="732">
        <f>IF(CampList[[#This Row],[Type of Accomodation]]="camp",MAX(0,CampList[[#This Row],[HH]]-SUMIF(Table_Shelter[Pcode],CampList[[#This Row],[CP_Pcode]],Table_Shelter[HH Covered])),0)</f>
        <v>10</v>
      </c>
      <c r="AG9" s="686"/>
      <c r="AH9" s="692">
        <f>MIN(CampList[[#This Row],[Shelter Gap]],CampList[[#This Row],[Land Status]])</f>
        <v>10</v>
      </c>
      <c r="AI9" s="732" t="str">
        <f ca="1">IFERROR(OFFSET(DistanceToCamp[Nearest Town],MATCH(CampList[[#This Row],[CP_Pcode]],DistanceToCamp[CP_Pcode],0)-1,0,1,1),"")</f>
        <v>Momauk Town</v>
      </c>
      <c r="AJ9" s="936">
        <f ca="1">IFERROR(OFFSET(DistanceToCamp[distance],MATCH(CampList[[#This Row],[CP_Pcode]],DistanceToCamp[CP_Pcode],0)-1,0,1,1),"")</f>
        <v>8.3788619521763046</v>
      </c>
      <c r="AK9" s="956">
        <f ca="1">IFERROR(INT(CampList[[#This Row],[Distance]]/5)+1,"")</f>
        <v>2</v>
      </c>
      <c r="AL9" s="548"/>
      <c r="AM9" s="548"/>
      <c r="AN9" s="548"/>
      <c r="BD9" s="5"/>
      <c r="BE9" s="5"/>
    </row>
    <row r="10" spans="1:57" s="678" customFormat="1" ht="15.6" customHeight="1" x14ac:dyDescent="0.25">
      <c r="A10" s="820" t="s">
        <v>502</v>
      </c>
      <c r="B10" s="216" t="s">
        <v>380</v>
      </c>
      <c r="C10" s="216" t="s">
        <v>527</v>
      </c>
      <c r="D10" s="216" t="s">
        <v>5</v>
      </c>
      <c r="E10" s="216" t="s">
        <v>531</v>
      </c>
      <c r="F10" s="216" t="s">
        <v>5</v>
      </c>
      <c r="G10" s="216" t="s">
        <v>532</v>
      </c>
      <c r="H10" s="669" t="s">
        <v>647</v>
      </c>
      <c r="I10" s="669" t="s">
        <v>648</v>
      </c>
      <c r="J10" s="679" t="s">
        <v>647</v>
      </c>
      <c r="K10" s="697">
        <v>166851</v>
      </c>
      <c r="L10" s="216" t="s">
        <v>26</v>
      </c>
      <c r="M10" s="216" t="s">
        <v>25</v>
      </c>
      <c r="N10" s="842">
        <v>97.240639999999999</v>
      </c>
      <c r="O10" s="729">
        <v>24.24953</v>
      </c>
      <c r="P10" s="743">
        <v>0</v>
      </c>
      <c r="Q10" s="692">
        <v>15</v>
      </c>
      <c r="R10" s="687">
        <v>73</v>
      </c>
      <c r="S10" s="843">
        <f>IF(CampList[[#This Row],[HH]]&gt;0,CampList[[#This Row],[Total]]/CampList[[#This Row],[HH]],"NA")</f>
        <v>4.8666666666666663</v>
      </c>
      <c r="T10" s="455" t="s">
        <v>513</v>
      </c>
      <c r="U10" s="673" t="s">
        <v>1194</v>
      </c>
      <c r="V10" s="668" t="s">
        <v>556</v>
      </c>
      <c r="W10" s="668" t="s">
        <v>805</v>
      </c>
      <c r="X10" s="881">
        <v>41122</v>
      </c>
      <c r="Y10" s="882">
        <v>1</v>
      </c>
      <c r="Z10" s="881" t="s">
        <v>507</v>
      </c>
      <c r="AA10" s="433" t="s">
        <v>844</v>
      </c>
      <c r="AB10" s="883"/>
      <c r="AC10" s="693">
        <v>42537</v>
      </c>
      <c r="AD10" s="884" t="s">
        <v>1514</v>
      </c>
      <c r="AE10" s="682" t="s">
        <v>1096</v>
      </c>
      <c r="AF10" s="686">
        <f>IF(CampList[[#This Row],[Type of Accomodation]]="camp",MAX(0,CampList[[#This Row],[HH]]-SUMIF(Table_Shelter[Pcode],CampList[[#This Row],[CP_Pcode]],Table_Shelter[HH Covered])),0)</f>
        <v>0</v>
      </c>
      <c r="AG10" s="668">
        <v>0</v>
      </c>
      <c r="AH10" s="883">
        <f>MIN(CampList[[#This Row],[Shelter Gap]],CampList[[#This Row],[Land Status]])</f>
        <v>0</v>
      </c>
      <c r="AI10" s="668" t="str">
        <f ca="1">IFERROR(OFFSET(DistanceToCamp[Nearest Town],MATCH(CampList[[#This Row],[CP_Pcode]],DistanceToCamp[CP_Pcode],0)-1,0,1,1),"")</f>
        <v>Bhamo Town</v>
      </c>
      <c r="AJ10" s="936">
        <f ca="1">IFERROR(OFFSET(DistanceToCamp[distance],MATCH(CampList[[#This Row],[CP_Pcode]],DistanceToCamp[CP_Pcode],0)-1,0,1,1),"")</f>
        <v>0.87147615879849294</v>
      </c>
      <c r="AK10" s="957">
        <f ca="1">IFERROR(INT(CampList[[#This Row],[Distance]]/5)+1,"")</f>
        <v>1</v>
      </c>
      <c r="AL10" s="548"/>
      <c r="AM10" s="548"/>
      <c r="AN10" s="548"/>
      <c r="BD10" s="5"/>
      <c r="BE10" s="5"/>
    </row>
    <row r="11" spans="1:57" s="678" customFormat="1" ht="15.6" hidden="1" customHeight="1" x14ac:dyDescent="0.25">
      <c r="A11" s="821" t="s">
        <v>845</v>
      </c>
      <c r="B11" s="764" t="s">
        <v>380</v>
      </c>
      <c r="C11" s="764" t="s">
        <v>527</v>
      </c>
      <c r="D11" s="764" t="s">
        <v>180</v>
      </c>
      <c r="E11" s="764" t="s">
        <v>528</v>
      </c>
      <c r="F11" s="764" t="s">
        <v>529</v>
      </c>
      <c r="G11" s="764" t="s">
        <v>530</v>
      </c>
      <c r="H11" s="765" t="s">
        <v>614</v>
      </c>
      <c r="I11" s="765" t="s">
        <v>615</v>
      </c>
      <c r="J11" s="765" t="s">
        <v>616</v>
      </c>
      <c r="K11" s="765">
        <v>166775</v>
      </c>
      <c r="L11" s="764" t="s">
        <v>39</v>
      </c>
      <c r="M11" s="764" t="s">
        <v>38</v>
      </c>
      <c r="N11" s="729"/>
      <c r="O11" s="729"/>
      <c r="P11" s="670"/>
      <c r="Q11" s="766">
        <v>0</v>
      </c>
      <c r="R11" s="767">
        <v>0</v>
      </c>
      <c r="S11" s="844" t="str">
        <f>IF(CampList[[#This Row],[HH]]&gt;0,CampList[[#This Row],[Total]]/CampList[[#This Row],[HH]],"NA")</f>
        <v>NA</v>
      </c>
      <c r="T11" s="768" t="s">
        <v>513</v>
      </c>
      <c r="U11" s="769" t="s">
        <v>1194</v>
      </c>
      <c r="V11" s="763" t="s">
        <v>556</v>
      </c>
      <c r="W11" s="769"/>
      <c r="X11" s="886"/>
      <c r="Y11" s="887"/>
      <c r="Z11" s="888"/>
      <c r="AA11" s="771"/>
      <c r="AB11" s="889"/>
      <c r="AC11" s="890"/>
      <c r="AD11" s="891" t="s">
        <v>603</v>
      </c>
      <c r="AE11" s="770" t="s">
        <v>1010</v>
      </c>
      <c r="AF11" s="860">
        <f>IF(CampList[[#This Row],[Type of Accomodation]]="camp",MAX(0,CampList[[#This Row],[HH]]-SUMIF(Table_Shelter[Pcode],CampList[[#This Row],[CP_Pcode]],Table_Shelter[HH Covered])),0)</f>
        <v>0</v>
      </c>
      <c r="AG11" s="763"/>
      <c r="AH11" s="889">
        <f>MIN(CampList[[#This Row],[Shelter Gap]],CampList[[#This Row],[Land Status]])</f>
        <v>0</v>
      </c>
      <c r="AI11" s="763" t="str">
        <f ca="1">IFERROR(OFFSET(DistanceToCamp[Nearest Town],MATCH(CampList[[#This Row],[CP_Pcode]],DistanceToCamp[CP_Pcode],0)-1,0,1,1),"")</f>
        <v/>
      </c>
      <c r="AJ11" s="937" t="str">
        <f ca="1">IFERROR(OFFSET(DistanceToCamp[distance],MATCH(CampList[[#This Row],[CP_Pcode]],DistanceToCamp[CP_Pcode],0)-1,0,1,1),"")</f>
        <v/>
      </c>
      <c r="AK11" s="958" t="str">
        <f ca="1">IFERROR(INT(CampList[[#This Row],[Distance]]/5)+1,"")</f>
        <v/>
      </c>
      <c r="AL11" s="548"/>
      <c r="AM11" s="548"/>
      <c r="AN11" s="548"/>
      <c r="BD11" s="5"/>
      <c r="BE11" s="5"/>
    </row>
    <row r="12" spans="1:57" s="678" customFormat="1" ht="15.6" customHeight="1" x14ac:dyDescent="0.25">
      <c r="A12" s="820" t="s">
        <v>502</v>
      </c>
      <c r="B12" s="216" t="s">
        <v>380</v>
      </c>
      <c r="C12" s="216" t="s">
        <v>527</v>
      </c>
      <c r="D12" s="216" t="s">
        <v>5</v>
      </c>
      <c r="E12" s="216" t="s">
        <v>531</v>
      </c>
      <c r="F12" s="216" t="s">
        <v>5</v>
      </c>
      <c r="G12" s="216" t="s">
        <v>532</v>
      </c>
      <c r="H12" s="679" t="s">
        <v>647</v>
      </c>
      <c r="I12" s="679" t="s">
        <v>648</v>
      </c>
      <c r="J12" s="679" t="s">
        <v>649</v>
      </c>
      <c r="K12" s="679">
        <v>166854</v>
      </c>
      <c r="L12" s="435" t="s">
        <v>366</v>
      </c>
      <c r="M12" s="216" t="s">
        <v>376</v>
      </c>
      <c r="N12" s="842">
        <v>97.252650000000003</v>
      </c>
      <c r="O12" s="729">
        <v>24.222349999999999</v>
      </c>
      <c r="P12" s="743">
        <v>0</v>
      </c>
      <c r="Q12" s="681">
        <v>150</v>
      </c>
      <c r="R12" s="681">
        <v>766</v>
      </c>
      <c r="S12" s="843">
        <f>IF(CampList[[#This Row],[HH]]&gt;0,CampList[[#This Row],[Total]]/CampList[[#This Row],[HH]],"NA")</f>
        <v>5.1066666666666665</v>
      </c>
      <c r="T12" s="455" t="s">
        <v>513</v>
      </c>
      <c r="U12" s="673" t="s">
        <v>1194</v>
      </c>
      <c r="V12" s="668" t="s">
        <v>556</v>
      </c>
      <c r="W12" s="673" t="s">
        <v>805</v>
      </c>
      <c r="X12" s="881">
        <v>41275</v>
      </c>
      <c r="Y12" s="882">
        <v>1</v>
      </c>
      <c r="Z12" s="881" t="s">
        <v>462</v>
      </c>
      <c r="AA12" s="433" t="s">
        <v>844</v>
      </c>
      <c r="AB12" s="883"/>
      <c r="AC12" s="693">
        <v>42536</v>
      </c>
      <c r="AD12" s="884" t="s">
        <v>1457</v>
      </c>
      <c r="AE12" s="682" t="s">
        <v>1096</v>
      </c>
      <c r="AF12" s="686">
        <f>IF(CampList[[#This Row],[Type of Accomodation]]="camp",MAX(0,CampList[[#This Row],[HH]]-SUMIF(Table_Shelter[Pcode],CampList[[#This Row],[CP_Pcode]],Table_Shelter[HH Covered])),0)</f>
        <v>24</v>
      </c>
      <c r="AG12" s="686"/>
      <c r="AH12" s="883">
        <f>MIN(CampList[[#This Row],[Shelter Gap]],CampList[[#This Row],[Land Status]])</f>
        <v>24</v>
      </c>
      <c r="AI12" s="668" t="str">
        <f ca="1">IFERROR(OFFSET(DistanceToCamp[Nearest Town],MATCH(CampList[[#This Row],[CP_Pcode]],DistanceToCamp[CP_Pcode],0)-1,0,1,1),"")</f>
        <v>Bhamo Town</v>
      </c>
      <c r="AJ12" s="936">
        <f ca="1">IFERROR(OFFSET(DistanceToCamp[distance],MATCH(CampList[[#This Row],[CP_Pcode]],DistanceToCamp[CP_Pcode],0)-1,0,1,1),"")</f>
        <v>4.067486452659054</v>
      </c>
      <c r="AK12" s="957">
        <f ca="1">IFERROR(INT(CampList[[#This Row],[Distance]]/5)+1,"")</f>
        <v>1</v>
      </c>
      <c r="AL12" s="548"/>
      <c r="AM12" s="548"/>
      <c r="AN12" s="548"/>
      <c r="BD12" s="5"/>
      <c r="BE12" s="5"/>
    </row>
    <row r="13" spans="1:57" s="678" customFormat="1" ht="15.6" hidden="1" customHeight="1" x14ac:dyDescent="0.25">
      <c r="A13" s="822" t="s">
        <v>845</v>
      </c>
      <c r="B13" s="774" t="s">
        <v>380</v>
      </c>
      <c r="C13" s="774" t="s">
        <v>527</v>
      </c>
      <c r="D13" s="774" t="s">
        <v>180</v>
      </c>
      <c r="E13" s="774" t="s">
        <v>528</v>
      </c>
      <c r="F13" s="774" t="s">
        <v>529</v>
      </c>
      <c r="G13" s="774" t="s">
        <v>530</v>
      </c>
      <c r="H13" s="775" t="s">
        <v>614</v>
      </c>
      <c r="I13" s="775" t="s">
        <v>615</v>
      </c>
      <c r="J13" s="775" t="s">
        <v>762</v>
      </c>
      <c r="K13" s="775">
        <v>216877</v>
      </c>
      <c r="L13" s="774" t="s">
        <v>48</v>
      </c>
      <c r="M13" s="774" t="s">
        <v>47</v>
      </c>
      <c r="N13" s="729">
        <v>96.339870000000005</v>
      </c>
      <c r="O13" s="729">
        <v>25.655989999999999</v>
      </c>
      <c r="P13" s="670"/>
      <c r="Q13" s="776">
        <v>0</v>
      </c>
      <c r="R13" s="777">
        <v>0</v>
      </c>
      <c r="S13" s="845" t="str">
        <f>IF(CampList[[#This Row],[HH]]&gt;0,CampList[[#This Row],[Total]]/CampList[[#This Row],[HH]],"NA")</f>
        <v>NA</v>
      </c>
      <c r="T13" s="778" t="s">
        <v>513</v>
      </c>
      <c r="U13" s="779" t="s">
        <v>1194</v>
      </c>
      <c r="V13" s="773" t="s">
        <v>556</v>
      </c>
      <c r="W13" s="779"/>
      <c r="X13" s="892"/>
      <c r="Y13" s="893"/>
      <c r="Z13" s="894"/>
      <c r="AA13" s="781"/>
      <c r="AB13" s="895"/>
      <c r="AC13" s="896"/>
      <c r="AD13" s="897" t="s">
        <v>603</v>
      </c>
      <c r="AE13" s="780" t="s">
        <v>1010</v>
      </c>
      <c r="AF13" s="814">
        <f>IF(CampList[[#This Row],[Type of Accomodation]]="camp",MAX(0,CampList[[#This Row],[HH]]-SUMIF(Table_Shelter[Pcode],CampList[[#This Row],[CP_Pcode]],Table_Shelter[HH Covered])),0)</f>
        <v>0</v>
      </c>
      <c r="AG13" s="773"/>
      <c r="AH13" s="895">
        <f>MIN(CampList[[#This Row],[Shelter Gap]],CampList[[#This Row],[Land Status]])</f>
        <v>0</v>
      </c>
      <c r="AI13" s="773" t="str">
        <f ca="1">IFERROR(OFFSET(DistanceToCamp[Nearest Town],MATCH(CampList[[#This Row],[CP_Pcode]],DistanceToCamp[CP_Pcode],0)-1,0,1,1),"")</f>
        <v/>
      </c>
      <c r="AJ13" s="938" t="str">
        <f ca="1">IFERROR(OFFSET(DistanceToCamp[distance],MATCH(CampList[[#This Row],[CP_Pcode]],DistanceToCamp[CP_Pcode],0)-1,0,1,1),"")</f>
        <v/>
      </c>
      <c r="AK13" s="959" t="str">
        <f ca="1">IFERROR(INT(CampList[[#This Row],[Distance]]/5)+1,"")</f>
        <v/>
      </c>
      <c r="AL13" s="548"/>
      <c r="AM13" s="548"/>
      <c r="AN13" s="548"/>
      <c r="BD13" s="5"/>
      <c r="BE13" s="5"/>
    </row>
    <row r="14" spans="1:57" s="678" customFormat="1" ht="15.6" hidden="1" customHeight="1" x14ac:dyDescent="0.25">
      <c r="A14" s="823" t="s">
        <v>845</v>
      </c>
      <c r="B14" s="216" t="s">
        <v>380</v>
      </c>
      <c r="C14" s="216" t="s">
        <v>527</v>
      </c>
      <c r="D14" s="216" t="s">
        <v>180</v>
      </c>
      <c r="E14" s="216" t="s">
        <v>528</v>
      </c>
      <c r="F14" s="216" t="s">
        <v>529</v>
      </c>
      <c r="G14" s="216" t="s">
        <v>530</v>
      </c>
      <c r="H14" s="669" t="s">
        <v>605</v>
      </c>
      <c r="I14" s="669" t="s">
        <v>606</v>
      </c>
      <c r="J14" s="669" t="s">
        <v>701</v>
      </c>
      <c r="K14" s="669" t="s">
        <v>702</v>
      </c>
      <c r="L14" s="216" t="s">
        <v>50</v>
      </c>
      <c r="M14" s="216" t="s">
        <v>49</v>
      </c>
      <c r="N14" s="729"/>
      <c r="O14" s="729"/>
      <c r="P14" s="670"/>
      <c r="Q14" s="671">
        <v>0</v>
      </c>
      <c r="R14" s="672">
        <v>0</v>
      </c>
      <c r="S14" s="843" t="str">
        <f>IF(CampList[[#This Row],[HH]]&gt;0,CampList[[#This Row],[Total]]/CampList[[#This Row],[HH]],"NA")</f>
        <v>NA</v>
      </c>
      <c r="T14" s="455" t="s">
        <v>513</v>
      </c>
      <c r="U14" s="673" t="s">
        <v>1194</v>
      </c>
      <c r="V14" s="668" t="s">
        <v>556</v>
      </c>
      <c r="W14" s="673"/>
      <c r="X14" s="898"/>
      <c r="Y14" s="670"/>
      <c r="Z14" s="899"/>
      <c r="AA14" s="675"/>
      <c r="AB14" s="883"/>
      <c r="AC14" s="900"/>
      <c r="AD14" s="885" t="s">
        <v>603</v>
      </c>
      <c r="AE14" s="674" t="s">
        <v>1010</v>
      </c>
      <c r="AF14" s="686">
        <f>IF(CampList[[#This Row],[Type of Accomodation]]="camp",MAX(0,CampList[[#This Row],[HH]]-SUMIF(Table_Shelter[Pcode],CampList[[#This Row],[CP_Pcode]],Table_Shelter[HH Covered])),0)</f>
        <v>0</v>
      </c>
      <c r="AG14" s="668"/>
      <c r="AH14" s="883">
        <f>MIN(CampList[[#This Row],[Shelter Gap]],CampList[[#This Row],[Land Status]])</f>
        <v>0</v>
      </c>
      <c r="AI14" s="668" t="str">
        <f ca="1">IFERROR(OFFSET(DistanceToCamp[Nearest Town],MATCH(CampList[[#This Row],[CP_Pcode]],DistanceToCamp[CP_Pcode],0)-1,0,1,1),"")</f>
        <v/>
      </c>
      <c r="AJ14" s="936" t="str">
        <f ca="1">IFERROR(OFFSET(DistanceToCamp[distance],MATCH(CampList[[#This Row],[CP_Pcode]],DistanceToCamp[CP_Pcode],0)-1,0,1,1),"")</f>
        <v/>
      </c>
      <c r="AK14" s="960" t="str">
        <f ca="1">IFERROR(INT(CampList[[#This Row],[Distance]]/5)+1,"")</f>
        <v/>
      </c>
      <c r="AL14" s="548"/>
      <c r="AM14" s="548"/>
      <c r="AN14" s="548"/>
      <c r="BD14" s="5"/>
      <c r="BE14" s="5"/>
    </row>
    <row r="15" spans="1:57" s="678" customFormat="1" ht="15.6" hidden="1" customHeight="1" x14ac:dyDescent="0.25">
      <c r="A15" s="823" t="s">
        <v>845</v>
      </c>
      <c r="B15" s="216" t="s">
        <v>380</v>
      </c>
      <c r="C15" s="216" t="s">
        <v>527</v>
      </c>
      <c r="D15" s="216" t="s">
        <v>5</v>
      </c>
      <c r="E15" s="216" t="s">
        <v>531</v>
      </c>
      <c r="F15" s="216" t="s">
        <v>151</v>
      </c>
      <c r="G15" s="216" t="s">
        <v>541</v>
      </c>
      <c r="H15" s="669"/>
      <c r="I15" s="669"/>
      <c r="J15" s="669"/>
      <c r="K15" s="669"/>
      <c r="L15" s="216" t="s">
        <v>884</v>
      </c>
      <c r="M15" s="216" t="s">
        <v>882</v>
      </c>
      <c r="N15" s="729"/>
      <c r="O15" s="729"/>
      <c r="P15" s="670"/>
      <c r="Q15" s="671">
        <v>0</v>
      </c>
      <c r="R15" s="672">
        <v>0</v>
      </c>
      <c r="S15" s="843" t="str">
        <f>IF(CampList[[#This Row],[HH]]&gt;0,CampList[[#This Row],[Total]]/CampList[[#This Row],[HH]],"NA")</f>
        <v>NA</v>
      </c>
      <c r="T15" s="455" t="s">
        <v>513</v>
      </c>
      <c r="U15" s="673" t="s">
        <v>1194</v>
      </c>
      <c r="V15" s="668" t="s">
        <v>556</v>
      </c>
      <c r="W15" s="673"/>
      <c r="X15" s="898"/>
      <c r="Y15" s="670"/>
      <c r="Z15" s="899"/>
      <c r="AA15" s="683" t="s">
        <v>844</v>
      </c>
      <c r="AB15" s="883"/>
      <c r="AC15" s="693">
        <v>41701</v>
      </c>
      <c r="AD15" s="885" t="s">
        <v>1013</v>
      </c>
      <c r="AE15" s="674" t="s">
        <v>1010</v>
      </c>
      <c r="AF15" s="686">
        <f>IF(CampList[[#This Row],[Type of Accomodation]]="camp",MAX(0,CampList[[#This Row],[HH]]-SUMIF(Table_Shelter[Pcode],CampList[[#This Row],[CP_Pcode]],Table_Shelter[HH Covered])),0)</f>
        <v>0</v>
      </c>
      <c r="AG15" s="668"/>
      <c r="AH15" s="883">
        <f>MIN(CampList[[#This Row],[Shelter Gap]],CampList[[#This Row],[Land Status]])</f>
        <v>0</v>
      </c>
      <c r="AI15" s="668" t="str">
        <f ca="1">IFERROR(OFFSET(DistanceToCamp[Nearest Town],MATCH(CampList[[#This Row],[CP_Pcode]],DistanceToCamp[CP_Pcode],0)-1,0,1,1),"")</f>
        <v/>
      </c>
      <c r="AJ15" s="936" t="str">
        <f ca="1">IFERROR(OFFSET(DistanceToCamp[distance],MATCH(CampList[[#This Row],[CP_Pcode]],DistanceToCamp[CP_Pcode],0)-1,0,1,1),"")</f>
        <v/>
      </c>
      <c r="AK15" s="960" t="str">
        <f ca="1">IFERROR(INT(CampList[[#This Row],[Distance]]/5)+1,"")</f>
        <v/>
      </c>
      <c r="AL15" s="548"/>
      <c r="AM15" s="548"/>
      <c r="AN15" s="548"/>
      <c r="BD15" s="5"/>
      <c r="BE15" s="5"/>
    </row>
    <row r="16" spans="1:57" s="678" customFormat="1" ht="15.6" hidden="1" customHeight="1" x14ac:dyDescent="0.25">
      <c r="A16" s="823" t="s">
        <v>845</v>
      </c>
      <c r="B16" s="216" t="s">
        <v>380</v>
      </c>
      <c r="C16" s="216" t="s">
        <v>527</v>
      </c>
      <c r="D16" s="216" t="s">
        <v>5</v>
      </c>
      <c r="E16" s="216" t="s">
        <v>531</v>
      </c>
      <c r="F16" s="216" t="s">
        <v>151</v>
      </c>
      <c r="G16" s="216" t="s">
        <v>541</v>
      </c>
      <c r="H16" s="669"/>
      <c r="I16" s="669"/>
      <c r="J16" s="669"/>
      <c r="K16" s="669"/>
      <c r="L16" s="216" t="s">
        <v>879</v>
      </c>
      <c r="M16" s="216" t="s">
        <v>883</v>
      </c>
      <c r="N16" s="729"/>
      <c r="O16" s="729"/>
      <c r="P16" s="670"/>
      <c r="Q16" s="671">
        <v>0</v>
      </c>
      <c r="R16" s="672">
        <v>0</v>
      </c>
      <c r="S16" s="843" t="str">
        <f>IF(CampList[[#This Row],[HH]]&gt;0,CampList[[#This Row],[Total]]/CampList[[#This Row],[HH]],"NA")</f>
        <v>NA</v>
      </c>
      <c r="T16" s="455" t="s">
        <v>513</v>
      </c>
      <c r="U16" s="673" t="s">
        <v>1194</v>
      </c>
      <c r="V16" s="668" t="s">
        <v>12</v>
      </c>
      <c r="W16" s="673" t="s">
        <v>858</v>
      </c>
      <c r="X16" s="898"/>
      <c r="Y16" s="670"/>
      <c r="Z16" s="899"/>
      <c r="AA16" s="683" t="s">
        <v>844</v>
      </c>
      <c r="AB16" s="883"/>
      <c r="AC16" s="693">
        <v>42090</v>
      </c>
      <c r="AD16" s="885" t="s">
        <v>1241</v>
      </c>
      <c r="AE16" s="674" t="s">
        <v>1096</v>
      </c>
      <c r="AF16" s="686">
        <f>IF(CampList[[#This Row],[Type of Accomodation]]="camp",MAX(0,CampList[[#This Row],[HH]]-SUMIF(Table_Shelter[Pcode],CampList[[#This Row],[CP_Pcode]],Table_Shelter[HH Covered])),0)</f>
        <v>0</v>
      </c>
      <c r="AG16" s="668"/>
      <c r="AH16" s="883">
        <f>MIN(CampList[[#This Row],[Shelter Gap]],CampList[[#This Row],[Land Status]])</f>
        <v>0</v>
      </c>
      <c r="AI16" s="668" t="str">
        <f ca="1">IFERROR(OFFSET(DistanceToCamp[Nearest Town],MATCH(CampList[[#This Row],[CP_Pcode]],DistanceToCamp[CP_Pcode],0)-1,0,1,1),"")</f>
        <v/>
      </c>
      <c r="AJ16" s="936" t="str">
        <f ca="1">IFERROR(OFFSET(DistanceToCamp[distance],MATCH(CampList[[#This Row],[CP_Pcode]],DistanceToCamp[CP_Pcode],0)-1,0,1,1),"")</f>
        <v/>
      </c>
      <c r="AK16" s="960" t="str">
        <f ca="1">IFERROR(INT(CampList[[#This Row],[Distance]]/5)+1,"")</f>
        <v/>
      </c>
      <c r="AL16" s="548"/>
      <c r="AM16" s="548"/>
      <c r="AN16" s="548"/>
      <c r="BD16" s="5"/>
      <c r="BE16" s="5"/>
    </row>
    <row r="17" spans="1:57" s="678" customFormat="1" ht="15.6" hidden="1" customHeight="1" x14ac:dyDescent="0.25">
      <c r="A17" s="819" t="s">
        <v>845</v>
      </c>
      <c r="B17" s="701" t="s">
        <v>380</v>
      </c>
      <c r="C17" s="701" t="s">
        <v>527</v>
      </c>
      <c r="D17" s="701" t="s">
        <v>5</v>
      </c>
      <c r="E17" s="701" t="s">
        <v>531</v>
      </c>
      <c r="F17" s="701" t="s">
        <v>151</v>
      </c>
      <c r="G17" s="701" t="s">
        <v>541</v>
      </c>
      <c r="H17" s="747"/>
      <c r="I17" s="747"/>
      <c r="J17" s="747"/>
      <c r="K17" s="747"/>
      <c r="L17" s="701" t="s">
        <v>880</v>
      </c>
      <c r="M17" s="701" t="s">
        <v>881</v>
      </c>
      <c r="N17" s="729"/>
      <c r="O17" s="729"/>
      <c r="P17" s="670"/>
      <c r="Q17" s="748">
        <v>0</v>
      </c>
      <c r="R17" s="749">
        <v>0</v>
      </c>
      <c r="S17" s="841" t="str">
        <f>IF(CampList[[#This Row],[HH]]&gt;0,CampList[[#This Row],[Total]]/CampList[[#This Row],[HH]],"NA")</f>
        <v>NA</v>
      </c>
      <c r="T17" s="750" t="s">
        <v>513</v>
      </c>
      <c r="U17" s="703" t="s">
        <v>1194</v>
      </c>
      <c r="V17" s="700" t="s">
        <v>556</v>
      </c>
      <c r="W17" s="703"/>
      <c r="X17" s="876"/>
      <c r="Y17" s="710"/>
      <c r="Z17" s="877"/>
      <c r="AA17" s="705" t="s">
        <v>844</v>
      </c>
      <c r="AB17" s="878"/>
      <c r="AC17" s="901">
        <v>41701</v>
      </c>
      <c r="AD17" s="880" t="s">
        <v>1013</v>
      </c>
      <c r="AE17" s="711" t="s">
        <v>1010</v>
      </c>
      <c r="AF17" s="861">
        <f>IF(CampList[[#This Row],[Type of Accomodation]]="camp",MAX(0,CampList[[#This Row],[HH]]-SUMIF(Table_Shelter[Pcode],CampList[[#This Row],[CP_Pcode]],Table_Shelter[HH Covered])),0)</f>
        <v>0</v>
      </c>
      <c r="AG17" s="700"/>
      <c r="AH17" s="878">
        <f>MIN(CampList[[#This Row],[Shelter Gap]],CampList[[#This Row],[Land Status]])</f>
        <v>0</v>
      </c>
      <c r="AI17" s="700" t="str">
        <f ca="1">IFERROR(OFFSET(DistanceToCamp[Nearest Town],MATCH(CampList[[#This Row],[CP_Pcode]],DistanceToCamp[CP_Pcode],0)-1,0,1,1),"")</f>
        <v/>
      </c>
      <c r="AJ17" s="935" t="str">
        <f ca="1">IFERROR(OFFSET(DistanceToCamp[distance],MATCH(CampList[[#This Row],[CP_Pcode]],DistanceToCamp[CP_Pcode],0)-1,0,1,1),"")</f>
        <v/>
      </c>
      <c r="AK17" s="955" t="str">
        <f ca="1">IFERROR(INT(CampList[[#This Row],[Distance]]/5)+1,"")</f>
        <v/>
      </c>
      <c r="AL17" s="548"/>
      <c r="AM17" s="548"/>
      <c r="AN17" s="548"/>
      <c r="BD17" s="5"/>
      <c r="BE17" s="5"/>
    </row>
    <row r="18" spans="1:57" s="678" customFormat="1" ht="15.6" customHeight="1" x14ac:dyDescent="0.25">
      <c r="A18" s="820" t="s">
        <v>502</v>
      </c>
      <c r="B18" s="216" t="s">
        <v>380</v>
      </c>
      <c r="C18" s="216" t="s">
        <v>527</v>
      </c>
      <c r="D18" s="216" t="s">
        <v>5</v>
      </c>
      <c r="E18" s="216" t="s">
        <v>531</v>
      </c>
      <c r="F18" s="216" t="s">
        <v>5</v>
      </c>
      <c r="G18" s="216" t="s">
        <v>532</v>
      </c>
      <c r="H18" s="669" t="s">
        <v>1406</v>
      </c>
      <c r="I18" s="669" t="s">
        <v>1405</v>
      </c>
      <c r="J18" s="669" t="s">
        <v>1406</v>
      </c>
      <c r="K18" s="694">
        <v>166904</v>
      </c>
      <c r="L18" s="435" t="s">
        <v>514</v>
      </c>
      <c r="M18" s="216" t="s">
        <v>377</v>
      </c>
      <c r="N18" s="842">
        <v>97.252650000000003</v>
      </c>
      <c r="O18" s="729">
        <v>24.260466999999998</v>
      </c>
      <c r="P18" s="743">
        <v>0</v>
      </c>
      <c r="Q18" s="681">
        <v>12</v>
      </c>
      <c r="R18" s="681">
        <v>54</v>
      </c>
      <c r="S18" s="843">
        <f>IF(CampList[[#This Row],[HH]]&gt;0,CampList[[#This Row],[Total]]/CampList[[#This Row],[HH]],"NA")</f>
        <v>4.5</v>
      </c>
      <c r="T18" s="455" t="s">
        <v>513</v>
      </c>
      <c r="U18" s="673" t="s">
        <v>1194</v>
      </c>
      <c r="V18" s="668" t="s">
        <v>556</v>
      </c>
      <c r="W18" s="673" t="s">
        <v>805</v>
      </c>
      <c r="X18" s="881">
        <v>40787</v>
      </c>
      <c r="Y18" s="882">
        <v>1</v>
      </c>
      <c r="Z18" s="881" t="s">
        <v>462</v>
      </c>
      <c r="AA18" s="683" t="s">
        <v>844</v>
      </c>
      <c r="AB18" s="883"/>
      <c r="AC18" s="693">
        <v>42536</v>
      </c>
      <c r="AD18" s="885" t="s">
        <v>1458</v>
      </c>
      <c r="AE18" s="682" t="s">
        <v>1096</v>
      </c>
      <c r="AF18" s="686">
        <f>IF(CampList[[#This Row],[Type of Accomodation]]="camp",MAX(0,CampList[[#This Row],[HH]]-SUMIF(Table_Shelter[Pcode],CampList[[#This Row],[CP_Pcode]],Table_Shelter[HH Covered])),0)</f>
        <v>0</v>
      </c>
      <c r="AG18" s="668"/>
      <c r="AH18" s="883">
        <f>MIN(CampList[[#This Row],[Shelter Gap]],CampList[[#This Row],[Land Status]])</f>
        <v>0</v>
      </c>
      <c r="AI18" s="668" t="str">
        <f ca="1">IFERROR(OFFSET(DistanceToCamp[Nearest Town],MATCH(CampList[[#This Row],[CP_Pcode]],DistanceToCamp[CP_Pcode],0)-1,0,1,1),"")</f>
        <v>Bhamo Town</v>
      </c>
      <c r="AJ18" s="936">
        <f ca="1">IFERROR(OFFSET(DistanceToCamp[distance],MATCH(CampList[[#This Row],[CP_Pcode]],DistanceToCamp[CP_Pcode],0)-1,0,1,1),"")</f>
        <v>1.9489261822960435</v>
      </c>
      <c r="AK18" s="957">
        <f ca="1">IFERROR(INT(CampList[[#This Row],[Distance]]/5)+1,"")</f>
        <v>1</v>
      </c>
      <c r="AL18" s="548"/>
      <c r="AM18" s="548"/>
      <c r="AN18" s="548"/>
      <c r="BD18" s="5"/>
      <c r="BE18" s="5"/>
    </row>
    <row r="19" spans="1:57" s="678" customFormat="1" ht="15.6" hidden="1" customHeight="1" x14ac:dyDescent="0.25">
      <c r="A19" s="822" t="s">
        <v>845</v>
      </c>
      <c r="B19" s="774" t="s">
        <v>380</v>
      </c>
      <c r="C19" s="774" t="s">
        <v>527</v>
      </c>
      <c r="D19" s="774" t="s">
        <v>180</v>
      </c>
      <c r="E19" s="774" t="s">
        <v>528</v>
      </c>
      <c r="F19" s="774" t="s">
        <v>529</v>
      </c>
      <c r="G19" s="774" t="s">
        <v>530</v>
      </c>
      <c r="H19" s="775" t="s">
        <v>620</v>
      </c>
      <c r="I19" s="775" t="s">
        <v>621</v>
      </c>
      <c r="J19" s="775" t="s">
        <v>622</v>
      </c>
      <c r="K19" s="775">
        <v>166817</v>
      </c>
      <c r="L19" s="774" t="s">
        <v>58</v>
      </c>
      <c r="M19" s="774" t="s">
        <v>57</v>
      </c>
      <c r="N19" s="729">
        <v>96.673805000000002</v>
      </c>
      <c r="O19" s="729">
        <v>25.728653000000001</v>
      </c>
      <c r="P19" s="670"/>
      <c r="Q19" s="776">
        <v>0</v>
      </c>
      <c r="R19" s="777">
        <v>0</v>
      </c>
      <c r="S19" s="845" t="str">
        <f>IF(CampList[[#This Row],[HH]]&gt;0,CampList[[#This Row],[Total]]/CampList[[#This Row],[HH]],"NA")</f>
        <v>NA</v>
      </c>
      <c r="T19" s="778" t="s">
        <v>513</v>
      </c>
      <c r="U19" s="779" t="s">
        <v>1194</v>
      </c>
      <c r="V19" s="773" t="s">
        <v>556</v>
      </c>
      <c r="W19" s="779" t="s">
        <v>858</v>
      </c>
      <c r="X19" s="892"/>
      <c r="Y19" s="893">
        <v>1</v>
      </c>
      <c r="Z19" s="902" t="s">
        <v>507</v>
      </c>
      <c r="AA19" s="784" t="s">
        <v>844</v>
      </c>
      <c r="AB19" s="895"/>
      <c r="AC19" s="792">
        <v>42096</v>
      </c>
      <c r="AD19" s="897" t="s">
        <v>1301</v>
      </c>
      <c r="AE19" s="780" t="s">
        <v>1096</v>
      </c>
      <c r="AF19" s="814">
        <f>IF(CampList[[#This Row],[Type of Accomodation]]="camp",MAX(0,CampList[[#This Row],[HH]]-SUMIF(Table_Shelter[Pcode],CampList[[#This Row],[CP_Pcode]],Table_Shelter[HH Covered])),0)</f>
        <v>0</v>
      </c>
      <c r="AG19" s="773"/>
      <c r="AH19" s="895">
        <f>MIN(CampList[[#This Row],[Shelter Gap]],CampList[[#This Row],[Land Status]])</f>
        <v>0</v>
      </c>
      <c r="AI19" s="773" t="str">
        <f ca="1">IFERROR(OFFSET(DistanceToCamp[Nearest Town],MATCH(CampList[[#This Row],[CP_Pcode]],DistanceToCamp[CP_Pcode],0)-1,0,1,1),"")</f>
        <v>Kamaing Town</v>
      </c>
      <c r="AJ19" s="938">
        <f ca="1">IFERROR(OFFSET(DistanceToCamp[distance],MATCH(CampList[[#This Row],[CP_Pcode]],DistanceToCamp[CP_Pcode],0)-1,0,1,1),"")</f>
        <v>23.222739740353646</v>
      </c>
      <c r="AK19" s="959">
        <f ca="1">IFERROR(INT(CampList[[#This Row],[Distance]]/5)+1,"")</f>
        <v>5</v>
      </c>
      <c r="AL19" s="548"/>
      <c r="AM19" s="548"/>
      <c r="AN19" s="548"/>
      <c r="BD19" s="5"/>
      <c r="BE19" s="5"/>
    </row>
    <row r="20" spans="1:57" s="678" customFormat="1" ht="15.6" hidden="1" customHeight="1" x14ac:dyDescent="0.25">
      <c r="A20" s="823" t="s">
        <v>845</v>
      </c>
      <c r="B20" s="216" t="s">
        <v>380</v>
      </c>
      <c r="C20" s="216" t="s">
        <v>527</v>
      </c>
      <c r="D20" s="216" t="s">
        <v>180</v>
      </c>
      <c r="E20" s="216" t="s">
        <v>528</v>
      </c>
      <c r="F20" s="216" t="s">
        <v>529</v>
      </c>
      <c r="G20" s="216" t="s">
        <v>530</v>
      </c>
      <c r="H20" s="669" t="s">
        <v>614</v>
      </c>
      <c r="I20" s="669" t="s">
        <v>615</v>
      </c>
      <c r="J20" s="669" t="s">
        <v>617</v>
      </c>
      <c r="K20" s="669">
        <v>216880</v>
      </c>
      <c r="L20" s="216" t="s">
        <v>60</v>
      </c>
      <c r="M20" s="216" t="s">
        <v>59</v>
      </c>
      <c r="N20" s="729">
        <v>96.353070000000002</v>
      </c>
      <c r="O20" s="729">
        <v>25.668469999999999</v>
      </c>
      <c r="P20" s="680">
        <v>256</v>
      </c>
      <c r="Q20" s="671">
        <v>0</v>
      </c>
      <c r="R20" s="672">
        <v>0</v>
      </c>
      <c r="S20" s="843" t="str">
        <f>IF(CampList[[#This Row],[HH]]&gt;0,CampList[[#This Row],[Total]]/CampList[[#This Row],[HH]],"NA")</f>
        <v>NA</v>
      </c>
      <c r="T20" s="455" t="s">
        <v>513</v>
      </c>
      <c r="U20" s="673" t="s">
        <v>1194</v>
      </c>
      <c r="V20" s="668" t="s">
        <v>556</v>
      </c>
      <c r="W20" s="673" t="s">
        <v>858</v>
      </c>
      <c r="X20" s="881">
        <v>41275</v>
      </c>
      <c r="Y20" s="882"/>
      <c r="Z20" s="881"/>
      <c r="AA20" s="675" t="s">
        <v>843</v>
      </c>
      <c r="AB20" s="883"/>
      <c r="AC20" s="693">
        <v>41774</v>
      </c>
      <c r="AD20" s="885" t="s">
        <v>1049</v>
      </c>
      <c r="AE20" s="682" t="s">
        <v>1010</v>
      </c>
      <c r="AF20" s="686">
        <f>IF(CampList[[#This Row],[Type of Accomodation]]="camp",MAX(0,CampList[[#This Row],[HH]]-SUMIF(Table_Shelter[Pcode],CampList[[#This Row],[CP_Pcode]],Table_Shelter[HH Covered])),0)</f>
        <v>0</v>
      </c>
      <c r="AG20" s="668"/>
      <c r="AH20" s="883">
        <f>MIN(CampList[[#This Row],[Shelter Gap]],CampList[[#This Row],[Land Status]])</f>
        <v>0</v>
      </c>
      <c r="AI20" s="668" t="str">
        <f ca="1">IFERROR(OFFSET(DistanceToCamp[Nearest Town],MATCH(CampList[[#This Row],[CP_Pcode]],DistanceToCamp[CP_Pcode],0)-1,0,1,1),"")</f>
        <v/>
      </c>
      <c r="AJ20" s="936" t="str">
        <f ca="1">IFERROR(OFFSET(DistanceToCamp[distance],MATCH(CampList[[#This Row],[CP_Pcode]],DistanceToCamp[CP_Pcode],0)-1,0,1,1),"")</f>
        <v/>
      </c>
      <c r="AK20" s="960" t="str">
        <f ca="1">IFERROR(INT(CampList[[#This Row],[Distance]]/5)+1,"")</f>
        <v/>
      </c>
      <c r="AL20" s="548"/>
      <c r="AM20" s="548"/>
      <c r="AN20" s="548"/>
      <c r="BD20" s="5"/>
      <c r="BE20" s="5"/>
    </row>
    <row r="21" spans="1:57" s="678" customFormat="1" ht="15.6" hidden="1" customHeight="1" x14ac:dyDescent="0.25">
      <c r="A21" s="819" t="s">
        <v>845</v>
      </c>
      <c r="B21" s="701" t="s">
        <v>380</v>
      </c>
      <c r="C21" s="701" t="s">
        <v>527</v>
      </c>
      <c r="D21" s="701" t="s">
        <v>237</v>
      </c>
      <c r="E21" s="701" t="s">
        <v>533</v>
      </c>
      <c r="F21" s="701" t="s">
        <v>310</v>
      </c>
      <c r="G21" s="701" t="s">
        <v>534</v>
      </c>
      <c r="H21" s="747" t="s">
        <v>720</v>
      </c>
      <c r="I21" s="701"/>
      <c r="J21" s="701"/>
      <c r="K21" s="701"/>
      <c r="L21" s="701" t="s">
        <v>358</v>
      </c>
      <c r="M21" s="701" t="s">
        <v>357</v>
      </c>
      <c r="N21" s="729">
        <v>97.837778</v>
      </c>
      <c r="O21" s="729">
        <v>25.273333000000001</v>
      </c>
      <c r="P21" s="670"/>
      <c r="Q21" s="748">
        <v>0</v>
      </c>
      <c r="R21" s="749">
        <v>0</v>
      </c>
      <c r="S21" s="841" t="str">
        <f>IF(CampList[[#This Row],[HH]]&gt;0,CampList[[#This Row],[Total]]/CampList[[#This Row],[HH]],"NA")</f>
        <v>NA</v>
      </c>
      <c r="T21" s="750" t="s">
        <v>515</v>
      </c>
      <c r="U21" s="703" t="s">
        <v>1194</v>
      </c>
      <c r="V21" s="700" t="s">
        <v>556</v>
      </c>
      <c r="W21" s="703"/>
      <c r="X21" s="876"/>
      <c r="Y21" s="710"/>
      <c r="Z21" s="877"/>
      <c r="AA21" s="753"/>
      <c r="AB21" s="878"/>
      <c r="AC21" s="879"/>
      <c r="AD21" s="880"/>
      <c r="AE21" s="711" t="s">
        <v>1010</v>
      </c>
      <c r="AF21" s="861">
        <f>IF(CampList[[#This Row],[Type of Accomodation]]="camp",MAX(0,CampList[[#This Row],[HH]]-SUMIF(Table_Shelter[Pcode],CampList[[#This Row],[CP_Pcode]],Table_Shelter[HH Covered])),0)</f>
        <v>0</v>
      </c>
      <c r="AG21" s="700"/>
      <c r="AH21" s="878">
        <f>MIN(CampList[[#This Row],[Shelter Gap]],CampList[[#This Row],[Land Status]])</f>
        <v>0</v>
      </c>
      <c r="AI21" s="700" t="str">
        <f ca="1">IFERROR(OFFSET(DistanceToCamp[Nearest Town],MATCH(CampList[[#This Row],[CP_Pcode]],DistanceToCamp[CP_Pcode],0)-1,0,1,1),"")</f>
        <v/>
      </c>
      <c r="AJ21" s="935" t="str">
        <f ca="1">IFERROR(OFFSET(DistanceToCamp[distance],MATCH(CampList[[#This Row],[CP_Pcode]],DistanceToCamp[CP_Pcode],0)-1,0,1,1),"")</f>
        <v/>
      </c>
      <c r="AK21" s="955" t="str">
        <f ca="1">IFERROR(INT(CampList[[#This Row],[Distance]]/5)+1,"")</f>
        <v/>
      </c>
      <c r="AL21" s="548"/>
      <c r="AM21" s="548"/>
      <c r="AN21" s="548"/>
      <c r="BD21" s="5"/>
      <c r="BE21" s="5"/>
    </row>
    <row r="22" spans="1:57" s="678" customFormat="1" ht="15.6" customHeight="1" x14ac:dyDescent="0.25">
      <c r="A22" s="820" t="s">
        <v>502</v>
      </c>
      <c r="B22" s="216" t="s">
        <v>380</v>
      </c>
      <c r="C22" s="216" t="s">
        <v>527</v>
      </c>
      <c r="D22" s="216" t="s">
        <v>5</v>
      </c>
      <c r="E22" s="216" t="s">
        <v>531</v>
      </c>
      <c r="F22" s="216" t="s">
        <v>5</v>
      </c>
      <c r="G22" s="216" t="s">
        <v>532</v>
      </c>
      <c r="H22" s="669" t="s">
        <v>639</v>
      </c>
      <c r="I22" s="669" t="s">
        <v>640</v>
      </c>
      <c r="J22" s="669" t="s">
        <v>645</v>
      </c>
      <c r="K22" s="669" t="s">
        <v>646</v>
      </c>
      <c r="L22" s="435" t="s">
        <v>14</v>
      </c>
      <c r="M22" s="216" t="s">
        <v>13</v>
      </c>
      <c r="N22" s="842">
        <v>97.236919999999998</v>
      </c>
      <c r="O22" s="729">
        <v>24.24766</v>
      </c>
      <c r="P22" s="743">
        <v>0</v>
      </c>
      <c r="Q22" s="681">
        <v>39</v>
      </c>
      <c r="R22" s="681">
        <v>227</v>
      </c>
      <c r="S22" s="843">
        <f>IF(CampList[[#This Row],[HH]]&gt;0,CampList[[#This Row],[Total]]/CampList[[#This Row],[HH]],"NA")</f>
        <v>5.8205128205128203</v>
      </c>
      <c r="T22" s="455" t="s">
        <v>513</v>
      </c>
      <c r="U22" s="673" t="s">
        <v>1194</v>
      </c>
      <c r="V22" s="668" t="s">
        <v>556</v>
      </c>
      <c r="W22" s="673" t="s">
        <v>805</v>
      </c>
      <c r="X22" s="881">
        <v>40878</v>
      </c>
      <c r="Y22" s="882">
        <v>1</v>
      </c>
      <c r="Z22" s="881" t="s">
        <v>462</v>
      </c>
      <c r="AA22" s="675" t="s">
        <v>844</v>
      </c>
      <c r="AB22" s="883"/>
      <c r="AC22" s="693">
        <v>42536</v>
      </c>
      <c r="AD22" s="885" t="s">
        <v>1444</v>
      </c>
      <c r="AE22" s="682" t="s">
        <v>1096</v>
      </c>
      <c r="AF22" s="686">
        <f>IF(CampList[[#This Row],[Type of Accomodation]]="camp",MAX(0,CampList[[#This Row],[HH]]-SUMIF(Table_Shelter[Pcode],CampList[[#This Row],[CP_Pcode]],Table_Shelter[HH Covered])),0)</f>
        <v>1</v>
      </c>
      <c r="AG22" s="668"/>
      <c r="AH22" s="883">
        <f>MIN(CampList[[#This Row],[Shelter Gap]],CampList[[#This Row],[Land Status]])</f>
        <v>1</v>
      </c>
      <c r="AI22" s="668"/>
      <c r="AJ22" s="936">
        <f ca="1">IFERROR(OFFSET(DistanceToCamp[distance],MATCH(CampList[[#This Row],[CP_Pcode]],DistanceToCamp[CP_Pcode],0)-1,0,1,1),"")</f>
        <v>0.84749304721635399</v>
      </c>
      <c r="AK22" s="957">
        <f ca="1">IFERROR(INT(CampList[[#This Row],[Distance]]/5)+1,"")</f>
        <v>1</v>
      </c>
      <c r="AL22" s="548"/>
      <c r="AM22" s="548"/>
      <c r="AN22" s="548"/>
      <c r="BD22" s="5"/>
      <c r="BE22" s="5"/>
    </row>
    <row r="23" spans="1:57" s="678" customFormat="1" ht="15.6" customHeight="1" x14ac:dyDescent="0.25">
      <c r="A23" s="820" t="s">
        <v>502</v>
      </c>
      <c r="B23" s="216" t="s">
        <v>380</v>
      </c>
      <c r="C23" s="216" t="s">
        <v>527</v>
      </c>
      <c r="D23" s="216" t="s">
        <v>5</v>
      </c>
      <c r="E23" s="216" t="s">
        <v>531</v>
      </c>
      <c r="F23" s="216" t="s">
        <v>5</v>
      </c>
      <c r="G23" s="216" t="s">
        <v>532</v>
      </c>
      <c r="H23" s="669" t="s">
        <v>639</v>
      </c>
      <c r="I23" s="669" t="s">
        <v>640</v>
      </c>
      <c r="J23" s="669" t="s">
        <v>645</v>
      </c>
      <c r="K23" s="669" t="s">
        <v>646</v>
      </c>
      <c r="L23" s="216" t="s">
        <v>8</v>
      </c>
      <c r="M23" s="216" t="s">
        <v>7</v>
      </c>
      <c r="N23" s="842">
        <v>97.234200000000001</v>
      </c>
      <c r="O23" s="729">
        <v>24.253067000000001</v>
      </c>
      <c r="P23" s="743">
        <v>0</v>
      </c>
      <c r="Q23" s="671">
        <v>14</v>
      </c>
      <c r="R23" s="672">
        <v>65</v>
      </c>
      <c r="S23" s="843">
        <f>IF(CampList[[#This Row],[HH]]&gt;0,CampList[[#This Row],[Total]]/CampList[[#This Row],[HH]],"NA")</f>
        <v>4.6428571428571432</v>
      </c>
      <c r="T23" s="455" t="s">
        <v>513</v>
      </c>
      <c r="U23" s="673" t="s">
        <v>1194</v>
      </c>
      <c r="V23" s="668" t="s">
        <v>556</v>
      </c>
      <c r="W23" s="673" t="s">
        <v>805</v>
      </c>
      <c r="X23" s="881">
        <v>41183</v>
      </c>
      <c r="Y23" s="882">
        <v>1</v>
      </c>
      <c r="Z23" s="881" t="s">
        <v>507</v>
      </c>
      <c r="AA23" s="675" t="s">
        <v>844</v>
      </c>
      <c r="AB23" s="883"/>
      <c r="AC23" s="693">
        <v>42537</v>
      </c>
      <c r="AD23" s="885" t="s">
        <v>1502</v>
      </c>
      <c r="AE23" s="682" t="s">
        <v>1096</v>
      </c>
      <c r="AF23" s="686">
        <f>IF(CampList[[#This Row],[Type of Accomodation]]="camp",MAX(0,CampList[[#This Row],[HH]]-SUMIF(Table_Shelter[Pcode],CampList[[#This Row],[CP_Pcode]],Table_Shelter[HH Covered])),0)</f>
        <v>0</v>
      </c>
      <c r="AG23" s="668"/>
      <c r="AH23" s="883">
        <f>MIN(CampList[[#This Row],[Shelter Gap]],CampList[[#This Row],[Land Status]])</f>
        <v>0</v>
      </c>
      <c r="AI23" s="668" t="str">
        <f ca="1">IFERROR(OFFSET(DistanceToCamp[Nearest Town],MATCH(CampList[[#This Row],[CP_Pcode]],DistanceToCamp[CP_Pcode],0)-1,0,1,1),"")</f>
        <v>Bhamo Town</v>
      </c>
      <c r="AJ23" s="936">
        <f ca="1">IFERROR(OFFSET(DistanceToCamp[distance],MATCH(CampList[[#This Row],[CP_Pcode]],DistanceToCamp[CP_Pcode],0)-1,0,1,1),"")</f>
        <v>0.20824727902294948</v>
      </c>
      <c r="AK23" s="957">
        <f ca="1">IFERROR(INT(CampList[[#This Row],[Distance]]/5)+1,"")</f>
        <v>1</v>
      </c>
      <c r="AL23" s="548"/>
      <c r="AM23" s="548"/>
      <c r="AN23" s="548"/>
      <c r="BD23" s="5"/>
      <c r="BE23" s="5"/>
    </row>
    <row r="24" spans="1:57" s="678" customFormat="1" ht="15.6" customHeight="1" x14ac:dyDescent="0.25">
      <c r="A24" s="820" t="s">
        <v>502</v>
      </c>
      <c r="B24" s="216" t="s">
        <v>380</v>
      </c>
      <c r="C24" s="216" t="s">
        <v>527</v>
      </c>
      <c r="D24" s="216" t="s">
        <v>5</v>
      </c>
      <c r="E24" s="216" t="s">
        <v>531</v>
      </c>
      <c r="F24" s="216" t="s">
        <v>5</v>
      </c>
      <c r="G24" s="216" t="s">
        <v>532</v>
      </c>
      <c r="H24" s="679" t="s">
        <v>639</v>
      </c>
      <c r="I24" s="679" t="s">
        <v>640</v>
      </c>
      <c r="J24" s="679" t="s">
        <v>643</v>
      </c>
      <c r="K24" s="679" t="s">
        <v>644</v>
      </c>
      <c r="L24" s="435" t="s">
        <v>22</v>
      </c>
      <c r="M24" s="216" t="s">
        <v>21</v>
      </c>
      <c r="N24" s="842">
        <v>97.229116811594196</v>
      </c>
      <c r="O24" s="729">
        <v>24.268292826086999</v>
      </c>
      <c r="P24" s="743"/>
      <c r="Q24" s="681">
        <v>629</v>
      </c>
      <c r="R24" s="657">
        <v>3798</v>
      </c>
      <c r="S24" s="843">
        <f>IF(CampList[[#This Row],[HH]]&gt;0,CampList[[#This Row],[Total]]/CampList[[#This Row],[HH]],"NA")</f>
        <v>6.0381558028616853</v>
      </c>
      <c r="T24" s="455" t="s">
        <v>513</v>
      </c>
      <c r="U24" s="673" t="s">
        <v>1194</v>
      </c>
      <c r="V24" s="668" t="s">
        <v>556</v>
      </c>
      <c r="W24" s="673" t="s">
        <v>805</v>
      </c>
      <c r="X24" s="881">
        <v>40725</v>
      </c>
      <c r="Y24" s="882">
        <v>3</v>
      </c>
      <c r="Z24" s="881" t="s">
        <v>462</v>
      </c>
      <c r="AA24" s="433" t="s">
        <v>844</v>
      </c>
      <c r="AB24" s="883"/>
      <c r="AC24" s="693">
        <v>42536</v>
      </c>
      <c r="AD24" s="884" t="s">
        <v>1444</v>
      </c>
      <c r="AE24" s="682" t="s">
        <v>1096</v>
      </c>
      <c r="AF24" s="686">
        <f>IF(CampList[[#This Row],[Type of Accomodation]]="camp",MAX(0,CampList[[#This Row],[HH]]-SUMIF(Table_Shelter[Pcode],CampList[[#This Row],[CP_Pcode]],Table_Shelter[HH Covered])),0)</f>
        <v>204</v>
      </c>
      <c r="AG24" s="686"/>
      <c r="AH24" s="883">
        <f>MIN(CampList[[#This Row],[Shelter Gap]],CampList[[#This Row],[Land Status]])</f>
        <v>204</v>
      </c>
      <c r="AI24" s="668" t="str">
        <f ca="1">IFERROR(OFFSET(DistanceToCamp[Nearest Town],MATCH(CampList[[#This Row],[CP_Pcode]],DistanceToCamp[CP_Pcode],0)-1,0,1,1),"")</f>
        <v>Bhamo Town</v>
      </c>
      <c r="AJ24" s="936">
        <f ca="1">IFERROR(OFFSET(DistanceToCamp[distance],MATCH(CampList[[#This Row],[CP_Pcode]],DistanceToCamp[CP_Pcode],0)-1,0,1,1),"")</f>
        <v>1.5797992800898704</v>
      </c>
      <c r="AK24" s="957">
        <f ca="1">IFERROR(INT(CampList[[#This Row],[Distance]]/5)+1,"")</f>
        <v>1</v>
      </c>
      <c r="AL24" s="548"/>
      <c r="AM24" s="548"/>
      <c r="AN24" s="548"/>
      <c r="BD24" s="5"/>
      <c r="BE24" s="5"/>
    </row>
    <row r="25" spans="1:57" s="678" customFormat="1" ht="15.6" customHeight="1" x14ac:dyDescent="0.25">
      <c r="A25" s="820" t="s">
        <v>502</v>
      </c>
      <c r="B25" s="216" t="s">
        <v>380</v>
      </c>
      <c r="C25" s="216" t="s">
        <v>527</v>
      </c>
      <c r="D25" s="216" t="s">
        <v>5</v>
      </c>
      <c r="E25" s="216" t="s">
        <v>531</v>
      </c>
      <c r="F25" s="216" t="s">
        <v>5</v>
      </c>
      <c r="G25" s="216" t="s">
        <v>532</v>
      </c>
      <c r="H25" s="679" t="s">
        <v>639</v>
      </c>
      <c r="I25" s="679" t="s">
        <v>640</v>
      </c>
      <c r="J25" s="679" t="s">
        <v>641</v>
      </c>
      <c r="K25" s="679" t="s">
        <v>642</v>
      </c>
      <c r="L25" s="216" t="s">
        <v>24</v>
      </c>
      <c r="M25" s="216" t="s">
        <v>23</v>
      </c>
      <c r="N25" s="842">
        <v>97.227789999999999</v>
      </c>
      <c r="O25" s="729">
        <v>24.29138</v>
      </c>
      <c r="P25" s="743">
        <v>0</v>
      </c>
      <c r="Q25" s="692">
        <v>21</v>
      </c>
      <c r="R25" s="687">
        <v>97</v>
      </c>
      <c r="S25" s="843">
        <f>IF(CampList[[#This Row],[HH]]&gt;0,CampList[[#This Row],[Total]]/CampList[[#This Row],[HH]],"NA")</f>
        <v>4.6190476190476186</v>
      </c>
      <c r="T25" s="455" t="s">
        <v>513</v>
      </c>
      <c r="U25" s="673" t="s">
        <v>1194</v>
      </c>
      <c r="V25" s="668" t="s">
        <v>556</v>
      </c>
      <c r="W25" s="673" t="s">
        <v>805</v>
      </c>
      <c r="X25" s="881">
        <v>41030</v>
      </c>
      <c r="Y25" s="882">
        <v>2</v>
      </c>
      <c r="Z25" s="881" t="s">
        <v>507</v>
      </c>
      <c r="AA25" s="433" t="s">
        <v>844</v>
      </c>
      <c r="AB25" s="883"/>
      <c r="AC25" s="693">
        <v>42537</v>
      </c>
      <c r="AD25" s="884" t="s">
        <v>1510</v>
      </c>
      <c r="AE25" s="682" t="s">
        <v>1096</v>
      </c>
      <c r="AF25" s="686">
        <f>IF(CampList[[#This Row],[Type of Accomodation]]="camp",MAX(0,CampList[[#This Row],[HH]]-SUMIF(Table_Shelter[Pcode],CampList[[#This Row],[CP_Pcode]],Table_Shelter[HH Covered])),0)</f>
        <v>0</v>
      </c>
      <c r="AG25" s="668">
        <v>0</v>
      </c>
      <c r="AH25" s="883">
        <f>MIN(CampList[[#This Row],[Shelter Gap]],CampList[[#This Row],[Land Status]])</f>
        <v>0</v>
      </c>
      <c r="AI25" s="668" t="str">
        <f ca="1">IFERROR(OFFSET(DistanceToCamp[Nearest Town],MATCH(CampList[[#This Row],[CP_Pcode]],DistanceToCamp[CP_Pcode],0)-1,0,1,1),"")</f>
        <v>Bhamo Town</v>
      </c>
      <c r="AJ25" s="936">
        <f ca="1">IFERROR(OFFSET(DistanceToCamp[distance],MATCH(CampList[[#This Row],[CP_Pcode]],DistanceToCamp[CP_Pcode],0)-1,0,1,1),"")</f>
        <v>4.108228790802368</v>
      </c>
      <c r="AK25" s="957">
        <f ca="1">IFERROR(INT(CampList[[#This Row],[Distance]]/5)+1,"")</f>
        <v>1</v>
      </c>
      <c r="AL25" s="548"/>
      <c r="AM25" s="548"/>
      <c r="AN25" s="548"/>
      <c r="BD25" s="5"/>
      <c r="BE25" s="5"/>
    </row>
    <row r="26" spans="1:57" s="678" customFormat="1" ht="15.6" hidden="1" customHeight="1" x14ac:dyDescent="0.25">
      <c r="A26" s="821" t="s">
        <v>845</v>
      </c>
      <c r="B26" s="764" t="s">
        <v>380</v>
      </c>
      <c r="C26" s="764" t="s">
        <v>527</v>
      </c>
      <c r="D26" s="764" t="s">
        <v>180</v>
      </c>
      <c r="E26" s="764" t="s">
        <v>528</v>
      </c>
      <c r="F26" s="764" t="s">
        <v>529</v>
      </c>
      <c r="G26" s="764" t="s">
        <v>530</v>
      </c>
      <c r="H26" s="764"/>
      <c r="I26" s="764"/>
      <c r="J26" s="764"/>
      <c r="K26" s="764"/>
      <c r="L26" s="764" t="s">
        <v>70</v>
      </c>
      <c r="M26" s="764" t="s">
        <v>69</v>
      </c>
      <c r="N26" s="729"/>
      <c r="O26" s="729"/>
      <c r="P26" s="670"/>
      <c r="Q26" s="766">
        <v>0</v>
      </c>
      <c r="R26" s="767">
        <v>0</v>
      </c>
      <c r="S26" s="844" t="str">
        <f>IF(CampList[[#This Row],[HH]]&gt;0,CampList[[#This Row],[Total]]/CampList[[#This Row],[HH]],"NA")</f>
        <v>NA</v>
      </c>
      <c r="T26" s="768" t="s">
        <v>513</v>
      </c>
      <c r="U26" s="769" t="s">
        <v>1194</v>
      </c>
      <c r="V26" s="763" t="s">
        <v>556</v>
      </c>
      <c r="W26" s="769"/>
      <c r="X26" s="886"/>
      <c r="Y26" s="887"/>
      <c r="Z26" s="888"/>
      <c r="AA26" s="771"/>
      <c r="AB26" s="889"/>
      <c r="AC26" s="890"/>
      <c r="AD26" s="891" t="s">
        <v>603</v>
      </c>
      <c r="AE26" s="770" t="s">
        <v>1010</v>
      </c>
      <c r="AF26" s="860">
        <f>IF(CampList[[#This Row],[Type of Accomodation]]="camp",MAX(0,CampList[[#This Row],[HH]]-SUMIF(Table_Shelter[Pcode],CampList[[#This Row],[CP_Pcode]],Table_Shelter[HH Covered])),0)</f>
        <v>0</v>
      </c>
      <c r="AG26" s="763"/>
      <c r="AH26" s="889">
        <f>MIN(CampList[[#This Row],[Shelter Gap]],CampList[[#This Row],[Land Status]])</f>
        <v>0</v>
      </c>
      <c r="AI26" s="763" t="str">
        <f ca="1">IFERROR(OFFSET(DistanceToCamp[Nearest Town],MATCH(CampList[[#This Row],[CP_Pcode]],DistanceToCamp[CP_Pcode],0)-1,0,1,1),"")</f>
        <v/>
      </c>
      <c r="AJ26" s="937" t="str">
        <f ca="1">IFERROR(OFFSET(DistanceToCamp[distance],MATCH(CampList[[#This Row],[CP_Pcode]],DistanceToCamp[CP_Pcode],0)-1,0,1,1),"")</f>
        <v/>
      </c>
      <c r="AK26" s="958" t="str">
        <f ca="1">IFERROR(INT(CampList[[#This Row],[Distance]]/5)+1,"")</f>
        <v/>
      </c>
      <c r="AL26" s="548"/>
      <c r="AM26" s="548"/>
      <c r="AN26" s="548"/>
      <c r="BD26" s="5"/>
      <c r="BE26" s="5"/>
    </row>
    <row r="27" spans="1:57" s="678" customFormat="1" ht="15.6" customHeight="1" x14ac:dyDescent="0.25">
      <c r="A27" s="820" t="s">
        <v>502</v>
      </c>
      <c r="B27" s="216" t="s">
        <v>380</v>
      </c>
      <c r="C27" s="216" t="s">
        <v>527</v>
      </c>
      <c r="D27" s="216" t="s">
        <v>237</v>
      </c>
      <c r="E27" s="216" t="s">
        <v>533</v>
      </c>
      <c r="F27" s="216" t="s">
        <v>27</v>
      </c>
      <c r="G27" s="216" t="s">
        <v>536</v>
      </c>
      <c r="H27" s="669" t="s">
        <v>795</v>
      </c>
      <c r="I27" s="669" t="s">
        <v>796</v>
      </c>
      <c r="J27" s="669" t="s">
        <v>797</v>
      </c>
      <c r="K27" s="669">
        <v>166355</v>
      </c>
      <c r="L27" s="435" t="s">
        <v>364</v>
      </c>
      <c r="M27" s="216" t="s">
        <v>29</v>
      </c>
      <c r="N27" s="842">
        <v>98.475719999999995</v>
      </c>
      <c r="O27" s="729">
        <v>25.754110000000001</v>
      </c>
      <c r="P27" s="743">
        <v>2785</v>
      </c>
      <c r="Q27" s="671">
        <v>154</v>
      </c>
      <c r="R27" s="672">
        <v>920</v>
      </c>
      <c r="S27" s="843">
        <f>IF(CampList[[#This Row],[HH]]&gt;0,CampList[[#This Row],[Total]]/CampList[[#This Row],[HH]],"NA")</f>
        <v>5.9740259740259738</v>
      </c>
      <c r="T27" s="455" t="s">
        <v>515</v>
      </c>
      <c r="U27" s="673" t="s">
        <v>1194</v>
      </c>
      <c r="V27" s="668" t="s">
        <v>556</v>
      </c>
      <c r="W27" s="673" t="s">
        <v>859</v>
      </c>
      <c r="X27" s="881">
        <v>41030</v>
      </c>
      <c r="Y27" s="882">
        <v>2</v>
      </c>
      <c r="Z27" s="881" t="s">
        <v>462</v>
      </c>
      <c r="AA27" s="684" t="s">
        <v>844</v>
      </c>
      <c r="AB27" s="883"/>
      <c r="AC27" s="693">
        <v>42502</v>
      </c>
      <c r="AD27" s="915" t="s">
        <v>1393</v>
      </c>
      <c r="AE27" s="682" t="s">
        <v>1080</v>
      </c>
      <c r="AF27" s="686">
        <f>IF(CampList[[#This Row],[Type of Accomodation]]="camp",MAX(0,CampList[[#This Row],[HH]]-SUMIF(Table_Shelter[Pcode],CampList[[#This Row],[CP_Pcode]],Table_Shelter[HH Covered])),0)</f>
        <v>154</v>
      </c>
      <c r="AG27" s="668"/>
      <c r="AH27" s="883">
        <f>MIN(CampList[[#This Row],[Shelter Gap]],CampList[[#This Row],[Land Status]])</f>
        <v>154</v>
      </c>
      <c r="AI27" s="668" t="str">
        <f ca="1">IFERROR(OFFSET(DistanceToCamp[Nearest Town],MATCH(CampList[[#This Row],[CP_Pcode]],DistanceToCamp[CP_Pcode],0)-1,0,1,1),"")</f>
        <v>Pang War Town</v>
      </c>
      <c r="AJ27" s="936">
        <f ca="1">IFERROR(OFFSET(DistanceToCamp[distance],MATCH(CampList[[#This Row],[CP_Pcode]],DistanceToCamp[CP_Pcode],0)-1,0,1,1),"")</f>
        <v>19.834999342466848</v>
      </c>
      <c r="AK27" s="957">
        <f ca="1">IFERROR(INT(CampList[[#This Row],[Distance]]/5)+1,"")</f>
        <v>4</v>
      </c>
      <c r="AL27" s="548"/>
      <c r="AM27" s="548"/>
      <c r="AN27" s="548"/>
      <c r="BD27" s="5"/>
      <c r="BE27" s="5"/>
    </row>
    <row r="28" spans="1:57" s="678" customFormat="1" ht="15.6" hidden="1" customHeight="1" x14ac:dyDescent="0.25">
      <c r="A28" s="821" t="s">
        <v>845</v>
      </c>
      <c r="B28" s="764" t="s">
        <v>380</v>
      </c>
      <c r="C28" s="764" t="s">
        <v>527</v>
      </c>
      <c r="D28" s="764" t="s">
        <v>5</v>
      </c>
      <c r="E28" s="764" t="s">
        <v>531</v>
      </c>
      <c r="F28" s="764" t="s">
        <v>5</v>
      </c>
      <c r="G28" s="764" t="s">
        <v>532</v>
      </c>
      <c r="H28" s="764"/>
      <c r="I28" s="764"/>
      <c r="J28" s="764"/>
      <c r="K28" s="764"/>
      <c r="L28" s="824" t="s">
        <v>10</v>
      </c>
      <c r="M28" s="764" t="s">
        <v>9</v>
      </c>
      <c r="N28" s="729"/>
      <c r="O28" s="729"/>
      <c r="P28" s="670"/>
      <c r="Q28" s="766">
        <v>0</v>
      </c>
      <c r="R28" s="767">
        <v>0</v>
      </c>
      <c r="S28" s="844" t="str">
        <f>IF(CampList[[#This Row],[HH]]&gt;0,CampList[[#This Row],[Total]]/CampList[[#This Row],[HH]],"NA")</f>
        <v>NA</v>
      </c>
      <c r="T28" s="768" t="s">
        <v>513</v>
      </c>
      <c r="U28" s="769" t="s">
        <v>1194</v>
      </c>
      <c r="V28" s="772" t="s">
        <v>12</v>
      </c>
      <c r="W28" s="769"/>
      <c r="X28" s="886"/>
      <c r="Y28" s="887"/>
      <c r="Z28" s="888"/>
      <c r="AA28" s="785"/>
      <c r="AB28" s="889" t="s">
        <v>1254</v>
      </c>
      <c r="AC28" s="903">
        <v>41666</v>
      </c>
      <c r="AD28" s="904" t="s">
        <v>942</v>
      </c>
      <c r="AE28" s="770" t="s">
        <v>1010</v>
      </c>
      <c r="AF28" s="860">
        <f>IF(CampList[[#This Row],[Type of Accomodation]]="camp",MAX(0,CampList[[#This Row],[HH]]-SUMIF(Table_Shelter[Pcode],CampList[[#This Row],[CP_Pcode]],Table_Shelter[HH Covered])),0)</f>
        <v>0</v>
      </c>
      <c r="AG28" s="763"/>
      <c r="AH28" s="889">
        <f>MIN(CampList[[#This Row],[Shelter Gap]],CampList[[#This Row],[Land Status]])</f>
        <v>0</v>
      </c>
      <c r="AI28" s="763" t="str">
        <f ca="1">IFERROR(OFFSET(DistanceToCamp[Nearest Town],MATCH(CampList[[#This Row],[CP_Pcode]],DistanceToCamp[CP_Pcode],0)-1,0,1,1),"")</f>
        <v/>
      </c>
      <c r="AJ28" s="937" t="str">
        <f ca="1">IFERROR(OFFSET(DistanceToCamp[distance],MATCH(CampList[[#This Row],[CP_Pcode]],DistanceToCamp[CP_Pcode],0)-1,0,1,1),"")</f>
        <v/>
      </c>
      <c r="AK28" s="958" t="str">
        <f ca="1">IFERROR(INT(CampList[[#This Row],[Distance]]/5)+1,"")</f>
        <v/>
      </c>
      <c r="AL28" s="548"/>
      <c r="AM28" s="548"/>
      <c r="AN28" s="548"/>
      <c r="BD28" s="5"/>
      <c r="BE28" s="5"/>
    </row>
    <row r="29" spans="1:57" s="678" customFormat="1" ht="15.6" customHeight="1" x14ac:dyDescent="0.25">
      <c r="A29" s="820" t="s">
        <v>502</v>
      </c>
      <c r="B29" s="216" t="s">
        <v>380</v>
      </c>
      <c r="C29" s="216" t="s">
        <v>527</v>
      </c>
      <c r="D29" s="216" t="s">
        <v>237</v>
      </c>
      <c r="E29" s="216" t="s">
        <v>533</v>
      </c>
      <c r="F29" s="216" t="s">
        <v>27</v>
      </c>
      <c r="G29" s="216" t="s">
        <v>536</v>
      </c>
      <c r="H29" s="669" t="s">
        <v>790</v>
      </c>
      <c r="I29" s="669" t="s">
        <v>791</v>
      </c>
      <c r="J29" s="669" t="s">
        <v>792</v>
      </c>
      <c r="K29" s="669">
        <v>166337</v>
      </c>
      <c r="L29" s="216" t="s">
        <v>34</v>
      </c>
      <c r="M29" s="216" t="s">
        <v>33</v>
      </c>
      <c r="N29" s="842">
        <v>98.354146999999998</v>
      </c>
      <c r="O29" s="729">
        <v>25.708763000000001</v>
      </c>
      <c r="P29" s="744"/>
      <c r="Q29" s="671"/>
      <c r="R29" s="672"/>
      <c r="S29" s="843" t="str">
        <f>IF(CampList[[#This Row],[HH]]&gt;0,CampList[[#This Row],[Total]]/CampList[[#This Row],[HH]],"NA")</f>
        <v>NA</v>
      </c>
      <c r="T29" s="455" t="s">
        <v>513</v>
      </c>
      <c r="U29" s="673" t="s">
        <v>1194</v>
      </c>
      <c r="V29" s="676" t="s">
        <v>12</v>
      </c>
      <c r="W29" s="673" t="s">
        <v>858</v>
      </c>
      <c r="X29" s="898"/>
      <c r="Y29" s="670"/>
      <c r="Z29" s="899"/>
      <c r="AA29" s="985"/>
      <c r="AB29" s="883"/>
      <c r="AC29" s="991"/>
      <c r="AD29" s="885"/>
      <c r="AE29" s="674" t="s">
        <v>1080</v>
      </c>
      <c r="AF29" s="686">
        <f>IF(CampList[[#This Row],[Type of Accomodation]]="camp",MAX(0,CampList[[#This Row],[HH]]-SUMIF(Table_Shelter[Pcode],CampList[[#This Row],[CP_Pcode]],Table_Shelter[HH Covered])),0)</f>
        <v>0</v>
      </c>
      <c r="AG29" s="668"/>
      <c r="AH29" s="883">
        <f>MIN(CampList[[#This Row],[Shelter Gap]],CampList[[#This Row],[Land Status]])</f>
        <v>0</v>
      </c>
      <c r="AI29" s="668" t="str">
        <f ca="1">IFERROR(OFFSET(DistanceToCamp[Nearest Town],MATCH(CampList[[#This Row],[CP_Pcode]],DistanceToCamp[CP_Pcode],0)-1,0,1,1),"")</f>
        <v>Pang War Town</v>
      </c>
      <c r="AJ29" s="936">
        <f ca="1">IFERROR(OFFSET(DistanceToCamp[distance],MATCH(CampList[[#This Row],[CP_Pcode]],DistanceToCamp[CP_Pcode],0)-1,0,1,1),"")</f>
        <v>12.486065224161463</v>
      </c>
      <c r="AK29" s="957">
        <f ca="1">IFERROR(INT(CampList[[#This Row],[Distance]]/5)+1,"")</f>
        <v>3</v>
      </c>
      <c r="AL29" s="548"/>
      <c r="AM29" s="548"/>
      <c r="AN29" s="548"/>
      <c r="BD29" s="5"/>
      <c r="BE29" s="5"/>
    </row>
    <row r="30" spans="1:57" s="678" customFormat="1" ht="15.6" customHeight="1" x14ac:dyDescent="0.25">
      <c r="A30" s="820" t="s">
        <v>502</v>
      </c>
      <c r="B30" s="216" t="s">
        <v>380</v>
      </c>
      <c r="C30" s="216" t="s">
        <v>527</v>
      </c>
      <c r="D30" s="216" t="s">
        <v>237</v>
      </c>
      <c r="E30" s="216" t="s">
        <v>533</v>
      </c>
      <c r="F30" s="216" t="s">
        <v>27</v>
      </c>
      <c r="G30" s="216" t="s">
        <v>536</v>
      </c>
      <c r="H30" s="679" t="s">
        <v>793</v>
      </c>
      <c r="I30" s="679" t="s">
        <v>794</v>
      </c>
      <c r="J30" s="679" t="s">
        <v>1408</v>
      </c>
      <c r="K30" s="652" t="s">
        <v>1407</v>
      </c>
      <c r="L30" s="216" t="s">
        <v>28</v>
      </c>
      <c r="M30" s="216" t="s">
        <v>30</v>
      </c>
      <c r="N30" s="842">
        <v>98.131550000000004</v>
      </c>
      <c r="O30" s="729">
        <v>25.889410000000002</v>
      </c>
      <c r="P30" s="743">
        <v>304</v>
      </c>
      <c r="Q30" s="671">
        <v>109</v>
      </c>
      <c r="R30" s="672">
        <v>504</v>
      </c>
      <c r="S30" s="843">
        <f>IF(CampList[[#This Row],[HH]]&gt;0,CampList[[#This Row],[Total]]/CampList[[#This Row],[HH]],"NA")</f>
        <v>4.6238532110091741</v>
      </c>
      <c r="T30" s="455" t="s">
        <v>513</v>
      </c>
      <c r="U30" s="673" t="s">
        <v>1194</v>
      </c>
      <c r="V30" s="668" t="s">
        <v>556</v>
      </c>
      <c r="W30" s="673" t="s">
        <v>805</v>
      </c>
      <c r="X30" s="881">
        <v>41244</v>
      </c>
      <c r="Y30" s="882">
        <v>1</v>
      </c>
      <c r="Z30" s="881" t="s">
        <v>507</v>
      </c>
      <c r="AA30" s="684" t="s">
        <v>844</v>
      </c>
      <c r="AB30" s="883"/>
      <c r="AC30" s="693">
        <v>42537</v>
      </c>
      <c r="AD30" s="885" t="s">
        <v>1492</v>
      </c>
      <c r="AE30" s="682" t="s">
        <v>1080</v>
      </c>
      <c r="AF30" s="686">
        <f>IF(CampList[[#This Row],[Type of Accomodation]]="camp",MAX(0,CampList[[#This Row],[HH]]-SUMIF(Table_Shelter[Pcode],CampList[[#This Row],[CP_Pcode]],Table_Shelter[HH Covered])),0)</f>
        <v>2</v>
      </c>
      <c r="AG30" s="668"/>
      <c r="AH30" s="883">
        <f>MIN(CampList[[#This Row],[Shelter Gap]],CampList[[#This Row],[Land Status]])</f>
        <v>2</v>
      </c>
      <c r="AI30" s="668" t="str">
        <f ca="1">IFERROR(OFFSET(DistanceToCamp[Nearest Town],MATCH(CampList[[#This Row],[CP_Pcode]],DistanceToCamp[CP_Pcode],0)-1,0,1,1),"")</f>
        <v>Chipwi Town</v>
      </c>
      <c r="AJ30" s="936">
        <f ca="1">IFERROR(OFFSET(DistanceToCamp[distance],MATCH(CampList[[#This Row],[CP_Pcode]],DistanceToCamp[CP_Pcode],0)-1,0,1,1),"")</f>
        <v>0.15809623370782155</v>
      </c>
      <c r="AK30" s="957">
        <f ca="1">IFERROR(INT(CampList[[#This Row],[Distance]]/5)+1,"")</f>
        <v>1</v>
      </c>
      <c r="AL30" s="548"/>
      <c r="AM30" s="548"/>
      <c r="AN30" s="548"/>
      <c r="BD30" s="5"/>
      <c r="BE30" s="5"/>
    </row>
    <row r="31" spans="1:57" s="678" customFormat="1" ht="15.6" customHeight="1" x14ac:dyDescent="0.25">
      <c r="A31" s="825" t="s">
        <v>502</v>
      </c>
      <c r="B31" s="677" t="s">
        <v>380</v>
      </c>
      <c r="C31" s="677" t="s">
        <v>527</v>
      </c>
      <c r="D31" s="677" t="s">
        <v>237</v>
      </c>
      <c r="E31" s="677" t="s">
        <v>533</v>
      </c>
      <c r="F31" s="677" t="s">
        <v>27</v>
      </c>
      <c r="G31" s="677" t="s">
        <v>536</v>
      </c>
      <c r="H31" s="677" t="s">
        <v>1198</v>
      </c>
      <c r="I31" s="689" t="s">
        <v>1418</v>
      </c>
      <c r="J31" s="677" t="s">
        <v>718</v>
      </c>
      <c r="K31" s="677" t="s">
        <v>1419</v>
      </c>
      <c r="L31" s="677" t="s">
        <v>866</v>
      </c>
      <c r="M31" s="677" t="s">
        <v>865</v>
      </c>
      <c r="N31" s="847">
        <v>98.377780000000001</v>
      </c>
      <c r="O31" s="681">
        <v>25.60867</v>
      </c>
      <c r="P31" s="744">
        <v>2345</v>
      </c>
      <c r="Q31" s="681">
        <v>60</v>
      </c>
      <c r="R31" s="687">
        <v>275</v>
      </c>
      <c r="S31" s="843">
        <f>IF(CampList[[#This Row],[HH]]&gt;0,CampList[[#This Row],[Total]]/CampList[[#This Row],[HH]],"NA")</f>
        <v>4.583333333333333</v>
      </c>
      <c r="T31" s="420" t="s">
        <v>513</v>
      </c>
      <c r="U31" s="455" t="s">
        <v>1194</v>
      </c>
      <c r="V31" s="420" t="s">
        <v>556</v>
      </c>
      <c r="W31" s="686" t="s">
        <v>858</v>
      </c>
      <c r="X31" s="905">
        <v>41091</v>
      </c>
      <c r="Y31" s="670">
        <v>1</v>
      </c>
      <c r="Z31" s="670" t="s">
        <v>1093</v>
      </c>
      <c r="AA31" s="681" t="s">
        <v>844</v>
      </c>
      <c r="AB31" s="907"/>
      <c r="AC31" s="693">
        <v>42537</v>
      </c>
      <c r="AD31" s="726" t="s">
        <v>1478</v>
      </c>
      <c r="AE31" s="690" t="s">
        <v>1080</v>
      </c>
      <c r="AF31" s="732">
        <f>IF(CampList[[#This Row],[Type of Accomodation]]="camp",MAX(0,CampList[[#This Row],[HH]]-SUMIF(Table_Shelter[Pcode],CampList[[#This Row],[CP_Pcode]],Table_Shelter[HH Covered])),0)</f>
        <v>60</v>
      </c>
      <c r="AG31" s="686"/>
      <c r="AH31" s="692">
        <f>MIN(CampList[[#This Row],[Shelter Gap]],CampList[[#This Row],[Land Status]])</f>
        <v>60</v>
      </c>
      <c r="AI31" s="732" t="str">
        <f ca="1">IFERROR(OFFSET(DistanceToCamp[Nearest Town],MATCH(CampList[[#This Row],[CP_Pcode]],DistanceToCamp[CP_Pcode],0)-1,0,1,1),"")</f>
        <v>Pang War Town</v>
      </c>
      <c r="AJ31" s="936">
        <f ca="1">IFERROR(OFFSET(DistanceToCamp[distance],MATCH(CampList[[#This Row],[CP_Pcode]],DistanceToCamp[CP_Pcode],0)-1,0,1,1),"")</f>
        <v>0.18710270881855062</v>
      </c>
      <c r="AK31" s="956">
        <f ca="1">IFERROR(INT(CampList[[#This Row],[Distance]]/5)+1,"")</f>
        <v>1</v>
      </c>
      <c r="AL31" s="548"/>
      <c r="AM31" s="548"/>
      <c r="AN31" s="548"/>
      <c r="BD31" s="5"/>
      <c r="BE31" s="5"/>
    </row>
    <row r="32" spans="1:57" s="678" customFormat="1" ht="15.6" customHeight="1" x14ac:dyDescent="0.25">
      <c r="A32" s="825" t="s">
        <v>502</v>
      </c>
      <c r="B32" s="677" t="s">
        <v>380</v>
      </c>
      <c r="C32" s="677" t="s">
        <v>527</v>
      </c>
      <c r="D32" s="677" t="s">
        <v>237</v>
      </c>
      <c r="E32" s="677" t="s">
        <v>533</v>
      </c>
      <c r="F32" s="677" t="s">
        <v>27</v>
      </c>
      <c r="G32" s="677" t="s">
        <v>536</v>
      </c>
      <c r="H32" s="677" t="s">
        <v>792</v>
      </c>
      <c r="I32" s="689" t="s">
        <v>791</v>
      </c>
      <c r="J32" s="677" t="s">
        <v>1022</v>
      </c>
      <c r="K32" s="677"/>
      <c r="L32" s="677" t="s">
        <v>1022</v>
      </c>
      <c r="M32" s="677" t="s">
        <v>1023</v>
      </c>
      <c r="N32" s="847">
        <v>98.356260000000006</v>
      </c>
      <c r="O32" s="681">
        <v>25.645959999999999</v>
      </c>
      <c r="P32" s="744">
        <v>1945</v>
      </c>
      <c r="Q32" s="681">
        <v>30</v>
      </c>
      <c r="R32" s="687">
        <v>174</v>
      </c>
      <c r="S32" s="843">
        <f>IF(CampList[[#This Row],[HH]]&gt;0,CampList[[#This Row],[Total]]/CampList[[#This Row],[HH]],"NA")</f>
        <v>5.8</v>
      </c>
      <c r="T32" s="420" t="s">
        <v>513</v>
      </c>
      <c r="U32" s="455" t="s">
        <v>1194</v>
      </c>
      <c r="V32" s="420" t="s">
        <v>556</v>
      </c>
      <c r="W32" s="686" t="s">
        <v>805</v>
      </c>
      <c r="X32" s="905">
        <v>41091</v>
      </c>
      <c r="Y32" s="670"/>
      <c r="Z32" s="670" t="s">
        <v>1093</v>
      </c>
      <c r="AA32" s="681" t="s">
        <v>844</v>
      </c>
      <c r="AB32" s="907"/>
      <c r="AC32" s="693">
        <v>42537</v>
      </c>
      <c r="AD32" s="726" t="s">
        <v>1475</v>
      </c>
      <c r="AE32" s="690" t="s">
        <v>1080</v>
      </c>
      <c r="AF32" s="732">
        <f>IF(CampList[[#This Row],[Type of Accomodation]]="camp",MAX(0,CampList[[#This Row],[HH]]-SUMIF(Table_Shelter[Pcode],CampList[[#This Row],[CP_Pcode]],Table_Shelter[HH Covered])),0)</f>
        <v>30</v>
      </c>
      <c r="AG32" s="686"/>
      <c r="AH32" s="692">
        <f>MIN(CampList[[#This Row],[Shelter Gap]],CampList[[#This Row],[Land Status]])</f>
        <v>30</v>
      </c>
      <c r="AI32" s="732" t="str">
        <f ca="1">IFERROR(OFFSET(DistanceToCamp[Nearest Town],MATCH(CampList[[#This Row],[CP_Pcode]],DistanceToCamp[CP_Pcode],0)-1,0,1,1),"")</f>
        <v>Naypyitaw Town</v>
      </c>
      <c r="AJ32" s="936">
        <f ca="1">IFERROR(OFFSET(DistanceToCamp[distance],MATCH(CampList[[#This Row],[CP_Pcode]],DistanceToCamp[CP_Pcode],0)-1,0,1,1),"")</f>
        <v>0</v>
      </c>
      <c r="AK32" s="956">
        <f ca="1">IFERROR(INT(CampList[[#This Row],[Distance]]/5)+1,"")</f>
        <v>1</v>
      </c>
      <c r="AL32" s="548"/>
      <c r="AM32" s="548"/>
      <c r="AN32" s="548"/>
      <c r="BD32" s="5"/>
      <c r="BE32" s="5"/>
    </row>
    <row r="33" spans="1:57" s="678" customFormat="1" ht="15.6" customHeight="1" x14ac:dyDescent="0.25">
      <c r="A33" s="820" t="s">
        <v>502</v>
      </c>
      <c r="B33" s="216" t="s">
        <v>380</v>
      </c>
      <c r="C33" s="216" t="s">
        <v>527</v>
      </c>
      <c r="D33" s="216" t="s">
        <v>237</v>
      </c>
      <c r="E33" s="216" t="s">
        <v>533</v>
      </c>
      <c r="F33" s="216" t="s">
        <v>27</v>
      </c>
      <c r="G33" s="216" t="s">
        <v>536</v>
      </c>
      <c r="H33" s="698" t="s">
        <v>805</v>
      </c>
      <c r="I33" s="216" t="s">
        <v>794</v>
      </c>
      <c r="J33" s="698" t="s">
        <v>806</v>
      </c>
      <c r="K33" s="698"/>
      <c r="L33" s="216" t="s">
        <v>365</v>
      </c>
      <c r="M33" s="216" t="s">
        <v>378</v>
      </c>
      <c r="N33" s="842">
        <v>98.129990000000006</v>
      </c>
      <c r="O33" s="729">
        <v>25.887339999999998</v>
      </c>
      <c r="P33" s="744">
        <v>259.10000000000002</v>
      </c>
      <c r="Q33" s="671">
        <v>143</v>
      </c>
      <c r="R33" s="672">
        <v>638</v>
      </c>
      <c r="S33" s="843">
        <f>IF(CampList[[#This Row],[HH]]&gt;0,CampList[[#This Row],[Total]]/CampList[[#This Row],[HH]],"NA")</f>
        <v>4.4615384615384617</v>
      </c>
      <c r="T33" s="455" t="s">
        <v>513</v>
      </c>
      <c r="U33" s="673" t="s">
        <v>1194</v>
      </c>
      <c r="V33" s="668" t="s">
        <v>556</v>
      </c>
      <c r="W33" s="673" t="s">
        <v>858</v>
      </c>
      <c r="X33" s="881">
        <v>40940</v>
      </c>
      <c r="Y33" s="882">
        <v>1</v>
      </c>
      <c r="Z33" s="881" t="s">
        <v>507</v>
      </c>
      <c r="AA33" s="684" t="s">
        <v>844</v>
      </c>
      <c r="AB33" s="883"/>
      <c r="AC33" s="693">
        <v>42537</v>
      </c>
      <c r="AD33" s="885" t="s">
        <v>1504</v>
      </c>
      <c r="AE33" s="682" t="s">
        <v>1080</v>
      </c>
      <c r="AF33" s="686">
        <f>IF(CampList[[#This Row],[Type of Accomodation]]="camp",MAX(0,CampList[[#This Row],[HH]]-SUMIF(Table_Shelter[Pcode],CampList[[#This Row],[CP_Pcode]],Table_Shelter[HH Covered])),0)</f>
        <v>70</v>
      </c>
      <c r="AG33" s="668"/>
      <c r="AH33" s="883">
        <f>MIN(CampList[[#This Row],[Shelter Gap]],CampList[[#This Row],[Land Status]])</f>
        <v>70</v>
      </c>
      <c r="AI33" s="668"/>
      <c r="AJ33" s="936" t="str">
        <f ca="1">IFERROR(OFFSET(DistanceToCamp[distance],MATCH(CampList[[#This Row],[CP_Pcode]],DistanceToCamp[CP_Pcode],0)-1,0,1,1),"")</f>
        <v/>
      </c>
      <c r="AK33" s="957" t="str">
        <f ca="1">IFERROR(INT(CampList[[#This Row],[Distance]]/5)+1,"")</f>
        <v/>
      </c>
      <c r="AL33" s="548"/>
      <c r="AM33" s="548"/>
      <c r="AN33" s="548"/>
      <c r="BD33" s="5"/>
      <c r="BE33" s="5"/>
    </row>
    <row r="34" spans="1:57" s="678" customFormat="1" ht="15.6" customHeight="1" x14ac:dyDescent="0.25">
      <c r="A34" s="820" t="s">
        <v>502</v>
      </c>
      <c r="B34" s="216" t="s">
        <v>380</v>
      </c>
      <c r="C34" s="216" t="s">
        <v>527</v>
      </c>
      <c r="D34" s="216" t="s">
        <v>180</v>
      </c>
      <c r="E34" s="216" t="s">
        <v>528</v>
      </c>
      <c r="F34" s="216" t="s">
        <v>529</v>
      </c>
      <c r="G34" s="216" t="s">
        <v>530</v>
      </c>
      <c r="H34" s="669" t="s">
        <v>614</v>
      </c>
      <c r="I34" s="669" t="s">
        <v>615</v>
      </c>
      <c r="J34" s="669" t="s">
        <v>614</v>
      </c>
      <c r="K34" s="669">
        <v>166773</v>
      </c>
      <c r="L34" s="216" t="s">
        <v>120</v>
      </c>
      <c r="M34" s="216" t="s">
        <v>119</v>
      </c>
      <c r="N34" s="842">
        <v>96.353070000000002</v>
      </c>
      <c r="O34" s="729">
        <v>25.655819999999999</v>
      </c>
      <c r="P34" s="743">
        <v>317</v>
      </c>
      <c r="Q34" s="671">
        <v>66</v>
      </c>
      <c r="R34" s="672">
        <v>367</v>
      </c>
      <c r="S34" s="843">
        <f>IF(CampList[[#This Row],[HH]]&gt;0,CampList[[#This Row],[Total]]/CampList[[#This Row],[HH]],"NA")</f>
        <v>5.5606060606060606</v>
      </c>
      <c r="T34" s="455" t="s">
        <v>513</v>
      </c>
      <c r="U34" s="673" t="s">
        <v>1194</v>
      </c>
      <c r="V34" s="668" t="s">
        <v>556</v>
      </c>
      <c r="W34" s="673" t="s">
        <v>858</v>
      </c>
      <c r="X34" s="881">
        <v>41275</v>
      </c>
      <c r="Y34" s="882"/>
      <c r="Z34" s="881" t="s">
        <v>1093</v>
      </c>
      <c r="AA34" s="675" t="s">
        <v>844</v>
      </c>
      <c r="AB34" s="883"/>
      <c r="AC34" s="693">
        <v>42500</v>
      </c>
      <c r="AD34" s="885" t="s">
        <v>1390</v>
      </c>
      <c r="AE34" s="682" t="s">
        <v>1096</v>
      </c>
      <c r="AF34" s="686">
        <f>IF(CampList[[#This Row],[Type of Accomodation]]="camp",MAX(0,CampList[[#This Row],[HH]]-SUMIF(Table_Shelter[Pcode],CampList[[#This Row],[CP_Pcode]],Table_Shelter[HH Covered])),0)</f>
        <v>54</v>
      </c>
      <c r="AG34" s="668"/>
      <c r="AH34" s="883">
        <f>MIN(CampList[[#This Row],[Shelter Gap]],CampList[[#This Row],[Land Status]])</f>
        <v>54</v>
      </c>
      <c r="AI34" s="668" t="str">
        <f ca="1">IFERROR(OFFSET(DistanceToCamp[Nearest Town],MATCH(CampList[[#This Row],[CP_Pcode]],DistanceToCamp[CP_Pcode],0)-1,0,1,1),"")</f>
        <v>Hpakant Town</v>
      </c>
      <c r="AJ34" s="936">
        <f ca="1">IFERROR(OFFSET(DistanceToCamp[distance],MATCH(CampList[[#This Row],[CP_Pcode]],DistanceToCamp[CP_Pcode],0)-1,0,1,1),"")</f>
        <v>6.3039408411778268</v>
      </c>
      <c r="AK34" s="957">
        <f ca="1">IFERROR(INT(CampList[[#This Row],[Distance]]/5)+1,"")</f>
        <v>2</v>
      </c>
      <c r="AL34" s="548"/>
      <c r="AM34" s="548"/>
      <c r="AN34" s="548"/>
      <c r="BD34" s="5"/>
      <c r="BE34" s="5"/>
    </row>
    <row r="35" spans="1:57" s="678" customFormat="1" ht="15.6" hidden="1" customHeight="1" x14ac:dyDescent="0.25">
      <c r="A35" s="822" t="s">
        <v>845</v>
      </c>
      <c r="B35" s="774" t="s">
        <v>380</v>
      </c>
      <c r="C35" s="774" t="s">
        <v>527</v>
      </c>
      <c r="D35" s="774" t="s">
        <v>180</v>
      </c>
      <c r="E35" s="774" t="s">
        <v>528</v>
      </c>
      <c r="F35" s="774" t="s">
        <v>529</v>
      </c>
      <c r="G35" s="774" t="s">
        <v>530</v>
      </c>
      <c r="H35" s="775" t="s">
        <v>600</v>
      </c>
      <c r="I35" s="775" t="s">
        <v>601</v>
      </c>
      <c r="J35" s="775" t="s">
        <v>600</v>
      </c>
      <c r="K35" s="775">
        <v>166783</v>
      </c>
      <c r="L35" s="774" t="s">
        <v>78</v>
      </c>
      <c r="M35" s="774" t="s">
        <v>77</v>
      </c>
      <c r="N35" s="729"/>
      <c r="O35" s="729"/>
      <c r="P35" s="670"/>
      <c r="Q35" s="776">
        <v>0</v>
      </c>
      <c r="R35" s="777">
        <v>0</v>
      </c>
      <c r="S35" s="845" t="str">
        <f>IF(CampList[[#This Row],[HH]]&gt;0,CampList[[#This Row],[Total]]/CampList[[#This Row],[HH]],"NA")</f>
        <v>NA</v>
      </c>
      <c r="T35" s="778" t="s">
        <v>513</v>
      </c>
      <c r="U35" s="779" t="s">
        <v>1194</v>
      </c>
      <c r="V35" s="773" t="s">
        <v>556</v>
      </c>
      <c r="W35" s="779" t="s">
        <v>858</v>
      </c>
      <c r="X35" s="892"/>
      <c r="Y35" s="893"/>
      <c r="Z35" s="894"/>
      <c r="AA35" s="786" t="s">
        <v>844</v>
      </c>
      <c r="AB35" s="895"/>
      <c r="AC35" s="792">
        <v>41774</v>
      </c>
      <c r="AD35" s="897" t="s">
        <v>1051</v>
      </c>
      <c r="AE35" s="780" t="s">
        <v>1010</v>
      </c>
      <c r="AF35" s="814">
        <f>IF(CampList[[#This Row],[Type of Accomodation]]="camp",MAX(0,CampList[[#This Row],[HH]]-SUMIF(Table_Shelter[Pcode],CampList[[#This Row],[CP_Pcode]],Table_Shelter[HH Covered])),0)</f>
        <v>0</v>
      </c>
      <c r="AG35" s="773"/>
      <c r="AH35" s="895">
        <f>MIN(CampList[[#This Row],[Shelter Gap]],CampList[[#This Row],[Land Status]])</f>
        <v>0</v>
      </c>
      <c r="AI35" s="773" t="str">
        <f ca="1">IFERROR(OFFSET(DistanceToCamp[Nearest Town],MATCH(CampList[[#This Row],[CP_Pcode]],DistanceToCamp[CP_Pcode],0)-1,0,1,1),"")</f>
        <v/>
      </c>
      <c r="AJ35" s="938" t="str">
        <f ca="1">IFERROR(OFFSET(DistanceToCamp[distance],MATCH(CampList[[#This Row],[CP_Pcode]],DistanceToCamp[CP_Pcode],0)-1,0,1,1),"")</f>
        <v/>
      </c>
      <c r="AK35" s="959" t="str">
        <f ca="1">IFERROR(INT(CampList[[#This Row],[Distance]]/5)+1,"")</f>
        <v/>
      </c>
      <c r="AL35" s="548"/>
      <c r="AM35" s="548"/>
      <c r="AN35" s="548"/>
      <c r="BD35" s="5"/>
      <c r="BE35" s="5"/>
    </row>
    <row r="36" spans="1:57" s="678" customFormat="1" ht="15.6" hidden="1" customHeight="1" x14ac:dyDescent="0.25">
      <c r="A36" s="823" t="s">
        <v>845</v>
      </c>
      <c r="B36" s="216" t="s">
        <v>380</v>
      </c>
      <c r="C36" s="216" t="s">
        <v>527</v>
      </c>
      <c r="D36" s="216" t="s">
        <v>180</v>
      </c>
      <c r="E36" s="216" t="s">
        <v>528</v>
      </c>
      <c r="F36" s="216" t="s">
        <v>529</v>
      </c>
      <c r="G36" s="216" t="s">
        <v>530</v>
      </c>
      <c r="H36" s="669" t="s">
        <v>600</v>
      </c>
      <c r="I36" s="669" t="s">
        <v>601</v>
      </c>
      <c r="J36" s="669" t="s">
        <v>600</v>
      </c>
      <c r="K36" s="669">
        <v>166783</v>
      </c>
      <c r="L36" s="216" t="s">
        <v>82</v>
      </c>
      <c r="M36" s="216" t="s">
        <v>81</v>
      </c>
      <c r="N36" s="729"/>
      <c r="O36" s="729"/>
      <c r="P36" s="670"/>
      <c r="Q36" s="671">
        <v>0</v>
      </c>
      <c r="R36" s="672">
        <v>0</v>
      </c>
      <c r="S36" s="843" t="str">
        <f>IF(CampList[[#This Row],[HH]]&gt;0,CampList[[#This Row],[Total]]/CampList[[#This Row],[HH]],"NA")</f>
        <v>NA</v>
      </c>
      <c r="T36" s="455" t="s">
        <v>513</v>
      </c>
      <c r="U36" s="673" t="s">
        <v>1194</v>
      </c>
      <c r="V36" s="668" t="s">
        <v>556</v>
      </c>
      <c r="W36" s="673"/>
      <c r="X36" s="898"/>
      <c r="Y36" s="670"/>
      <c r="Z36" s="899"/>
      <c r="AA36" s="675" t="s">
        <v>843</v>
      </c>
      <c r="AB36" s="883"/>
      <c r="AC36" s="693">
        <v>41663</v>
      </c>
      <c r="AD36" s="885" t="s">
        <v>941</v>
      </c>
      <c r="AE36" s="674" t="s">
        <v>1010</v>
      </c>
      <c r="AF36" s="686">
        <f>IF(CampList[[#This Row],[Type of Accomodation]]="camp",MAX(0,CampList[[#This Row],[HH]]-SUMIF(Table_Shelter[Pcode],CampList[[#This Row],[CP_Pcode]],Table_Shelter[HH Covered])),0)</f>
        <v>0</v>
      </c>
      <c r="AG36" s="668"/>
      <c r="AH36" s="883">
        <f>MIN(CampList[[#This Row],[Shelter Gap]],CampList[[#This Row],[Land Status]])</f>
        <v>0</v>
      </c>
      <c r="AI36" s="668" t="str">
        <f ca="1">IFERROR(OFFSET(DistanceToCamp[Nearest Town],MATCH(CampList[[#This Row],[CP_Pcode]],DistanceToCamp[CP_Pcode],0)-1,0,1,1),"")</f>
        <v/>
      </c>
      <c r="AJ36" s="936" t="str">
        <f ca="1">IFERROR(OFFSET(DistanceToCamp[distance],MATCH(CampList[[#This Row],[CP_Pcode]],DistanceToCamp[CP_Pcode],0)-1,0,1,1),"")</f>
        <v/>
      </c>
      <c r="AK36" s="960" t="str">
        <f ca="1">IFERROR(INT(CampList[[#This Row],[Distance]]/5)+1,"")</f>
        <v/>
      </c>
      <c r="AL36" s="548"/>
      <c r="AM36" s="548"/>
      <c r="AN36" s="548"/>
      <c r="BD36" s="5"/>
      <c r="BE36" s="5"/>
    </row>
    <row r="37" spans="1:57" s="678" customFormat="1" ht="15.6" hidden="1" customHeight="1" x14ac:dyDescent="0.25">
      <c r="A37" s="823" t="s">
        <v>845</v>
      </c>
      <c r="B37" s="216" t="s">
        <v>555</v>
      </c>
      <c r="C37" s="216" t="s">
        <v>538</v>
      </c>
      <c r="D37" s="216" t="s">
        <v>230</v>
      </c>
      <c r="E37" s="216" t="s">
        <v>539</v>
      </c>
      <c r="F37" s="216" t="s">
        <v>146</v>
      </c>
      <c r="G37" s="216" t="s">
        <v>546</v>
      </c>
      <c r="H37" s="216" t="s">
        <v>932</v>
      </c>
      <c r="I37" s="216"/>
      <c r="J37" s="216" t="s">
        <v>932</v>
      </c>
      <c r="K37" s="216"/>
      <c r="L37" s="216" t="s">
        <v>933</v>
      </c>
      <c r="M37" s="216" t="s">
        <v>934</v>
      </c>
      <c r="N37" s="681"/>
      <c r="O37" s="681"/>
      <c r="P37" s="687"/>
      <c r="Q37" s="671">
        <v>0</v>
      </c>
      <c r="R37" s="672">
        <v>0</v>
      </c>
      <c r="S37" s="843" t="str">
        <f>IF(CampList[[#This Row],[HH]]&gt;0,CampList[[#This Row],[Total]]/CampList[[#This Row],[HH]],"NA")</f>
        <v>NA</v>
      </c>
      <c r="T37" s="455" t="s">
        <v>515</v>
      </c>
      <c r="U37" s="673" t="s">
        <v>1194</v>
      </c>
      <c r="V37" s="668" t="s">
        <v>556</v>
      </c>
      <c r="W37" s="668" t="s">
        <v>858</v>
      </c>
      <c r="X37" s="905"/>
      <c r="Y37" s="687"/>
      <c r="Z37" s="883"/>
      <c r="AA37" s="433" t="s">
        <v>844</v>
      </c>
      <c r="AB37" s="883"/>
      <c r="AC37" s="693">
        <v>41289</v>
      </c>
      <c r="AD37" s="883" t="s">
        <v>938</v>
      </c>
      <c r="AE37" s="688" t="s">
        <v>1010</v>
      </c>
      <c r="AF37" s="686">
        <f>IF(CampList[[#This Row],[Type of Accomodation]]="camp",MAX(0,CampList[[#This Row],[HH]]-SUMIF(Table_Shelter[Pcode],CampList[[#This Row],[CP_Pcode]],Table_Shelter[HH Covered])),0)</f>
        <v>0</v>
      </c>
      <c r="AG37" s="668"/>
      <c r="AH37" s="883">
        <f>MIN(CampList[[#This Row],[Shelter Gap]],CampList[[#This Row],[Land Status]])</f>
        <v>0</v>
      </c>
      <c r="AI37" s="668" t="str">
        <f ca="1">IFERROR(OFFSET(DistanceToCamp[Nearest Town],MATCH(CampList[[#This Row],[CP_Pcode]],DistanceToCamp[CP_Pcode],0)-1,0,1,1),"")</f>
        <v/>
      </c>
      <c r="AJ37" s="936" t="str">
        <f ca="1">IFERROR(OFFSET(DistanceToCamp[distance],MATCH(CampList[[#This Row],[CP_Pcode]],DistanceToCamp[CP_Pcode],0)-1,0,1,1),"")</f>
        <v/>
      </c>
      <c r="AK37" s="960" t="str">
        <f ca="1">IFERROR(INT(CampList[[#This Row],[Distance]]/5)+1,"")</f>
        <v/>
      </c>
      <c r="AL37" s="548"/>
      <c r="AM37" s="548"/>
      <c r="AN37" s="548"/>
      <c r="BD37" s="5"/>
      <c r="BE37" s="5"/>
    </row>
    <row r="38" spans="1:57" s="678" customFormat="1" ht="15.6" hidden="1" customHeight="1" x14ac:dyDescent="0.25">
      <c r="A38" s="823" t="s">
        <v>845</v>
      </c>
      <c r="B38" s="216" t="s">
        <v>555</v>
      </c>
      <c r="C38" s="216" t="s">
        <v>538</v>
      </c>
      <c r="D38" s="216" t="s">
        <v>230</v>
      </c>
      <c r="E38" s="216" t="s">
        <v>539</v>
      </c>
      <c r="F38" s="216" t="s">
        <v>146</v>
      </c>
      <c r="G38" s="216" t="s">
        <v>546</v>
      </c>
      <c r="H38" s="216" t="s">
        <v>932</v>
      </c>
      <c r="I38" s="216"/>
      <c r="J38" s="216" t="s">
        <v>932</v>
      </c>
      <c r="K38" s="216"/>
      <c r="L38" s="216" t="s">
        <v>935</v>
      </c>
      <c r="M38" s="216" t="s">
        <v>936</v>
      </c>
      <c r="N38" s="681"/>
      <c r="O38" s="681"/>
      <c r="P38" s="687"/>
      <c r="Q38" s="671">
        <v>0</v>
      </c>
      <c r="R38" s="672">
        <v>0</v>
      </c>
      <c r="S38" s="843" t="str">
        <f>IF(CampList[[#This Row],[HH]]&gt;0,CampList[[#This Row],[Total]]/CampList[[#This Row],[HH]],"NA")</f>
        <v>NA</v>
      </c>
      <c r="T38" s="455" t="s">
        <v>515</v>
      </c>
      <c r="U38" s="673" t="s">
        <v>1194</v>
      </c>
      <c r="V38" s="668" t="s">
        <v>556</v>
      </c>
      <c r="W38" s="668" t="s">
        <v>858</v>
      </c>
      <c r="X38" s="905"/>
      <c r="Y38" s="687"/>
      <c r="Z38" s="883"/>
      <c r="AA38" s="433" t="s">
        <v>844</v>
      </c>
      <c r="AB38" s="883"/>
      <c r="AC38" s="693">
        <v>41289</v>
      </c>
      <c r="AD38" s="883" t="s">
        <v>939</v>
      </c>
      <c r="AE38" s="688" t="s">
        <v>1010</v>
      </c>
      <c r="AF38" s="686">
        <f>IF(CampList[[#This Row],[Type of Accomodation]]="camp",MAX(0,CampList[[#This Row],[HH]]-SUMIF(Table_Shelter[Pcode],CampList[[#This Row],[CP_Pcode]],Table_Shelter[HH Covered])),0)</f>
        <v>0</v>
      </c>
      <c r="AG38" s="668"/>
      <c r="AH38" s="883">
        <f>MIN(CampList[[#This Row],[Shelter Gap]],CampList[[#This Row],[Land Status]])</f>
        <v>0</v>
      </c>
      <c r="AI38" s="668" t="str">
        <f ca="1">IFERROR(OFFSET(DistanceToCamp[Nearest Town],MATCH(CampList[[#This Row],[CP_Pcode]],DistanceToCamp[CP_Pcode],0)-1,0,1,1),"")</f>
        <v/>
      </c>
      <c r="AJ38" s="936" t="str">
        <f ca="1">IFERROR(OFFSET(DistanceToCamp[distance],MATCH(CampList[[#This Row],[CP_Pcode]],DistanceToCamp[CP_Pcode],0)-1,0,1,1),"")</f>
        <v/>
      </c>
      <c r="AK38" s="960" t="str">
        <f ca="1">IFERROR(INT(CampList[[#This Row],[Distance]]/5)+1,"")</f>
        <v/>
      </c>
      <c r="AL38" s="548"/>
      <c r="AM38" s="548"/>
      <c r="AN38" s="548"/>
      <c r="BD38" s="5"/>
      <c r="BE38" s="5"/>
    </row>
    <row r="39" spans="1:57" s="678" customFormat="1" ht="15.6" hidden="1" customHeight="1" x14ac:dyDescent="0.25">
      <c r="A39" s="819" t="s">
        <v>845</v>
      </c>
      <c r="B39" s="701" t="s">
        <v>380</v>
      </c>
      <c r="C39" s="701" t="s">
        <v>527</v>
      </c>
      <c r="D39" s="701" t="s">
        <v>237</v>
      </c>
      <c r="E39" s="701" t="s">
        <v>533</v>
      </c>
      <c r="F39" s="701" t="s">
        <v>27</v>
      </c>
      <c r="G39" s="701" t="s">
        <v>536</v>
      </c>
      <c r="H39" s="701"/>
      <c r="I39" s="701"/>
      <c r="J39" s="701"/>
      <c r="K39" s="701"/>
      <c r="L39" s="701" t="s">
        <v>32</v>
      </c>
      <c r="M39" s="701" t="s">
        <v>31</v>
      </c>
      <c r="N39" s="729"/>
      <c r="O39" s="729"/>
      <c r="P39" s="670"/>
      <c r="Q39" s="748"/>
      <c r="R39" s="749"/>
      <c r="S39" s="841" t="str">
        <f>IF(CampList[[#This Row],[HH]]&gt;0,CampList[[#This Row],[Total]]/CampList[[#This Row],[HH]],"NA")</f>
        <v>NA</v>
      </c>
      <c r="T39" s="750" t="s">
        <v>513</v>
      </c>
      <c r="U39" s="703" t="s">
        <v>1194</v>
      </c>
      <c r="V39" s="700" t="s">
        <v>556</v>
      </c>
      <c r="W39" s="703" t="s">
        <v>858</v>
      </c>
      <c r="X39" s="876"/>
      <c r="Y39" s="710"/>
      <c r="Z39" s="906" t="s">
        <v>1093</v>
      </c>
      <c r="AA39" s="705" t="s">
        <v>844</v>
      </c>
      <c r="AB39" s="878"/>
      <c r="AC39" s="901">
        <v>42096</v>
      </c>
      <c r="AD39" s="880" t="s">
        <v>1243</v>
      </c>
      <c r="AE39" s="711" t="s">
        <v>1080</v>
      </c>
      <c r="AF39" s="861">
        <f>IF(CampList[[#This Row],[Type of Accomodation]]="camp",MAX(0,CampList[[#This Row],[HH]]-SUMIF(Table_Shelter[Pcode],CampList[[#This Row],[CP_Pcode]],Table_Shelter[HH Covered])),0)</f>
        <v>0</v>
      </c>
      <c r="AG39" s="700"/>
      <c r="AH39" s="878">
        <f>MIN(CampList[[#This Row],[Shelter Gap]],CampList[[#This Row],[Land Status]])</f>
        <v>0</v>
      </c>
      <c r="AI39" s="700" t="str">
        <f ca="1">IFERROR(OFFSET(DistanceToCamp[Nearest Town],MATCH(CampList[[#This Row],[CP_Pcode]],DistanceToCamp[CP_Pcode],0)-1,0,1,1),"")</f>
        <v/>
      </c>
      <c r="AJ39" s="935" t="str">
        <f ca="1">IFERROR(OFFSET(DistanceToCamp[distance],MATCH(CampList[[#This Row],[CP_Pcode]],DistanceToCamp[CP_Pcode],0)-1,0,1,1),"")</f>
        <v/>
      </c>
      <c r="AK39" s="955" t="str">
        <f ca="1">IFERROR(INT(CampList[[#This Row],[Distance]]/5)+1,"")</f>
        <v/>
      </c>
      <c r="AL39" s="548"/>
      <c r="AM39" s="548"/>
      <c r="AN39" s="548"/>
      <c r="BD39" s="5"/>
      <c r="BE39" s="5"/>
    </row>
    <row r="40" spans="1:57" s="678" customFormat="1" ht="15.6" customHeight="1" x14ac:dyDescent="0.25">
      <c r="A40" s="820" t="s">
        <v>502</v>
      </c>
      <c r="B40" s="216" t="s">
        <v>380</v>
      </c>
      <c r="C40" s="216" t="s">
        <v>527</v>
      </c>
      <c r="D40" s="216" t="s">
        <v>180</v>
      </c>
      <c r="E40" s="216" t="s">
        <v>528</v>
      </c>
      <c r="F40" s="216" t="s">
        <v>529</v>
      </c>
      <c r="G40" s="216" t="s">
        <v>530</v>
      </c>
      <c r="H40" s="669" t="s">
        <v>614</v>
      </c>
      <c r="I40" s="669" t="s">
        <v>615</v>
      </c>
      <c r="J40" s="669" t="s">
        <v>614</v>
      </c>
      <c r="K40" s="725">
        <v>166773</v>
      </c>
      <c r="L40" s="216" t="s">
        <v>41</v>
      </c>
      <c r="M40" s="216" t="s">
        <v>40</v>
      </c>
      <c r="N40" s="842">
        <v>96.345569999999995</v>
      </c>
      <c r="O40" s="729">
        <v>25.635300000000001</v>
      </c>
      <c r="P40" s="743">
        <v>0</v>
      </c>
      <c r="Q40" s="671">
        <v>67</v>
      </c>
      <c r="R40" s="672">
        <v>350</v>
      </c>
      <c r="S40" s="843">
        <f>IF(CampList[[#This Row],[HH]]&gt;0,CampList[[#This Row],[Total]]/CampList[[#This Row],[HH]],"NA")</f>
        <v>5.2238805970149258</v>
      </c>
      <c r="T40" s="455" t="s">
        <v>513</v>
      </c>
      <c r="U40" s="673" t="s">
        <v>1194</v>
      </c>
      <c r="V40" s="668" t="s">
        <v>556</v>
      </c>
      <c r="W40" s="673" t="s">
        <v>805</v>
      </c>
      <c r="X40" s="881">
        <v>41275</v>
      </c>
      <c r="Y40" s="882">
        <v>1</v>
      </c>
      <c r="Z40" s="881" t="s">
        <v>507</v>
      </c>
      <c r="AA40" s="684" t="s">
        <v>844</v>
      </c>
      <c r="AB40" s="883"/>
      <c r="AC40" s="693">
        <v>42537</v>
      </c>
      <c r="AD40" s="885" t="s">
        <v>1490</v>
      </c>
      <c r="AE40" s="682" t="s">
        <v>1096</v>
      </c>
      <c r="AF40" s="686">
        <f>IF(CampList[[#This Row],[Type of Accomodation]]="camp",MAX(0,CampList[[#This Row],[HH]]-SUMIF(Table_Shelter[Pcode],CampList[[#This Row],[CP_Pcode]],Table_Shelter[HH Covered])),0)</f>
        <v>7</v>
      </c>
      <c r="AG40" s="668"/>
      <c r="AH40" s="883">
        <f>MIN(CampList[[#This Row],[Shelter Gap]],CampList[[#This Row],[Land Status]])</f>
        <v>7</v>
      </c>
      <c r="AI40" s="668" t="str">
        <f ca="1">IFERROR(OFFSET(DistanceToCamp[Nearest Town],MATCH(CampList[[#This Row],[CP_Pcode]],DistanceToCamp[CP_Pcode],0)-1,0,1,1),"")</f>
        <v>Hpakant Town</v>
      </c>
      <c r="AJ40" s="936">
        <f ca="1">IFERROR(OFFSET(DistanceToCamp[distance],MATCH(CampList[[#This Row],[CP_Pcode]],DistanceToCamp[CP_Pcode],0)-1,0,1,1),"")</f>
        <v>4.1842484710239098</v>
      </c>
      <c r="AK40" s="957">
        <f ca="1">IFERROR(INT(CampList[[#This Row],[Distance]]/5)+1,"")</f>
        <v>1</v>
      </c>
      <c r="AL40" s="548"/>
      <c r="AM40" s="548"/>
      <c r="AN40" s="548"/>
      <c r="BD40" s="5"/>
      <c r="BE40" s="5"/>
    </row>
    <row r="41" spans="1:57" s="678" customFormat="1" ht="15.6" customHeight="1" x14ac:dyDescent="0.25">
      <c r="A41" s="820" t="s">
        <v>502</v>
      </c>
      <c r="B41" s="216" t="s">
        <v>380</v>
      </c>
      <c r="C41" s="216" t="s">
        <v>527</v>
      </c>
      <c r="D41" s="216" t="s">
        <v>180</v>
      </c>
      <c r="E41" s="216" t="s">
        <v>528</v>
      </c>
      <c r="F41" s="216" t="s">
        <v>529</v>
      </c>
      <c r="G41" s="216" t="s">
        <v>530</v>
      </c>
      <c r="H41" s="669" t="s">
        <v>614</v>
      </c>
      <c r="I41" s="669" t="s">
        <v>615</v>
      </c>
      <c r="J41" s="669" t="s">
        <v>614</v>
      </c>
      <c r="K41" s="669">
        <v>166773</v>
      </c>
      <c r="L41" s="435" t="s">
        <v>62</v>
      </c>
      <c r="M41" s="216" t="s">
        <v>61</v>
      </c>
      <c r="N41" s="842">
        <v>96.355270000000004</v>
      </c>
      <c r="O41" s="729">
        <v>25.656130000000001</v>
      </c>
      <c r="P41" s="743">
        <v>0</v>
      </c>
      <c r="Q41" s="681">
        <v>77</v>
      </c>
      <c r="R41" s="681">
        <v>393</v>
      </c>
      <c r="S41" s="843">
        <f>IF(CampList[[#This Row],[HH]]&gt;0,CampList[[#This Row],[Total]]/CampList[[#This Row],[HH]],"NA")</f>
        <v>5.1038961038961039</v>
      </c>
      <c r="T41" s="455" t="s">
        <v>513</v>
      </c>
      <c r="U41" s="673" t="s">
        <v>1194</v>
      </c>
      <c r="V41" s="668" t="s">
        <v>556</v>
      </c>
      <c r="W41" s="673" t="s">
        <v>858</v>
      </c>
      <c r="X41" s="881">
        <v>41275</v>
      </c>
      <c r="Y41" s="882">
        <v>2</v>
      </c>
      <c r="Z41" s="881" t="s">
        <v>462</v>
      </c>
      <c r="AA41" s="683" t="s">
        <v>844</v>
      </c>
      <c r="AB41" s="883"/>
      <c r="AC41" s="693">
        <v>42536</v>
      </c>
      <c r="AD41" s="885" t="s">
        <v>1454</v>
      </c>
      <c r="AE41" s="682" t="s">
        <v>1096</v>
      </c>
      <c r="AF41" s="686">
        <f>IF(CampList[[#This Row],[Type of Accomodation]]="camp",MAX(0,CampList[[#This Row],[HH]]-SUMIF(Table_Shelter[Pcode],CampList[[#This Row],[CP_Pcode]],Table_Shelter[HH Covered])),0)</f>
        <v>57</v>
      </c>
      <c r="AG41" s="668"/>
      <c r="AH41" s="883">
        <f>MIN(CampList[[#This Row],[Shelter Gap]],CampList[[#This Row],[Land Status]])</f>
        <v>57</v>
      </c>
      <c r="AI41" s="668" t="str">
        <f ca="1">IFERROR(OFFSET(DistanceToCamp[Nearest Town],MATCH(CampList[[#This Row],[CP_Pcode]],DistanceToCamp[CP_Pcode],0)-1,0,1,1),"")</f>
        <v>Hpakant Town</v>
      </c>
      <c r="AJ41" s="936">
        <f ca="1">IFERROR(OFFSET(DistanceToCamp[distance],MATCH(CampList[[#This Row],[CP_Pcode]],DistanceToCamp[CP_Pcode],0)-1,0,1,1),"")</f>
        <v>6.4753396248436657</v>
      </c>
      <c r="AK41" s="957">
        <f ca="1">IFERROR(INT(CampList[[#This Row],[Distance]]/5)+1,"")</f>
        <v>2</v>
      </c>
      <c r="AL41" s="548"/>
      <c r="AM41" s="548"/>
      <c r="AN41" s="548"/>
      <c r="BD41" s="5"/>
      <c r="BE41" s="5"/>
    </row>
    <row r="42" spans="1:57" s="678" customFormat="1" ht="15.6" customHeight="1" x14ac:dyDescent="0.25">
      <c r="A42" s="820" t="s">
        <v>502</v>
      </c>
      <c r="B42" s="216" t="s">
        <v>380</v>
      </c>
      <c r="C42" s="216" t="s">
        <v>527</v>
      </c>
      <c r="D42" s="216" t="s">
        <v>180</v>
      </c>
      <c r="E42" s="216" t="s">
        <v>528</v>
      </c>
      <c r="F42" s="216" t="s">
        <v>529</v>
      </c>
      <c r="G42" s="216" t="s">
        <v>530</v>
      </c>
      <c r="H42" s="669" t="s">
        <v>614</v>
      </c>
      <c r="I42" s="669" t="s">
        <v>615</v>
      </c>
      <c r="J42" s="669" t="s">
        <v>616</v>
      </c>
      <c r="K42" s="669">
        <v>166775</v>
      </c>
      <c r="L42" s="435" t="s">
        <v>52</v>
      </c>
      <c r="M42" s="216" t="s">
        <v>51</v>
      </c>
      <c r="N42" s="842">
        <v>96.346469999999997</v>
      </c>
      <c r="O42" s="729">
        <v>25.647649999999999</v>
      </c>
      <c r="P42" s="743">
        <v>0</v>
      </c>
      <c r="Q42" s="681">
        <v>36</v>
      </c>
      <c r="R42" s="681">
        <v>220</v>
      </c>
      <c r="S42" s="843">
        <f>IF(CampList[[#This Row],[HH]]&gt;0,CampList[[#This Row],[Total]]/CampList[[#This Row],[HH]],"NA")</f>
        <v>6.1111111111111107</v>
      </c>
      <c r="T42" s="455" t="s">
        <v>513</v>
      </c>
      <c r="U42" s="673" t="s">
        <v>1194</v>
      </c>
      <c r="V42" s="668" t="s">
        <v>556</v>
      </c>
      <c r="W42" s="673" t="s">
        <v>858</v>
      </c>
      <c r="X42" s="881">
        <v>41275</v>
      </c>
      <c r="Y42" s="882">
        <v>2</v>
      </c>
      <c r="Z42" s="881" t="s">
        <v>462</v>
      </c>
      <c r="AA42" s="675" t="s">
        <v>844</v>
      </c>
      <c r="AB42" s="883"/>
      <c r="AC42" s="693">
        <v>42536</v>
      </c>
      <c r="AD42" s="885" t="s">
        <v>1453</v>
      </c>
      <c r="AE42" s="682" t="s">
        <v>1096</v>
      </c>
      <c r="AF42" s="686">
        <f>IF(CampList[[#This Row],[Type of Accomodation]]="camp",MAX(0,CampList[[#This Row],[HH]]-SUMIF(Table_Shelter[Pcode],CampList[[#This Row],[CP_Pcode]],Table_Shelter[HH Covered])),0)</f>
        <v>16</v>
      </c>
      <c r="AG42" s="668"/>
      <c r="AH42" s="883">
        <f>MIN(CampList[[#This Row],[Shelter Gap]],CampList[[#This Row],[Land Status]])</f>
        <v>16</v>
      </c>
      <c r="AI42" s="668" t="str">
        <f ca="1">IFERROR(OFFSET(DistanceToCamp[Nearest Town],MATCH(CampList[[#This Row],[CP_Pcode]],DistanceToCamp[CP_Pcode],0)-1,0,1,1),"")</f>
        <v>Hpakant Town</v>
      </c>
      <c r="AJ42" s="936">
        <f ca="1">IFERROR(OFFSET(DistanceToCamp[distance],MATCH(CampList[[#This Row],[CP_Pcode]],DistanceToCamp[CP_Pcode],0)-1,0,1,1),"")</f>
        <v>5.184483270539272</v>
      </c>
      <c r="AK42" s="957">
        <f ca="1">IFERROR(INT(CampList[[#This Row],[Distance]]/5)+1,"")</f>
        <v>2</v>
      </c>
      <c r="AL42" s="548"/>
      <c r="AM42" s="548"/>
      <c r="AN42" s="548"/>
      <c r="BD42" s="5"/>
      <c r="BE42" s="5"/>
    </row>
    <row r="43" spans="1:57" s="678" customFormat="1" ht="15.6" customHeight="1" x14ac:dyDescent="0.25">
      <c r="A43" s="822" t="s">
        <v>502</v>
      </c>
      <c r="B43" s="774" t="s">
        <v>380</v>
      </c>
      <c r="C43" s="774" t="s">
        <v>527</v>
      </c>
      <c r="D43" s="774" t="s">
        <v>180</v>
      </c>
      <c r="E43" s="774" t="s">
        <v>528</v>
      </c>
      <c r="F43" s="774" t="s">
        <v>529</v>
      </c>
      <c r="G43" s="774" t="s">
        <v>530</v>
      </c>
      <c r="H43" s="775" t="s">
        <v>611</v>
      </c>
      <c r="I43" s="775" t="s">
        <v>612</v>
      </c>
      <c r="J43" s="775" t="s">
        <v>611</v>
      </c>
      <c r="K43" s="775">
        <v>166776</v>
      </c>
      <c r="L43" s="774" t="s">
        <v>108</v>
      </c>
      <c r="M43" s="774" t="s">
        <v>107</v>
      </c>
      <c r="N43" s="729">
        <v>96.341352999999998</v>
      </c>
      <c r="O43" s="729">
        <v>25.613894999999999</v>
      </c>
      <c r="P43" s="680">
        <v>251</v>
      </c>
      <c r="Q43" s="776">
        <v>53</v>
      </c>
      <c r="R43" s="777">
        <v>241</v>
      </c>
      <c r="S43" s="845">
        <f>IF(CampList[[#This Row],[HH]]&gt;0,CampList[[#This Row],[Total]]/CampList[[#This Row],[HH]],"NA")</f>
        <v>4.5471698113207548</v>
      </c>
      <c r="T43" s="778" t="s">
        <v>513</v>
      </c>
      <c r="U43" s="779" t="s">
        <v>1194</v>
      </c>
      <c r="V43" s="773" t="s">
        <v>556</v>
      </c>
      <c r="W43" s="779" t="s">
        <v>805</v>
      </c>
      <c r="X43" s="902">
        <v>41487</v>
      </c>
      <c r="Y43" s="909">
        <v>3</v>
      </c>
      <c r="Z43" s="902" t="s">
        <v>1093</v>
      </c>
      <c r="AA43" s="781" t="s">
        <v>844</v>
      </c>
      <c r="AB43" s="895"/>
      <c r="AC43" s="792">
        <v>42537</v>
      </c>
      <c r="AD43" s="897" t="s">
        <v>1477</v>
      </c>
      <c r="AE43" s="790" t="s">
        <v>1096</v>
      </c>
      <c r="AF43" s="814">
        <f>IF(CampList[[#This Row],[Type of Accomodation]]="camp",MAX(0,CampList[[#This Row],[HH]]-SUMIF(Table_Shelter[Pcode],CampList[[#This Row],[CP_Pcode]],Table_Shelter[HH Covered])),0)</f>
        <v>0</v>
      </c>
      <c r="AG43" s="773"/>
      <c r="AH43" s="895">
        <f>MIN(CampList[[#This Row],[Shelter Gap]],CampList[[#This Row],[Land Status]])</f>
        <v>0</v>
      </c>
      <c r="AI43" s="773" t="str">
        <f ca="1">IFERROR(OFFSET(DistanceToCamp[Nearest Town],MATCH(CampList[[#This Row],[CP_Pcode]],DistanceToCamp[CP_Pcode],0)-1,0,1,1),"")</f>
        <v>Hpakant Town</v>
      </c>
      <c r="AJ43" s="938">
        <f ca="1">IFERROR(OFFSET(DistanceToCamp[distance],MATCH(CampList[[#This Row],[CP_Pcode]],DistanceToCamp[CP_Pcode],0)-1,0,1,1),"")</f>
        <v>2.9334852607184256</v>
      </c>
      <c r="AK43" s="959">
        <f ca="1">IFERROR(INT(CampList[[#This Row],[Distance]]/5)+1,"")</f>
        <v>1</v>
      </c>
      <c r="AL43" s="548"/>
      <c r="AM43" s="548"/>
      <c r="AN43" s="548"/>
      <c r="BD43" s="5"/>
      <c r="BE43" s="5"/>
    </row>
    <row r="44" spans="1:57" s="678" customFormat="1" ht="15.6" hidden="1" customHeight="1" x14ac:dyDescent="0.25">
      <c r="A44" s="819" t="s">
        <v>845</v>
      </c>
      <c r="B44" s="701" t="s">
        <v>380</v>
      </c>
      <c r="C44" s="701" t="s">
        <v>527</v>
      </c>
      <c r="D44" s="701" t="s">
        <v>180</v>
      </c>
      <c r="E44" s="701" t="s">
        <v>528</v>
      </c>
      <c r="F44" s="701" t="s">
        <v>529</v>
      </c>
      <c r="G44" s="701" t="s">
        <v>530</v>
      </c>
      <c r="H44" s="747" t="s">
        <v>605</v>
      </c>
      <c r="I44" s="747" t="s">
        <v>606</v>
      </c>
      <c r="J44" s="747" t="s">
        <v>609</v>
      </c>
      <c r="K44" s="747" t="s">
        <v>610</v>
      </c>
      <c r="L44" s="701" t="s">
        <v>56</v>
      </c>
      <c r="M44" s="701" t="s">
        <v>55</v>
      </c>
      <c r="N44" s="729"/>
      <c r="O44" s="729"/>
      <c r="P44" s="670"/>
      <c r="Q44" s="748">
        <v>0</v>
      </c>
      <c r="R44" s="749">
        <v>0</v>
      </c>
      <c r="S44" s="841" t="str">
        <f>IF(CampList[[#This Row],[HH]]&gt;0,CampList[[#This Row],[Total]]/CampList[[#This Row],[HH]],"NA")</f>
        <v>NA</v>
      </c>
      <c r="T44" s="750" t="s">
        <v>513</v>
      </c>
      <c r="U44" s="703" t="s">
        <v>1194</v>
      </c>
      <c r="V44" s="700" t="s">
        <v>556</v>
      </c>
      <c r="W44" s="703"/>
      <c r="X44" s="876"/>
      <c r="Y44" s="710"/>
      <c r="Z44" s="877"/>
      <c r="AA44" s="751"/>
      <c r="AB44" s="878"/>
      <c r="AC44" s="879"/>
      <c r="AD44" s="880"/>
      <c r="AE44" s="711" t="s">
        <v>1010</v>
      </c>
      <c r="AF44" s="861">
        <f>IF(CampList[[#This Row],[Type of Accomodation]]="camp",MAX(0,CampList[[#This Row],[HH]]-SUMIF(Table_Shelter[Pcode],CampList[[#This Row],[CP_Pcode]],Table_Shelter[HH Covered])),0)</f>
        <v>0</v>
      </c>
      <c r="AG44" s="700"/>
      <c r="AH44" s="878">
        <f>MIN(CampList[[#This Row],[Shelter Gap]],CampList[[#This Row],[Land Status]])</f>
        <v>0</v>
      </c>
      <c r="AI44" s="700" t="str">
        <f ca="1">IFERROR(OFFSET(DistanceToCamp[Nearest Town],MATCH(CampList[[#This Row],[CP_Pcode]],DistanceToCamp[CP_Pcode],0)-1,0,1,1),"")</f>
        <v/>
      </c>
      <c r="AJ44" s="935" t="str">
        <f ca="1">IFERROR(OFFSET(DistanceToCamp[distance],MATCH(CampList[[#This Row],[CP_Pcode]],DistanceToCamp[CP_Pcode],0)-1,0,1,1),"")</f>
        <v/>
      </c>
      <c r="AK44" s="955" t="str">
        <f ca="1">IFERROR(INT(CampList[[#This Row],[Distance]]/5)+1,"")</f>
        <v/>
      </c>
      <c r="AL44" s="548"/>
      <c r="AM44" s="548"/>
      <c r="AN44" s="548"/>
      <c r="BD44" s="5"/>
      <c r="BE44" s="5"/>
    </row>
    <row r="45" spans="1:57" s="678" customFormat="1" ht="15.6" customHeight="1" x14ac:dyDescent="0.25">
      <c r="A45" s="820" t="s">
        <v>502</v>
      </c>
      <c r="B45" s="216" t="s">
        <v>380</v>
      </c>
      <c r="C45" s="216" t="s">
        <v>527</v>
      </c>
      <c r="D45" s="216" t="s">
        <v>180</v>
      </c>
      <c r="E45" s="216" t="s">
        <v>528</v>
      </c>
      <c r="F45" s="216" t="s">
        <v>529</v>
      </c>
      <c r="G45" s="216" t="s">
        <v>530</v>
      </c>
      <c r="H45" s="669" t="s">
        <v>611</v>
      </c>
      <c r="I45" s="669" t="s">
        <v>612</v>
      </c>
      <c r="J45" s="679" t="s">
        <v>611</v>
      </c>
      <c r="K45" s="697">
        <v>166776</v>
      </c>
      <c r="L45" s="435" t="s">
        <v>140</v>
      </c>
      <c r="M45" s="216" t="s">
        <v>139</v>
      </c>
      <c r="N45" s="842">
        <v>96.306910999999999</v>
      </c>
      <c r="O45" s="729">
        <v>25.599250000000001</v>
      </c>
      <c r="P45" s="743">
        <v>0</v>
      </c>
      <c r="Q45" s="681">
        <v>19</v>
      </c>
      <c r="R45" s="681">
        <v>72</v>
      </c>
      <c r="S45" s="843">
        <f>IF(CampList[[#This Row],[HH]]&gt;0,CampList[[#This Row],[Total]]/CampList[[#This Row],[HH]],"NA")</f>
        <v>3.7894736842105261</v>
      </c>
      <c r="T45" s="455" t="s">
        <v>513</v>
      </c>
      <c r="U45" s="673" t="s">
        <v>1194</v>
      </c>
      <c r="V45" s="668" t="s">
        <v>556</v>
      </c>
      <c r="W45" s="668" t="s">
        <v>805</v>
      </c>
      <c r="X45" s="881">
        <v>41122</v>
      </c>
      <c r="Y45" s="882">
        <v>1</v>
      </c>
      <c r="Z45" s="881" t="s">
        <v>462</v>
      </c>
      <c r="AA45" s="433" t="s">
        <v>844</v>
      </c>
      <c r="AB45" s="883"/>
      <c r="AC45" s="693">
        <v>42536</v>
      </c>
      <c r="AD45" s="884" t="s">
        <v>1449</v>
      </c>
      <c r="AE45" s="682" t="s">
        <v>1096</v>
      </c>
      <c r="AF45" s="686">
        <f>IF(CampList[[#This Row],[Type of Accomodation]]="camp",MAX(0,CampList[[#This Row],[HH]]-SUMIF(Table_Shelter[Pcode],CampList[[#This Row],[CP_Pcode]],Table_Shelter[HH Covered])),0)</f>
        <v>9</v>
      </c>
      <c r="AG45" s="668"/>
      <c r="AH45" s="883">
        <f>MIN(CampList[[#This Row],[Shelter Gap]],CampList[[#This Row],[Land Status]])</f>
        <v>9</v>
      </c>
      <c r="AI45" s="668" t="str">
        <f ca="1">IFERROR(OFFSET(DistanceToCamp[Nearest Town],MATCH(CampList[[#This Row],[CP_Pcode]],DistanceToCamp[CP_Pcode],0)-1,0,1,1),"")</f>
        <v>Hpakant Town</v>
      </c>
      <c r="AJ45" s="936">
        <f ca="1">IFERROR(OFFSET(DistanceToCamp[distance],MATCH(CampList[[#This Row],[CP_Pcode]],DistanceToCamp[CP_Pcode],0)-1,0,1,1),"")</f>
        <v>1.5942018764815451</v>
      </c>
      <c r="AK45" s="957">
        <f ca="1">IFERROR(INT(CampList[[#This Row],[Distance]]/5)+1,"")</f>
        <v>1</v>
      </c>
      <c r="AL45" s="548"/>
      <c r="AM45" s="548"/>
      <c r="AN45" s="548"/>
      <c r="BD45" s="5"/>
      <c r="BE45" s="5"/>
    </row>
    <row r="46" spans="1:57" s="678" customFormat="1" ht="15.6" customHeight="1" x14ac:dyDescent="0.25">
      <c r="A46" s="820" t="s">
        <v>502</v>
      </c>
      <c r="B46" s="216" t="s">
        <v>380</v>
      </c>
      <c r="C46" s="216" t="s">
        <v>527</v>
      </c>
      <c r="D46" s="216" t="s">
        <v>180</v>
      </c>
      <c r="E46" s="216" t="s">
        <v>528</v>
      </c>
      <c r="F46" s="216" t="s">
        <v>529</v>
      </c>
      <c r="G46" s="216" t="s">
        <v>530</v>
      </c>
      <c r="H46" s="669" t="s">
        <v>611</v>
      </c>
      <c r="I46" s="669" t="s">
        <v>612</v>
      </c>
      <c r="J46" s="669" t="s">
        <v>611</v>
      </c>
      <c r="K46" s="669">
        <v>166776</v>
      </c>
      <c r="L46" s="216" t="s">
        <v>613</v>
      </c>
      <c r="M46" s="216" t="s">
        <v>46</v>
      </c>
      <c r="N46" s="842">
        <v>96.339590000000001</v>
      </c>
      <c r="O46" s="729">
        <v>25.617998</v>
      </c>
      <c r="P46" s="744"/>
      <c r="Q46" s="671">
        <v>17</v>
      </c>
      <c r="R46" s="672">
        <v>64</v>
      </c>
      <c r="S46" s="843">
        <f>IF(CampList[[#This Row],[HH]]&gt;0,CampList[[#This Row],[Total]]/CampList[[#This Row],[HH]],"NA")</f>
        <v>3.7647058823529411</v>
      </c>
      <c r="T46" s="455" t="s">
        <v>513</v>
      </c>
      <c r="U46" s="673" t="s">
        <v>1194</v>
      </c>
      <c r="V46" s="668" t="s">
        <v>556</v>
      </c>
      <c r="W46" s="673" t="s">
        <v>805</v>
      </c>
      <c r="X46" s="881">
        <v>41275</v>
      </c>
      <c r="Y46" s="882">
        <v>1</v>
      </c>
      <c r="Z46" s="881" t="s">
        <v>507</v>
      </c>
      <c r="AA46" s="684" t="s">
        <v>844</v>
      </c>
      <c r="AB46" s="883"/>
      <c r="AC46" s="693">
        <v>42537</v>
      </c>
      <c r="AD46" s="885" t="s">
        <v>1503</v>
      </c>
      <c r="AE46" s="682" t="s">
        <v>1096</v>
      </c>
      <c r="AF46" s="686">
        <f>IF(CampList[[#This Row],[Type of Accomodation]]="camp",MAX(0,CampList[[#This Row],[HH]]-SUMIF(Table_Shelter[Pcode],CampList[[#This Row],[CP_Pcode]],Table_Shelter[HH Covered])),0)</f>
        <v>2</v>
      </c>
      <c r="AG46" s="668"/>
      <c r="AH46" s="883">
        <f>MIN(CampList[[#This Row],[Shelter Gap]],CampList[[#This Row],[Land Status]])</f>
        <v>2</v>
      </c>
      <c r="AI46" s="668" t="str">
        <f ca="1">IFERROR(OFFSET(DistanceToCamp[Nearest Town],MATCH(CampList[[#This Row],[CP_Pcode]],DistanceToCamp[CP_Pcode],0)-1,0,1,1),"")</f>
        <v>Hpakant Town</v>
      </c>
      <c r="AJ46" s="936">
        <f ca="1">IFERROR(OFFSET(DistanceToCamp[distance],MATCH(CampList[[#This Row],[CP_Pcode]],DistanceToCamp[CP_Pcode],0)-1,0,1,1),"")</f>
        <v>2.814225084976667</v>
      </c>
      <c r="AK46" s="957">
        <f ca="1">IFERROR(INT(CampList[[#This Row],[Distance]]/5)+1,"")</f>
        <v>1</v>
      </c>
      <c r="AL46" s="548"/>
      <c r="AM46" s="548"/>
      <c r="AN46" s="548"/>
      <c r="BD46" s="5"/>
      <c r="BE46" s="5"/>
    </row>
    <row r="47" spans="1:57" s="678" customFormat="1" ht="15.6" customHeight="1" x14ac:dyDescent="0.25">
      <c r="A47" s="821" t="s">
        <v>502</v>
      </c>
      <c r="B47" s="764" t="s">
        <v>380</v>
      </c>
      <c r="C47" s="764" t="s">
        <v>527</v>
      </c>
      <c r="D47" s="764" t="s">
        <v>180</v>
      </c>
      <c r="E47" s="764" t="s">
        <v>528</v>
      </c>
      <c r="F47" s="764" t="s">
        <v>529</v>
      </c>
      <c r="G47" s="764" t="s">
        <v>530</v>
      </c>
      <c r="H47" s="765" t="s">
        <v>611</v>
      </c>
      <c r="I47" s="765" t="s">
        <v>612</v>
      </c>
      <c r="J47" s="765" t="s">
        <v>611</v>
      </c>
      <c r="K47" s="765">
        <v>166776</v>
      </c>
      <c r="L47" s="824" t="s">
        <v>1068</v>
      </c>
      <c r="M47" s="764" t="s">
        <v>1069</v>
      </c>
      <c r="N47" s="729">
        <v>96.312790000000007</v>
      </c>
      <c r="O47" s="729">
        <v>25.611160000000002</v>
      </c>
      <c r="P47" s="670"/>
      <c r="Q47" s="795">
        <v>116</v>
      </c>
      <c r="R47" s="796">
        <v>530</v>
      </c>
      <c r="S47" s="844">
        <f>IF(CampList[[#This Row],[HH]]&gt;0,CampList[[#This Row],[Total]]/CampList[[#This Row],[HH]],"NA")</f>
        <v>4.568965517241379</v>
      </c>
      <c r="T47" s="768" t="s">
        <v>513</v>
      </c>
      <c r="U47" s="769" t="s">
        <v>1194</v>
      </c>
      <c r="V47" s="763" t="s">
        <v>556</v>
      </c>
      <c r="W47" s="763" t="s">
        <v>805</v>
      </c>
      <c r="X47" s="911">
        <v>41122</v>
      </c>
      <c r="Y47" s="887"/>
      <c r="Z47" s="888" t="s">
        <v>462</v>
      </c>
      <c r="AA47" s="797" t="s">
        <v>844</v>
      </c>
      <c r="AB47" s="889"/>
      <c r="AC47" s="912">
        <v>42291</v>
      </c>
      <c r="AD47" s="904" t="s">
        <v>1311</v>
      </c>
      <c r="AE47" s="770" t="s">
        <v>1096</v>
      </c>
      <c r="AF47" s="860">
        <f>IF(CampList[[#This Row],[Type of Accomodation]]="camp",MAX(0,CampList[[#This Row],[HH]]-SUMIF(Table_Shelter[Pcode],CampList[[#This Row],[CP_Pcode]],Table_Shelter[HH Covered])),0)</f>
        <v>116</v>
      </c>
      <c r="AG47" s="763"/>
      <c r="AH47" s="889">
        <f>MIN(CampList[[#This Row],[Shelter Gap]],CampList[[#This Row],[Land Status]])</f>
        <v>116</v>
      </c>
      <c r="AI47" s="763" t="str">
        <f ca="1">IFERROR(OFFSET(DistanceToCamp[Nearest Town],MATCH(CampList[[#This Row],[CP_Pcode]],DistanceToCamp[CP_Pcode],0)-1,0,1,1),"")</f>
        <v>Hpakant Town</v>
      </c>
      <c r="AJ47" s="937">
        <f ca="1">IFERROR(OFFSET(DistanceToCamp[distance],MATCH(CampList[[#This Row],[CP_Pcode]],DistanceToCamp[CP_Pcode],0)-1,0,1,1),"")</f>
        <v>0.19374952337076978</v>
      </c>
      <c r="AK47" s="958">
        <f ca="1">IFERROR(INT(CampList[[#This Row],[Distance]]/5)+1,"")</f>
        <v>1</v>
      </c>
      <c r="AL47" s="548"/>
      <c r="AM47" s="548"/>
      <c r="AN47" s="548"/>
      <c r="BD47" s="5"/>
      <c r="BE47" s="5"/>
    </row>
    <row r="48" spans="1:57" s="678" customFormat="1" ht="15.6" customHeight="1" x14ac:dyDescent="0.25">
      <c r="A48" s="820" t="s">
        <v>502</v>
      </c>
      <c r="B48" s="216" t="s">
        <v>380</v>
      </c>
      <c r="C48" s="216" t="s">
        <v>527</v>
      </c>
      <c r="D48" s="216" t="s">
        <v>180</v>
      </c>
      <c r="E48" s="216" t="s">
        <v>528</v>
      </c>
      <c r="F48" s="216" t="s">
        <v>529</v>
      </c>
      <c r="G48" s="216" t="s">
        <v>530</v>
      </c>
      <c r="H48" s="669" t="s">
        <v>600</v>
      </c>
      <c r="I48" s="669" t="s">
        <v>601</v>
      </c>
      <c r="J48" s="669" t="s">
        <v>600</v>
      </c>
      <c r="K48" s="669">
        <v>166783</v>
      </c>
      <c r="L48" s="216" t="s">
        <v>72</v>
      </c>
      <c r="M48" s="216" t="s">
        <v>71</v>
      </c>
      <c r="N48" s="842">
        <v>96.283377000000002</v>
      </c>
      <c r="O48" s="729">
        <v>25.582065</v>
      </c>
      <c r="P48" s="743">
        <v>0</v>
      </c>
      <c r="Q48" s="671">
        <v>6</v>
      </c>
      <c r="R48" s="672">
        <v>30</v>
      </c>
      <c r="S48" s="843">
        <f>IF(CampList[[#This Row],[HH]]&gt;0,CampList[[#This Row],[Total]]/CampList[[#This Row],[HH]],"NA")</f>
        <v>5</v>
      </c>
      <c r="T48" s="455" t="s">
        <v>513</v>
      </c>
      <c r="U48" s="673" t="s">
        <v>1194</v>
      </c>
      <c r="V48" s="668" t="s">
        <v>556</v>
      </c>
      <c r="W48" s="686" t="s">
        <v>805</v>
      </c>
      <c r="X48" s="881">
        <v>41487</v>
      </c>
      <c r="Y48" s="882">
        <v>1</v>
      </c>
      <c r="Z48" s="881" t="s">
        <v>507</v>
      </c>
      <c r="AA48" s="684" t="s">
        <v>844</v>
      </c>
      <c r="AB48" s="883"/>
      <c r="AC48" s="693">
        <v>42537</v>
      </c>
      <c r="AD48" s="885" t="s">
        <v>1491</v>
      </c>
      <c r="AE48" s="682" t="s">
        <v>1096</v>
      </c>
      <c r="AF48" s="686">
        <f>IF(CampList[[#This Row],[Type of Accomodation]]="camp",MAX(0,CampList[[#This Row],[HH]]-SUMIF(Table_Shelter[Pcode],CampList[[#This Row],[CP_Pcode]],Table_Shelter[HH Covered])),0)</f>
        <v>0</v>
      </c>
      <c r="AG48" s="668"/>
      <c r="AH48" s="883">
        <f>MIN(CampList[[#This Row],[Shelter Gap]],CampList[[#This Row],[Land Status]])</f>
        <v>0</v>
      </c>
      <c r="AI48" s="668" t="str">
        <f ca="1">IFERROR(OFFSET(DistanceToCamp[Nearest Town],MATCH(CampList[[#This Row],[CP_Pcode]],DistanceToCamp[CP_Pcode],0)-1,0,1,1),"")</f>
        <v>Hpakant Town</v>
      </c>
      <c r="AJ48" s="936">
        <f ca="1">IFERROR(OFFSET(DistanceToCamp[distance],MATCH(CampList[[#This Row],[CP_Pcode]],DistanceToCamp[CP_Pcode],0)-1,0,1,1),"")</f>
        <v>4.4704963044882238</v>
      </c>
      <c r="AK48" s="957">
        <f ca="1">IFERROR(INT(CampList[[#This Row],[Distance]]/5)+1,"")</f>
        <v>1</v>
      </c>
      <c r="AL48" s="548"/>
      <c r="AM48" s="548"/>
      <c r="AN48" s="548"/>
      <c r="BD48" s="5"/>
      <c r="BE48" s="5"/>
    </row>
    <row r="49" spans="1:57" s="678" customFormat="1" ht="15.6" customHeight="1" x14ac:dyDescent="0.25">
      <c r="A49" s="820" t="s">
        <v>502</v>
      </c>
      <c r="B49" s="216" t="s">
        <v>380</v>
      </c>
      <c r="C49" s="216" t="s">
        <v>527</v>
      </c>
      <c r="D49" s="216" t="s">
        <v>180</v>
      </c>
      <c r="E49" s="216" t="s">
        <v>528</v>
      </c>
      <c r="F49" s="216" t="s">
        <v>529</v>
      </c>
      <c r="G49" s="216" t="s">
        <v>530</v>
      </c>
      <c r="H49" s="216" t="s">
        <v>600</v>
      </c>
      <c r="I49" s="216" t="s">
        <v>601</v>
      </c>
      <c r="J49" s="669" t="s">
        <v>602</v>
      </c>
      <c r="K49" s="669">
        <v>166785</v>
      </c>
      <c r="L49" s="216" t="s">
        <v>90</v>
      </c>
      <c r="M49" s="216" t="s">
        <v>89</v>
      </c>
      <c r="N49" s="842">
        <v>96.269199999999998</v>
      </c>
      <c r="O49" s="729">
        <v>25.566510000000001</v>
      </c>
      <c r="P49" s="743">
        <v>278</v>
      </c>
      <c r="Q49" s="671">
        <v>25</v>
      </c>
      <c r="R49" s="672">
        <v>133</v>
      </c>
      <c r="S49" s="843">
        <f>IF(CampList[[#This Row],[HH]]&gt;0,CampList[[#This Row],[Total]]/CampList[[#This Row],[HH]],"NA")</f>
        <v>5.32</v>
      </c>
      <c r="T49" s="455" t="s">
        <v>513</v>
      </c>
      <c r="U49" s="673" t="s">
        <v>1194</v>
      </c>
      <c r="V49" s="668" t="s">
        <v>556</v>
      </c>
      <c r="W49" s="673" t="s">
        <v>858</v>
      </c>
      <c r="X49" s="881">
        <v>41275</v>
      </c>
      <c r="Y49" s="882">
        <v>1</v>
      </c>
      <c r="Z49" s="881" t="s">
        <v>507</v>
      </c>
      <c r="AA49" s="684" t="s">
        <v>844</v>
      </c>
      <c r="AB49" s="883"/>
      <c r="AC49" s="693">
        <v>42537</v>
      </c>
      <c r="AD49" s="885" t="s">
        <v>1491</v>
      </c>
      <c r="AE49" s="682" t="s">
        <v>1096</v>
      </c>
      <c r="AF49" s="686">
        <f>IF(CampList[[#This Row],[Type of Accomodation]]="camp",MAX(0,CampList[[#This Row],[HH]]-SUMIF(Table_Shelter[Pcode],CampList[[#This Row],[CP_Pcode]],Table_Shelter[HH Covered])),0)</f>
        <v>0</v>
      </c>
      <c r="AG49" s="668"/>
      <c r="AH49" s="883">
        <f>MIN(CampList[[#This Row],[Shelter Gap]],CampList[[#This Row],[Land Status]])</f>
        <v>0</v>
      </c>
      <c r="AI49" s="668" t="str">
        <f ca="1">IFERROR(OFFSET(DistanceToCamp[Nearest Town],MATCH(CampList[[#This Row],[CP_Pcode]],DistanceToCamp[CP_Pcode],0)-1,0,1,1),"")</f>
        <v>Hpakant Town</v>
      </c>
      <c r="AJ49" s="936">
        <f ca="1">IFERROR(OFFSET(DistanceToCamp[distance],MATCH(CampList[[#This Row],[CP_Pcode]],DistanceToCamp[CP_Pcode],0)-1,0,1,1),"")</f>
        <v>6.7094919928483892</v>
      </c>
      <c r="AK49" s="957">
        <f ca="1">IFERROR(INT(CampList[[#This Row],[Distance]]/5)+1,"")</f>
        <v>2</v>
      </c>
      <c r="AL49" s="548"/>
      <c r="AM49" s="548"/>
      <c r="AN49" s="548"/>
      <c r="BD49" s="5"/>
      <c r="BE49" s="5"/>
    </row>
    <row r="50" spans="1:57" s="678" customFormat="1" ht="15.6" customHeight="1" x14ac:dyDescent="0.25">
      <c r="A50" s="820" t="s">
        <v>502</v>
      </c>
      <c r="B50" s="216" t="s">
        <v>380</v>
      </c>
      <c r="C50" s="216" t="s">
        <v>527</v>
      </c>
      <c r="D50" s="216" t="s">
        <v>180</v>
      </c>
      <c r="E50" s="216" t="s">
        <v>528</v>
      </c>
      <c r="F50" s="216" t="s">
        <v>529</v>
      </c>
      <c r="G50" s="216" t="s">
        <v>530</v>
      </c>
      <c r="H50" s="216" t="s">
        <v>600</v>
      </c>
      <c r="I50" s="216" t="s">
        <v>601</v>
      </c>
      <c r="J50" s="679" t="s">
        <v>602</v>
      </c>
      <c r="K50" s="697">
        <v>166785</v>
      </c>
      <c r="L50" s="435" t="s">
        <v>124</v>
      </c>
      <c r="M50" s="216" t="s">
        <v>123</v>
      </c>
      <c r="N50" s="842">
        <v>96.353030000000004</v>
      </c>
      <c r="O50" s="729">
        <v>25.668399999999998</v>
      </c>
      <c r="P50" s="743">
        <v>0</v>
      </c>
      <c r="Q50" s="681">
        <v>8</v>
      </c>
      <c r="R50" s="681">
        <v>40</v>
      </c>
      <c r="S50" s="843">
        <f>IF(CampList[[#This Row],[HH]]&gt;0,CampList[[#This Row],[Total]]/CampList[[#This Row],[HH]],"NA")</f>
        <v>5</v>
      </c>
      <c r="T50" s="455" t="s">
        <v>513</v>
      </c>
      <c r="U50" s="673" t="s">
        <v>1194</v>
      </c>
      <c r="V50" s="668" t="s">
        <v>556</v>
      </c>
      <c r="W50" s="673" t="s">
        <v>858</v>
      </c>
      <c r="X50" s="881">
        <v>41275</v>
      </c>
      <c r="Y50" s="882">
        <v>1</v>
      </c>
      <c r="Z50" s="881" t="s">
        <v>462</v>
      </c>
      <c r="AA50" s="433" t="s">
        <v>844</v>
      </c>
      <c r="AB50" s="883"/>
      <c r="AC50" s="693">
        <v>42536</v>
      </c>
      <c r="AD50" s="884" t="s">
        <v>1455</v>
      </c>
      <c r="AE50" s="682" t="s">
        <v>1096</v>
      </c>
      <c r="AF50" s="686">
        <f>IF(CampList[[#This Row],[Type of Accomodation]]="camp",MAX(0,CampList[[#This Row],[HH]]-SUMIF(Table_Shelter[Pcode],CampList[[#This Row],[CP_Pcode]],Table_Shelter[HH Covered])),0)</f>
        <v>3</v>
      </c>
      <c r="AG50" s="686"/>
      <c r="AH50" s="883">
        <f>MIN(CampList[[#This Row],[Shelter Gap]],CampList[[#This Row],[Land Status]])</f>
        <v>3</v>
      </c>
      <c r="AI50" s="668" t="str">
        <f ca="1">IFERROR(OFFSET(DistanceToCamp[Nearest Town],MATCH(CampList[[#This Row],[CP_Pcode]],DistanceToCamp[CP_Pcode],0)-1,0,1,1),"")</f>
        <v>Hpakant Town</v>
      </c>
      <c r="AJ50" s="936">
        <f ca="1">IFERROR(OFFSET(DistanceToCamp[distance],MATCH(CampList[[#This Row],[CP_Pcode]],DistanceToCamp[CP_Pcode],0)-1,0,1,1),"")</f>
        <v>7.419312682373878</v>
      </c>
      <c r="AK50" s="957">
        <f ca="1">IFERROR(INT(CampList[[#This Row],[Distance]]/5)+1,"")</f>
        <v>2</v>
      </c>
      <c r="AL50" s="548"/>
      <c r="AM50" s="548"/>
      <c r="AN50" s="548"/>
      <c r="BD50" s="5"/>
      <c r="BE50" s="5"/>
    </row>
    <row r="51" spans="1:57" s="678" customFormat="1" ht="15.6" customHeight="1" x14ac:dyDescent="0.25">
      <c r="A51" s="822" t="s">
        <v>502</v>
      </c>
      <c r="B51" s="774" t="s">
        <v>380</v>
      </c>
      <c r="C51" s="774" t="s">
        <v>527</v>
      </c>
      <c r="D51" s="774" t="s">
        <v>180</v>
      </c>
      <c r="E51" s="774" t="s">
        <v>528</v>
      </c>
      <c r="F51" s="774" t="s">
        <v>529</v>
      </c>
      <c r="G51" s="774" t="s">
        <v>530</v>
      </c>
      <c r="H51" s="787" t="s">
        <v>600</v>
      </c>
      <c r="I51" s="787" t="s">
        <v>601</v>
      </c>
      <c r="J51" s="787" t="s">
        <v>602</v>
      </c>
      <c r="K51" s="787">
        <v>166785</v>
      </c>
      <c r="L51" s="774" t="s">
        <v>118</v>
      </c>
      <c r="M51" s="774" t="s">
        <v>117</v>
      </c>
      <c r="N51" s="729">
        <v>96.279200000000003</v>
      </c>
      <c r="O51" s="729">
        <v>25.56551</v>
      </c>
      <c r="P51" s="680">
        <v>259</v>
      </c>
      <c r="Q51" s="788">
        <v>10</v>
      </c>
      <c r="R51" s="789">
        <v>39</v>
      </c>
      <c r="S51" s="845">
        <f>IF(CampList[[#This Row],[HH]]&gt;0,CampList[[#This Row],[Total]]/CampList[[#This Row],[HH]],"NA")</f>
        <v>3.9</v>
      </c>
      <c r="T51" s="778" t="s">
        <v>513</v>
      </c>
      <c r="U51" s="779" t="s">
        <v>1194</v>
      </c>
      <c r="V51" s="773" t="s">
        <v>556</v>
      </c>
      <c r="W51" s="779" t="s">
        <v>858</v>
      </c>
      <c r="X51" s="902">
        <v>41275</v>
      </c>
      <c r="Y51" s="909">
        <v>1</v>
      </c>
      <c r="Z51" s="902" t="s">
        <v>507</v>
      </c>
      <c r="AA51" s="791" t="s">
        <v>844</v>
      </c>
      <c r="AB51" s="895"/>
      <c r="AC51" s="792">
        <v>42537</v>
      </c>
      <c r="AD51" s="910" t="s">
        <v>1508</v>
      </c>
      <c r="AE51" s="790" t="s">
        <v>1096</v>
      </c>
      <c r="AF51" s="814">
        <f>IF(CampList[[#This Row],[Type of Accomodation]]="camp",MAX(0,CampList[[#This Row],[HH]]-SUMIF(Table_Shelter[Pcode],CampList[[#This Row],[CP_Pcode]],Table_Shelter[HH Covered])),0)</f>
        <v>0</v>
      </c>
      <c r="AG51" s="814"/>
      <c r="AH51" s="895">
        <f>MIN(CampList[[#This Row],[Shelter Gap]],CampList[[#This Row],[Land Status]])</f>
        <v>0</v>
      </c>
      <c r="AI51" s="773" t="str">
        <f ca="1">IFERROR(OFFSET(DistanceToCamp[Nearest Town],MATCH(CampList[[#This Row],[CP_Pcode]],DistanceToCamp[CP_Pcode],0)-1,0,1,1),"")</f>
        <v>Hpakant Town</v>
      </c>
      <c r="AJ51" s="938">
        <f ca="1">IFERROR(OFFSET(DistanceToCamp[distance],MATCH(CampList[[#This Row],[CP_Pcode]],DistanceToCamp[CP_Pcode],0)-1,0,1,1),"")</f>
        <v>6.2085564346706201</v>
      </c>
      <c r="AK51" s="959">
        <f ca="1">IFERROR(INT(CampList[[#This Row],[Distance]]/5)+1,"")</f>
        <v>2</v>
      </c>
      <c r="AL51" s="548"/>
      <c r="AM51" s="548"/>
      <c r="AN51" s="548"/>
      <c r="BD51" s="5"/>
      <c r="BE51" s="5"/>
    </row>
    <row r="52" spans="1:57" s="678" customFormat="1" ht="15.6" customHeight="1" x14ac:dyDescent="0.25">
      <c r="A52" s="823" t="s">
        <v>502</v>
      </c>
      <c r="B52" s="216" t="s">
        <v>380</v>
      </c>
      <c r="C52" s="216" t="s">
        <v>527</v>
      </c>
      <c r="D52" s="216" t="s">
        <v>180</v>
      </c>
      <c r="E52" s="216" t="s">
        <v>528</v>
      </c>
      <c r="F52" s="216" t="s">
        <v>529</v>
      </c>
      <c r="G52" s="216" t="s">
        <v>530</v>
      </c>
      <c r="H52" s="679" t="s">
        <v>600</v>
      </c>
      <c r="I52" s="679" t="s">
        <v>601</v>
      </c>
      <c r="J52" s="679" t="s">
        <v>604</v>
      </c>
      <c r="K52" s="679">
        <v>166788</v>
      </c>
      <c r="L52" s="435" t="s">
        <v>126</v>
      </c>
      <c r="M52" s="216" t="s">
        <v>125</v>
      </c>
      <c r="N52" s="729">
        <v>96.286680000000004</v>
      </c>
      <c r="O52" s="729">
        <v>25.577559999999998</v>
      </c>
      <c r="P52" s="680">
        <v>0</v>
      </c>
      <c r="Q52" s="681">
        <v>35</v>
      </c>
      <c r="R52" s="681">
        <v>173</v>
      </c>
      <c r="S52" s="843">
        <f>IF(CampList[[#This Row],[HH]]&gt;0,CampList[[#This Row],[Total]]/CampList[[#This Row],[HH]],"NA")</f>
        <v>4.9428571428571431</v>
      </c>
      <c r="T52" s="455" t="s">
        <v>513</v>
      </c>
      <c r="U52" s="673" t="s">
        <v>1194</v>
      </c>
      <c r="V52" s="668" t="s">
        <v>556</v>
      </c>
      <c r="W52" s="668" t="s">
        <v>805</v>
      </c>
      <c r="X52" s="881">
        <v>41275</v>
      </c>
      <c r="Y52" s="882">
        <v>2</v>
      </c>
      <c r="Z52" s="881" t="s">
        <v>462</v>
      </c>
      <c r="AA52" s="433" t="s">
        <v>844</v>
      </c>
      <c r="AB52" s="883"/>
      <c r="AC52" s="693">
        <v>42536</v>
      </c>
      <c r="AD52" s="884" t="s">
        <v>1456</v>
      </c>
      <c r="AE52" s="682" t="s">
        <v>1096</v>
      </c>
      <c r="AF52" s="686">
        <f>IF(CampList[[#This Row],[Type of Accomodation]]="camp",MAX(0,CampList[[#This Row],[HH]]-SUMIF(Table_Shelter[Pcode],CampList[[#This Row],[CP_Pcode]],Table_Shelter[HH Covered])),0)</f>
        <v>20</v>
      </c>
      <c r="AG52" s="668"/>
      <c r="AH52" s="883">
        <f>MIN(CampList[[#This Row],[Shelter Gap]],CampList[[#This Row],[Land Status]])</f>
        <v>20</v>
      </c>
      <c r="AI52" s="668" t="str">
        <f ca="1">IFERROR(OFFSET(DistanceToCamp[Nearest Town],MATCH(CampList[[#This Row],[CP_Pcode]],DistanceToCamp[CP_Pcode],0)-1,0,1,1),"")</f>
        <v>Hpakant Town</v>
      </c>
      <c r="AJ52" s="936">
        <f ca="1">IFERROR(OFFSET(DistanceToCamp[distance],MATCH(CampList[[#This Row],[CP_Pcode]],DistanceToCamp[CP_Pcode],0)-1,0,1,1),"")</f>
        <v>4.6754712546149264</v>
      </c>
      <c r="AK52" s="960">
        <f ca="1">IFERROR(INT(CampList[[#This Row],[Distance]]/5)+1,"")</f>
        <v>1</v>
      </c>
      <c r="AL52" s="548"/>
      <c r="AM52" s="548"/>
      <c r="AN52" s="548"/>
      <c r="BD52" s="5"/>
      <c r="BE52" s="5"/>
    </row>
    <row r="53" spans="1:57" s="678" customFormat="1" ht="15.6" customHeight="1" x14ac:dyDescent="0.25">
      <c r="A53" s="823" t="s">
        <v>502</v>
      </c>
      <c r="B53" s="216" t="s">
        <v>380</v>
      </c>
      <c r="C53" s="216" t="s">
        <v>527</v>
      </c>
      <c r="D53" s="216" t="s">
        <v>180</v>
      </c>
      <c r="E53" s="216" t="s">
        <v>528</v>
      </c>
      <c r="F53" s="216" t="s">
        <v>529</v>
      </c>
      <c r="G53" s="216" t="s">
        <v>530</v>
      </c>
      <c r="H53" s="669" t="s">
        <v>614</v>
      </c>
      <c r="I53" s="669" t="s">
        <v>615</v>
      </c>
      <c r="J53" s="669" t="s">
        <v>1409</v>
      </c>
      <c r="K53" s="694">
        <v>216876</v>
      </c>
      <c r="L53" s="216" t="s">
        <v>76</v>
      </c>
      <c r="M53" s="216" t="s">
        <v>75</v>
      </c>
      <c r="N53" s="729">
        <v>96.35257</v>
      </c>
      <c r="O53" s="729">
        <v>25.637309999999999</v>
      </c>
      <c r="P53" s="680">
        <v>277.60000000000002</v>
      </c>
      <c r="Q53" s="671">
        <v>66</v>
      </c>
      <c r="R53" s="672">
        <v>356</v>
      </c>
      <c r="S53" s="843">
        <f>IF(CampList[[#This Row],[HH]]&gt;0,CampList[[#This Row],[Total]]/CampList[[#This Row],[HH]],"NA")</f>
        <v>5.3939393939393936</v>
      </c>
      <c r="T53" s="455" t="s">
        <v>513</v>
      </c>
      <c r="U53" s="673" t="s">
        <v>1194</v>
      </c>
      <c r="V53" s="668" t="s">
        <v>556</v>
      </c>
      <c r="W53" s="686" t="s">
        <v>805</v>
      </c>
      <c r="X53" s="881">
        <v>41275</v>
      </c>
      <c r="Y53" s="882">
        <v>1</v>
      </c>
      <c r="Z53" s="881" t="s">
        <v>507</v>
      </c>
      <c r="AA53" s="684" t="s">
        <v>844</v>
      </c>
      <c r="AB53" s="883"/>
      <c r="AC53" s="693">
        <v>42537</v>
      </c>
      <c r="AD53" s="885" t="s">
        <v>1493</v>
      </c>
      <c r="AE53" s="682" t="s">
        <v>1096</v>
      </c>
      <c r="AF53" s="686">
        <f>IF(CampList[[#This Row],[Type of Accomodation]]="camp",MAX(0,CampList[[#This Row],[HH]]-SUMIF(Table_Shelter[Pcode],CampList[[#This Row],[CP_Pcode]],Table_Shelter[HH Covered])),0)</f>
        <v>0</v>
      </c>
      <c r="AG53" s="668"/>
      <c r="AH53" s="883">
        <f>MIN(CampList[[#This Row],[Shelter Gap]],CampList[[#This Row],[Land Status]])</f>
        <v>0</v>
      </c>
      <c r="AI53" s="668" t="str">
        <f ca="1">IFERROR(OFFSET(DistanceToCamp[Nearest Town],MATCH(CampList[[#This Row],[CP_Pcode]],DistanceToCamp[CP_Pcode],0)-1,0,1,1),"")</f>
        <v>Hpakant Town</v>
      </c>
      <c r="AJ53" s="936">
        <f ca="1">IFERROR(OFFSET(DistanceToCamp[distance],MATCH(CampList[[#This Row],[CP_Pcode]],DistanceToCamp[CP_Pcode],0)-1,0,1,1),"")</f>
        <v>4.8862832644478198</v>
      </c>
      <c r="AK53" s="960">
        <f ca="1">IFERROR(INT(CampList[[#This Row],[Distance]]/5)+1,"")</f>
        <v>1</v>
      </c>
      <c r="AL53" s="548"/>
      <c r="AM53" s="548"/>
      <c r="AN53" s="548"/>
      <c r="BD53" s="5"/>
      <c r="BE53" s="5"/>
    </row>
    <row r="54" spans="1:57" s="678" customFormat="1" ht="15.6" customHeight="1" x14ac:dyDescent="0.25">
      <c r="A54" s="823" t="s">
        <v>502</v>
      </c>
      <c r="B54" s="216" t="s">
        <v>380</v>
      </c>
      <c r="C54" s="216" t="s">
        <v>527</v>
      </c>
      <c r="D54" s="216" t="s">
        <v>180</v>
      </c>
      <c r="E54" s="216" t="s">
        <v>528</v>
      </c>
      <c r="F54" s="216" t="s">
        <v>529</v>
      </c>
      <c r="G54" s="216" t="s">
        <v>530</v>
      </c>
      <c r="H54" s="216" t="s">
        <v>614</v>
      </c>
      <c r="I54" s="216" t="s">
        <v>615</v>
      </c>
      <c r="J54" s="216" t="s">
        <v>762</v>
      </c>
      <c r="K54" s="216">
        <v>216877</v>
      </c>
      <c r="L54" s="435" t="s">
        <v>1123</v>
      </c>
      <c r="M54" s="216" t="s">
        <v>1124</v>
      </c>
      <c r="N54" s="949"/>
      <c r="O54" s="949"/>
      <c r="P54" s="687"/>
      <c r="Q54" s="657">
        <v>50</v>
      </c>
      <c r="R54" s="681">
        <v>242</v>
      </c>
      <c r="S54" s="843">
        <f>IF(CampList[[#This Row],[HH]]&gt;0,CampList[[#This Row],[Total]]/CampList[[#This Row],[HH]],"NA")</f>
        <v>4.84</v>
      </c>
      <c r="T54" s="455" t="s">
        <v>513</v>
      </c>
      <c r="U54" s="673" t="s">
        <v>1194</v>
      </c>
      <c r="V54" s="668" t="s">
        <v>556</v>
      </c>
      <c r="W54" s="668" t="s">
        <v>858</v>
      </c>
      <c r="X54" s="925">
        <v>42019</v>
      </c>
      <c r="Y54" s="687"/>
      <c r="Z54" s="899" t="s">
        <v>462</v>
      </c>
      <c r="AA54" s="434" t="s">
        <v>844</v>
      </c>
      <c r="AB54" s="883"/>
      <c r="AC54" s="693">
        <v>42536</v>
      </c>
      <c r="AD54" s="884" t="s">
        <v>1461</v>
      </c>
      <c r="AE54" s="690"/>
      <c r="AF54" s="686">
        <f>IF(CampList[[#This Row],[Type of Accomodation]]="camp",MAX(0,CampList[[#This Row],[HH]]-SUMIF(Table_Shelter[Pcode],CampList[[#This Row],[CP_Pcode]],Table_Shelter[HH Covered])),0)</f>
        <v>0</v>
      </c>
      <c r="AG54" s="668"/>
      <c r="AH54" s="883">
        <f>MIN(CampList[[#This Row],[Shelter Gap]],CampList[[#This Row],[Land Status]])</f>
        <v>0</v>
      </c>
      <c r="AI54" s="668"/>
      <c r="AJ54" s="936" t="str">
        <f ca="1">IFERROR(OFFSET(DistanceToCamp[distance],MATCH(CampList[[#This Row],[CP_Pcode]],DistanceToCamp[CP_Pcode],0)-1,0,1,1),"")</f>
        <v/>
      </c>
      <c r="AK54" s="960" t="str">
        <f ca="1">IFERROR(INT(CampList[[#This Row],[Distance]]/5)+1,"")</f>
        <v/>
      </c>
      <c r="AL54" s="548"/>
      <c r="AM54" s="548"/>
      <c r="AN54" s="548"/>
      <c r="BD54" s="5"/>
      <c r="BE54" s="5"/>
    </row>
    <row r="55" spans="1:57" s="678" customFormat="1" ht="15.6" customHeight="1" x14ac:dyDescent="0.25">
      <c r="A55" s="823" t="s">
        <v>502</v>
      </c>
      <c r="B55" s="216" t="s">
        <v>380</v>
      </c>
      <c r="C55" s="216" t="s">
        <v>527</v>
      </c>
      <c r="D55" s="216" t="s">
        <v>180</v>
      </c>
      <c r="E55" s="216" t="s">
        <v>528</v>
      </c>
      <c r="F55" s="216" t="s">
        <v>529</v>
      </c>
      <c r="G55" s="216" t="s">
        <v>530</v>
      </c>
      <c r="H55" s="216" t="s">
        <v>1133</v>
      </c>
      <c r="I55" s="216" t="s">
        <v>1257</v>
      </c>
      <c r="J55" s="216" t="s">
        <v>1411</v>
      </c>
      <c r="K55" s="694">
        <v>220512</v>
      </c>
      <c r="L55" s="435" t="s">
        <v>88</v>
      </c>
      <c r="M55" s="216" t="s">
        <v>87</v>
      </c>
      <c r="N55" s="729">
        <v>96.705960000000005</v>
      </c>
      <c r="O55" s="729">
        <v>25.51352</v>
      </c>
      <c r="P55" s="680">
        <v>0</v>
      </c>
      <c r="Q55" s="681">
        <v>14</v>
      </c>
      <c r="R55" s="681">
        <v>47</v>
      </c>
      <c r="S55" s="843">
        <f>IF(CampList[[#This Row],[HH]]&gt;0,CampList[[#This Row],[Total]]/CampList[[#This Row],[HH]],"NA")</f>
        <v>3.3571428571428572</v>
      </c>
      <c r="T55" s="455" t="s">
        <v>513</v>
      </c>
      <c r="U55" s="673" t="s">
        <v>1194</v>
      </c>
      <c r="V55" s="668" t="s">
        <v>556</v>
      </c>
      <c r="W55" s="668" t="s">
        <v>805</v>
      </c>
      <c r="X55" s="881">
        <v>41183</v>
      </c>
      <c r="Y55" s="882">
        <v>1</v>
      </c>
      <c r="Z55" s="881" t="s">
        <v>462</v>
      </c>
      <c r="AA55" s="683" t="s">
        <v>844</v>
      </c>
      <c r="AB55" s="883"/>
      <c r="AC55" s="693">
        <v>42536</v>
      </c>
      <c r="AD55" s="885" t="s">
        <v>1452</v>
      </c>
      <c r="AE55" s="682" t="s">
        <v>1096</v>
      </c>
      <c r="AF55" s="686">
        <f>IF(CampList[[#This Row],[Type of Accomodation]]="camp",MAX(0,CampList[[#This Row],[HH]]-SUMIF(Table_Shelter[Pcode],CampList[[#This Row],[CP_Pcode]],Table_Shelter[HH Covered])),0)</f>
        <v>14</v>
      </c>
      <c r="AG55" s="668"/>
      <c r="AH55" s="883">
        <f>MIN(CampList[[#This Row],[Shelter Gap]],CampList[[#This Row],[Land Status]])</f>
        <v>14</v>
      </c>
      <c r="AI55" s="668" t="str">
        <f ca="1">IFERROR(OFFSET(DistanceToCamp[Nearest Town],MATCH(CampList[[#This Row],[CP_Pcode]],DistanceToCamp[CP_Pcode],0)-1,0,1,1),"")</f>
        <v>Kamaing Town</v>
      </c>
      <c r="AJ55" s="936">
        <f ca="1">IFERROR(OFFSET(DistanceToCamp[distance],MATCH(CampList[[#This Row],[CP_Pcode]],DistanceToCamp[CP_Pcode],0)-1,0,1,1),"")</f>
        <v>1.1537462444167914</v>
      </c>
      <c r="AK55" s="960">
        <f ca="1">IFERROR(INT(CampList[[#This Row],[Distance]]/5)+1,"")</f>
        <v>1</v>
      </c>
      <c r="AL55" s="548"/>
      <c r="AM55" s="548"/>
      <c r="AN55" s="548"/>
      <c r="BD55" s="5"/>
      <c r="BE55" s="5"/>
    </row>
    <row r="56" spans="1:57" s="678" customFormat="1" ht="15.6" customHeight="1" x14ac:dyDescent="0.25">
      <c r="A56" s="823" t="s">
        <v>502</v>
      </c>
      <c r="B56" s="216" t="s">
        <v>380</v>
      </c>
      <c r="C56" s="216" t="s">
        <v>527</v>
      </c>
      <c r="D56" s="216" t="s">
        <v>180</v>
      </c>
      <c r="E56" s="216" t="s">
        <v>528</v>
      </c>
      <c r="F56" s="216" t="s">
        <v>529</v>
      </c>
      <c r="G56" s="216" t="s">
        <v>530</v>
      </c>
      <c r="H56" s="669" t="s">
        <v>605</v>
      </c>
      <c r="I56" s="669" t="s">
        <v>606</v>
      </c>
      <c r="J56" s="669" t="s">
        <v>609</v>
      </c>
      <c r="K56" s="669" t="s">
        <v>610</v>
      </c>
      <c r="L56" s="216" t="s">
        <v>43</v>
      </c>
      <c r="M56" s="216" t="s">
        <v>42</v>
      </c>
      <c r="N56" s="729">
        <v>96.317350000000005</v>
      </c>
      <c r="O56" s="729">
        <v>25.616509000000001</v>
      </c>
      <c r="P56" s="680">
        <v>264</v>
      </c>
      <c r="Q56" s="671">
        <v>14</v>
      </c>
      <c r="R56" s="672">
        <v>83</v>
      </c>
      <c r="S56" s="843">
        <f>IF(CampList[[#This Row],[HH]]&gt;0,CampList[[#This Row],[Total]]/CampList[[#This Row],[HH]],"NA")</f>
        <v>5.9285714285714288</v>
      </c>
      <c r="T56" s="455" t="s">
        <v>513</v>
      </c>
      <c r="U56" s="673" t="s">
        <v>1194</v>
      </c>
      <c r="V56" s="668" t="s">
        <v>556</v>
      </c>
      <c r="W56" s="686" t="s">
        <v>805</v>
      </c>
      <c r="X56" s="881">
        <v>41275</v>
      </c>
      <c r="Y56" s="882">
        <v>1</v>
      </c>
      <c r="Z56" s="881" t="s">
        <v>507</v>
      </c>
      <c r="AA56" s="684" t="s">
        <v>844</v>
      </c>
      <c r="AB56" s="883"/>
      <c r="AC56" s="693">
        <v>42537</v>
      </c>
      <c r="AD56" s="885" t="s">
        <v>1490</v>
      </c>
      <c r="AE56" s="682" t="s">
        <v>1096</v>
      </c>
      <c r="AF56" s="686">
        <f>IF(CampList[[#This Row],[Type of Accomodation]]="camp",MAX(0,CampList[[#This Row],[HH]]-SUMIF(Table_Shelter[Pcode],CampList[[#This Row],[CP_Pcode]],Table_Shelter[HH Covered])),0)</f>
        <v>4</v>
      </c>
      <c r="AG56" s="668"/>
      <c r="AH56" s="883">
        <f>MIN(CampList[[#This Row],[Shelter Gap]],CampList[[#This Row],[Land Status]])</f>
        <v>4</v>
      </c>
      <c r="AI56" s="668" t="str">
        <f ca="1">IFERROR(OFFSET(DistanceToCamp[Nearest Town],MATCH(CampList[[#This Row],[CP_Pcode]],DistanceToCamp[CP_Pcode],0)-1,0,1,1),"")</f>
        <v>Hpakant Town</v>
      </c>
      <c r="AJ56" s="936">
        <f ca="1">IFERROR(OFFSET(DistanceToCamp[distance],MATCH(CampList[[#This Row],[CP_Pcode]],DistanceToCamp[CP_Pcode],0)-1,0,1,1),"")</f>
        <v>0.66733171900141897</v>
      </c>
      <c r="AK56" s="960">
        <f ca="1">IFERROR(INT(CampList[[#This Row],[Distance]]/5)+1,"")</f>
        <v>1</v>
      </c>
      <c r="AL56" s="548"/>
      <c r="AM56" s="548"/>
      <c r="AN56" s="548"/>
      <c r="BD56" s="5"/>
      <c r="BE56" s="5"/>
    </row>
    <row r="57" spans="1:57" s="678" customFormat="1" ht="15.6" hidden="1" customHeight="1" x14ac:dyDescent="0.25">
      <c r="A57" s="819" t="s">
        <v>845</v>
      </c>
      <c r="B57" s="701" t="s">
        <v>380</v>
      </c>
      <c r="C57" s="701" t="s">
        <v>527</v>
      </c>
      <c r="D57" s="701" t="s">
        <v>5</v>
      </c>
      <c r="E57" s="701" t="s">
        <v>531</v>
      </c>
      <c r="F57" s="701" t="s">
        <v>151</v>
      </c>
      <c r="G57" s="701" t="s">
        <v>541</v>
      </c>
      <c r="H57" s="747"/>
      <c r="I57" s="747"/>
      <c r="J57" s="747"/>
      <c r="K57" s="747"/>
      <c r="L57" s="701" t="s">
        <v>886</v>
      </c>
      <c r="M57" s="701" t="s">
        <v>885</v>
      </c>
      <c r="N57" s="729"/>
      <c r="O57" s="848"/>
      <c r="P57" s="670"/>
      <c r="Q57" s="748">
        <v>0</v>
      </c>
      <c r="R57" s="749">
        <v>0</v>
      </c>
      <c r="S57" s="841" t="str">
        <f>IF(CampList[[#This Row],[HH]]&gt;0,CampList[[#This Row],[Total]]/CampList[[#This Row],[HH]],"NA")</f>
        <v>NA</v>
      </c>
      <c r="T57" s="750" t="s">
        <v>513</v>
      </c>
      <c r="U57" s="703" t="s">
        <v>1194</v>
      </c>
      <c r="V57" s="700" t="s">
        <v>858</v>
      </c>
      <c r="W57" s="703"/>
      <c r="X57" s="876"/>
      <c r="Y57" s="710"/>
      <c r="Z57" s="877"/>
      <c r="AA57" s="705" t="s">
        <v>844</v>
      </c>
      <c r="AB57" s="878"/>
      <c r="AC57" s="901">
        <v>41677</v>
      </c>
      <c r="AD57" s="880" t="s">
        <v>946</v>
      </c>
      <c r="AE57" s="711" t="s">
        <v>1010</v>
      </c>
      <c r="AF57" s="861">
        <f>IF(CampList[[#This Row],[Type of Accomodation]]="camp",MAX(0,CampList[[#This Row],[HH]]-SUMIF(Table_Shelter[Pcode],CampList[[#This Row],[CP_Pcode]],Table_Shelter[HH Covered])),0)</f>
        <v>0</v>
      </c>
      <c r="AG57" s="700"/>
      <c r="AH57" s="878">
        <f>MIN(CampList[[#This Row],[Shelter Gap]],CampList[[#This Row],[Land Status]])</f>
        <v>0</v>
      </c>
      <c r="AI57" s="700" t="str">
        <f ca="1">IFERROR(OFFSET(DistanceToCamp[Nearest Town],MATCH(CampList[[#This Row],[CP_Pcode]],DistanceToCamp[CP_Pcode],0)-1,0,1,1),"")</f>
        <v/>
      </c>
      <c r="AJ57" s="935" t="str">
        <f ca="1">IFERROR(OFFSET(DistanceToCamp[distance],MATCH(CampList[[#This Row],[CP_Pcode]],DistanceToCamp[CP_Pcode],0)-1,0,1,1),"")</f>
        <v/>
      </c>
      <c r="AK57" s="955" t="str">
        <f ca="1">IFERROR(INT(CampList[[#This Row],[Distance]]/5)+1,"")</f>
        <v/>
      </c>
      <c r="AL57" s="548"/>
      <c r="AM57" s="548"/>
      <c r="AN57" s="548"/>
      <c r="BD57" s="5"/>
      <c r="BE57" s="5"/>
    </row>
    <row r="58" spans="1:57" s="678" customFormat="1" ht="15.6" customHeight="1" x14ac:dyDescent="0.25">
      <c r="A58" s="820" t="s">
        <v>502</v>
      </c>
      <c r="B58" s="216" t="s">
        <v>380</v>
      </c>
      <c r="C58" s="216" t="s">
        <v>527</v>
      </c>
      <c r="D58" s="216" t="s">
        <v>180</v>
      </c>
      <c r="E58" s="216" t="s">
        <v>528</v>
      </c>
      <c r="F58" s="216" t="s">
        <v>529</v>
      </c>
      <c r="G58" s="216" t="s">
        <v>530</v>
      </c>
      <c r="H58" s="669" t="s">
        <v>605</v>
      </c>
      <c r="I58" s="669" t="s">
        <v>606</v>
      </c>
      <c r="J58" s="669" t="s">
        <v>609</v>
      </c>
      <c r="K58" s="669" t="s">
        <v>610</v>
      </c>
      <c r="L58" s="216" t="s">
        <v>44</v>
      </c>
      <c r="M58" s="216" t="s">
        <v>45</v>
      </c>
      <c r="N58" s="842">
        <v>96.316564</v>
      </c>
      <c r="O58" s="729">
        <v>25.615960999999999</v>
      </c>
      <c r="P58" s="743">
        <v>281</v>
      </c>
      <c r="Q58" s="671">
        <v>8</v>
      </c>
      <c r="R58" s="672">
        <v>46</v>
      </c>
      <c r="S58" s="843">
        <f>IF(CampList[[#This Row],[HH]]&gt;0,CampList[[#This Row],[Total]]/CampList[[#This Row],[HH]],"NA")</f>
        <v>5.75</v>
      </c>
      <c r="T58" s="455" t="s">
        <v>513</v>
      </c>
      <c r="U58" s="673" t="s">
        <v>1194</v>
      </c>
      <c r="V58" s="668" t="s">
        <v>556</v>
      </c>
      <c r="W58" s="668" t="s">
        <v>805</v>
      </c>
      <c r="X58" s="881">
        <v>41122</v>
      </c>
      <c r="Y58" s="882">
        <v>1</v>
      </c>
      <c r="Z58" s="881" t="s">
        <v>507</v>
      </c>
      <c r="AA58" s="684" t="s">
        <v>844</v>
      </c>
      <c r="AB58" s="883"/>
      <c r="AC58" s="693">
        <v>42537</v>
      </c>
      <c r="AD58" s="885" t="s">
        <v>1495</v>
      </c>
      <c r="AE58" s="682" t="s">
        <v>1096</v>
      </c>
      <c r="AF58" s="686">
        <f>IF(CampList[[#This Row],[Type of Accomodation]]="camp",MAX(0,CampList[[#This Row],[HH]]-SUMIF(Table_Shelter[Pcode],CampList[[#This Row],[CP_Pcode]],Table_Shelter[HH Covered])),0)</f>
        <v>0</v>
      </c>
      <c r="AG58" s="668"/>
      <c r="AH58" s="883">
        <f>MIN(CampList[[#This Row],[Shelter Gap]],CampList[[#This Row],[Land Status]])</f>
        <v>0</v>
      </c>
      <c r="AI58" s="668" t="str">
        <f ca="1">IFERROR(OFFSET(DistanceToCamp[Nearest Town],MATCH(CampList[[#This Row],[CP_Pcode]],DistanceToCamp[CP_Pcode],0)-1,0,1,1),"")</f>
        <v>Hpakant Town</v>
      </c>
      <c r="AJ58" s="936">
        <f ca="1">IFERROR(OFFSET(DistanceToCamp[distance],MATCH(CampList[[#This Row],[CP_Pcode]],DistanceToCamp[CP_Pcode],0)-1,0,1,1),"")</f>
        <v>0.56771790814545575</v>
      </c>
      <c r="AK58" s="957">
        <f ca="1">IFERROR(INT(CampList[[#This Row],[Distance]]/5)+1,"")</f>
        <v>1</v>
      </c>
      <c r="AL58" s="548"/>
      <c r="AM58" s="548"/>
      <c r="AN58" s="548"/>
      <c r="BD58" s="5"/>
      <c r="BE58" s="5"/>
    </row>
    <row r="59" spans="1:57" s="678" customFormat="1" ht="15.6" customHeight="1" x14ac:dyDescent="0.25">
      <c r="A59" s="820" t="s">
        <v>502</v>
      </c>
      <c r="B59" s="216" t="s">
        <v>380</v>
      </c>
      <c r="C59" s="216" t="s">
        <v>527</v>
      </c>
      <c r="D59" s="216" t="s">
        <v>180</v>
      </c>
      <c r="E59" s="216" t="s">
        <v>528</v>
      </c>
      <c r="F59" s="216" t="s">
        <v>529</v>
      </c>
      <c r="G59" s="216" t="s">
        <v>530</v>
      </c>
      <c r="H59" s="216" t="s">
        <v>605</v>
      </c>
      <c r="I59" s="216" t="s">
        <v>606</v>
      </c>
      <c r="J59" s="216" t="s">
        <v>609</v>
      </c>
      <c r="K59" s="216" t="s">
        <v>610</v>
      </c>
      <c r="L59" s="216" t="s">
        <v>92</v>
      </c>
      <c r="M59" s="216" t="s">
        <v>91</v>
      </c>
      <c r="N59" s="842">
        <v>96.316400000000002</v>
      </c>
      <c r="O59" s="729">
        <v>25.61842</v>
      </c>
      <c r="P59" s="743">
        <v>250</v>
      </c>
      <c r="Q59" s="671">
        <v>15</v>
      </c>
      <c r="R59" s="672">
        <v>74</v>
      </c>
      <c r="S59" s="843">
        <f>IF(CampList[[#This Row],[HH]]&gt;0,CampList[[#This Row],[Total]]/CampList[[#This Row],[HH]],"NA")</f>
        <v>4.9333333333333336</v>
      </c>
      <c r="T59" s="455" t="s">
        <v>513</v>
      </c>
      <c r="U59" s="673" t="s">
        <v>1194</v>
      </c>
      <c r="V59" s="668" t="s">
        <v>556</v>
      </c>
      <c r="W59" s="668" t="s">
        <v>805</v>
      </c>
      <c r="X59" s="881">
        <v>41275</v>
      </c>
      <c r="Y59" s="882">
        <v>1</v>
      </c>
      <c r="Z59" s="881" t="s">
        <v>507</v>
      </c>
      <c r="AA59" s="684" t="s">
        <v>844</v>
      </c>
      <c r="AB59" s="883"/>
      <c r="AC59" s="693">
        <v>42537</v>
      </c>
      <c r="AD59" s="885" t="s">
        <v>1496</v>
      </c>
      <c r="AE59" s="682" t="s">
        <v>1096</v>
      </c>
      <c r="AF59" s="686">
        <f>IF(CampList[[#This Row],[Type of Accomodation]]="camp",MAX(0,CampList[[#This Row],[HH]]-SUMIF(Table_Shelter[Pcode],CampList[[#This Row],[CP_Pcode]],Table_Shelter[HH Covered])),0)</f>
        <v>0</v>
      </c>
      <c r="AG59" s="668"/>
      <c r="AH59" s="883">
        <f>MIN(CampList[[#This Row],[Shelter Gap]],CampList[[#This Row],[Land Status]])</f>
        <v>0</v>
      </c>
      <c r="AI59" s="668" t="str">
        <f ca="1">IFERROR(OFFSET(DistanceToCamp[Nearest Town],MATCH(CampList[[#This Row],[CP_Pcode]],DistanceToCamp[CP_Pcode],0)-1,0,1,1),"")</f>
        <v>Hpakant Town</v>
      </c>
      <c r="AJ59" s="936">
        <f ca="1">IFERROR(OFFSET(DistanceToCamp[distance],MATCH(CampList[[#This Row],[CP_Pcode]],DistanceToCamp[CP_Pcode],0)-1,0,1,1),"")</f>
        <v>0.75842119772531946</v>
      </c>
      <c r="AK59" s="957">
        <f ca="1">IFERROR(INT(CampList[[#This Row],[Distance]]/5)+1,"")</f>
        <v>1</v>
      </c>
      <c r="AL59" s="548"/>
      <c r="AM59" s="548"/>
      <c r="AN59" s="548"/>
      <c r="BD59" s="5"/>
      <c r="BE59" s="5"/>
    </row>
    <row r="60" spans="1:57" s="678" customFormat="1" ht="15.6" customHeight="1" x14ac:dyDescent="0.25">
      <c r="A60" s="820" t="s">
        <v>502</v>
      </c>
      <c r="B60" s="216" t="s">
        <v>380</v>
      </c>
      <c r="C60" s="216" t="s">
        <v>527</v>
      </c>
      <c r="D60" s="216" t="s">
        <v>180</v>
      </c>
      <c r="E60" s="216" t="s">
        <v>528</v>
      </c>
      <c r="F60" s="216" t="s">
        <v>529</v>
      </c>
      <c r="G60" s="216" t="s">
        <v>530</v>
      </c>
      <c r="H60" s="669" t="s">
        <v>605</v>
      </c>
      <c r="I60" s="669" t="s">
        <v>606</v>
      </c>
      <c r="J60" s="669" t="s">
        <v>609</v>
      </c>
      <c r="K60" s="669" t="s">
        <v>610</v>
      </c>
      <c r="L60" s="216" t="s">
        <v>100</v>
      </c>
      <c r="M60" s="216" t="s">
        <v>99</v>
      </c>
      <c r="N60" s="842">
        <v>96.319829999999996</v>
      </c>
      <c r="O60" s="729">
        <v>25.6145</v>
      </c>
      <c r="P60" s="743">
        <v>65</v>
      </c>
      <c r="Q60" s="671">
        <v>5</v>
      </c>
      <c r="R60" s="672">
        <v>26</v>
      </c>
      <c r="S60" s="843">
        <f>IF(CampList[[#This Row],[HH]]&gt;0,CampList[[#This Row],[Total]]/CampList[[#This Row],[HH]],"NA")</f>
        <v>5.2</v>
      </c>
      <c r="T60" s="455" t="s">
        <v>513</v>
      </c>
      <c r="U60" s="673" t="s">
        <v>1194</v>
      </c>
      <c r="V60" s="668" t="s">
        <v>556</v>
      </c>
      <c r="W60" s="673" t="s">
        <v>805</v>
      </c>
      <c r="X60" s="881">
        <v>41122</v>
      </c>
      <c r="Y60" s="882">
        <v>1</v>
      </c>
      <c r="Z60" s="881" t="s">
        <v>507</v>
      </c>
      <c r="AA60" s="675" t="s">
        <v>844</v>
      </c>
      <c r="AB60" s="883"/>
      <c r="AC60" s="693">
        <v>42537</v>
      </c>
      <c r="AD60" s="885" t="s">
        <v>1501</v>
      </c>
      <c r="AE60" s="682" t="s">
        <v>1096</v>
      </c>
      <c r="AF60" s="686">
        <f>IF(CampList[[#This Row],[Type of Accomodation]]="camp",MAX(0,CampList[[#This Row],[HH]]-SUMIF(Table_Shelter[Pcode],CampList[[#This Row],[CP_Pcode]],Table_Shelter[HH Covered])),0)</f>
        <v>0</v>
      </c>
      <c r="AG60" s="668"/>
      <c r="AH60" s="883">
        <f>MIN(CampList[[#This Row],[Shelter Gap]],CampList[[#This Row],[Land Status]])</f>
        <v>0</v>
      </c>
      <c r="AI60" s="668" t="str">
        <f ca="1">IFERROR(OFFSET(DistanceToCamp[Nearest Town],MATCH(CampList[[#This Row],[CP_Pcode]],DistanceToCamp[CP_Pcode],0)-1,0,1,1),"")</f>
        <v>Hpakant Town</v>
      </c>
      <c r="AJ60" s="936">
        <f ca="1">IFERROR(OFFSET(DistanceToCamp[distance],MATCH(CampList[[#This Row],[CP_Pcode]],DistanceToCamp[CP_Pcode],0)-1,0,1,1),"")</f>
        <v>0.79577754007276646</v>
      </c>
      <c r="AK60" s="957">
        <f ca="1">IFERROR(INT(CampList[[#This Row],[Distance]]/5)+1,"")</f>
        <v>1</v>
      </c>
      <c r="AL60" s="548"/>
      <c r="AM60" s="548"/>
      <c r="AN60" s="548"/>
      <c r="BD60" s="5"/>
      <c r="BE60" s="5"/>
    </row>
    <row r="61" spans="1:57" s="678" customFormat="1" ht="15.6" customHeight="1" x14ac:dyDescent="0.25">
      <c r="A61" s="822" t="s">
        <v>502</v>
      </c>
      <c r="B61" s="774" t="s">
        <v>555</v>
      </c>
      <c r="C61" s="774" t="s">
        <v>538</v>
      </c>
      <c r="D61" s="774" t="s">
        <v>779</v>
      </c>
      <c r="E61" s="774" t="s">
        <v>780</v>
      </c>
      <c r="F61" s="774" t="s">
        <v>781</v>
      </c>
      <c r="G61" s="774" t="s">
        <v>782</v>
      </c>
      <c r="H61" s="774" t="s">
        <v>1279</v>
      </c>
      <c r="I61" s="774" t="s">
        <v>1280</v>
      </c>
      <c r="J61" s="774" t="s">
        <v>1279</v>
      </c>
      <c r="K61" s="774">
        <v>206352</v>
      </c>
      <c r="L61" s="828" t="s">
        <v>1279</v>
      </c>
      <c r="M61" s="774" t="s">
        <v>1262</v>
      </c>
      <c r="N61" s="854">
        <v>98.218626999999998</v>
      </c>
      <c r="O61" s="854">
        <v>23.354268999999999</v>
      </c>
      <c r="P61" s="670"/>
      <c r="Q61" s="980">
        <v>38</v>
      </c>
      <c r="R61" s="980">
        <v>172</v>
      </c>
      <c r="S61" s="845">
        <f>IF(CampList[[#This Row],[HH]]&gt;0,CampList[[#This Row],[Total]]/CampList[[#This Row],[HH]],"NA")</f>
        <v>4.5263157894736841</v>
      </c>
      <c r="T61" s="778" t="s">
        <v>513</v>
      </c>
      <c r="U61" s="779" t="s">
        <v>1194</v>
      </c>
      <c r="V61" s="773" t="s">
        <v>556</v>
      </c>
      <c r="W61" s="773" t="s">
        <v>858</v>
      </c>
      <c r="X61" s="913">
        <v>42036</v>
      </c>
      <c r="Y61" s="893"/>
      <c r="Z61" s="894" t="s">
        <v>462</v>
      </c>
      <c r="AA61" s="800" t="s">
        <v>844</v>
      </c>
      <c r="AB61" s="895"/>
      <c r="AC61" s="792">
        <v>42536</v>
      </c>
      <c r="AD61" s="910" t="s">
        <v>1469</v>
      </c>
      <c r="AE61" s="780"/>
      <c r="AF61" s="814">
        <f>IF(CampList[[#This Row],[Type of Accomodation]]="camp",MAX(0,CampList[[#This Row],[HH]]-SUMIF(Table_Shelter[Pcode],CampList[[#This Row],[CP_Pcode]],Table_Shelter[HH Covered])),0)</f>
        <v>3</v>
      </c>
      <c r="AG61" s="773"/>
      <c r="AH61" s="895">
        <f>MIN(CampList[[#This Row],[Shelter Gap]],CampList[[#This Row],[Land Status]])</f>
        <v>3</v>
      </c>
      <c r="AI61" s="773" t="str">
        <f ca="1">IFERROR(OFFSET(DistanceToCamp[Nearest Town],MATCH(CampList[[#This Row],[CP_Pcode]],DistanceToCamp[CP_Pcode],0)-1,0,1,1),"")</f>
        <v/>
      </c>
      <c r="AJ61" s="938" t="str">
        <f ca="1">IFERROR(OFFSET(DistanceToCamp[distance],MATCH(CampList[[#This Row],[CP_Pcode]],DistanceToCamp[CP_Pcode],0)-1,0,1,1),"")</f>
        <v/>
      </c>
      <c r="AK61" s="959" t="str">
        <f ca="1">IFERROR(INT(CampList[[#This Row],[Distance]]/5)+1,"")</f>
        <v/>
      </c>
      <c r="AL61" s="548"/>
      <c r="AM61" s="548"/>
      <c r="AN61" s="548"/>
      <c r="BD61" s="5"/>
      <c r="BE61" s="5"/>
    </row>
    <row r="62" spans="1:57" s="678" customFormat="1" ht="15.6" hidden="1" customHeight="1" x14ac:dyDescent="0.25">
      <c r="A62" s="819" t="s">
        <v>845</v>
      </c>
      <c r="B62" s="701" t="s">
        <v>380</v>
      </c>
      <c r="C62" s="701" t="s">
        <v>527</v>
      </c>
      <c r="D62" s="701" t="s">
        <v>5</v>
      </c>
      <c r="E62" s="701" t="s">
        <v>531</v>
      </c>
      <c r="F62" s="701" t="s">
        <v>5</v>
      </c>
      <c r="G62" s="701" t="s">
        <v>532</v>
      </c>
      <c r="H62" s="701"/>
      <c r="I62" s="701"/>
      <c r="J62" s="701"/>
      <c r="K62" s="701"/>
      <c r="L62" s="525" t="s">
        <v>16</v>
      </c>
      <c r="M62" s="701" t="s">
        <v>15</v>
      </c>
      <c r="N62" s="729">
        <v>97.221556500999995</v>
      </c>
      <c r="O62" s="729">
        <v>24.262418020999998</v>
      </c>
      <c r="P62" s="670"/>
      <c r="Q62" s="748">
        <v>0</v>
      </c>
      <c r="R62" s="749">
        <v>0</v>
      </c>
      <c r="S62" s="841" t="str">
        <f>IF(CampList[[#This Row],[HH]]&gt;0,CampList[[#This Row],[Total]]/CampList[[#This Row],[HH]],"NA")</f>
        <v>NA</v>
      </c>
      <c r="T62" s="750" t="s">
        <v>513</v>
      </c>
      <c r="U62" s="703" t="s">
        <v>1194</v>
      </c>
      <c r="V62" s="700" t="s">
        <v>556</v>
      </c>
      <c r="W62" s="703"/>
      <c r="X62" s="876"/>
      <c r="Y62" s="710"/>
      <c r="Z62" s="877"/>
      <c r="AA62" s="751" t="s">
        <v>844</v>
      </c>
      <c r="AB62" s="878"/>
      <c r="AC62" s="901">
        <v>41661</v>
      </c>
      <c r="AD62" s="880" t="s">
        <v>940</v>
      </c>
      <c r="AE62" s="711" t="s">
        <v>1010</v>
      </c>
      <c r="AF62" s="861">
        <f>IF(CampList[[#This Row],[Type of Accomodation]]="camp",MAX(0,CampList[[#This Row],[HH]]-SUMIF(Table_Shelter[Pcode],CampList[[#This Row],[CP_Pcode]],Table_Shelter[HH Covered])),0)</f>
        <v>0</v>
      </c>
      <c r="AG62" s="700"/>
      <c r="AH62" s="878">
        <f>MIN(CampList[[#This Row],[Shelter Gap]],CampList[[#This Row],[Land Status]])</f>
        <v>0</v>
      </c>
      <c r="AI62" s="700" t="str">
        <f ca="1">IFERROR(OFFSET(DistanceToCamp[Nearest Town],MATCH(CampList[[#This Row],[CP_Pcode]],DistanceToCamp[CP_Pcode],0)-1,0,1,1),"")</f>
        <v/>
      </c>
      <c r="AJ62" s="935" t="str">
        <f ca="1">IFERROR(OFFSET(DistanceToCamp[distance],MATCH(CampList[[#This Row],[CP_Pcode]],DistanceToCamp[CP_Pcode],0)-1,0,1,1),"")</f>
        <v/>
      </c>
      <c r="AK62" s="955" t="str">
        <f ca="1">IFERROR(INT(CampList[[#This Row],[Distance]]/5)+1,"")</f>
        <v/>
      </c>
      <c r="AL62" s="548"/>
      <c r="AM62" s="548"/>
      <c r="AN62" s="548"/>
      <c r="BD62" s="5"/>
      <c r="BE62" s="5"/>
    </row>
    <row r="63" spans="1:57" s="678" customFormat="1" ht="15.6" customHeight="1" x14ac:dyDescent="0.25">
      <c r="A63" s="820" t="s">
        <v>502</v>
      </c>
      <c r="B63" s="216" t="s">
        <v>555</v>
      </c>
      <c r="C63" s="216" t="s">
        <v>538</v>
      </c>
      <c r="D63" s="216" t="s">
        <v>779</v>
      </c>
      <c r="E63" s="216" t="s">
        <v>780</v>
      </c>
      <c r="F63" s="216" t="s">
        <v>781</v>
      </c>
      <c r="G63" s="216" t="s">
        <v>782</v>
      </c>
      <c r="H63" s="679" t="s">
        <v>783</v>
      </c>
      <c r="I63" s="679" t="s">
        <v>784</v>
      </c>
      <c r="J63" s="679" t="s">
        <v>783</v>
      </c>
      <c r="K63" s="679">
        <v>206422</v>
      </c>
      <c r="L63" s="216" t="s">
        <v>596</v>
      </c>
      <c r="M63" s="216" t="s">
        <v>840</v>
      </c>
      <c r="N63" s="842">
        <v>98.352670000000003</v>
      </c>
      <c r="O63" s="729">
        <v>23.372409999999999</v>
      </c>
      <c r="P63" s="743">
        <v>617.6</v>
      </c>
      <c r="Q63" s="692">
        <v>67</v>
      </c>
      <c r="R63" s="687">
        <v>392</v>
      </c>
      <c r="S63" s="843">
        <f>IF(CampList[[#This Row],[HH]]&gt;0,CampList[[#This Row],[Total]]/CampList[[#This Row],[HH]],"NA")</f>
        <v>5.8507462686567164</v>
      </c>
      <c r="T63" s="455" t="s">
        <v>515</v>
      </c>
      <c r="U63" s="673" t="s">
        <v>1194</v>
      </c>
      <c r="V63" s="668" t="s">
        <v>12</v>
      </c>
      <c r="W63" s="673" t="s">
        <v>858</v>
      </c>
      <c r="X63" s="881">
        <v>41365</v>
      </c>
      <c r="Y63" s="882"/>
      <c r="Z63" s="881"/>
      <c r="AA63" s="433" t="s">
        <v>844</v>
      </c>
      <c r="AB63" s="883"/>
      <c r="AC63" s="693">
        <v>41701</v>
      </c>
      <c r="AD63" s="884" t="s">
        <v>1014</v>
      </c>
      <c r="AE63" s="682" t="s">
        <v>1096</v>
      </c>
      <c r="AF63" s="686">
        <f>IF(CampList[[#This Row],[Type of Accomodation]]="camp",MAX(0,CampList[[#This Row],[HH]]-SUMIF(Table_Shelter[Pcode],CampList[[#This Row],[CP_Pcode]],Table_Shelter[HH Covered])),0)</f>
        <v>0</v>
      </c>
      <c r="AG63" s="668"/>
      <c r="AH63" s="883">
        <f>MIN(CampList[[#This Row],[Shelter Gap]],CampList[[#This Row],[Land Status]])</f>
        <v>0</v>
      </c>
      <c r="AI63" s="668" t="str">
        <f ca="1">IFERROR(OFFSET(DistanceToCamp[Nearest Town],MATCH(CampList[[#This Row],[CP_Pcode]],DistanceToCamp[CP_Pcode],0)-1,0,1,1),"")</f>
        <v>Kunlong Town</v>
      </c>
      <c r="AJ63" s="936">
        <f ca="1">IFERROR(OFFSET(DistanceToCamp[distance],MATCH(CampList[[#This Row],[CP_Pcode]],DistanceToCamp[CP_Pcode],0)-1,0,1,1),"")</f>
        <v>30.037709702375544</v>
      </c>
      <c r="AK63" s="957">
        <f ca="1">IFERROR(INT(CampList[[#This Row],[Distance]]/5)+1,"")</f>
        <v>7</v>
      </c>
      <c r="AL63" s="548"/>
      <c r="AM63" s="548"/>
      <c r="AN63" s="548"/>
      <c r="BD63" s="5"/>
      <c r="BE63" s="5"/>
    </row>
    <row r="64" spans="1:57" s="678" customFormat="1" ht="15.6" customHeight="1" x14ac:dyDescent="0.25">
      <c r="A64" s="820" t="s">
        <v>502</v>
      </c>
      <c r="B64" s="216" t="s">
        <v>380</v>
      </c>
      <c r="C64" s="216" t="s">
        <v>527</v>
      </c>
      <c r="D64" s="216" t="s">
        <v>300</v>
      </c>
      <c r="E64" s="216" t="s">
        <v>548</v>
      </c>
      <c r="F64" s="216" t="s">
        <v>144</v>
      </c>
      <c r="G64" s="216" t="s">
        <v>549</v>
      </c>
      <c r="H64" s="669" t="s">
        <v>785</v>
      </c>
      <c r="I64" s="669" t="s">
        <v>786</v>
      </c>
      <c r="J64" s="669" t="s">
        <v>145</v>
      </c>
      <c r="K64" s="669">
        <v>168236</v>
      </c>
      <c r="L64" s="216" t="s">
        <v>145</v>
      </c>
      <c r="M64" s="216" t="s">
        <v>143</v>
      </c>
      <c r="N64" s="842">
        <v>98.144502500000002</v>
      </c>
      <c r="O64" s="729">
        <v>26.890058</v>
      </c>
      <c r="P64" s="744">
        <v>1393</v>
      </c>
      <c r="Q64" s="671">
        <v>11</v>
      </c>
      <c r="R64" s="672">
        <v>17</v>
      </c>
      <c r="S64" s="843">
        <f>IF(CampList[[#This Row],[HH]]&gt;0,CampList[[#This Row],[Total]]/CampList[[#This Row],[HH]],"NA")</f>
        <v>1.5454545454545454</v>
      </c>
      <c r="T64" s="455" t="s">
        <v>513</v>
      </c>
      <c r="U64" s="673" t="s">
        <v>1194</v>
      </c>
      <c r="V64" s="668" t="s">
        <v>556</v>
      </c>
      <c r="W64" s="673" t="s">
        <v>858</v>
      </c>
      <c r="X64" s="898"/>
      <c r="Y64" s="670"/>
      <c r="Z64" s="899"/>
      <c r="AA64" s="675" t="s">
        <v>843</v>
      </c>
      <c r="AB64" s="883"/>
      <c r="AC64" s="693">
        <v>41646</v>
      </c>
      <c r="AD64" s="885" t="s">
        <v>892</v>
      </c>
      <c r="AE64" s="674" t="s">
        <v>1096</v>
      </c>
      <c r="AF64" s="686">
        <f>IF(CampList[[#This Row],[Type of Accomodation]]="camp",MAX(0,CampList[[#This Row],[HH]]-SUMIF(Table_Shelter[Pcode],CampList[[#This Row],[CP_Pcode]],Table_Shelter[HH Covered])),0)</f>
        <v>11</v>
      </c>
      <c r="AG64" s="668"/>
      <c r="AH64" s="883">
        <f>MIN(CampList[[#This Row],[Shelter Gap]],CampList[[#This Row],[Land Status]])</f>
        <v>11</v>
      </c>
      <c r="AI64" s="668" t="str">
        <f ca="1">IFERROR(OFFSET(DistanceToCamp[Nearest Town],MATCH(CampList[[#This Row],[CP_Pcode]],DistanceToCamp[CP_Pcode],0)-1,0,1,1),"")</f>
        <v>Khaunglanhpu Town</v>
      </c>
      <c r="AJ64" s="936">
        <f ca="1">IFERROR(OFFSET(DistanceToCamp[distance],MATCH(CampList[[#This Row],[CP_Pcode]],DistanceToCamp[CP_Pcode],0)-1,0,1,1),"")</f>
        <v>28.422357500443528</v>
      </c>
      <c r="AK64" s="957">
        <f ca="1">IFERROR(INT(CampList[[#This Row],[Distance]]/5)+1,"")</f>
        <v>6</v>
      </c>
      <c r="AL64" s="548"/>
      <c r="AM64" s="548"/>
      <c r="AN64" s="548"/>
      <c r="BD64" s="5"/>
      <c r="BE64" s="5"/>
    </row>
    <row r="65" spans="1:57" s="678" customFormat="1" ht="15.6" customHeight="1" x14ac:dyDescent="0.25">
      <c r="A65" s="820" t="s">
        <v>502</v>
      </c>
      <c r="B65" s="216" t="s">
        <v>555</v>
      </c>
      <c r="C65" s="216" t="s">
        <v>538</v>
      </c>
      <c r="D65" s="216" t="s">
        <v>230</v>
      </c>
      <c r="E65" s="216" t="s">
        <v>539</v>
      </c>
      <c r="F65" s="216" t="s">
        <v>146</v>
      </c>
      <c r="G65" s="216" t="s">
        <v>546</v>
      </c>
      <c r="H65" s="698" t="s">
        <v>768</v>
      </c>
      <c r="I65" s="216" t="s">
        <v>769</v>
      </c>
      <c r="J65" s="698" t="s">
        <v>770</v>
      </c>
      <c r="K65" s="698">
        <v>208557</v>
      </c>
      <c r="L65" s="216" t="s">
        <v>372</v>
      </c>
      <c r="M65" s="216" t="s">
        <v>382</v>
      </c>
      <c r="N65" s="842">
        <v>97.848529999999997</v>
      </c>
      <c r="O65" s="729">
        <v>23.4008</v>
      </c>
      <c r="P65" s="743">
        <v>0</v>
      </c>
      <c r="Q65" s="671">
        <v>88</v>
      </c>
      <c r="R65" s="672">
        <v>505</v>
      </c>
      <c r="S65" s="843">
        <f>IF(CampList[[#This Row],[HH]]&gt;0,CampList[[#This Row],[Total]]/CampList[[#This Row],[HH]],"NA")</f>
        <v>5.7386363636363633</v>
      </c>
      <c r="T65" s="455" t="s">
        <v>513</v>
      </c>
      <c r="U65" s="673" t="s">
        <v>1194</v>
      </c>
      <c r="V65" s="668" t="s">
        <v>556</v>
      </c>
      <c r="W65" s="673" t="s">
        <v>858</v>
      </c>
      <c r="X65" s="881">
        <v>41275</v>
      </c>
      <c r="Y65" s="882"/>
      <c r="Z65" s="881" t="s">
        <v>462</v>
      </c>
      <c r="AA65" s="683" t="s">
        <v>844</v>
      </c>
      <c r="AB65" s="883"/>
      <c r="AC65" s="693">
        <v>42502</v>
      </c>
      <c r="AD65" s="885" t="s">
        <v>1392</v>
      </c>
      <c r="AE65" s="682" t="s">
        <v>1082</v>
      </c>
      <c r="AF65" s="686">
        <f>IF(CampList[[#This Row],[Type of Accomodation]]="camp",MAX(0,CampList[[#This Row],[HH]]-SUMIF(Table_Shelter[Pcode],CampList[[#This Row],[CP_Pcode]],Table_Shelter[HH Covered])),0)</f>
        <v>0</v>
      </c>
      <c r="AG65" s="668"/>
      <c r="AH65" s="883">
        <f>MIN(CampList[[#This Row],[Shelter Gap]],CampList[[#This Row],[Land Status]])</f>
        <v>0</v>
      </c>
      <c r="AI65" s="668" t="str">
        <f ca="1">IFERROR(OFFSET(DistanceToCamp[Nearest Town],MATCH(CampList[[#This Row],[CP_Pcode]],DistanceToCamp[CP_Pcode],0)-1,0,1,1),"")</f>
        <v>Kutkai Town</v>
      </c>
      <c r="AJ65" s="936">
        <f ca="1">IFERROR(OFFSET(DistanceToCamp[distance],MATCH(CampList[[#This Row],[CP_Pcode]],DistanceToCamp[CP_Pcode],0)-1,0,1,1),"")</f>
        <v>11.65743881259678</v>
      </c>
      <c r="AK65" s="957">
        <f ca="1">IFERROR(INT(CampList[[#This Row],[Distance]]/5)+1,"")</f>
        <v>3</v>
      </c>
      <c r="AL65" s="548"/>
      <c r="AM65" s="548"/>
      <c r="AN65" s="548"/>
      <c r="BD65" s="5"/>
      <c r="BE65" s="5"/>
    </row>
    <row r="66" spans="1:57" s="678" customFormat="1" ht="15.6" customHeight="1" x14ac:dyDescent="0.25">
      <c r="A66" s="827" t="s">
        <v>502</v>
      </c>
      <c r="B66" s="764" t="s">
        <v>555</v>
      </c>
      <c r="C66" s="764" t="s">
        <v>538</v>
      </c>
      <c r="D66" s="764" t="s">
        <v>230</v>
      </c>
      <c r="E66" s="764" t="s">
        <v>539</v>
      </c>
      <c r="F66" s="764" t="s">
        <v>146</v>
      </c>
      <c r="G66" s="764" t="s">
        <v>546</v>
      </c>
      <c r="H66" s="794" t="s">
        <v>768</v>
      </c>
      <c r="I66" s="794" t="s">
        <v>769</v>
      </c>
      <c r="J66" s="794" t="s">
        <v>770</v>
      </c>
      <c r="K66" s="794">
        <v>208557</v>
      </c>
      <c r="L66" s="764" t="s">
        <v>373</v>
      </c>
      <c r="M66" s="764" t="s">
        <v>387</v>
      </c>
      <c r="N66" s="729">
        <v>97.837040000000002</v>
      </c>
      <c r="O66" s="729">
        <v>23.38503</v>
      </c>
      <c r="P66" s="680">
        <v>0</v>
      </c>
      <c r="Q66" s="795">
        <v>202</v>
      </c>
      <c r="R66" s="795">
        <v>906</v>
      </c>
      <c r="S66" s="844">
        <f>IF(CampList[[#This Row],[HH]]&gt;0,CampList[[#This Row],[Total]]/CampList[[#This Row],[HH]],"NA")</f>
        <v>4.4851485148514856</v>
      </c>
      <c r="T66" s="768" t="s">
        <v>513</v>
      </c>
      <c r="U66" s="769" t="s">
        <v>1194</v>
      </c>
      <c r="V66" s="763" t="s">
        <v>556</v>
      </c>
      <c r="W66" s="763" t="s">
        <v>858</v>
      </c>
      <c r="X66" s="918">
        <v>41244</v>
      </c>
      <c r="Y66" s="919"/>
      <c r="Z66" s="918" t="s">
        <v>462</v>
      </c>
      <c r="AA66" s="810" t="s">
        <v>844</v>
      </c>
      <c r="AB66" s="889"/>
      <c r="AC66" s="912">
        <v>42536</v>
      </c>
      <c r="AD66" s="904" t="s">
        <v>1467</v>
      </c>
      <c r="AE66" s="798" t="s">
        <v>1082</v>
      </c>
      <c r="AF66" s="860">
        <f>IF(CampList[[#This Row],[Type of Accomodation]]="camp",MAX(0,CampList[[#This Row],[HH]]-SUMIF(Table_Shelter[Pcode],CampList[[#This Row],[CP_Pcode]],Table_Shelter[HH Covered])),0)</f>
        <v>101</v>
      </c>
      <c r="AG66" s="763"/>
      <c r="AH66" s="889">
        <f>MIN(CampList[[#This Row],[Shelter Gap]],CampList[[#This Row],[Land Status]])</f>
        <v>101</v>
      </c>
      <c r="AI66" s="763" t="str">
        <f ca="1">IFERROR(OFFSET(DistanceToCamp[Nearest Town],MATCH(CampList[[#This Row],[CP_Pcode]],DistanceToCamp[CP_Pcode],0)-1,0,1,1),"")</f>
        <v>Kutkai Town</v>
      </c>
      <c r="AJ66" s="937">
        <f ca="1">IFERROR(OFFSET(DistanceToCamp[distance],MATCH(CampList[[#This Row],[CP_Pcode]],DistanceToCamp[CP_Pcode],0)-1,0,1,1),"")</f>
        <v>13.632081902964599</v>
      </c>
      <c r="AK66" s="958">
        <f ca="1">IFERROR(INT(CampList[[#This Row],[Distance]]/5)+1,"")</f>
        <v>3</v>
      </c>
      <c r="AL66" s="548"/>
      <c r="AM66" s="548"/>
      <c r="AN66" s="548"/>
      <c r="BD66" s="5"/>
      <c r="BE66" s="5"/>
    </row>
    <row r="67" spans="1:57" s="678" customFormat="1" ht="15.6" customHeight="1" x14ac:dyDescent="0.25">
      <c r="A67" s="820" t="s">
        <v>502</v>
      </c>
      <c r="B67" s="216" t="s">
        <v>555</v>
      </c>
      <c r="C67" s="216" t="s">
        <v>538</v>
      </c>
      <c r="D67" s="216" t="s">
        <v>230</v>
      </c>
      <c r="E67" s="216" t="s">
        <v>539</v>
      </c>
      <c r="F67" s="216" t="s">
        <v>146</v>
      </c>
      <c r="G67" s="216" t="s">
        <v>546</v>
      </c>
      <c r="H67" s="698" t="s">
        <v>725</v>
      </c>
      <c r="I67" s="216" t="s">
        <v>1259</v>
      </c>
      <c r="J67" s="698" t="s">
        <v>726</v>
      </c>
      <c r="K67" s="741">
        <v>208696</v>
      </c>
      <c r="L67" s="435" t="s">
        <v>149</v>
      </c>
      <c r="M67" s="216" t="s">
        <v>148</v>
      </c>
      <c r="N67" s="842">
        <v>97.818979999999996</v>
      </c>
      <c r="O67" s="729">
        <v>23.694130000000001</v>
      </c>
      <c r="P67" s="743">
        <v>1135.7</v>
      </c>
      <c r="Q67" s="681">
        <v>62</v>
      </c>
      <c r="R67" s="681">
        <v>281</v>
      </c>
      <c r="S67" s="843">
        <f>IF(CampList[[#This Row],[HH]]&gt;0,CampList[[#This Row],[Total]]/CampList[[#This Row],[HH]],"NA")</f>
        <v>4.532258064516129</v>
      </c>
      <c r="T67" s="455" t="s">
        <v>513</v>
      </c>
      <c r="U67" s="673" t="s">
        <v>1194</v>
      </c>
      <c r="V67" s="668" t="s">
        <v>556</v>
      </c>
      <c r="W67" s="673" t="s">
        <v>858</v>
      </c>
      <c r="X67" s="881">
        <v>40878</v>
      </c>
      <c r="Y67" s="882">
        <v>1</v>
      </c>
      <c r="Z67" s="881" t="s">
        <v>462</v>
      </c>
      <c r="AA67" s="683" t="s">
        <v>844</v>
      </c>
      <c r="AB67" s="883"/>
      <c r="AC67" s="693">
        <v>42536</v>
      </c>
      <c r="AD67" s="885" t="s">
        <v>1464</v>
      </c>
      <c r="AE67" s="682" t="s">
        <v>1082</v>
      </c>
      <c r="AF67" s="686">
        <f>IF(CampList[[#This Row],[Type of Accomodation]]="camp",MAX(0,CampList[[#This Row],[HH]]-SUMIF(Table_Shelter[Pcode],CampList[[#This Row],[CP_Pcode]],Table_Shelter[HH Covered])),0)</f>
        <v>36</v>
      </c>
      <c r="AG67" s="668"/>
      <c r="AH67" s="883">
        <f>MIN(CampList[[#This Row],[Shelter Gap]],CampList[[#This Row],[Land Status]])</f>
        <v>36</v>
      </c>
      <c r="AI67" s="668" t="str">
        <f ca="1">IFERROR(OFFSET(DistanceToCamp[Nearest Town],MATCH(CampList[[#This Row],[CP_Pcode]],DistanceToCamp[CP_Pcode],0)-1,0,1,1),"")</f>
        <v>Namhkan Town</v>
      </c>
      <c r="AJ67" s="936">
        <f ca="1">IFERROR(OFFSET(DistanceToCamp[distance],MATCH(CampList[[#This Row],[CP_Pcode]],DistanceToCamp[CP_Pcode],0)-1,0,1,1),"")</f>
        <v>21.148671772283631</v>
      </c>
      <c r="AK67" s="957">
        <f ca="1">IFERROR(INT(CampList[[#This Row],[Distance]]/5)+1,"")</f>
        <v>5</v>
      </c>
      <c r="AL67" s="548"/>
      <c r="AM67" s="548"/>
      <c r="AN67" s="548"/>
      <c r="BD67" s="5"/>
      <c r="BE67" s="5"/>
    </row>
    <row r="68" spans="1:57" s="678" customFormat="1" ht="15.6" customHeight="1" x14ac:dyDescent="0.25">
      <c r="A68" s="821" t="s">
        <v>502</v>
      </c>
      <c r="B68" s="764" t="s">
        <v>555</v>
      </c>
      <c r="C68" s="764" t="s">
        <v>538</v>
      </c>
      <c r="D68" s="764" t="s">
        <v>230</v>
      </c>
      <c r="E68" s="764" t="s">
        <v>539</v>
      </c>
      <c r="F68" s="764" t="s">
        <v>146</v>
      </c>
      <c r="G68" s="764" t="s">
        <v>546</v>
      </c>
      <c r="H68" s="972" t="s">
        <v>724</v>
      </c>
      <c r="I68" s="764" t="s">
        <v>1258</v>
      </c>
      <c r="J68" s="972" t="s">
        <v>724</v>
      </c>
      <c r="K68" s="976">
        <v>208747</v>
      </c>
      <c r="L68" s="824" t="s">
        <v>368</v>
      </c>
      <c r="M68" s="764" t="s">
        <v>385</v>
      </c>
      <c r="N68" s="729">
        <v>97.793019999999999</v>
      </c>
      <c r="O68" s="729">
        <v>23.588920000000002</v>
      </c>
      <c r="P68" s="680">
        <v>1012.5</v>
      </c>
      <c r="Q68" s="795">
        <v>63</v>
      </c>
      <c r="R68" s="795">
        <v>305</v>
      </c>
      <c r="S68" s="844">
        <f>IF(CampList[[#This Row],[HH]]&gt;0,CampList[[#This Row],[Total]]/CampList[[#This Row],[HH]],"NA")</f>
        <v>4.8412698412698409</v>
      </c>
      <c r="T68" s="768" t="s">
        <v>513</v>
      </c>
      <c r="U68" s="769" t="s">
        <v>1194</v>
      </c>
      <c r="V68" s="763" t="s">
        <v>556</v>
      </c>
      <c r="W68" s="769" t="s">
        <v>858</v>
      </c>
      <c r="X68" s="918">
        <v>41275</v>
      </c>
      <c r="Y68" s="919">
        <v>2</v>
      </c>
      <c r="Z68" s="918" t="s">
        <v>462</v>
      </c>
      <c r="AA68" s="802" t="s">
        <v>844</v>
      </c>
      <c r="AB68" s="889"/>
      <c r="AC68" s="912">
        <v>42536</v>
      </c>
      <c r="AD68" s="891" t="s">
        <v>1464</v>
      </c>
      <c r="AE68" s="798" t="s">
        <v>1082</v>
      </c>
      <c r="AF68" s="860">
        <f>IF(CampList[[#This Row],[Type of Accomodation]]="camp",MAX(0,CampList[[#This Row],[HH]]-SUMIF(Table_Shelter[Pcode],CampList[[#This Row],[CP_Pcode]],Table_Shelter[HH Covered])),0)</f>
        <v>0</v>
      </c>
      <c r="AG68" s="763"/>
      <c r="AH68" s="889">
        <f>MIN(CampList[[#This Row],[Shelter Gap]],CampList[[#This Row],[Land Status]])</f>
        <v>0</v>
      </c>
      <c r="AI68" s="763" t="str">
        <f ca="1">IFERROR(OFFSET(DistanceToCamp[Nearest Town],MATCH(CampList[[#This Row],[CP_Pcode]],DistanceToCamp[CP_Pcode],0)-1,0,1,1),"")</f>
        <v>Kutkai Town</v>
      </c>
      <c r="AJ68" s="937">
        <f ca="1">IFERROR(OFFSET(DistanceToCamp[distance],MATCH(CampList[[#This Row],[CP_Pcode]],DistanceToCamp[CP_Pcode],0)-1,0,1,1),"")</f>
        <v>21.050742639251741</v>
      </c>
      <c r="AK68" s="958">
        <f ca="1">IFERROR(INT(CampList[[#This Row],[Distance]]/5)+1,"")</f>
        <v>5</v>
      </c>
      <c r="AL68" s="548"/>
      <c r="AM68" s="548"/>
      <c r="AN68" s="548"/>
      <c r="BD68" s="5"/>
      <c r="BE68" s="5"/>
    </row>
    <row r="69" spans="1:57" s="678" customFormat="1" ht="15.6" customHeight="1" x14ac:dyDescent="0.25">
      <c r="A69" s="820" t="s">
        <v>502</v>
      </c>
      <c r="B69" s="216" t="s">
        <v>555</v>
      </c>
      <c r="C69" s="216" t="s">
        <v>538</v>
      </c>
      <c r="D69" s="216" t="s">
        <v>230</v>
      </c>
      <c r="E69" s="216" t="s">
        <v>539</v>
      </c>
      <c r="F69" s="216" t="s">
        <v>146</v>
      </c>
      <c r="G69" s="216" t="s">
        <v>546</v>
      </c>
      <c r="H69" s="679" t="s">
        <v>787</v>
      </c>
      <c r="I69" s="679" t="s">
        <v>788</v>
      </c>
      <c r="J69" s="652" t="s">
        <v>789</v>
      </c>
      <c r="K69" s="677">
        <v>219842</v>
      </c>
      <c r="L69" s="435" t="s">
        <v>371</v>
      </c>
      <c r="M69" s="216" t="s">
        <v>147</v>
      </c>
      <c r="N69" s="842">
        <v>98.220614999999995</v>
      </c>
      <c r="O69" s="729">
        <v>23.400155999999999</v>
      </c>
      <c r="P69" s="743">
        <v>3109</v>
      </c>
      <c r="Q69" s="681">
        <v>49</v>
      </c>
      <c r="R69" s="681">
        <v>261</v>
      </c>
      <c r="S69" s="843">
        <f>IF(CampList[[#This Row],[HH]]&gt;0,CampList[[#This Row],[Total]]/CampList[[#This Row],[HH]],"NA")</f>
        <v>5.3265306122448983</v>
      </c>
      <c r="T69" s="455" t="s">
        <v>513</v>
      </c>
      <c r="U69" s="673" t="s">
        <v>1194</v>
      </c>
      <c r="V69" s="668" t="s">
        <v>556</v>
      </c>
      <c r="W69" s="673" t="s">
        <v>858</v>
      </c>
      <c r="X69" s="881">
        <v>40787</v>
      </c>
      <c r="Y69" s="882">
        <v>1</v>
      </c>
      <c r="Z69" s="881" t="s">
        <v>462</v>
      </c>
      <c r="AA69" s="683" t="s">
        <v>844</v>
      </c>
      <c r="AB69" s="883"/>
      <c r="AC69" s="693">
        <v>42536</v>
      </c>
      <c r="AD69" s="885" t="s">
        <v>1463</v>
      </c>
      <c r="AE69" s="682" t="s">
        <v>1080</v>
      </c>
      <c r="AF69" s="686">
        <f>IF(CampList[[#This Row],[Type of Accomodation]]="camp",MAX(0,CampList[[#This Row],[HH]]-SUMIF(Table_Shelter[Pcode],CampList[[#This Row],[CP_Pcode]],Table_Shelter[HH Covered])),0)</f>
        <v>44</v>
      </c>
      <c r="AG69" s="668"/>
      <c r="AH69" s="883">
        <f>MIN(CampList[[#This Row],[Shelter Gap]],CampList[[#This Row],[Land Status]])</f>
        <v>44</v>
      </c>
      <c r="AI69" s="668" t="str">
        <f ca="1">IFERROR(OFFSET(DistanceToCamp[Nearest Town],MATCH(CampList[[#This Row],[CP_Pcode]],DistanceToCamp[CP_Pcode],0)-1,0,1,1),"")</f>
        <v>Tarmoenye Town</v>
      </c>
      <c r="AJ69" s="936">
        <f ca="1">IFERROR(OFFSET(DistanceToCamp[distance],MATCH(CampList[[#This Row],[CP_Pcode]],DistanceToCamp[CP_Pcode],0)-1,0,1,1),"")</f>
        <v>23.172399462804503</v>
      </c>
      <c r="AK69" s="957">
        <f ca="1">IFERROR(INT(CampList[[#This Row],[Distance]]/5)+1,"")</f>
        <v>5</v>
      </c>
      <c r="AL69" s="548"/>
      <c r="AM69" s="548"/>
      <c r="AN69" s="548"/>
      <c r="BD69" s="5"/>
      <c r="BE69" s="5"/>
    </row>
    <row r="70" spans="1:57" s="678" customFormat="1" ht="15.6" customHeight="1" x14ac:dyDescent="0.25">
      <c r="A70" s="825" t="s">
        <v>502</v>
      </c>
      <c r="B70" s="677" t="s">
        <v>555</v>
      </c>
      <c r="C70" s="677" t="s">
        <v>538</v>
      </c>
      <c r="D70" s="677" t="s">
        <v>230</v>
      </c>
      <c r="E70" s="677" t="s">
        <v>539</v>
      </c>
      <c r="F70" s="677" t="s">
        <v>146</v>
      </c>
      <c r="G70" s="677" t="s">
        <v>546</v>
      </c>
      <c r="H70" s="677" t="s">
        <v>787</v>
      </c>
      <c r="I70" s="689" t="s">
        <v>788</v>
      </c>
      <c r="J70" s="677" t="s">
        <v>789</v>
      </c>
      <c r="K70" s="677">
        <v>219842</v>
      </c>
      <c r="L70" s="677" t="s">
        <v>1105</v>
      </c>
      <c r="M70" s="677" t="s">
        <v>1104</v>
      </c>
      <c r="N70" s="948"/>
      <c r="O70" s="949"/>
      <c r="P70" s="744"/>
      <c r="Q70" s="681">
        <v>23</v>
      </c>
      <c r="R70" s="687">
        <v>112</v>
      </c>
      <c r="S70" s="843">
        <f>IF(CampList[[#This Row],[HH]]&gt;0,CampList[[#This Row],[Total]]/CampList[[#This Row],[HH]],"NA")</f>
        <v>4.8695652173913047</v>
      </c>
      <c r="T70" s="420" t="s">
        <v>513</v>
      </c>
      <c r="U70" s="455" t="s">
        <v>1194</v>
      </c>
      <c r="V70" s="420" t="s">
        <v>556</v>
      </c>
      <c r="W70" s="686" t="s">
        <v>858</v>
      </c>
      <c r="X70" s="905">
        <v>40787</v>
      </c>
      <c r="Y70" s="670"/>
      <c r="Z70" s="670" t="s">
        <v>1266</v>
      </c>
      <c r="AA70" s="681" t="s">
        <v>844</v>
      </c>
      <c r="AB70" s="907"/>
      <c r="AC70" s="693">
        <v>42397</v>
      </c>
      <c r="AD70" s="726" t="s">
        <v>1344</v>
      </c>
      <c r="AE70" s="690"/>
      <c r="AF70" s="732">
        <f>IF(CampList[[#This Row],[Type of Accomodation]]="camp",MAX(0,CampList[[#This Row],[HH]]-SUMIF(Table_Shelter[Pcode],CampList[[#This Row],[CP_Pcode]],Table_Shelter[HH Covered])),0)</f>
        <v>23</v>
      </c>
      <c r="AG70" s="668"/>
      <c r="AH70" s="692">
        <f>MIN(CampList[[#This Row],[Shelter Gap]],CampList[[#This Row],[Land Status]])</f>
        <v>23</v>
      </c>
      <c r="AI70" s="732" t="str">
        <f ca="1">IFERROR(OFFSET(DistanceToCamp[Nearest Town],MATCH(CampList[[#This Row],[CP_Pcode]],DistanceToCamp[CP_Pcode],0)-1,0,1,1),"")</f>
        <v/>
      </c>
      <c r="AJ70" s="936" t="str">
        <f ca="1">IFERROR(OFFSET(DistanceToCamp[distance],MATCH(CampList[[#This Row],[CP_Pcode]],DistanceToCamp[CP_Pcode],0)-1,0,1,1),"")</f>
        <v/>
      </c>
      <c r="AK70" s="956" t="str">
        <f ca="1">IFERROR(INT(CampList[[#This Row],[Distance]]/5)+1,"")</f>
        <v/>
      </c>
      <c r="AL70" s="548"/>
      <c r="AM70" s="548"/>
      <c r="AN70" s="548"/>
      <c r="BD70" s="5"/>
      <c r="BE70" s="5"/>
    </row>
    <row r="71" spans="1:57" s="678" customFormat="1" ht="15.6" hidden="1" customHeight="1" x14ac:dyDescent="0.25">
      <c r="A71" s="822" t="s">
        <v>845</v>
      </c>
      <c r="B71" s="774" t="s">
        <v>380</v>
      </c>
      <c r="C71" s="774" t="s">
        <v>527</v>
      </c>
      <c r="D71" s="774" t="s">
        <v>5</v>
      </c>
      <c r="E71" s="774" t="s">
        <v>531</v>
      </c>
      <c r="F71" s="774" t="s">
        <v>151</v>
      </c>
      <c r="G71" s="774" t="s">
        <v>541</v>
      </c>
      <c r="H71" s="775" t="s">
        <v>743</v>
      </c>
      <c r="I71" s="775" t="s">
        <v>744</v>
      </c>
      <c r="J71" s="775"/>
      <c r="K71" s="775"/>
      <c r="L71" s="828" t="s">
        <v>518</v>
      </c>
      <c r="M71" s="774" t="s">
        <v>519</v>
      </c>
      <c r="N71" s="729">
        <v>97.601243999999994</v>
      </c>
      <c r="O71" s="729">
        <v>23.867713999999999</v>
      </c>
      <c r="P71" s="680">
        <v>755</v>
      </c>
      <c r="Q71" s="776">
        <v>0</v>
      </c>
      <c r="R71" s="777">
        <v>0</v>
      </c>
      <c r="S71" s="845" t="str">
        <f>IF(CampList[[#This Row],[HH]]&gt;0,CampList[[#This Row],[Total]]/CampList[[#This Row],[HH]],"NA")</f>
        <v>NA</v>
      </c>
      <c r="T71" s="778" t="s">
        <v>515</v>
      </c>
      <c r="U71" s="779" t="s">
        <v>1194</v>
      </c>
      <c r="V71" s="773" t="s">
        <v>556</v>
      </c>
      <c r="W71" s="779" t="s">
        <v>858</v>
      </c>
      <c r="X71" s="902">
        <v>41365</v>
      </c>
      <c r="Y71" s="909">
        <v>2</v>
      </c>
      <c r="Z71" s="902" t="s">
        <v>1092</v>
      </c>
      <c r="AA71" s="786" t="s">
        <v>844</v>
      </c>
      <c r="AB71" s="895"/>
      <c r="AC71" s="792">
        <v>41811</v>
      </c>
      <c r="AD71" s="897" t="s">
        <v>1103</v>
      </c>
      <c r="AE71" s="790" t="s">
        <v>1096</v>
      </c>
      <c r="AF71" s="814">
        <f>IF(CampList[[#This Row],[Type of Accomodation]]="camp",MAX(0,CampList[[#This Row],[HH]]-SUMIF(Table_Shelter[Pcode],CampList[[#This Row],[CP_Pcode]],Table_Shelter[HH Covered])),0)</f>
        <v>0</v>
      </c>
      <c r="AG71" s="773"/>
      <c r="AH71" s="895">
        <f>MIN(CampList[[#This Row],[Shelter Gap]],CampList[[#This Row],[Land Status]])</f>
        <v>0</v>
      </c>
      <c r="AI71" s="773" t="str">
        <f ca="1">IFERROR(OFFSET(DistanceToCamp[Nearest Town],MATCH(CampList[[#This Row],[CP_Pcode]],DistanceToCamp[CP_Pcode],0)-1,0,1,1),"")</f>
        <v/>
      </c>
      <c r="AJ71" s="938" t="str">
        <f ca="1">IFERROR(OFFSET(DistanceToCamp[distance],MATCH(CampList[[#This Row],[CP_Pcode]],DistanceToCamp[CP_Pcode],0)-1,0,1,1),"")</f>
        <v/>
      </c>
      <c r="AK71" s="959" t="str">
        <f ca="1">IFERROR(INT(CampList[[#This Row],[Distance]]/5)+1,"")</f>
        <v/>
      </c>
      <c r="AL71" s="548"/>
      <c r="AM71" s="548"/>
      <c r="AN71" s="548"/>
      <c r="BD71" s="5"/>
      <c r="BE71" s="5"/>
    </row>
    <row r="72" spans="1:57" s="678" customFormat="1" ht="15.6" hidden="1" customHeight="1" x14ac:dyDescent="0.25">
      <c r="A72" s="819" t="s">
        <v>845</v>
      </c>
      <c r="B72" s="701" t="s">
        <v>380</v>
      </c>
      <c r="C72" s="701" t="s">
        <v>527</v>
      </c>
      <c r="D72" s="701" t="s">
        <v>237</v>
      </c>
      <c r="E72" s="701" t="s">
        <v>533</v>
      </c>
      <c r="F72" s="701" t="s">
        <v>310</v>
      </c>
      <c r="G72" s="701" t="s">
        <v>534</v>
      </c>
      <c r="H72" s="747" t="s">
        <v>729</v>
      </c>
      <c r="I72" s="747" t="s">
        <v>730</v>
      </c>
      <c r="J72" s="747" t="s">
        <v>729</v>
      </c>
      <c r="K72" s="747">
        <v>165772</v>
      </c>
      <c r="L72" s="701" t="s">
        <v>1252</v>
      </c>
      <c r="M72" s="701" t="s">
        <v>314</v>
      </c>
      <c r="N72" s="729">
        <v>97.551507000000001</v>
      </c>
      <c r="O72" s="729">
        <v>24.747212999999999</v>
      </c>
      <c r="P72" s="680">
        <v>221</v>
      </c>
      <c r="Q72" s="748">
        <v>0</v>
      </c>
      <c r="R72" s="749">
        <v>0</v>
      </c>
      <c r="S72" s="841" t="str">
        <f>IF(CampList[[#This Row],[HH]]&gt;0,CampList[[#This Row],[Total]]/CampList[[#This Row],[HH]],"NA")</f>
        <v>NA</v>
      </c>
      <c r="T72" s="750" t="s">
        <v>515</v>
      </c>
      <c r="U72" s="703" t="s">
        <v>1194</v>
      </c>
      <c r="V72" s="700" t="s">
        <v>556</v>
      </c>
      <c r="W72" s="703" t="s">
        <v>858</v>
      </c>
      <c r="X72" s="906">
        <v>40695</v>
      </c>
      <c r="Y72" s="916">
        <v>3</v>
      </c>
      <c r="Z72" s="906" t="s">
        <v>1093</v>
      </c>
      <c r="AA72" s="705" t="s">
        <v>844</v>
      </c>
      <c r="AB72" s="878"/>
      <c r="AC72" s="901">
        <v>42180</v>
      </c>
      <c r="AD72" s="880" t="s">
        <v>1267</v>
      </c>
      <c r="AE72" s="704" t="s">
        <v>1081</v>
      </c>
      <c r="AF72" s="861">
        <f>IF(CampList[[#This Row],[Type of Accomodation]]="camp",MAX(0,CampList[[#This Row],[HH]]-SUMIF(Table_Shelter[Pcode],CampList[[#This Row],[CP_Pcode]],Table_Shelter[HH Covered])),0)</f>
        <v>0</v>
      </c>
      <c r="AG72" s="700">
        <v>0</v>
      </c>
      <c r="AH72" s="878">
        <f>MIN(CampList[[#This Row],[Shelter Gap]],CampList[[#This Row],[Land Status]])</f>
        <v>0</v>
      </c>
      <c r="AI72" s="700" t="str">
        <f ca="1">IFERROR(OFFSET(DistanceToCamp[Nearest Town],MATCH(CampList[[#This Row],[CP_Pcode]],DistanceToCamp[CP_Pcode],0)-1,0,1,1),"")</f>
        <v>Laiza town</v>
      </c>
      <c r="AJ72" s="935">
        <f ca="1">IFERROR(OFFSET(DistanceToCamp[distance],MATCH(CampList[[#This Row],[CP_Pcode]],DistanceToCamp[CP_Pcode],0)-1,0,1,1),"")</f>
        <v>1.857513522619473</v>
      </c>
      <c r="AK72" s="955">
        <f ca="1">IFERROR(INT(CampList[[#This Row],[Distance]]/5)+1,"")</f>
        <v>1</v>
      </c>
      <c r="AL72" s="548"/>
      <c r="AM72" s="548"/>
      <c r="AN72" s="548"/>
      <c r="BD72" s="5"/>
      <c r="BE72" s="5"/>
    </row>
    <row r="73" spans="1:57" s="678" customFormat="1" ht="15.6" customHeight="1" x14ac:dyDescent="0.25">
      <c r="A73" s="825" t="s">
        <v>502</v>
      </c>
      <c r="B73" s="677" t="s">
        <v>555</v>
      </c>
      <c r="C73" s="677" t="s">
        <v>538</v>
      </c>
      <c r="D73" s="677" t="s">
        <v>230</v>
      </c>
      <c r="E73" s="677" t="s">
        <v>539</v>
      </c>
      <c r="F73" s="677" t="s">
        <v>146</v>
      </c>
      <c r="G73" s="677" t="s">
        <v>546</v>
      </c>
      <c r="H73" s="677" t="s">
        <v>731</v>
      </c>
      <c r="I73" s="689" t="s">
        <v>732</v>
      </c>
      <c r="J73" s="677" t="s">
        <v>716</v>
      </c>
      <c r="K73" s="677" t="s">
        <v>735</v>
      </c>
      <c r="L73" s="677" t="s">
        <v>370</v>
      </c>
      <c r="M73" s="677" t="s">
        <v>384</v>
      </c>
      <c r="N73" s="847">
        <v>97.947360000000003</v>
      </c>
      <c r="O73" s="681">
        <v>23.460349999999998</v>
      </c>
      <c r="P73" s="744">
        <v>4430</v>
      </c>
      <c r="Q73" s="681">
        <v>31</v>
      </c>
      <c r="R73" s="687">
        <v>144</v>
      </c>
      <c r="S73" s="843">
        <f>IF(CampList[[#This Row],[HH]]&gt;0,CampList[[#This Row],[Total]]/CampList[[#This Row],[HH]],"NA")</f>
        <v>4.645161290322581</v>
      </c>
      <c r="T73" s="420" t="s">
        <v>513</v>
      </c>
      <c r="U73" s="455" t="s">
        <v>1194</v>
      </c>
      <c r="V73" s="420" t="s">
        <v>556</v>
      </c>
      <c r="W73" s="686" t="s">
        <v>805</v>
      </c>
      <c r="X73" s="905">
        <v>41244</v>
      </c>
      <c r="Y73" s="670"/>
      <c r="Z73" s="670" t="s">
        <v>1266</v>
      </c>
      <c r="AA73" s="681" t="s">
        <v>844</v>
      </c>
      <c r="AB73" s="907"/>
      <c r="AC73" s="693">
        <v>42397</v>
      </c>
      <c r="AD73" s="726" t="s">
        <v>1342</v>
      </c>
      <c r="AE73" s="690" t="s">
        <v>1082</v>
      </c>
      <c r="AF73" s="732">
        <f>IF(CampList[[#This Row],[Type of Accomodation]]="camp",MAX(0,CampList[[#This Row],[HH]]-SUMIF(Table_Shelter[Pcode],CampList[[#This Row],[CP_Pcode]],Table_Shelter[HH Covered])),0)</f>
        <v>0</v>
      </c>
      <c r="AG73" s="686"/>
      <c r="AH73" s="692">
        <f>MIN(CampList[[#This Row],[Shelter Gap]],CampList[[#This Row],[Land Status]])</f>
        <v>0</v>
      </c>
      <c r="AI73" s="732" t="str">
        <f ca="1">IFERROR(OFFSET(DistanceToCamp[Nearest Town],MATCH(CampList[[#This Row],[CP_Pcode]],DistanceToCamp[CP_Pcode],0)-1,0,1,1),"")</f>
        <v>Kutkai Town</v>
      </c>
      <c r="AJ73" s="936">
        <f ca="1">IFERROR(OFFSET(DistanceToCamp[distance],MATCH(CampList[[#This Row],[CP_Pcode]],DistanceToCamp[CP_Pcode],0)-1,0,1,1),"")</f>
        <v>0.42212558305526549</v>
      </c>
      <c r="AK73" s="956">
        <f ca="1">IFERROR(INT(CampList[[#This Row],[Distance]]/5)+1,"")</f>
        <v>1</v>
      </c>
      <c r="AL73" s="548"/>
      <c r="AM73" s="548"/>
      <c r="AN73" s="548"/>
      <c r="BD73" s="5"/>
      <c r="BE73" s="5"/>
    </row>
    <row r="74" spans="1:57" s="678" customFormat="1" ht="15.6" customHeight="1" x14ac:dyDescent="0.25">
      <c r="A74" s="820" t="s">
        <v>502</v>
      </c>
      <c r="B74" s="216" t="s">
        <v>555</v>
      </c>
      <c r="C74" s="216" t="s">
        <v>538</v>
      </c>
      <c r="D74" s="216" t="s">
        <v>230</v>
      </c>
      <c r="E74" s="216" t="s">
        <v>539</v>
      </c>
      <c r="F74" s="216" t="s">
        <v>146</v>
      </c>
      <c r="G74" s="216" t="s">
        <v>546</v>
      </c>
      <c r="H74" s="679" t="s">
        <v>731</v>
      </c>
      <c r="I74" s="679" t="s">
        <v>732</v>
      </c>
      <c r="J74" s="679" t="s">
        <v>733</v>
      </c>
      <c r="K74" s="679" t="s">
        <v>734</v>
      </c>
      <c r="L74" s="435" t="s">
        <v>369</v>
      </c>
      <c r="M74" s="216" t="s">
        <v>383</v>
      </c>
      <c r="N74" s="842">
        <v>97.926813999999993</v>
      </c>
      <c r="O74" s="729">
        <v>23.450914000000001</v>
      </c>
      <c r="P74" s="743">
        <v>4336</v>
      </c>
      <c r="Q74" s="681">
        <v>63</v>
      </c>
      <c r="R74" s="681">
        <v>295</v>
      </c>
      <c r="S74" s="843">
        <f>IF(CampList[[#This Row],[HH]]&gt;0,CampList[[#This Row],[Total]]/CampList[[#This Row],[HH]],"NA")</f>
        <v>4.6825396825396828</v>
      </c>
      <c r="T74" s="455" t="s">
        <v>513</v>
      </c>
      <c r="U74" s="673" t="s">
        <v>1194</v>
      </c>
      <c r="V74" s="668" t="s">
        <v>556</v>
      </c>
      <c r="W74" s="673" t="s">
        <v>805</v>
      </c>
      <c r="X74" s="881">
        <v>41244</v>
      </c>
      <c r="Y74" s="882">
        <v>2</v>
      </c>
      <c r="Z74" s="881" t="s">
        <v>462</v>
      </c>
      <c r="AA74" s="683" t="s">
        <v>844</v>
      </c>
      <c r="AB74" s="883"/>
      <c r="AC74" s="693">
        <v>42536</v>
      </c>
      <c r="AD74" s="885" t="s">
        <v>1466</v>
      </c>
      <c r="AE74" s="682" t="s">
        <v>1082</v>
      </c>
      <c r="AF74" s="686">
        <f>IF(CampList[[#This Row],[Type of Accomodation]]="camp",MAX(0,CampList[[#This Row],[HH]]-SUMIF(Table_Shelter[Pcode],CampList[[#This Row],[CP_Pcode]],Table_Shelter[HH Covered])),0)</f>
        <v>0</v>
      </c>
      <c r="AG74" s="668"/>
      <c r="AH74" s="883">
        <f>MIN(CampList[[#This Row],[Shelter Gap]],CampList[[#This Row],[Land Status]])</f>
        <v>0</v>
      </c>
      <c r="AI74" s="668" t="str">
        <f ca="1">IFERROR(OFFSET(DistanceToCamp[Nearest Town],MATCH(CampList[[#This Row],[CP_Pcode]],DistanceToCamp[CP_Pcode],0)-1,0,1,1),"")</f>
        <v>Kutkai Town</v>
      </c>
      <c r="AJ74" s="936">
        <f ca="1">IFERROR(OFFSET(DistanceToCamp[distance],MATCH(CampList[[#This Row],[CP_Pcode]],DistanceToCamp[CP_Pcode],0)-1,0,1,1),"")</f>
        <v>1.9281430163271129</v>
      </c>
      <c r="AK74" s="957">
        <f ca="1">IFERROR(INT(CampList[[#This Row],[Distance]]/5)+1,"")</f>
        <v>1</v>
      </c>
      <c r="AL74" s="548"/>
      <c r="AM74" s="548"/>
      <c r="AN74" s="548"/>
      <c r="BD74" s="5"/>
      <c r="BE74" s="5"/>
    </row>
    <row r="75" spans="1:57" s="678" customFormat="1" ht="15.6" customHeight="1" x14ac:dyDescent="0.25">
      <c r="A75" s="820" t="s">
        <v>502</v>
      </c>
      <c r="B75" s="216" t="s">
        <v>555</v>
      </c>
      <c r="C75" s="216" t="s">
        <v>538</v>
      </c>
      <c r="D75" s="216" t="s">
        <v>230</v>
      </c>
      <c r="E75" s="677" t="s">
        <v>539</v>
      </c>
      <c r="F75" s="677" t="s">
        <v>146</v>
      </c>
      <c r="G75" s="677" t="s">
        <v>546</v>
      </c>
      <c r="H75" s="742" t="s">
        <v>768</v>
      </c>
      <c r="I75" s="697" t="s">
        <v>769</v>
      </c>
      <c r="J75" s="679"/>
      <c r="K75" s="679"/>
      <c r="L75" s="742" t="s">
        <v>1322</v>
      </c>
      <c r="M75" s="216" t="s">
        <v>1323</v>
      </c>
      <c r="N75" s="945">
        <v>97.868876999999998</v>
      </c>
      <c r="O75" s="946">
        <v>23.447111</v>
      </c>
      <c r="P75" s="744"/>
      <c r="Q75" s="692">
        <v>105</v>
      </c>
      <c r="R75" s="687">
        <v>568</v>
      </c>
      <c r="S75" s="843">
        <f>IF(CampList[[#This Row],[HH]]&gt;0,CampList[[#This Row],[Total]]/CampList[[#This Row],[HH]],"NA")</f>
        <v>5.4095238095238098</v>
      </c>
      <c r="T75" s="455" t="s">
        <v>513</v>
      </c>
      <c r="U75" s="455" t="s">
        <v>1194</v>
      </c>
      <c r="V75" s="455" t="s">
        <v>556</v>
      </c>
      <c r="W75" s="668" t="s">
        <v>858</v>
      </c>
      <c r="X75" s="925">
        <v>42036</v>
      </c>
      <c r="Y75" s="882"/>
      <c r="Z75" s="881"/>
      <c r="AA75" s="433"/>
      <c r="AB75" s="883"/>
      <c r="AC75" s="693">
        <v>42317</v>
      </c>
      <c r="AD75" s="883" t="s">
        <v>1324</v>
      </c>
      <c r="AE75" s="690"/>
      <c r="AF75" s="732">
        <f>IF(CampList[[#This Row],[Type of Accomodation]]="camp",MAX(0,CampList[[#This Row],[HH]]-SUMIF(Table_Shelter[Pcode],CampList[[#This Row],[CP_Pcode]],Table_Shelter[HH Covered])),0)</f>
        <v>105</v>
      </c>
      <c r="AG75" s="668"/>
      <c r="AH75" s="692">
        <f>MIN(CampList[[#This Row],[Shelter Gap]],CampList[[#This Row],[Land Status]])</f>
        <v>105</v>
      </c>
      <c r="AI75" s="732" t="str">
        <f ca="1">IFERROR(OFFSET(DistanceToCamp[Nearest Town],MATCH(CampList[[#This Row],[CP_Pcode]],DistanceToCamp[CP_Pcode],0)-1,0,1,1),"")</f>
        <v/>
      </c>
      <c r="AJ75" s="936" t="str">
        <f ca="1">IFERROR(OFFSET(DistanceToCamp[distance],MATCH(CampList[[#This Row],[CP_Pcode]],DistanceToCamp[CP_Pcode],0)-1,0,1,1),"")</f>
        <v/>
      </c>
      <c r="AK75" s="956" t="str">
        <f ca="1">IFERROR(INT(CampList[[#This Row],[Distance]]/5)+1,"")</f>
        <v/>
      </c>
      <c r="AL75" s="548"/>
      <c r="AM75" s="548"/>
      <c r="AN75" s="548"/>
      <c r="BD75" s="5"/>
      <c r="BE75" s="5"/>
    </row>
    <row r="76" spans="1:57" s="678" customFormat="1" ht="15.6" customHeight="1" x14ac:dyDescent="0.25">
      <c r="A76" s="822" t="s">
        <v>502</v>
      </c>
      <c r="B76" s="774" t="s">
        <v>380</v>
      </c>
      <c r="C76" s="774" t="s">
        <v>527</v>
      </c>
      <c r="D76" s="774" t="s">
        <v>5</v>
      </c>
      <c r="E76" s="774" t="s">
        <v>531</v>
      </c>
      <c r="F76" s="774" t="s">
        <v>151</v>
      </c>
      <c r="G76" s="774" t="s">
        <v>541</v>
      </c>
      <c r="H76" s="775" t="s">
        <v>652</v>
      </c>
      <c r="I76" s="775" t="s">
        <v>653</v>
      </c>
      <c r="J76" s="774"/>
      <c r="K76" s="774"/>
      <c r="L76" s="774" t="s">
        <v>12</v>
      </c>
      <c r="M76" s="774" t="s">
        <v>391</v>
      </c>
      <c r="N76" s="729">
        <v>97.298055000000005</v>
      </c>
      <c r="O76" s="729">
        <v>24.118618999999999</v>
      </c>
      <c r="P76" s="670"/>
      <c r="Q76" s="776">
        <v>76</v>
      </c>
      <c r="R76" s="777">
        <v>256</v>
      </c>
      <c r="S76" s="845">
        <f>IF(CampList[[#This Row],[HH]]&gt;0,CampList[[#This Row],[Total]]/CampList[[#This Row],[HH]],"NA")</f>
        <v>3.3684210526315788</v>
      </c>
      <c r="T76" s="778" t="s">
        <v>513</v>
      </c>
      <c r="U76" s="779" t="s">
        <v>1194</v>
      </c>
      <c r="V76" s="782" t="s">
        <v>12</v>
      </c>
      <c r="W76" s="773" t="s">
        <v>805</v>
      </c>
      <c r="X76" s="892"/>
      <c r="Y76" s="893"/>
      <c r="Z76" s="894"/>
      <c r="AA76" s="786" t="s">
        <v>844</v>
      </c>
      <c r="AB76" s="895"/>
      <c r="AC76" s="990">
        <v>42317</v>
      </c>
      <c r="AD76" s="897" t="s">
        <v>1327</v>
      </c>
      <c r="AE76" s="780" t="s">
        <v>1096</v>
      </c>
      <c r="AF76" s="814">
        <f>IF(CampList[[#This Row],[Type of Accomodation]]="camp",MAX(0,CampList[[#This Row],[HH]]-SUMIF(Table_Shelter[Pcode],CampList[[#This Row],[CP_Pcode]],Table_Shelter[HH Covered])),0)</f>
        <v>0</v>
      </c>
      <c r="AG76" s="773"/>
      <c r="AH76" s="895">
        <f>MIN(CampList[[#This Row],[Shelter Gap]],CampList[[#This Row],[Land Status]])</f>
        <v>0</v>
      </c>
      <c r="AI76" s="773" t="str">
        <f ca="1">IFERROR(OFFSET(DistanceToCamp[Nearest Town],MATCH(CampList[[#This Row],[CP_Pcode]],DistanceToCamp[CP_Pcode],0)-1,0,1,1),"")</f>
        <v>Mansi Town</v>
      </c>
      <c r="AJ76" s="938">
        <f ca="1">IFERROR(OFFSET(DistanceToCamp[distance],MATCH(CampList[[#This Row],[CP_Pcode]],DistanceToCamp[CP_Pcode],0)-1,0,1,1),"")</f>
        <v>0.51447052329458698</v>
      </c>
      <c r="AK76" s="959">
        <f ca="1">IFERROR(INT(CampList[[#This Row],[Distance]]/5)+1,"")</f>
        <v>1</v>
      </c>
      <c r="AL76" s="548"/>
      <c r="AM76" s="548"/>
      <c r="AN76" s="548"/>
      <c r="BD76" s="5"/>
      <c r="BE76" s="5"/>
    </row>
    <row r="77" spans="1:57" s="678" customFormat="1" ht="15.6" hidden="1" customHeight="1" x14ac:dyDescent="0.25">
      <c r="A77" s="819" t="s">
        <v>845</v>
      </c>
      <c r="B77" s="701" t="s">
        <v>380</v>
      </c>
      <c r="C77" s="701" t="s">
        <v>527</v>
      </c>
      <c r="D77" s="701" t="s">
        <v>237</v>
      </c>
      <c r="E77" s="701" t="s">
        <v>533</v>
      </c>
      <c r="F77" s="701" t="s">
        <v>363</v>
      </c>
      <c r="G77" s="701" t="s">
        <v>550</v>
      </c>
      <c r="H77" s="701"/>
      <c r="I77" s="701"/>
      <c r="J77" s="701"/>
      <c r="K77" s="701"/>
      <c r="L77" s="701" t="s">
        <v>35</v>
      </c>
      <c r="M77" s="701" t="s">
        <v>362</v>
      </c>
      <c r="N77" s="729"/>
      <c r="O77" s="729"/>
      <c r="P77" s="670"/>
      <c r="Q77" s="748">
        <v>0</v>
      </c>
      <c r="R77" s="749">
        <v>0</v>
      </c>
      <c r="S77" s="841" t="str">
        <f>IF(CampList[[#This Row],[HH]]&gt;0,CampList[[#This Row],[Total]]/CampList[[#This Row],[HH]],"NA")</f>
        <v>NA</v>
      </c>
      <c r="T77" s="750" t="s">
        <v>513</v>
      </c>
      <c r="U77" s="703" t="s">
        <v>1194</v>
      </c>
      <c r="V77" s="700" t="s">
        <v>556</v>
      </c>
      <c r="W77" s="703"/>
      <c r="X77" s="876"/>
      <c r="Y77" s="710"/>
      <c r="Z77" s="877"/>
      <c r="AA77" s="753"/>
      <c r="AB77" s="878"/>
      <c r="AC77" s="901">
        <v>41712</v>
      </c>
      <c r="AD77" s="880" t="s">
        <v>1026</v>
      </c>
      <c r="AE77" s="711" t="s">
        <v>1010</v>
      </c>
      <c r="AF77" s="861">
        <f>IF(CampList[[#This Row],[Type of Accomodation]]="camp",MAX(0,CampList[[#This Row],[HH]]-SUMIF(Table_Shelter[Pcode],CampList[[#This Row],[CP_Pcode]],Table_Shelter[HH Covered])),0)</f>
        <v>0</v>
      </c>
      <c r="AG77" s="700"/>
      <c r="AH77" s="878">
        <f>MIN(CampList[[#This Row],[Shelter Gap]],CampList[[#This Row],[Land Status]])</f>
        <v>0</v>
      </c>
      <c r="AI77" s="700" t="str">
        <f ca="1">IFERROR(OFFSET(DistanceToCamp[Nearest Town],MATCH(CampList[[#This Row],[CP_Pcode]],DistanceToCamp[CP_Pcode],0)-1,0,1,1),"")</f>
        <v/>
      </c>
      <c r="AJ77" s="935" t="str">
        <f ca="1">IFERROR(OFFSET(DistanceToCamp[distance],MATCH(CampList[[#This Row],[CP_Pcode]],DistanceToCamp[CP_Pcode],0)-1,0,1,1),"")</f>
        <v/>
      </c>
      <c r="AK77" s="955" t="str">
        <f ca="1">IFERROR(INT(CampList[[#This Row],[Distance]]/5)+1,"")</f>
        <v/>
      </c>
      <c r="AL77" s="548"/>
      <c r="AM77" s="548"/>
      <c r="AN77" s="548"/>
      <c r="BD77" s="5"/>
      <c r="BE77" s="5"/>
    </row>
    <row r="78" spans="1:57" s="678" customFormat="1" ht="15.6" customHeight="1" x14ac:dyDescent="0.25">
      <c r="A78" s="820" t="s">
        <v>502</v>
      </c>
      <c r="B78" s="216" t="s">
        <v>380</v>
      </c>
      <c r="C78" s="216" t="s">
        <v>527</v>
      </c>
      <c r="D78" s="216" t="s">
        <v>5</v>
      </c>
      <c r="E78" s="216" t="s">
        <v>531</v>
      </c>
      <c r="F78" s="216" t="s">
        <v>151</v>
      </c>
      <c r="G78" s="216" t="s">
        <v>541</v>
      </c>
      <c r="H78" s="679" t="s">
        <v>887</v>
      </c>
      <c r="I78" s="679" t="s">
        <v>1422</v>
      </c>
      <c r="J78" s="679" t="s">
        <v>887</v>
      </c>
      <c r="K78" s="216">
        <v>167301</v>
      </c>
      <c r="L78" s="435" t="s">
        <v>887</v>
      </c>
      <c r="M78" s="216" t="s">
        <v>888</v>
      </c>
      <c r="N78" s="842">
        <v>97.225881000000001</v>
      </c>
      <c r="O78" s="729">
        <v>23.972453000000002</v>
      </c>
      <c r="P78" s="744">
        <v>466</v>
      </c>
      <c r="Q78" s="681">
        <v>365</v>
      </c>
      <c r="R78" s="681">
        <v>1672</v>
      </c>
      <c r="S78" s="843">
        <f>IF(CampList[[#This Row],[HH]]&gt;0,CampList[[#This Row],[Total]]/CampList[[#This Row],[HH]],"NA")</f>
        <v>4.580821917808219</v>
      </c>
      <c r="T78" s="455" t="s">
        <v>513</v>
      </c>
      <c r="U78" s="673" t="s">
        <v>1194</v>
      </c>
      <c r="V78" s="668" t="s">
        <v>556</v>
      </c>
      <c r="W78" s="668" t="s">
        <v>858</v>
      </c>
      <c r="X78" s="925">
        <v>41548</v>
      </c>
      <c r="Y78" s="882">
        <v>2</v>
      </c>
      <c r="Z78" s="881" t="s">
        <v>462</v>
      </c>
      <c r="AA78" s="684" t="s">
        <v>844</v>
      </c>
      <c r="AB78" s="883"/>
      <c r="AC78" s="693">
        <v>42536</v>
      </c>
      <c r="AD78" s="885" t="s">
        <v>1459</v>
      </c>
      <c r="AE78" s="682" t="s">
        <v>1096</v>
      </c>
      <c r="AF78" s="686">
        <f>IF(CampList[[#This Row],[Type of Accomodation]]="camp",MAX(0,CampList[[#This Row],[HH]]-SUMIF(Table_Shelter[Pcode],CampList[[#This Row],[CP_Pcode]],Table_Shelter[HH Covered])),0)</f>
        <v>56</v>
      </c>
      <c r="AG78" s="668"/>
      <c r="AH78" s="883">
        <f>MIN(CampList[[#This Row],[Shelter Gap]],CampList[[#This Row],[Land Status]])</f>
        <v>56</v>
      </c>
      <c r="AI78" s="668" t="str">
        <f ca="1">IFERROR(OFFSET(DistanceToCamp[Nearest Town],MATCH(CampList[[#This Row],[CP_Pcode]],DistanceToCamp[CP_Pcode],0)-1,0,1,1),"")</f>
        <v>Mansi Town</v>
      </c>
      <c r="AJ78" s="936">
        <f ca="1">IFERROR(OFFSET(DistanceToCamp[distance],MATCH(CampList[[#This Row],[CP_Pcode]],DistanceToCamp[CP_Pcode],0)-1,0,1,1),"")</f>
        <v>17.731070777343263</v>
      </c>
      <c r="AK78" s="957">
        <f ca="1">IFERROR(INT(CampList[[#This Row],[Distance]]/5)+1,"")</f>
        <v>4</v>
      </c>
      <c r="AL78" s="548"/>
      <c r="AM78" s="548"/>
      <c r="AN78" s="548"/>
      <c r="BD78" s="5"/>
      <c r="BE78" s="5"/>
    </row>
    <row r="79" spans="1:57" s="678" customFormat="1" ht="15.6" hidden="1" customHeight="1" x14ac:dyDescent="0.25">
      <c r="A79" s="827" t="s">
        <v>502</v>
      </c>
      <c r="B79" s="764" t="s">
        <v>380</v>
      </c>
      <c r="C79" s="764" t="s">
        <v>527</v>
      </c>
      <c r="D79" s="764" t="s">
        <v>237</v>
      </c>
      <c r="E79" s="764" t="s">
        <v>533</v>
      </c>
      <c r="F79" s="764" t="s">
        <v>310</v>
      </c>
      <c r="G79" s="764" t="s">
        <v>534</v>
      </c>
      <c r="H79" s="794" t="s">
        <v>766</v>
      </c>
      <c r="I79" s="794" t="s">
        <v>767</v>
      </c>
      <c r="J79" s="794" t="s">
        <v>804</v>
      </c>
      <c r="K79" s="794">
        <v>165816</v>
      </c>
      <c r="L79" s="764" t="s">
        <v>340</v>
      </c>
      <c r="M79" s="764" t="s">
        <v>339</v>
      </c>
      <c r="N79" s="849">
        <v>97.718008999999995</v>
      </c>
      <c r="O79" s="849">
        <v>25.108011999999999</v>
      </c>
      <c r="P79" s="670"/>
      <c r="Q79" s="766">
        <v>355</v>
      </c>
      <c r="R79" s="767">
        <v>4450</v>
      </c>
      <c r="S79" s="844">
        <f>IF(CampList[[#This Row],[HH]]&gt;0,CampList[[#This Row],[Total]]/CampList[[#This Row],[HH]],"NA")</f>
        <v>12.535211267605634</v>
      </c>
      <c r="T79" s="768" t="s">
        <v>515</v>
      </c>
      <c r="U79" s="769" t="s">
        <v>1240</v>
      </c>
      <c r="V79" s="804" t="s">
        <v>1239</v>
      </c>
      <c r="W79" s="769" t="s">
        <v>805</v>
      </c>
      <c r="X79" s="886"/>
      <c r="Y79" s="887"/>
      <c r="Z79" s="888"/>
      <c r="AA79" s="805" t="s">
        <v>574</v>
      </c>
      <c r="AB79" s="889"/>
      <c r="AC79" s="912">
        <v>41803</v>
      </c>
      <c r="AD79" s="917" t="s">
        <v>1238</v>
      </c>
      <c r="AE79" s="770" t="s">
        <v>1096</v>
      </c>
      <c r="AF79" s="860">
        <f>IF(CampList[[#This Row],[Type of Accomodation]]="camp",MAX(0,CampList[[#This Row],[HH]]-SUMIF(Table_Shelter[Pcode],CampList[[#This Row],[CP_Pcode]],Table_Shelter[HH Covered])),0)</f>
        <v>0</v>
      </c>
      <c r="AG79" s="763"/>
      <c r="AH79" s="889">
        <f>MIN(CampList[[#This Row],[Shelter Gap]],CampList[[#This Row],[Land Status]])</f>
        <v>0</v>
      </c>
      <c r="AI79" s="763" t="str">
        <f ca="1">IFERROR(OFFSET(DistanceToCamp[Nearest Town],MATCH(CampList[[#This Row],[CP_Pcode]],DistanceToCamp[CP_Pcode],0)-1,0,1,1),"")</f>
        <v>Sadung Town</v>
      </c>
      <c r="AJ79" s="937">
        <f ca="1">IFERROR(OFFSET(DistanceToCamp[distance],MATCH(CampList[[#This Row],[CP_Pcode]],DistanceToCamp[CP_Pcode],0)-1,0,1,1),"")</f>
        <v>34.344689881690819</v>
      </c>
      <c r="AK79" s="958">
        <f ca="1">IFERROR(INT(CampList[[#This Row],[Distance]]/5)+1,"")</f>
        <v>7</v>
      </c>
      <c r="AL79" s="548"/>
      <c r="AM79" s="548"/>
      <c r="AN79" s="548"/>
      <c r="BD79" s="5"/>
      <c r="BE79" s="5"/>
    </row>
    <row r="80" spans="1:57" s="678" customFormat="1" ht="15.6" customHeight="1" x14ac:dyDescent="0.25">
      <c r="A80" s="820" t="s">
        <v>502</v>
      </c>
      <c r="B80" s="216" t="s">
        <v>380</v>
      </c>
      <c r="C80" s="216" t="s">
        <v>527</v>
      </c>
      <c r="D80" s="216" t="s">
        <v>5</v>
      </c>
      <c r="E80" s="216" t="s">
        <v>531</v>
      </c>
      <c r="F80" s="216" t="s">
        <v>151</v>
      </c>
      <c r="G80" s="216" t="s">
        <v>541</v>
      </c>
      <c r="H80" s="216" t="s">
        <v>887</v>
      </c>
      <c r="I80" s="679" t="s">
        <v>1422</v>
      </c>
      <c r="J80" s="216" t="s">
        <v>887</v>
      </c>
      <c r="K80" s="216">
        <v>167301</v>
      </c>
      <c r="L80" s="435" t="s">
        <v>945</v>
      </c>
      <c r="M80" s="216" t="s">
        <v>944</v>
      </c>
      <c r="N80" s="842">
        <v>97.227057000000002</v>
      </c>
      <c r="O80" s="729">
        <v>23.976571</v>
      </c>
      <c r="P80" s="745">
        <v>478</v>
      </c>
      <c r="Q80" s="681">
        <v>123</v>
      </c>
      <c r="R80" s="687">
        <v>582</v>
      </c>
      <c r="S80" s="843">
        <f>IF(CampList[[#This Row],[HH]]&gt;0,CampList[[#This Row],[Total]]/CampList[[#This Row],[HH]],"NA")</f>
        <v>4.7317073170731705</v>
      </c>
      <c r="T80" s="455" t="s">
        <v>513</v>
      </c>
      <c r="U80" s="673" t="s">
        <v>1194</v>
      </c>
      <c r="V80" s="668" t="s">
        <v>556</v>
      </c>
      <c r="W80" s="668" t="s">
        <v>858</v>
      </c>
      <c r="X80" s="925">
        <v>41548</v>
      </c>
      <c r="Y80" s="687">
        <v>2</v>
      </c>
      <c r="Z80" s="881" t="s">
        <v>1092</v>
      </c>
      <c r="AA80" s="434" t="s">
        <v>844</v>
      </c>
      <c r="AB80" s="883"/>
      <c r="AC80" s="693">
        <v>42397</v>
      </c>
      <c r="AD80" s="884" t="s">
        <v>1338</v>
      </c>
      <c r="AE80" s="688" t="s">
        <v>1096</v>
      </c>
      <c r="AF80" s="686">
        <f>IF(CampList[[#This Row],[Type of Accomodation]]="camp",MAX(0,CampList[[#This Row],[HH]]-SUMIF(Table_Shelter[Pcode],CampList[[#This Row],[CP_Pcode]],Table_Shelter[HH Covered])),0)</f>
        <v>73</v>
      </c>
      <c r="AG80" s="668"/>
      <c r="AH80" s="883">
        <f>MIN(CampList[[#This Row],[Shelter Gap]],CampList[[#This Row],[Land Status]])</f>
        <v>73</v>
      </c>
      <c r="AI80" s="668" t="str">
        <f ca="1">IFERROR(OFFSET(DistanceToCamp[Nearest Town],MATCH(CampList[[#This Row],[CP_Pcode]],DistanceToCamp[CP_Pcode],0)-1,0,1,1),"")</f>
        <v>Kamaing Town</v>
      </c>
      <c r="AJ80" s="936">
        <f ca="1">IFERROR(OFFSET(DistanceToCamp[distance],MATCH(CampList[[#This Row],[CP_Pcode]],DistanceToCamp[CP_Pcode],0)-1,0,1,1),"")</f>
        <v>12.257552920582597</v>
      </c>
      <c r="AK80" s="957">
        <f ca="1">IFERROR(INT(CampList[[#This Row],[Distance]]/5)+1,"")</f>
        <v>3</v>
      </c>
      <c r="AL80" s="548"/>
      <c r="AM80" s="548"/>
      <c r="AN80" s="548"/>
      <c r="BD80" s="5"/>
      <c r="BE80" s="5"/>
    </row>
    <row r="81" spans="1:57" s="678" customFormat="1" ht="15.6" customHeight="1" x14ac:dyDescent="0.25">
      <c r="A81" s="822" t="s">
        <v>502</v>
      </c>
      <c r="B81" s="774" t="s">
        <v>380</v>
      </c>
      <c r="C81" s="774" t="s">
        <v>527</v>
      </c>
      <c r="D81" s="774" t="s">
        <v>5</v>
      </c>
      <c r="E81" s="774" t="s">
        <v>531</v>
      </c>
      <c r="F81" s="774" t="s">
        <v>151</v>
      </c>
      <c r="G81" s="774" t="s">
        <v>541</v>
      </c>
      <c r="H81" s="774" t="s">
        <v>741</v>
      </c>
      <c r="I81" s="774" t="s">
        <v>742</v>
      </c>
      <c r="J81" s="774" t="s">
        <v>741</v>
      </c>
      <c r="K81" s="975">
        <v>167343</v>
      </c>
      <c r="L81" s="774" t="s">
        <v>1037</v>
      </c>
      <c r="M81" s="774" t="s">
        <v>1038</v>
      </c>
      <c r="N81" s="729">
        <v>97.608249999999998</v>
      </c>
      <c r="O81" s="729">
        <v>24.000250000000001</v>
      </c>
      <c r="P81" s="687"/>
      <c r="Q81" s="799">
        <v>219</v>
      </c>
      <c r="R81" s="789">
        <v>891</v>
      </c>
      <c r="S81" s="845">
        <f>IF(CampList[[#This Row],[HH]]&gt;0,CampList[[#This Row],[Total]]/CampList[[#This Row],[HH]],"NA")</f>
        <v>4.0684931506849313</v>
      </c>
      <c r="T81" s="778" t="s">
        <v>515</v>
      </c>
      <c r="U81" s="779" t="s">
        <v>1194</v>
      </c>
      <c r="V81" s="773" t="s">
        <v>556</v>
      </c>
      <c r="W81" s="773" t="s">
        <v>858</v>
      </c>
      <c r="X81" s="913">
        <v>40817</v>
      </c>
      <c r="Y81" s="789"/>
      <c r="Z81" s="902" t="s">
        <v>1092</v>
      </c>
      <c r="AA81" s="800" t="s">
        <v>844</v>
      </c>
      <c r="AB81" s="895"/>
      <c r="AC81" s="792">
        <v>42397</v>
      </c>
      <c r="AD81" s="897" t="s">
        <v>1335</v>
      </c>
      <c r="AE81" s="811" t="s">
        <v>1081</v>
      </c>
      <c r="AF81" s="814">
        <f>IF(CampList[[#This Row],[Type of Accomodation]]="camp",MAX(0,CampList[[#This Row],[HH]]-SUMIF(Table_Shelter[Pcode],CampList[[#This Row],[CP_Pcode]],Table_Shelter[HH Covered])),0)</f>
        <v>99</v>
      </c>
      <c r="AG81" s="773"/>
      <c r="AH81" s="895">
        <f>MIN(CampList[[#This Row],[Shelter Gap]],CampList[[#This Row],[Land Status]])</f>
        <v>99</v>
      </c>
      <c r="AI81" s="773" t="str">
        <f ca="1">IFERROR(OFFSET(DistanceToCamp[Nearest Town],MATCH(CampList[[#This Row],[CP_Pcode]],DistanceToCamp[CP_Pcode],0)-1,0,1,1),"")</f>
        <v>Namhkan Town</v>
      </c>
      <c r="AJ81" s="938">
        <f ca="1">IFERROR(OFFSET(DistanceToCamp[distance],MATCH(CampList[[#This Row],[CP_Pcode]],DistanceToCamp[CP_Pcode],0)-1,0,1,1),"")</f>
        <v>19.631786732140053</v>
      </c>
      <c r="AK81" s="959">
        <f ca="1">IFERROR(INT(CampList[[#This Row],[Distance]]/5)+1,"")</f>
        <v>4</v>
      </c>
      <c r="AL81" s="548"/>
      <c r="AM81" s="548"/>
      <c r="AN81" s="548"/>
      <c r="BD81" s="5"/>
      <c r="BE81" s="5"/>
    </row>
    <row r="82" spans="1:57" s="678" customFormat="1" ht="15.6" customHeight="1" x14ac:dyDescent="0.25">
      <c r="A82" s="964" t="s">
        <v>502</v>
      </c>
      <c r="B82" s="968" t="s">
        <v>380</v>
      </c>
      <c r="C82" s="968" t="s">
        <v>527</v>
      </c>
      <c r="D82" s="968" t="s">
        <v>5</v>
      </c>
      <c r="E82" s="968" t="s">
        <v>531</v>
      </c>
      <c r="F82" s="968" t="s">
        <v>151</v>
      </c>
      <c r="G82" s="968" t="s">
        <v>541</v>
      </c>
      <c r="H82" s="968" t="s">
        <v>662</v>
      </c>
      <c r="I82" s="973" t="s">
        <v>663</v>
      </c>
      <c r="J82" s="747" t="s">
        <v>662</v>
      </c>
      <c r="K82" s="757">
        <v>167405</v>
      </c>
      <c r="L82" s="968" t="s">
        <v>154</v>
      </c>
      <c r="M82" s="968" t="s">
        <v>153</v>
      </c>
      <c r="N82" s="681">
        <v>97.578490000000002</v>
      </c>
      <c r="O82" s="681">
        <v>23.835319999999999</v>
      </c>
      <c r="P82" s="670">
        <v>795</v>
      </c>
      <c r="Q82" s="754">
        <v>458</v>
      </c>
      <c r="R82" s="755">
        <v>2139</v>
      </c>
      <c r="S82" s="841">
        <f>IF(CampList[[#This Row],[HH]]&gt;0,CampList[[#This Row],[Total]]/CampList[[#This Row],[HH]],"NA")</f>
        <v>4.6703056768558948</v>
      </c>
      <c r="T82" s="982" t="s">
        <v>513</v>
      </c>
      <c r="U82" s="750" t="s">
        <v>1194</v>
      </c>
      <c r="V82" s="982" t="s">
        <v>556</v>
      </c>
      <c r="W82" s="861" t="s">
        <v>858</v>
      </c>
      <c r="X82" s="920">
        <v>40848</v>
      </c>
      <c r="Y82" s="710">
        <v>2</v>
      </c>
      <c r="Z82" s="710" t="s">
        <v>1092</v>
      </c>
      <c r="AA82" s="754" t="s">
        <v>844</v>
      </c>
      <c r="AB82" s="987"/>
      <c r="AC82" s="901">
        <v>42416</v>
      </c>
      <c r="AD82" s="992" t="s">
        <v>1517</v>
      </c>
      <c r="AE82" s="760" t="s">
        <v>1096</v>
      </c>
      <c r="AF82" s="996">
        <f>IF(CampList[[#This Row],[Type of Accomodation]]="camp",MAX(0,CampList[[#This Row],[HH]]-SUMIF(Table_Shelter[Pcode],CampList[[#This Row],[CP_Pcode]],Table_Shelter[HH Covered])),0)</f>
        <v>258</v>
      </c>
      <c r="AG82" s="700"/>
      <c r="AH82" s="878">
        <f>MIN(CampList[[#This Row],[Shelter Gap]],CampList[[#This Row],[Land Status]])</f>
        <v>258</v>
      </c>
      <c r="AI82" s="996" t="str">
        <f ca="1">IFERROR(OFFSET(DistanceToCamp[Nearest Town],MATCH(CampList[[#This Row],[CP_Pcode]],DistanceToCamp[CP_Pcode],0)-1,0,1,1),"")</f>
        <v>Namhkan Town</v>
      </c>
      <c r="AJ82" s="935">
        <f ca="1">IFERROR(OFFSET(DistanceToCamp[distance],MATCH(CampList[[#This Row],[CP_Pcode]],DistanceToCamp[CP_Pcode],0)-1,0,1,1),"")</f>
        <v>10.509375400480517</v>
      </c>
      <c r="AK82" s="997">
        <f ca="1">IFERROR(INT(CampList[[#This Row],[Distance]]/5)+1,"")</f>
        <v>3</v>
      </c>
      <c r="AL82" s="548"/>
      <c r="AM82" s="548"/>
      <c r="AN82" s="548"/>
      <c r="BD82" s="5"/>
      <c r="BE82" s="5"/>
    </row>
    <row r="83" spans="1:57" s="678" customFormat="1" ht="15.6" customHeight="1" x14ac:dyDescent="0.25">
      <c r="A83" s="820" t="s">
        <v>502</v>
      </c>
      <c r="B83" s="216" t="s">
        <v>380</v>
      </c>
      <c r="C83" s="216" t="s">
        <v>527</v>
      </c>
      <c r="D83" s="216" t="s">
        <v>5</v>
      </c>
      <c r="E83" s="216" t="s">
        <v>531</v>
      </c>
      <c r="F83" s="216" t="s">
        <v>151</v>
      </c>
      <c r="G83" s="216" t="s">
        <v>541</v>
      </c>
      <c r="H83" s="669" t="s">
        <v>662</v>
      </c>
      <c r="I83" s="669" t="s">
        <v>663</v>
      </c>
      <c r="J83" s="669" t="s">
        <v>662</v>
      </c>
      <c r="K83" s="694">
        <v>167405</v>
      </c>
      <c r="L83" s="435" t="s">
        <v>160</v>
      </c>
      <c r="M83" s="216" t="s">
        <v>159</v>
      </c>
      <c r="N83" s="842">
        <v>97.589979999999997</v>
      </c>
      <c r="O83" s="729">
        <v>23.83013</v>
      </c>
      <c r="P83" s="743">
        <v>741</v>
      </c>
      <c r="Q83" s="657">
        <v>107</v>
      </c>
      <c r="R83" s="681">
        <v>527</v>
      </c>
      <c r="S83" s="843">
        <f>IF(CampList[[#This Row],[HH]]&gt;0,CampList[[#This Row],[Total]]/CampList[[#This Row],[HH]],"NA")</f>
        <v>4.9252336448598131</v>
      </c>
      <c r="T83" s="455" t="s">
        <v>513</v>
      </c>
      <c r="U83" s="673" t="s">
        <v>1194</v>
      </c>
      <c r="V83" s="668" t="s">
        <v>556</v>
      </c>
      <c r="W83" s="673" t="s">
        <v>858</v>
      </c>
      <c r="X83" s="881">
        <v>40940</v>
      </c>
      <c r="Y83" s="882">
        <v>2</v>
      </c>
      <c r="Z83" s="881" t="s">
        <v>462</v>
      </c>
      <c r="AA83" s="683" t="s">
        <v>844</v>
      </c>
      <c r="AB83" s="883"/>
      <c r="AC83" s="693">
        <v>42536</v>
      </c>
      <c r="AD83" s="884" t="s">
        <v>1451</v>
      </c>
      <c r="AE83" s="682" t="s">
        <v>1096</v>
      </c>
      <c r="AF83" s="686">
        <f>IF(CampList[[#This Row],[Type of Accomodation]]="camp",MAX(0,CampList[[#This Row],[HH]]-SUMIF(Table_Shelter[Pcode],CampList[[#This Row],[CP_Pcode]],Table_Shelter[HH Covered])),0)</f>
        <v>33</v>
      </c>
      <c r="AG83" s="668"/>
      <c r="AH83" s="883">
        <f>MIN(CampList[[#This Row],[Shelter Gap]],CampList[[#This Row],[Land Status]])</f>
        <v>33</v>
      </c>
      <c r="AI83" s="668" t="str">
        <f ca="1">IFERROR(OFFSET(DistanceToCamp[Nearest Town],MATCH(CampList[[#This Row],[CP_Pcode]],DistanceToCamp[CP_Pcode],0)-1,0,1,1),"")</f>
        <v>Namhkan Town</v>
      </c>
      <c r="AJ83" s="936">
        <f ca="1">IFERROR(OFFSET(DistanceToCamp[distance],MATCH(CampList[[#This Row],[CP_Pcode]],DistanceToCamp[CP_Pcode],0)-1,0,1,1),"")</f>
        <v>9.3704379947870464</v>
      </c>
      <c r="AK83" s="957">
        <f ca="1">IFERROR(INT(CampList[[#This Row],[Distance]]/5)+1,"")</f>
        <v>2</v>
      </c>
      <c r="AL83" s="548"/>
      <c r="AM83" s="548"/>
      <c r="AN83" s="548"/>
      <c r="BD83" s="5"/>
      <c r="BE83" s="5"/>
    </row>
    <row r="84" spans="1:57" s="678" customFormat="1" ht="15.6" customHeight="1" x14ac:dyDescent="0.25">
      <c r="A84" s="825" t="s">
        <v>502</v>
      </c>
      <c r="B84" s="677" t="s">
        <v>380</v>
      </c>
      <c r="C84" s="677" t="s">
        <v>527</v>
      </c>
      <c r="D84" s="677" t="s">
        <v>5</v>
      </c>
      <c r="E84" s="677" t="s">
        <v>531</v>
      </c>
      <c r="F84" s="677" t="s">
        <v>151</v>
      </c>
      <c r="G84" s="677" t="s">
        <v>541</v>
      </c>
      <c r="H84" s="677" t="s">
        <v>662</v>
      </c>
      <c r="I84" s="689" t="s">
        <v>663</v>
      </c>
      <c r="J84" s="669" t="s">
        <v>662</v>
      </c>
      <c r="K84" s="694">
        <v>167405</v>
      </c>
      <c r="L84" s="677" t="s">
        <v>1064</v>
      </c>
      <c r="M84" s="677" t="s">
        <v>1065</v>
      </c>
      <c r="N84" s="847">
        <v>97.578367</v>
      </c>
      <c r="O84" s="681">
        <v>23.833477999999999</v>
      </c>
      <c r="P84" s="744">
        <v>925</v>
      </c>
      <c r="Q84" s="681">
        <v>123</v>
      </c>
      <c r="R84" s="687">
        <v>555</v>
      </c>
      <c r="S84" s="843">
        <f>IF(CampList[[#This Row],[HH]]&gt;0,CampList[[#This Row],[Total]]/CampList[[#This Row],[HH]],"NA")</f>
        <v>4.5121951219512191</v>
      </c>
      <c r="T84" s="420" t="s">
        <v>513</v>
      </c>
      <c r="U84" s="455" t="s">
        <v>1194</v>
      </c>
      <c r="V84" s="420" t="s">
        <v>556</v>
      </c>
      <c r="W84" s="686" t="s">
        <v>858</v>
      </c>
      <c r="X84" s="905">
        <v>41791</v>
      </c>
      <c r="Y84" s="670"/>
      <c r="Z84" s="670" t="s">
        <v>1092</v>
      </c>
      <c r="AA84" s="681" t="s">
        <v>844</v>
      </c>
      <c r="AB84" s="907"/>
      <c r="AC84" s="693">
        <v>42416</v>
      </c>
      <c r="AD84" s="726" t="s">
        <v>1347</v>
      </c>
      <c r="AE84" s="690" t="s">
        <v>1096</v>
      </c>
      <c r="AF84" s="732">
        <f>IF(CampList[[#This Row],[Type of Accomodation]]="camp",MAX(0,CampList[[#This Row],[HH]]-SUMIF(Table_Shelter[Pcode],CampList[[#This Row],[CP_Pcode]],Table_Shelter[HH Covered])),0)</f>
        <v>123</v>
      </c>
      <c r="AG84" s="668"/>
      <c r="AH84" s="883">
        <f>MIN(CampList[[#This Row],[Shelter Gap]],CampList[[#This Row],[Land Status]])</f>
        <v>123</v>
      </c>
      <c r="AI84" s="732" t="str">
        <f ca="1">IFERROR(OFFSET(DistanceToCamp[Nearest Town],MATCH(CampList[[#This Row],[CP_Pcode]],DistanceToCamp[CP_Pcode],0)-1,0,1,1),"")</f>
        <v>Namhkan Town</v>
      </c>
      <c r="AJ84" s="936">
        <f ca="1">IFERROR(OFFSET(DistanceToCamp[distance],MATCH(CampList[[#This Row],[CP_Pcode]],DistanceToCamp[CP_Pcode],0)-1,0,1,1),"")</f>
        <v>10.527586947557506</v>
      </c>
      <c r="AK84" s="956">
        <f ca="1">IFERROR(INT(CampList[[#This Row],[Distance]]/5)+1,"")</f>
        <v>3</v>
      </c>
      <c r="AL84" s="548"/>
      <c r="AM84" s="548"/>
      <c r="AN84" s="548"/>
      <c r="BD84" s="5"/>
      <c r="BE84" s="5"/>
    </row>
    <row r="85" spans="1:57" s="678" customFormat="1" ht="15.6" customHeight="1" x14ac:dyDescent="0.25">
      <c r="A85" s="820" t="s">
        <v>502</v>
      </c>
      <c r="B85" s="216" t="s">
        <v>380</v>
      </c>
      <c r="C85" s="216" t="s">
        <v>527</v>
      </c>
      <c r="D85" s="216" t="s">
        <v>5</v>
      </c>
      <c r="E85" s="216" t="s">
        <v>531</v>
      </c>
      <c r="F85" s="216" t="s">
        <v>151</v>
      </c>
      <c r="G85" s="216" t="s">
        <v>541</v>
      </c>
      <c r="H85" s="216" t="s">
        <v>662</v>
      </c>
      <c r="I85" s="216" t="s">
        <v>663</v>
      </c>
      <c r="J85" s="216" t="s">
        <v>662</v>
      </c>
      <c r="K85" s="216">
        <v>167405</v>
      </c>
      <c r="L85" s="435" t="s">
        <v>1098</v>
      </c>
      <c r="M85" s="216" t="s">
        <v>1099</v>
      </c>
      <c r="N85" s="847">
        <v>97.590767</v>
      </c>
      <c r="O85" s="681">
        <v>23.829599000000002</v>
      </c>
      <c r="P85" s="744"/>
      <c r="Q85" s="657">
        <v>113</v>
      </c>
      <c r="R85" s="681">
        <v>476</v>
      </c>
      <c r="S85" s="843">
        <f>IF(CampList[[#This Row],[HH]]&gt;0,CampList[[#This Row],[Total]]/CampList[[#This Row],[HH]],"NA")</f>
        <v>4.2123893805309738</v>
      </c>
      <c r="T85" s="455" t="s">
        <v>513</v>
      </c>
      <c r="U85" s="673" t="s">
        <v>1194</v>
      </c>
      <c r="V85" s="668" t="s">
        <v>556</v>
      </c>
      <c r="W85" s="668" t="s">
        <v>858</v>
      </c>
      <c r="X85" s="905">
        <v>41730</v>
      </c>
      <c r="Y85" s="670"/>
      <c r="Z85" s="899" t="s">
        <v>462</v>
      </c>
      <c r="AA85" s="434" t="s">
        <v>844</v>
      </c>
      <c r="AB85" s="883"/>
      <c r="AC85" s="693">
        <v>42536</v>
      </c>
      <c r="AD85" s="884" t="s">
        <v>1460</v>
      </c>
      <c r="AE85" s="674" t="s">
        <v>1010</v>
      </c>
      <c r="AF85" s="686">
        <f>IF(CampList[[#This Row],[Type of Accomodation]]="camp",MAX(0,CampList[[#This Row],[HH]]-SUMIF(Table_Shelter[Pcode],CampList[[#This Row],[CP_Pcode]],Table_Shelter[HH Covered])),0)</f>
        <v>113</v>
      </c>
      <c r="AG85" s="668"/>
      <c r="AH85" s="883">
        <f>MIN(CampList[[#This Row],[Shelter Gap]],CampList[[#This Row],[Land Status]])</f>
        <v>113</v>
      </c>
      <c r="AI85" s="668" t="str">
        <f ca="1">IFERROR(OFFSET(DistanceToCamp[Nearest Town],MATCH(CampList[[#This Row],[CP_Pcode]],DistanceToCamp[CP_Pcode],0)-1,0,1,1),"")</f>
        <v>Namhkan Town</v>
      </c>
      <c r="AJ85" s="936">
        <f ca="1">IFERROR(OFFSET(DistanceToCamp[distance],MATCH(CampList[[#This Row],[CP_Pcode]],DistanceToCamp[CP_Pcode],0)-1,0,1,1),"")</f>
        <v>9.2957189123335944</v>
      </c>
      <c r="AK85" s="957">
        <f ca="1">IFERROR(INT(CampList[[#This Row],[Distance]]/5)+1,"")</f>
        <v>2</v>
      </c>
      <c r="AL85" s="548"/>
      <c r="AM85" s="548"/>
      <c r="AN85" s="548"/>
      <c r="BD85" s="5"/>
      <c r="BE85" s="5"/>
    </row>
    <row r="86" spans="1:57" s="678" customFormat="1" ht="15.6" customHeight="1" x14ac:dyDescent="0.25">
      <c r="A86" s="820" t="s">
        <v>502</v>
      </c>
      <c r="B86" s="216" t="s">
        <v>380</v>
      </c>
      <c r="C86" s="216" t="s">
        <v>527</v>
      </c>
      <c r="D86" s="216" t="s">
        <v>5</v>
      </c>
      <c r="E86" s="216" t="s">
        <v>531</v>
      </c>
      <c r="F86" s="216" t="s">
        <v>151</v>
      </c>
      <c r="G86" s="216" t="s">
        <v>541</v>
      </c>
      <c r="H86" s="669" t="s">
        <v>662</v>
      </c>
      <c r="I86" s="669" t="s">
        <v>663</v>
      </c>
      <c r="J86" s="669" t="s">
        <v>662</v>
      </c>
      <c r="K86" s="669">
        <v>167405</v>
      </c>
      <c r="L86" s="216" t="s">
        <v>156</v>
      </c>
      <c r="M86" s="216" t="s">
        <v>155</v>
      </c>
      <c r="N86" s="842">
        <v>97.588291999999996</v>
      </c>
      <c r="O86" s="729">
        <v>23.827870999999998</v>
      </c>
      <c r="P86" s="744"/>
      <c r="Q86" s="671">
        <v>175</v>
      </c>
      <c r="R86" s="672">
        <v>834</v>
      </c>
      <c r="S86" s="843">
        <f>IF(CampList[[#This Row],[HH]]&gt;0,CampList[[#This Row],[Total]]/CampList[[#This Row],[HH]],"NA")</f>
        <v>4.765714285714286</v>
      </c>
      <c r="T86" s="455" t="s">
        <v>513</v>
      </c>
      <c r="U86" s="673" t="s">
        <v>1194</v>
      </c>
      <c r="V86" s="676" t="s">
        <v>12</v>
      </c>
      <c r="W86" s="673" t="s">
        <v>858</v>
      </c>
      <c r="X86" s="898"/>
      <c r="Y86" s="670"/>
      <c r="Z86" s="899"/>
      <c r="AA86" s="683" t="s">
        <v>844</v>
      </c>
      <c r="AB86" s="883"/>
      <c r="AC86" s="693">
        <v>42397</v>
      </c>
      <c r="AD86" s="884" t="s">
        <v>1332</v>
      </c>
      <c r="AE86" s="674" t="s">
        <v>1096</v>
      </c>
      <c r="AF86" s="686">
        <f>IF(CampList[[#This Row],[Type of Accomodation]]="camp",MAX(0,CampList[[#This Row],[HH]]-SUMIF(Table_Shelter[Pcode],CampList[[#This Row],[CP_Pcode]],Table_Shelter[HH Covered])),0)</f>
        <v>0</v>
      </c>
      <c r="AG86" s="668"/>
      <c r="AH86" s="883">
        <f>MIN(CampList[[#This Row],[Shelter Gap]],CampList[[#This Row],[Land Status]])</f>
        <v>0</v>
      </c>
      <c r="AI86" s="668" t="str">
        <f ca="1">IFERROR(OFFSET(DistanceToCamp[Nearest Town],MATCH(CampList[[#This Row],[CP_Pcode]],DistanceToCamp[CP_Pcode],0)-1,0,1,1),"")</f>
        <v>Namhkan Town</v>
      </c>
      <c r="AJ86" s="936">
        <f ca="1">IFERROR(OFFSET(DistanceToCamp[distance],MATCH(CampList[[#This Row],[CP_Pcode]],DistanceToCamp[CP_Pcode],0)-1,0,1,1),"")</f>
        <v>9.5650381623500511</v>
      </c>
      <c r="AK86" s="957">
        <f ca="1">IFERROR(INT(CampList[[#This Row],[Distance]]/5)+1,"")</f>
        <v>2</v>
      </c>
      <c r="AL86" s="548"/>
      <c r="AM86" s="548"/>
      <c r="AN86" s="548"/>
      <c r="BD86" s="5"/>
      <c r="BE86" s="5"/>
    </row>
    <row r="87" spans="1:57" s="678" customFormat="1" ht="15.6" hidden="1" customHeight="1" x14ac:dyDescent="0.25">
      <c r="A87" s="821" t="s">
        <v>845</v>
      </c>
      <c r="B87" s="764" t="s">
        <v>380</v>
      </c>
      <c r="C87" s="764" t="s">
        <v>527</v>
      </c>
      <c r="D87" s="764" t="s">
        <v>5</v>
      </c>
      <c r="E87" s="764" t="s">
        <v>531</v>
      </c>
      <c r="F87" s="764" t="s">
        <v>151</v>
      </c>
      <c r="G87" s="764" t="s">
        <v>541</v>
      </c>
      <c r="H87" s="765" t="s">
        <v>739</v>
      </c>
      <c r="I87" s="765" t="s">
        <v>740</v>
      </c>
      <c r="J87" s="765"/>
      <c r="K87" s="765"/>
      <c r="L87" s="824" t="s">
        <v>158</v>
      </c>
      <c r="M87" s="764" t="s">
        <v>157</v>
      </c>
      <c r="N87" s="728">
        <v>97.585667000000001</v>
      </c>
      <c r="O87" s="728">
        <v>23.9055</v>
      </c>
      <c r="P87" s="680">
        <v>745</v>
      </c>
      <c r="Q87" s="766">
        <v>0</v>
      </c>
      <c r="R87" s="767">
        <v>0</v>
      </c>
      <c r="S87" s="844" t="str">
        <f>IF(CampList[[#This Row],[HH]]&gt;0,CampList[[#This Row],[Total]]/CampList[[#This Row],[HH]],"NA")</f>
        <v>NA</v>
      </c>
      <c r="T87" s="768" t="s">
        <v>515</v>
      </c>
      <c r="U87" s="769" t="s">
        <v>1194</v>
      </c>
      <c r="V87" s="763" t="s">
        <v>556</v>
      </c>
      <c r="W87" s="769" t="s">
        <v>859</v>
      </c>
      <c r="X87" s="918">
        <v>41122</v>
      </c>
      <c r="Y87" s="919">
        <v>2</v>
      </c>
      <c r="Z87" s="918" t="s">
        <v>1092</v>
      </c>
      <c r="AA87" s="802" t="s">
        <v>844</v>
      </c>
      <c r="AB87" s="889"/>
      <c r="AC87" s="912">
        <v>42235</v>
      </c>
      <c r="AD87" s="891" t="s">
        <v>1295</v>
      </c>
      <c r="AE87" s="798" t="s">
        <v>1081</v>
      </c>
      <c r="AF87" s="860">
        <f>IF(CampList[[#This Row],[Type of Accomodation]]="camp",MAX(0,CampList[[#This Row],[HH]]-SUMIF(Table_Shelter[Pcode],CampList[[#This Row],[CP_Pcode]],Table_Shelter[HH Covered])),0)</f>
        <v>0</v>
      </c>
      <c r="AG87" s="763"/>
      <c r="AH87" s="889">
        <f>MIN(CampList[[#This Row],[Shelter Gap]],CampList[[#This Row],[Land Status]])</f>
        <v>0</v>
      </c>
      <c r="AI87" s="763" t="str">
        <f ca="1">IFERROR(OFFSET(DistanceToCamp[Nearest Town],MATCH(CampList[[#This Row],[CP_Pcode]],DistanceToCamp[CP_Pcode],0)-1,0,1,1),"")</f>
        <v>Namhkan Town</v>
      </c>
      <c r="AJ87" s="937">
        <f ca="1">IFERROR(OFFSET(DistanceToCamp[distance],MATCH(CampList[[#This Row],[CP_Pcode]],DistanceToCamp[CP_Pcode],0)-1,0,1,1),"")</f>
        <v>12.392289083396149</v>
      </c>
      <c r="AK87" s="958">
        <f ca="1">IFERROR(INT(CampList[[#This Row],[Distance]]/5)+1,"")</f>
        <v>3</v>
      </c>
      <c r="AL87" s="548"/>
      <c r="AM87" s="548"/>
      <c r="AN87" s="548"/>
      <c r="BD87" s="5"/>
      <c r="BE87" s="5"/>
    </row>
    <row r="88" spans="1:57" s="678" customFormat="1" ht="15.6" customHeight="1" x14ac:dyDescent="0.25">
      <c r="A88" s="825" t="s">
        <v>502</v>
      </c>
      <c r="B88" s="677" t="s">
        <v>380</v>
      </c>
      <c r="C88" s="677" t="s">
        <v>527</v>
      </c>
      <c r="D88" s="677" t="s">
        <v>5</v>
      </c>
      <c r="E88" s="677" t="s">
        <v>531</v>
      </c>
      <c r="F88" s="677" t="s">
        <v>151</v>
      </c>
      <c r="G88" s="677" t="s">
        <v>541</v>
      </c>
      <c r="H88" s="677" t="s">
        <v>745</v>
      </c>
      <c r="I88" s="689" t="s">
        <v>746</v>
      </c>
      <c r="J88" s="677" t="s">
        <v>747</v>
      </c>
      <c r="K88" s="677">
        <v>216948</v>
      </c>
      <c r="L88" s="677" t="s">
        <v>198</v>
      </c>
      <c r="M88" s="677" t="s">
        <v>197</v>
      </c>
      <c r="N88" s="847">
        <v>97.625617000000005</v>
      </c>
      <c r="O88" s="681">
        <v>24.056132999999999</v>
      </c>
      <c r="P88" s="744">
        <v>866</v>
      </c>
      <c r="Q88" s="681">
        <v>545</v>
      </c>
      <c r="R88" s="687">
        <v>2560</v>
      </c>
      <c r="S88" s="843">
        <f>IF(CampList[[#This Row],[HH]]&gt;0,CampList[[#This Row],[Total]]/CampList[[#This Row],[HH]],"NA")</f>
        <v>4.6972477064220186</v>
      </c>
      <c r="T88" s="420" t="s">
        <v>515</v>
      </c>
      <c r="U88" s="455" t="s">
        <v>1194</v>
      </c>
      <c r="V88" s="420" t="s">
        <v>556</v>
      </c>
      <c r="W88" s="686" t="s">
        <v>858</v>
      </c>
      <c r="X88" s="905">
        <v>40817</v>
      </c>
      <c r="Y88" s="670">
        <v>2</v>
      </c>
      <c r="Z88" s="670" t="s">
        <v>1092</v>
      </c>
      <c r="AA88" s="681" t="s">
        <v>844</v>
      </c>
      <c r="AB88" s="907"/>
      <c r="AC88" s="693">
        <v>42397</v>
      </c>
      <c r="AD88" s="726" t="s">
        <v>1336</v>
      </c>
      <c r="AE88" s="690" t="s">
        <v>1081</v>
      </c>
      <c r="AF88" s="732">
        <f>IF(CampList[[#This Row],[Type of Accomodation]]="camp",MAX(0,CampList[[#This Row],[HH]]-SUMIF(Table_Shelter[Pcode],CampList[[#This Row],[CP_Pcode]],Table_Shelter[HH Covered])),0)</f>
        <v>51</v>
      </c>
      <c r="AG88" s="686"/>
      <c r="AH88" s="692">
        <f>MIN(CampList[[#This Row],[Shelter Gap]],CampList[[#This Row],[Land Status]])</f>
        <v>51</v>
      </c>
      <c r="AI88" s="732" t="str">
        <f ca="1">IFERROR(OFFSET(DistanceToCamp[Nearest Town],MATCH(CampList[[#This Row],[CP_Pcode]],DistanceToCamp[CP_Pcode],0)-1,0,1,1),"")</f>
        <v>Lwegel Town</v>
      </c>
      <c r="AJ88" s="936">
        <f ca="1">IFERROR(OFFSET(DistanceToCamp[distance],MATCH(CampList[[#This Row],[CP_Pcode]],DistanceToCamp[CP_Pcode],0)-1,0,1,1),"")</f>
        <v>18.620903555062636</v>
      </c>
      <c r="AK88" s="956">
        <f ca="1">IFERROR(INT(CampList[[#This Row],[Distance]]/5)+1,"")</f>
        <v>4</v>
      </c>
      <c r="AL88" s="548"/>
      <c r="AM88" s="548"/>
      <c r="AN88" s="548"/>
      <c r="BD88" s="5"/>
      <c r="BE88" s="5"/>
    </row>
    <row r="89" spans="1:57" s="678" customFormat="1" ht="15.6" customHeight="1" x14ac:dyDescent="0.25">
      <c r="A89" s="820" t="s">
        <v>502</v>
      </c>
      <c r="B89" s="216" t="s">
        <v>380</v>
      </c>
      <c r="C89" s="216" t="s">
        <v>527</v>
      </c>
      <c r="D89" s="216" t="s">
        <v>5</v>
      </c>
      <c r="E89" s="216" t="s">
        <v>531</v>
      </c>
      <c r="F89" s="669" t="s">
        <v>151</v>
      </c>
      <c r="G89" s="669" t="s">
        <v>541</v>
      </c>
      <c r="H89" s="669" t="s">
        <v>741</v>
      </c>
      <c r="I89" s="669" t="s">
        <v>742</v>
      </c>
      <c r="J89" s="669" t="s">
        <v>741</v>
      </c>
      <c r="K89" s="669" t="s">
        <v>741</v>
      </c>
      <c r="L89" s="435" t="s">
        <v>188</v>
      </c>
      <c r="M89" s="216" t="s">
        <v>187</v>
      </c>
      <c r="N89" s="842">
        <v>97.609832999999995</v>
      </c>
      <c r="O89" s="729">
        <v>24.002433</v>
      </c>
      <c r="P89" s="743">
        <v>854</v>
      </c>
      <c r="Q89" s="671">
        <v>245</v>
      </c>
      <c r="R89" s="672">
        <v>1232</v>
      </c>
      <c r="S89" s="843">
        <f>IF(CampList[[#This Row],[HH]]&gt;0,CampList[[#This Row],[Total]]/CampList[[#This Row],[HH]],"NA")</f>
        <v>5.0285714285714285</v>
      </c>
      <c r="T89" s="455" t="s">
        <v>515</v>
      </c>
      <c r="U89" s="673" t="s">
        <v>1194</v>
      </c>
      <c r="V89" s="668" t="s">
        <v>556</v>
      </c>
      <c r="W89" s="673" t="s">
        <v>858</v>
      </c>
      <c r="X89" s="881">
        <v>40817</v>
      </c>
      <c r="Y89" s="882">
        <v>2</v>
      </c>
      <c r="Z89" s="881" t="s">
        <v>1092</v>
      </c>
      <c r="AA89" s="683" t="s">
        <v>844</v>
      </c>
      <c r="AB89" s="883"/>
      <c r="AC89" s="693">
        <v>42397</v>
      </c>
      <c r="AD89" s="885" t="s">
        <v>1334</v>
      </c>
      <c r="AE89" s="682" t="s">
        <v>1081</v>
      </c>
      <c r="AF89" s="686">
        <f>IF(CampList[[#This Row],[Type of Accomodation]]="camp",MAX(0,CampList[[#This Row],[HH]]-SUMIF(Table_Shelter[Pcode],CampList[[#This Row],[CP_Pcode]],Table_Shelter[HH Covered])),0)</f>
        <v>55</v>
      </c>
      <c r="AG89" s="668"/>
      <c r="AH89" s="883">
        <f>MIN(CampList[[#This Row],[Shelter Gap]],CampList[[#This Row],[Land Status]])</f>
        <v>55</v>
      </c>
      <c r="AI89" s="668" t="str">
        <f ca="1">IFERROR(OFFSET(DistanceToCamp[Nearest Town],MATCH(CampList[[#This Row],[CP_Pcode]],DistanceToCamp[CP_Pcode],0)-1,0,1,1),"")</f>
        <v>Namhkan Town</v>
      </c>
      <c r="AJ89" s="936">
        <f ca="1">IFERROR(OFFSET(DistanceToCamp[distance],MATCH(CampList[[#This Row],[CP_Pcode]],DistanceToCamp[CP_Pcode],0)-1,0,1,1),"")</f>
        <v>19.796407430638478</v>
      </c>
      <c r="AK89" s="957">
        <f ca="1">IFERROR(INT(CampList[[#This Row],[Distance]]/5)+1,"")</f>
        <v>4</v>
      </c>
      <c r="AL89" s="548"/>
      <c r="AM89" s="548"/>
      <c r="AN89" s="548"/>
      <c r="BD89" s="5"/>
      <c r="BE89" s="5"/>
    </row>
    <row r="90" spans="1:57" s="678" customFormat="1" ht="15.6" hidden="1" customHeight="1" x14ac:dyDescent="0.25">
      <c r="A90" s="822" t="s">
        <v>845</v>
      </c>
      <c r="B90" s="774" t="s">
        <v>380</v>
      </c>
      <c r="C90" s="774" t="s">
        <v>527</v>
      </c>
      <c r="D90" s="774" t="s">
        <v>180</v>
      </c>
      <c r="E90" s="774" t="s">
        <v>528</v>
      </c>
      <c r="F90" s="774" t="s">
        <v>529</v>
      </c>
      <c r="G90" s="774" t="s">
        <v>530</v>
      </c>
      <c r="H90" s="775" t="s">
        <v>600</v>
      </c>
      <c r="I90" s="775" t="s">
        <v>601</v>
      </c>
      <c r="J90" s="775" t="s">
        <v>710</v>
      </c>
      <c r="K90" s="775">
        <v>166790</v>
      </c>
      <c r="L90" s="774" t="s">
        <v>94</v>
      </c>
      <c r="M90" s="774" t="s">
        <v>93</v>
      </c>
      <c r="N90" s="729"/>
      <c r="O90" s="729"/>
      <c r="P90" s="670"/>
      <c r="Q90" s="776">
        <v>0</v>
      </c>
      <c r="R90" s="777">
        <v>0</v>
      </c>
      <c r="S90" s="845" t="str">
        <f>IF(CampList[[#This Row],[HH]]&gt;0,CampList[[#This Row],[Total]]/CampList[[#This Row],[HH]],"NA")</f>
        <v>NA</v>
      </c>
      <c r="T90" s="778" t="s">
        <v>513</v>
      </c>
      <c r="U90" s="779" t="s">
        <v>1194</v>
      </c>
      <c r="V90" s="773" t="s">
        <v>556</v>
      </c>
      <c r="W90" s="779"/>
      <c r="X90" s="892"/>
      <c r="Y90" s="893"/>
      <c r="Z90" s="894"/>
      <c r="AA90" s="806"/>
      <c r="AB90" s="895"/>
      <c r="AC90" s="896"/>
      <c r="AD90" s="897" t="s">
        <v>603</v>
      </c>
      <c r="AE90" s="780" t="s">
        <v>1010</v>
      </c>
      <c r="AF90" s="814">
        <f>IF(CampList[[#This Row],[Type of Accomodation]]="camp",MAX(0,CampList[[#This Row],[HH]]-SUMIF(Table_Shelter[Pcode],CampList[[#This Row],[CP_Pcode]],Table_Shelter[HH Covered])),0)</f>
        <v>0</v>
      </c>
      <c r="AG90" s="773"/>
      <c r="AH90" s="895">
        <f>MIN(CampList[[#This Row],[Shelter Gap]],CampList[[#This Row],[Land Status]])</f>
        <v>0</v>
      </c>
      <c r="AI90" s="773" t="str">
        <f ca="1">IFERROR(OFFSET(DistanceToCamp[Nearest Town],MATCH(CampList[[#This Row],[CP_Pcode]],DistanceToCamp[CP_Pcode],0)-1,0,1,1),"")</f>
        <v/>
      </c>
      <c r="AJ90" s="938" t="str">
        <f ca="1">IFERROR(OFFSET(DistanceToCamp[distance],MATCH(CampList[[#This Row],[CP_Pcode]],DistanceToCamp[CP_Pcode],0)-1,0,1,1),"")</f>
        <v/>
      </c>
      <c r="AK90" s="959" t="str">
        <f ca="1">IFERROR(INT(CampList[[#This Row],[Distance]]/5)+1,"")</f>
        <v/>
      </c>
      <c r="AL90" s="548"/>
      <c r="AM90" s="548"/>
      <c r="AN90" s="548"/>
      <c r="BD90" s="5"/>
      <c r="BE90" s="5"/>
    </row>
    <row r="91" spans="1:57" s="678" customFormat="1" ht="15.6" hidden="1" customHeight="1" x14ac:dyDescent="0.25">
      <c r="A91" s="819" t="s">
        <v>845</v>
      </c>
      <c r="B91" s="701" t="s">
        <v>380</v>
      </c>
      <c r="C91" s="701" t="s">
        <v>527</v>
      </c>
      <c r="D91" s="701" t="s">
        <v>300</v>
      </c>
      <c r="E91" s="701" t="s">
        <v>548</v>
      </c>
      <c r="F91" s="701" t="s">
        <v>895</v>
      </c>
      <c r="G91" s="701" t="s">
        <v>896</v>
      </c>
      <c r="H91" s="701"/>
      <c r="I91" s="701"/>
      <c r="J91" s="701"/>
      <c r="K91" s="701"/>
      <c r="L91" s="701" t="s">
        <v>897</v>
      </c>
      <c r="M91" s="701" t="s">
        <v>898</v>
      </c>
      <c r="N91" s="729">
        <v>97.586470000000006</v>
      </c>
      <c r="O91" s="729">
        <v>27.274059999999999</v>
      </c>
      <c r="P91" s="687">
        <v>403</v>
      </c>
      <c r="Q91" s="754">
        <v>0</v>
      </c>
      <c r="R91" s="755">
        <v>0</v>
      </c>
      <c r="S91" s="841" t="str">
        <f>IF(CampList[[#This Row],[HH]]&gt;0,CampList[[#This Row],[Total]]/CampList[[#This Row],[HH]],"NA")</f>
        <v>NA</v>
      </c>
      <c r="T91" s="750" t="s">
        <v>513</v>
      </c>
      <c r="U91" s="703" t="s">
        <v>1194</v>
      </c>
      <c r="V91" s="700" t="s">
        <v>556</v>
      </c>
      <c r="W91" s="700" t="s">
        <v>858</v>
      </c>
      <c r="X91" s="920">
        <v>41518</v>
      </c>
      <c r="Y91" s="755"/>
      <c r="Z91" s="921"/>
      <c r="AA91" s="654" t="s">
        <v>844</v>
      </c>
      <c r="AB91" s="654"/>
      <c r="AC91" s="901">
        <v>42180</v>
      </c>
      <c r="AD91" s="880" t="s">
        <v>1268</v>
      </c>
      <c r="AE91" s="756" t="s">
        <v>1082</v>
      </c>
      <c r="AF91" s="861">
        <f>IF(CampList[[#This Row],[Type of Accomodation]]="camp",MAX(0,CampList[[#This Row],[HH]]-SUMIF(Table_Shelter[Pcode],CampList[[#This Row],[CP_Pcode]],Table_Shelter[HH Covered])),0)</f>
        <v>0</v>
      </c>
      <c r="AG91" s="700"/>
      <c r="AH91" s="878">
        <f>MIN(CampList[[#This Row],[Shelter Gap]],CampList[[#This Row],[Land Status]])</f>
        <v>0</v>
      </c>
      <c r="AI91" s="700" t="str">
        <f ca="1">IFERROR(OFFSET(DistanceToCamp[Nearest Town],MATCH(CampList[[#This Row],[CP_Pcode]],DistanceToCamp[CP_Pcode],0)-1,0,1,1),"")</f>
        <v>Machanbaw Town</v>
      </c>
      <c r="AJ91" s="935">
        <f ca="1">IFERROR(OFFSET(DistanceToCamp[distance],MATCH(CampList[[#This Row],[CP_Pcode]],DistanceToCamp[CP_Pcode],0)-1,0,1,1),"")</f>
        <v>1.136583238544624</v>
      </c>
      <c r="AK91" s="955">
        <f ca="1">IFERROR(INT(CampList[[#This Row],[Distance]]/5)+1,"")</f>
        <v>1</v>
      </c>
      <c r="AL91" s="548"/>
      <c r="AM91" s="548"/>
      <c r="AN91" s="548"/>
      <c r="BD91" s="5"/>
      <c r="BE91" s="5"/>
    </row>
    <row r="92" spans="1:57" s="678" customFormat="1" ht="15.6" customHeight="1" x14ac:dyDescent="0.25">
      <c r="A92" s="820" t="s">
        <v>502</v>
      </c>
      <c r="B92" s="216" t="s">
        <v>380</v>
      </c>
      <c r="C92" s="216" t="s">
        <v>527</v>
      </c>
      <c r="D92" s="216" t="s">
        <v>5</v>
      </c>
      <c r="E92" s="216" t="s">
        <v>531</v>
      </c>
      <c r="F92" s="216" t="s">
        <v>151</v>
      </c>
      <c r="G92" s="216" t="s">
        <v>541</v>
      </c>
      <c r="H92" s="669" t="s">
        <v>652</v>
      </c>
      <c r="I92" s="669" t="s">
        <v>653</v>
      </c>
      <c r="J92" s="669" t="s">
        <v>654</v>
      </c>
      <c r="K92" s="669" t="s">
        <v>655</v>
      </c>
      <c r="L92" s="435" t="s">
        <v>152</v>
      </c>
      <c r="M92" s="216" t="s">
        <v>150</v>
      </c>
      <c r="N92" s="842">
        <v>97.291820000000001</v>
      </c>
      <c r="O92" s="729">
        <v>24.129059999999999</v>
      </c>
      <c r="P92" s="743">
        <v>0</v>
      </c>
      <c r="Q92" s="671">
        <v>221</v>
      </c>
      <c r="R92" s="672">
        <v>1003</v>
      </c>
      <c r="S92" s="843">
        <f>IF(CampList[[#This Row],[HH]]&gt;0,CampList[[#This Row],[Total]]/CampList[[#This Row],[HH]],"NA")</f>
        <v>4.5384615384615383</v>
      </c>
      <c r="T92" s="455" t="s">
        <v>513</v>
      </c>
      <c r="U92" s="673" t="s">
        <v>1194</v>
      </c>
      <c r="V92" s="668" t="s">
        <v>556</v>
      </c>
      <c r="W92" s="673" t="s">
        <v>805</v>
      </c>
      <c r="X92" s="881">
        <v>41579</v>
      </c>
      <c r="Y92" s="882">
        <v>2</v>
      </c>
      <c r="Z92" s="881" t="s">
        <v>462</v>
      </c>
      <c r="AA92" s="675" t="s">
        <v>844</v>
      </c>
      <c r="AB92" s="883"/>
      <c r="AC92" s="693">
        <v>42502</v>
      </c>
      <c r="AD92" s="885" t="s">
        <v>1391</v>
      </c>
      <c r="AE92" s="682" t="s">
        <v>1096</v>
      </c>
      <c r="AF92" s="686">
        <f>IF(CampList[[#This Row],[Type of Accomodation]]="camp",MAX(0,CampList[[#This Row],[HH]]-SUMIF(Table_Shelter[Pcode],CampList[[#This Row],[CP_Pcode]],Table_Shelter[HH Covered])),0)</f>
        <v>116</v>
      </c>
      <c r="AG92" s="668"/>
      <c r="AH92" s="883">
        <f>MIN(CampList[[#This Row],[Shelter Gap]],CampList[[#This Row],[Land Status]])</f>
        <v>116</v>
      </c>
      <c r="AI92" s="668" t="str">
        <f ca="1">IFERROR(OFFSET(DistanceToCamp[Nearest Town],MATCH(CampList[[#This Row],[CP_Pcode]],DistanceToCamp[CP_Pcode],0)-1,0,1,1),"")</f>
        <v>Mansi Town</v>
      </c>
      <c r="AJ92" s="936">
        <f ca="1">IFERROR(OFFSET(DistanceToCamp[distance],MATCH(CampList[[#This Row],[CP_Pcode]],DistanceToCamp[CP_Pcode],0)-1,0,1,1),"")</f>
        <v>1.0576516850656514</v>
      </c>
      <c r="AK92" s="957">
        <f ca="1">IFERROR(INT(CampList[[#This Row],[Distance]]/5)+1,"")</f>
        <v>1</v>
      </c>
      <c r="AL92" s="548"/>
      <c r="AM92" s="548"/>
      <c r="AN92" s="548"/>
      <c r="BD92" s="5"/>
      <c r="BE92" s="5"/>
    </row>
    <row r="93" spans="1:57" s="678" customFormat="1" ht="15.6" customHeight="1" x14ac:dyDescent="0.25">
      <c r="A93" s="820" t="s">
        <v>502</v>
      </c>
      <c r="B93" s="216" t="s">
        <v>555</v>
      </c>
      <c r="C93" s="216" t="s">
        <v>538</v>
      </c>
      <c r="D93" s="216" t="s">
        <v>543</v>
      </c>
      <c r="E93" s="216" t="s">
        <v>544</v>
      </c>
      <c r="F93" s="216" t="s">
        <v>166</v>
      </c>
      <c r="G93" s="216" t="s">
        <v>545</v>
      </c>
      <c r="H93" s="698" t="s">
        <v>805</v>
      </c>
      <c r="I93" s="733" t="s">
        <v>1137</v>
      </c>
      <c r="J93" s="677" t="s">
        <v>718</v>
      </c>
      <c r="K93" s="677" t="s">
        <v>1417</v>
      </c>
      <c r="L93" s="435" t="s">
        <v>167</v>
      </c>
      <c r="M93" s="216" t="s">
        <v>165</v>
      </c>
      <c r="N93" s="842">
        <v>97.124403000000001</v>
      </c>
      <c r="O93" s="729">
        <v>23.250678000000001</v>
      </c>
      <c r="P93" s="743">
        <v>1250</v>
      </c>
      <c r="Q93" s="681">
        <v>37</v>
      </c>
      <c r="R93" s="681">
        <v>159</v>
      </c>
      <c r="S93" s="843">
        <f>IF(CampList[[#This Row],[HH]]&gt;0,CampList[[#This Row],[Total]]/CampList[[#This Row],[HH]],"NA")</f>
        <v>4.2972972972972974</v>
      </c>
      <c r="T93" s="455" t="s">
        <v>513</v>
      </c>
      <c r="U93" s="673" t="s">
        <v>1194</v>
      </c>
      <c r="V93" s="668" t="s">
        <v>556</v>
      </c>
      <c r="W93" s="673" t="s">
        <v>805</v>
      </c>
      <c r="X93" s="881">
        <v>41000</v>
      </c>
      <c r="Y93" s="882">
        <v>1</v>
      </c>
      <c r="Z93" s="881" t="s">
        <v>462</v>
      </c>
      <c r="AA93" s="683" t="s">
        <v>844</v>
      </c>
      <c r="AB93" s="883"/>
      <c r="AC93" s="693">
        <v>42536</v>
      </c>
      <c r="AD93" s="885" t="s">
        <v>1465</v>
      </c>
      <c r="AE93" s="682" t="s">
        <v>1081</v>
      </c>
      <c r="AF93" s="686">
        <f>IF(CampList[[#This Row],[Type of Accomodation]]="camp",MAX(0,CampList[[#This Row],[HH]]-SUMIF(Table_Shelter[Pcode],CampList[[#This Row],[CP_Pcode]],Table_Shelter[HH Covered])),0)</f>
        <v>0</v>
      </c>
      <c r="AG93" s="668"/>
      <c r="AH93" s="883">
        <f>MIN(CampList[[#This Row],[Shelter Gap]],CampList[[#This Row],[Land Status]])</f>
        <v>0</v>
      </c>
      <c r="AI93" s="668" t="str">
        <f ca="1">IFERROR(OFFSET(DistanceToCamp[Nearest Town],MATCH(CampList[[#This Row],[CP_Pcode]],DistanceToCamp[CP_Pcode],0)-1,0,1,1),"")</f>
        <v>Manton Town</v>
      </c>
      <c r="AJ93" s="936">
        <f ca="1">IFERROR(OFFSET(DistanceToCamp[distance],MATCH(CampList[[#This Row],[CP_Pcode]],DistanceToCamp[CP_Pcode],0)-1,0,1,1),"")</f>
        <v>0.43878855438285824</v>
      </c>
      <c r="AK93" s="957">
        <f ca="1">IFERROR(INT(CampList[[#This Row],[Distance]]/5)+1,"")</f>
        <v>1</v>
      </c>
      <c r="AL93" s="548"/>
      <c r="AM93" s="548"/>
      <c r="AN93" s="548"/>
      <c r="BD93" s="5"/>
      <c r="BE93" s="5"/>
    </row>
    <row r="94" spans="1:57" s="678" customFormat="1" ht="15.6" customHeight="1" x14ac:dyDescent="0.25">
      <c r="A94" s="825" t="s">
        <v>502</v>
      </c>
      <c r="B94" s="677" t="s">
        <v>555</v>
      </c>
      <c r="C94" s="677" t="s">
        <v>538</v>
      </c>
      <c r="D94" s="677" t="s">
        <v>543</v>
      </c>
      <c r="E94" s="677" t="s">
        <v>544</v>
      </c>
      <c r="F94" s="677" t="s">
        <v>166</v>
      </c>
      <c r="G94" s="677" t="s">
        <v>545</v>
      </c>
      <c r="H94" s="677" t="s">
        <v>805</v>
      </c>
      <c r="I94" s="689" t="s">
        <v>1137</v>
      </c>
      <c r="J94" s="677" t="s">
        <v>718</v>
      </c>
      <c r="K94" s="677" t="s">
        <v>1417</v>
      </c>
      <c r="L94" s="677" t="s">
        <v>824</v>
      </c>
      <c r="M94" s="677" t="s">
        <v>825</v>
      </c>
      <c r="N94" s="847">
        <v>97.116680000000002</v>
      </c>
      <c r="O94" s="681">
        <v>23.24661</v>
      </c>
      <c r="P94" s="744">
        <v>87.3</v>
      </c>
      <c r="Q94" s="681">
        <v>31</v>
      </c>
      <c r="R94" s="687">
        <v>183</v>
      </c>
      <c r="S94" s="843">
        <f>IF(CampList[[#This Row],[HH]]&gt;0,CampList[[#This Row],[Total]]/CampList[[#This Row],[HH]],"NA")</f>
        <v>5.903225806451613</v>
      </c>
      <c r="T94" s="420" t="s">
        <v>513</v>
      </c>
      <c r="U94" s="455" t="s">
        <v>1194</v>
      </c>
      <c r="V94" s="420" t="s">
        <v>556</v>
      </c>
      <c r="W94" s="686" t="s">
        <v>805</v>
      </c>
      <c r="X94" s="905">
        <v>41030</v>
      </c>
      <c r="Y94" s="670"/>
      <c r="Z94" s="670" t="s">
        <v>1266</v>
      </c>
      <c r="AA94" s="681" t="s">
        <v>844</v>
      </c>
      <c r="AB94" s="907"/>
      <c r="AC94" s="693">
        <v>42397</v>
      </c>
      <c r="AD94" s="726" t="s">
        <v>1343</v>
      </c>
      <c r="AE94" s="690" t="s">
        <v>1082</v>
      </c>
      <c r="AF94" s="732">
        <f>IF(CampList[[#This Row],[Type of Accomodation]]="camp",MAX(0,CampList[[#This Row],[HH]]-SUMIF(Table_Shelter[Pcode],CampList[[#This Row],[CP_Pcode]],Table_Shelter[HH Covered])),0)</f>
        <v>1</v>
      </c>
      <c r="AG94" s="686"/>
      <c r="AH94" s="692">
        <f>MIN(CampList[[#This Row],[Shelter Gap]],CampList[[#This Row],[Land Status]])</f>
        <v>1</v>
      </c>
      <c r="AI94" s="732" t="str">
        <f ca="1">IFERROR(OFFSET(DistanceToCamp[Nearest Town],MATCH(CampList[[#This Row],[CP_Pcode]],DistanceToCamp[CP_Pcode],0)-1,0,1,1),"")</f>
        <v>Manton Town</v>
      </c>
      <c r="AJ94" s="936">
        <f ca="1">IFERROR(OFFSET(DistanceToCamp[distance],MATCH(CampList[[#This Row],[CP_Pcode]],DistanceToCamp[CP_Pcode],0)-1,0,1,1),"")</f>
        <v>0.71762888500316424</v>
      </c>
      <c r="AK94" s="956">
        <f ca="1">IFERROR(INT(CampList[[#This Row],[Distance]]/5)+1,"")</f>
        <v>1</v>
      </c>
      <c r="AL94" s="548"/>
      <c r="AM94" s="548"/>
      <c r="AN94" s="548"/>
      <c r="BD94" s="5"/>
      <c r="BE94" s="5"/>
    </row>
    <row r="95" spans="1:57" s="678" customFormat="1" ht="15.6" customHeight="1" x14ac:dyDescent="0.25">
      <c r="A95" s="820" t="s">
        <v>502</v>
      </c>
      <c r="B95" s="216" t="s">
        <v>380</v>
      </c>
      <c r="C95" s="216" t="s">
        <v>527</v>
      </c>
      <c r="D95" s="216" t="s">
        <v>180</v>
      </c>
      <c r="E95" s="216" t="s">
        <v>528</v>
      </c>
      <c r="F95" s="216" t="s">
        <v>173</v>
      </c>
      <c r="G95" s="216" t="s">
        <v>547</v>
      </c>
      <c r="H95" s="669" t="s">
        <v>634</v>
      </c>
      <c r="I95" s="669" t="s">
        <v>635</v>
      </c>
      <c r="J95" s="669" t="s">
        <v>636</v>
      </c>
      <c r="K95" s="669">
        <v>166676</v>
      </c>
      <c r="L95" s="435" t="s">
        <v>176</v>
      </c>
      <c r="M95" s="216" t="s">
        <v>175</v>
      </c>
      <c r="N95" s="842">
        <v>96.942279999999997</v>
      </c>
      <c r="O95" s="729">
        <v>25.296579999999999</v>
      </c>
      <c r="P95" s="743">
        <v>0</v>
      </c>
      <c r="Q95" s="681">
        <v>17</v>
      </c>
      <c r="R95" s="681">
        <v>77</v>
      </c>
      <c r="S95" s="843">
        <f>IF(CampList[[#This Row],[HH]]&gt;0,CampList[[#This Row],[Total]]/CampList[[#This Row],[HH]],"NA")</f>
        <v>4.5294117647058822</v>
      </c>
      <c r="T95" s="455" t="s">
        <v>513</v>
      </c>
      <c r="U95" s="673" t="s">
        <v>1194</v>
      </c>
      <c r="V95" s="668" t="s">
        <v>556</v>
      </c>
      <c r="W95" s="673" t="s">
        <v>805</v>
      </c>
      <c r="X95" s="881">
        <v>41030</v>
      </c>
      <c r="Y95" s="882">
        <v>1</v>
      </c>
      <c r="Z95" s="881" t="s">
        <v>462</v>
      </c>
      <c r="AA95" s="675" t="s">
        <v>844</v>
      </c>
      <c r="AB95" s="883"/>
      <c r="AC95" s="693">
        <v>42536</v>
      </c>
      <c r="AD95" s="885" t="s">
        <v>1447</v>
      </c>
      <c r="AE95" s="682" t="s">
        <v>1096</v>
      </c>
      <c r="AF95" s="686">
        <f>IF(CampList[[#This Row],[Type of Accomodation]]="camp",MAX(0,CampList[[#This Row],[HH]]-SUMIF(Table_Shelter[Pcode],CampList[[#This Row],[CP_Pcode]],Table_Shelter[HH Covered])),0)</f>
        <v>7</v>
      </c>
      <c r="AG95" s="668"/>
      <c r="AH95" s="883">
        <f>MIN(CampList[[#This Row],[Shelter Gap]],CampList[[#This Row],[Land Status]])</f>
        <v>7</v>
      </c>
      <c r="AI95" s="668" t="str">
        <f ca="1">IFERROR(OFFSET(DistanceToCamp[Nearest Town],MATCH(CampList[[#This Row],[CP_Pcode]],DistanceToCamp[CP_Pcode],0)-1,0,1,1),"")</f>
        <v>Mogaung Town</v>
      </c>
      <c r="AJ95" s="936">
        <f ca="1">IFERROR(OFFSET(DistanceToCamp[distance],MATCH(CampList[[#This Row],[CP_Pcode]],DistanceToCamp[CP_Pcode],0)-1,0,1,1),"")</f>
        <v>0.71141459237180937</v>
      </c>
      <c r="AK95" s="957">
        <f ca="1">IFERROR(INT(CampList[[#This Row],[Distance]]/5)+1,"")</f>
        <v>1</v>
      </c>
      <c r="AL95" s="548"/>
      <c r="AM95" s="548"/>
      <c r="AN95" s="548"/>
      <c r="BD95" s="5"/>
      <c r="BE95" s="5"/>
    </row>
    <row r="96" spans="1:57" s="678" customFormat="1" ht="15.6" customHeight="1" x14ac:dyDescent="0.25">
      <c r="A96" s="825" t="s">
        <v>502</v>
      </c>
      <c r="B96" s="677" t="s">
        <v>380</v>
      </c>
      <c r="C96" s="216" t="s">
        <v>527</v>
      </c>
      <c r="D96" s="216" t="s">
        <v>180</v>
      </c>
      <c r="E96" s="216" t="s">
        <v>528</v>
      </c>
      <c r="F96" s="677" t="s">
        <v>173</v>
      </c>
      <c r="G96" s="677" t="s">
        <v>547</v>
      </c>
      <c r="H96" s="677" t="s">
        <v>634</v>
      </c>
      <c r="I96" s="689" t="s">
        <v>635</v>
      </c>
      <c r="J96" s="677" t="s">
        <v>636</v>
      </c>
      <c r="K96" s="677">
        <v>166676</v>
      </c>
      <c r="L96" s="677" t="s">
        <v>1272</v>
      </c>
      <c r="M96" s="677" t="s">
        <v>1275</v>
      </c>
      <c r="N96" s="948"/>
      <c r="O96" s="949"/>
      <c r="P96" s="744"/>
      <c r="Q96" s="681">
        <v>9</v>
      </c>
      <c r="R96" s="687">
        <v>39</v>
      </c>
      <c r="S96" s="843">
        <f>IF(CampList[[#This Row],[HH]]&gt;0,CampList[[#This Row],[Total]]/CampList[[#This Row],[HH]],"NA")</f>
        <v>4.333333333333333</v>
      </c>
      <c r="T96" s="420" t="s">
        <v>513</v>
      </c>
      <c r="U96" s="455" t="s">
        <v>1194</v>
      </c>
      <c r="V96" s="420" t="s">
        <v>556</v>
      </c>
      <c r="W96" s="686" t="s">
        <v>805</v>
      </c>
      <c r="X96" s="905">
        <v>42125</v>
      </c>
      <c r="Y96" s="670"/>
      <c r="Z96" s="670" t="s">
        <v>1093</v>
      </c>
      <c r="AA96" s="681" t="s">
        <v>843</v>
      </c>
      <c r="AB96" s="907"/>
      <c r="AC96" s="693">
        <v>42317</v>
      </c>
      <c r="AD96" s="726" t="s">
        <v>1321</v>
      </c>
      <c r="AE96" s="690"/>
      <c r="AF96" s="732">
        <f>IF(CampList[[#This Row],[Type of Accomodation]]="camp",MAX(0,CampList[[#This Row],[HH]]-SUMIF(Table_Shelter[Pcode],CampList[[#This Row],[CP_Pcode]],Table_Shelter[HH Covered])),0)</f>
        <v>9</v>
      </c>
      <c r="AG96" s="686"/>
      <c r="AH96" s="692">
        <f>MIN(CampList[[#This Row],[Shelter Gap]],CampList[[#This Row],[Land Status]])</f>
        <v>9</v>
      </c>
      <c r="AI96" s="732" t="str">
        <f ca="1">IFERROR(OFFSET(DistanceToCamp[Nearest Town],MATCH(CampList[[#This Row],[CP_Pcode]],DistanceToCamp[CP_Pcode],0)-1,0,1,1),"")</f>
        <v/>
      </c>
      <c r="AJ96" s="936" t="str">
        <f ca="1">IFERROR(OFFSET(DistanceToCamp[distance],MATCH(CampList[[#This Row],[CP_Pcode]],DistanceToCamp[CP_Pcode],0)-1,0,1,1),"")</f>
        <v/>
      </c>
      <c r="AK96" s="956" t="str">
        <f ca="1">IFERROR(INT(CampList[[#This Row],[Distance]]/5)+1,"")</f>
        <v/>
      </c>
      <c r="AL96" s="548"/>
      <c r="AM96" s="548"/>
      <c r="AN96" s="548"/>
      <c r="BD96" s="5"/>
      <c r="BE96" s="5"/>
    </row>
    <row r="97" spans="1:57" s="678" customFormat="1" ht="15.6" customHeight="1" x14ac:dyDescent="0.25">
      <c r="A97" s="820" t="s">
        <v>502</v>
      </c>
      <c r="B97" s="216" t="s">
        <v>380</v>
      </c>
      <c r="C97" s="216" t="s">
        <v>527</v>
      </c>
      <c r="D97" s="216" t="s">
        <v>180</v>
      </c>
      <c r="E97" s="216" t="s">
        <v>528</v>
      </c>
      <c r="F97" s="216" t="s">
        <v>173</v>
      </c>
      <c r="G97" s="216" t="s">
        <v>547</v>
      </c>
      <c r="H97" s="216" t="s">
        <v>1277</v>
      </c>
      <c r="I97" s="216" t="s">
        <v>1278</v>
      </c>
      <c r="J97" s="216" t="s">
        <v>1277</v>
      </c>
      <c r="K97" s="216">
        <v>166724</v>
      </c>
      <c r="L97" s="435" t="s">
        <v>1281</v>
      </c>
      <c r="M97" s="216" t="s">
        <v>1274</v>
      </c>
      <c r="N97" s="950"/>
      <c r="O97" s="947"/>
      <c r="P97" s="744"/>
      <c r="Q97" s="657">
        <v>30</v>
      </c>
      <c r="R97" s="681">
        <v>137</v>
      </c>
      <c r="S97" s="843">
        <f>IF(CampList[[#This Row],[HH]]&gt;0,CampList[[#This Row],[Total]]/CampList[[#This Row],[HH]],"NA")</f>
        <v>4.5666666666666664</v>
      </c>
      <c r="T97" s="455" t="s">
        <v>513</v>
      </c>
      <c r="U97" s="673" t="s">
        <v>1194</v>
      </c>
      <c r="V97" s="668" t="s">
        <v>556</v>
      </c>
      <c r="W97" s="668" t="s">
        <v>858</v>
      </c>
      <c r="X97" s="905">
        <v>42125</v>
      </c>
      <c r="Y97" s="670"/>
      <c r="Z97" s="899" t="s">
        <v>462</v>
      </c>
      <c r="AA97" s="434" t="s">
        <v>843</v>
      </c>
      <c r="AB97" s="883"/>
      <c r="AC97" s="693">
        <v>42536</v>
      </c>
      <c r="AD97" s="884" t="s">
        <v>1515</v>
      </c>
      <c r="AE97" s="674"/>
      <c r="AF97" s="686">
        <f>IF(CampList[[#This Row],[Type of Accomodation]]="camp",MAX(0,CampList[[#This Row],[HH]]-SUMIF(Table_Shelter[Pcode],CampList[[#This Row],[CP_Pcode]],Table_Shelter[HH Covered])),0)</f>
        <v>0</v>
      </c>
      <c r="AG97" s="668"/>
      <c r="AH97" s="883">
        <f>MIN(CampList[[#This Row],[Shelter Gap]],CampList[[#This Row],[Land Status]])</f>
        <v>0</v>
      </c>
      <c r="AI97" s="668" t="str">
        <f ca="1">IFERROR(OFFSET(DistanceToCamp[Nearest Town],MATCH(CampList[[#This Row],[CP_Pcode]],DistanceToCamp[CP_Pcode],0)-1,0,1,1),"")</f>
        <v/>
      </c>
      <c r="AJ97" s="936" t="str">
        <f ca="1">IFERROR(OFFSET(DistanceToCamp[distance],MATCH(CampList[[#This Row],[CP_Pcode]],DistanceToCamp[CP_Pcode],0)-1,0,1,1),"")</f>
        <v/>
      </c>
      <c r="AK97" s="957" t="str">
        <f ca="1">IFERROR(INT(CampList[[#This Row],[Distance]]/5)+1,"")</f>
        <v/>
      </c>
      <c r="AL97" s="548"/>
      <c r="AM97" s="548"/>
      <c r="AN97" s="548"/>
      <c r="BD97" s="5"/>
      <c r="BE97" s="5"/>
    </row>
    <row r="98" spans="1:57" s="678" customFormat="1" ht="15.6" customHeight="1" x14ac:dyDescent="0.25">
      <c r="A98" s="820" t="s">
        <v>502</v>
      </c>
      <c r="B98" s="216" t="s">
        <v>380</v>
      </c>
      <c r="C98" s="216" t="s">
        <v>527</v>
      </c>
      <c r="D98" s="216" t="s">
        <v>180</v>
      </c>
      <c r="E98" s="216" t="s">
        <v>528</v>
      </c>
      <c r="F98" s="216" t="s">
        <v>173</v>
      </c>
      <c r="G98" s="216" t="s">
        <v>547</v>
      </c>
      <c r="H98" s="679" t="s">
        <v>632</v>
      </c>
      <c r="I98" s="679" t="s">
        <v>633</v>
      </c>
      <c r="J98" s="679" t="s">
        <v>637</v>
      </c>
      <c r="K98" s="679" t="s">
        <v>638</v>
      </c>
      <c r="L98" s="435" t="s">
        <v>178</v>
      </c>
      <c r="M98" s="216" t="s">
        <v>177</v>
      </c>
      <c r="N98" s="842">
        <v>96.948740000000001</v>
      </c>
      <c r="O98" s="729">
        <v>25.30442</v>
      </c>
      <c r="P98" s="743">
        <v>100</v>
      </c>
      <c r="Q98" s="681">
        <v>12</v>
      </c>
      <c r="R98" s="681">
        <v>42</v>
      </c>
      <c r="S98" s="843">
        <f>IF(CampList[[#This Row],[HH]]&gt;0,CampList[[#This Row],[Total]]/CampList[[#This Row],[HH]],"NA")</f>
        <v>3.5</v>
      </c>
      <c r="T98" s="455" t="s">
        <v>513</v>
      </c>
      <c r="U98" s="673" t="s">
        <v>1194</v>
      </c>
      <c r="V98" s="668" t="s">
        <v>556</v>
      </c>
      <c r="W98" s="673" t="s">
        <v>805</v>
      </c>
      <c r="X98" s="881">
        <v>40969</v>
      </c>
      <c r="Y98" s="882">
        <v>1</v>
      </c>
      <c r="Z98" s="881" t="s">
        <v>462</v>
      </c>
      <c r="AA98" s="433" t="s">
        <v>844</v>
      </c>
      <c r="AB98" s="883"/>
      <c r="AC98" s="693">
        <v>42536</v>
      </c>
      <c r="AD98" s="884" t="s">
        <v>1448</v>
      </c>
      <c r="AE98" s="682" t="s">
        <v>1096</v>
      </c>
      <c r="AF98" s="686">
        <f>IF(CampList[[#This Row],[Type of Accomodation]]="camp",MAX(0,CampList[[#This Row],[HH]]-SUMIF(Table_Shelter[Pcode],CampList[[#This Row],[CP_Pcode]],Table_Shelter[HH Covered])),0)</f>
        <v>0</v>
      </c>
      <c r="AG98" s="668"/>
      <c r="AH98" s="883">
        <f>MIN(CampList[[#This Row],[Shelter Gap]],CampList[[#This Row],[Land Status]])</f>
        <v>0</v>
      </c>
      <c r="AI98" s="668" t="str">
        <f ca="1">IFERROR(OFFSET(DistanceToCamp[Nearest Town],MATCH(CampList[[#This Row],[CP_Pcode]],DistanceToCamp[CP_Pcode],0)-1,0,1,1),"")</f>
        <v>Mogaung Town</v>
      </c>
      <c r="AJ98" s="936">
        <f ca="1">IFERROR(OFFSET(DistanceToCamp[distance],MATCH(CampList[[#This Row],[CP_Pcode]],DistanceToCamp[CP_Pcode],0)-1,0,1,1),"")</f>
        <v>0.86042374061342075</v>
      </c>
      <c r="AK98" s="957">
        <f ca="1">IFERROR(INT(CampList[[#This Row],[Distance]]/5)+1,"")</f>
        <v>1</v>
      </c>
      <c r="AL98" s="548"/>
      <c r="AM98" s="548"/>
      <c r="AN98" s="548"/>
      <c r="BD98" s="5"/>
      <c r="BE98" s="5"/>
    </row>
    <row r="99" spans="1:57" s="678" customFormat="1" ht="15.6" customHeight="1" x14ac:dyDescent="0.25">
      <c r="A99" s="820" t="s">
        <v>502</v>
      </c>
      <c r="B99" s="216" t="s">
        <v>380</v>
      </c>
      <c r="C99" s="216" t="s">
        <v>527</v>
      </c>
      <c r="D99" s="216" t="s">
        <v>180</v>
      </c>
      <c r="E99" s="216" t="s">
        <v>528</v>
      </c>
      <c r="F99" s="216" t="s">
        <v>173</v>
      </c>
      <c r="G99" s="216" t="s">
        <v>547</v>
      </c>
      <c r="H99" s="669" t="s">
        <v>632</v>
      </c>
      <c r="I99" s="669" t="s">
        <v>633</v>
      </c>
      <c r="J99" s="653" t="s">
        <v>1412</v>
      </c>
      <c r="K99" s="653" t="s">
        <v>1413</v>
      </c>
      <c r="L99" s="435" t="s">
        <v>174</v>
      </c>
      <c r="M99" s="216" t="s">
        <v>172</v>
      </c>
      <c r="N99" s="842">
        <v>96.922619999999995</v>
      </c>
      <c r="O99" s="729">
        <v>25.305669999999999</v>
      </c>
      <c r="P99" s="743">
        <v>470</v>
      </c>
      <c r="Q99" s="681">
        <v>13</v>
      </c>
      <c r="R99" s="681">
        <v>64</v>
      </c>
      <c r="S99" s="843">
        <f>IF(CampList[[#This Row],[HH]]&gt;0,CampList[[#This Row],[Total]]/CampList[[#This Row],[HH]],"NA")</f>
        <v>4.9230769230769234</v>
      </c>
      <c r="T99" s="455" t="s">
        <v>513</v>
      </c>
      <c r="U99" s="673" t="s">
        <v>1194</v>
      </c>
      <c r="V99" s="668" t="s">
        <v>556</v>
      </c>
      <c r="W99" s="673" t="s">
        <v>805</v>
      </c>
      <c r="X99" s="881">
        <v>41030</v>
      </c>
      <c r="Y99" s="882">
        <v>1</v>
      </c>
      <c r="Z99" s="881" t="s">
        <v>462</v>
      </c>
      <c r="AA99" s="675" t="s">
        <v>844</v>
      </c>
      <c r="AB99" s="883"/>
      <c r="AC99" s="693">
        <v>42536</v>
      </c>
      <c r="AD99" s="885" t="s">
        <v>1447</v>
      </c>
      <c r="AE99" s="682" t="s">
        <v>1096</v>
      </c>
      <c r="AF99" s="686">
        <f>IF(CampList[[#This Row],[Type of Accomodation]]="camp",MAX(0,CampList[[#This Row],[HH]]-SUMIF(Table_Shelter[Pcode],CampList[[#This Row],[CP_Pcode]],Table_Shelter[HH Covered])),0)</f>
        <v>0</v>
      </c>
      <c r="AG99" s="668"/>
      <c r="AH99" s="883">
        <f>MIN(CampList[[#This Row],[Shelter Gap]],CampList[[#This Row],[Land Status]])</f>
        <v>0</v>
      </c>
      <c r="AI99" s="668" t="str">
        <f ca="1">IFERROR(OFFSET(DistanceToCamp[Nearest Town],MATCH(CampList[[#This Row],[CP_Pcode]],DistanceToCamp[CP_Pcode],0)-1,0,1,1),"")</f>
        <v>Mogaung Town</v>
      </c>
      <c r="AJ99" s="936">
        <f ca="1">IFERROR(OFFSET(DistanceToCamp[distance],MATCH(CampList[[#This Row],[CP_Pcode]],DistanceToCamp[CP_Pcode],0)-1,0,1,1),"")</f>
        <v>1.815139598767344</v>
      </c>
      <c r="AK99" s="957">
        <f ca="1">IFERROR(INT(CampList[[#This Row],[Distance]]/5)+1,"")</f>
        <v>1</v>
      </c>
      <c r="AL99" s="548"/>
      <c r="AM99" s="548"/>
      <c r="AN99" s="548"/>
      <c r="BD99" s="5"/>
      <c r="BE99" s="5"/>
    </row>
    <row r="100" spans="1:57" s="678" customFormat="1" ht="15.6" customHeight="1" x14ac:dyDescent="0.25">
      <c r="A100" s="820" t="s">
        <v>502</v>
      </c>
      <c r="B100" s="216" t="s">
        <v>380</v>
      </c>
      <c r="C100" s="216" t="s">
        <v>527</v>
      </c>
      <c r="D100" s="216" t="s">
        <v>180</v>
      </c>
      <c r="E100" s="216" t="s">
        <v>528</v>
      </c>
      <c r="F100" s="216" t="s">
        <v>173</v>
      </c>
      <c r="G100" s="216" t="s">
        <v>547</v>
      </c>
      <c r="H100" s="216" t="s">
        <v>1277</v>
      </c>
      <c r="I100" s="216" t="s">
        <v>1278</v>
      </c>
      <c r="J100" s="216" t="s">
        <v>1277</v>
      </c>
      <c r="K100" s="698">
        <v>166724</v>
      </c>
      <c r="L100" s="216" t="s">
        <v>1282</v>
      </c>
      <c r="M100" s="216" t="s">
        <v>1273</v>
      </c>
      <c r="N100" s="950"/>
      <c r="O100" s="947"/>
      <c r="P100" s="745"/>
      <c r="Q100" s="681">
        <v>24</v>
      </c>
      <c r="R100" s="687">
        <v>83</v>
      </c>
      <c r="S100" s="843">
        <f>IF(CampList[[#This Row],[HH]]&gt;0,CampList[[#This Row],[Total]]/CampList[[#This Row],[HH]],"NA")</f>
        <v>3.4583333333333335</v>
      </c>
      <c r="T100" s="455" t="s">
        <v>513</v>
      </c>
      <c r="U100" s="673" t="s">
        <v>1194</v>
      </c>
      <c r="V100" s="668" t="s">
        <v>12</v>
      </c>
      <c r="W100" s="668" t="s">
        <v>858</v>
      </c>
      <c r="X100" s="905">
        <v>42125</v>
      </c>
      <c r="Y100" s="687"/>
      <c r="Z100" s="883"/>
      <c r="AA100" s="434" t="s">
        <v>843</v>
      </c>
      <c r="AB100" s="883"/>
      <c r="AC100" s="693">
        <v>42180</v>
      </c>
      <c r="AD100" s="884" t="s">
        <v>1276</v>
      </c>
      <c r="AE100" s="688"/>
      <c r="AF100" s="686">
        <f>IF(CampList[[#This Row],[Type of Accomodation]]="camp",MAX(0,CampList[[#This Row],[HH]]-SUMIF(Table_Shelter[Pcode],CampList[[#This Row],[CP_Pcode]],Table_Shelter[HH Covered])),0)</f>
        <v>0</v>
      </c>
      <c r="AG100" s="668"/>
      <c r="AH100" s="883">
        <f>MIN(CampList[[#This Row],[Shelter Gap]],CampList[[#This Row],[Land Status]])</f>
        <v>0</v>
      </c>
      <c r="AI100" s="668" t="str">
        <f ca="1">IFERROR(OFFSET(DistanceToCamp[Nearest Town],MATCH(CampList[[#This Row],[CP_Pcode]],DistanceToCamp[CP_Pcode],0)-1,0,1,1),"")</f>
        <v/>
      </c>
      <c r="AJ100" s="936" t="str">
        <f ca="1">IFERROR(OFFSET(DistanceToCamp[distance],MATCH(CampList[[#This Row],[CP_Pcode]],DistanceToCamp[CP_Pcode],0)-1,0,1,1),"")</f>
        <v/>
      </c>
      <c r="AK100" s="957" t="str">
        <f ca="1">IFERROR(INT(CampList[[#This Row],[Distance]]/5)+1,"")</f>
        <v/>
      </c>
      <c r="AL100" s="548"/>
      <c r="AM100" s="548"/>
      <c r="AN100" s="548"/>
      <c r="BD100" s="5"/>
      <c r="BE100" s="5"/>
    </row>
    <row r="101" spans="1:57" s="678" customFormat="1" ht="15.6" customHeight="1" x14ac:dyDescent="0.25">
      <c r="A101" s="820" t="s">
        <v>502</v>
      </c>
      <c r="B101" s="216" t="s">
        <v>380</v>
      </c>
      <c r="C101" s="216" t="s">
        <v>527</v>
      </c>
      <c r="D101" s="216" t="s">
        <v>180</v>
      </c>
      <c r="E101" s="216" t="s">
        <v>528</v>
      </c>
      <c r="F101" s="216" t="s">
        <v>180</v>
      </c>
      <c r="G101" s="216" t="s">
        <v>553</v>
      </c>
      <c r="H101" s="679" t="s">
        <v>1134</v>
      </c>
      <c r="I101" s="216" t="s">
        <v>1256</v>
      </c>
      <c r="J101" s="216"/>
      <c r="K101" s="216"/>
      <c r="L101" s="216" t="s">
        <v>1161</v>
      </c>
      <c r="M101" s="216" t="s">
        <v>1163</v>
      </c>
      <c r="N101" s="847">
        <v>96.366919999999993</v>
      </c>
      <c r="O101" s="681">
        <v>24.764959999999999</v>
      </c>
      <c r="P101" s="744"/>
      <c r="Q101" s="681">
        <v>15</v>
      </c>
      <c r="R101" s="687">
        <v>64</v>
      </c>
      <c r="S101" s="843">
        <f>IF(CampList[[#This Row],[HH]]&gt;0,CampList[[#This Row],[Total]]/CampList[[#This Row],[HH]],"NA")</f>
        <v>4.2666666666666666</v>
      </c>
      <c r="T101" s="455" t="s">
        <v>513</v>
      </c>
      <c r="U101" s="673" t="s">
        <v>1194</v>
      </c>
      <c r="V101" s="676" t="s">
        <v>12</v>
      </c>
      <c r="W101" s="668"/>
      <c r="X101" s="905"/>
      <c r="Y101" s="670"/>
      <c r="Z101" s="899"/>
      <c r="AA101" s="434" t="s">
        <v>844</v>
      </c>
      <c r="AB101" s="883"/>
      <c r="AC101" s="693">
        <v>42537</v>
      </c>
      <c r="AD101" s="884" t="s">
        <v>1474</v>
      </c>
      <c r="AE101" s="682"/>
      <c r="AF101" s="732">
        <f>IF(CampList[[#This Row],[Type of Accomodation]]="camp",MAX(0,CampList[[#This Row],[HH]]-SUMIF(Table_Shelter[Pcode],CampList[[#This Row],[CP_Pcode]],Table_Shelter[HH Covered])),0)</f>
        <v>0</v>
      </c>
      <c r="AG101" s="668"/>
      <c r="AH101" s="883">
        <f>MIN(CampList[[#This Row],[Shelter Gap]],CampList[[#This Row],[Land Status]])</f>
        <v>0</v>
      </c>
      <c r="AI101" s="668" t="str">
        <f ca="1">IFERROR(OFFSET(DistanceToCamp[Nearest Town],MATCH(CampList[[#This Row],[CP_Pcode]],DistanceToCamp[CP_Pcode],0)-1,0,1,1),"")</f>
        <v/>
      </c>
      <c r="AJ101" s="936" t="str">
        <f ca="1">IFERROR(OFFSET(DistanceToCamp[distance],MATCH(CampList[[#This Row],[CP_Pcode]],DistanceToCamp[CP_Pcode],0)-1,0,1,1),"")</f>
        <v/>
      </c>
      <c r="AK101" s="957" t="str">
        <f ca="1">IFERROR(INT(CampList[[#This Row],[Distance]]/5)+1,"")</f>
        <v/>
      </c>
      <c r="AL101" s="548"/>
      <c r="AM101" s="548"/>
      <c r="AN101" s="548"/>
      <c r="BD101" s="5"/>
      <c r="BE101" s="5"/>
    </row>
    <row r="102" spans="1:57" s="678" customFormat="1" ht="15.6" customHeight="1" x14ac:dyDescent="0.25">
      <c r="A102" s="820" t="s">
        <v>502</v>
      </c>
      <c r="B102" s="216" t="s">
        <v>380</v>
      </c>
      <c r="C102" s="216" t="s">
        <v>527</v>
      </c>
      <c r="D102" s="216" t="s">
        <v>180</v>
      </c>
      <c r="E102" s="216" t="s">
        <v>528</v>
      </c>
      <c r="F102" s="216" t="s">
        <v>180</v>
      </c>
      <c r="G102" s="216" t="s">
        <v>553</v>
      </c>
      <c r="H102" s="216" t="s">
        <v>1206</v>
      </c>
      <c r="I102" s="216" t="s">
        <v>1424</v>
      </c>
      <c r="J102" s="216" t="s">
        <v>1425</v>
      </c>
      <c r="K102" s="216" t="s">
        <v>1426</v>
      </c>
      <c r="L102" s="216" t="s">
        <v>1160</v>
      </c>
      <c r="M102" s="216" t="s">
        <v>1162</v>
      </c>
      <c r="N102" s="847">
        <v>96.52534</v>
      </c>
      <c r="O102" s="681">
        <v>24.996279999999999</v>
      </c>
      <c r="P102" s="744"/>
      <c r="Q102" s="681">
        <v>36</v>
      </c>
      <c r="R102" s="687">
        <v>153</v>
      </c>
      <c r="S102" s="843">
        <f>IF(CampList[[#This Row],[HH]]&gt;0,CampList[[#This Row],[Total]]/CampList[[#This Row],[HH]],"NA")</f>
        <v>4.25</v>
      </c>
      <c r="T102" s="455" t="s">
        <v>513</v>
      </c>
      <c r="U102" s="673" t="s">
        <v>1194</v>
      </c>
      <c r="V102" s="676" t="s">
        <v>12</v>
      </c>
      <c r="W102" s="668"/>
      <c r="X102" s="905"/>
      <c r="Y102" s="670"/>
      <c r="Z102" s="899"/>
      <c r="AA102" s="434" t="s">
        <v>844</v>
      </c>
      <c r="AB102" s="883"/>
      <c r="AC102" s="693">
        <v>42082</v>
      </c>
      <c r="AD102" s="883" t="s">
        <v>1242</v>
      </c>
      <c r="AE102" s="682"/>
      <c r="AF102" s="732">
        <f>IF(CampList[[#This Row],[Type of Accomodation]]="camp",MAX(0,CampList[[#This Row],[HH]]-SUMIF(Table_Shelter[Pcode],CampList[[#This Row],[CP_Pcode]],Table_Shelter[HH Covered])),0)</f>
        <v>0</v>
      </c>
      <c r="AG102" s="668"/>
      <c r="AH102" s="883">
        <f>MIN(CampList[[#This Row],[Shelter Gap]],CampList[[#This Row],[Land Status]])</f>
        <v>0</v>
      </c>
      <c r="AI102" s="668" t="str">
        <f ca="1">IFERROR(OFFSET(DistanceToCamp[Nearest Town],MATCH(CampList[[#This Row],[CP_Pcode]],DistanceToCamp[CP_Pcode],0)-1,0,1,1),"")</f>
        <v/>
      </c>
      <c r="AJ102" s="936" t="str">
        <f ca="1">IFERROR(OFFSET(DistanceToCamp[distance],MATCH(CampList[[#This Row],[CP_Pcode]],DistanceToCamp[CP_Pcode],0)-1,0,1,1),"")</f>
        <v/>
      </c>
      <c r="AK102" s="957" t="str">
        <f ca="1">IFERROR(INT(CampList[[#This Row],[Distance]]/5)+1,"")</f>
        <v/>
      </c>
      <c r="AL102" s="548"/>
      <c r="AM102" s="548"/>
      <c r="AN102" s="548"/>
      <c r="BD102" s="5"/>
      <c r="BE102" s="5"/>
    </row>
    <row r="103" spans="1:57" s="678" customFormat="1" ht="15.6" customHeight="1" x14ac:dyDescent="0.25">
      <c r="A103" s="825" t="s">
        <v>502</v>
      </c>
      <c r="B103" s="677" t="s">
        <v>380</v>
      </c>
      <c r="C103" s="677" t="s">
        <v>527</v>
      </c>
      <c r="D103" s="677" t="s">
        <v>180</v>
      </c>
      <c r="E103" s="677" t="s">
        <v>528</v>
      </c>
      <c r="F103" s="677" t="s">
        <v>180</v>
      </c>
      <c r="G103" s="677" t="s">
        <v>553</v>
      </c>
      <c r="H103" s="677" t="s">
        <v>1134</v>
      </c>
      <c r="I103" s="689" t="s">
        <v>1256</v>
      </c>
      <c r="J103" s="653" t="s">
        <v>1518</v>
      </c>
      <c r="K103" s="653" t="s">
        <v>1519</v>
      </c>
      <c r="L103" s="677" t="s">
        <v>181</v>
      </c>
      <c r="M103" s="677" t="s">
        <v>179</v>
      </c>
      <c r="N103" s="847">
        <v>96.367059999999995</v>
      </c>
      <c r="O103" s="681">
        <v>24.764800000000001</v>
      </c>
      <c r="P103" s="744"/>
      <c r="Q103" s="681">
        <v>12</v>
      </c>
      <c r="R103" s="687">
        <v>55</v>
      </c>
      <c r="S103" s="843">
        <f>IF(CampList[[#This Row],[HH]]&gt;0,CampList[[#This Row],[Total]]/CampList[[#This Row],[HH]],"NA")</f>
        <v>4.583333333333333</v>
      </c>
      <c r="T103" s="420" t="s">
        <v>513</v>
      </c>
      <c r="U103" s="455" t="s">
        <v>1194</v>
      </c>
      <c r="V103" s="420" t="s">
        <v>556</v>
      </c>
      <c r="W103" s="686" t="s">
        <v>805</v>
      </c>
      <c r="X103" s="905">
        <v>41061</v>
      </c>
      <c r="Y103" s="670"/>
      <c r="Z103" s="670" t="s">
        <v>1093</v>
      </c>
      <c r="AA103" s="681" t="s">
        <v>844</v>
      </c>
      <c r="AB103" s="907"/>
      <c r="AC103" s="693">
        <v>42537</v>
      </c>
      <c r="AD103" s="726" t="s">
        <v>1473</v>
      </c>
      <c r="AE103" s="690" t="s">
        <v>1096</v>
      </c>
      <c r="AF103" s="732">
        <f>IF(CampList[[#This Row],[Type of Accomodation]]="camp",MAX(0,CampList[[#This Row],[HH]]-SUMIF(Table_Shelter[Pcode],CampList[[#This Row],[CP_Pcode]],Table_Shelter[HH Covered])),0)</f>
        <v>0</v>
      </c>
      <c r="AG103" s="686"/>
      <c r="AH103" s="692">
        <f>MIN(CampList[[#This Row],[Shelter Gap]],CampList[[#This Row],[Land Status]])</f>
        <v>0</v>
      </c>
      <c r="AI103" s="732" t="str">
        <f ca="1">IFERROR(OFFSET(DistanceToCamp[Nearest Town],MATCH(CampList[[#This Row],[CP_Pcode]],DistanceToCamp[CP_Pcode],0)-1,0,1,1),"")</f>
        <v>Mohnyin Town</v>
      </c>
      <c r="AJ103" s="936">
        <f ca="1">IFERROR(OFFSET(DistanceToCamp[distance],MATCH(CampList[[#This Row],[CP_Pcode]],DistanceToCamp[CP_Pcode],0)-1,0,1,1),"")</f>
        <v>1.7021273757523427</v>
      </c>
      <c r="AK103" s="956">
        <f ca="1">IFERROR(INT(CampList[[#This Row],[Distance]]/5)+1,"")</f>
        <v>1</v>
      </c>
      <c r="AL103" s="548"/>
      <c r="AM103" s="548"/>
      <c r="AN103" s="548"/>
      <c r="BD103" s="5"/>
      <c r="BE103" s="5"/>
    </row>
    <row r="104" spans="1:57" s="678" customFormat="1" ht="15.6" hidden="1" customHeight="1" x14ac:dyDescent="0.25">
      <c r="A104" s="822" t="s">
        <v>845</v>
      </c>
      <c r="B104" s="774" t="s">
        <v>380</v>
      </c>
      <c r="C104" s="774" t="s">
        <v>527</v>
      </c>
      <c r="D104" s="774" t="s">
        <v>5</v>
      </c>
      <c r="E104" s="774" t="s">
        <v>531</v>
      </c>
      <c r="F104" s="774" t="s">
        <v>151</v>
      </c>
      <c r="G104" s="774" t="s">
        <v>541</v>
      </c>
      <c r="H104" s="775" t="s">
        <v>874</v>
      </c>
      <c r="I104" s="775" t="s">
        <v>875</v>
      </c>
      <c r="J104" s="775" t="s">
        <v>873</v>
      </c>
      <c r="K104" s="775">
        <v>167391</v>
      </c>
      <c r="L104" s="774" t="s">
        <v>878</v>
      </c>
      <c r="M104" s="774" t="s">
        <v>872</v>
      </c>
      <c r="N104" s="729">
        <v>97.710989999999995</v>
      </c>
      <c r="O104" s="848">
        <v>24.181640000000002</v>
      </c>
      <c r="P104" s="670"/>
      <c r="Q104" s="776">
        <v>0</v>
      </c>
      <c r="R104" s="777">
        <v>0</v>
      </c>
      <c r="S104" s="845" t="str">
        <f>IF(CampList[[#This Row],[HH]]&gt;0,CampList[[#This Row],[Total]]/CampList[[#This Row],[HH]],"NA")</f>
        <v>NA</v>
      </c>
      <c r="T104" s="778" t="s">
        <v>513</v>
      </c>
      <c r="U104" s="779" t="s">
        <v>1194</v>
      </c>
      <c r="V104" s="773" t="s">
        <v>556</v>
      </c>
      <c r="W104" s="779"/>
      <c r="X104" s="892"/>
      <c r="Y104" s="893"/>
      <c r="Z104" s="894"/>
      <c r="AA104" s="786" t="s">
        <v>844</v>
      </c>
      <c r="AB104" s="895"/>
      <c r="AC104" s="792">
        <v>41701</v>
      </c>
      <c r="AD104" s="897" t="s">
        <v>1015</v>
      </c>
      <c r="AE104" s="780" t="s">
        <v>1010</v>
      </c>
      <c r="AF104" s="814">
        <f>IF(CampList[[#This Row],[Type of Accomodation]]="camp",MAX(0,CampList[[#This Row],[HH]]-SUMIF(Table_Shelter[Pcode],CampList[[#This Row],[CP_Pcode]],Table_Shelter[HH Covered])),0)</f>
        <v>0</v>
      </c>
      <c r="AG104" s="773"/>
      <c r="AH104" s="895">
        <f>MIN(CampList[[#This Row],[Shelter Gap]],CampList[[#This Row],[Land Status]])</f>
        <v>0</v>
      </c>
      <c r="AI104" s="773" t="str">
        <f ca="1">IFERROR(OFFSET(DistanceToCamp[Nearest Town],MATCH(CampList[[#This Row],[CP_Pcode]],DistanceToCamp[CP_Pcode],0)-1,0,1,1),"")</f>
        <v/>
      </c>
      <c r="AJ104" s="938" t="str">
        <f ca="1">IFERROR(OFFSET(DistanceToCamp[distance],MATCH(CampList[[#This Row],[CP_Pcode]],DistanceToCamp[CP_Pcode],0)-1,0,1,1),"")</f>
        <v/>
      </c>
      <c r="AK104" s="959" t="str">
        <f ca="1">IFERROR(INT(CampList[[#This Row],[Distance]]/5)+1,"")</f>
        <v/>
      </c>
      <c r="AL104" s="548"/>
      <c r="AM104" s="548"/>
      <c r="AN104" s="548"/>
      <c r="BD104" s="5"/>
      <c r="BE104" s="5"/>
    </row>
    <row r="105" spans="1:57" s="678" customFormat="1" ht="15.6" hidden="1" customHeight="1" x14ac:dyDescent="0.25">
      <c r="A105" s="823" t="s">
        <v>845</v>
      </c>
      <c r="B105" s="216" t="s">
        <v>380</v>
      </c>
      <c r="C105" s="216" t="s">
        <v>527</v>
      </c>
      <c r="D105" s="216" t="s">
        <v>5</v>
      </c>
      <c r="E105" s="216" t="s">
        <v>531</v>
      </c>
      <c r="F105" s="216" t="s">
        <v>151</v>
      </c>
      <c r="G105" s="216" t="s">
        <v>541</v>
      </c>
      <c r="H105" s="669" t="s">
        <v>874</v>
      </c>
      <c r="I105" s="669" t="s">
        <v>875</v>
      </c>
      <c r="J105" s="669" t="s">
        <v>873</v>
      </c>
      <c r="K105" s="669">
        <v>167391</v>
      </c>
      <c r="L105" s="216" t="s">
        <v>877</v>
      </c>
      <c r="M105" s="216" t="s">
        <v>876</v>
      </c>
      <c r="N105" s="729">
        <v>97.710989999999995</v>
      </c>
      <c r="O105" s="848">
        <v>24.181640000000002</v>
      </c>
      <c r="P105" s="670"/>
      <c r="Q105" s="671">
        <v>0</v>
      </c>
      <c r="R105" s="672">
        <v>0</v>
      </c>
      <c r="S105" s="843" t="str">
        <f>IF(CampList[[#This Row],[HH]]&gt;0,CampList[[#This Row],[Total]]/CampList[[#This Row],[HH]],"NA")</f>
        <v>NA</v>
      </c>
      <c r="T105" s="455" t="s">
        <v>513</v>
      </c>
      <c r="U105" s="673" t="s">
        <v>1194</v>
      </c>
      <c r="V105" s="668" t="s">
        <v>556</v>
      </c>
      <c r="W105" s="673"/>
      <c r="X105" s="898"/>
      <c r="Y105" s="670"/>
      <c r="Z105" s="899"/>
      <c r="AA105" s="683" t="s">
        <v>844</v>
      </c>
      <c r="AB105" s="883"/>
      <c r="AC105" s="693">
        <v>41701</v>
      </c>
      <c r="AD105" s="885" t="s">
        <v>1015</v>
      </c>
      <c r="AE105" s="674" t="s">
        <v>1010</v>
      </c>
      <c r="AF105" s="686">
        <f>IF(CampList[[#This Row],[Type of Accomodation]]="camp",MAX(0,CampList[[#This Row],[HH]]-SUMIF(Table_Shelter[Pcode],CampList[[#This Row],[CP_Pcode]],Table_Shelter[HH Covered])),0)</f>
        <v>0</v>
      </c>
      <c r="AG105" s="668"/>
      <c r="AH105" s="883">
        <f>MIN(CampList[[#This Row],[Shelter Gap]],CampList[[#This Row],[Land Status]])</f>
        <v>0</v>
      </c>
      <c r="AI105" s="668" t="str">
        <f ca="1">IFERROR(OFFSET(DistanceToCamp[Nearest Town],MATCH(CampList[[#This Row],[CP_Pcode]],DistanceToCamp[CP_Pcode],0)-1,0,1,1),"")</f>
        <v/>
      </c>
      <c r="AJ105" s="936" t="str">
        <f ca="1">IFERROR(OFFSET(DistanceToCamp[distance],MATCH(CampList[[#This Row],[CP_Pcode]],DistanceToCamp[CP_Pcode],0)-1,0,1,1),"")</f>
        <v/>
      </c>
      <c r="AK105" s="960" t="str">
        <f ca="1">IFERROR(INT(CampList[[#This Row],[Distance]]/5)+1,"")</f>
        <v/>
      </c>
      <c r="AL105" s="548"/>
      <c r="AM105" s="548"/>
      <c r="AN105" s="548"/>
      <c r="BD105" s="5"/>
      <c r="BE105" s="5"/>
    </row>
    <row r="106" spans="1:57" s="678" customFormat="1" ht="15.6" customHeight="1" x14ac:dyDescent="0.25">
      <c r="A106" s="819" t="s">
        <v>502</v>
      </c>
      <c r="B106" s="701" t="s">
        <v>380</v>
      </c>
      <c r="C106" s="701" t="s">
        <v>527</v>
      </c>
      <c r="D106" s="701" t="s">
        <v>180</v>
      </c>
      <c r="E106" s="701" t="s">
        <v>528</v>
      </c>
      <c r="F106" s="701" t="s">
        <v>180</v>
      </c>
      <c r="G106" s="701" t="s">
        <v>553</v>
      </c>
      <c r="H106" s="702" t="s">
        <v>618</v>
      </c>
      <c r="I106" s="702" t="s">
        <v>619</v>
      </c>
      <c r="J106" s="702" t="s">
        <v>937</v>
      </c>
      <c r="K106" s="702"/>
      <c r="L106" s="525" t="s">
        <v>287</v>
      </c>
      <c r="M106" s="701" t="s">
        <v>286</v>
      </c>
      <c r="N106" s="729">
        <v>96.364949999999993</v>
      </c>
      <c r="O106" s="729">
        <v>24.998349999999999</v>
      </c>
      <c r="P106" s="680"/>
      <c r="Q106" s="754">
        <v>19</v>
      </c>
      <c r="R106" s="754">
        <v>100</v>
      </c>
      <c r="S106" s="841">
        <f>IF(CampList[[#This Row],[HH]]&gt;0,CampList[[#This Row],[Total]]/CampList[[#This Row],[HH]],"NA")</f>
        <v>5.2631578947368425</v>
      </c>
      <c r="T106" s="750" t="s">
        <v>513</v>
      </c>
      <c r="U106" s="703" t="s">
        <v>1194</v>
      </c>
      <c r="V106" s="700" t="s">
        <v>556</v>
      </c>
      <c r="W106" s="703" t="s">
        <v>858</v>
      </c>
      <c r="X106" s="906">
        <v>40940</v>
      </c>
      <c r="Y106" s="916">
        <v>1</v>
      </c>
      <c r="Z106" s="906" t="s">
        <v>462</v>
      </c>
      <c r="AA106" s="762" t="s">
        <v>844</v>
      </c>
      <c r="AB106" s="878"/>
      <c r="AC106" s="901">
        <v>42536</v>
      </c>
      <c r="AD106" s="922" t="s">
        <v>1452</v>
      </c>
      <c r="AE106" s="704" t="s">
        <v>1096</v>
      </c>
      <c r="AF106" s="861">
        <f>IF(CampList[[#This Row],[Type of Accomodation]]="camp",MAX(0,CampList[[#This Row],[HH]]-SUMIF(Table_Shelter[Pcode],CampList[[#This Row],[CP_Pcode]],Table_Shelter[HH Covered])),0)</f>
        <v>0</v>
      </c>
      <c r="AG106" s="700"/>
      <c r="AH106" s="878">
        <f>MIN(CampList[[#This Row],[Shelter Gap]],CampList[[#This Row],[Land Status]])</f>
        <v>0</v>
      </c>
      <c r="AI106" s="700" t="str">
        <f ca="1">IFERROR(OFFSET(DistanceToCamp[Nearest Town],MATCH(CampList[[#This Row],[CP_Pcode]],DistanceToCamp[CP_Pcode],0)-1,0,1,1),"")</f>
        <v>Hopin Town</v>
      </c>
      <c r="AJ106" s="935">
        <f ca="1">IFERROR(OFFSET(DistanceToCamp[distance],MATCH(CampList[[#This Row],[CP_Pcode]],DistanceToCamp[CP_Pcode],0)-1,0,1,1),"")</f>
        <v>16.668825701583572</v>
      </c>
      <c r="AK106" s="955">
        <f ca="1">IFERROR(INT(CampList[[#This Row],[Distance]]/5)+1,"")</f>
        <v>4</v>
      </c>
      <c r="AL106" s="548"/>
      <c r="AM106" s="548"/>
      <c r="AN106" s="548"/>
      <c r="BD106" s="5"/>
      <c r="BE106" s="5"/>
    </row>
    <row r="107" spans="1:57" s="678" customFormat="1" ht="15.6" customHeight="1" x14ac:dyDescent="0.25">
      <c r="A107" s="825" t="s">
        <v>502</v>
      </c>
      <c r="B107" s="216" t="s">
        <v>380</v>
      </c>
      <c r="C107" s="216" t="s">
        <v>527</v>
      </c>
      <c r="D107" s="216" t="s">
        <v>5</v>
      </c>
      <c r="E107" s="216" t="s">
        <v>531</v>
      </c>
      <c r="F107" s="970" t="s">
        <v>185</v>
      </c>
      <c r="G107" s="970" t="s">
        <v>535</v>
      </c>
      <c r="H107" s="970" t="s">
        <v>1208</v>
      </c>
      <c r="I107" s="970" t="s">
        <v>1318</v>
      </c>
      <c r="J107" s="677" t="s">
        <v>718</v>
      </c>
      <c r="K107" s="679" t="s">
        <v>1423</v>
      </c>
      <c r="L107" s="216" t="s">
        <v>1319</v>
      </c>
      <c r="M107" s="216" t="s">
        <v>1320</v>
      </c>
      <c r="N107" s="979">
        <v>97.461271999999994</v>
      </c>
      <c r="O107" s="691">
        <v>24.613976000000001</v>
      </c>
      <c r="P107" s="744"/>
      <c r="Q107" s="692"/>
      <c r="R107" s="687">
        <v>49</v>
      </c>
      <c r="S107" s="843" t="str">
        <f>IF(CampList[[#This Row],[HH]]&gt;0,CampList[[#This Row],[Total]]/CampList[[#This Row],[HH]],"NA")</f>
        <v>NA</v>
      </c>
      <c r="T107" s="455" t="s">
        <v>513</v>
      </c>
      <c r="U107" s="455" t="s">
        <v>1194</v>
      </c>
      <c r="V107" s="455" t="s">
        <v>989</v>
      </c>
      <c r="W107" s="668" t="s">
        <v>858</v>
      </c>
      <c r="X107" s="925"/>
      <c r="Y107" s="882"/>
      <c r="Z107" s="881"/>
      <c r="AA107" s="433"/>
      <c r="AB107" s="883"/>
      <c r="AC107" s="693">
        <v>42317</v>
      </c>
      <c r="AD107" s="884" t="s">
        <v>1328</v>
      </c>
      <c r="AE107" s="690"/>
      <c r="AF107" s="732">
        <f>IF(CampList[[#This Row],[Type of Accomodation]]="camp",MAX(0,CampList[[#This Row],[HH]]-SUMIF(Table_Shelter[Pcode],CampList[[#This Row],[CP_Pcode]],Table_Shelter[HH Covered])),0)</f>
        <v>0</v>
      </c>
      <c r="AG107" s="668"/>
      <c r="AH107" s="692">
        <f>MIN(CampList[[#This Row],[Shelter Gap]],CampList[[#This Row],[Land Status]])</f>
        <v>0</v>
      </c>
      <c r="AI107" s="732" t="str">
        <f ca="1">IFERROR(OFFSET(DistanceToCamp[Nearest Town],MATCH(CampList[[#This Row],[CP_Pcode]],DistanceToCamp[CP_Pcode],0)-1,0,1,1),"")</f>
        <v/>
      </c>
      <c r="AJ107" s="936" t="str">
        <f ca="1">IFERROR(OFFSET(DistanceToCamp[distance],MATCH(CampList[[#This Row],[CP_Pcode]],DistanceToCamp[CP_Pcode],0)-1,0,1,1),"")</f>
        <v/>
      </c>
      <c r="AK107" s="956" t="str">
        <f ca="1">IFERROR(INT(CampList[[#This Row],[Distance]]/5)+1,"")</f>
        <v/>
      </c>
      <c r="AL107" s="548"/>
      <c r="AM107" s="548"/>
      <c r="AN107" s="548"/>
      <c r="BD107" s="5"/>
      <c r="BE107" s="5"/>
    </row>
    <row r="108" spans="1:57" s="678" customFormat="1" ht="15.6" customHeight="1" x14ac:dyDescent="0.25">
      <c r="A108" s="820" t="s">
        <v>502</v>
      </c>
      <c r="B108" s="216" t="s">
        <v>380</v>
      </c>
      <c r="C108" s="216" t="s">
        <v>527</v>
      </c>
      <c r="D108" s="216" t="s">
        <v>5</v>
      </c>
      <c r="E108" s="216" t="s">
        <v>531</v>
      </c>
      <c r="F108" s="216" t="s">
        <v>185</v>
      </c>
      <c r="G108" s="216" t="s">
        <v>535</v>
      </c>
      <c r="H108" s="679" t="s">
        <v>664</v>
      </c>
      <c r="I108" s="679" t="s">
        <v>665</v>
      </c>
      <c r="J108" s="216"/>
      <c r="K108" s="216"/>
      <c r="L108" s="435" t="s">
        <v>12</v>
      </c>
      <c r="M108" s="216" t="s">
        <v>392</v>
      </c>
      <c r="N108" s="842">
        <v>97.348405</v>
      </c>
      <c r="O108" s="729">
        <v>24.251232000000002</v>
      </c>
      <c r="P108" s="744"/>
      <c r="Q108" s="671">
        <v>320</v>
      </c>
      <c r="R108" s="672">
        <v>1125</v>
      </c>
      <c r="S108" s="843">
        <f>IF(CampList[[#This Row],[HH]]&gt;0,CampList[[#This Row],[Total]]/CampList[[#This Row],[HH]],"NA")</f>
        <v>3.515625</v>
      </c>
      <c r="T108" s="455" t="s">
        <v>513</v>
      </c>
      <c r="U108" s="673" t="s">
        <v>1194</v>
      </c>
      <c r="V108" s="676" t="s">
        <v>12</v>
      </c>
      <c r="W108" s="668" t="s">
        <v>805</v>
      </c>
      <c r="X108" s="898"/>
      <c r="Y108" s="670"/>
      <c r="Z108" s="899"/>
      <c r="AA108" s="675" t="s">
        <v>843</v>
      </c>
      <c r="AB108" s="883"/>
      <c r="AC108" s="914">
        <v>42317</v>
      </c>
      <c r="AD108" s="885" t="s">
        <v>1326</v>
      </c>
      <c r="AE108" s="674" t="s">
        <v>1096</v>
      </c>
      <c r="AF108" s="686">
        <f>IF(CampList[[#This Row],[Type of Accomodation]]="camp",MAX(0,CampList[[#This Row],[HH]]-SUMIF(Table_Shelter[Pcode],CampList[[#This Row],[CP_Pcode]],Table_Shelter[HH Covered])),0)</f>
        <v>0</v>
      </c>
      <c r="AG108" s="668"/>
      <c r="AH108" s="883">
        <f>MIN(CampList[[#This Row],[Shelter Gap]],CampList[[#This Row],[Land Status]])</f>
        <v>0</v>
      </c>
      <c r="AI108" s="668" t="str">
        <f ca="1">IFERROR(OFFSET(DistanceToCamp[Nearest Town],MATCH(CampList[[#This Row],[CP_Pcode]],DistanceToCamp[CP_Pcode],0)-1,0,1,1),"")</f>
        <v>Momauk Town</v>
      </c>
      <c r="AJ108" s="936">
        <f ca="1">IFERROR(OFFSET(DistanceToCamp[distance],MATCH(CampList[[#This Row],[CP_Pcode]],DistanceToCamp[CP_Pcode],0)-1,0,1,1),"")</f>
        <v>0.60629049139006752</v>
      </c>
      <c r="AK108" s="957">
        <f ca="1">IFERROR(INT(CampList[[#This Row],[Distance]]/5)+1,"")</f>
        <v>1</v>
      </c>
      <c r="AL108" s="548"/>
      <c r="AM108" s="548"/>
      <c r="AN108" s="548"/>
      <c r="BD108" s="5"/>
      <c r="BE108" s="5"/>
    </row>
    <row r="109" spans="1:57" s="678" customFormat="1" ht="15.6" customHeight="1" x14ac:dyDescent="0.25">
      <c r="A109" s="820" t="s">
        <v>502</v>
      </c>
      <c r="B109" s="216" t="s">
        <v>380</v>
      </c>
      <c r="C109" s="216" t="s">
        <v>527</v>
      </c>
      <c r="D109" s="216" t="s">
        <v>5</v>
      </c>
      <c r="E109" s="216" t="s">
        <v>531</v>
      </c>
      <c r="F109" s="216" t="s">
        <v>185</v>
      </c>
      <c r="G109" s="216" t="s">
        <v>535</v>
      </c>
      <c r="H109" s="216" t="s">
        <v>1079</v>
      </c>
      <c r="I109" s="216" t="s">
        <v>1078</v>
      </c>
      <c r="J109" s="216" t="s">
        <v>1079</v>
      </c>
      <c r="K109" s="216">
        <v>167060</v>
      </c>
      <c r="L109" s="435" t="s">
        <v>523</v>
      </c>
      <c r="M109" s="216" t="s">
        <v>524</v>
      </c>
      <c r="N109" s="978">
        <v>97.343406999999999</v>
      </c>
      <c r="O109" s="729">
        <v>24.377054000000001</v>
      </c>
      <c r="P109" s="744"/>
      <c r="Q109" s="671">
        <v>4</v>
      </c>
      <c r="R109" s="672">
        <v>26</v>
      </c>
      <c r="S109" s="843">
        <f>IF(CampList[[#This Row],[HH]]&gt;0,CampList[[#This Row],[Total]]/CampList[[#This Row],[HH]],"NA")</f>
        <v>6.5</v>
      </c>
      <c r="T109" s="455" t="s">
        <v>513</v>
      </c>
      <c r="U109" s="673" t="s">
        <v>1194</v>
      </c>
      <c r="V109" s="668" t="s">
        <v>12</v>
      </c>
      <c r="W109" s="673" t="s">
        <v>858</v>
      </c>
      <c r="X109" s="898"/>
      <c r="Y109" s="670"/>
      <c r="Z109" s="899"/>
      <c r="AA109" s="675" t="s">
        <v>843</v>
      </c>
      <c r="AB109" s="883"/>
      <c r="AC109" s="693">
        <v>41701</v>
      </c>
      <c r="AD109" s="885" t="s">
        <v>1014</v>
      </c>
      <c r="AE109" s="674" t="s">
        <v>1096</v>
      </c>
      <c r="AF109" s="686">
        <f>IF(CampList[[#This Row],[Type of Accomodation]]="camp",MAX(0,CampList[[#This Row],[HH]]-SUMIF(Table_Shelter[Pcode],CampList[[#This Row],[CP_Pcode]],Table_Shelter[HH Covered])),0)</f>
        <v>0</v>
      </c>
      <c r="AG109" s="668"/>
      <c r="AH109" s="883">
        <f>MIN(CampList[[#This Row],[Shelter Gap]],CampList[[#This Row],[Land Status]])</f>
        <v>0</v>
      </c>
      <c r="AI109" s="668" t="str">
        <f ca="1">IFERROR(OFFSET(DistanceToCamp[Nearest Town],MATCH(CampList[[#This Row],[CP_Pcode]],DistanceToCamp[CP_Pcode],0)-1,0,1,1),"")</f>
        <v>Momauk Town</v>
      </c>
      <c r="AJ109" s="936">
        <f ca="1">IFERROR(OFFSET(DistanceToCamp[distance],MATCH(CampList[[#This Row],[CP_Pcode]],DistanceToCamp[CP_Pcode],0)-1,0,1,1),"")</f>
        <v>13.446032768350749</v>
      </c>
      <c r="AK109" s="957">
        <f ca="1">IFERROR(INT(CampList[[#This Row],[Distance]]/5)+1,"")</f>
        <v>3</v>
      </c>
      <c r="AL109" s="548"/>
      <c r="AM109" s="548"/>
      <c r="AN109" s="548"/>
      <c r="BD109" s="5"/>
      <c r="BE109" s="5"/>
    </row>
    <row r="110" spans="1:57" s="678" customFormat="1" ht="15.6" customHeight="1" x14ac:dyDescent="0.25">
      <c r="A110" s="825" t="s">
        <v>502</v>
      </c>
      <c r="B110" s="677" t="s">
        <v>380</v>
      </c>
      <c r="C110" s="677" t="s">
        <v>527</v>
      </c>
      <c r="D110" s="677" t="s">
        <v>5</v>
      </c>
      <c r="E110" s="677" t="s">
        <v>531</v>
      </c>
      <c r="F110" s="677" t="s">
        <v>185</v>
      </c>
      <c r="G110" s="677" t="s">
        <v>535</v>
      </c>
      <c r="H110" s="677" t="s">
        <v>660</v>
      </c>
      <c r="I110" s="689" t="s">
        <v>661</v>
      </c>
      <c r="J110" s="677" t="s">
        <v>660</v>
      </c>
      <c r="K110" s="677">
        <v>167009</v>
      </c>
      <c r="L110" s="677" t="s">
        <v>202</v>
      </c>
      <c r="M110" s="677" t="s">
        <v>201</v>
      </c>
      <c r="N110" s="847">
        <v>97.325019999999995</v>
      </c>
      <c r="O110" s="681">
        <v>24.245100000000001</v>
      </c>
      <c r="P110" s="744"/>
      <c r="Q110" s="681">
        <v>261</v>
      </c>
      <c r="R110" s="687">
        <v>1155</v>
      </c>
      <c r="S110" s="843">
        <f>IF(CampList[[#This Row],[HH]]&gt;0,CampList[[#This Row],[Total]]/CampList[[#This Row],[HH]],"NA")</f>
        <v>4.4252873563218387</v>
      </c>
      <c r="T110" s="420" t="s">
        <v>513</v>
      </c>
      <c r="U110" s="455" t="s">
        <v>1194</v>
      </c>
      <c r="V110" s="420" t="s">
        <v>556</v>
      </c>
      <c r="W110" s="686" t="s">
        <v>805</v>
      </c>
      <c r="X110" s="905">
        <v>41030</v>
      </c>
      <c r="Y110" s="670">
        <v>2</v>
      </c>
      <c r="Z110" s="670" t="s">
        <v>1092</v>
      </c>
      <c r="AA110" s="681" t="s">
        <v>844</v>
      </c>
      <c r="AB110" s="907"/>
      <c r="AC110" s="693">
        <v>42397</v>
      </c>
      <c r="AD110" s="726" t="s">
        <v>1339</v>
      </c>
      <c r="AE110" s="690" t="s">
        <v>1096</v>
      </c>
      <c r="AF110" s="732">
        <f>IF(CampList[[#This Row],[Type of Accomodation]]="camp",MAX(0,CampList[[#This Row],[HH]]-SUMIF(Table_Shelter[Pcode],CampList[[#This Row],[CP_Pcode]],Table_Shelter[HH Covered])),0)</f>
        <v>108</v>
      </c>
      <c r="AG110" s="686"/>
      <c r="AH110" s="692">
        <f>MIN(CampList[[#This Row],[Shelter Gap]],CampList[[#This Row],[Land Status]])</f>
        <v>108</v>
      </c>
      <c r="AI110" s="732" t="str">
        <f ca="1">IFERROR(OFFSET(DistanceToCamp[Nearest Town],MATCH(CampList[[#This Row],[CP_Pcode]],DistanceToCamp[CP_Pcode],0)-1,0,1,1),"")</f>
        <v>Momauk Town</v>
      </c>
      <c r="AJ110" s="936">
        <f ca="1">IFERROR(OFFSET(DistanceToCamp[distance],MATCH(CampList[[#This Row],[CP_Pcode]],DistanceToCamp[CP_Pcode],0)-1,0,1,1),"")</f>
        <v>2.4411071835305544</v>
      </c>
      <c r="AK110" s="956">
        <f ca="1">IFERROR(INT(CampList[[#This Row],[Distance]]/5)+1,"")</f>
        <v>1</v>
      </c>
      <c r="AL110" s="548"/>
      <c r="AM110" s="548"/>
      <c r="AN110" s="548"/>
      <c r="BD110" s="5"/>
      <c r="BE110" s="5"/>
    </row>
    <row r="111" spans="1:57" s="678" customFormat="1" ht="15.6" customHeight="1" x14ac:dyDescent="0.25">
      <c r="A111" s="965" t="s">
        <v>502</v>
      </c>
      <c r="B111" s="969" t="s">
        <v>380</v>
      </c>
      <c r="C111" s="969" t="s">
        <v>527</v>
      </c>
      <c r="D111" s="969" t="s">
        <v>5</v>
      </c>
      <c r="E111" s="969" t="s">
        <v>531</v>
      </c>
      <c r="F111" s="969" t="s">
        <v>185</v>
      </c>
      <c r="G111" s="969" t="s">
        <v>535</v>
      </c>
      <c r="H111" s="969" t="s">
        <v>748</v>
      </c>
      <c r="I111" s="974" t="s">
        <v>749</v>
      </c>
      <c r="J111" s="969" t="s">
        <v>750</v>
      </c>
      <c r="K111" s="969">
        <v>167138</v>
      </c>
      <c r="L111" s="969" t="s">
        <v>215</v>
      </c>
      <c r="M111" s="969" t="s">
        <v>214</v>
      </c>
      <c r="N111" s="681">
        <v>97.669366999999994</v>
      </c>
      <c r="O111" s="681">
        <v>24.378167000000001</v>
      </c>
      <c r="P111" s="670">
        <v>1149</v>
      </c>
      <c r="Q111" s="795">
        <v>375</v>
      </c>
      <c r="R111" s="796">
        <v>1598</v>
      </c>
      <c r="S111" s="844">
        <f>IF(CampList[[#This Row],[HH]]&gt;0,CampList[[#This Row],[Total]]/CampList[[#This Row],[HH]],"NA")</f>
        <v>4.261333333333333</v>
      </c>
      <c r="T111" s="983" t="s">
        <v>515</v>
      </c>
      <c r="U111" s="768" t="s">
        <v>1194</v>
      </c>
      <c r="V111" s="983" t="s">
        <v>556</v>
      </c>
      <c r="W111" s="860" t="s">
        <v>858</v>
      </c>
      <c r="X111" s="911">
        <v>41000</v>
      </c>
      <c r="Y111" s="887">
        <v>2</v>
      </c>
      <c r="Z111" s="887" t="s">
        <v>1092</v>
      </c>
      <c r="AA111" s="795" t="s">
        <v>844</v>
      </c>
      <c r="AB111" s="988"/>
      <c r="AC111" s="912">
        <v>42416</v>
      </c>
      <c r="AD111" s="993" t="s">
        <v>1348</v>
      </c>
      <c r="AE111" s="995" t="s">
        <v>1080</v>
      </c>
      <c r="AF111" s="862">
        <f>IF(CampList[[#This Row],[Type of Accomodation]]="camp",MAX(0,CampList[[#This Row],[HH]]-SUMIF(Table_Shelter[Pcode],CampList[[#This Row],[CP_Pcode]],Table_Shelter[HH Covered])),0)</f>
        <v>0</v>
      </c>
      <c r="AG111" s="860"/>
      <c r="AH111" s="809">
        <f>MIN(CampList[[#This Row],[Shelter Gap]],CampList[[#This Row],[Land Status]])</f>
        <v>0</v>
      </c>
      <c r="AI111" s="862" t="str">
        <f ca="1">IFERROR(OFFSET(DistanceToCamp[Nearest Town],MATCH(CampList[[#This Row],[CP_Pcode]],DistanceToCamp[CP_Pcode],0)-1,0,1,1),"")</f>
        <v>Lwegel Town</v>
      </c>
      <c r="AJ111" s="937">
        <f ca="1">IFERROR(OFFSET(DistanceToCamp[distance],MATCH(CampList[[#This Row],[CP_Pcode]],DistanceToCamp[CP_Pcode],0)-1,0,1,1),"")</f>
        <v>20.558236360788097</v>
      </c>
      <c r="AK111" s="998">
        <f ca="1">IFERROR(INT(CampList[[#This Row],[Distance]]/5)+1,"")</f>
        <v>5</v>
      </c>
      <c r="AL111" s="548"/>
      <c r="AM111" s="548"/>
      <c r="AN111" s="548"/>
      <c r="BD111" s="5"/>
      <c r="BE111" s="5"/>
    </row>
    <row r="112" spans="1:57" s="678" customFormat="1" ht="15.6" customHeight="1" x14ac:dyDescent="0.25">
      <c r="A112" s="825" t="s">
        <v>502</v>
      </c>
      <c r="B112" s="677" t="s">
        <v>380</v>
      </c>
      <c r="C112" s="677" t="s">
        <v>527</v>
      </c>
      <c r="D112" s="677" t="s">
        <v>5</v>
      </c>
      <c r="E112" s="677" t="s">
        <v>531</v>
      </c>
      <c r="F112" s="677" t="s">
        <v>185</v>
      </c>
      <c r="G112" s="677" t="s">
        <v>535</v>
      </c>
      <c r="H112" s="677" t="s">
        <v>736</v>
      </c>
      <c r="I112" s="689" t="s">
        <v>737</v>
      </c>
      <c r="J112" s="677" t="s">
        <v>738</v>
      </c>
      <c r="K112" s="677">
        <v>167223</v>
      </c>
      <c r="L112" s="677" t="s">
        <v>194</v>
      </c>
      <c r="M112" s="677" t="s">
        <v>193</v>
      </c>
      <c r="N112" s="847">
        <v>97.573126000000002</v>
      </c>
      <c r="O112" s="681">
        <v>24.661905999999998</v>
      </c>
      <c r="P112" s="744">
        <v>415</v>
      </c>
      <c r="Q112" s="681">
        <v>586</v>
      </c>
      <c r="R112" s="687">
        <v>2829</v>
      </c>
      <c r="S112" s="843">
        <f>IF(CampList[[#This Row],[HH]]&gt;0,CampList[[#This Row],[Total]]/CampList[[#This Row],[HH]],"NA")</f>
        <v>4.8276450511945397</v>
      </c>
      <c r="T112" s="420" t="s">
        <v>515</v>
      </c>
      <c r="U112" s="455" t="s">
        <v>1194</v>
      </c>
      <c r="V112" s="420" t="s">
        <v>556</v>
      </c>
      <c r="W112" s="686" t="s">
        <v>858</v>
      </c>
      <c r="X112" s="905">
        <v>40695</v>
      </c>
      <c r="Y112" s="670">
        <v>5</v>
      </c>
      <c r="Z112" s="670" t="s">
        <v>1093</v>
      </c>
      <c r="AA112" s="681" t="s">
        <v>574</v>
      </c>
      <c r="AB112" s="907"/>
      <c r="AC112" s="693">
        <v>42537</v>
      </c>
      <c r="AD112" s="726" t="s">
        <v>1485</v>
      </c>
      <c r="AE112" s="690" t="s">
        <v>1081</v>
      </c>
      <c r="AF112" s="732">
        <f>IF(CampList[[#This Row],[Type of Accomodation]]="camp",MAX(0,CampList[[#This Row],[HH]]-SUMIF(Table_Shelter[Pcode],CampList[[#This Row],[CP_Pcode]],Table_Shelter[HH Covered])),0)</f>
        <v>0</v>
      </c>
      <c r="AG112" s="686"/>
      <c r="AH112" s="692">
        <f>MIN(CampList[[#This Row],[Shelter Gap]],CampList[[#This Row],[Land Status]])</f>
        <v>0</v>
      </c>
      <c r="AI112" s="732" t="str">
        <f ca="1">IFERROR(OFFSET(DistanceToCamp[Nearest Town],MATCH(CampList[[#This Row],[CP_Pcode]],DistanceToCamp[CP_Pcode],0)-1,0,1,1),"")</f>
        <v>Laiza town</v>
      </c>
      <c r="AJ112" s="936">
        <f ca="1">IFERROR(OFFSET(DistanceToCamp[distance],MATCH(CampList[[#This Row],[CP_Pcode]],DistanceToCamp[CP_Pcode],0)-1,0,1,1),"")</f>
        <v>10.953347686331073</v>
      </c>
      <c r="AK112" s="956">
        <f ca="1">IFERROR(INT(CampList[[#This Row],[Distance]]/5)+1,"")</f>
        <v>3</v>
      </c>
      <c r="AL112" s="548"/>
      <c r="AM112" s="548"/>
      <c r="AN112" s="548"/>
      <c r="BD112" s="5"/>
      <c r="BE112" s="5"/>
    </row>
    <row r="113" spans="1:57" s="678" customFormat="1" ht="15.6" hidden="1" customHeight="1" x14ac:dyDescent="0.25">
      <c r="A113" s="822" t="s">
        <v>845</v>
      </c>
      <c r="B113" s="774" t="s">
        <v>380</v>
      </c>
      <c r="C113" s="774" t="s">
        <v>527</v>
      </c>
      <c r="D113" s="774" t="s">
        <v>237</v>
      </c>
      <c r="E113" s="774" t="s">
        <v>533</v>
      </c>
      <c r="F113" s="774" t="s">
        <v>310</v>
      </c>
      <c r="G113" s="774" t="s">
        <v>534</v>
      </c>
      <c r="H113" s="775" t="s">
        <v>729</v>
      </c>
      <c r="I113" s="775" t="s">
        <v>730</v>
      </c>
      <c r="J113" s="775" t="s">
        <v>729</v>
      </c>
      <c r="K113" s="775">
        <v>165772</v>
      </c>
      <c r="L113" s="774" t="s">
        <v>332</v>
      </c>
      <c r="M113" s="774" t="s">
        <v>331</v>
      </c>
      <c r="N113" s="729">
        <v>97.550267000000005</v>
      </c>
      <c r="O113" s="729">
        <v>24.747966999999999</v>
      </c>
      <c r="P113" s="670"/>
      <c r="Q113" s="776">
        <v>0</v>
      </c>
      <c r="R113" s="777">
        <v>0</v>
      </c>
      <c r="S113" s="845" t="str">
        <f>IF(CampList[[#This Row],[HH]]&gt;0,CampList[[#This Row],[Total]]/CampList[[#This Row],[HH]],"NA")</f>
        <v>NA</v>
      </c>
      <c r="T113" s="778" t="s">
        <v>513</v>
      </c>
      <c r="U113" s="779" t="s">
        <v>1194</v>
      </c>
      <c r="V113" s="773" t="s">
        <v>556</v>
      </c>
      <c r="W113" s="779"/>
      <c r="X113" s="892"/>
      <c r="Y113" s="893"/>
      <c r="Z113" s="894"/>
      <c r="AA113" s="801"/>
      <c r="AB113" s="895"/>
      <c r="AC113" s="896"/>
      <c r="AD113" s="897" t="s">
        <v>846</v>
      </c>
      <c r="AE113" s="780" t="s">
        <v>1010</v>
      </c>
      <c r="AF113" s="814">
        <f>IF(CampList[[#This Row],[Type of Accomodation]]="camp",MAX(0,CampList[[#This Row],[HH]]-SUMIF(Table_Shelter[Pcode],CampList[[#This Row],[CP_Pcode]],Table_Shelter[HH Covered])),0)</f>
        <v>0</v>
      </c>
      <c r="AG113" s="773"/>
      <c r="AH113" s="895">
        <f>MIN(CampList[[#This Row],[Shelter Gap]],CampList[[#This Row],[Land Status]])</f>
        <v>0</v>
      </c>
      <c r="AI113" s="773" t="str">
        <f ca="1">IFERROR(OFFSET(DistanceToCamp[Nearest Town],MATCH(CampList[[#This Row],[CP_Pcode]],DistanceToCamp[CP_Pcode],0)-1,0,1,1),"")</f>
        <v/>
      </c>
      <c r="AJ113" s="938" t="str">
        <f ca="1">IFERROR(OFFSET(DistanceToCamp[distance],MATCH(CampList[[#This Row],[CP_Pcode]],DistanceToCamp[CP_Pcode],0)-1,0,1,1),"")</f>
        <v/>
      </c>
      <c r="AK113" s="959" t="str">
        <f ca="1">IFERROR(INT(CampList[[#This Row],[Distance]]/5)+1,"")</f>
        <v/>
      </c>
      <c r="AL113" s="548"/>
      <c r="AM113" s="548"/>
      <c r="AN113" s="548"/>
      <c r="BD113" s="5"/>
      <c r="BE113" s="5"/>
    </row>
    <row r="114" spans="1:57" s="678" customFormat="1" ht="15.6" hidden="1" customHeight="1" x14ac:dyDescent="0.25">
      <c r="A114" s="823" t="s">
        <v>845</v>
      </c>
      <c r="B114" s="216" t="s">
        <v>380</v>
      </c>
      <c r="C114" s="216" t="s">
        <v>527</v>
      </c>
      <c r="D114" s="216" t="s">
        <v>5</v>
      </c>
      <c r="E114" s="216" t="s">
        <v>531</v>
      </c>
      <c r="F114" s="216" t="s">
        <v>185</v>
      </c>
      <c r="G114" s="216" t="s">
        <v>535</v>
      </c>
      <c r="H114" s="669" t="s">
        <v>664</v>
      </c>
      <c r="I114" s="669" t="s">
        <v>665</v>
      </c>
      <c r="J114" s="669" t="s">
        <v>666</v>
      </c>
      <c r="K114" s="669" t="s">
        <v>667</v>
      </c>
      <c r="L114" s="216" t="s">
        <v>207</v>
      </c>
      <c r="M114" s="216" t="s">
        <v>206</v>
      </c>
      <c r="N114" s="729">
        <v>97.346940000000004</v>
      </c>
      <c r="O114" s="729">
        <v>24.251860000000001</v>
      </c>
      <c r="P114" s="680">
        <v>0</v>
      </c>
      <c r="Q114" s="671"/>
      <c r="R114" s="672"/>
      <c r="S114" s="843" t="str">
        <f>IF(CampList[[#This Row],[HH]]&gt;0,CampList[[#This Row],[Total]]/CampList[[#This Row],[HH]],"NA")</f>
        <v>NA</v>
      </c>
      <c r="T114" s="455" t="s">
        <v>513</v>
      </c>
      <c r="U114" s="673" t="s">
        <v>1194</v>
      </c>
      <c r="V114" s="668" t="s">
        <v>556</v>
      </c>
      <c r="W114" s="673" t="s">
        <v>805</v>
      </c>
      <c r="X114" s="881">
        <v>40817</v>
      </c>
      <c r="Y114" s="882"/>
      <c r="Z114" s="881"/>
      <c r="AA114" s="675" t="s">
        <v>844</v>
      </c>
      <c r="AB114" s="883"/>
      <c r="AC114" s="693">
        <v>42317</v>
      </c>
      <c r="AD114" s="885" t="s">
        <v>1317</v>
      </c>
      <c r="AE114" s="682" t="s">
        <v>1096</v>
      </c>
      <c r="AF114" s="686">
        <f>IF(CampList[[#This Row],[Type of Accomodation]]="camp",MAX(0,CampList[[#This Row],[HH]]-SUMIF(Table_Shelter[Pcode],CampList[[#This Row],[CP_Pcode]],Table_Shelter[HH Covered])),0)</f>
        <v>0</v>
      </c>
      <c r="AG114" s="668"/>
      <c r="AH114" s="883">
        <f>MIN(CampList[[#This Row],[Shelter Gap]],CampList[[#This Row],[Land Status]])</f>
        <v>0</v>
      </c>
      <c r="AI114" s="668"/>
      <c r="AJ114" s="936"/>
      <c r="AK114" s="960"/>
      <c r="AL114" s="548"/>
      <c r="AM114" s="548"/>
      <c r="AN114" s="548"/>
      <c r="BD114" s="5"/>
      <c r="BE114" s="5"/>
    </row>
    <row r="115" spans="1:57" s="678" customFormat="1" ht="15.6" customHeight="1" x14ac:dyDescent="0.25">
      <c r="A115" s="966" t="s">
        <v>502</v>
      </c>
      <c r="B115" s="677" t="s">
        <v>380</v>
      </c>
      <c r="C115" s="677" t="s">
        <v>527</v>
      </c>
      <c r="D115" s="677" t="s">
        <v>5</v>
      </c>
      <c r="E115" s="677" t="s">
        <v>531</v>
      </c>
      <c r="F115" s="677" t="s">
        <v>185</v>
      </c>
      <c r="G115" s="677" t="s">
        <v>535</v>
      </c>
      <c r="H115" s="677" t="s">
        <v>727</v>
      </c>
      <c r="I115" s="689" t="s">
        <v>728</v>
      </c>
      <c r="J115" s="677" t="s">
        <v>576</v>
      </c>
      <c r="K115" s="677">
        <v>167343</v>
      </c>
      <c r="L115" s="677" t="s">
        <v>192</v>
      </c>
      <c r="M115" s="677" t="s">
        <v>191</v>
      </c>
      <c r="N115" s="681">
        <v>97.537099999999995</v>
      </c>
      <c r="O115" s="681">
        <v>24.461033</v>
      </c>
      <c r="P115" s="670">
        <v>360</v>
      </c>
      <c r="Q115" s="726">
        <v>111</v>
      </c>
      <c r="R115" s="726">
        <v>516</v>
      </c>
      <c r="S115" s="843">
        <f>IF(CampList[[#This Row],[HH]]&gt;0,CampList[[#This Row],[Total]]/CampList[[#This Row],[HH]],"NA")</f>
        <v>4.6486486486486482</v>
      </c>
      <c r="T115" s="420" t="s">
        <v>515</v>
      </c>
      <c r="U115" s="455" t="s">
        <v>1194</v>
      </c>
      <c r="V115" s="420" t="s">
        <v>556</v>
      </c>
      <c r="W115" s="686" t="s">
        <v>859</v>
      </c>
      <c r="X115" s="905">
        <v>40756</v>
      </c>
      <c r="Y115" s="670">
        <v>4</v>
      </c>
      <c r="Z115" s="670" t="s">
        <v>1093</v>
      </c>
      <c r="AA115" s="681" t="s">
        <v>844</v>
      </c>
      <c r="AB115" s="907"/>
      <c r="AC115" s="693">
        <v>42537</v>
      </c>
      <c r="AD115" s="726" t="s">
        <v>1482</v>
      </c>
      <c r="AE115" s="690" t="s">
        <v>1081</v>
      </c>
      <c r="AF115" s="732">
        <f>IF(CampList[[#This Row],[Type of Accomodation]]="camp",MAX(0,CampList[[#This Row],[HH]]-SUMIF(Table_Shelter[Pcode],CampList[[#This Row],[CP_Pcode]],Table_Shelter[HH Covered])),0)</f>
        <v>0</v>
      </c>
      <c r="AG115" s="686"/>
      <c r="AH115" s="692">
        <f>MIN(CampList[[#This Row],[Shelter Gap]],CampList[[#This Row],[Land Status]])</f>
        <v>0</v>
      </c>
      <c r="AI115" s="732" t="str">
        <f ca="1">IFERROR(OFFSET(DistanceToCamp[Nearest Town],MATCH(CampList[[#This Row],[CP_Pcode]],DistanceToCamp[CP_Pcode],0)-1,0,1,1),"")</f>
        <v>Dawthponeyan  Town</v>
      </c>
      <c r="AJ115" s="936">
        <f ca="1">IFERROR(OFFSET(DistanceToCamp[distance],MATCH(CampList[[#This Row],[CP_Pcode]],DistanceToCamp[CP_Pcode],0)-1,0,1,1),"")</f>
        <v>18.65617244319267</v>
      </c>
      <c r="AK115" s="999">
        <f ca="1">IFERROR(INT(CampList[[#This Row],[Distance]]/5)+1,"")</f>
        <v>4</v>
      </c>
      <c r="AL115" s="548"/>
      <c r="AM115" s="548"/>
      <c r="AN115" s="548"/>
      <c r="BD115" s="5"/>
      <c r="BE115" s="5"/>
    </row>
    <row r="116" spans="1:57" s="678" customFormat="1" ht="15.6" customHeight="1" x14ac:dyDescent="0.25">
      <c r="A116" s="819" t="s">
        <v>502</v>
      </c>
      <c r="B116" s="701" t="s">
        <v>380</v>
      </c>
      <c r="C116" s="701" t="s">
        <v>527</v>
      </c>
      <c r="D116" s="701" t="s">
        <v>5</v>
      </c>
      <c r="E116" s="701" t="s">
        <v>531</v>
      </c>
      <c r="F116" s="701" t="s">
        <v>185</v>
      </c>
      <c r="G116" s="701" t="s">
        <v>535</v>
      </c>
      <c r="H116" s="747" t="s">
        <v>1427</v>
      </c>
      <c r="I116" s="747" t="s">
        <v>1428</v>
      </c>
      <c r="J116" s="747" t="s">
        <v>1427</v>
      </c>
      <c r="K116" s="757">
        <v>167078</v>
      </c>
      <c r="L116" s="525" t="s">
        <v>200</v>
      </c>
      <c r="M116" s="701" t="s">
        <v>199</v>
      </c>
      <c r="N116" s="729">
        <v>97.409474000000003</v>
      </c>
      <c r="O116" s="729">
        <v>24.441697000000001</v>
      </c>
      <c r="P116" s="670"/>
      <c r="Q116" s="748">
        <v>2</v>
      </c>
      <c r="R116" s="749">
        <v>9</v>
      </c>
      <c r="S116" s="841">
        <f>IF(CampList[[#This Row],[HH]]&gt;0,CampList[[#This Row],[Total]]/CampList[[#This Row],[HH]],"NA")</f>
        <v>4.5</v>
      </c>
      <c r="T116" s="750" t="s">
        <v>513</v>
      </c>
      <c r="U116" s="703" t="s">
        <v>1194</v>
      </c>
      <c r="V116" s="752" t="s">
        <v>12</v>
      </c>
      <c r="W116" s="703" t="s">
        <v>858</v>
      </c>
      <c r="X116" s="876"/>
      <c r="Y116" s="710"/>
      <c r="Z116" s="877"/>
      <c r="AA116" s="751" t="s">
        <v>843</v>
      </c>
      <c r="AB116" s="878"/>
      <c r="AC116" s="901">
        <v>41803</v>
      </c>
      <c r="AD116" s="880" t="s">
        <v>1071</v>
      </c>
      <c r="AE116" s="711" t="s">
        <v>1096</v>
      </c>
      <c r="AF116" s="861">
        <f>IF(CampList[[#This Row],[Type of Accomodation]]="camp",MAX(0,CampList[[#This Row],[HH]]-SUMIF(Table_Shelter[Pcode],CampList[[#This Row],[CP_Pcode]],Table_Shelter[HH Covered])),0)</f>
        <v>0</v>
      </c>
      <c r="AG116" s="861"/>
      <c r="AH116" s="878">
        <f>MIN(CampList[[#This Row],[Shelter Gap]],CampList[[#This Row],[Land Status]])</f>
        <v>0</v>
      </c>
      <c r="AI116" s="700" t="str">
        <f ca="1">IFERROR(OFFSET(DistanceToCamp[Nearest Town],MATCH(CampList[[#This Row],[CP_Pcode]],DistanceToCamp[CP_Pcode],0)-1,0,1,1),"")</f>
        <v>Dawthponeyan  Town</v>
      </c>
      <c r="AJ116" s="935">
        <f ca="1">IFERROR(OFFSET(DistanceToCamp[distance],MATCH(CampList[[#This Row],[CP_Pcode]],DistanceToCamp[CP_Pcode],0)-1,0,1,1),"")</f>
        <v>19.860265975801305</v>
      </c>
      <c r="AK116" s="955">
        <f ca="1">IFERROR(INT(CampList[[#This Row],[Distance]]/5)+1,"")</f>
        <v>4</v>
      </c>
      <c r="AL116" s="548"/>
      <c r="AM116" s="548"/>
      <c r="AN116" s="548"/>
      <c r="BD116" s="5"/>
      <c r="BE116" s="5"/>
    </row>
    <row r="117" spans="1:57" s="678" customFormat="1" ht="15.6" customHeight="1" x14ac:dyDescent="0.25">
      <c r="A117" s="820" t="s">
        <v>502</v>
      </c>
      <c r="B117" s="216" t="s">
        <v>380</v>
      </c>
      <c r="C117" s="216" t="s">
        <v>527</v>
      </c>
      <c r="D117" s="216" t="s">
        <v>5</v>
      </c>
      <c r="E117" s="216" t="s">
        <v>531</v>
      </c>
      <c r="F117" s="216" t="s">
        <v>185</v>
      </c>
      <c r="G117" s="216" t="s">
        <v>535</v>
      </c>
      <c r="H117" s="669" t="s">
        <v>658</v>
      </c>
      <c r="I117" s="669" t="s">
        <v>659</v>
      </c>
      <c r="J117" s="669" t="s">
        <v>658</v>
      </c>
      <c r="K117" s="669">
        <v>167063</v>
      </c>
      <c r="L117" s="435" t="s">
        <v>204</v>
      </c>
      <c r="M117" s="216" t="s">
        <v>203</v>
      </c>
      <c r="N117" s="842">
        <v>97.321659999999994</v>
      </c>
      <c r="O117" s="729">
        <v>24.410008999999999</v>
      </c>
      <c r="P117" s="744"/>
      <c r="Q117" s="671">
        <v>28</v>
      </c>
      <c r="R117" s="672">
        <v>136</v>
      </c>
      <c r="S117" s="843">
        <f>IF(CampList[[#This Row],[HH]]&gt;0,CampList[[#This Row],[Total]]/CampList[[#This Row],[HH]],"NA")</f>
        <v>4.8571428571428568</v>
      </c>
      <c r="T117" s="455" t="s">
        <v>513</v>
      </c>
      <c r="U117" s="673" t="s">
        <v>1194</v>
      </c>
      <c r="V117" s="676" t="s">
        <v>12</v>
      </c>
      <c r="W117" s="673" t="s">
        <v>858</v>
      </c>
      <c r="X117" s="898"/>
      <c r="Y117" s="670"/>
      <c r="Z117" s="899"/>
      <c r="AA117" s="675" t="s">
        <v>843</v>
      </c>
      <c r="AB117" s="883"/>
      <c r="AC117" s="693"/>
      <c r="AD117" s="885"/>
      <c r="AE117" s="674" t="s">
        <v>1096</v>
      </c>
      <c r="AF117" s="686">
        <f>IF(CampList[[#This Row],[Type of Accomodation]]="camp",MAX(0,CampList[[#This Row],[HH]]-SUMIF(Table_Shelter[Pcode],CampList[[#This Row],[CP_Pcode]],Table_Shelter[HH Covered])),0)</f>
        <v>0</v>
      </c>
      <c r="AG117" s="668"/>
      <c r="AH117" s="883">
        <f>MIN(CampList[[#This Row],[Shelter Gap]],CampList[[#This Row],[Land Status]])</f>
        <v>0</v>
      </c>
      <c r="AI117" s="668" t="str">
        <f ca="1">IFERROR(OFFSET(DistanceToCamp[Nearest Town],MATCH(CampList[[#This Row],[CP_Pcode]],DistanceToCamp[CP_Pcode],0)-1,0,1,1),"")</f>
        <v>Momauk Town</v>
      </c>
      <c r="AJ117" s="936">
        <f ca="1">IFERROR(OFFSET(DistanceToCamp[distance],MATCH(CampList[[#This Row],[CP_Pcode]],DistanceToCamp[CP_Pcode],0)-1,0,1,1),"")</f>
        <v>17.282528446236295</v>
      </c>
      <c r="AK117" s="957">
        <f ca="1">IFERROR(INT(CampList[[#This Row],[Distance]]/5)+1,"")</f>
        <v>4</v>
      </c>
      <c r="AL117" s="548"/>
      <c r="AM117" s="548"/>
      <c r="AN117" s="548"/>
      <c r="BD117" s="5"/>
      <c r="BE117" s="5"/>
    </row>
    <row r="118" spans="1:57" s="678" customFormat="1" ht="15.6" customHeight="1" x14ac:dyDescent="0.25">
      <c r="A118" s="820" t="s">
        <v>502</v>
      </c>
      <c r="B118" s="216" t="s">
        <v>380</v>
      </c>
      <c r="C118" s="216" t="s">
        <v>527</v>
      </c>
      <c r="D118" s="216" t="s">
        <v>5</v>
      </c>
      <c r="E118" s="216" t="s">
        <v>531</v>
      </c>
      <c r="F118" s="216" t="s">
        <v>185</v>
      </c>
      <c r="G118" s="216" t="s">
        <v>535</v>
      </c>
      <c r="H118" s="669" t="s">
        <v>807</v>
      </c>
      <c r="I118" s="669" t="s">
        <v>808</v>
      </c>
      <c r="J118" s="669" t="s">
        <v>809</v>
      </c>
      <c r="K118" s="669">
        <v>167270</v>
      </c>
      <c r="L118" s="216" t="s">
        <v>205</v>
      </c>
      <c r="M118" s="216" t="s">
        <v>393</v>
      </c>
      <c r="N118" s="842">
        <v>97.276591999999994</v>
      </c>
      <c r="O118" s="729">
        <v>24.759551999999999</v>
      </c>
      <c r="P118" s="744"/>
      <c r="Q118" s="671"/>
      <c r="R118" s="672"/>
      <c r="S118" s="843" t="str">
        <f>IF(CampList[[#This Row],[HH]]&gt;0,CampList[[#This Row],[Total]]/CampList[[#This Row],[HH]],"NA")</f>
        <v>NA</v>
      </c>
      <c r="T118" s="455" t="s">
        <v>513</v>
      </c>
      <c r="U118" s="673" t="s">
        <v>1194</v>
      </c>
      <c r="V118" s="676" t="s">
        <v>12</v>
      </c>
      <c r="W118" s="673" t="s">
        <v>858</v>
      </c>
      <c r="X118" s="898"/>
      <c r="Y118" s="670"/>
      <c r="Z118" s="899"/>
      <c r="AA118" s="675" t="s">
        <v>843</v>
      </c>
      <c r="AB118" s="883"/>
      <c r="AC118" s="693">
        <v>41803</v>
      </c>
      <c r="AD118" s="885" t="s">
        <v>1071</v>
      </c>
      <c r="AE118" s="674" t="s">
        <v>1096</v>
      </c>
      <c r="AF118" s="686">
        <f>IF(CampList[[#This Row],[Type of Accomodation]]="camp",MAX(0,CampList[[#This Row],[HH]]-SUMIF(Table_Shelter[Pcode],CampList[[#This Row],[CP_Pcode]],Table_Shelter[HH Covered])),0)</f>
        <v>0</v>
      </c>
      <c r="AG118" s="668"/>
      <c r="AH118" s="883">
        <f>MIN(CampList[[#This Row],[Shelter Gap]],CampList[[#This Row],[Land Status]])</f>
        <v>0</v>
      </c>
      <c r="AI118" s="668" t="str">
        <f ca="1">IFERROR(OFFSET(DistanceToCamp[Nearest Town],MATCH(CampList[[#This Row],[CP_Pcode]],DistanceToCamp[CP_Pcode],0)-1,0,1,1),"")</f>
        <v>Dawthponeyan  Town</v>
      </c>
      <c r="AJ118" s="936">
        <f ca="1">IFERROR(OFFSET(DistanceToCamp[distance],MATCH(CampList[[#This Row],[CP_Pcode]],DistanceToCamp[CP_Pcode],0)-1,0,1,1),"")</f>
        <v>24.701686141136339</v>
      </c>
      <c r="AK118" s="957">
        <f ca="1">IFERROR(INT(CampList[[#This Row],[Distance]]/5)+1,"")</f>
        <v>5</v>
      </c>
      <c r="AL118" s="548"/>
      <c r="AM118" s="548"/>
      <c r="AN118" s="548"/>
      <c r="BD118" s="5"/>
      <c r="BE118" s="5"/>
    </row>
    <row r="119" spans="1:57" s="678" customFormat="1" ht="15.6" hidden="1" customHeight="1" x14ac:dyDescent="0.25">
      <c r="A119" s="822" t="s">
        <v>845</v>
      </c>
      <c r="B119" s="774" t="s">
        <v>380</v>
      </c>
      <c r="C119" s="774" t="s">
        <v>527</v>
      </c>
      <c r="D119" s="774" t="s">
        <v>180</v>
      </c>
      <c r="E119" s="774" t="s">
        <v>528</v>
      </c>
      <c r="F119" s="774" t="s">
        <v>529</v>
      </c>
      <c r="G119" s="774" t="s">
        <v>530</v>
      </c>
      <c r="H119" s="775" t="s">
        <v>605</v>
      </c>
      <c r="I119" s="775" t="s">
        <v>606</v>
      </c>
      <c r="J119" s="775" t="s">
        <v>703</v>
      </c>
      <c r="K119" s="775" t="s">
        <v>704</v>
      </c>
      <c r="L119" s="774" t="s">
        <v>54</v>
      </c>
      <c r="M119" s="774" t="s">
        <v>53</v>
      </c>
      <c r="N119" s="729">
        <v>96.310928000000004</v>
      </c>
      <c r="O119" s="729">
        <v>25.609179999999999</v>
      </c>
      <c r="P119" s="670"/>
      <c r="Q119" s="776">
        <v>0</v>
      </c>
      <c r="R119" s="777">
        <v>0</v>
      </c>
      <c r="S119" s="845" t="str">
        <f>IF(CampList[[#This Row],[HH]]&gt;0,CampList[[#This Row],[Total]]/CampList[[#This Row],[HH]],"NA")</f>
        <v>NA</v>
      </c>
      <c r="T119" s="778" t="s">
        <v>513</v>
      </c>
      <c r="U119" s="779" t="s">
        <v>1194</v>
      </c>
      <c r="V119" s="773" t="s">
        <v>556</v>
      </c>
      <c r="W119" s="779"/>
      <c r="X119" s="892"/>
      <c r="Y119" s="893"/>
      <c r="Z119" s="894"/>
      <c r="AA119" s="781"/>
      <c r="AB119" s="895"/>
      <c r="AC119" s="896"/>
      <c r="AD119" s="897" t="s">
        <v>603</v>
      </c>
      <c r="AE119" s="780" t="s">
        <v>1010</v>
      </c>
      <c r="AF119" s="814">
        <f>IF(CampList[[#This Row],[Type of Accomodation]]="camp",MAX(0,CampList[[#This Row],[HH]]-SUMIF(Table_Shelter[Pcode],CampList[[#This Row],[CP_Pcode]],Table_Shelter[HH Covered])),0)</f>
        <v>0</v>
      </c>
      <c r="AG119" s="773"/>
      <c r="AH119" s="895">
        <f>MIN(CampList[[#This Row],[Shelter Gap]],CampList[[#This Row],[Land Status]])</f>
        <v>0</v>
      </c>
      <c r="AI119" s="773" t="str">
        <f ca="1">IFERROR(OFFSET(DistanceToCamp[Nearest Town],MATCH(CampList[[#This Row],[CP_Pcode]],DistanceToCamp[CP_Pcode],0)-1,0,1,1),"")</f>
        <v/>
      </c>
      <c r="AJ119" s="938" t="str">
        <f ca="1">IFERROR(OFFSET(DistanceToCamp[distance],MATCH(CampList[[#This Row],[CP_Pcode]],DistanceToCamp[CP_Pcode],0)-1,0,1,1),"")</f>
        <v/>
      </c>
      <c r="AK119" s="959" t="str">
        <f ca="1">IFERROR(INT(CampList[[#This Row],[Distance]]/5)+1,"")</f>
        <v/>
      </c>
      <c r="AL119" s="548"/>
      <c r="AM119" s="548"/>
      <c r="AN119" s="548"/>
      <c r="BD119" s="5"/>
      <c r="BE119" s="5"/>
    </row>
    <row r="120" spans="1:57" s="678" customFormat="1" ht="15.6" hidden="1" customHeight="1" x14ac:dyDescent="0.25">
      <c r="A120" s="823" t="s">
        <v>845</v>
      </c>
      <c r="B120" s="216" t="s">
        <v>380</v>
      </c>
      <c r="C120" s="216" t="s">
        <v>527</v>
      </c>
      <c r="D120" s="216" t="s">
        <v>180</v>
      </c>
      <c r="E120" s="216" t="s">
        <v>528</v>
      </c>
      <c r="F120" s="216" t="s">
        <v>529</v>
      </c>
      <c r="G120" s="216" t="s">
        <v>530</v>
      </c>
      <c r="H120" s="669" t="s">
        <v>605</v>
      </c>
      <c r="I120" s="669" t="s">
        <v>606</v>
      </c>
      <c r="J120" s="669" t="s">
        <v>703</v>
      </c>
      <c r="K120" s="669" t="s">
        <v>704</v>
      </c>
      <c r="L120" s="216" t="s">
        <v>66</v>
      </c>
      <c r="M120" s="216" t="s">
        <v>65</v>
      </c>
      <c r="N120" s="729"/>
      <c r="O120" s="729"/>
      <c r="P120" s="670"/>
      <c r="Q120" s="671">
        <v>0</v>
      </c>
      <c r="R120" s="672">
        <v>0</v>
      </c>
      <c r="S120" s="843" t="str">
        <f>IF(CampList[[#This Row],[HH]]&gt;0,CampList[[#This Row],[Total]]/CampList[[#This Row],[HH]],"NA")</f>
        <v>NA</v>
      </c>
      <c r="T120" s="455" t="s">
        <v>513</v>
      </c>
      <c r="U120" s="673" t="s">
        <v>1194</v>
      </c>
      <c r="V120" s="668" t="s">
        <v>556</v>
      </c>
      <c r="W120" s="673"/>
      <c r="X120" s="898"/>
      <c r="Y120" s="670"/>
      <c r="Z120" s="899"/>
      <c r="AA120" s="675"/>
      <c r="AB120" s="883"/>
      <c r="AC120" s="900"/>
      <c r="AD120" s="885" t="s">
        <v>603</v>
      </c>
      <c r="AE120" s="674" t="s">
        <v>1010</v>
      </c>
      <c r="AF120" s="686">
        <f>IF(CampList[[#This Row],[Type of Accomodation]]="camp",MAX(0,CampList[[#This Row],[HH]]-SUMIF(Table_Shelter[Pcode],CampList[[#This Row],[CP_Pcode]],Table_Shelter[HH Covered])),0)</f>
        <v>0</v>
      </c>
      <c r="AG120" s="668"/>
      <c r="AH120" s="883">
        <f>MIN(CampList[[#This Row],[Shelter Gap]],CampList[[#This Row],[Land Status]])</f>
        <v>0</v>
      </c>
      <c r="AI120" s="668" t="str">
        <f ca="1">IFERROR(OFFSET(DistanceToCamp[Nearest Town],MATCH(CampList[[#This Row],[CP_Pcode]],DistanceToCamp[CP_Pcode],0)-1,0,1,1),"")</f>
        <v/>
      </c>
      <c r="AJ120" s="936" t="str">
        <f ca="1">IFERROR(OFFSET(DistanceToCamp[distance],MATCH(CampList[[#This Row],[CP_Pcode]],DistanceToCamp[CP_Pcode],0)-1,0,1,1),"")</f>
        <v/>
      </c>
      <c r="AK120" s="960" t="str">
        <f ca="1">IFERROR(INT(CampList[[#This Row],[Distance]]/5)+1,"")</f>
        <v/>
      </c>
      <c r="AL120" s="548"/>
      <c r="AM120" s="548"/>
      <c r="AN120" s="548"/>
      <c r="BD120" s="5"/>
      <c r="BE120" s="5"/>
    </row>
    <row r="121" spans="1:57" s="678" customFormat="1" ht="15.6" hidden="1" customHeight="1" x14ac:dyDescent="0.25">
      <c r="A121" s="823" t="s">
        <v>845</v>
      </c>
      <c r="B121" s="216" t="s">
        <v>380</v>
      </c>
      <c r="C121" s="216" t="s">
        <v>527</v>
      </c>
      <c r="D121" s="216" t="s">
        <v>180</v>
      </c>
      <c r="E121" s="216" t="s">
        <v>528</v>
      </c>
      <c r="F121" s="216" t="s">
        <v>529</v>
      </c>
      <c r="G121" s="216" t="s">
        <v>530</v>
      </c>
      <c r="H121" s="669" t="s">
        <v>605</v>
      </c>
      <c r="I121" s="669" t="s">
        <v>606</v>
      </c>
      <c r="J121" s="669" t="s">
        <v>703</v>
      </c>
      <c r="K121" s="669" t="s">
        <v>704</v>
      </c>
      <c r="L121" s="216" t="s">
        <v>80</v>
      </c>
      <c r="M121" s="216" t="s">
        <v>79</v>
      </c>
      <c r="N121" s="729"/>
      <c r="O121" s="729"/>
      <c r="P121" s="670"/>
      <c r="Q121" s="671">
        <v>0</v>
      </c>
      <c r="R121" s="672">
        <v>0</v>
      </c>
      <c r="S121" s="843" t="str">
        <f>IF(CampList[[#This Row],[HH]]&gt;0,CampList[[#This Row],[Total]]/CampList[[#This Row],[HH]],"NA")</f>
        <v>NA</v>
      </c>
      <c r="T121" s="455" t="s">
        <v>513</v>
      </c>
      <c r="U121" s="673" t="s">
        <v>1194</v>
      </c>
      <c r="V121" s="668" t="s">
        <v>556</v>
      </c>
      <c r="W121" s="673"/>
      <c r="X121" s="898"/>
      <c r="Y121" s="670"/>
      <c r="Z121" s="899"/>
      <c r="AA121" s="675"/>
      <c r="AB121" s="883"/>
      <c r="AC121" s="900"/>
      <c r="AD121" s="885" t="s">
        <v>603</v>
      </c>
      <c r="AE121" s="674" t="s">
        <v>1010</v>
      </c>
      <c r="AF121" s="686">
        <f>IF(CampList[[#This Row],[Type of Accomodation]]="camp",MAX(0,CampList[[#This Row],[HH]]-SUMIF(Table_Shelter[Pcode],CampList[[#This Row],[CP_Pcode]],Table_Shelter[HH Covered])),0)</f>
        <v>0</v>
      </c>
      <c r="AG121" s="668"/>
      <c r="AH121" s="883">
        <f>MIN(CampList[[#This Row],[Shelter Gap]],CampList[[#This Row],[Land Status]])</f>
        <v>0</v>
      </c>
      <c r="AI121" s="668" t="str">
        <f ca="1">IFERROR(OFFSET(DistanceToCamp[Nearest Town],MATCH(CampList[[#This Row],[CP_Pcode]],DistanceToCamp[CP_Pcode],0)-1,0,1,1),"")</f>
        <v/>
      </c>
      <c r="AJ121" s="936" t="str">
        <f ca="1">IFERROR(OFFSET(DistanceToCamp[distance],MATCH(CampList[[#This Row],[CP_Pcode]],DistanceToCamp[CP_Pcode],0)-1,0,1,1),"")</f>
        <v/>
      </c>
      <c r="AK121" s="960" t="str">
        <f ca="1">IFERROR(INT(CampList[[#This Row],[Distance]]/5)+1,"")</f>
        <v/>
      </c>
      <c r="AL121" s="548"/>
      <c r="AM121" s="548"/>
      <c r="AN121" s="548"/>
      <c r="BD121" s="5"/>
      <c r="BE121" s="5"/>
    </row>
    <row r="122" spans="1:57" s="678" customFormat="1" ht="15.6" hidden="1" customHeight="1" x14ac:dyDescent="0.25">
      <c r="A122" s="823" t="s">
        <v>845</v>
      </c>
      <c r="B122" s="216" t="s">
        <v>380</v>
      </c>
      <c r="C122" s="216" t="s">
        <v>527</v>
      </c>
      <c r="D122" s="216" t="s">
        <v>180</v>
      </c>
      <c r="E122" s="216" t="s">
        <v>528</v>
      </c>
      <c r="F122" s="216" t="s">
        <v>529</v>
      </c>
      <c r="G122" s="216" t="s">
        <v>530</v>
      </c>
      <c r="H122" s="669" t="s">
        <v>605</v>
      </c>
      <c r="I122" s="669" t="s">
        <v>606</v>
      </c>
      <c r="J122" s="669" t="s">
        <v>703</v>
      </c>
      <c r="K122" s="669" t="s">
        <v>704</v>
      </c>
      <c r="L122" s="216" t="s">
        <v>102</v>
      </c>
      <c r="M122" s="216" t="s">
        <v>101</v>
      </c>
      <c r="N122" s="729"/>
      <c r="O122" s="729"/>
      <c r="P122" s="670"/>
      <c r="Q122" s="671">
        <v>0</v>
      </c>
      <c r="R122" s="672">
        <v>0</v>
      </c>
      <c r="S122" s="843" t="str">
        <f>IF(CampList[[#This Row],[HH]]&gt;0,CampList[[#This Row],[Total]]/CampList[[#This Row],[HH]],"NA")</f>
        <v>NA</v>
      </c>
      <c r="T122" s="455" t="s">
        <v>513</v>
      </c>
      <c r="U122" s="673" t="s">
        <v>1194</v>
      </c>
      <c r="V122" s="668" t="s">
        <v>556</v>
      </c>
      <c r="W122" s="673"/>
      <c r="X122" s="898"/>
      <c r="Y122" s="670"/>
      <c r="Z122" s="899"/>
      <c r="AA122" s="675"/>
      <c r="AB122" s="883"/>
      <c r="AC122" s="900"/>
      <c r="AD122" s="885" t="s">
        <v>603</v>
      </c>
      <c r="AE122" s="674" t="s">
        <v>1010</v>
      </c>
      <c r="AF122" s="686">
        <f>IF(CampList[[#This Row],[Type of Accomodation]]="camp",MAX(0,CampList[[#This Row],[HH]]-SUMIF(Table_Shelter[Pcode],CampList[[#This Row],[CP_Pcode]],Table_Shelter[HH Covered])),0)</f>
        <v>0</v>
      </c>
      <c r="AG122" s="668"/>
      <c r="AH122" s="883">
        <f>MIN(CampList[[#This Row],[Shelter Gap]],CampList[[#This Row],[Land Status]])</f>
        <v>0</v>
      </c>
      <c r="AI122" s="668" t="str">
        <f ca="1">IFERROR(OFFSET(DistanceToCamp[Nearest Town],MATCH(CampList[[#This Row],[CP_Pcode]],DistanceToCamp[CP_Pcode],0)-1,0,1,1),"")</f>
        <v/>
      </c>
      <c r="AJ122" s="936" t="str">
        <f ca="1">IFERROR(OFFSET(DistanceToCamp[distance],MATCH(CampList[[#This Row],[CP_Pcode]],DistanceToCamp[CP_Pcode],0)-1,0,1,1),"")</f>
        <v/>
      </c>
      <c r="AK122" s="960" t="str">
        <f ca="1">IFERROR(INT(CampList[[#This Row],[Distance]]/5)+1,"")</f>
        <v/>
      </c>
      <c r="AL122" s="548"/>
      <c r="AM122" s="548"/>
      <c r="AN122" s="548"/>
      <c r="BD122" s="5"/>
      <c r="BE122" s="5"/>
    </row>
    <row r="123" spans="1:57" s="678" customFormat="1" ht="15.6" hidden="1" customHeight="1" x14ac:dyDescent="0.25">
      <c r="A123" s="823" t="s">
        <v>845</v>
      </c>
      <c r="B123" s="216" t="s">
        <v>380</v>
      </c>
      <c r="C123" s="216" t="s">
        <v>527</v>
      </c>
      <c r="D123" s="216" t="s">
        <v>180</v>
      </c>
      <c r="E123" s="216" t="s">
        <v>528</v>
      </c>
      <c r="F123" s="216" t="s">
        <v>529</v>
      </c>
      <c r="G123" s="216" t="s">
        <v>530</v>
      </c>
      <c r="H123" s="669" t="s">
        <v>605</v>
      </c>
      <c r="I123" s="669" t="s">
        <v>606</v>
      </c>
      <c r="J123" s="669" t="s">
        <v>703</v>
      </c>
      <c r="K123" s="669" t="s">
        <v>704</v>
      </c>
      <c r="L123" s="216" t="s">
        <v>106</v>
      </c>
      <c r="M123" s="216" t="s">
        <v>105</v>
      </c>
      <c r="N123" s="729"/>
      <c r="O123" s="729"/>
      <c r="P123" s="670"/>
      <c r="Q123" s="671">
        <v>0</v>
      </c>
      <c r="R123" s="672">
        <v>0</v>
      </c>
      <c r="S123" s="843" t="str">
        <f>IF(CampList[[#This Row],[HH]]&gt;0,CampList[[#This Row],[Total]]/CampList[[#This Row],[HH]],"NA")</f>
        <v>NA</v>
      </c>
      <c r="T123" s="455" t="s">
        <v>513</v>
      </c>
      <c r="U123" s="673" t="s">
        <v>1194</v>
      </c>
      <c r="V123" s="668" t="s">
        <v>556</v>
      </c>
      <c r="W123" s="673"/>
      <c r="X123" s="898"/>
      <c r="Y123" s="670"/>
      <c r="Z123" s="899"/>
      <c r="AA123" s="675"/>
      <c r="AB123" s="883"/>
      <c r="AC123" s="900"/>
      <c r="AD123" s="885" t="s">
        <v>603</v>
      </c>
      <c r="AE123" s="674" t="s">
        <v>1010</v>
      </c>
      <c r="AF123" s="686">
        <f>IF(CampList[[#This Row],[Type of Accomodation]]="camp",MAX(0,CampList[[#This Row],[HH]]-SUMIF(Table_Shelter[Pcode],CampList[[#This Row],[CP_Pcode]],Table_Shelter[HH Covered])),0)</f>
        <v>0</v>
      </c>
      <c r="AG123" s="668"/>
      <c r="AH123" s="883">
        <f>MIN(CampList[[#This Row],[Shelter Gap]],CampList[[#This Row],[Land Status]])</f>
        <v>0</v>
      </c>
      <c r="AI123" s="668" t="str">
        <f ca="1">IFERROR(OFFSET(DistanceToCamp[Nearest Town],MATCH(CampList[[#This Row],[CP_Pcode]],DistanceToCamp[CP_Pcode],0)-1,0,1,1),"")</f>
        <v/>
      </c>
      <c r="AJ123" s="936" t="str">
        <f ca="1">IFERROR(OFFSET(DistanceToCamp[distance],MATCH(CampList[[#This Row],[CP_Pcode]],DistanceToCamp[CP_Pcode],0)-1,0,1,1),"")</f>
        <v/>
      </c>
      <c r="AK123" s="960" t="str">
        <f ca="1">IFERROR(INT(CampList[[#This Row],[Distance]]/5)+1,"")</f>
        <v/>
      </c>
      <c r="AL123" s="548"/>
      <c r="AM123" s="548"/>
      <c r="AN123" s="548"/>
      <c r="BD123" s="5"/>
      <c r="BE123" s="5"/>
    </row>
    <row r="124" spans="1:57" s="678" customFormat="1" ht="15.6" hidden="1" customHeight="1" x14ac:dyDescent="0.25">
      <c r="A124" s="823" t="s">
        <v>845</v>
      </c>
      <c r="B124" s="216" t="s">
        <v>380</v>
      </c>
      <c r="C124" s="216" t="s">
        <v>527</v>
      </c>
      <c r="D124" s="216" t="s">
        <v>180</v>
      </c>
      <c r="E124" s="216" t="s">
        <v>528</v>
      </c>
      <c r="F124" s="216" t="s">
        <v>529</v>
      </c>
      <c r="G124" s="216" t="s">
        <v>530</v>
      </c>
      <c r="H124" s="669" t="s">
        <v>605</v>
      </c>
      <c r="I124" s="669" t="s">
        <v>606</v>
      </c>
      <c r="J124" s="669" t="s">
        <v>703</v>
      </c>
      <c r="K124" s="669" t="s">
        <v>704</v>
      </c>
      <c r="L124" s="216" t="s">
        <v>116</v>
      </c>
      <c r="M124" s="216" t="s">
        <v>115</v>
      </c>
      <c r="N124" s="729"/>
      <c r="O124" s="729"/>
      <c r="P124" s="670"/>
      <c r="Q124" s="671">
        <v>0</v>
      </c>
      <c r="R124" s="672">
        <v>0</v>
      </c>
      <c r="S124" s="843" t="str">
        <f>IF(CampList[[#This Row],[HH]]&gt;0,CampList[[#This Row],[Total]]/CampList[[#This Row],[HH]],"NA")</f>
        <v>NA</v>
      </c>
      <c r="T124" s="455" t="s">
        <v>513</v>
      </c>
      <c r="U124" s="673" t="s">
        <v>1194</v>
      </c>
      <c r="V124" s="668" t="s">
        <v>556</v>
      </c>
      <c r="W124" s="673"/>
      <c r="X124" s="898"/>
      <c r="Y124" s="670"/>
      <c r="Z124" s="899"/>
      <c r="AA124" s="675"/>
      <c r="AB124" s="883"/>
      <c r="AC124" s="900"/>
      <c r="AD124" s="885" t="s">
        <v>603</v>
      </c>
      <c r="AE124" s="674" t="s">
        <v>1010</v>
      </c>
      <c r="AF124" s="686">
        <f>IF(CampList[[#This Row],[Type of Accomodation]]="camp",MAX(0,CampList[[#This Row],[HH]]-SUMIF(Table_Shelter[Pcode],CampList[[#This Row],[CP_Pcode]],Table_Shelter[HH Covered])),0)</f>
        <v>0</v>
      </c>
      <c r="AG124" s="668"/>
      <c r="AH124" s="883">
        <f>MIN(CampList[[#This Row],[Shelter Gap]],CampList[[#This Row],[Land Status]])</f>
        <v>0</v>
      </c>
      <c r="AI124" s="668" t="str">
        <f ca="1">IFERROR(OFFSET(DistanceToCamp[Nearest Town],MATCH(CampList[[#This Row],[CP_Pcode]],DistanceToCamp[CP_Pcode],0)-1,0,1,1),"")</f>
        <v/>
      </c>
      <c r="AJ124" s="936" t="str">
        <f ca="1">IFERROR(OFFSET(DistanceToCamp[distance],MATCH(CampList[[#This Row],[CP_Pcode]],DistanceToCamp[CP_Pcode],0)-1,0,1,1),"")</f>
        <v/>
      </c>
      <c r="AK124" s="960" t="str">
        <f ca="1">IFERROR(INT(CampList[[#This Row],[Distance]]/5)+1,"")</f>
        <v/>
      </c>
      <c r="AL124" s="548"/>
      <c r="AM124" s="548"/>
      <c r="AN124" s="548"/>
      <c r="BD124" s="5"/>
      <c r="BE124" s="5"/>
    </row>
    <row r="125" spans="1:57" s="678" customFormat="1" ht="15.6" hidden="1" customHeight="1" x14ac:dyDescent="0.25">
      <c r="A125" s="823" t="s">
        <v>845</v>
      </c>
      <c r="B125" s="216" t="s">
        <v>380</v>
      </c>
      <c r="C125" s="216" t="s">
        <v>527</v>
      </c>
      <c r="D125" s="216" t="s">
        <v>180</v>
      </c>
      <c r="E125" s="216" t="s">
        <v>528</v>
      </c>
      <c r="F125" s="216" t="s">
        <v>529</v>
      </c>
      <c r="G125" s="216" t="s">
        <v>530</v>
      </c>
      <c r="H125" s="669" t="s">
        <v>605</v>
      </c>
      <c r="I125" s="669" t="s">
        <v>606</v>
      </c>
      <c r="J125" s="669" t="s">
        <v>703</v>
      </c>
      <c r="K125" s="669" t="s">
        <v>704</v>
      </c>
      <c r="L125" s="216" t="s">
        <v>130</v>
      </c>
      <c r="M125" s="216" t="s">
        <v>129</v>
      </c>
      <c r="N125" s="729"/>
      <c r="O125" s="729"/>
      <c r="P125" s="670"/>
      <c r="Q125" s="671">
        <v>0</v>
      </c>
      <c r="R125" s="672">
        <v>0</v>
      </c>
      <c r="S125" s="843" t="str">
        <f>IF(CampList[[#This Row],[HH]]&gt;0,CampList[[#This Row],[Total]]/CampList[[#This Row],[HH]],"NA")</f>
        <v>NA</v>
      </c>
      <c r="T125" s="455" t="s">
        <v>513</v>
      </c>
      <c r="U125" s="673" t="s">
        <v>1194</v>
      </c>
      <c r="V125" s="668" t="s">
        <v>556</v>
      </c>
      <c r="W125" s="673"/>
      <c r="X125" s="898"/>
      <c r="Y125" s="670"/>
      <c r="Z125" s="899"/>
      <c r="AA125" s="675"/>
      <c r="AB125" s="883"/>
      <c r="AC125" s="900"/>
      <c r="AD125" s="885" t="s">
        <v>603</v>
      </c>
      <c r="AE125" s="674" t="s">
        <v>1010</v>
      </c>
      <c r="AF125" s="686">
        <f>IF(CampList[[#This Row],[Type of Accomodation]]="camp",MAX(0,CampList[[#This Row],[HH]]-SUMIF(Table_Shelter[Pcode],CampList[[#This Row],[CP_Pcode]],Table_Shelter[HH Covered])),0)</f>
        <v>0</v>
      </c>
      <c r="AG125" s="668"/>
      <c r="AH125" s="883">
        <f>MIN(CampList[[#This Row],[Shelter Gap]],CampList[[#This Row],[Land Status]])</f>
        <v>0</v>
      </c>
      <c r="AI125" s="668" t="str">
        <f ca="1">IFERROR(OFFSET(DistanceToCamp[Nearest Town],MATCH(CampList[[#This Row],[CP_Pcode]],DistanceToCamp[CP_Pcode],0)-1,0,1,1),"")</f>
        <v/>
      </c>
      <c r="AJ125" s="936" t="str">
        <f ca="1">IFERROR(OFFSET(DistanceToCamp[distance],MATCH(CampList[[#This Row],[CP_Pcode]],DistanceToCamp[CP_Pcode],0)-1,0,1,1),"")</f>
        <v/>
      </c>
      <c r="AK125" s="960" t="str">
        <f ca="1">IFERROR(INT(CampList[[#This Row],[Distance]]/5)+1,"")</f>
        <v/>
      </c>
      <c r="AL125" s="548"/>
      <c r="AM125" s="548"/>
      <c r="AN125" s="548"/>
      <c r="BD125" s="5"/>
      <c r="BE125" s="5"/>
    </row>
    <row r="126" spans="1:57" s="678" customFormat="1" ht="15.6" hidden="1" customHeight="1" x14ac:dyDescent="0.25">
      <c r="A126" s="819" t="s">
        <v>845</v>
      </c>
      <c r="B126" s="701" t="s">
        <v>380</v>
      </c>
      <c r="C126" s="701" t="s">
        <v>527</v>
      </c>
      <c r="D126" s="701" t="s">
        <v>180</v>
      </c>
      <c r="E126" s="701" t="s">
        <v>528</v>
      </c>
      <c r="F126" s="701" t="s">
        <v>529</v>
      </c>
      <c r="G126" s="701" t="s">
        <v>530</v>
      </c>
      <c r="H126" s="747" t="s">
        <v>605</v>
      </c>
      <c r="I126" s="747" t="s">
        <v>606</v>
      </c>
      <c r="J126" s="747" t="s">
        <v>703</v>
      </c>
      <c r="K126" s="747" t="s">
        <v>704</v>
      </c>
      <c r="L126" s="701" t="s">
        <v>138</v>
      </c>
      <c r="M126" s="701" t="s">
        <v>137</v>
      </c>
      <c r="N126" s="729"/>
      <c r="O126" s="729"/>
      <c r="P126" s="670"/>
      <c r="Q126" s="748">
        <v>0</v>
      </c>
      <c r="R126" s="749">
        <v>0</v>
      </c>
      <c r="S126" s="841" t="str">
        <f>IF(CampList[[#This Row],[HH]]&gt;0,CampList[[#This Row],[Total]]/CampList[[#This Row],[HH]],"NA")</f>
        <v>NA</v>
      </c>
      <c r="T126" s="750" t="s">
        <v>513</v>
      </c>
      <c r="U126" s="703" t="s">
        <v>1194</v>
      </c>
      <c r="V126" s="700" t="s">
        <v>556</v>
      </c>
      <c r="W126" s="703"/>
      <c r="X126" s="876"/>
      <c r="Y126" s="710"/>
      <c r="Z126" s="877"/>
      <c r="AA126" s="751"/>
      <c r="AB126" s="878"/>
      <c r="AC126" s="879"/>
      <c r="AD126" s="880" t="s">
        <v>603</v>
      </c>
      <c r="AE126" s="711" t="s">
        <v>1010</v>
      </c>
      <c r="AF126" s="861">
        <f>IF(CampList[[#This Row],[Type of Accomodation]]="camp",MAX(0,CampList[[#This Row],[HH]]-SUMIF(Table_Shelter[Pcode],CampList[[#This Row],[CP_Pcode]],Table_Shelter[HH Covered])),0)</f>
        <v>0</v>
      </c>
      <c r="AG126" s="700"/>
      <c r="AH126" s="878">
        <f>MIN(CampList[[#This Row],[Shelter Gap]],CampList[[#This Row],[Land Status]])</f>
        <v>0</v>
      </c>
      <c r="AI126" s="700" t="str">
        <f ca="1">IFERROR(OFFSET(DistanceToCamp[Nearest Town],MATCH(CampList[[#This Row],[CP_Pcode]],DistanceToCamp[CP_Pcode],0)-1,0,1,1),"")</f>
        <v/>
      </c>
      <c r="AJ126" s="935" t="str">
        <f ca="1">IFERROR(OFFSET(DistanceToCamp[distance],MATCH(CampList[[#This Row],[CP_Pcode]],DistanceToCamp[CP_Pcode],0)-1,0,1,1),"")</f>
        <v/>
      </c>
      <c r="AK126" s="955" t="str">
        <f ca="1">IFERROR(INT(CampList[[#This Row],[Distance]]/5)+1,"")</f>
        <v/>
      </c>
      <c r="AL126" s="548"/>
      <c r="AM126" s="548"/>
      <c r="AN126" s="548"/>
      <c r="BD126" s="5"/>
      <c r="BE126" s="5"/>
    </row>
    <row r="127" spans="1:57" s="678" customFormat="1" ht="15.6" customHeight="1" x14ac:dyDescent="0.25">
      <c r="A127" s="825" t="s">
        <v>502</v>
      </c>
      <c r="B127" s="677" t="s">
        <v>380</v>
      </c>
      <c r="C127" s="677" t="s">
        <v>527</v>
      </c>
      <c r="D127" s="677" t="s">
        <v>5</v>
      </c>
      <c r="E127" s="677" t="s">
        <v>531</v>
      </c>
      <c r="F127" s="677" t="s">
        <v>185</v>
      </c>
      <c r="G127" s="677" t="s">
        <v>535</v>
      </c>
      <c r="H127" s="677" t="s">
        <v>763</v>
      </c>
      <c r="I127" s="689" t="s">
        <v>764</v>
      </c>
      <c r="J127" s="677" t="s">
        <v>765</v>
      </c>
      <c r="K127" s="677">
        <v>216913</v>
      </c>
      <c r="L127" s="677" t="s">
        <v>219</v>
      </c>
      <c r="M127" s="677" t="s">
        <v>218</v>
      </c>
      <c r="N127" s="847">
        <v>97.752667000000002</v>
      </c>
      <c r="O127" s="681">
        <v>24.2744</v>
      </c>
      <c r="P127" s="744">
        <v>978</v>
      </c>
      <c r="Q127" s="681">
        <v>677</v>
      </c>
      <c r="R127" s="687">
        <v>3622</v>
      </c>
      <c r="S127" s="843">
        <f>IF(CampList[[#This Row],[HH]]&gt;0,CampList[[#This Row],[Total]]/CampList[[#This Row],[HH]],"NA")</f>
        <v>5.3500738552437221</v>
      </c>
      <c r="T127" s="420" t="s">
        <v>515</v>
      </c>
      <c r="U127" s="455" t="s">
        <v>1194</v>
      </c>
      <c r="V127" s="420" t="s">
        <v>556</v>
      </c>
      <c r="W127" s="686" t="s">
        <v>858</v>
      </c>
      <c r="X127" s="905">
        <v>41000</v>
      </c>
      <c r="Y127" s="670">
        <v>2</v>
      </c>
      <c r="Z127" s="670" t="s">
        <v>1092</v>
      </c>
      <c r="AA127" s="681" t="s">
        <v>844</v>
      </c>
      <c r="AB127" s="907"/>
      <c r="AC127" s="693">
        <v>42416</v>
      </c>
      <c r="AD127" s="726" t="s">
        <v>1516</v>
      </c>
      <c r="AE127" s="690" t="s">
        <v>1081</v>
      </c>
      <c r="AF127" s="732">
        <f>IF(CampList[[#This Row],[Type of Accomodation]]="camp",MAX(0,CampList[[#This Row],[HH]]-SUMIF(Table_Shelter[Pcode],CampList[[#This Row],[CP_Pcode]],Table_Shelter[HH Covered])),0)</f>
        <v>0</v>
      </c>
      <c r="AG127" s="686"/>
      <c r="AH127" s="692">
        <f>MIN(CampList[[#This Row],[Shelter Gap]],CampList[[#This Row],[Land Status]])</f>
        <v>0</v>
      </c>
      <c r="AI127" s="732" t="str">
        <f ca="1">IFERROR(OFFSET(DistanceToCamp[Nearest Town],MATCH(CampList[[#This Row],[CP_Pcode]],DistanceToCamp[CP_Pcode],0)-1,0,1,1),"")</f>
        <v>Lwegel Town</v>
      </c>
      <c r="AJ127" s="936">
        <f ca="1">IFERROR(OFFSET(DistanceToCamp[distance],MATCH(CampList[[#This Row],[CP_Pcode]],DistanceToCamp[CP_Pcode],0)-1,0,1,1),"")</f>
        <v>8.953204937938569</v>
      </c>
      <c r="AK127" s="956">
        <f ca="1">IFERROR(INT(CampList[[#This Row],[Distance]]/5)+1,"")</f>
        <v>2</v>
      </c>
      <c r="AL127" s="548"/>
      <c r="AM127" s="548"/>
      <c r="AN127" s="548"/>
      <c r="BD127" s="5"/>
      <c r="BE127" s="5"/>
    </row>
    <row r="128" spans="1:57" s="678" customFormat="1" ht="15.6" customHeight="1" x14ac:dyDescent="0.25">
      <c r="A128" s="820" t="s">
        <v>502</v>
      </c>
      <c r="B128" s="216" t="s">
        <v>380</v>
      </c>
      <c r="C128" s="216" t="s">
        <v>527</v>
      </c>
      <c r="D128" s="216" t="s">
        <v>5</v>
      </c>
      <c r="E128" s="216" t="s">
        <v>531</v>
      </c>
      <c r="F128" s="216" t="s">
        <v>185</v>
      </c>
      <c r="G128" s="216" t="s">
        <v>535</v>
      </c>
      <c r="H128" s="669" t="s">
        <v>800</v>
      </c>
      <c r="I128" s="669" t="s">
        <v>801</v>
      </c>
      <c r="J128" s="669" t="s">
        <v>800</v>
      </c>
      <c r="K128" s="669">
        <v>167048</v>
      </c>
      <c r="L128" s="216" t="s">
        <v>213</v>
      </c>
      <c r="M128" s="216" t="s">
        <v>212</v>
      </c>
      <c r="N128" s="842">
        <v>97.407787999999996</v>
      </c>
      <c r="O128" s="729">
        <v>24.404876999999999</v>
      </c>
      <c r="P128" s="744"/>
      <c r="Q128" s="671">
        <v>13</v>
      </c>
      <c r="R128" s="672">
        <v>53</v>
      </c>
      <c r="S128" s="843">
        <f>IF(CampList[[#This Row],[HH]]&gt;0,CampList[[#This Row],[Total]]/CampList[[#This Row],[HH]],"NA")</f>
        <v>4.0769230769230766</v>
      </c>
      <c r="T128" s="455" t="s">
        <v>513</v>
      </c>
      <c r="U128" s="673" t="s">
        <v>1194</v>
      </c>
      <c r="V128" s="676" t="s">
        <v>12</v>
      </c>
      <c r="W128" s="673" t="s">
        <v>858</v>
      </c>
      <c r="X128" s="898"/>
      <c r="Y128" s="670"/>
      <c r="Z128" s="899"/>
      <c r="AA128" s="675" t="s">
        <v>843</v>
      </c>
      <c r="AB128" s="883"/>
      <c r="AC128" s="693">
        <v>41803</v>
      </c>
      <c r="AD128" s="885" t="s">
        <v>1071</v>
      </c>
      <c r="AE128" s="674" t="s">
        <v>1096</v>
      </c>
      <c r="AF128" s="686">
        <f>IF(CampList[[#This Row],[Type of Accomodation]]="camp",MAX(0,CampList[[#This Row],[HH]]-SUMIF(Table_Shelter[Pcode],CampList[[#This Row],[CP_Pcode]],Table_Shelter[HH Covered])),0)</f>
        <v>0</v>
      </c>
      <c r="AG128" s="668"/>
      <c r="AH128" s="883">
        <f>MIN(CampList[[#This Row],[Shelter Gap]],CampList[[#This Row],[Land Status]])</f>
        <v>0</v>
      </c>
      <c r="AI128" s="668" t="str">
        <f ca="1">IFERROR(OFFSET(DistanceToCamp[Nearest Town],MATCH(CampList[[#This Row],[CP_Pcode]],DistanceToCamp[CP_Pcode],0)-1,0,1,1),"")</f>
        <v>Momauk Town</v>
      </c>
      <c r="AJ128" s="936">
        <f ca="1">IFERROR(OFFSET(DistanceToCamp[distance],MATCH(CampList[[#This Row],[CP_Pcode]],DistanceToCamp[CP_Pcode],0)-1,0,1,1),"")</f>
        <v>17.689123339899055</v>
      </c>
      <c r="AK128" s="957">
        <f ca="1">IFERROR(INT(CampList[[#This Row],[Distance]]/5)+1,"")</f>
        <v>4</v>
      </c>
      <c r="AL128" s="548"/>
      <c r="AM128" s="548"/>
      <c r="AN128" s="548"/>
      <c r="BD128" s="5"/>
      <c r="BE128" s="5"/>
    </row>
    <row r="129" spans="1:57" s="678" customFormat="1" ht="15.6" hidden="1" customHeight="1" x14ac:dyDescent="0.25">
      <c r="A129" s="822" t="s">
        <v>845</v>
      </c>
      <c r="B129" s="774" t="s">
        <v>380</v>
      </c>
      <c r="C129" s="774" t="s">
        <v>527</v>
      </c>
      <c r="D129" s="774" t="s">
        <v>180</v>
      </c>
      <c r="E129" s="774" t="s">
        <v>528</v>
      </c>
      <c r="F129" s="774" t="s">
        <v>529</v>
      </c>
      <c r="G129" s="774" t="s">
        <v>530</v>
      </c>
      <c r="H129" s="774"/>
      <c r="I129" s="774"/>
      <c r="J129" s="774"/>
      <c r="K129" s="774"/>
      <c r="L129" s="774" t="s">
        <v>136</v>
      </c>
      <c r="M129" s="774" t="s">
        <v>135</v>
      </c>
      <c r="N129" s="729">
        <v>96.343350000000001</v>
      </c>
      <c r="O129" s="729">
        <v>25.6447</v>
      </c>
      <c r="P129" s="670"/>
      <c r="Q129" s="776">
        <v>0</v>
      </c>
      <c r="R129" s="777">
        <v>0</v>
      </c>
      <c r="S129" s="845" t="str">
        <f>IF(CampList[[#This Row],[HH]]&gt;0,CampList[[#This Row],[Total]]/CampList[[#This Row],[HH]],"NA")</f>
        <v>NA</v>
      </c>
      <c r="T129" s="778" t="s">
        <v>513</v>
      </c>
      <c r="U129" s="779" t="s">
        <v>1194</v>
      </c>
      <c r="V129" s="773" t="s">
        <v>556</v>
      </c>
      <c r="W129" s="779"/>
      <c r="X129" s="892"/>
      <c r="Y129" s="893"/>
      <c r="Z129" s="894"/>
      <c r="AA129" s="806"/>
      <c r="AB129" s="895"/>
      <c r="AC129" s="896"/>
      <c r="AD129" s="897" t="s">
        <v>603</v>
      </c>
      <c r="AE129" s="780" t="s">
        <v>1010</v>
      </c>
      <c r="AF129" s="814">
        <f>IF(CampList[[#This Row],[Type of Accomodation]]="camp",MAX(0,CampList[[#This Row],[HH]]-SUMIF(Table_Shelter[Pcode],CampList[[#This Row],[CP_Pcode]],Table_Shelter[HH Covered])),0)</f>
        <v>0</v>
      </c>
      <c r="AG129" s="773"/>
      <c r="AH129" s="895">
        <f>MIN(CampList[[#This Row],[Shelter Gap]],CampList[[#This Row],[Land Status]])</f>
        <v>0</v>
      </c>
      <c r="AI129" s="773" t="str">
        <f ca="1">IFERROR(OFFSET(DistanceToCamp[Nearest Town],MATCH(CampList[[#This Row],[CP_Pcode]],DistanceToCamp[CP_Pcode],0)-1,0,1,1),"")</f>
        <v/>
      </c>
      <c r="AJ129" s="938" t="str">
        <f ca="1">IFERROR(OFFSET(DistanceToCamp[distance],MATCH(CampList[[#This Row],[CP_Pcode]],DistanceToCamp[CP_Pcode],0)-1,0,1,1),"")</f>
        <v/>
      </c>
      <c r="AK129" s="959" t="str">
        <f ca="1">IFERROR(INT(CampList[[#This Row],[Distance]]/5)+1,"")</f>
        <v/>
      </c>
      <c r="AL129" s="548"/>
      <c r="AM129" s="548"/>
      <c r="AN129" s="548"/>
      <c r="BD129" s="5"/>
      <c r="BE129" s="5"/>
    </row>
    <row r="130" spans="1:57" s="678" customFormat="1" ht="15.6" hidden="1" customHeight="1" x14ac:dyDescent="0.25">
      <c r="A130" s="823" t="s">
        <v>845</v>
      </c>
      <c r="B130" s="216" t="s">
        <v>380</v>
      </c>
      <c r="C130" s="216" t="s">
        <v>527</v>
      </c>
      <c r="D130" s="216" t="s">
        <v>180</v>
      </c>
      <c r="E130" s="216" t="s">
        <v>528</v>
      </c>
      <c r="F130" s="216" t="s">
        <v>529</v>
      </c>
      <c r="G130" s="216" t="s">
        <v>530</v>
      </c>
      <c r="H130" s="669" t="s">
        <v>605</v>
      </c>
      <c r="I130" s="669" t="s">
        <v>606</v>
      </c>
      <c r="J130" s="669" t="s">
        <v>609</v>
      </c>
      <c r="K130" s="669" t="s">
        <v>610</v>
      </c>
      <c r="L130" s="216" t="s">
        <v>68</v>
      </c>
      <c r="M130" s="216" t="s">
        <v>67</v>
      </c>
      <c r="N130" s="729"/>
      <c r="O130" s="729"/>
      <c r="P130" s="670"/>
      <c r="Q130" s="671">
        <v>0</v>
      </c>
      <c r="R130" s="672">
        <v>0</v>
      </c>
      <c r="S130" s="843" t="str">
        <f>IF(CampList[[#This Row],[HH]]&gt;0,CampList[[#This Row],[Total]]/CampList[[#This Row],[HH]],"NA")</f>
        <v>NA</v>
      </c>
      <c r="T130" s="455" t="s">
        <v>513</v>
      </c>
      <c r="U130" s="673" t="s">
        <v>1194</v>
      </c>
      <c r="V130" s="668" t="s">
        <v>556</v>
      </c>
      <c r="W130" s="673"/>
      <c r="X130" s="898"/>
      <c r="Y130" s="670"/>
      <c r="Z130" s="899"/>
      <c r="AA130" s="675"/>
      <c r="AB130" s="883"/>
      <c r="AC130" s="900"/>
      <c r="AD130" s="885" t="s">
        <v>603</v>
      </c>
      <c r="AE130" s="674" t="s">
        <v>1010</v>
      </c>
      <c r="AF130" s="686">
        <f>IF(CampList[[#This Row],[Type of Accomodation]]="camp",MAX(0,CampList[[#This Row],[HH]]-SUMIF(Table_Shelter[Pcode],CampList[[#This Row],[CP_Pcode]],Table_Shelter[HH Covered])),0)</f>
        <v>0</v>
      </c>
      <c r="AG130" s="668"/>
      <c r="AH130" s="883">
        <f>MIN(CampList[[#This Row],[Shelter Gap]],CampList[[#This Row],[Land Status]])</f>
        <v>0</v>
      </c>
      <c r="AI130" s="668" t="str">
        <f ca="1">IFERROR(OFFSET(DistanceToCamp[Nearest Town],MATCH(CampList[[#This Row],[CP_Pcode]],DistanceToCamp[CP_Pcode],0)-1,0,1,1),"")</f>
        <v/>
      </c>
      <c r="AJ130" s="936" t="str">
        <f ca="1">IFERROR(OFFSET(DistanceToCamp[distance],MATCH(CampList[[#This Row],[CP_Pcode]],DistanceToCamp[CP_Pcode],0)-1,0,1,1),"")</f>
        <v/>
      </c>
      <c r="AK130" s="960" t="str">
        <f ca="1">IFERROR(INT(CampList[[#This Row],[Distance]]/5)+1,"")</f>
        <v/>
      </c>
      <c r="AL130" s="548"/>
      <c r="AM130" s="548"/>
      <c r="AN130" s="548"/>
      <c r="BD130" s="5"/>
      <c r="BE130" s="5"/>
    </row>
    <row r="131" spans="1:57" s="678" customFormat="1" ht="15.6" hidden="1" customHeight="1" x14ac:dyDescent="0.25">
      <c r="A131" s="823" t="s">
        <v>845</v>
      </c>
      <c r="B131" s="216" t="s">
        <v>380</v>
      </c>
      <c r="C131" s="216" t="s">
        <v>527</v>
      </c>
      <c r="D131" s="216" t="s">
        <v>180</v>
      </c>
      <c r="E131" s="216" t="s">
        <v>528</v>
      </c>
      <c r="F131" s="216" t="s">
        <v>529</v>
      </c>
      <c r="G131" s="216" t="s">
        <v>530</v>
      </c>
      <c r="H131" s="669" t="s">
        <v>605</v>
      </c>
      <c r="I131" s="669" t="s">
        <v>606</v>
      </c>
      <c r="J131" s="669" t="s">
        <v>609</v>
      </c>
      <c r="K131" s="669" t="s">
        <v>610</v>
      </c>
      <c r="L131" s="216" t="s">
        <v>84</v>
      </c>
      <c r="M131" s="216" t="s">
        <v>83</v>
      </c>
      <c r="N131" s="729">
        <v>96.316210999999996</v>
      </c>
      <c r="O131" s="729">
        <v>25.619221</v>
      </c>
      <c r="P131" s="670"/>
      <c r="Q131" s="671">
        <v>0</v>
      </c>
      <c r="R131" s="672">
        <v>0</v>
      </c>
      <c r="S131" s="843" t="str">
        <f>IF(CampList[[#This Row],[HH]]&gt;0,CampList[[#This Row],[Total]]/CampList[[#This Row],[HH]],"NA")</f>
        <v>NA</v>
      </c>
      <c r="T131" s="455" t="s">
        <v>513</v>
      </c>
      <c r="U131" s="673" t="s">
        <v>1194</v>
      </c>
      <c r="V131" s="668" t="s">
        <v>556</v>
      </c>
      <c r="W131" s="673"/>
      <c r="X131" s="898"/>
      <c r="Y131" s="670"/>
      <c r="Z131" s="899"/>
      <c r="AA131" s="675"/>
      <c r="AB131" s="883"/>
      <c r="AC131" s="900"/>
      <c r="AD131" s="885" t="s">
        <v>603</v>
      </c>
      <c r="AE131" s="674" t="s">
        <v>1010</v>
      </c>
      <c r="AF131" s="686">
        <f>IF(CampList[[#This Row],[Type of Accomodation]]="camp",MAX(0,CampList[[#This Row],[HH]]-SUMIF(Table_Shelter[Pcode],CampList[[#This Row],[CP_Pcode]],Table_Shelter[HH Covered])),0)</f>
        <v>0</v>
      </c>
      <c r="AG131" s="668"/>
      <c r="AH131" s="883">
        <f>MIN(CampList[[#This Row],[Shelter Gap]],CampList[[#This Row],[Land Status]])</f>
        <v>0</v>
      </c>
      <c r="AI131" s="668" t="str">
        <f ca="1">IFERROR(OFFSET(DistanceToCamp[Nearest Town],MATCH(CampList[[#This Row],[CP_Pcode]],DistanceToCamp[CP_Pcode],0)-1,0,1,1),"")</f>
        <v/>
      </c>
      <c r="AJ131" s="936" t="str">
        <f ca="1">IFERROR(OFFSET(DistanceToCamp[distance],MATCH(CampList[[#This Row],[CP_Pcode]],DistanceToCamp[CP_Pcode],0)-1,0,1,1),"")</f>
        <v/>
      </c>
      <c r="AK131" s="960" t="str">
        <f ca="1">IFERROR(INT(CampList[[#This Row],[Distance]]/5)+1,"")</f>
        <v/>
      </c>
      <c r="AL131" s="548"/>
      <c r="AM131" s="548"/>
      <c r="AN131" s="548"/>
      <c r="BD131" s="5"/>
      <c r="BE131" s="5"/>
    </row>
    <row r="132" spans="1:57" s="678" customFormat="1" ht="15.6" hidden="1" customHeight="1" x14ac:dyDescent="0.25">
      <c r="A132" s="819" t="s">
        <v>845</v>
      </c>
      <c r="B132" s="701" t="s">
        <v>380</v>
      </c>
      <c r="C132" s="701" t="s">
        <v>527</v>
      </c>
      <c r="D132" s="701" t="s">
        <v>180</v>
      </c>
      <c r="E132" s="701" t="s">
        <v>528</v>
      </c>
      <c r="F132" s="701" t="s">
        <v>529</v>
      </c>
      <c r="G132" s="701" t="s">
        <v>530</v>
      </c>
      <c r="H132" s="747" t="s">
        <v>605</v>
      </c>
      <c r="I132" s="747" t="s">
        <v>606</v>
      </c>
      <c r="J132" s="747" t="s">
        <v>609</v>
      </c>
      <c r="K132" s="747" t="s">
        <v>610</v>
      </c>
      <c r="L132" s="701" t="s">
        <v>86</v>
      </c>
      <c r="M132" s="701" t="s">
        <v>85</v>
      </c>
      <c r="N132" s="729"/>
      <c r="O132" s="729"/>
      <c r="P132" s="670"/>
      <c r="Q132" s="748">
        <v>0</v>
      </c>
      <c r="R132" s="749">
        <v>0</v>
      </c>
      <c r="S132" s="841" t="str">
        <f>IF(CampList[[#This Row],[HH]]&gt;0,CampList[[#This Row],[Total]]/CampList[[#This Row],[HH]],"NA")</f>
        <v>NA</v>
      </c>
      <c r="T132" s="750" t="s">
        <v>513</v>
      </c>
      <c r="U132" s="703" t="s">
        <v>1194</v>
      </c>
      <c r="V132" s="700" t="s">
        <v>556</v>
      </c>
      <c r="W132" s="703"/>
      <c r="X132" s="876"/>
      <c r="Y132" s="710"/>
      <c r="Z132" s="877"/>
      <c r="AA132" s="751"/>
      <c r="AB132" s="878"/>
      <c r="AC132" s="879"/>
      <c r="AD132" s="880" t="s">
        <v>603</v>
      </c>
      <c r="AE132" s="711" t="s">
        <v>1010</v>
      </c>
      <c r="AF132" s="861">
        <f>IF(CampList[[#This Row],[Type of Accomodation]]="camp",MAX(0,CampList[[#This Row],[HH]]-SUMIF(Table_Shelter[Pcode],CampList[[#This Row],[CP_Pcode]],Table_Shelter[HH Covered])),0)</f>
        <v>0</v>
      </c>
      <c r="AG132" s="700"/>
      <c r="AH132" s="878">
        <f>MIN(CampList[[#This Row],[Shelter Gap]],CampList[[#This Row],[Land Status]])</f>
        <v>0</v>
      </c>
      <c r="AI132" s="700" t="str">
        <f ca="1">IFERROR(OFFSET(DistanceToCamp[Nearest Town],MATCH(CampList[[#This Row],[CP_Pcode]],DistanceToCamp[CP_Pcode],0)-1,0,1,1),"")</f>
        <v/>
      </c>
      <c r="AJ132" s="935" t="str">
        <f ca="1">IFERROR(OFFSET(DistanceToCamp[distance],MATCH(CampList[[#This Row],[CP_Pcode]],DistanceToCamp[CP_Pcode],0)-1,0,1,1),"")</f>
        <v/>
      </c>
      <c r="AK132" s="955" t="str">
        <f ca="1">IFERROR(INT(CampList[[#This Row],[Distance]]/5)+1,"")</f>
        <v/>
      </c>
      <c r="AL132" s="548"/>
      <c r="AM132" s="548"/>
      <c r="AN132" s="548"/>
      <c r="BD132" s="5"/>
      <c r="BE132" s="5"/>
    </row>
    <row r="133" spans="1:57" s="678" customFormat="1" ht="15.6" customHeight="1" x14ac:dyDescent="0.25">
      <c r="A133" s="820" t="s">
        <v>502</v>
      </c>
      <c r="B133" s="216" t="s">
        <v>380</v>
      </c>
      <c r="C133" s="216" t="s">
        <v>527</v>
      </c>
      <c r="D133" s="216" t="s">
        <v>5</v>
      </c>
      <c r="E133" s="216" t="s">
        <v>531</v>
      </c>
      <c r="F133" s="216" t="s">
        <v>185</v>
      </c>
      <c r="G133" s="216" t="s">
        <v>535</v>
      </c>
      <c r="H133" s="679" t="s">
        <v>707</v>
      </c>
      <c r="I133" s="679" t="s">
        <v>708</v>
      </c>
      <c r="J133" s="679" t="s">
        <v>709</v>
      </c>
      <c r="K133" s="679">
        <v>167242</v>
      </c>
      <c r="L133" s="216" t="s">
        <v>221</v>
      </c>
      <c r="M133" s="216" t="s">
        <v>220</v>
      </c>
      <c r="N133" s="842">
        <v>97.429860000000005</v>
      </c>
      <c r="O133" s="729">
        <v>24.630859999999998</v>
      </c>
      <c r="P133" s="743"/>
      <c r="Q133" s="692">
        <v>39</v>
      </c>
      <c r="R133" s="687">
        <v>176</v>
      </c>
      <c r="S133" s="843">
        <f>IF(CampList[[#This Row],[HH]]&gt;0,CampList[[#This Row],[Total]]/CampList[[#This Row],[HH]],"NA")</f>
        <v>4.5128205128205128</v>
      </c>
      <c r="T133" s="455" t="s">
        <v>513</v>
      </c>
      <c r="U133" s="673" t="s">
        <v>1194</v>
      </c>
      <c r="V133" s="668" t="s">
        <v>12</v>
      </c>
      <c r="W133" s="673" t="s">
        <v>858</v>
      </c>
      <c r="X133" s="881"/>
      <c r="Y133" s="882"/>
      <c r="Z133" s="881"/>
      <c r="AA133" s="433" t="s">
        <v>843</v>
      </c>
      <c r="AB133" s="883"/>
      <c r="AC133" s="693">
        <v>41646</v>
      </c>
      <c r="AD133" s="884" t="s">
        <v>891</v>
      </c>
      <c r="AE133" s="682" t="s">
        <v>1096</v>
      </c>
      <c r="AF133" s="686">
        <f>IF(CampList[[#This Row],[Type of Accomodation]]="camp",MAX(0,CampList[[#This Row],[HH]]-SUMIF(Table_Shelter[Pcode],CampList[[#This Row],[CP_Pcode]],Table_Shelter[HH Covered])),0)</f>
        <v>0</v>
      </c>
      <c r="AG133" s="686"/>
      <c r="AH133" s="883">
        <f>MIN(CampList[[#This Row],[Shelter Gap]],CampList[[#This Row],[Land Status]])</f>
        <v>0</v>
      </c>
      <c r="AI133" s="668" t="str">
        <f ca="1">IFERROR(OFFSET(DistanceToCamp[Nearest Town],MATCH(CampList[[#This Row],[CP_Pcode]],DistanceToCamp[CP_Pcode],0)-1,0,1,1),"")</f>
        <v>Dawthponeyan  Town</v>
      </c>
      <c r="AJ133" s="936">
        <f ca="1">IFERROR(OFFSET(DistanceToCamp[distance],MATCH(CampList[[#This Row],[CP_Pcode]],DistanceToCamp[CP_Pcode],0)-1,0,1,1),"")</f>
        <v>3.6887624513681017</v>
      </c>
      <c r="AK133" s="957">
        <f ca="1">IFERROR(INT(CampList[[#This Row],[Distance]]/5)+1,"")</f>
        <v>1</v>
      </c>
      <c r="AL133" s="548"/>
      <c r="AM133" s="548"/>
      <c r="AN133" s="548"/>
      <c r="BD133" s="5"/>
      <c r="BE133" s="5"/>
    </row>
    <row r="134" spans="1:57" s="678" customFormat="1" ht="15.6" hidden="1" customHeight="1" x14ac:dyDescent="0.25">
      <c r="A134" s="822" t="s">
        <v>845</v>
      </c>
      <c r="B134" s="774" t="s">
        <v>380</v>
      </c>
      <c r="C134" s="774" t="s">
        <v>527</v>
      </c>
      <c r="D134" s="774" t="s">
        <v>180</v>
      </c>
      <c r="E134" s="774" t="s">
        <v>528</v>
      </c>
      <c r="F134" s="774" t="s">
        <v>529</v>
      </c>
      <c r="G134" s="774" t="s">
        <v>530</v>
      </c>
      <c r="H134" s="775" t="s">
        <v>605</v>
      </c>
      <c r="I134" s="775" t="s">
        <v>606</v>
      </c>
      <c r="J134" s="775" t="s">
        <v>609</v>
      </c>
      <c r="K134" s="775" t="s">
        <v>610</v>
      </c>
      <c r="L134" s="774" t="s">
        <v>104</v>
      </c>
      <c r="M134" s="774" t="s">
        <v>103</v>
      </c>
      <c r="N134" s="729"/>
      <c r="O134" s="729"/>
      <c r="P134" s="670"/>
      <c r="Q134" s="776">
        <v>0</v>
      </c>
      <c r="R134" s="777">
        <v>0</v>
      </c>
      <c r="S134" s="845" t="str">
        <f>IF(CampList[[#This Row],[HH]]&gt;0,CampList[[#This Row],[Total]]/CampList[[#This Row],[HH]],"NA")</f>
        <v>NA</v>
      </c>
      <c r="T134" s="778" t="s">
        <v>513</v>
      </c>
      <c r="U134" s="779" t="s">
        <v>1194</v>
      </c>
      <c r="V134" s="773" t="s">
        <v>556</v>
      </c>
      <c r="W134" s="779"/>
      <c r="X134" s="892"/>
      <c r="Y134" s="893"/>
      <c r="Z134" s="894"/>
      <c r="AA134" s="781"/>
      <c r="AB134" s="895"/>
      <c r="AC134" s="896"/>
      <c r="AD134" s="897" t="s">
        <v>603</v>
      </c>
      <c r="AE134" s="780" t="s">
        <v>1010</v>
      </c>
      <c r="AF134" s="814">
        <f>IF(CampList[[#This Row],[Type of Accomodation]]="camp",MAX(0,CampList[[#This Row],[HH]]-SUMIF(Table_Shelter[Pcode],CampList[[#This Row],[CP_Pcode]],Table_Shelter[HH Covered])),0)</f>
        <v>0</v>
      </c>
      <c r="AG134" s="773"/>
      <c r="AH134" s="895">
        <f>MIN(CampList[[#This Row],[Shelter Gap]],CampList[[#This Row],[Land Status]])</f>
        <v>0</v>
      </c>
      <c r="AI134" s="773" t="str">
        <f ca="1">IFERROR(OFFSET(DistanceToCamp[Nearest Town],MATCH(CampList[[#This Row],[CP_Pcode]],DistanceToCamp[CP_Pcode],0)-1,0,1,1),"")</f>
        <v/>
      </c>
      <c r="AJ134" s="938" t="str">
        <f ca="1">IFERROR(OFFSET(DistanceToCamp[distance],MATCH(CampList[[#This Row],[CP_Pcode]],DistanceToCamp[CP_Pcode],0)-1,0,1,1),"")</f>
        <v/>
      </c>
      <c r="AK134" s="959" t="str">
        <f ca="1">IFERROR(INT(CampList[[#This Row],[Distance]]/5)+1,"")</f>
        <v/>
      </c>
      <c r="AL134" s="548"/>
      <c r="AM134" s="548"/>
      <c r="AN134" s="548"/>
      <c r="BD134" s="5"/>
      <c r="BE134" s="5"/>
    </row>
    <row r="135" spans="1:57" s="678" customFormat="1" ht="15.6" hidden="1" customHeight="1" x14ac:dyDescent="0.25">
      <c r="A135" s="819" t="s">
        <v>845</v>
      </c>
      <c r="B135" s="701" t="s">
        <v>380</v>
      </c>
      <c r="C135" s="701" t="s">
        <v>527</v>
      </c>
      <c r="D135" s="701" t="s">
        <v>180</v>
      </c>
      <c r="E135" s="701" t="s">
        <v>528</v>
      </c>
      <c r="F135" s="701" t="s">
        <v>529</v>
      </c>
      <c r="G135" s="701" t="s">
        <v>530</v>
      </c>
      <c r="H135" s="747" t="s">
        <v>614</v>
      </c>
      <c r="I135" s="747" t="s">
        <v>615</v>
      </c>
      <c r="J135" s="747" t="s">
        <v>614</v>
      </c>
      <c r="K135" s="747">
        <v>166773</v>
      </c>
      <c r="L135" s="701" t="s">
        <v>98</v>
      </c>
      <c r="M135" s="701" t="s">
        <v>97</v>
      </c>
      <c r="N135" s="729">
        <v>96.359309999999994</v>
      </c>
      <c r="O135" s="729">
        <v>25.651440000000001</v>
      </c>
      <c r="P135" s="670"/>
      <c r="Q135" s="748">
        <v>0</v>
      </c>
      <c r="R135" s="749">
        <v>0</v>
      </c>
      <c r="S135" s="841" t="str">
        <f>IF(CampList[[#This Row],[HH]]&gt;0,CampList[[#This Row],[Total]]/CampList[[#This Row],[HH]],"NA")</f>
        <v>NA</v>
      </c>
      <c r="T135" s="750" t="s">
        <v>513</v>
      </c>
      <c r="U135" s="703" t="s">
        <v>1194</v>
      </c>
      <c r="V135" s="700" t="s">
        <v>556</v>
      </c>
      <c r="W135" s="703"/>
      <c r="X135" s="876"/>
      <c r="Y135" s="710"/>
      <c r="Z135" s="877"/>
      <c r="AA135" s="751"/>
      <c r="AB135" s="878"/>
      <c r="AC135" s="879"/>
      <c r="AD135" s="880" t="s">
        <v>603</v>
      </c>
      <c r="AE135" s="711" t="s">
        <v>1010</v>
      </c>
      <c r="AF135" s="861">
        <f>IF(CampList[[#This Row],[Type of Accomodation]]="camp",MAX(0,CampList[[#This Row],[HH]]-SUMIF(Table_Shelter[Pcode],CampList[[#This Row],[CP_Pcode]],Table_Shelter[HH Covered])),0)</f>
        <v>0</v>
      </c>
      <c r="AG135" s="700"/>
      <c r="AH135" s="878">
        <f>MIN(CampList[[#This Row],[Shelter Gap]],CampList[[#This Row],[Land Status]])</f>
        <v>0</v>
      </c>
      <c r="AI135" s="700" t="str">
        <f ca="1">IFERROR(OFFSET(DistanceToCamp[Nearest Town],MATCH(CampList[[#This Row],[CP_Pcode]],DistanceToCamp[CP_Pcode],0)-1,0,1,1),"")</f>
        <v/>
      </c>
      <c r="AJ135" s="935" t="str">
        <f ca="1">IFERROR(OFFSET(DistanceToCamp[distance],MATCH(CampList[[#This Row],[CP_Pcode]],DistanceToCamp[CP_Pcode],0)-1,0,1,1),"")</f>
        <v/>
      </c>
      <c r="AK135" s="955" t="str">
        <f ca="1">IFERROR(INT(CampList[[#This Row],[Distance]]/5)+1,"")</f>
        <v/>
      </c>
      <c r="AL135" s="548"/>
      <c r="AM135" s="548"/>
      <c r="AN135" s="548"/>
      <c r="BD135" s="5"/>
      <c r="BE135" s="5"/>
    </row>
    <row r="136" spans="1:57" s="678" customFormat="1" ht="15.6" customHeight="1" x14ac:dyDescent="0.25">
      <c r="A136" s="820" t="s">
        <v>502</v>
      </c>
      <c r="B136" s="216" t="s">
        <v>380</v>
      </c>
      <c r="C136" s="216" t="s">
        <v>527</v>
      </c>
      <c r="D136" s="216" t="s">
        <v>5</v>
      </c>
      <c r="E136" s="216" t="s">
        <v>531</v>
      </c>
      <c r="F136" s="216" t="s">
        <v>185</v>
      </c>
      <c r="G136" s="216" t="s">
        <v>535</v>
      </c>
      <c r="H136" s="669" t="s">
        <v>664</v>
      </c>
      <c r="I136" s="669" t="s">
        <v>665</v>
      </c>
      <c r="J136" s="669" t="s">
        <v>666</v>
      </c>
      <c r="K136" s="669" t="s">
        <v>667</v>
      </c>
      <c r="L136" s="435" t="s">
        <v>209</v>
      </c>
      <c r="M136" s="216" t="s">
        <v>208</v>
      </c>
      <c r="N136" s="842">
        <v>97.344359999999995</v>
      </c>
      <c r="O136" s="729">
        <v>24.250689999999999</v>
      </c>
      <c r="P136" s="743">
        <v>0</v>
      </c>
      <c r="Q136" s="681">
        <v>226</v>
      </c>
      <c r="R136" s="681">
        <v>1824</v>
      </c>
      <c r="S136" s="843">
        <f>IF(CampList[[#This Row],[HH]]&gt;0,CampList[[#This Row],[Total]]/CampList[[#This Row],[HH]],"NA")</f>
        <v>8.0707964601769913</v>
      </c>
      <c r="T136" s="455" t="s">
        <v>513</v>
      </c>
      <c r="U136" s="673" t="s">
        <v>1194</v>
      </c>
      <c r="V136" s="668" t="s">
        <v>556</v>
      </c>
      <c r="W136" s="673" t="s">
        <v>805</v>
      </c>
      <c r="X136" s="881">
        <v>40695</v>
      </c>
      <c r="Y136" s="882">
        <v>3</v>
      </c>
      <c r="Z136" s="881" t="s">
        <v>462</v>
      </c>
      <c r="AA136" s="675" t="s">
        <v>844</v>
      </c>
      <c r="AB136" s="883"/>
      <c r="AC136" s="693">
        <v>42536</v>
      </c>
      <c r="AD136" s="885" t="s">
        <v>1445</v>
      </c>
      <c r="AE136" s="682" t="s">
        <v>1096</v>
      </c>
      <c r="AF136" s="686">
        <f>IF(CampList[[#This Row],[Type of Accomodation]]="camp",MAX(0,CampList[[#This Row],[HH]]-SUMIF(Table_Shelter[Pcode],CampList[[#This Row],[CP_Pcode]],Table_Shelter[HH Covered])),0)</f>
        <v>0</v>
      </c>
      <c r="AG136" s="668"/>
      <c r="AH136" s="883">
        <f>MIN(CampList[[#This Row],[Shelter Gap]],CampList[[#This Row],[Land Status]])</f>
        <v>0</v>
      </c>
      <c r="AI136" s="668" t="str">
        <f ca="1">IFERROR(OFFSET(DistanceToCamp[Nearest Town],MATCH(CampList[[#This Row],[CP_Pcode]],DistanceToCamp[CP_Pcode],0)-1,0,1,1),"")</f>
        <v>Momauk Town</v>
      </c>
      <c r="AJ136" s="936">
        <f ca="1">IFERROR(OFFSET(DistanceToCamp[distance],MATCH(CampList[[#This Row],[CP_Pcode]],DistanceToCamp[CP_Pcode],0)-1,0,1,1),"")</f>
        <v>0.62513510418653162</v>
      </c>
      <c r="AK136" s="957">
        <f ca="1">IFERROR(INT(CampList[[#This Row],[Distance]]/5)+1,"")</f>
        <v>1</v>
      </c>
      <c r="AL136" s="548"/>
      <c r="AM136" s="548"/>
      <c r="AN136" s="548"/>
      <c r="BD136" s="5"/>
      <c r="BE136" s="5"/>
    </row>
    <row r="137" spans="1:57" s="678" customFormat="1" ht="15.6" customHeight="1" x14ac:dyDescent="0.25">
      <c r="A137" s="820" t="s">
        <v>502</v>
      </c>
      <c r="B137" s="216" t="s">
        <v>380</v>
      </c>
      <c r="C137" s="216" t="s">
        <v>527</v>
      </c>
      <c r="D137" s="216" t="s">
        <v>5</v>
      </c>
      <c r="E137" s="216" t="s">
        <v>531</v>
      </c>
      <c r="F137" s="216" t="s">
        <v>185</v>
      </c>
      <c r="G137" s="216" t="s">
        <v>535</v>
      </c>
      <c r="H137" s="679" t="s">
        <v>798</v>
      </c>
      <c r="I137" s="679" t="s">
        <v>799</v>
      </c>
      <c r="J137" s="679" t="s">
        <v>798</v>
      </c>
      <c r="K137" s="679">
        <v>167086</v>
      </c>
      <c r="L137" s="216" t="s">
        <v>227</v>
      </c>
      <c r="M137" s="216" t="s">
        <v>226</v>
      </c>
      <c r="N137" s="842">
        <v>97.416826999999998</v>
      </c>
      <c r="O137" s="729">
        <v>24.492493</v>
      </c>
      <c r="P137" s="743"/>
      <c r="Q137" s="692">
        <v>10</v>
      </c>
      <c r="R137" s="687">
        <v>38</v>
      </c>
      <c r="S137" s="843">
        <f>IF(CampList[[#This Row],[HH]]&gt;0,CampList[[#This Row],[Total]]/CampList[[#This Row],[HH]],"NA")</f>
        <v>3.8</v>
      </c>
      <c r="T137" s="455" t="s">
        <v>513</v>
      </c>
      <c r="U137" s="673" t="s">
        <v>1194</v>
      </c>
      <c r="V137" s="668" t="s">
        <v>12</v>
      </c>
      <c r="W137" s="673" t="s">
        <v>858</v>
      </c>
      <c r="X137" s="881"/>
      <c r="Y137" s="882"/>
      <c r="Z137" s="881"/>
      <c r="AA137" s="433" t="s">
        <v>843</v>
      </c>
      <c r="AB137" s="883"/>
      <c r="AC137" s="693">
        <v>41803</v>
      </c>
      <c r="AD137" s="884" t="s">
        <v>1071</v>
      </c>
      <c r="AE137" s="682" t="s">
        <v>1096</v>
      </c>
      <c r="AF137" s="686">
        <f>IF(CampList[[#This Row],[Type of Accomodation]]="camp",MAX(0,CampList[[#This Row],[HH]]-SUMIF(Table_Shelter[Pcode],CampList[[#This Row],[CP_Pcode]],Table_Shelter[HH Covered])),0)</f>
        <v>0</v>
      </c>
      <c r="AG137" s="668"/>
      <c r="AH137" s="883">
        <f>MIN(CampList[[#This Row],[Shelter Gap]],CampList[[#This Row],[Land Status]])</f>
        <v>0</v>
      </c>
      <c r="AI137" s="668" t="str">
        <f ca="1">IFERROR(OFFSET(DistanceToCamp[Nearest Town],MATCH(CampList[[#This Row],[CP_Pcode]],DistanceToCamp[CP_Pcode],0)-1,0,1,1),"")</f>
        <v>Dawthponeyan  Town</v>
      </c>
      <c r="AJ137" s="936">
        <f ca="1">IFERROR(OFFSET(DistanceToCamp[distance],MATCH(CampList[[#This Row],[CP_Pcode]],DistanceToCamp[CP_Pcode],0)-1,0,1,1),"")</f>
        <v>14.236592976936194</v>
      </c>
      <c r="AK137" s="957">
        <f ca="1">IFERROR(INT(CampList[[#This Row],[Distance]]/5)+1,"")</f>
        <v>3</v>
      </c>
      <c r="AL137" s="548"/>
      <c r="AM137" s="548"/>
      <c r="AN137" s="548"/>
      <c r="BD137" s="5"/>
      <c r="BE137" s="5"/>
    </row>
    <row r="138" spans="1:57" s="678" customFormat="1" ht="15.6" hidden="1" customHeight="1" x14ac:dyDescent="0.25">
      <c r="A138" s="821" t="s">
        <v>845</v>
      </c>
      <c r="B138" s="764" t="s">
        <v>380</v>
      </c>
      <c r="C138" s="764" t="s">
        <v>527</v>
      </c>
      <c r="D138" s="764" t="s">
        <v>237</v>
      </c>
      <c r="E138" s="764" t="s">
        <v>533</v>
      </c>
      <c r="F138" s="764" t="s">
        <v>310</v>
      </c>
      <c r="G138" s="764" t="s">
        <v>534</v>
      </c>
      <c r="H138" s="765" t="s">
        <v>626</v>
      </c>
      <c r="I138" s="764" t="s">
        <v>627</v>
      </c>
      <c r="J138" s="765" t="s">
        <v>626</v>
      </c>
      <c r="K138" s="765">
        <v>165735</v>
      </c>
      <c r="L138" s="764" t="s">
        <v>1250</v>
      </c>
      <c r="M138" s="764" t="s">
        <v>359</v>
      </c>
      <c r="N138" s="729">
        <v>97.421104</v>
      </c>
      <c r="O138" s="729">
        <v>25.328987000000001</v>
      </c>
      <c r="P138" s="670"/>
      <c r="Q138" s="766">
        <v>0</v>
      </c>
      <c r="R138" s="767">
        <v>0</v>
      </c>
      <c r="S138" s="844" t="str">
        <f>IF(CampList[[#This Row],[HH]]&gt;0,CampList[[#This Row],[Total]]/CampList[[#This Row],[HH]],"NA")</f>
        <v>NA</v>
      </c>
      <c r="T138" s="768" t="s">
        <v>513</v>
      </c>
      <c r="U138" s="769" t="s">
        <v>1194</v>
      </c>
      <c r="V138" s="763" t="s">
        <v>556</v>
      </c>
      <c r="W138" s="769"/>
      <c r="X138" s="886"/>
      <c r="Y138" s="887"/>
      <c r="Z138" s="888"/>
      <c r="AA138" s="771"/>
      <c r="AB138" s="889"/>
      <c r="AC138" s="890"/>
      <c r="AD138" s="891" t="s">
        <v>603</v>
      </c>
      <c r="AE138" s="770" t="s">
        <v>1010</v>
      </c>
      <c r="AF138" s="860">
        <f>IF(CampList[[#This Row],[Type of Accomodation]]="camp",MAX(0,CampList[[#This Row],[HH]]-SUMIF(Table_Shelter[Pcode],CampList[[#This Row],[CP_Pcode]],Table_Shelter[HH Covered])),0)</f>
        <v>0</v>
      </c>
      <c r="AG138" s="763"/>
      <c r="AH138" s="889">
        <f>MIN(CampList[[#This Row],[Shelter Gap]],CampList[[#This Row],[Land Status]])</f>
        <v>0</v>
      </c>
      <c r="AI138" s="763" t="str">
        <f ca="1">IFERROR(OFFSET(DistanceToCamp[Nearest Town],MATCH(CampList[[#This Row],[CP_Pcode]],DistanceToCamp[CP_Pcode],0)-1,0,1,1),"")</f>
        <v/>
      </c>
      <c r="AJ138" s="937" t="str">
        <f ca="1">IFERROR(OFFSET(DistanceToCamp[distance],MATCH(CampList[[#This Row],[CP_Pcode]],DistanceToCamp[CP_Pcode],0)-1,0,1,1),"")</f>
        <v/>
      </c>
      <c r="AK138" s="958" t="str">
        <f ca="1">IFERROR(INT(CampList[[#This Row],[Distance]]/5)+1,"")</f>
        <v/>
      </c>
      <c r="AL138" s="548"/>
      <c r="AM138" s="548"/>
      <c r="AN138" s="548"/>
      <c r="BD138" s="5"/>
      <c r="BE138" s="5"/>
    </row>
    <row r="139" spans="1:57" s="678" customFormat="1" ht="15.6" customHeight="1" x14ac:dyDescent="0.55000000000000004">
      <c r="A139" s="825" t="s">
        <v>502</v>
      </c>
      <c r="B139" s="677" t="s">
        <v>380</v>
      </c>
      <c r="C139" s="677" t="s">
        <v>527</v>
      </c>
      <c r="D139" s="677" t="s">
        <v>5</v>
      </c>
      <c r="E139" s="677" t="s">
        <v>531</v>
      </c>
      <c r="F139" s="677" t="s">
        <v>185</v>
      </c>
      <c r="G139" s="677" t="s">
        <v>535</v>
      </c>
      <c r="H139" s="677" t="s">
        <v>755</v>
      </c>
      <c r="I139" s="689" t="s">
        <v>756</v>
      </c>
      <c r="J139" s="940" t="s">
        <v>1414</v>
      </c>
      <c r="K139" s="940" t="s">
        <v>1415</v>
      </c>
      <c r="L139" s="677" t="s">
        <v>223</v>
      </c>
      <c r="M139" s="677" t="s">
        <v>222</v>
      </c>
      <c r="N139" s="847">
        <v>97.724566999999993</v>
      </c>
      <c r="O139" s="681">
        <v>24.205417000000001</v>
      </c>
      <c r="P139" s="744"/>
      <c r="Q139" s="681">
        <v>124</v>
      </c>
      <c r="R139" s="687">
        <v>544</v>
      </c>
      <c r="S139" s="843">
        <f>IF(CampList[[#This Row],[HH]]&gt;0,CampList[[#This Row],[Total]]/CampList[[#This Row],[HH]],"NA")</f>
        <v>4.387096774193548</v>
      </c>
      <c r="T139" s="420" t="s">
        <v>513</v>
      </c>
      <c r="U139" s="455" t="s">
        <v>1194</v>
      </c>
      <c r="V139" s="420" t="s">
        <v>556</v>
      </c>
      <c r="W139" s="686" t="s">
        <v>805</v>
      </c>
      <c r="X139" s="905">
        <v>40848</v>
      </c>
      <c r="Y139" s="670">
        <v>2</v>
      </c>
      <c r="Z139" s="670" t="s">
        <v>1092</v>
      </c>
      <c r="AA139" s="681" t="s">
        <v>844</v>
      </c>
      <c r="AB139" s="907"/>
      <c r="AC139" s="693">
        <v>42397</v>
      </c>
      <c r="AD139" s="726" t="s">
        <v>1337</v>
      </c>
      <c r="AE139" s="690" t="s">
        <v>1082</v>
      </c>
      <c r="AF139" s="732">
        <f>IF(CampList[[#This Row],[Type of Accomodation]]="camp",MAX(0,CampList[[#This Row],[HH]]-SUMIF(Table_Shelter[Pcode],CampList[[#This Row],[CP_Pcode]],Table_Shelter[HH Covered])),0)</f>
        <v>57</v>
      </c>
      <c r="AG139" s="686"/>
      <c r="AH139" s="692">
        <f>MIN(CampList[[#This Row],[Shelter Gap]],CampList[[#This Row],[Land Status]])</f>
        <v>57</v>
      </c>
      <c r="AI139" s="732" t="str">
        <f ca="1">IFERROR(OFFSET(DistanceToCamp[Nearest Town],MATCH(CampList[[#This Row],[CP_Pcode]],DistanceToCamp[CP_Pcode],0)-1,0,1,1),"")</f>
        <v>Lwegel Town</v>
      </c>
      <c r="AJ139" s="936">
        <f ca="1">IFERROR(OFFSET(DistanceToCamp[distance],MATCH(CampList[[#This Row],[CP_Pcode]],DistanceToCamp[CP_Pcode],0)-1,0,1,1),"")</f>
        <v>0.77978735578277303</v>
      </c>
      <c r="AK139" s="956">
        <f ca="1">IFERROR(INT(CampList[[#This Row],[Distance]]/5)+1,"")</f>
        <v>1</v>
      </c>
      <c r="AL139" s="548"/>
      <c r="AM139" s="548"/>
      <c r="AN139" s="548"/>
      <c r="BD139" s="5"/>
      <c r="BE139" s="5"/>
    </row>
    <row r="140" spans="1:57" s="678" customFormat="1" ht="15.6" hidden="1" customHeight="1" x14ac:dyDescent="0.25">
      <c r="A140" s="822" t="s">
        <v>845</v>
      </c>
      <c r="B140" s="774" t="s">
        <v>380</v>
      </c>
      <c r="C140" s="774" t="s">
        <v>527</v>
      </c>
      <c r="D140" s="774" t="s">
        <v>5</v>
      </c>
      <c r="E140" s="774" t="s">
        <v>531</v>
      </c>
      <c r="F140" s="774" t="s">
        <v>185</v>
      </c>
      <c r="G140" s="774" t="s">
        <v>535</v>
      </c>
      <c r="H140" s="775" t="s">
        <v>664</v>
      </c>
      <c r="I140" s="775" t="s">
        <v>665</v>
      </c>
      <c r="J140" s="775" t="s">
        <v>669</v>
      </c>
      <c r="K140" s="775" t="s">
        <v>670</v>
      </c>
      <c r="L140" s="828" t="s">
        <v>211</v>
      </c>
      <c r="M140" s="774" t="s">
        <v>210</v>
      </c>
      <c r="N140" s="729">
        <v>97.346950000000007</v>
      </c>
      <c r="O140" s="729">
        <v>24.25177</v>
      </c>
      <c r="P140" s="680">
        <v>0</v>
      </c>
      <c r="Q140" s="776"/>
      <c r="R140" s="777"/>
      <c r="S140" s="845" t="str">
        <f>IF(CampList[[#This Row],[HH]]&gt;0,CampList[[#This Row],[Total]]/CampList[[#This Row],[HH]],"NA")</f>
        <v>NA</v>
      </c>
      <c r="T140" s="778" t="s">
        <v>513</v>
      </c>
      <c r="U140" s="779" t="s">
        <v>1194</v>
      </c>
      <c r="V140" s="773" t="s">
        <v>556</v>
      </c>
      <c r="W140" s="779" t="s">
        <v>805</v>
      </c>
      <c r="X140" s="902">
        <v>40756</v>
      </c>
      <c r="Y140" s="909">
        <v>2</v>
      </c>
      <c r="Z140" s="902" t="s">
        <v>1092</v>
      </c>
      <c r="AA140" s="781" t="s">
        <v>844</v>
      </c>
      <c r="AB140" s="895"/>
      <c r="AC140" s="792">
        <v>41971</v>
      </c>
      <c r="AD140" s="897" t="s">
        <v>1122</v>
      </c>
      <c r="AE140" s="790" t="s">
        <v>1096</v>
      </c>
      <c r="AF140" s="814">
        <f>IF(CampList[[#This Row],[Type of Accomodation]]="camp",MAX(0,CampList[[#This Row],[HH]]-SUMIF(Table_Shelter[Pcode],CampList[[#This Row],[CP_Pcode]],Table_Shelter[HH Covered])),0)</f>
        <v>0</v>
      </c>
      <c r="AG140" s="773"/>
      <c r="AH140" s="895">
        <f>MIN(CampList[[#This Row],[Shelter Gap]],CampList[[#This Row],[Land Status]])</f>
        <v>0</v>
      </c>
      <c r="AI140" s="773" t="str">
        <f ca="1">IFERROR(OFFSET(DistanceToCamp[Nearest Town],MATCH(CampList[[#This Row],[CP_Pcode]],DistanceToCamp[CP_Pcode],0)-1,0,1,1),"")</f>
        <v/>
      </c>
      <c r="AJ140" s="938" t="str">
        <f ca="1">IFERROR(OFFSET(DistanceToCamp[distance],MATCH(CampList[[#This Row],[CP_Pcode]],DistanceToCamp[CP_Pcode],0)-1,0,1,1),"")</f>
        <v/>
      </c>
      <c r="AK140" s="959" t="str">
        <f ca="1">IFERROR(INT(CampList[[#This Row],[Distance]]/5)+1,"")</f>
        <v/>
      </c>
      <c r="AL140" s="548"/>
      <c r="AM140" s="548"/>
      <c r="AN140" s="548"/>
      <c r="BD140" s="5"/>
      <c r="BE140" s="5"/>
    </row>
    <row r="141" spans="1:57" s="678" customFormat="1" ht="15.6" hidden="1" customHeight="1" x14ac:dyDescent="0.25">
      <c r="A141" s="819" t="s">
        <v>845</v>
      </c>
      <c r="B141" s="701" t="s">
        <v>555</v>
      </c>
      <c r="C141" s="701" t="s">
        <v>538</v>
      </c>
      <c r="D141" s="701" t="s">
        <v>230</v>
      </c>
      <c r="E141" s="701" t="s">
        <v>539</v>
      </c>
      <c r="F141" s="701" t="s">
        <v>230</v>
      </c>
      <c r="G141" s="701" t="s">
        <v>540</v>
      </c>
      <c r="H141" s="758" t="s">
        <v>817</v>
      </c>
      <c r="I141" s="701" t="s">
        <v>1260</v>
      </c>
      <c r="J141" s="758" t="s">
        <v>818</v>
      </c>
      <c r="K141" s="758"/>
      <c r="L141" s="525" t="s">
        <v>233</v>
      </c>
      <c r="M141" s="701" t="s">
        <v>232</v>
      </c>
      <c r="N141" s="729">
        <v>98.320651999999995</v>
      </c>
      <c r="O141" s="729">
        <v>24.101320999999999</v>
      </c>
      <c r="P141" s="680">
        <v>2979</v>
      </c>
      <c r="Q141" s="748"/>
      <c r="R141" s="749"/>
      <c r="S141" s="841" t="str">
        <f>IF(CampList[[#This Row],[HH]]&gt;0,CampList[[#This Row],[Total]]/CampList[[#This Row],[HH]],"NA")</f>
        <v>NA</v>
      </c>
      <c r="T141" s="750" t="s">
        <v>515</v>
      </c>
      <c r="U141" s="703" t="s">
        <v>1194</v>
      </c>
      <c r="V141" s="700" t="s">
        <v>556</v>
      </c>
      <c r="W141" s="703" t="s">
        <v>805</v>
      </c>
      <c r="X141" s="906">
        <v>41091</v>
      </c>
      <c r="Y141" s="916">
        <v>1</v>
      </c>
      <c r="Z141" s="906" t="s">
        <v>462</v>
      </c>
      <c r="AA141" s="705" t="s">
        <v>844</v>
      </c>
      <c r="AB141" s="878"/>
      <c r="AC141" s="901">
        <v>42536</v>
      </c>
      <c r="AD141" s="880" t="s">
        <v>1471</v>
      </c>
      <c r="AE141" s="704" t="s">
        <v>1080</v>
      </c>
      <c r="AF141" s="861">
        <f>IF(CampList[[#This Row],[Type of Accomodation]]="camp",MAX(0,CampList[[#This Row],[HH]]-SUMIF(Table_Shelter[Pcode],CampList[[#This Row],[CP_Pcode]],Table_Shelter[HH Covered])),0)</f>
        <v>0</v>
      </c>
      <c r="AG141" s="700"/>
      <c r="AH141" s="878">
        <f>MIN(CampList[[#This Row],[Shelter Gap]],CampList[[#This Row],[Land Status]])</f>
        <v>0</v>
      </c>
      <c r="AI141" s="700" t="str">
        <f ca="1">IFERROR(OFFSET(DistanceToCamp[Nearest Town],MATCH(CampList[[#This Row],[CP_Pcode]],DistanceToCamp[CP_Pcode],0)-1,0,1,1),"")</f>
        <v>Monekoe Town</v>
      </c>
      <c r="AJ141" s="935">
        <f ca="1">IFERROR(OFFSET(DistanceToCamp[distance],MATCH(CampList[[#This Row],[CP_Pcode]],DistanceToCamp[CP_Pcode],0)-1,0,1,1),"")</f>
        <v>1.789574394782699</v>
      </c>
      <c r="AK141" s="955">
        <f ca="1">IFERROR(INT(CampList[[#This Row],[Distance]]/5)+1,"")</f>
        <v>1</v>
      </c>
      <c r="AL141" s="548"/>
      <c r="AM141" s="548"/>
      <c r="AN141" s="548"/>
      <c r="BD141" s="5"/>
      <c r="BE141" s="5"/>
    </row>
    <row r="142" spans="1:57" s="678" customFormat="1" ht="15.6" customHeight="1" x14ac:dyDescent="0.25">
      <c r="A142" s="820" t="s">
        <v>502</v>
      </c>
      <c r="B142" s="216" t="s">
        <v>380</v>
      </c>
      <c r="C142" s="216" t="s">
        <v>527</v>
      </c>
      <c r="D142" s="216" t="s">
        <v>5</v>
      </c>
      <c r="E142" s="216" t="s">
        <v>531</v>
      </c>
      <c r="F142" s="216" t="s">
        <v>185</v>
      </c>
      <c r="G142" s="216" t="s">
        <v>535</v>
      </c>
      <c r="H142" s="669" t="s">
        <v>755</v>
      </c>
      <c r="I142" s="669" t="s">
        <v>756</v>
      </c>
      <c r="J142" s="653" t="s">
        <v>1414</v>
      </c>
      <c r="K142" s="653" t="s">
        <v>1415</v>
      </c>
      <c r="L142" s="435" t="s">
        <v>186</v>
      </c>
      <c r="M142" s="216" t="s">
        <v>184</v>
      </c>
      <c r="N142" s="842">
        <v>97.718582999999995</v>
      </c>
      <c r="O142" s="729">
        <v>24.200972</v>
      </c>
      <c r="P142" s="744"/>
      <c r="Q142" s="681">
        <v>36</v>
      </c>
      <c r="R142" s="681">
        <v>214</v>
      </c>
      <c r="S142" s="843">
        <f>IF(CampList[[#This Row],[HH]]&gt;0,CampList[[#This Row],[Total]]/CampList[[#This Row],[HH]],"NA")</f>
        <v>5.9444444444444446</v>
      </c>
      <c r="T142" s="455" t="s">
        <v>513</v>
      </c>
      <c r="U142" s="673" t="s">
        <v>1194</v>
      </c>
      <c r="V142" s="668" t="s">
        <v>556</v>
      </c>
      <c r="W142" s="673" t="s">
        <v>805</v>
      </c>
      <c r="X142" s="898">
        <v>41030</v>
      </c>
      <c r="Y142" s="882">
        <v>1</v>
      </c>
      <c r="Z142" s="881" t="s">
        <v>462</v>
      </c>
      <c r="AA142" s="675" t="s">
        <v>844</v>
      </c>
      <c r="AB142" s="883"/>
      <c r="AC142" s="693">
        <v>42536</v>
      </c>
      <c r="AD142" s="885" t="s">
        <v>1444</v>
      </c>
      <c r="AE142" s="682" t="s">
        <v>1082</v>
      </c>
      <c r="AF142" s="686">
        <f>IF(CampList[[#This Row],[Type of Accomodation]]="camp",MAX(0,CampList[[#This Row],[HH]]-SUMIF(Table_Shelter[Pcode],CampList[[#This Row],[CP_Pcode]],Table_Shelter[HH Covered])),0)</f>
        <v>0</v>
      </c>
      <c r="AG142" s="668"/>
      <c r="AH142" s="883">
        <f>MIN(CampList[[#This Row],[Shelter Gap]],CampList[[#This Row],[Land Status]])</f>
        <v>0</v>
      </c>
      <c r="AI142" s="668" t="str">
        <f ca="1">IFERROR(OFFSET(DistanceToCamp[Nearest Town],MATCH(CampList[[#This Row],[CP_Pcode]],DistanceToCamp[CP_Pcode],0)-1,0,1,1),"")</f>
        <v>Lwegel Town</v>
      </c>
      <c r="AJ142" s="936">
        <f ca="1">IFERROR(OFFSET(DistanceToCamp[distance],MATCH(CampList[[#This Row],[CP_Pcode]],DistanceToCamp[CP_Pcode],0)-1,0,1,1),"")</f>
        <v>0.28829825866869707</v>
      </c>
      <c r="AK142" s="957">
        <f ca="1">IFERROR(INT(CampList[[#This Row],[Distance]]/5)+1,"")</f>
        <v>1</v>
      </c>
      <c r="AL142" s="548"/>
      <c r="AM142" s="548"/>
      <c r="AN142" s="548"/>
      <c r="BD142" s="5"/>
      <c r="BE142" s="5"/>
    </row>
    <row r="143" spans="1:57" s="678" customFormat="1" ht="15.6" hidden="1" customHeight="1" x14ac:dyDescent="0.25">
      <c r="A143" s="822" t="s">
        <v>845</v>
      </c>
      <c r="B143" s="774" t="s">
        <v>380</v>
      </c>
      <c r="C143" s="774" t="s">
        <v>527</v>
      </c>
      <c r="D143" s="774" t="s">
        <v>5</v>
      </c>
      <c r="E143" s="774" t="s">
        <v>531</v>
      </c>
      <c r="F143" s="774" t="s">
        <v>151</v>
      </c>
      <c r="G143" s="774" t="s">
        <v>541</v>
      </c>
      <c r="H143" s="787" t="s">
        <v>628</v>
      </c>
      <c r="I143" s="787" t="s">
        <v>629</v>
      </c>
      <c r="J143" s="787" t="s">
        <v>628</v>
      </c>
      <c r="K143" s="787">
        <v>167495</v>
      </c>
      <c r="L143" s="774" t="s">
        <v>296</v>
      </c>
      <c r="M143" s="774" t="s">
        <v>389</v>
      </c>
      <c r="N143" s="729">
        <v>97.174999999999997</v>
      </c>
      <c r="O143" s="729">
        <v>23.867000000000001</v>
      </c>
      <c r="P143" s="670"/>
      <c r="Q143" s="776">
        <v>0</v>
      </c>
      <c r="R143" s="777">
        <v>0</v>
      </c>
      <c r="S143" s="845" t="str">
        <f>IF(CampList[[#This Row],[HH]]&gt;0,CampList[[#This Row],[Total]]/CampList[[#This Row],[HH]],"NA")</f>
        <v>NA</v>
      </c>
      <c r="T143" s="778" t="s">
        <v>515</v>
      </c>
      <c r="U143" s="779" t="s">
        <v>1194</v>
      </c>
      <c r="V143" s="773" t="s">
        <v>556</v>
      </c>
      <c r="W143" s="779"/>
      <c r="X143" s="892"/>
      <c r="Y143" s="893"/>
      <c r="Z143" s="894"/>
      <c r="AA143" s="807"/>
      <c r="AB143" s="895"/>
      <c r="AC143" s="792">
        <v>41701</v>
      </c>
      <c r="AD143" s="897" t="s">
        <v>1016</v>
      </c>
      <c r="AE143" s="780" t="s">
        <v>1010</v>
      </c>
      <c r="AF143" s="814">
        <f>IF(CampList[[#This Row],[Type of Accomodation]]="camp",MAX(0,CampList[[#This Row],[HH]]-SUMIF(Table_Shelter[Pcode],CampList[[#This Row],[CP_Pcode]],Table_Shelter[HH Covered])),0)</f>
        <v>0</v>
      </c>
      <c r="AG143" s="773"/>
      <c r="AH143" s="895">
        <f>MIN(CampList[[#This Row],[Shelter Gap]],CampList[[#This Row],[Land Status]])</f>
        <v>0</v>
      </c>
      <c r="AI143" s="773" t="str">
        <f ca="1">IFERROR(OFFSET(DistanceToCamp[Nearest Town],MATCH(CampList[[#This Row],[CP_Pcode]],DistanceToCamp[CP_Pcode],0)-1,0,1,1),"")</f>
        <v/>
      </c>
      <c r="AJ143" s="938" t="str">
        <f ca="1">IFERROR(OFFSET(DistanceToCamp[distance],MATCH(CampList[[#This Row],[CP_Pcode]],DistanceToCamp[CP_Pcode],0)-1,0,1,1),"")</f>
        <v/>
      </c>
      <c r="AK143" s="959" t="str">
        <f ca="1">IFERROR(INT(CampList[[#This Row],[Distance]]/5)+1,"")</f>
        <v/>
      </c>
      <c r="AL143" s="548"/>
      <c r="AM143" s="548"/>
      <c r="AN143" s="548"/>
      <c r="BD143" s="5"/>
      <c r="BE143" s="5"/>
    </row>
    <row r="144" spans="1:57" s="678" customFormat="1" ht="15.6" hidden="1" customHeight="1" x14ac:dyDescent="0.25">
      <c r="A144" s="819" t="s">
        <v>845</v>
      </c>
      <c r="B144" s="701" t="s">
        <v>380</v>
      </c>
      <c r="C144" s="701" t="s">
        <v>527</v>
      </c>
      <c r="D144" s="701" t="s">
        <v>5</v>
      </c>
      <c r="E144" s="701" t="s">
        <v>531</v>
      </c>
      <c r="F144" s="701" t="s">
        <v>151</v>
      </c>
      <c r="G144" s="701" t="s">
        <v>541</v>
      </c>
      <c r="H144" s="747" t="s">
        <v>628</v>
      </c>
      <c r="I144" s="747" t="s">
        <v>629</v>
      </c>
      <c r="J144" s="747"/>
      <c r="K144" s="747"/>
      <c r="L144" s="701" t="s">
        <v>520</v>
      </c>
      <c r="M144" s="701" t="s">
        <v>521</v>
      </c>
      <c r="N144" s="729">
        <v>96.808850000000007</v>
      </c>
      <c r="O144" s="729">
        <v>24.20645</v>
      </c>
      <c r="P144" s="680">
        <v>781.8</v>
      </c>
      <c r="Q144" s="748">
        <v>0</v>
      </c>
      <c r="R144" s="749">
        <v>0</v>
      </c>
      <c r="S144" s="841" t="str">
        <f>IF(CampList[[#This Row],[HH]]&gt;0,CampList[[#This Row],[Total]]/CampList[[#This Row],[HH]],"NA")</f>
        <v>NA</v>
      </c>
      <c r="T144" s="750" t="s">
        <v>515</v>
      </c>
      <c r="U144" s="703" t="s">
        <v>1194</v>
      </c>
      <c r="V144" s="700" t="s">
        <v>556</v>
      </c>
      <c r="W144" s="703" t="s">
        <v>858</v>
      </c>
      <c r="X144" s="906">
        <v>41091</v>
      </c>
      <c r="Y144" s="916"/>
      <c r="Z144" s="906"/>
      <c r="AA144" s="705" t="s">
        <v>844</v>
      </c>
      <c r="AB144" s="878"/>
      <c r="AC144" s="901">
        <v>41661</v>
      </c>
      <c r="AD144" s="880" t="s">
        <v>940</v>
      </c>
      <c r="AE144" s="704" t="s">
        <v>1010</v>
      </c>
      <c r="AF144" s="861">
        <f>IF(CampList[[#This Row],[Type of Accomodation]]="camp",MAX(0,CampList[[#This Row],[HH]]-SUMIF(Table_Shelter[Pcode],CampList[[#This Row],[CP_Pcode]],Table_Shelter[HH Covered])),0)</f>
        <v>0</v>
      </c>
      <c r="AG144" s="700"/>
      <c r="AH144" s="878">
        <f>MIN(CampList[[#This Row],[Shelter Gap]],CampList[[#This Row],[Land Status]])</f>
        <v>0</v>
      </c>
      <c r="AI144" s="700" t="str">
        <f ca="1">IFERROR(OFFSET(DistanceToCamp[Nearest Town],MATCH(CampList[[#This Row],[CP_Pcode]],DistanceToCamp[CP_Pcode],0)-1,0,1,1),"")</f>
        <v/>
      </c>
      <c r="AJ144" s="935" t="str">
        <f ca="1">IFERROR(OFFSET(DistanceToCamp[distance],MATCH(CampList[[#This Row],[CP_Pcode]],DistanceToCamp[CP_Pcode],0)-1,0,1,1),"")</f>
        <v/>
      </c>
      <c r="AK144" s="955" t="str">
        <f ca="1">IFERROR(INT(CampList[[#This Row],[Distance]]/5)+1,"")</f>
        <v/>
      </c>
      <c r="AL144" s="548"/>
      <c r="AM144" s="548"/>
      <c r="AN144" s="548"/>
      <c r="BD144" s="5"/>
      <c r="BE144" s="5"/>
    </row>
    <row r="145" spans="1:57" s="678" customFormat="1" ht="15.6" customHeight="1" x14ac:dyDescent="0.25">
      <c r="A145" s="820" t="s">
        <v>502</v>
      </c>
      <c r="B145" s="216" t="s">
        <v>380</v>
      </c>
      <c r="C145" s="216" t="s">
        <v>527</v>
      </c>
      <c r="D145" s="216" t="s">
        <v>5</v>
      </c>
      <c r="E145" s="216" t="s">
        <v>531</v>
      </c>
      <c r="F145" s="216" t="s">
        <v>185</v>
      </c>
      <c r="G145" s="216" t="s">
        <v>535</v>
      </c>
      <c r="H145" s="669" t="s">
        <v>755</v>
      </c>
      <c r="I145" s="669" t="s">
        <v>756</v>
      </c>
      <c r="J145" s="669" t="s">
        <v>760</v>
      </c>
      <c r="K145" s="669" t="s">
        <v>761</v>
      </c>
      <c r="L145" s="435" t="s">
        <v>190</v>
      </c>
      <c r="M145" s="216" t="s">
        <v>189</v>
      </c>
      <c r="N145" s="842">
        <v>97.717133000000004</v>
      </c>
      <c r="O145" s="729">
        <v>24.200433</v>
      </c>
      <c r="P145" s="743">
        <v>0</v>
      </c>
      <c r="Q145" s="681">
        <v>190</v>
      </c>
      <c r="R145" s="681">
        <v>1021</v>
      </c>
      <c r="S145" s="843">
        <f>IF(CampList[[#This Row],[HH]]&gt;0,CampList[[#This Row],[Total]]/CampList[[#This Row],[HH]],"NA")</f>
        <v>5.3736842105263154</v>
      </c>
      <c r="T145" s="455" t="s">
        <v>513</v>
      </c>
      <c r="U145" s="673" t="s">
        <v>1194</v>
      </c>
      <c r="V145" s="668" t="s">
        <v>556</v>
      </c>
      <c r="W145" s="673" t="s">
        <v>805</v>
      </c>
      <c r="X145" s="881">
        <v>41000</v>
      </c>
      <c r="Y145" s="882">
        <v>2</v>
      </c>
      <c r="Z145" s="881" t="s">
        <v>462</v>
      </c>
      <c r="AA145" s="675" t="s">
        <v>844</v>
      </c>
      <c r="AB145" s="883"/>
      <c r="AC145" s="693">
        <v>42536</v>
      </c>
      <c r="AD145" s="885" t="s">
        <v>1444</v>
      </c>
      <c r="AE145" s="682" t="s">
        <v>1082</v>
      </c>
      <c r="AF145" s="686">
        <f>IF(CampList[[#This Row],[Type of Accomodation]]="camp",MAX(0,CampList[[#This Row],[HH]]-SUMIF(Table_Shelter[Pcode],CampList[[#This Row],[CP_Pcode]],Table_Shelter[HH Covered])),0)</f>
        <v>108</v>
      </c>
      <c r="AG145" s="668"/>
      <c r="AH145" s="883">
        <f>MIN(CampList[[#This Row],[Shelter Gap]],CampList[[#This Row],[Land Status]])</f>
        <v>108</v>
      </c>
      <c r="AI145" s="668" t="str">
        <f ca="1">IFERROR(OFFSET(DistanceToCamp[Nearest Town],MATCH(CampList[[#This Row],[CP_Pcode]],DistanceToCamp[CP_Pcode],0)-1,0,1,1),"")</f>
        <v>Lwegel Town</v>
      </c>
      <c r="AJ145" s="936">
        <f ca="1">IFERROR(OFFSET(DistanceToCamp[distance],MATCH(CampList[[#This Row],[CP_Pcode]],DistanceToCamp[CP_Pcode],0)-1,0,1,1),"")</f>
        <v>0.38934692601696641</v>
      </c>
      <c r="AK145" s="957">
        <f ca="1">IFERROR(INT(CampList[[#This Row],[Distance]]/5)+1,"")</f>
        <v>1</v>
      </c>
      <c r="AL145" s="548"/>
      <c r="AM145" s="548"/>
      <c r="AN145" s="548"/>
      <c r="BD145" s="5"/>
      <c r="BE145" s="5"/>
    </row>
    <row r="146" spans="1:57" s="678" customFormat="1" ht="15.6" customHeight="1" x14ac:dyDescent="0.55000000000000004">
      <c r="A146" s="820" t="s">
        <v>502</v>
      </c>
      <c r="B146" s="216" t="s">
        <v>380</v>
      </c>
      <c r="C146" s="216" t="s">
        <v>527</v>
      </c>
      <c r="D146" s="216" t="s">
        <v>5</v>
      </c>
      <c r="E146" s="216" t="s">
        <v>531</v>
      </c>
      <c r="F146" s="216" t="s">
        <v>185</v>
      </c>
      <c r="G146" s="216" t="s">
        <v>535</v>
      </c>
      <c r="H146" s="679" t="s">
        <v>755</v>
      </c>
      <c r="I146" s="679" t="s">
        <v>1261</v>
      </c>
      <c r="J146" s="940" t="s">
        <v>760</v>
      </c>
      <c r="K146" s="940" t="s">
        <v>761</v>
      </c>
      <c r="L146" s="435" t="s">
        <v>229</v>
      </c>
      <c r="M146" s="216" t="s">
        <v>228</v>
      </c>
      <c r="N146" s="842">
        <v>97.724483000000006</v>
      </c>
      <c r="O146" s="729">
        <v>24.205417000000001</v>
      </c>
      <c r="P146" s="743">
        <v>0</v>
      </c>
      <c r="Q146" s="681">
        <v>50</v>
      </c>
      <c r="R146" s="681">
        <v>308</v>
      </c>
      <c r="S146" s="843">
        <f>IF(CampList[[#This Row],[HH]]&gt;0,CampList[[#This Row],[Total]]/CampList[[#This Row],[HH]],"NA")</f>
        <v>6.16</v>
      </c>
      <c r="T146" s="455" t="s">
        <v>513</v>
      </c>
      <c r="U146" s="673" t="s">
        <v>1194</v>
      </c>
      <c r="V146" s="668" t="s">
        <v>556</v>
      </c>
      <c r="W146" s="673" t="s">
        <v>805</v>
      </c>
      <c r="X146" s="881">
        <v>41122</v>
      </c>
      <c r="Y146" s="882">
        <v>1</v>
      </c>
      <c r="Z146" s="881" t="s">
        <v>462</v>
      </c>
      <c r="AA146" s="433" t="s">
        <v>844</v>
      </c>
      <c r="AB146" s="883"/>
      <c r="AC146" s="693">
        <v>42536</v>
      </c>
      <c r="AD146" s="884" t="s">
        <v>1445</v>
      </c>
      <c r="AE146" s="682" t="s">
        <v>1082</v>
      </c>
      <c r="AF146" s="686">
        <f>IF(CampList[[#This Row],[Type of Accomodation]]="camp",MAX(0,CampList[[#This Row],[HH]]-SUMIF(Table_Shelter[Pcode],CampList[[#This Row],[CP_Pcode]],Table_Shelter[HH Covered])),0)</f>
        <v>5</v>
      </c>
      <c r="AG146" s="686"/>
      <c r="AH146" s="883">
        <f>MIN(CampList[[#This Row],[Shelter Gap]],CampList[[#This Row],[Land Status]])</f>
        <v>5</v>
      </c>
      <c r="AI146" s="668" t="str">
        <f ca="1">IFERROR(OFFSET(DistanceToCamp[Nearest Town],MATCH(CampList[[#This Row],[CP_Pcode]],DistanceToCamp[CP_Pcode],0)-1,0,1,1),"")</f>
        <v>Lwegel Town</v>
      </c>
      <c r="AJ146" s="936">
        <f ca="1">IFERROR(OFFSET(DistanceToCamp[distance],MATCH(CampList[[#This Row],[CP_Pcode]],DistanceToCamp[CP_Pcode],0)-1,0,1,1),"")</f>
        <v>0.77561767807574999</v>
      </c>
      <c r="AK146" s="957">
        <f ca="1">IFERROR(INT(CampList[[#This Row],[Distance]]/5)+1,"")</f>
        <v>1</v>
      </c>
      <c r="AL146" s="548"/>
      <c r="AM146" s="548"/>
      <c r="AN146" s="548"/>
      <c r="BD146" s="5"/>
      <c r="BE146" s="5"/>
    </row>
    <row r="147" spans="1:57" s="678" customFormat="1" ht="15.6" hidden="1" customHeight="1" x14ac:dyDescent="0.25">
      <c r="A147" s="822" t="s">
        <v>845</v>
      </c>
      <c r="B147" s="774" t="s">
        <v>555</v>
      </c>
      <c r="C147" s="774" t="s">
        <v>538</v>
      </c>
      <c r="D147" s="774" t="s">
        <v>230</v>
      </c>
      <c r="E147" s="774" t="s">
        <v>539</v>
      </c>
      <c r="F147" s="774" t="s">
        <v>146</v>
      </c>
      <c r="G147" s="774" t="s">
        <v>546</v>
      </c>
      <c r="H147" s="787" t="s">
        <v>787</v>
      </c>
      <c r="I147" s="787" t="s">
        <v>788</v>
      </c>
      <c r="J147" s="808" t="s">
        <v>789</v>
      </c>
      <c r="K147" s="808"/>
      <c r="L147" s="774" t="s">
        <v>367</v>
      </c>
      <c r="M147" s="774" t="s">
        <v>386</v>
      </c>
      <c r="N147" s="729">
        <v>98.213958000000005</v>
      </c>
      <c r="O147" s="729">
        <v>23.391741</v>
      </c>
      <c r="P147" s="680">
        <v>0</v>
      </c>
      <c r="Q147" s="776">
        <v>0</v>
      </c>
      <c r="R147" s="777">
        <v>0</v>
      </c>
      <c r="S147" s="845" t="str">
        <f>IF(CampList[[#This Row],[HH]]&gt;0,CampList[[#This Row],[Total]]/CampList[[#This Row],[HH]],"NA")</f>
        <v>NA</v>
      </c>
      <c r="T147" s="778" t="s">
        <v>513</v>
      </c>
      <c r="U147" s="779" t="s">
        <v>1194</v>
      </c>
      <c r="V147" s="773" t="s">
        <v>556</v>
      </c>
      <c r="W147" s="779" t="s">
        <v>858</v>
      </c>
      <c r="X147" s="902">
        <v>40787</v>
      </c>
      <c r="Y147" s="909"/>
      <c r="Z147" s="902"/>
      <c r="AA147" s="786" t="s">
        <v>844</v>
      </c>
      <c r="AB147" s="895"/>
      <c r="AC147" s="792">
        <v>41701</v>
      </c>
      <c r="AD147" s="897" t="s">
        <v>1018</v>
      </c>
      <c r="AE147" s="790" t="s">
        <v>1010</v>
      </c>
      <c r="AF147" s="814">
        <f>IF(CampList[[#This Row],[Type of Accomodation]]="camp",MAX(0,CampList[[#This Row],[HH]]-SUMIF(Table_Shelter[Pcode],CampList[[#This Row],[CP_Pcode]],Table_Shelter[HH Covered])),0)</f>
        <v>0</v>
      </c>
      <c r="AG147" s="773"/>
      <c r="AH147" s="895">
        <f>MIN(CampList[[#This Row],[Shelter Gap]],CampList[[#This Row],[Land Status]])</f>
        <v>0</v>
      </c>
      <c r="AI147" s="773" t="str">
        <f ca="1">IFERROR(OFFSET(DistanceToCamp[Nearest Town],MATCH(CampList[[#This Row],[CP_Pcode]],DistanceToCamp[CP_Pcode],0)-1,0,1,1),"")</f>
        <v/>
      </c>
      <c r="AJ147" s="938" t="str">
        <f ca="1">IFERROR(OFFSET(DistanceToCamp[distance],MATCH(CampList[[#This Row],[CP_Pcode]],DistanceToCamp[CP_Pcode],0)-1,0,1,1),"")</f>
        <v/>
      </c>
      <c r="AK147" s="959" t="str">
        <f ca="1">IFERROR(INT(CampList[[#This Row],[Distance]]/5)+1,"")</f>
        <v/>
      </c>
      <c r="AL147" s="548"/>
      <c r="AM147" s="548"/>
      <c r="AN147" s="548"/>
      <c r="BD147" s="5"/>
      <c r="BE147" s="5"/>
    </row>
    <row r="148" spans="1:57" s="678" customFormat="1" ht="15.6" hidden="1" customHeight="1" x14ac:dyDescent="0.25">
      <c r="A148" s="819" t="s">
        <v>845</v>
      </c>
      <c r="B148" s="701" t="s">
        <v>380</v>
      </c>
      <c r="C148" s="701" t="s">
        <v>527</v>
      </c>
      <c r="D148" s="701" t="s">
        <v>180</v>
      </c>
      <c r="E148" s="701" t="s">
        <v>528</v>
      </c>
      <c r="F148" s="701" t="s">
        <v>529</v>
      </c>
      <c r="G148" s="701" t="s">
        <v>530</v>
      </c>
      <c r="H148" s="747" t="s">
        <v>614</v>
      </c>
      <c r="I148" s="747" t="s">
        <v>615</v>
      </c>
      <c r="J148" s="747" t="s">
        <v>614</v>
      </c>
      <c r="K148" s="747">
        <v>166773</v>
      </c>
      <c r="L148" s="701" t="s">
        <v>142</v>
      </c>
      <c r="M148" s="701" t="s">
        <v>141</v>
      </c>
      <c r="N148" s="729">
        <v>96.354159999999993</v>
      </c>
      <c r="O148" s="729">
        <v>25.658670000000001</v>
      </c>
      <c r="P148" s="680">
        <v>0</v>
      </c>
      <c r="Q148" s="748">
        <v>0</v>
      </c>
      <c r="R148" s="749">
        <v>0</v>
      </c>
      <c r="S148" s="841" t="str">
        <f>IF(CampList[[#This Row],[HH]]&gt;0,CampList[[#This Row],[Total]]/CampList[[#This Row],[HH]],"NA")</f>
        <v>NA</v>
      </c>
      <c r="T148" s="750" t="s">
        <v>513</v>
      </c>
      <c r="U148" s="703" t="s">
        <v>1194</v>
      </c>
      <c r="V148" s="700" t="s">
        <v>556</v>
      </c>
      <c r="W148" s="703" t="s">
        <v>858</v>
      </c>
      <c r="X148" s="906">
        <v>41275</v>
      </c>
      <c r="Y148" s="916"/>
      <c r="Z148" s="906"/>
      <c r="AA148" s="751" t="s">
        <v>843</v>
      </c>
      <c r="AB148" s="878"/>
      <c r="AC148" s="901">
        <v>41774</v>
      </c>
      <c r="AD148" s="880" t="s">
        <v>1051</v>
      </c>
      <c r="AE148" s="704" t="s">
        <v>1010</v>
      </c>
      <c r="AF148" s="861">
        <f>IF(CampList[[#This Row],[Type of Accomodation]]="camp",MAX(0,CampList[[#This Row],[HH]]-SUMIF(Table_Shelter[Pcode],CampList[[#This Row],[CP_Pcode]],Table_Shelter[HH Covered])),0)</f>
        <v>0</v>
      </c>
      <c r="AG148" s="700"/>
      <c r="AH148" s="878">
        <f>MIN(CampList[[#This Row],[Shelter Gap]],CampList[[#This Row],[Land Status]])</f>
        <v>0</v>
      </c>
      <c r="AI148" s="700" t="str">
        <f ca="1">IFERROR(OFFSET(DistanceToCamp[Nearest Town],MATCH(CampList[[#This Row],[CP_Pcode]],DistanceToCamp[CP_Pcode],0)-1,0,1,1),"")</f>
        <v/>
      </c>
      <c r="AJ148" s="935" t="str">
        <f ca="1">IFERROR(OFFSET(DistanceToCamp[distance],MATCH(CampList[[#This Row],[CP_Pcode]],DistanceToCamp[CP_Pcode],0)-1,0,1,1),"")</f>
        <v/>
      </c>
      <c r="AK148" s="955" t="str">
        <f ca="1">IFERROR(INT(CampList[[#This Row],[Distance]]/5)+1,"")</f>
        <v/>
      </c>
      <c r="AL148" s="548"/>
      <c r="AM148" s="548"/>
      <c r="AN148" s="548"/>
      <c r="BD148" s="5"/>
      <c r="BE148" s="5"/>
    </row>
    <row r="149" spans="1:57" s="678" customFormat="1" ht="15.6" customHeight="1" x14ac:dyDescent="0.25">
      <c r="A149" s="820" t="s">
        <v>502</v>
      </c>
      <c r="B149" s="216" t="s">
        <v>380</v>
      </c>
      <c r="C149" s="216" t="s">
        <v>527</v>
      </c>
      <c r="D149" s="216" t="s">
        <v>5</v>
      </c>
      <c r="E149" s="216" t="s">
        <v>531</v>
      </c>
      <c r="F149" s="216" t="s">
        <v>185</v>
      </c>
      <c r="G149" s="216" t="s">
        <v>535</v>
      </c>
      <c r="H149" s="679" t="s">
        <v>755</v>
      </c>
      <c r="I149" s="679" t="s">
        <v>756</v>
      </c>
      <c r="J149" s="679" t="s">
        <v>1420</v>
      </c>
      <c r="K149" s="679" t="s">
        <v>1421</v>
      </c>
      <c r="L149" s="435" t="s">
        <v>225</v>
      </c>
      <c r="M149" s="216" t="s">
        <v>224</v>
      </c>
      <c r="N149" s="842">
        <v>97.710864000000001</v>
      </c>
      <c r="O149" s="729">
        <v>24.207332999999998</v>
      </c>
      <c r="P149" s="743">
        <v>0</v>
      </c>
      <c r="Q149" s="681">
        <v>39</v>
      </c>
      <c r="R149" s="681">
        <v>249</v>
      </c>
      <c r="S149" s="843">
        <f>IF(CampList[[#This Row],[HH]]&gt;0,CampList[[#This Row],[Total]]/CampList[[#This Row],[HH]],"NA")</f>
        <v>6.384615384615385</v>
      </c>
      <c r="T149" s="455" t="s">
        <v>513</v>
      </c>
      <c r="U149" s="673" t="s">
        <v>1194</v>
      </c>
      <c r="V149" s="668" t="s">
        <v>556</v>
      </c>
      <c r="W149" s="673" t="s">
        <v>805</v>
      </c>
      <c r="X149" s="881">
        <v>41122</v>
      </c>
      <c r="Y149" s="882">
        <v>1</v>
      </c>
      <c r="Z149" s="881" t="s">
        <v>462</v>
      </c>
      <c r="AA149" s="433" t="s">
        <v>844</v>
      </c>
      <c r="AB149" s="883"/>
      <c r="AC149" s="693">
        <v>42536</v>
      </c>
      <c r="AD149" s="884" t="s">
        <v>1445</v>
      </c>
      <c r="AE149" s="682" t="s">
        <v>1082</v>
      </c>
      <c r="AF149" s="686">
        <f>IF(CampList[[#This Row],[Type of Accomodation]]="camp",MAX(0,CampList[[#This Row],[HH]]-SUMIF(Table_Shelter[Pcode],CampList[[#This Row],[CP_Pcode]],Table_Shelter[HH Covered])),0)</f>
        <v>0</v>
      </c>
      <c r="AG149" s="668"/>
      <c r="AH149" s="883">
        <f>MIN(CampList[[#This Row],[Shelter Gap]],CampList[[#This Row],[Land Status]])</f>
        <v>0</v>
      </c>
      <c r="AI149" s="668" t="str">
        <f ca="1">IFERROR(OFFSET(DistanceToCamp[Nearest Town],MATCH(CampList[[#This Row],[CP_Pcode]],DistanceToCamp[CP_Pcode],0)-1,0,1,1),"")</f>
        <v>Lwegel Town</v>
      </c>
      <c r="AJ149" s="936">
        <f ca="1">IFERROR(OFFSET(DistanceToCamp[distance],MATCH(CampList[[#This Row],[CP_Pcode]],DistanceToCamp[CP_Pcode],0)-1,0,1,1),"")</f>
        <v>1.343152344964242</v>
      </c>
      <c r="AK149" s="957">
        <f ca="1">IFERROR(INT(CampList[[#This Row],[Distance]]/5)+1,"")</f>
        <v>1</v>
      </c>
      <c r="AL149" s="548"/>
      <c r="AM149" s="548"/>
      <c r="AN149" s="548"/>
      <c r="BD149" s="5"/>
      <c r="BE149" s="5"/>
    </row>
    <row r="150" spans="1:57" s="678" customFormat="1" ht="15.6" customHeight="1" x14ac:dyDescent="0.25">
      <c r="A150" s="821" t="s">
        <v>502</v>
      </c>
      <c r="B150" s="764" t="s">
        <v>555</v>
      </c>
      <c r="C150" s="764" t="s">
        <v>538</v>
      </c>
      <c r="D150" s="764" t="s">
        <v>230</v>
      </c>
      <c r="E150" s="764" t="s">
        <v>544</v>
      </c>
      <c r="F150" s="764" t="s">
        <v>230</v>
      </c>
      <c r="G150" s="764" t="s">
        <v>545</v>
      </c>
      <c r="H150" s="764" t="s">
        <v>1075</v>
      </c>
      <c r="I150" s="764" t="s">
        <v>1076</v>
      </c>
      <c r="J150" s="764" t="s">
        <v>1077</v>
      </c>
      <c r="K150" s="764"/>
      <c r="L150" s="764" t="s">
        <v>169</v>
      </c>
      <c r="M150" s="764" t="s">
        <v>168</v>
      </c>
      <c r="N150" s="729">
        <v>98.116817999999995</v>
      </c>
      <c r="O150" s="729">
        <v>23.917631</v>
      </c>
      <c r="P150" s="670"/>
      <c r="Q150" s="766">
        <v>32</v>
      </c>
      <c r="R150" s="699"/>
      <c r="S150" s="844">
        <f>IF(CampList[[#This Row],[HH]]&gt;0,CampList[[#This Row],[Total]]/CampList[[#This Row],[HH]],"NA")</f>
        <v>0</v>
      </c>
      <c r="T150" s="768" t="s">
        <v>513</v>
      </c>
      <c r="U150" s="769" t="s">
        <v>1194</v>
      </c>
      <c r="V150" s="763" t="s">
        <v>12</v>
      </c>
      <c r="W150" s="763" t="s">
        <v>858</v>
      </c>
      <c r="X150" s="886"/>
      <c r="Y150" s="887"/>
      <c r="Z150" s="888"/>
      <c r="AA150" s="917"/>
      <c r="AB150" s="889"/>
      <c r="AC150" s="912">
        <v>41701</v>
      </c>
      <c r="AD150" s="891" t="s">
        <v>1014</v>
      </c>
      <c r="AE150" s="770" t="s">
        <v>1082</v>
      </c>
      <c r="AF150" s="860">
        <f>IF(CampList[[#This Row],[Type of Accomodation]]="camp",MAX(0,CampList[[#This Row],[HH]]-SUMIF(Table_Shelter[Pcode],CampList[[#This Row],[CP_Pcode]],Table_Shelter[HH Covered])),0)</f>
        <v>0</v>
      </c>
      <c r="AG150" s="763"/>
      <c r="AH150" s="889">
        <f>MIN(CampList[[#This Row],[Shelter Gap]],CampList[[#This Row],[Land Status]])</f>
        <v>0</v>
      </c>
      <c r="AI150" s="763" t="str">
        <f ca="1">IFERROR(OFFSET(DistanceToCamp[Nearest Town],MATCH(CampList[[#This Row],[CP_Pcode]],DistanceToCamp[CP_Pcode],0)-1,0,1,1),"")</f>
        <v>Pang Hseng (Kyu Koke) Town</v>
      </c>
      <c r="AJ150" s="937">
        <f ca="1">IFERROR(OFFSET(DistanceToCamp[distance],MATCH(CampList[[#This Row],[CP_Pcode]],DistanceToCamp[CP_Pcode],0)-1,0,1,1),"")</f>
        <v>18.405283544772924</v>
      </c>
      <c r="AK150" s="958">
        <f ca="1">IFERROR(INT(CampList[[#This Row],[Distance]]/5)+1,"")</f>
        <v>4</v>
      </c>
      <c r="AL150" s="548"/>
      <c r="AM150" s="548"/>
      <c r="AN150" s="548"/>
      <c r="BD150" s="5"/>
      <c r="BE150" s="5"/>
    </row>
    <row r="151" spans="1:57" s="678" customFormat="1" ht="15.6" customHeight="1" x14ac:dyDescent="0.25">
      <c r="A151" s="820" t="s">
        <v>502</v>
      </c>
      <c r="B151" s="216" t="s">
        <v>555</v>
      </c>
      <c r="C151" s="216" t="s">
        <v>538</v>
      </c>
      <c r="D151" s="216" t="s">
        <v>230</v>
      </c>
      <c r="E151" s="216" t="s">
        <v>539</v>
      </c>
      <c r="F151" s="216" t="s">
        <v>230</v>
      </c>
      <c r="G151" s="216" t="s">
        <v>540</v>
      </c>
      <c r="H151" s="679" t="s">
        <v>776</v>
      </c>
      <c r="I151" s="679" t="s">
        <v>777</v>
      </c>
      <c r="J151" s="679" t="s">
        <v>778</v>
      </c>
      <c r="K151" s="679">
        <v>208156</v>
      </c>
      <c r="L151" s="216" t="s">
        <v>231</v>
      </c>
      <c r="M151" s="216" t="s">
        <v>388</v>
      </c>
      <c r="N151" s="842">
        <v>98.115809999999996</v>
      </c>
      <c r="O151" s="729">
        <v>24.08738</v>
      </c>
      <c r="P151" s="744"/>
      <c r="Q151" s="671">
        <v>32</v>
      </c>
      <c r="R151" s="672">
        <v>187</v>
      </c>
      <c r="S151" s="843">
        <f>IF(CampList[[#This Row],[HH]]&gt;0,CampList[[#This Row],[Total]]/CampList[[#This Row],[HH]],"NA")</f>
        <v>5.84375</v>
      </c>
      <c r="T151" s="455" t="s">
        <v>515</v>
      </c>
      <c r="U151" s="673" t="s">
        <v>1194</v>
      </c>
      <c r="V151" s="668" t="s">
        <v>12</v>
      </c>
      <c r="W151" s="668" t="s">
        <v>858</v>
      </c>
      <c r="X151" s="898"/>
      <c r="Y151" s="670"/>
      <c r="Z151" s="899"/>
      <c r="AA151" s="685" t="s">
        <v>574</v>
      </c>
      <c r="AB151" s="883"/>
      <c r="AC151" s="693">
        <v>41701</v>
      </c>
      <c r="AD151" s="885" t="s">
        <v>1014</v>
      </c>
      <c r="AE151" s="674" t="s">
        <v>1096</v>
      </c>
      <c r="AF151" s="686">
        <f>IF(CampList[[#This Row],[Type of Accomodation]]="camp",MAX(0,CampList[[#This Row],[HH]]-SUMIF(Table_Shelter[Pcode],CampList[[#This Row],[CP_Pcode]],Table_Shelter[HH Covered])),0)</f>
        <v>0</v>
      </c>
      <c r="AG151" s="668"/>
      <c r="AH151" s="883">
        <f>MIN(CampList[[#This Row],[Shelter Gap]],CampList[[#This Row],[Land Status]])</f>
        <v>0</v>
      </c>
      <c r="AI151" s="668" t="str">
        <f ca="1">IFERROR(OFFSET(DistanceToCamp[Nearest Town],MATCH(CampList[[#This Row],[CP_Pcode]],DistanceToCamp[CP_Pcode],0)-1,0,1,1),"")</f>
        <v>Pang Hseng (Kyu Koke) Town</v>
      </c>
      <c r="AJ151" s="936">
        <f ca="1">IFERROR(OFFSET(DistanceToCamp[distance],MATCH(CampList[[#This Row],[CP_Pcode]],DistanceToCamp[CP_Pcode],0)-1,0,1,1),"")</f>
        <v>5.5919136174199959</v>
      </c>
      <c r="AK151" s="957">
        <f ca="1">IFERROR(INT(CampList[[#This Row],[Distance]]/5)+1,"")</f>
        <v>2</v>
      </c>
      <c r="AL151" s="548"/>
      <c r="AM151" s="548"/>
      <c r="AN151" s="548"/>
      <c r="BD151" s="5"/>
      <c r="BE151" s="5"/>
    </row>
    <row r="152" spans="1:57" s="678" customFormat="1" ht="15.6" hidden="1" customHeight="1" x14ac:dyDescent="0.25">
      <c r="A152" s="822" t="s">
        <v>845</v>
      </c>
      <c r="B152" s="774" t="s">
        <v>380</v>
      </c>
      <c r="C152" s="774" t="s">
        <v>527</v>
      </c>
      <c r="D152" s="774" t="s">
        <v>237</v>
      </c>
      <c r="E152" s="774" t="s">
        <v>533</v>
      </c>
      <c r="F152" s="774" t="s">
        <v>237</v>
      </c>
      <c r="G152" s="774" t="s">
        <v>537</v>
      </c>
      <c r="H152" s="775" t="s">
        <v>673</v>
      </c>
      <c r="I152" s="775" t="s">
        <v>674</v>
      </c>
      <c r="J152" s="775" t="s">
        <v>676</v>
      </c>
      <c r="K152" s="775" t="s">
        <v>677</v>
      </c>
      <c r="L152" s="774" t="s">
        <v>267</v>
      </c>
      <c r="M152" s="774" t="s">
        <v>266</v>
      </c>
      <c r="N152" s="729">
        <v>97.376671999999999</v>
      </c>
      <c r="O152" s="729">
        <v>25.387862999999999</v>
      </c>
      <c r="P152" s="680">
        <v>0</v>
      </c>
      <c r="Q152" s="776">
        <v>0</v>
      </c>
      <c r="R152" s="777">
        <v>0</v>
      </c>
      <c r="S152" s="845" t="str">
        <f>IF(CampList[[#This Row],[HH]]&gt;0,CampList[[#This Row],[Total]]/CampList[[#This Row],[HH]],"NA")</f>
        <v>NA</v>
      </c>
      <c r="T152" s="778" t="s">
        <v>513</v>
      </c>
      <c r="U152" s="779" t="s">
        <v>1194</v>
      </c>
      <c r="V152" s="773" t="s">
        <v>556</v>
      </c>
      <c r="W152" s="779" t="s">
        <v>805</v>
      </c>
      <c r="X152" s="902">
        <v>40817</v>
      </c>
      <c r="Y152" s="909">
        <v>1</v>
      </c>
      <c r="Z152" s="902" t="s">
        <v>507</v>
      </c>
      <c r="AA152" s="784" t="s">
        <v>844</v>
      </c>
      <c r="AB152" s="895"/>
      <c r="AC152" s="792">
        <v>42180</v>
      </c>
      <c r="AD152" s="897" t="s">
        <v>1265</v>
      </c>
      <c r="AE152" s="790" t="s">
        <v>1096</v>
      </c>
      <c r="AF152" s="814">
        <f>IF(CampList[[#This Row],[Type of Accomodation]]="camp",MAX(0,CampList[[#This Row],[HH]]-SUMIF(Table_Shelter[Pcode],CampList[[#This Row],[CP_Pcode]],Table_Shelter[HH Covered])),0)</f>
        <v>0</v>
      </c>
      <c r="AG152" s="773"/>
      <c r="AH152" s="895">
        <f>MIN(CampList[[#This Row],[Shelter Gap]],CampList[[#This Row],[Land Status]])</f>
        <v>0</v>
      </c>
      <c r="AI152" s="773" t="str">
        <f ca="1">IFERROR(OFFSET(DistanceToCamp[Nearest Town],MATCH(CampList[[#This Row],[CP_Pcode]],DistanceToCamp[CP_Pcode],0)-1,0,1,1),"")</f>
        <v>Myitkyina Town</v>
      </c>
      <c r="AJ152" s="938">
        <f ca="1">IFERROR(OFFSET(DistanceToCamp[distance],MATCH(CampList[[#This Row],[CP_Pcode]],DistanceToCamp[CP_Pcode],0)-1,0,1,1),"")</f>
        <v>1.3751794210741128</v>
      </c>
      <c r="AK152" s="959">
        <f ca="1">IFERROR(INT(CampList[[#This Row],[Distance]]/5)+1,"")</f>
        <v>1</v>
      </c>
      <c r="AL152" s="548"/>
      <c r="AM152" s="548"/>
      <c r="AN152" s="548"/>
      <c r="BD152" s="5"/>
      <c r="BE152" s="5"/>
    </row>
    <row r="153" spans="1:57" s="678" customFormat="1" ht="15.6" customHeight="1" x14ac:dyDescent="0.25">
      <c r="A153" s="823" t="s">
        <v>502</v>
      </c>
      <c r="B153" s="216" t="s">
        <v>555</v>
      </c>
      <c r="C153" s="216" t="s">
        <v>538</v>
      </c>
      <c r="D153" s="216" t="s">
        <v>230</v>
      </c>
      <c r="E153" s="216" t="s">
        <v>539</v>
      </c>
      <c r="F153" s="216" t="s">
        <v>230</v>
      </c>
      <c r="G153" s="216" t="s">
        <v>540</v>
      </c>
      <c r="H153" s="216" t="s">
        <v>235</v>
      </c>
      <c r="I153" s="216" t="s">
        <v>1136</v>
      </c>
      <c r="J153" s="216" t="s">
        <v>235</v>
      </c>
      <c r="K153" s="216"/>
      <c r="L153" s="216" t="s">
        <v>235</v>
      </c>
      <c r="M153" s="216" t="s">
        <v>234</v>
      </c>
      <c r="N153" s="729">
        <v>98.054946000000001</v>
      </c>
      <c r="O153" s="729">
        <v>24.008452999999999</v>
      </c>
      <c r="P153" s="670">
        <v>3396</v>
      </c>
      <c r="Q153" s="671">
        <v>123</v>
      </c>
      <c r="R153" s="672">
        <v>503</v>
      </c>
      <c r="S153" s="843">
        <f>IF(CampList[[#This Row],[HH]]&gt;0,CampList[[#This Row],[Total]]/CampList[[#This Row],[HH]],"NA")</f>
        <v>4.0894308943089435</v>
      </c>
      <c r="T153" s="455" t="s">
        <v>515</v>
      </c>
      <c r="U153" s="673" t="s">
        <v>1194</v>
      </c>
      <c r="V153" s="668" t="s">
        <v>12</v>
      </c>
      <c r="W153" s="673" t="s">
        <v>858</v>
      </c>
      <c r="X153" s="898"/>
      <c r="Y153" s="670"/>
      <c r="Z153" s="899"/>
      <c r="AA153" s="986" t="s">
        <v>574</v>
      </c>
      <c r="AB153" s="883"/>
      <c r="AC153" s="693">
        <v>41701</v>
      </c>
      <c r="AD153" s="885" t="s">
        <v>1014</v>
      </c>
      <c r="AE153" s="674" t="s">
        <v>1080</v>
      </c>
      <c r="AF153" s="686">
        <f>IF(CampList[[#This Row],[Type of Accomodation]]="camp",MAX(0,CampList[[#This Row],[HH]]-SUMIF(Table_Shelter[Pcode],CampList[[#This Row],[CP_Pcode]],Table_Shelter[HH Covered])),0)</f>
        <v>0</v>
      </c>
      <c r="AG153" s="668"/>
      <c r="AH153" s="883">
        <f>MIN(CampList[[#This Row],[Shelter Gap]],CampList[[#This Row],[Land Status]])</f>
        <v>0</v>
      </c>
      <c r="AI153" s="668" t="str">
        <f ca="1">IFERROR(OFFSET(DistanceToCamp[Nearest Town],MATCH(CampList[[#This Row],[CP_Pcode]],DistanceToCamp[CP_Pcode],0)-1,0,1,1),"")</f>
        <v>Pang Hseng (Kyu Koke) Town</v>
      </c>
      <c r="AJ153" s="936">
        <f ca="1">IFERROR(OFFSET(DistanceToCamp[distance],MATCH(CampList[[#This Row],[CP_Pcode]],DistanceToCamp[CP_Pcode],0)-1,0,1,1),"")</f>
        <v>7.490291417449443</v>
      </c>
      <c r="AK153" s="960">
        <f ca="1">IFERROR(INT(CampList[[#This Row],[Distance]]/5)+1,"")</f>
        <v>2</v>
      </c>
      <c r="AL153" s="548"/>
      <c r="AM153" s="548"/>
      <c r="AN153" s="548"/>
      <c r="BD153" s="5"/>
      <c r="BE153" s="5"/>
    </row>
    <row r="154" spans="1:57" s="678" customFormat="1" ht="15.6" hidden="1" customHeight="1" x14ac:dyDescent="0.25">
      <c r="A154" s="823" t="s">
        <v>845</v>
      </c>
      <c r="B154" s="216" t="s">
        <v>380</v>
      </c>
      <c r="C154" s="216" t="s">
        <v>527</v>
      </c>
      <c r="D154" s="216" t="s">
        <v>5</v>
      </c>
      <c r="E154" s="216" t="s">
        <v>531</v>
      </c>
      <c r="F154" s="216" t="s">
        <v>151</v>
      </c>
      <c r="G154" s="216" t="s">
        <v>541</v>
      </c>
      <c r="H154" s="669" t="s">
        <v>662</v>
      </c>
      <c r="I154" s="669" t="s">
        <v>663</v>
      </c>
      <c r="J154" s="669"/>
      <c r="K154" s="669"/>
      <c r="L154" s="216" t="s">
        <v>162</v>
      </c>
      <c r="M154" s="216" t="s">
        <v>161</v>
      </c>
      <c r="N154" s="729"/>
      <c r="O154" s="729"/>
      <c r="P154" s="670"/>
      <c r="Q154" s="671">
        <v>0</v>
      </c>
      <c r="R154" s="672">
        <v>0</v>
      </c>
      <c r="S154" s="843" t="str">
        <f>IF(CampList[[#This Row],[HH]]&gt;0,CampList[[#This Row],[Total]]/CampList[[#This Row],[HH]],"NA")</f>
        <v>NA</v>
      </c>
      <c r="T154" s="455" t="s">
        <v>515</v>
      </c>
      <c r="U154" s="673" t="s">
        <v>1194</v>
      </c>
      <c r="V154" s="668" t="s">
        <v>556</v>
      </c>
      <c r="W154" s="673"/>
      <c r="X154" s="898"/>
      <c r="Y154" s="670"/>
      <c r="Z154" s="899"/>
      <c r="AA154" s="683" t="s">
        <v>844</v>
      </c>
      <c r="AB154" s="883"/>
      <c r="AC154" s="693">
        <v>41737</v>
      </c>
      <c r="AD154" s="885" t="s">
        <v>1047</v>
      </c>
      <c r="AE154" s="674" t="s">
        <v>1010</v>
      </c>
      <c r="AF154" s="686">
        <f>IF(CampList[[#This Row],[Type of Accomodation]]="camp",MAX(0,CampList[[#This Row],[HH]]-SUMIF(Table_Shelter[Pcode],CampList[[#This Row],[CP_Pcode]],Table_Shelter[HH Covered])),0)</f>
        <v>0</v>
      </c>
      <c r="AG154" s="668"/>
      <c r="AH154" s="883">
        <f>MIN(CampList[[#This Row],[Shelter Gap]],CampList[[#This Row],[Land Status]])</f>
        <v>0</v>
      </c>
      <c r="AI154" s="668" t="str">
        <f ca="1">IFERROR(OFFSET(DistanceToCamp[Nearest Town],MATCH(CampList[[#This Row],[CP_Pcode]],DistanceToCamp[CP_Pcode],0)-1,0,1,1),"")</f>
        <v/>
      </c>
      <c r="AJ154" s="936" t="str">
        <f ca="1">IFERROR(OFFSET(DistanceToCamp[distance],MATCH(CampList[[#This Row],[CP_Pcode]],DistanceToCamp[CP_Pcode],0)-1,0,1,1),"")</f>
        <v/>
      </c>
      <c r="AK154" s="960" t="str">
        <f ca="1">IFERROR(INT(CampList[[#This Row],[Distance]]/5)+1,"")</f>
        <v/>
      </c>
      <c r="AL154" s="548"/>
      <c r="AM154" s="548"/>
      <c r="AN154" s="548"/>
      <c r="BD154" s="5"/>
      <c r="BE154" s="5"/>
    </row>
    <row r="155" spans="1:57" s="678" customFormat="1" ht="15.6" customHeight="1" x14ac:dyDescent="0.25">
      <c r="A155" s="819" t="s">
        <v>502</v>
      </c>
      <c r="B155" s="701" t="s">
        <v>555</v>
      </c>
      <c r="C155" s="701" t="s">
        <v>538</v>
      </c>
      <c r="D155" s="701" t="s">
        <v>230</v>
      </c>
      <c r="E155" s="701" t="s">
        <v>544</v>
      </c>
      <c r="F155" s="701" t="s">
        <v>230</v>
      </c>
      <c r="G155" s="701" t="s">
        <v>545</v>
      </c>
      <c r="H155" s="701" t="s">
        <v>1072</v>
      </c>
      <c r="I155" s="701" t="s">
        <v>1073</v>
      </c>
      <c r="J155" s="701" t="s">
        <v>1074</v>
      </c>
      <c r="K155" s="701">
        <v>208167</v>
      </c>
      <c r="L155" s="701" t="s">
        <v>171</v>
      </c>
      <c r="M155" s="701" t="s">
        <v>170</v>
      </c>
      <c r="N155" s="729">
        <v>98.129380999999995</v>
      </c>
      <c r="O155" s="729">
        <v>23.978088</v>
      </c>
      <c r="P155" s="670"/>
      <c r="Q155" s="748">
        <v>6</v>
      </c>
      <c r="R155" s="749"/>
      <c r="S155" s="841">
        <f>IF(CampList[[#This Row],[HH]]&gt;0,CampList[[#This Row],[Total]]/CampList[[#This Row],[HH]],"NA")</f>
        <v>0</v>
      </c>
      <c r="T155" s="750" t="s">
        <v>513</v>
      </c>
      <c r="U155" s="703" t="s">
        <v>1194</v>
      </c>
      <c r="V155" s="700" t="s">
        <v>12</v>
      </c>
      <c r="W155" s="703" t="s">
        <v>858</v>
      </c>
      <c r="X155" s="876"/>
      <c r="Y155" s="710"/>
      <c r="Z155" s="877"/>
      <c r="AA155" s="759"/>
      <c r="AB155" s="878"/>
      <c r="AC155" s="901">
        <v>41701</v>
      </c>
      <c r="AD155" s="880" t="s">
        <v>1014</v>
      </c>
      <c r="AE155" s="711" t="s">
        <v>1082</v>
      </c>
      <c r="AF155" s="861">
        <f>IF(CampList[[#This Row],[Type of Accomodation]]="camp",MAX(0,CampList[[#This Row],[HH]]-SUMIF(Table_Shelter[Pcode],CampList[[#This Row],[CP_Pcode]],Table_Shelter[HH Covered])),0)</f>
        <v>0</v>
      </c>
      <c r="AG155" s="700"/>
      <c r="AH155" s="878">
        <f>MIN(CampList[[#This Row],[Shelter Gap]],CampList[[#This Row],[Land Status]])</f>
        <v>0</v>
      </c>
      <c r="AI155" s="700" t="str">
        <f ca="1">IFERROR(OFFSET(DistanceToCamp[Nearest Town],MATCH(CampList[[#This Row],[CP_Pcode]],DistanceToCamp[CP_Pcode],0)-1,0,1,1),"")</f>
        <v>Pang Hseng (Kyu Koke) Town</v>
      </c>
      <c r="AJ155" s="935">
        <f ca="1">IFERROR(OFFSET(DistanceToCamp[distance],MATCH(CampList[[#This Row],[CP_Pcode]],DistanceToCamp[CP_Pcode],0)-1,0,1,1),"")</f>
        <v>12.794700705104317</v>
      </c>
      <c r="AK155" s="955">
        <f ca="1">IFERROR(INT(CampList[[#This Row],[Distance]]/5)+1,"")</f>
        <v>3</v>
      </c>
      <c r="AL155" s="548"/>
      <c r="AM155" s="548"/>
      <c r="AN155" s="548"/>
      <c r="BD155" s="5"/>
      <c r="BE155" s="5"/>
    </row>
    <row r="156" spans="1:57" s="678" customFormat="1" ht="15.6" customHeight="1" x14ac:dyDescent="0.25">
      <c r="A156" s="820" t="s">
        <v>502</v>
      </c>
      <c r="B156" s="216" t="s">
        <v>555</v>
      </c>
      <c r="C156" s="216" t="s">
        <v>538</v>
      </c>
      <c r="D156" s="216" t="s">
        <v>230</v>
      </c>
      <c r="E156" s="216" t="s">
        <v>539</v>
      </c>
      <c r="F156" s="216" t="s">
        <v>230</v>
      </c>
      <c r="G156" s="216" t="s">
        <v>540</v>
      </c>
      <c r="H156" s="216" t="s">
        <v>1052</v>
      </c>
      <c r="I156" s="216" t="s">
        <v>1053</v>
      </c>
      <c r="J156" s="216" t="s">
        <v>1054</v>
      </c>
      <c r="K156" s="698" t="s">
        <v>1055</v>
      </c>
      <c r="L156" s="435" t="s">
        <v>1056</v>
      </c>
      <c r="M156" s="216" t="s">
        <v>1057</v>
      </c>
      <c r="N156" s="842">
        <v>97.909400000000005</v>
      </c>
      <c r="O156" s="729">
        <v>24.006319999999999</v>
      </c>
      <c r="P156" s="745">
        <v>812.7</v>
      </c>
      <c r="Q156" s="657">
        <v>52</v>
      </c>
      <c r="R156" s="657">
        <v>212</v>
      </c>
      <c r="S156" s="843">
        <f>IF(CampList[[#This Row],[HH]]&gt;0,CampList[[#This Row],[Total]]/CampList[[#This Row],[HH]],"NA")</f>
        <v>4.0769230769230766</v>
      </c>
      <c r="T156" s="455" t="s">
        <v>513</v>
      </c>
      <c r="U156" s="673" t="s">
        <v>1194</v>
      </c>
      <c r="V156" s="668" t="s">
        <v>556</v>
      </c>
      <c r="W156" s="668" t="s">
        <v>805</v>
      </c>
      <c r="X156" s="905">
        <v>41703</v>
      </c>
      <c r="Y156" s="687"/>
      <c r="Z156" s="883" t="s">
        <v>462</v>
      </c>
      <c r="AA156" s="434" t="s">
        <v>844</v>
      </c>
      <c r="AB156" s="883"/>
      <c r="AC156" s="693">
        <v>42536</v>
      </c>
      <c r="AD156" s="884" t="s">
        <v>1468</v>
      </c>
      <c r="AE156" s="688" t="s">
        <v>1096</v>
      </c>
      <c r="AF156" s="686">
        <f>IF(CampList[[#This Row],[Type of Accomodation]]="camp",MAX(0,CampList[[#This Row],[HH]]-SUMIF(Table_Shelter[Pcode],CampList[[#This Row],[CP_Pcode]],Table_Shelter[HH Covered])),0)</f>
        <v>8</v>
      </c>
      <c r="AG156" s="668"/>
      <c r="AH156" s="883">
        <f>MIN(CampList[[#This Row],[Shelter Gap]],CampList[[#This Row],[Land Status]])</f>
        <v>8</v>
      </c>
      <c r="AI156" s="668" t="str">
        <f ca="1">IFERROR(OFFSET(DistanceToCamp[Nearest Town],MATCH(CampList[[#This Row],[CP_Pcode]],DistanceToCamp[CP_Pcode],0)-1,0,1,1),"")</f>
        <v>Muse Town</v>
      </c>
      <c r="AJ156" s="936">
        <f ca="1">IFERROR(OFFSET(DistanceToCamp[distance],MATCH(CampList[[#This Row],[CP_Pcode]],DistanceToCamp[CP_Pcode],0)-1,0,1,1),"")</f>
        <v>1.989668595899414</v>
      </c>
      <c r="AK156" s="957">
        <f ca="1">IFERROR(INT(CampList[[#This Row],[Distance]]/5)+1,"")</f>
        <v>1</v>
      </c>
      <c r="AL156" s="548"/>
      <c r="AM156" s="548"/>
      <c r="AN156" s="548"/>
      <c r="BD156" s="5"/>
      <c r="BE156" s="5"/>
    </row>
    <row r="157" spans="1:57" s="678" customFormat="1" ht="15.6" customHeight="1" x14ac:dyDescent="0.25">
      <c r="A157" s="825" t="s">
        <v>502</v>
      </c>
      <c r="B157" s="677" t="s">
        <v>555</v>
      </c>
      <c r="C157" s="677" t="s">
        <v>538</v>
      </c>
      <c r="D157" s="677" t="s">
        <v>230</v>
      </c>
      <c r="E157" s="677" t="s">
        <v>539</v>
      </c>
      <c r="F157" s="677" t="s">
        <v>230</v>
      </c>
      <c r="G157" s="677" t="s">
        <v>540</v>
      </c>
      <c r="H157" s="677" t="s">
        <v>1052</v>
      </c>
      <c r="I157" s="689" t="s">
        <v>1053</v>
      </c>
      <c r="J157" s="677" t="s">
        <v>1054</v>
      </c>
      <c r="K157" s="677" t="s">
        <v>1055</v>
      </c>
      <c r="L157" s="677" t="s">
        <v>1066</v>
      </c>
      <c r="M157" s="677" t="s">
        <v>1067</v>
      </c>
      <c r="N157" s="847">
        <v>97.911647000000002</v>
      </c>
      <c r="O157" s="681">
        <v>24.006789000000001</v>
      </c>
      <c r="P157" s="744">
        <v>814</v>
      </c>
      <c r="Q157" s="681">
        <v>26</v>
      </c>
      <c r="R157" s="687">
        <v>111</v>
      </c>
      <c r="S157" s="843">
        <f>IF(CampList[[#This Row],[HH]]&gt;0,CampList[[#This Row],[Total]]/CampList[[#This Row],[HH]],"NA")</f>
        <v>4.2692307692307692</v>
      </c>
      <c r="T157" s="420" t="s">
        <v>513</v>
      </c>
      <c r="U157" s="455" t="s">
        <v>1194</v>
      </c>
      <c r="V157" s="420" t="s">
        <v>556</v>
      </c>
      <c r="W157" s="686" t="s">
        <v>805</v>
      </c>
      <c r="X157" s="905">
        <v>41734</v>
      </c>
      <c r="Y157" s="670"/>
      <c r="Z157" s="670" t="s">
        <v>1266</v>
      </c>
      <c r="AA157" s="681" t="s">
        <v>844</v>
      </c>
      <c r="AB157" s="907"/>
      <c r="AC157" s="693">
        <v>42397</v>
      </c>
      <c r="AD157" s="726" t="s">
        <v>1345</v>
      </c>
      <c r="AE157" s="690" t="s">
        <v>1096</v>
      </c>
      <c r="AF157" s="732">
        <f>IF(CampList[[#This Row],[Type of Accomodation]]="camp",MAX(0,CampList[[#This Row],[HH]]-SUMIF(Table_Shelter[Pcode],CampList[[#This Row],[CP_Pcode]],Table_Shelter[HH Covered])),0)</f>
        <v>0</v>
      </c>
      <c r="AG157" s="668"/>
      <c r="AH157" s="692">
        <f>MIN(CampList[[#This Row],[Shelter Gap]],CampList[[#This Row],[Land Status]])</f>
        <v>0</v>
      </c>
      <c r="AI157" s="732" t="str">
        <f ca="1">IFERROR(OFFSET(DistanceToCamp[Nearest Town],MATCH(CampList[[#This Row],[CP_Pcode]],DistanceToCamp[CP_Pcode],0)-1,0,1,1),"")</f>
        <v>Muse Town</v>
      </c>
      <c r="AJ157" s="936">
        <f ca="1">IFERROR(OFFSET(DistanceToCamp[distance],MATCH(CampList[[#This Row],[CP_Pcode]],DistanceToCamp[CP_Pcode],0)-1,0,1,1),"")</f>
        <v>2.1362355825722226</v>
      </c>
      <c r="AK157" s="956">
        <f ca="1">IFERROR(INT(CampList[[#This Row],[Distance]]/5)+1,"")</f>
        <v>1</v>
      </c>
      <c r="AL157" s="548"/>
      <c r="AM157" s="548"/>
      <c r="AN157" s="548"/>
      <c r="BD157" s="5"/>
      <c r="BE157" s="5"/>
    </row>
    <row r="158" spans="1:57" s="678" customFormat="1" ht="15.6" customHeight="1" x14ac:dyDescent="0.25">
      <c r="A158" s="826" t="s">
        <v>502</v>
      </c>
      <c r="B158" s="783" t="s">
        <v>380</v>
      </c>
      <c r="C158" s="783" t="s">
        <v>527</v>
      </c>
      <c r="D158" s="783" t="s">
        <v>237</v>
      </c>
      <c r="E158" s="783" t="s">
        <v>533</v>
      </c>
      <c r="F158" s="783" t="s">
        <v>237</v>
      </c>
      <c r="G158" s="783" t="s">
        <v>537</v>
      </c>
      <c r="H158" s="783" t="s">
        <v>711</v>
      </c>
      <c r="I158" s="975" t="s">
        <v>712</v>
      </c>
      <c r="J158" s="783" t="s">
        <v>713</v>
      </c>
      <c r="K158" s="783">
        <v>165685</v>
      </c>
      <c r="L158" s="783" t="s">
        <v>273</v>
      </c>
      <c r="M158" s="783" t="s">
        <v>272</v>
      </c>
      <c r="N158" s="681">
        <v>97.4345</v>
      </c>
      <c r="O158" s="681">
        <v>25.493819999999999</v>
      </c>
      <c r="P158" s="670"/>
      <c r="Q158" s="799">
        <v>43</v>
      </c>
      <c r="R158" s="789">
        <v>271</v>
      </c>
      <c r="S158" s="845">
        <f>IF(CampList[[#This Row],[HH]]&gt;0,CampList[[#This Row],[Total]]/CampList[[#This Row],[HH]],"NA")</f>
        <v>6.3023255813953485</v>
      </c>
      <c r="T158" s="984" t="s">
        <v>513</v>
      </c>
      <c r="U158" s="778" t="s">
        <v>1194</v>
      </c>
      <c r="V158" s="984" t="s">
        <v>556</v>
      </c>
      <c r="W158" s="814" t="s">
        <v>805</v>
      </c>
      <c r="X158" s="913">
        <v>41244</v>
      </c>
      <c r="Y158" s="893"/>
      <c r="Z158" s="893" t="s">
        <v>1093</v>
      </c>
      <c r="AA158" s="799" t="s">
        <v>844</v>
      </c>
      <c r="AB158" s="989"/>
      <c r="AC158" s="792">
        <v>42537</v>
      </c>
      <c r="AD158" s="994" t="s">
        <v>1476</v>
      </c>
      <c r="AE158" s="793" t="s">
        <v>1096</v>
      </c>
      <c r="AF158" s="859">
        <f>IF(CampList[[#This Row],[Type of Accomodation]]="camp",MAX(0,CampList[[#This Row],[HH]]-SUMIF(Table_Shelter[Pcode],CampList[[#This Row],[CP_Pcode]],Table_Shelter[HH Covered])),0)</f>
        <v>0</v>
      </c>
      <c r="AG158" s="814"/>
      <c r="AH158" s="788">
        <f>MIN(CampList[[#This Row],[Shelter Gap]],CampList[[#This Row],[Land Status]])</f>
        <v>0</v>
      </c>
      <c r="AI158" s="859" t="str">
        <f ca="1">IFERROR(OFFSET(DistanceToCamp[Nearest Town],MATCH(CampList[[#This Row],[CP_Pcode]],DistanceToCamp[CP_Pcode],0)-1,0,1,1),"")</f>
        <v>Myitkyina Town</v>
      </c>
      <c r="AJ158" s="938">
        <f ca="1">IFERROR(OFFSET(DistanceToCamp[distance],MATCH(CampList[[#This Row],[CP_Pcode]],DistanceToCamp[CP_Pcode],0)-1,0,1,1),"")</f>
        <v>12.627188913244609</v>
      </c>
      <c r="AK158" s="961">
        <f ca="1">IFERROR(INT(CampList[[#This Row],[Distance]]/5)+1,"")</f>
        <v>3</v>
      </c>
      <c r="AL158" s="548"/>
      <c r="AM158" s="548"/>
      <c r="AN158" s="548"/>
      <c r="BD158" s="5"/>
      <c r="BE158" s="5"/>
    </row>
    <row r="159" spans="1:57" s="678" customFormat="1" ht="15.6" hidden="1" customHeight="1" x14ac:dyDescent="0.25">
      <c r="A159" s="823" t="s">
        <v>845</v>
      </c>
      <c r="B159" s="216" t="s">
        <v>555</v>
      </c>
      <c r="C159" s="216" t="s">
        <v>538</v>
      </c>
      <c r="D159" s="216" t="s">
        <v>230</v>
      </c>
      <c r="E159" s="216" t="s">
        <v>539</v>
      </c>
      <c r="F159" s="216" t="s">
        <v>289</v>
      </c>
      <c r="G159" s="216" t="s">
        <v>551</v>
      </c>
      <c r="H159" s="679" t="s">
        <v>753</v>
      </c>
      <c r="I159" s="679" t="s">
        <v>754</v>
      </c>
      <c r="J159" s="679" t="s">
        <v>753</v>
      </c>
      <c r="K159" s="679">
        <v>208353</v>
      </c>
      <c r="L159" s="435" t="s">
        <v>375</v>
      </c>
      <c r="M159" s="216" t="s">
        <v>390</v>
      </c>
      <c r="N159" s="729">
        <v>97.678299999999993</v>
      </c>
      <c r="O159" s="729">
        <v>23.82152</v>
      </c>
      <c r="P159" s="670">
        <v>813.4</v>
      </c>
      <c r="Q159" s="671">
        <v>0</v>
      </c>
      <c r="R159" s="672">
        <v>0</v>
      </c>
      <c r="S159" s="843" t="str">
        <f>IF(CampList[[#This Row],[HH]]&gt;0,CampList[[#This Row],[Total]]/CampList[[#This Row],[HH]],"NA")</f>
        <v>NA</v>
      </c>
      <c r="T159" s="455" t="s">
        <v>515</v>
      </c>
      <c r="U159" s="673" t="s">
        <v>1194</v>
      </c>
      <c r="V159" s="668" t="s">
        <v>556</v>
      </c>
      <c r="W159" s="673"/>
      <c r="X159" s="898"/>
      <c r="Y159" s="670"/>
      <c r="Z159" s="881" t="s">
        <v>1092</v>
      </c>
      <c r="AA159" s="683" t="s">
        <v>844</v>
      </c>
      <c r="AB159" s="883"/>
      <c r="AC159" s="693">
        <v>41712</v>
      </c>
      <c r="AD159" s="885" t="s">
        <v>1025</v>
      </c>
      <c r="AE159" s="674" t="s">
        <v>1010</v>
      </c>
      <c r="AF159" s="686">
        <f>IF(CampList[[#This Row],[Type of Accomodation]]="camp",MAX(0,CampList[[#This Row],[HH]]-SUMIF(Table_Shelter[Pcode],CampList[[#This Row],[CP_Pcode]],Table_Shelter[HH Covered])),0)</f>
        <v>0</v>
      </c>
      <c r="AG159" s="668"/>
      <c r="AH159" s="883">
        <f>MIN(CampList[[#This Row],[Shelter Gap]],CampList[[#This Row],[Land Status]])</f>
        <v>0</v>
      </c>
      <c r="AI159" s="668" t="str">
        <f ca="1">IFERROR(OFFSET(DistanceToCamp[Nearest Town],MATCH(CampList[[#This Row],[CP_Pcode]],DistanceToCamp[CP_Pcode],0)-1,0,1,1),"")</f>
        <v/>
      </c>
      <c r="AJ159" s="936" t="str">
        <f ca="1">IFERROR(OFFSET(DistanceToCamp[distance],MATCH(CampList[[#This Row],[CP_Pcode]],DistanceToCamp[CP_Pcode],0)-1,0,1,1),"")</f>
        <v/>
      </c>
      <c r="AK159" s="960" t="str">
        <f ca="1">IFERROR(INT(CampList[[#This Row],[Distance]]/5)+1,"")</f>
        <v/>
      </c>
      <c r="AL159" s="548"/>
      <c r="AM159" s="548"/>
      <c r="AN159" s="548"/>
      <c r="BD159" s="5"/>
      <c r="BE159" s="5"/>
    </row>
    <row r="160" spans="1:57" s="678" customFormat="1" ht="15.6" hidden="1" customHeight="1" x14ac:dyDescent="0.25">
      <c r="A160" s="823" t="s">
        <v>845</v>
      </c>
      <c r="B160" s="216" t="s">
        <v>555</v>
      </c>
      <c r="C160" s="216" t="s">
        <v>538</v>
      </c>
      <c r="D160" s="216" t="s">
        <v>230</v>
      </c>
      <c r="E160" s="216" t="s">
        <v>539</v>
      </c>
      <c r="F160" s="216" t="s">
        <v>289</v>
      </c>
      <c r="G160" s="216" t="s">
        <v>551</v>
      </c>
      <c r="H160" s="679" t="s">
        <v>753</v>
      </c>
      <c r="I160" s="679" t="s">
        <v>754</v>
      </c>
      <c r="J160" s="679" t="s">
        <v>753</v>
      </c>
      <c r="K160" s="679">
        <v>208353</v>
      </c>
      <c r="L160" s="216" t="s">
        <v>294</v>
      </c>
      <c r="M160" s="216" t="s">
        <v>293</v>
      </c>
      <c r="N160" s="729"/>
      <c r="O160" s="729"/>
      <c r="P160" s="670"/>
      <c r="Q160" s="671">
        <v>0</v>
      </c>
      <c r="R160" s="672">
        <v>0</v>
      </c>
      <c r="S160" s="843" t="str">
        <f>IF(CampList[[#This Row],[HH]]&gt;0,CampList[[#This Row],[Total]]/CampList[[#This Row],[HH]],"NA")</f>
        <v>NA</v>
      </c>
      <c r="T160" s="455" t="s">
        <v>515</v>
      </c>
      <c r="U160" s="673" t="s">
        <v>1194</v>
      </c>
      <c r="V160" s="668" t="s">
        <v>556</v>
      </c>
      <c r="W160" s="673"/>
      <c r="X160" s="898"/>
      <c r="Y160" s="670"/>
      <c r="Z160" s="899"/>
      <c r="AA160" s="683" t="s">
        <v>844</v>
      </c>
      <c r="AB160" s="883"/>
      <c r="AC160" s="693">
        <v>41701</v>
      </c>
      <c r="AD160" s="885" t="s">
        <v>1017</v>
      </c>
      <c r="AE160" s="674" t="s">
        <v>1010</v>
      </c>
      <c r="AF160" s="686">
        <f>IF(CampList[[#This Row],[Type of Accomodation]]="camp",MAX(0,CampList[[#This Row],[HH]]-SUMIF(Table_Shelter[Pcode],CampList[[#This Row],[CP_Pcode]],Table_Shelter[HH Covered])),0)</f>
        <v>0</v>
      </c>
      <c r="AG160" s="668"/>
      <c r="AH160" s="883">
        <f>MIN(CampList[[#This Row],[Shelter Gap]],CampList[[#This Row],[Land Status]])</f>
        <v>0</v>
      </c>
      <c r="AI160" s="668" t="str">
        <f ca="1">IFERROR(OFFSET(DistanceToCamp[Nearest Town],MATCH(CampList[[#This Row],[CP_Pcode]],DistanceToCamp[CP_Pcode],0)-1,0,1,1),"")</f>
        <v/>
      </c>
      <c r="AJ160" s="936" t="str">
        <f ca="1">IFERROR(OFFSET(DistanceToCamp[distance],MATCH(CampList[[#This Row],[CP_Pcode]],DistanceToCamp[CP_Pcode],0)-1,0,1,1),"")</f>
        <v/>
      </c>
      <c r="AK160" s="960" t="str">
        <f ca="1">IFERROR(INT(CampList[[#This Row],[Distance]]/5)+1,"")</f>
        <v/>
      </c>
      <c r="AL160" s="548"/>
      <c r="AM160" s="548"/>
      <c r="AN160" s="548"/>
      <c r="BD160" s="5"/>
      <c r="BE160" s="5"/>
    </row>
    <row r="161" spans="1:57" s="678" customFormat="1" ht="15.6" hidden="1" customHeight="1" x14ac:dyDescent="0.25">
      <c r="A161" s="819" t="s">
        <v>845</v>
      </c>
      <c r="B161" s="701" t="s">
        <v>555</v>
      </c>
      <c r="C161" s="701" t="s">
        <v>538</v>
      </c>
      <c r="D161" s="701" t="s">
        <v>230</v>
      </c>
      <c r="E161" s="701" t="s">
        <v>539</v>
      </c>
      <c r="F161" s="701" t="s">
        <v>230</v>
      </c>
      <c r="G161" s="701" t="s">
        <v>540</v>
      </c>
      <c r="H161" s="702" t="s">
        <v>1028</v>
      </c>
      <c r="I161" s="702" t="s">
        <v>1027</v>
      </c>
      <c r="J161" s="702" t="s">
        <v>1029</v>
      </c>
      <c r="K161" s="702">
        <v>208182</v>
      </c>
      <c r="L161" s="525" t="s">
        <v>361</v>
      </c>
      <c r="M161" s="701" t="s">
        <v>839</v>
      </c>
      <c r="N161" s="850"/>
      <c r="O161" s="850"/>
      <c r="P161" s="680">
        <v>0</v>
      </c>
      <c r="Q161" s="748"/>
      <c r="R161" s="749"/>
      <c r="S161" s="841" t="str">
        <f>IF(CampList[[#This Row],[HH]]&gt;0,CampList[[#This Row],[Total]]/CampList[[#This Row],[HH]],"NA")</f>
        <v>NA</v>
      </c>
      <c r="T161" s="750" t="s">
        <v>515</v>
      </c>
      <c r="U161" s="700" t="s">
        <v>1194</v>
      </c>
      <c r="V161" s="700" t="s">
        <v>556</v>
      </c>
      <c r="W161" s="700" t="s">
        <v>858</v>
      </c>
      <c r="X161" s="923">
        <v>40787</v>
      </c>
      <c r="Y161" s="924">
        <v>1</v>
      </c>
      <c r="Z161" s="923" t="s">
        <v>462</v>
      </c>
      <c r="AA161" s="705" t="s">
        <v>844</v>
      </c>
      <c r="AB161" s="878"/>
      <c r="AC161" s="901">
        <v>42432</v>
      </c>
      <c r="AD161" s="880" t="s">
        <v>1378</v>
      </c>
      <c r="AE161" s="760" t="s">
        <v>1081</v>
      </c>
      <c r="AF161" s="861">
        <f>IF(CampList[[#This Row],[Type of Accomodation]]="camp",MAX(0,CampList[[#This Row],[HH]]-SUMIF(Table_Shelter[Pcode],CampList[[#This Row],[CP_Pcode]],Table_Shelter[HH Covered])),0)</f>
        <v>0</v>
      </c>
      <c r="AG161" s="700"/>
      <c r="AH161" s="878">
        <f>MIN(CampList[[#This Row],[Shelter Gap]],CampList[[#This Row],[Land Status]])</f>
        <v>0</v>
      </c>
      <c r="AI161" s="700" t="str">
        <f ca="1">IFERROR(OFFSET(DistanceToCamp[Nearest Town],MATCH(CampList[[#This Row],[CP_Pcode]],DistanceToCamp[CP_Pcode],0)-1,0,1,1),"")</f>
        <v/>
      </c>
      <c r="AJ161" s="935" t="str">
        <f ca="1">IFERROR(OFFSET(DistanceToCamp[distance],MATCH(CampList[[#This Row],[CP_Pcode]],DistanceToCamp[CP_Pcode],0)-1,0,1,1),"")</f>
        <v/>
      </c>
      <c r="AK161" s="955" t="str">
        <f ca="1">IFERROR(INT(CampList[[#This Row],[Distance]]/5)+1,"")</f>
        <v/>
      </c>
      <c r="AL161" s="548"/>
      <c r="AM161" s="548"/>
      <c r="AN161" s="548"/>
      <c r="BD161" s="5"/>
      <c r="BE161" s="5"/>
    </row>
    <row r="162" spans="1:57" s="678" customFormat="1" ht="15.6" customHeight="1" x14ac:dyDescent="0.25">
      <c r="A162" s="825" t="s">
        <v>502</v>
      </c>
      <c r="B162" s="677" t="s">
        <v>380</v>
      </c>
      <c r="C162" s="677" t="s">
        <v>527</v>
      </c>
      <c r="D162" s="677" t="s">
        <v>237</v>
      </c>
      <c r="E162" s="677" t="s">
        <v>533</v>
      </c>
      <c r="F162" s="677" t="s">
        <v>237</v>
      </c>
      <c r="G162" s="677" t="s">
        <v>537</v>
      </c>
      <c r="H162" s="677" t="s">
        <v>671</v>
      </c>
      <c r="I162" s="689" t="s">
        <v>672</v>
      </c>
      <c r="J162" s="677" t="s">
        <v>671</v>
      </c>
      <c r="K162" s="677">
        <v>165695</v>
      </c>
      <c r="L162" s="677" t="s">
        <v>271</v>
      </c>
      <c r="M162" s="677" t="s">
        <v>270</v>
      </c>
      <c r="N162" s="847">
        <v>97.359320179999997</v>
      </c>
      <c r="O162" s="681">
        <v>25.410569299999999</v>
      </c>
      <c r="P162" s="744"/>
      <c r="Q162" s="681">
        <v>66</v>
      </c>
      <c r="R162" s="687">
        <v>323</v>
      </c>
      <c r="S162" s="843">
        <f>IF(CampList[[#This Row],[HH]]&gt;0,CampList[[#This Row],[Total]]/CampList[[#This Row],[HH]],"NA")</f>
        <v>4.8939393939393936</v>
      </c>
      <c r="T162" s="420" t="s">
        <v>513</v>
      </c>
      <c r="U162" s="455" t="s">
        <v>1194</v>
      </c>
      <c r="V162" s="420" t="s">
        <v>556</v>
      </c>
      <c r="W162" s="686" t="s">
        <v>805</v>
      </c>
      <c r="X162" s="905">
        <v>40909</v>
      </c>
      <c r="Y162" s="670"/>
      <c r="Z162" s="670" t="s">
        <v>1093</v>
      </c>
      <c r="AA162" s="681" t="s">
        <v>844</v>
      </c>
      <c r="AB162" s="907"/>
      <c r="AC162" s="693">
        <v>42537</v>
      </c>
      <c r="AD162" s="726" t="s">
        <v>1479</v>
      </c>
      <c r="AE162" s="690" t="s">
        <v>1096</v>
      </c>
      <c r="AF162" s="732">
        <f>IF(CampList[[#This Row],[Type of Accomodation]]="camp",MAX(0,CampList[[#This Row],[HH]]-SUMIF(Table_Shelter[Pcode],CampList[[#This Row],[CP_Pcode]],Table_Shelter[HH Covered])),0)</f>
        <v>0</v>
      </c>
      <c r="AG162" s="686"/>
      <c r="AH162" s="692">
        <f>MIN(CampList[[#This Row],[Shelter Gap]],CampList[[#This Row],[Land Status]])</f>
        <v>0</v>
      </c>
      <c r="AI162" s="732" t="str">
        <f ca="1">IFERROR(OFFSET(DistanceToCamp[Nearest Town],MATCH(CampList[[#This Row],[CP_Pcode]],DistanceToCamp[CP_Pcode],0)-1,0,1,1),"")</f>
        <v>Myitkyina Town</v>
      </c>
      <c r="AJ162" s="936">
        <f ca="1">IFERROR(OFFSET(DistanceToCamp[distance],MATCH(CampList[[#This Row],[CP_Pcode]],DistanceToCamp[CP_Pcode],0)-1,0,1,1),"")</f>
        <v>4.037940696665812</v>
      </c>
      <c r="AK162" s="956">
        <f ca="1">IFERROR(INT(CampList[[#This Row],[Distance]]/5)+1,"")</f>
        <v>1</v>
      </c>
      <c r="AL162" s="548"/>
      <c r="AM162" s="548"/>
      <c r="AN162" s="548"/>
      <c r="BD162" s="5"/>
      <c r="BE162" s="5"/>
    </row>
    <row r="163" spans="1:57" s="678" customFormat="1" ht="15.6" customHeight="1" x14ac:dyDescent="0.25">
      <c r="A163" s="820" t="s">
        <v>502</v>
      </c>
      <c r="B163" s="216" t="s">
        <v>380</v>
      </c>
      <c r="C163" s="216" t="s">
        <v>527</v>
      </c>
      <c r="D163" s="216" t="s">
        <v>237</v>
      </c>
      <c r="E163" s="216" t="s">
        <v>533</v>
      </c>
      <c r="F163" s="216" t="s">
        <v>237</v>
      </c>
      <c r="G163" s="216" t="s">
        <v>537</v>
      </c>
      <c r="H163" s="669" t="s">
        <v>650</v>
      </c>
      <c r="I163" s="669" t="s">
        <v>651</v>
      </c>
      <c r="J163" s="669" t="s">
        <v>650</v>
      </c>
      <c r="K163" s="669">
        <v>165698</v>
      </c>
      <c r="L163" s="216" t="s">
        <v>263</v>
      </c>
      <c r="M163" s="216" t="s">
        <v>262</v>
      </c>
      <c r="N163" s="842">
        <v>97.2843958974359</v>
      </c>
      <c r="O163" s="729">
        <v>25.374343974359</v>
      </c>
      <c r="P163" s="743">
        <v>0</v>
      </c>
      <c r="Q163" s="671">
        <v>21</v>
      </c>
      <c r="R163" s="672">
        <v>97</v>
      </c>
      <c r="S163" s="843">
        <f>IF(CampList[[#This Row],[HH]]&gt;0,CampList[[#This Row],[Total]]/CampList[[#This Row],[HH]],"NA")</f>
        <v>4.6190476190476186</v>
      </c>
      <c r="T163" s="455" t="s">
        <v>513</v>
      </c>
      <c r="U163" s="673" t="s">
        <v>1194</v>
      </c>
      <c r="V163" s="668" t="s">
        <v>556</v>
      </c>
      <c r="W163" s="673" t="s">
        <v>858</v>
      </c>
      <c r="X163" s="881">
        <v>40817</v>
      </c>
      <c r="Y163" s="882">
        <v>1</v>
      </c>
      <c r="Z163" s="881" t="s">
        <v>507</v>
      </c>
      <c r="AA163" s="684" t="s">
        <v>844</v>
      </c>
      <c r="AB163" s="883"/>
      <c r="AC163" s="693">
        <v>42537</v>
      </c>
      <c r="AD163" s="885" t="s">
        <v>1499</v>
      </c>
      <c r="AE163" s="682" t="s">
        <v>1096</v>
      </c>
      <c r="AF163" s="686">
        <f>IF(CampList[[#This Row],[Type of Accomodation]]="camp",MAX(0,CampList[[#This Row],[HH]]-SUMIF(Table_Shelter[Pcode],CampList[[#This Row],[CP_Pcode]],Table_Shelter[HH Covered])),0)</f>
        <v>0</v>
      </c>
      <c r="AG163" s="668"/>
      <c r="AH163" s="883">
        <f>MIN(CampList[[#This Row],[Shelter Gap]],CampList[[#This Row],[Land Status]])</f>
        <v>0</v>
      </c>
      <c r="AI163" s="668" t="str">
        <f ca="1">IFERROR(OFFSET(DistanceToCamp[Nearest Town],MATCH(CampList[[#This Row],[CP_Pcode]],DistanceToCamp[CP_Pcode],0)-1,0,1,1),"")</f>
        <v>Myitkyina Town</v>
      </c>
      <c r="AJ163" s="936">
        <f ca="1">IFERROR(OFFSET(DistanceToCamp[distance],MATCH(CampList[[#This Row],[CP_Pcode]],DistanceToCamp[CP_Pcode],0)-1,0,1,1),"")</f>
        <v>10.744749696609457</v>
      </c>
      <c r="AK163" s="957">
        <f ca="1">IFERROR(INT(CampList[[#This Row],[Distance]]/5)+1,"")</f>
        <v>3</v>
      </c>
      <c r="AL163" s="548"/>
      <c r="AM163" s="548"/>
      <c r="AN163" s="548"/>
      <c r="BD163" s="5"/>
      <c r="BE163" s="5"/>
    </row>
    <row r="164" spans="1:57" s="678" customFormat="1" ht="15.6" hidden="1" customHeight="1" x14ac:dyDescent="0.25">
      <c r="A164" s="822" t="s">
        <v>845</v>
      </c>
      <c r="B164" s="774" t="s">
        <v>380</v>
      </c>
      <c r="C164" s="774" t="s">
        <v>527</v>
      </c>
      <c r="D164" s="774" t="s">
        <v>5</v>
      </c>
      <c r="E164" s="774" t="s">
        <v>531</v>
      </c>
      <c r="F164" s="774" t="s">
        <v>151</v>
      </c>
      <c r="G164" s="774" t="s">
        <v>541</v>
      </c>
      <c r="H164" s="775" t="s">
        <v>630</v>
      </c>
      <c r="I164" s="775" t="s">
        <v>631</v>
      </c>
      <c r="J164" s="775"/>
      <c r="K164" s="775"/>
      <c r="L164" s="774" t="s">
        <v>867</v>
      </c>
      <c r="M164" s="774" t="s">
        <v>522</v>
      </c>
      <c r="N164" s="729">
        <v>97.132339999999999</v>
      </c>
      <c r="O164" s="729">
        <v>23.75817</v>
      </c>
      <c r="P164" s="680">
        <v>781.8</v>
      </c>
      <c r="Q164" s="776">
        <v>0</v>
      </c>
      <c r="R164" s="777">
        <v>0</v>
      </c>
      <c r="S164" s="845" t="str">
        <f>IF(CampList[[#This Row],[HH]]&gt;0,CampList[[#This Row],[Total]]/CampList[[#This Row],[HH]],"NA")</f>
        <v>NA</v>
      </c>
      <c r="T164" s="778" t="s">
        <v>515</v>
      </c>
      <c r="U164" s="779" t="s">
        <v>1194</v>
      </c>
      <c r="V164" s="773" t="s">
        <v>556</v>
      </c>
      <c r="W164" s="779" t="s">
        <v>858</v>
      </c>
      <c r="X164" s="902">
        <v>41091</v>
      </c>
      <c r="Y164" s="909"/>
      <c r="Z164" s="902"/>
      <c r="AA164" s="801" t="s">
        <v>844</v>
      </c>
      <c r="AB164" s="895"/>
      <c r="AC164" s="896"/>
      <c r="AD164" s="897" t="s">
        <v>940</v>
      </c>
      <c r="AE164" s="790" t="s">
        <v>1010</v>
      </c>
      <c r="AF164" s="814">
        <f>IF(CampList[[#This Row],[Type of Accomodation]]="camp",MAX(0,CampList[[#This Row],[HH]]-SUMIF(Table_Shelter[Pcode],CampList[[#This Row],[CP_Pcode]],Table_Shelter[HH Covered])),0)</f>
        <v>0</v>
      </c>
      <c r="AG164" s="773"/>
      <c r="AH164" s="895">
        <f>MIN(CampList[[#This Row],[Shelter Gap]],CampList[[#This Row],[Land Status]])</f>
        <v>0</v>
      </c>
      <c r="AI164" s="773" t="str">
        <f ca="1">IFERROR(OFFSET(DistanceToCamp[Nearest Town],MATCH(CampList[[#This Row],[CP_Pcode]],DistanceToCamp[CP_Pcode],0)-1,0,1,1),"")</f>
        <v/>
      </c>
      <c r="AJ164" s="938" t="str">
        <f ca="1">IFERROR(OFFSET(DistanceToCamp[distance],MATCH(CampList[[#This Row],[CP_Pcode]],DistanceToCamp[CP_Pcode],0)-1,0,1,1),"")</f>
        <v/>
      </c>
      <c r="AK164" s="959" t="str">
        <f ca="1">IFERROR(INT(CampList[[#This Row],[Distance]]/5)+1,"")</f>
        <v/>
      </c>
      <c r="AL164" s="548"/>
      <c r="AM164" s="548"/>
      <c r="AN164" s="548"/>
      <c r="BD164" s="5"/>
      <c r="BE164" s="5"/>
    </row>
    <row r="165" spans="1:57" s="678" customFormat="1" ht="15.6" hidden="1" customHeight="1" x14ac:dyDescent="0.25">
      <c r="A165" s="823" t="s">
        <v>845</v>
      </c>
      <c r="B165" s="216" t="s">
        <v>380</v>
      </c>
      <c r="C165" s="216" t="s">
        <v>527</v>
      </c>
      <c r="D165" s="216" t="s">
        <v>5</v>
      </c>
      <c r="E165" s="216" t="s">
        <v>531</v>
      </c>
      <c r="F165" s="216" t="s">
        <v>151</v>
      </c>
      <c r="G165" s="216" t="s">
        <v>541</v>
      </c>
      <c r="H165" s="669" t="s">
        <v>630</v>
      </c>
      <c r="I165" s="669" t="s">
        <v>631</v>
      </c>
      <c r="J165" s="216"/>
      <c r="K165" s="652"/>
      <c r="L165" s="216" t="s">
        <v>868</v>
      </c>
      <c r="M165" s="216" t="s">
        <v>869</v>
      </c>
      <c r="N165" s="729"/>
      <c r="O165" s="729"/>
      <c r="P165" s="670"/>
      <c r="Q165" s="671">
        <v>0</v>
      </c>
      <c r="R165" s="672">
        <v>0</v>
      </c>
      <c r="S165" s="843" t="str">
        <f>IF(CampList[[#This Row],[HH]]&gt;0,CampList[[#This Row],[Total]]/CampList[[#This Row],[HH]],"NA")</f>
        <v>NA</v>
      </c>
      <c r="T165" s="455" t="s">
        <v>515</v>
      </c>
      <c r="U165" s="673" t="s">
        <v>1194</v>
      </c>
      <c r="V165" s="668" t="s">
        <v>556</v>
      </c>
      <c r="W165" s="668"/>
      <c r="X165" s="905"/>
      <c r="Y165" s="687"/>
      <c r="Z165" s="883"/>
      <c r="AA165" s="685" t="s">
        <v>844</v>
      </c>
      <c r="AB165" s="883"/>
      <c r="AC165" s="900"/>
      <c r="AD165" s="885" t="s">
        <v>940</v>
      </c>
      <c r="AE165" s="688" t="s">
        <v>1010</v>
      </c>
      <c r="AF165" s="686">
        <f>IF(CampList[[#This Row],[Type of Accomodation]]="camp",MAX(0,CampList[[#This Row],[HH]]-SUMIF(Table_Shelter[Pcode],CampList[[#This Row],[CP_Pcode]],Table_Shelter[HH Covered])),0)</f>
        <v>0</v>
      </c>
      <c r="AG165" s="668"/>
      <c r="AH165" s="883">
        <f>MIN(CampList[[#This Row],[Shelter Gap]],CampList[[#This Row],[Land Status]])</f>
        <v>0</v>
      </c>
      <c r="AI165" s="668" t="str">
        <f ca="1">IFERROR(OFFSET(DistanceToCamp[Nearest Town],MATCH(CampList[[#This Row],[CP_Pcode]],DistanceToCamp[CP_Pcode],0)-1,0,1,1),"")</f>
        <v/>
      </c>
      <c r="AJ165" s="936" t="str">
        <f ca="1">IFERROR(OFFSET(DistanceToCamp[distance],MATCH(CampList[[#This Row],[CP_Pcode]],DistanceToCamp[CP_Pcode],0)-1,0,1,1),"")</f>
        <v/>
      </c>
      <c r="AK165" s="960" t="str">
        <f ca="1">IFERROR(INT(CampList[[#This Row],[Distance]]/5)+1,"")</f>
        <v/>
      </c>
      <c r="AL165" s="548"/>
      <c r="AM165" s="548"/>
      <c r="AN165" s="548"/>
      <c r="BD165" s="5"/>
      <c r="BE165" s="5"/>
    </row>
    <row r="166" spans="1:57" s="678" customFormat="1" ht="15.6" hidden="1" customHeight="1" x14ac:dyDescent="0.25">
      <c r="A166" s="819" t="s">
        <v>845</v>
      </c>
      <c r="B166" s="701" t="s">
        <v>380</v>
      </c>
      <c r="C166" s="701" t="s">
        <v>527</v>
      </c>
      <c r="D166" s="701" t="s">
        <v>5</v>
      </c>
      <c r="E166" s="701" t="s">
        <v>531</v>
      </c>
      <c r="F166" s="701" t="s">
        <v>151</v>
      </c>
      <c r="G166" s="701" t="s">
        <v>541</v>
      </c>
      <c r="H166" s="747" t="s">
        <v>630</v>
      </c>
      <c r="I166" s="747" t="s">
        <v>631</v>
      </c>
      <c r="J166" s="747"/>
      <c r="K166" s="747"/>
      <c r="L166" s="701" t="s">
        <v>164</v>
      </c>
      <c r="M166" s="701" t="s">
        <v>163</v>
      </c>
      <c r="N166" s="729">
        <v>97.132339999999999</v>
      </c>
      <c r="O166" s="729">
        <v>23.75817</v>
      </c>
      <c r="P166" s="670"/>
      <c r="Q166" s="748">
        <v>0</v>
      </c>
      <c r="R166" s="749">
        <v>0</v>
      </c>
      <c r="S166" s="841" t="str">
        <f>IF(CampList[[#This Row],[HH]]&gt;0,CampList[[#This Row],[Total]]/CampList[[#This Row],[HH]],"NA")</f>
        <v>NA</v>
      </c>
      <c r="T166" s="750" t="s">
        <v>515</v>
      </c>
      <c r="U166" s="703" t="s">
        <v>1194</v>
      </c>
      <c r="V166" s="700" t="s">
        <v>556</v>
      </c>
      <c r="W166" s="703"/>
      <c r="X166" s="876"/>
      <c r="Y166" s="710"/>
      <c r="Z166" s="877"/>
      <c r="AA166" s="753" t="s">
        <v>574</v>
      </c>
      <c r="AB166" s="878"/>
      <c r="AC166" s="879"/>
      <c r="AD166" s="880" t="s">
        <v>847</v>
      </c>
      <c r="AE166" s="711" t="s">
        <v>1010</v>
      </c>
      <c r="AF166" s="861">
        <f>IF(CampList[[#This Row],[Type of Accomodation]]="camp",MAX(0,CampList[[#This Row],[HH]]-SUMIF(Table_Shelter[Pcode],CampList[[#This Row],[CP_Pcode]],Table_Shelter[HH Covered])),0)</f>
        <v>0</v>
      </c>
      <c r="AG166" s="700"/>
      <c r="AH166" s="878">
        <f>MIN(CampList[[#This Row],[Shelter Gap]],CampList[[#This Row],[Land Status]])</f>
        <v>0</v>
      </c>
      <c r="AI166" s="700" t="str">
        <f ca="1">IFERROR(OFFSET(DistanceToCamp[Nearest Town],MATCH(CampList[[#This Row],[CP_Pcode]],DistanceToCamp[CP_Pcode],0)-1,0,1,1),"")</f>
        <v/>
      </c>
      <c r="AJ166" s="935" t="str">
        <f ca="1">IFERROR(OFFSET(DistanceToCamp[distance],MATCH(CampList[[#This Row],[CP_Pcode]],DistanceToCamp[CP_Pcode],0)-1,0,1,1),"")</f>
        <v/>
      </c>
      <c r="AK166" s="955" t="str">
        <f ca="1">IFERROR(INT(CampList[[#This Row],[Distance]]/5)+1,"")</f>
        <v/>
      </c>
      <c r="AL166" s="548"/>
      <c r="AM166" s="548"/>
      <c r="AN166" s="548"/>
      <c r="BD166" s="5"/>
      <c r="BE166" s="5"/>
    </row>
    <row r="167" spans="1:57" s="678" customFormat="1" ht="15.6" customHeight="1" x14ac:dyDescent="0.25">
      <c r="A167" s="820" t="s">
        <v>502</v>
      </c>
      <c r="B167" s="216" t="s">
        <v>380</v>
      </c>
      <c r="C167" s="216" t="s">
        <v>527</v>
      </c>
      <c r="D167" s="216" t="s">
        <v>237</v>
      </c>
      <c r="E167" s="216" t="s">
        <v>533</v>
      </c>
      <c r="F167" s="216" t="s">
        <v>237</v>
      </c>
      <c r="G167" s="216" t="s">
        <v>537</v>
      </c>
      <c r="H167" s="669" t="s">
        <v>650</v>
      </c>
      <c r="I167" s="669" t="s">
        <v>651</v>
      </c>
      <c r="J167" s="669" t="s">
        <v>650</v>
      </c>
      <c r="K167" s="669">
        <v>165698</v>
      </c>
      <c r="L167" s="216" t="s">
        <v>265</v>
      </c>
      <c r="M167" s="216" t="s">
        <v>264</v>
      </c>
      <c r="N167" s="728">
        <v>97.290952037037002</v>
      </c>
      <c r="O167" s="728">
        <v>25.371049444444399</v>
      </c>
      <c r="P167" s="743">
        <v>476</v>
      </c>
      <c r="Q167" s="671">
        <v>14</v>
      </c>
      <c r="R167" s="672">
        <v>71</v>
      </c>
      <c r="S167" s="843">
        <f>IF(CampList[[#This Row],[HH]]&gt;0,CampList[[#This Row],[Total]]/CampList[[#This Row],[HH]],"NA")</f>
        <v>5.0714285714285712</v>
      </c>
      <c r="T167" s="455" t="s">
        <v>513</v>
      </c>
      <c r="U167" s="673" t="s">
        <v>1194</v>
      </c>
      <c r="V167" s="668" t="s">
        <v>556</v>
      </c>
      <c r="W167" s="673" t="s">
        <v>858</v>
      </c>
      <c r="X167" s="881">
        <v>40817</v>
      </c>
      <c r="Y167" s="882">
        <v>1</v>
      </c>
      <c r="Z167" s="881" t="s">
        <v>507</v>
      </c>
      <c r="AA167" s="684" t="s">
        <v>844</v>
      </c>
      <c r="AB167" s="883"/>
      <c r="AC167" s="693">
        <v>42537</v>
      </c>
      <c r="AD167" s="885" t="s">
        <v>1500</v>
      </c>
      <c r="AE167" s="682" t="s">
        <v>1096</v>
      </c>
      <c r="AF167" s="686">
        <f>IF(CampList[[#This Row],[Type of Accomodation]]="camp",MAX(0,CampList[[#This Row],[HH]]-SUMIF(Table_Shelter[Pcode],CampList[[#This Row],[CP_Pcode]],Table_Shelter[HH Covered])),0)</f>
        <v>0</v>
      </c>
      <c r="AG167" s="668"/>
      <c r="AH167" s="883">
        <f>MIN(CampList[[#This Row],[Shelter Gap]],CampList[[#This Row],[Land Status]])</f>
        <v>0</v>
      </c>
      <c r="AI167" s="668" t="str">
        <f ca="1">IFERROR(OFFSET(DistanceToCamp[Nearest Town],MATCH(CampList[[#This Row],[CP_Pcode]],DistanceToCamp[CP_Pcode],0)-1,0,1,1),"")</f>
        <v>Myitkyina Town</v>
      </c>
      <c r="AJ167" s="936">
        <f ca="1">IFERROR(OFFSET(DistanceToCamp[distance],MATCH(CampList[[#This Row],[CP_Pcode]],DistanceToCamp[CP_Pcode],0)-1,0,1,1),"")</f>
        <v>10.15228229456989</v>
      </c>
      <c r="AK167" s="957">
        <f ca="1">IFERROR(INT(CampList[[#This Row],[Distance]]/5)+1,"")</f>
        <v>3</v>
      </c>
      <c r="AL167" s="548"/>
      <c r="AM167" s="548"/>
      <c r="AN167" s="548"/>
      <c r="BD167" s="5"/>
      <c r="BE167" s="5"/>
    </row>
    <row r="168" spans="1:57" s="678" customFormat="1" ht="15.6" customHeight="1" x14ac:dyDescent="0.25">
      <c r="A168" s="821" t="s">
        <v>502</v>
      </c>
      <c r="B168" s="764" t="s">
        <v>380</v>
      </c>
      <c r="C168" s="764" t="s">
        <v>527</v>
      </c>
      <c r="D168" s="764" t="s">
        <v>237</v>
      </c>
      <c r="E168" s="764" t="s">
        <v>533</v>
      </c>
      <c r="F168" s="764" t="s">
        <v>237</v>
      </c>
      <c r="G168" s="764" t="s">
        <v>537</v>
      </c>
      <c r="H168" s="765" t="s">
        <v>673</v>
      </c>
      <c r="I168" s="765" t="s">
        <v>674</v>
      </c>
      <c r="J168" s="765" t="s">
        <v>680</v>
      </c>
      <c r="K168" s="765" t="s">
        <v>681</v>
      </c>
      <c r="L168" s="764" t="s">
        <v>245</v>
      </c>
      <c r="M168" s="764" t="s">
        <v>244</v>
      </c>
      <c r="N168" s="729">
        <v>97.382997575757599</v>
      </c>
      <c r="O168" s="729">
        <v>25.3959740909091</v>
      </c>
      <c r="P168" s="680">
        <v>0</v>
      </c>
      <c r="Q168" s="766">
        <v>6</v>
      </c>
      <c r="R168" s="767">
        <v>39</v>
      </c>
      <c r="S168" s="844">
        <f>IF(CampList[[#This Row],[HH]]&gt;0,CampList[[#This Row],[Total]]/CampList[[#This Row],[HH]],"NA")</f>
        <v>6.5</v>
      </c>
      <c r="T168" s="768" t="s">
        <v>513</v>
      </c>
      <c r="U168" s="769" t="s">
        <v>1194</v>
      </c>
      <c r="V168" s="763" t="s">
        <v>556</v>
      </c>
      <c r="W168" s="769" t="s">
        <v>805</v>
      </c>
      <c r="X168" s="918">
        <v>40695</v>
      </c>
      <c r="Y168" s="919"/>
      <c r="Z168" s="918" t="s">
        <v>462</v>
      </c>
      <c r="AA168" s="771" t="s">
        <v>843</v>
      </c>
      <c r="AB168" s="889"/>
      <c r="AC168" s="912"/>
      <c r="AD168" s="891" t="s">
        <v>603</v>
      </c>
      <c r="AE168" s="798" t="s">
        <v>1096</v>
      </c>
      <c r="AF168" s="860">
        <f>IF(CampList[[#This Row],[Type of Accomodation]]="camp",MAX(0,CampList[[#This Row],[HH]]-SUMIF(Table_Shelter[Pcode],CampList[[#This Row],[CP_Pcode]],Table_Shelter[HH Covered])),0)</f>
        <v>0</v>
      </c>
      <c r="AG168" s="763"/>
      <c r="AH168" s="889">
        <f>MIN(CampList[[#This Row],[Shelter Gap]],CampList[[#This Row],[Land Status]])</f>
        <v>0</v>
      </c>
      <c r="AI168" s="763" t="str">
        <f ca="1">IFERROR(OFFSET(DistanceToCamp[Nearest Town],MATCH(CampList[[#This Row],[CP_Pcode]],DistanceToCamp[CP_Pcode],0)-1,0,1,1),"")</f>
        <v>Myitkyina Town</v>
      </c>
      <c r="AJ168" s="937">
        <f ca="1">IFERROR(OFFSET(DistanceToCamp[distance],MATCH(CampList[[#This Row],[CP_Pcode]],DistanceToCamp[CP_Pcode],0)-1,0,1,1),"")</f>
        <v>1.1985969617964649</v>
      </c>
      <c r="AK168" s="958">
        <f ca="1">IFERROR(INT(CampList[[#This Row],[Distance]]/5)+1,"")</f>
        <v>1</v>
      </c>
      <c r="AL168" s="548"/>
      <c r="AM168" s="548"/>
      <c r="AN168" s="548"/>
      <c r="BD168" s="5"/>
      <c r="BE168" s="5"/>
    </row>
    <row r="169" spans="1:57" s="678" customFormat="1" ht="15.6" customHeight="1" x14ac:dyDescent="0.25">
      <c r="A169" s="820" t="s">
        <v>502</v>
      </c>
      <c r="B169" s="216" t="s">
        <v>380</v>
      </c>
      <c r="C169" s="216" t="s">
        <v>527</v>
      </c>
      <c r="D169" s="216" t="s">
        <v>237</v>
      </c>
      <c r="E169" s="216" t="s">
        <v>533</v>
      </c>
      <c r="F169" s="216" t="s">
        <v>237</v>
      </c>
      <c r="G169" s="216" t="s">
        <v>537</v>
      </c>
      <c r="H169" s="669" t="s">
        <v>673</v>
      </c>
      <c r="I169" s="669" t="s">
        <v>674</v>
      </c>
      <c r="J169" s="669" t="s">
        <v>680</v>
      </c>
      <c r="K169" s="669" t="s">
        <v>681</v>
      </c>
      <c r="L169" s="435" t="s">
        <v>247</v>
      </c>
      <c r="M169" s="216" t="s">
        <v>246</v>
      </c>
      <c r="N169" s="842">
        <v>97.381325000000004</v>
      </c>
      <c r="O169" s="729">
        <v>25.396492500000001</v>
      </c>
      <c r="P169" s="743">
        <v>0</v>
      </c>
      <c r="Q169" s="681">
        <v>42</v>
      </c>
      <c r="R169" s="681">
        <v>211</v>
      </c>
      <c r="S169" s="843">
        <f>IF(CampList[[#This Row],[HH]]&gt;0,CampList[[#This Row],[Total]]/CampList[[#This Row],[HH]],"NA")</f>
        <v>5.0238095238095237</v>
      </c>
      <c r="T169" s="455" t="s">
        <v>513</v>
      </c>
      <c r="U169" s="673" t="s">
        <v>1194</v>
      </c>
      <c r="V169" s="668" t="s">
        <v>556</v>
      </c>
      <c r="W169" s="673" t="s">
        <v>805</v>
      </c>
      <c r="X169" s="881">
        <v>40695</v>
      </c>
      <c r="Y169" s="882">
        <v>2</v>
      </c>
      <c r="Z169" s="881" t="s">
        <v>462</v>
      </c>
      <c r="AA169" s="683" t="s">
        <v>844</v>
      </c>
      <c r="AB169" s="883"/>
      <c r="AC169" s="693">
        <v>42536</v>
      </c>
      <c r="AD169" s="885" t="s">
        <v>1435</v>
      </c>
      <c r="AE169" s="682" t="s">
        <v>1096</v>
      </c>
      <c r="AF169" s="686">
        <f>IF(CampList[[#This Row],[Type of Accomodation]]="camp",MAX(0,CampList[[#This Row],[HH]]-SUMIF(Table_Shelter[Pcode],CampList[[#This Row],[CP_Pcode]],Table_Shelter[HH Covered])),0)</f>
        <v>39</v>
      </c>
      <c r="AG169" s="668"/>
      <c r="AH169" s="883">
        <f>MIN(CampList[[#This Row],[Shelter Gap]],CampList[[#This Row],[Land Status]])</f>
        <v>39</v>
      </c>
      <c r="AI169" s="668" t="str">
        <f ca="1">IFERROR(OFFSET(DistanceToCamp[Nearest Town],MATCH(CampList[[#This Row],[CP_Pcode]],DistanceToCamp[CP_Pcode],0)-1,0,1,1),"")</f>
        <v>Myitkyina Town</v>
      </c>
      <c r="AJ169" s="936">
        <f ca="1">IFERROR(OFFSET(DistanceToCamp[distance],MATCH(CampList[[#This Row],[CP_Pcode]],DistanceToCamp[CP_Pcode],0)-1,0,1,1),"")</f>
        <v>1.3510454549069482</v>
      </c>
      <c r="AK169" s="957">
        <f ca="1">IFERROR(INT(CampList[[#This Row],[Distance]]/5)+1,"")</f>
        <v>1</v>
      </c>
      <c r="AL169" s="548"/>
      <c r="AM169" s="548"/>
      <c r="AN169" s="548"/>
      <c r="BD169" s="5"/>
      <c r="BE169" s="5"/>
    </row>
    <row r="170" spans="1:57" s="678" customFormat="1" ht="15.6" customHeight="1" x14ac:dyDescent="0.25">
      <c r="A170" s="820" t="s">
        <v>502</v>
      </c>
      <c r="B170" s="216" t="s">
        <v>380</v>
      </c>
      <c r="C170" s="216" t="s">
        <v>527</v>
      </c>
      <c r="D170" s="216" t="s">
        <v>237</v>
      </c>
      <c r="E170" s="216" t="s">
        <v>533</v>
      </c>
      <c r="F170" s="216" t="s">
        <v>237</v>
      </c>
      <c r="G170" s="216" t="s">
        <v>537</v>
      </c>
      <c r="H170" s="669" t="s">
        <v>673</v>
      </c>
      <c r="I170" s="669" t="s">
        <v>674</v>
      </c>
      <c r="J170" s="669" t="s">
        <v>680</v>
      </c>
      <c r="K170" s="669" t="s">
        <v>681</v>
      </c>
      <c r="L170" s="216" t="s">
        <v>243</v>
      </c>
      <c r="M170" s="216" t="s">
        <v>242</v>
      </c>
      <c r="N170" s="842">
        <v>97.384729629629604</v>
      </c>
      <c r="O170" s="729">
        <v>25.4002701851852</v>
      </c>
      <c r="P170" s="743">
        <v>0</v>
      </c>
      <c r="Q170" s="671">
        <v>6</v>
      </c>
      <c r="R170" s="672">
        <v>28</v>
      </c>
      <c r="S170" s="843">
        <f>IF(CampList[[#This Row],[HH]]&gt;0,CampList[[#This Row],[Total]]/CampList[[#This Row],[HH]],"NA")</f>
        <v>4.666666666666667</v>
      </c>
      <c r="T170" s="455" t="s">
        <v>513</v>
      </c>
      <c r="U170" s="673" t="s">
        <v>1194</v>
      </c>
      <c r="V170" s="668" t="s">
        <v>556</v>
      </c>
      <c r="W170" s="673" t="s">
        <v>805</v>
      </c>
      <c r="X170" s="881">
        <v>40695</v>
      </c>
      <c r="Y170" s="882"/>
      <c r="Z170" s="881" t="s">
        <v>462</v>
      </c>
      <c r="AA170" s="675" t="s">
        <v>843</v>
      </c>
      <c r="AB170" s="883"/>
      <c r="AC170" s="693"/>
      <c r="AD170" s="885" t="s">
        <v>603</v>
      </c>
      <c r="AE170" s="682" t="s">
        <v>1096</v>
      </c>
      <c r="AF170" s="686">
        <f>IF(CampList[[#This Row],[Type of Accomodation]]="camp",MAX(0,CampList[[#This Row],[HH]]-SUMIF(Table_Shelter[Pcode],CampList[[#This Row],[CP_Pcode]],Table_Shelter[HH Covered])),0)</f>
        <v>3</v>
      </c>
      <c r="AG170" s="668"/>
      <c r="AH170" s="883">
        <f>MIN(CampList[[#This Row],[Shelter Gap]],CampList[[#This Row],[Land Status]])</f>
        <v>3</v>
      </c>
      <c r="AI170" s="668" t="str">
        <f ca="1">IFERROR(OFFSET(DistanceToCamp[Nearest Town],MATCH(CampList[[#This Row],[CP_Pcode]],DistanceToCamp[CP_Pcode],0)-1,0,1,1),"")</f>
        <v>Myitkyina Town</v>
      </c>
      <c r="AJ170" s="936">
        <f ca="1">IFERROR(OFFSET(DistanceToCamp[distance],MATCH(CampList[[#This Row],[CP_Pcode]],DistanceToCamp[CP_Pcode],0)-1,0,1,1),"")</f>
        <v>1.5295244799681529</v>
      </c>
      <c r="AK170" s="957">
        <f ca="1">IFERROR(INT(CampList[[#This Row],[Distance]]/5)+1,"")</f>
        <v>1</v>
      </c>
      <c r="AL170" s="548"/>
      <c r="AM170" s="548"/>
      <c r="AN170" s="548"/>
      <c r="BD170" s="5"/>
      <c r="BE170" s="5"/>
    </row>
    <row r="171" spans="1:57" s="678" customFormat="1" ht="15.6" customHeight="1" x14ac:dyDescent="0.25">
      <c r="A171" s="820" t="s">
        <v>502</v>
      </c>
      <c r="B171" s="216" t="s">
        <v>380</v>
      </c>
      <c r="C171" s="216" t="s">
        <v>527</v>
      </c>
      <c r="D171" s="216" t="s">
        <v>237</v>
      </c>
      <c r="E171" s="216" t="s">
        <v>533</v>
      </c>
      <c r="F171" s="216" t="s">
        <v>237</v>
      </c>
      <c r="G171" s="216" t="s">
        <v>537</v>
      </c>
      <c r="H171" s="679" t="s">
        <v>673</v>
      </c>
      <c r="I171" s="679" t="s">
        <v>674</v>
      </c>
      <c r="J171" s="679" t="s">
        <v>685</v>
      </c>
      <c r="K171" s="679" t="s">
        <v>686</v>
      </c>
      <c r="L171" s="216" t="s">
        <v>283</v>
      </c>
      <c r="M171" s="216" t="s">
        <v>282</v>
      </c>
      <c r="N171" s="842">
        <v>97.403878500000005</v>
      </c>
      <c r="O171" s="729">
        <v>25.377038166666701</v>
      </c>
      <c r="P171" s="743">
        <v>0</v>
      </c>
      <c r="Q171" s="692">
        <v>7</v>
      </c>
      <c r="R171" s="687">
        <v>37</v>
      </c>
      <c r="S171" s="843">
        <f>IF(CampList[[#This Row],[HH]]&gt;0,CampList[[#This Row],[Total]]/CampList[[#This Row],[HH]],"NA")</f>
        <v>5.2857142857142856</v>
      </c>
      <c r="T171" s="455" t="s">
        <v>513</v>
      </c>
      <c r="U171" s="673" t="s">
        <v>1194</v>
      </c>
      <c r="V171" s="668" t="s">
        <v>556</v>
      </c>
      <c r="W171" s="668" t="s">
        <v>805</v>
      </c>
      <c r="X171" s="881">
        <v>41000</v>
      </c>
      <c r="Y171" s="882">
        <v>1</v>
      </c>
      <c r="Z171" s="881" t="s">
        <v>507</v>
      </c>
      <c r="AA171" s="433" t="s">
        <v>844</v>
      </c>
      <c r="AB171" s="883"/>
      <c r="AC171" s="693">
        <v>42537</v>
      </c>
      <c r="AD171" s="884" t="s">
        <v>1513</v>
      </c>
      <c r="AE171" s="682" t="s">
        <v>1096</v>
      </c>
      <c r="AF171" s="686">
        <f>IF(CampList[[#This Row],[Type of Accomodation]]="camp",MAX(0,CampList[[#This Row],[HH]]-SUMIF(Table_Shelter[Pcode],CampList[[#This Row],[CP_Pcode]],Table_Shelter[HH Covered])),0)</f>
        <v>0</v>
      </c>
      <c r="AG171" s="668"/>
      <c r="AH171" s="883">
        <f>MIN(CampList[[#This Row],[Shelter Gap]],CampList[[#This Row],[Land Status]])</f>
        <v>0</v>
      </c>
      <c r="AI171" s="668" t="str">
        <f ca="1">IFERROR(OFFSET(DistanceToCamp[Nearest Town],MATCH(CampList[[#This Row],[CP_Pcode]],DistanceToCamp[CP_Pcode],0)-1,0,1,1),"")</f>
        <v>Myitkyina Town</v>
      </c>
      <c r="AJ171" s="936">
        <f ca="1">IFERROR(OFFSET(DistanceToCamp[distance],MATCH(CampList[[#This Row],[CP_Pcode]],DistanceToCamp[CP_Pcode],0)-1,0,1,1),"")</f>
        <v>1.7877148351104664</v>
      </c>
      <c r="AK171" s="957">
        <f ca="1">IFERROR(INT(CampList[[#This Row],[Distance]]/5)+1,"")</f>
        <v>1</v>
      </c>
      <c r="AL171" s="548"/>
      <c r="AM171" s="548"/>
      <c r="AN171" s="548"/>
      <c r="BD171" s="5"/>
      <c r="BE171" s="5"/>
    </row>
    <row r="172" spans="1:57" s="678" customFormat="1" ht="15.6" customHeight="1" x14ac:dyDescent="0.25">
      <c r="A172" s="820" t="s">
        <v>502</v>
      </c>
      <c r="B172" s="216" t="s">
        <v>380</v>
      </c>
      <c r="C172" s="216" t="s">
        <v>527</v>
      </c>
      <c r="D172" s="216" t="s">
        <v>237</v>
      </c>
      <c r="E172" s="216" t="s">
        <v>533</v>
      </c>
      <c r="F172" s="216" t="s">
        <v>237</v>
      </c>
      <c r="G172" s="216" t="s">
        <v>537</v>
      </c>
      <c r="H172" s="669" t="s">
        <v>673</v>
      </c>
      <c r="I172" s="669" t="s">
        <v>674</v>
      </c>
      <c r="J172" s="669" t="s">
        <v>687</v>
      </c>
      <c r="K172" s="669" t="s">
        <v>688</v>
      </c>
      <c r="L172" s="435" t="s">
        <v>257</v>
      </c>
      <c r="M172" s="216" t="s">
        <v>256</v>
      </c>
      <c r="N172" s="842">
        <v>97.405202777777802</v>
      </c>
      <c r="O172" s="729">
        <v>25.3660036111111</v>
      </c>
      <c r="P172" s="743">
        <v>0</v>
      </c>
      <c r="Q172" s="681">
        <v>44</v>
      </c>
      <c r="R172" s="681">
        <v>191</v>
      </c>
      <c r="S172" s="843">
        <f>IF(CampList[[#This Row],[HH]]&gt;0,CampList[[#This Row],[Total]]/CampList[[#This Row],[HH]],"NA")</f>
        <v>4.3409090909090908</v>
      </c>
      <c r="T172" s="455" t="s">
        <v>513</v>
      </c>
      <c r="U172" s="673" t="s">
        <v>1194</v>
      </c>
      <c r="V172" s="668" t="s">
        <v>556</v>
      </c>
      <c r="W172" s="673" t="s">
        <v>805</v>
      </c>
      <c r="X172" s="881">
        <v>40909</v>
      </c>
      <c r="Y172" s="882">
        <v>1</v>
      </c>
      <c r="Z172" s="881" t="s">
        <v>462</v>
      </c>
      <c r="AA172" s="683" t="s">
        <v>844</v>
      </c>
      <c r="AB172" s="883"/>
      <c r="AC172" s="693">
        <v>42536</v>
      </c>
      <c r="AD172" s="885" t="s">
        <v>1436</v>
      </c>
      <c r="AE172" s="682" t="s">
        <v>1096</v>
      </c>
      <c r="AF172" s="686">
        <f>IF(CampList[[#This Row],[Type of Accomodation]]="camp",MAX(0,CampList[[#This Row],[HH]]-SUMIF(Table_Shelter[Pcode],CampList[[#This Row],[CP_Pcode]],Table_Shelter[HH Covered])),0)</f>
        <v>39</v>
      </c>
      <c r="AG172" s="668"/>
      <c r="AH172" s="883">
        <f>MIN(CampList[[#This Row],[Shelter Gap]],CampList[[#This Row],[Land Status]])</f>
        <v>39</v>
      </c>
      <c r="AI172" s="668" t="str">
        <f ca="1">IFERROR(OFFSET(DistanceToCamp[Nearest Town],MATCH(CampList[[#This Row],[CP_Pcode]],DistanceToCamp[CP_Pcode],0)-1,0,1,1),"")</f>
        <v>Myitkyina Town</v>
      </c>
      <c r="AJ172" s="936">
        <f ca="1">IFERROR(OFFSET(DistanceToCamp[distance],MATCH(CampList[[#This Row],[CP_Pcode]],DistanceToCamp[CP_Pcode],0)-1,0,1,1),"")</f>
        <v>2.8164250706222882</v>
      </c>
      <c r="AK172" s="957">
        <f ca="1">IFERROR(INT(CampList[[#This Row],[Distance]]/5)+1,"")</f>
        <v>1</v>
      </c>
      <c r="AL172" s="548"/>
      <c r="AM172" s="548"/>
      <c r="AN172" s="548"/>
      <c r="BD172" s="5"/>
      <c r="BE172" s="5"/>
    </row>
    <row r="173" spans="1:57" s="678" customFormat="1" ht="15.6" customHeight="1" x14ac:dyDescent="0.25">
      <c r="A173" s="820" t="s">
        <v>502</v>
      </c>
      <c r="B173" s="216" t="s">
        <v>380</v>
      </c>
      <c r="C173" s="216" t="s">
        <v>527</v>
      </c>
      <c r="D173" s="216" t="s">
        <v>237</v>
      </c>
      <c r="E173" s="216" t="s">
        <v>533</v>
      </c>
      <c r="F173" s="216" t="s">
        <v>237</v>
      </c>
      <c r="G173" s="216" t="s">
        <v>537</v>
      </c>
      <c r="H173" s="679" t="s">
        <v>673</v>
      </c>
      <c r="I173" s="679" t="s">
        <v>674</v>
      </c>
      <c r="J173" s="679" t="s">
        <v>693</v>
      </c>
      <c r="K173" s="679" t="s">
        <v>694</v>
      </c>
      <c r="L173" s="435" t="s">
        <v>281</v>
      </c>
      <c r="M173" s="216" t="s">
        <v>280</v>
      </c>
      <c r="N173" s="842">
        <v>97.419403000000003</v>
      </c>
      <c r="O173" s="729">
        <v>25.440928</v>
      </c>
      <c r="P173" s="743">
        <v>0</v>
      </c>
      <c r="Q173" s="681">
        <v>91</v>
      </c>
      <c r="R173" s="681">
        <v>491</v>
      </c>
      <c r="S173" s="843">
        <f>IF(CampList[[#This Row],[HH]]&gt;0,CampList[[#This Row],[Total]]/CampList[[#This Row],[HH]],"NA")</f>
        <v>5.395604395604396</v>
      </c>
      <c r="T173" s="455" t="s">
        <v>513</v>
      </c>
      <c r="U173" s="673" t="s">
        <v>1194</v>
      </c>
      <c r="V173" s="668" t="s">
        <v>556</v>
      </c>
      <c r="W173" s="673" t="s">
        <v>805</v>
      </c>
      <c r="X173" s="881">
        <v>40725</v>
      </c>
      <c r="Y173" s="882">
        <v>2</v>
      </c>
      <c r="Z173" s="881" t="s">
        <v>462</v>
      </c>
      <c r="AA173" s="433" t="s">
        <v>844</v>
      </c>
      <c r="AB173" s="883"/>
      <c r="AC173" s="693">
        <v>42536</v>
      </c>
      <c r="AD173" s="884" t="s">
        <v>1434</v>
      </c>
      <c r="AE173" s="682" t="s">
        <v>1096</v>
      </c>
      <c r="AF173" s="686">
        <f>IF(CampList[[#This Row],[Type of Accomodation]]="camp",MAX(0,CampList[[#This Row],[HH]]-SUMIF(Table_Shelter[Pcode],CampList[[#This Row],[CP_Pcode]],Table_Shelter[HH Covered])),0)</f>
        <v>41</v>
      </c>
      <c r="AG173" s="668"/>
      <c r="AH173" s="883">
        <f>MIN(CampList[[#This Row],[Shelter Gap]],CampList[[#This Row],[Land Status]])</f>
        <v>41</v>
      </c>
      <c r="AI173" s="668" t="str">
        <f ca="1">IFERROR(OFFSET(DistanceToCamp[Nearest Town],MATCH(CampList[[#This Row],[CP_Pcode]],DistanceToCamp[CP_Pcode],0)-1,0,1,1),"")</f>
        <v>Myitkyina Town</v>
      </c>
      <c r="AJ173" s="936">
        <f ca="1">IFERROR(OFFSET(DistanceToCamp[distance],MATCH(CampList[[#This Row],[CP_Pcode]],DistanceToCamp[CP_Pcode],0)-1,0,1,1),"")</f>
        <v>6.6198004689728469</v>
      </c>
      <c r="AK173" s="957">
        <f ca="1">IFERROR(INT(CampList[[#This Row],[Distance]]/5)+1,"")</f>
        <v>2</v>
      </c>
      <c r="AL173" s="548"/>
      <c r="AM173" s="548"/>
      <c r="AN173" s="548"/>
      <c r="BD173" s="5"/>
      <c r="BE173" s="5"/>
    </row>
    <row r="174" spans="1:57" s="678" customFormat="1" ht="15.6" customHeight="1" x14ac:dyDescent="0.25">
      <c r="A174" s="820" t="s">
        <v>502</v>
      </c>
      <c r="B174" s="216" t="s">
        <v>380</v>
      </c>
      <c r="C174" s="216" t="s">
        <v>527</v>
      </c>
      <c r="D174" s="216" t="s">
        <v>237</v>
      </c>
      <c r="E174" s="216" t="s">
        <v>533</v>
      </c>
      <c r="F174" s="216" t="s">
        <v>237</v>
      </c>
      <c r="G174" s="216" t="s">
        <v>537</v>
      </c>
      <c r="H174" s="669" t="s">
        <v>673</v>
      </c>
      <c r="I174" s="669" t="s">
        <v>674</v>
      </c>
      <c r="J174" s="669" t="s">
        <v>691</v>
      </c>
      <c r="K174" s="669" t="s">
        <v>692</v>
      </c>
      <c r="L174" s="435" t="s">
        <v>261</v>
      </c>
      <c r="M174" s="216" t="s">
        <v>260</v>
      </c>
      <c r="N174" s="842">
        <v>97.418694000000002</v>
      </c>
      <c r="O174" s="729">
        <v>25.428910999999999</v>
      </c>
      <c r="P174" s="743">
        <v>0</v>
      </c>
      <c r="Q174" s="681">
        <v>101</v>
      </c>
      <c r="R174" s="681">
        <v>544</v>
      </c>
      <c r="S174" s="843">
        <f>IF(CampList[[#This Row],[HH]]&gt;0,CampList[[#This Row],[Total]]/CampList[[#This Row],[HH]],"NA")</f>
        <v>5.3861386138613865</v>
      </c>
      <c r="T174" s="455" t="s">
        <v>513</v>
      </c>
      <c r="U174" s="673" t="s">
        <v>1194</v>
      </c>
      <c r="V174" s="668" t="s">
        <v>556</v>
      </c>
      <c r="W174" s="673" t="s">
        <v>805</v>
      </c>
      <c r="X174" s="881">
        <v>40725</v>
      </c>
      <c r="Y174" s="882">
        <v>2</v>
      </c>
      <c r="Z174" s="881" t="s">
        <v>462</v>
      </c>
      <c r="AA174" s="683" t="s">
        <v>844</v>
      </c>
      <c r="AB174" s="883"/>
      <c r="AC174" s="693">
        <v>42536</v>
      </c>
      <c r="AD174" s="885" t="s">
        <v>1433</v>
      </c>
      <c r="AE174" s="682" t="s">
        <v>1096</v>
      </c>
      <c r="AF174" s="686">
        <f>IF(CampList[[#This Row],[Type of Accomodation]]="camp",MAX(0,CampList[[#This Row],[HH]]-SUMIF(Table_Shelter[Pcode],CampList[[#This Row],[CP_Pcode]],Table_Shelter[HH Covered])),0)</f>
        <v>21</v>
      </c>
      <c r="AG174" s="668"/>
      <c r="AH174" s="883">
        <f>MIN(CampList[[#This Row],[Shelter Gap]],CampList[[#This Row],[Land Status]])</f>
        <v>21</v>
      </c>
      <c r="AI174" s="668" t="str">
        <f ca="1">IFERROR(OFFSET(DistanceToCamp[Nearest Town],MATCH(CampList[[#This Row],[CP_Pcode]],DistanceToCamp[CP_Pcode],0)-1,0,1,1),"")</f>
        <v>Myitkyina Town</v>
      </c>
      <c r="AJ174" s="936">
        <f ca="1">IFERROR(OFFSET(DistanceToCamp[distance],MATCH(CampList[[#This Row],[CP_Pcode]],DistanceToCamp[CP_Pcode],0)-1,0,1,1),"")</f>
        <v>5.4145379230647226</v>
      </c>
      <c r="AK174" s="957">
        <f ca="1">IFERROR(INT(CampList[[#This Row],[Distance]]/5)+1,"")</f>
        <v>2</v>
      </c>
      <c r="AL174" s="548"/>
      <c r="AM174" s="548"/>
      <c r="AN174" s="548"/>
      <c r="BD174" s="5"/>
      <c r="BE174" s="5"/>
    </row>
    <row r="175" spans="1:57" s="678" customFormat="1" ht="15.6" hidden="1" customHeight="1" x14ac:dyDescent="0.25">
      <c r="A175" s="821" t="s">
        <v>845</v>
      </c>
      <c r="B175" s="764" t="s">
        <v>380</v>
      </c>
      <c r="C175" s="764" t="s">
        <v>527</v>
      </c>
      <c r="D175" s="764" t="s">
        <v>180</v>
      </c>
      <c r="E175" s="764" t="s">
        <v>528</v>
      </c>
      <c r="F175" s="764" t="s">
        <v>180</v>
      </c>
      <c r="G175" s="764" t="s">
        <v>553</v>
      </c>
      <c r="H175" s="765" t="s">
        <v>618</v>
      </c>
      <c r="I175" s="765" t="s">
        <v>619</v>
      </c>
      <c r="J175" s="765" t="s">
        <v>618</v>
      </c>
      <c r="K175" s="765">
        <v>166591</v>
      </c>
      <c r="L175" s="764" t="s">
        <v>183</v>
      </c>
      <c r="M175" s="764" t="s">
        <v>182</v>
      </c>
      <c r="N175" s="729">
        <v>96.364949999999993</v>
      </c>
      <c r="O175" s="729">
        <v>24.998349999999999</v>
      </c>
      <c r="P175" s="680">
        <v>0</v>
      </c>
      <c r="Q175" s="766">
        <v>0</v>
      </c>
      <c r="R175" s="767">
        <v>0</v>
      </c>
      <c r="S175" s="844" t="str">
        <f>IF(CampList[[#This Row],[HH]]&gt;0,CampList[[#This Row],[Total]]/CampList[[#This Row],[HH]],"NA")</f>
        <v>NA</v>
      </c>
      <c r="T175" s="768" t="s">
        <v>513</v>
      </c>
      <c r="U175" s="769" t="s">
        <v>1194</v>
      </c>
      <c r="V175" s="763" t="s">
        <v>556</v>
      </c>
      <c r="W175" s="769" t="s">
        <v>858</v>
      </c>
      <c r="X175" s="918">
        <v>40969</v>
      </c>
      <c r="Y175" s="919"/>
      <c r="Z175" s="918" t="s">
        <v>462</v>
      </c>
      <c r="AA175" s="771" t="s">
        <v>843</v>
      </c>
      <c r="AB175" s="889"/>
      <c r="AC175" s="912">
        <v>41837</v>
      </c>
      <c r="AD175" s="891" t="s">
        <v>1101</v>
      </c>
      <c r="AE175" s="798" t="s">
        <v>1096</v>
      </c>
      <c r="AF175" s="860">
        <f>IF(CampList[[#This Row],[Type of Accomodation]]="camp",MAX(0,CampList[[#This Row],[HH]]-SUMIF(Table_Shelter[Pcode],CampList[[#This Row],[CP_Pcode]],Table_Shelter[HH Covered])),0)</f>
        <v>0</v>
      </c>
      <c r="AG175" s="763"/>
      <c r="AH175" s="889">
        <f>MIN(CampList[[#This Row],[Shelter Gap]],CampList[[#This Row],[Land Status]])</f>
        <v>0</v>
      </c>
      <c r="AI175" s="763" t="str">
        <f ca="1">IFERROR(OFFSET(DistanceToCamp[Nearest Town],MATCH(CampList[[#This Row],[CP_Pcode]],DistanceToCamp[CP_Pcode],0)-1,0,1,1),"")</f>
        <v/>
      </c>
      <c r="AJ175" s="937" t="str">
        <f ca="1">IFERROR(OFFSET(DistanceToCamp[distance],MATCH(CampList[[#This Row],[CP_Pcode]],DistanceToCamp[CP_Pcode],0)-1,0,1,1),"")</f>
        <v/>
      </c>
      <c r="AK175" s="958" t="str">
        <f ca="1">IFERROR(INT(CampList[[#This Row],[Distance]]/5)+1,"")</f>
        <v/>
      </c>
      <c r="AL175" s="548"/>
      <c r="AM175" s="548"/>
      <c r="AN175" s="548"/>
      <c r="BD175" s="5"/>
      <c r="BE175" s="5"/>
    </row>
    <row r="176" spans="1:57" s="678" customFormat="1" ht="15.6" customHeight="1" x14ac:dyDescent="0.25">
      <c r="A176" s="820" t="s">
        <v>502</v>
      </c>
      <c r="B176" s="216" t="s">
        <v>380</v>
      </c>
      <c r="C176" s="216" t="s">
        <v>527</v>
      </c>
      <c r="D176" s="216" t="s">
        <v>237</v>
      </c>
      <c r="E176" s="216" t="s">
        <v>533</v>
      </c>
      <c r="F176" s="216" t="s">
        <v>237</v>
      </c>
      <c r="G176" s="216" t="s">
        <v>537</v>
      </c>
      <c r="H176" s="679" t="s">
        <v>673</v>
      </c>
      <c r="I176" s="679" t="s">
        <v>674</v>
      </c>
      <c r="J176" s="679" t="s">
        <v>678</v>
      </c>
      <c r="K176" s="679" t="s">
        <v>679</v>
      </c>
      <c r="L176" s="435" t="s">
        <v>238</v>
      </c>
      <c r="M176" s="216" t="s">
        <v>236</v>
      </c>
      <c r="N176" s="842">
        <v>97.386718999999999</v>
      </c>
      <c r="O176" s="729">
        <v>25.415482000000001</v>
      </c>
      <c r="P176" s="743">
        <v>0</v>
      </c>
      <c r="Q176" s="681">
        <v>67</v>
      </c>
      <c r="R176" s="681">
        <v>365</v>
      </c>
      <c r="S176" s="843">
        <f>IF(CampList[[#This Row],[HH]]&gt;0,CampList[[#This Row],[Total]]/CampList[[#This Row],[HH]],"NA")</f>
        <v>5.4477611940298507</v>
      </c>
      <c r="T176" s="455" t="s">
        <v>513</v>
      </c>
      <c r="U176" s="673" t="s">
        <v>1194</v>
      </c>
      <c r="V176" s="668" t="s">
        <v>556</v>
      </c>
      <c r="W176" s="673" t="s">
        <v>805</v>
      </c>
      <c r="X176" s="881">
        <v>40695</v>
      </c>
      <c r="Y176" s="882">
        <v>1</v>
      </c>
      <c r="Z176" s="881" t="s">
        <v>462</v>
      </c>
      <c r="AA176" s="433" t="s">
        <v>844</v>
      </c>
      <c r="AB176" s="883"/>
      <c r="AC176" s="693">
        <v>42536</v>
      </c>
      <c r="AD176" s="884" t="s">
        <v>1429</v>
      </c>
      <c r="AE176" s="682" t="s">
        <v>1096</v>
      </c>
      <c r="AF176" s="686">
        <f>IF(CampList[[#This Row],[Type of Accomodation]]="camp",MAX(0,CampList[[#This Row],[HH]]-SUMIF(Table_Shelter[Pcode],CampList[[#This Row],[CP_Pcode]],Table_Shelter[HH Covered])),0)</f>
        <v>7</v>
      </c>
      <c r="AG176" s="668"/>
      <c r="AH176" s="883">
        <f>MIN(CampList[[#This Row],[Shelter Gap]],CampList[[#This Row],[Land Status]])</f>
        <v>7</v>
      </c>
      <c r="AI176" s="668" t="str">
        <f ca="1">IFERROR(OFFSET(DistanceToCamp[Nearest Town],MATCH(CampList[[#This Row],[CP_Pcode]],DistanceToCamp[CP_Pcode],0)-1,0,1,1),"")</f>
        <v>Myitkyina Town</v>
      </c>
      <c r="AJ176" s="936">
        <f ca="1">IFERROR(OFFSET(DistanceToCamp[distance],MATCH(CampList[[#This Row],[CP_Pcode]],DistanceToCamp[CP_Pcode],0)-1,0,1,1),"")</f>
        <v>3.1341427522962952</v>
      </c>
      <c r="AK176" s="957">
        <f ca="1">IFERROR(INT(CampList[[#This Row],[Distance]]/5)+1,"")</f>
        <v>1</v>
      </c>
      <c r="AL176" s="548"/>
      <c r="AM176" s="548"/>
      <c r="AN176" s="548"/>
      <c r="BD176" s="5"/>
      <c r="BE176" s="5"/>
    </row>
    <row r="177" spans="1:57" s="678" customFormat="1" ht="15.6" hidden="1" customHeight="1" x14ac:dyDescent="0.25">
      <c r="A177" s="822" t="s">
        <v>845</v>
      </c>
      <c r="B177" s="774" t="s">
        <v>380</v>
      </c>
      <c r="C177" s="774" t="s">
        <v>527</v>
      </c>
      <c r="D177" s="774" t="s">
        <v>5</v>
      </c>
      <c r="E177" s="774" t="s">
        <v>531</v>
      </c>
      <c r="F177" s="774" t="s">
        <v>185</v>
      </c>
      <c r="G177" s="774" t="s">
        <v>535</v>
      </c>
      <c r="H177" s="787" t="s">
        <v>664</v>
      </c>
      <c r="I177" s="787" t="s">
        <v>665</v>
      </c>
      <c r="J177" s="787" t="s">
        <v>666</v>
      </c>
      <c r="K177" s="787" t="s">
        <v>667</v>
      </c>
      <c r="L177" s="774" t="s">
        <v>217</v>
      </c>
      <c r="M177" s="774" t="s">
        <v>216</v>
      </c>
      <c r="N177" s="729">
        <v>97.347740000000002</v>
      </c>
      <c r="O177" s="729">
        <v>24.253769999999999</v>
      </c>
      <c r="P177" s="680">
        <v>0</v>
      </c>
      <c r="Q177" s="788"/>
      <c r="R177" s="789"/>
      <c r="S177" s="845" t="str">
        <f>IF(CampList[[#This Row],[HH]]&gt;0,CampList[[#This Row],[Total]]/CampList[[#This Row],[HH]],"NA")</f>
        <v>NA</v>
      </c>
      <c r="T177" s="778" t="s">
        <v>513</v>
      </c>
      <c r="U177" s="779" t="s">
        <v>1194</v>
      </c>
      <c r="V177" s="773" t="s">
        <v>556</v>
      </c>
      <c r="W177" s="779" t="s">
        <v>805</v>
      </c>
      <c r="X177" s="902">
        <v>40817</v>
      </c>
      <c r="Y177" s="909">
        <v>1</v>
      </c>
      <c r="Z177" s="902" t="s">
        <v>507</v>
      </c>
      <c r="AA177" s="791" t="s">
        <v>844</v>
      </c>
      <c r="AB177" s="895"/>
      <c r="AC177" s="792">
        <v>42537</v>
      </c>
      <c r="AD177" s="943" t="s">
        <v>1489</v>
      </c>
      <c r="AE177" s="790" t="s">
        <v>1096</v>
      </c>
      <c r="AF177" s="814">
        <f>IF(CampList[[#This Row],[Type of Accomodation]]="camp",MAX(0,CampList[[#This Row],[HH]]-SUMIF(Table_Shelter[Pcode],CampList[[#This Row],[CP_Pcode]],Table_Shelter[HH Covered])),0)</f>
        <v>0</v>
      </c>
      <c r="AG177" s="814"/>
      <c r="AH177" s="895">
        <f>MIN(CampList[[#This Row],[Shelter Gap]],CampList[[#This Row],[Land Status]])</f>
        <v>0</v>
      </c>
      <c r="AI177" s="773" t="str">
        <f ca="1">IFERROR(OFFSET(DistanceToCamp[Nearest Town],MATCH(CampList[[#This Row],[CP_Pcode]],DistanceToCamp[CP_Pcode],0)-1,0,1,1),"")</f>
        <v>Momauk Town</v>
      </c>
      <c r="AJ177" s="938">
        <f ca="1">IFERROR(OFFSET(DistanceToCamp[distance],MATCH(CampList[[#This Row],[CP_Pcode]],DistanceToCamp[CP_Pcode],0)-1,0,1,1),"")</f>
        <v>0.32830807173487342</v>
      </c>
      <c r="AK177" s="959">
        <f ca="1">IFERROR(INT(CampList[[#This Row],[Distance]]/5)+1,"")</f>
        <v>1</v>
      </c>
      <c r="AL177" s="548"/>
      <c r="AM177" s="548"/>
      <c r="AN177" s="548"/>
      <c r="BD177" s="5"/>
      <c r="BE177" s="5"/>
    </row>
    <row r="178" spans="1:57" s="678" customFormat="1" ht="15.6" hidden="1" customHeight="1" x14ac:dyDescent="0.25">
      <c r="A178" s="819" t="s">
        <v>845</v>
      </c>
      <c r="B178" s="701" t="s">
        <v>380</v>
      </c>
      <c r="C178" s="701" t="s">
        <v>527</v>
      </c>
      <c r="D178" s="701" t="s">
        <v>300</v>
      </c>
      <c r="E178" s="701" t="s">
        <v>548</v>
      </c>
      <c r="F178" s="701" t="s">
        <v>300</v>
      </c>
      <c r="G178" s="701" t="s">
        <v>554</v>
      </c>
      <c r="H178" s="702" t="s">
        <v>1032</v>
      </c>
      <c r="I178" s="702" t="s">
        <v>1033</v>
      </c>
      <c r="J178" s="702" t="s">
        <v>1034</v>
      </c>
      <c r="K178" s="702">
        <v>167567</v>
      </c>
      <c r="L178" s="701" t="s">
        <v>893</v>
      </c>
      <c r="M178" s="701" t="s">
        <v>894</v>
      </c>
      <c r="N178" s="729">
        <v>97.58184</v>
      </c>
      <c r="O178" s="729">
        <v>27.270199999999999</v>
      </c>
      <c r="P178" s="680">
        <v>372.9</v>
      </c>
      <c r="Q178" s="761">
        <v>0</v>
      </c>
      <c r="R178" s="755">
        <v>0</v>
      </c>
      <c r="S178" s="841" t="str">
        <f>IF(CampList[[#This Row],[HH]]&gt;0,CampList[[#This Row],[Total]]/CampList[[#This Row],[HH]],"NA")</f>
        <v>NA</v>
      </c>
      <c r="T178" s="750" t="s">
        <v>513</v>
      </c>
      <c r="U178" s="703" t="s">
        <v>1194</v>
      </c>
      <c r="V178" s="700" t="s">
        <v>556</v>
      </c>
      <c r="W178" s="703" t="s">
        <v>858</v>
      </c>
      <c r="X178" s="906">
        <v>41487</v>
      </c>
      <c r="Y178" s="916"/>
      <c r="Z178" s="906"/>
      <c r="AA178" s="762" t="s">
        <v>844</v>
      </c>
      <c r="AB178" s="878"/>
      <c r="AC178" s="901">
        <v>41725</v>
      </c>
      <c r="AD178" s="922" t="s">
        <v>1269</v>
      </c>
      <c r="AE178" s="704" t="s">
        <v>1082</v>
      </c>
      <c r="AF178" s="861">
        <f>IF(CampList[[#This Row],[Type of Accomodation]]="camp",MAX(0,CampList[[#This Row],[HH]]-SUMIF(Table_Shelter[Pcode],CampList[[#This Row],[CP_Pcode]],Table_Shelter[HH Covered])),0)</f>
        <v>0</v>
      </c>
      <c r="AG178" s="700"/>
      <c r="AH178" s="878">
        <f>MIN(CampList[[#This Row],[Shelter Gap]],CampList[[#This Row],[Land Status]])</f>
        <v>0</v>
      </c>
      <c r="AI178" s="700" t="str">
        <f ca="1">IFERROR(OFFSET(DistanceToCamp[Nearest Town],MATCH(CampList[[#This Row],[CP_Pcode]],DistanceToCamp[CP_Pcode],0)-1,0,1,1),"")</f>
        <v>Machanbaw Town</v>
      </c>
      <c r="AJ178" s="935">
        <f ca="1">IFERROR(OFFSET(DistanceToCamp[distance],MATCH(CampList[[#This Row],[CP_Pcode]],DistanceToCamp[CP_Pcode],0)-1,0,1,1),"")</f>
        <v>1.7005689699647559</v>
      </c>
      <c r="AK178" s="955">
        <f ca="1">IFERROR(INT(CampList[[#This Row],[Distance]]/5)+1,"")</f>
        <v>1</v>
      </c>
      <c r="AL178" s="548"/>
      <c r="AM178" s="548"/>
      <c r="AN178" s="548"/>
      <c r="BD178" s="5"/>
      <c r="BE178" s="5"/>
    </row>
    <row r="179" spans="1:57" s="678" customFormat="1" ht="15.6" customHeight="1" x14ac:dyDescent="0.25">
      <c r="A179" s="820" t="s">
        <v>502</v>
      </c>
      <c r="B179" s="216" t="s">
        <v>380</v>
      </c>
      <c r="C179" s="216" t="s">
        <v>527</v>
      </c>
      <c r="D179" s="216" t="s">
        <v>237</v>
      </c>
      <c r="E179" s="216" t="s">
        <v>533</v>
      </c>
      <c r="F179" s="216" t="s">
        <v>237</v>
      </c>
      <c r="G179" s="216" t="s">
        <v>537</v>
      </c>
      <c r="H179" s="679" t="s">
        <v>673</v>
      </c>
      <c r="I179" s="679" t="s">
        <v>674</v>
      </c>
      <c r="J179" s="679" t="s">
        <v>678</v>
      </c>
      <c r="K179" s="679" t="s">
        <v>679</v>
      </c>
      <c r="L179" s="435" t="s">
        <v>251</v>
      </c>
      <c r="M179" s="216" t="s">
        <v>250</v>
      </c>
      <c r="N179" s="842">
        <v>97.377662999999998</v>
      </c>
      <c r="O179" s="729">
        <v>25.404752999999999</v>
      </c>
      <c r="P179" s="743">
        <v>0</v>
      </c>
      <c r="Q179" s="681">
        <v>32</v>
      </c>
      <c r="R179" s="681">
        <v>161</v>
      </c>
      <c r="S179" s="843">
        <f>IF(CampList[[#This Row],[HH]]&gt;0,CampList[[#This Row],[Total]]/CampList[[#This Row],[HH]],"NA")</f>
        <v>5.03125</v>
      </c>
      <c r="T179" s="455" t="s">
        <v>513</v>
      </c>
      <c r="U179" s="673" t="s">
        <v>1194</v>
      </c>
      <c r="V179" s="668" t="s">
        <v>556</v>
      </c>
      <c r="W179" s="673" t="s">
        <v>805</v>
      </c>
      <c r="X179" s="881">
        <v>40725</v>
      </c>
      <c r="Y179" s="882">
        <v>1</v>
      </c>
      <c r="Z179" s="881" t="s">
        <v>462</v>
      </c>
      <c r="AA179" s="433" t="s">
        <v>844</v>
      </c>
      <c r="AB179" s="883"/>
      <c r="AC179" s="693">
        <v>42536</v>
      </c>
      <c r="AD179" s="884" t="s">
        <v>1430</v>
      </c>
      <c r="AE179" s="682" t="s">
        <v>1096</v>
      </c>
      <c r="AF179" s="686">
        <f>IF(CampList[[#This Row],[Type of Accomodation]]="camp",MAX(0,CampList[[#This Row],[HH]]-SUMIF(Table_Shelter[Pcode],CampList[[#This Row],[CP_Pcode]],Table_Shelter[HH Covered])),0)</f>
        <v>12</v>
      </c>
      <c r="AG179" s="668"/>
      <c r="AH179" s="883">
        <f>MIN(CampList[[#This Row],[Shelter Gap]],CampList[[#This Row],[Land Status]])</f>
        <v>12</v>
      </c>
      <c r="AI179" s="668" t="str">
        <f ca="1">IFERROR(OFFSET(DistanceToCamp[Nearest Town],MATCH(CampList[[#This Row],[CP_Pcode]],DistanceToCamp[CP_Pcode],0)-1,0,1,1),"")</f>
        <v>Myitkyina Town</v>
      </c>
      <c r="AJ179" s="936">
        <f ca="1">IFERROR(OFFSET(DistanceToCamp[distance],MATCH(CampList[[#This Row],[CP_Pcode]],DistanceToCamp[CP_Pcode],0)-1,0,1,1),"")</f>
        <v>2.3045478259125423</v>
      </c>
      <c r="AK179" s="957">
        <f ca="1">IFERROR(INT(CampList[[#This Row],[Distance]]/5)+1,"")</f>
        <v>1</v>
      </c>
      <c r="AL179" s="548"/>
      <c r="AM179" s="548"/>
      <c r="AN179" s="548"/>
      <c r="BD179" s="5"/>
      <c r="BE179" s="5"/>
    </row>
    <row r="180" spans="1:57" s="678" customFormat="1" ht="15.6" customHeight="1" x14ac:dyDescent="0.25">
      <c r="A180" s="820" t="s">
        <v>502</v>
      </c>
      <c r="B180" s="216" t="s">
        <v>380</v>
      </c>
      <c r="C180" s="216" t="s">
        <v>527</v>
      </c>
      <c r="D180" s="216" t="s">
        <v>237</v>
      </c>
      <c r="E180" s="216" t="s">
        <v>533</v>
      </c>
      <c r="F180" s="216" t="s">
        <v>237</v>
      </c>
      <c r="G180" s="216" t="s">
        <v>537</v>
      </c>
      <c r="H180" s="679" t="s">
        <v>673</v>
      </c>
      <c r="I180" s="679" t="s">
        <v>674</v>
      </c>
      <c r="J180" s="679" t="s">
        <v>678</v>
      </c>
      <c r="K180" s="679" t="s">
        <v>679</v>
      </c>
      <c r="L180" s="435" t="s">
        <v>275</v>
      </c>
      <c r="M180" s="216" t="s">
        <v>274</v>
      </c>
      <c r="N180" s="842">
        <v>97.382192000000003</v>
      </c>
      <c r="O180" s="729">
        <v>25.404015000000001</v>
      </c>
      <c r="P180" s="743">
        <v>0</v>
      </c>
      <c r="Q180" s="681">
        <v>43</v>
      </c>
      <c r="R180" s="681">
        <v>216</v>
      </c>
      <c r="S180" s="843">
        <f>IF(CampList[[#This Row],[HH]]&gt;0,CampList[[#This Row],[Total]]/CampList[[#This Row],[HH]],"NA")</f>
        <v>5.0232558139534884</v>
      </c>
      <c r="T180" s="455" t="s">
        <v>513</v>
      </c>
      <c r="U180" s="673" t="s">
        <v>1194</v>
      </c>
      <c r="V180" s="668" t="s">
        <v>556</v>
      </c>
      <c r="W180" s="673" t="s">
        <v>805</v>
      </c>
      <c r="X180" s="881">
        <v>40817</v>
      </c>
      <c r="Y180" s="882">
        <v>1</v>
      </c>
      <c r="Z180" s="881" t="s">
        <v>462</v>
      </c>
      <c r="AA180" s="433" t="s">
        <v>844</v>
      </c>
      <c r="AB180" s="883"/>
      <c r="AC180" s="693">
        <v>42536</v>
      </c>
      <c r="AD180" s="884" t="s">
        <v>1431</v>
      </c>
      <c r="AE180" s="682" t="s">
        <v>1096</v>
      </c>
      <c r="AF180" s="686">
        <f>IF(CampList[[#This Row],[Type of Accomodation]]="camp",MAX(0,CampList[[#This Row],[HH]]-SUMIF(Table_Shelter[Pcode],CampList[[#This Row],[CP_Pcode]],Table_Shelter[HH Covered])),0)</f>
        <v>11</v>
      </c>
      <c r="AG180" s="668"/>
      <c r="AH180" s="883">
        <f>MIN(CampList[[#This Row],[Shelter Gap]],CampList[[#This Row],[Land Status]])</f>
        <v>11</v>
      </c>
      <c r="AI180" s="668" t="str">
        <f ca="1">IFERROR(OFFSET(DistanceToCamp[Nearest Town],MATCH(CampList[[#This Row],[CP_Pcode]],DistanceToCamp[CP_Pcode],0)-1,0,1,1),"")</f>
        <v>Myitkyina Town</v>
      </c>
      <c r="AJ180" s="936">
        <f ca="1">IFERROR(OFFSET(DistanceToCamp[distance],MATCH(CampList[[#This Row],[CP_Pcode]],DistanceToCamp[CP_Pcode],0)-1,0,1,1),"")</f>
        <v>2.0123527499589278</v>
      </c>
      <c r="AK180" s="957">
        <f ca="1">IFERROR(INT(CampList[[#This Row],[Distance]]/5)+1,"")</f>
        <v>1</v>
      </c>
      <c r="AL180" s="548"/>
      <c r="AM180" s="548"/>
      <c r="AN180" s="548"/>
      <c r="BD180" s="5"/>
      <c r="BE180" s="5"/>
    </row>
    <row r="181" spans="1:57" s="678" customFormat="1" ht="15.6" hidden="1" customHeight="1" x14ac:dyDescent="0.25">
      <c r="A181" s="822" t="s">
        <v>845</v>
      </c>
      <c r="B181" s="774" t="s">
        <v>380</v>
      </c>
      <c r="C181" s="774" t="s">
        <v>527</v>
      </c>
      <c r="D181" s="774" t="s">
        <v>237</v>
      </c>
      <c r="E181" s="774" t="s">
        <v>533</v>
      </c>
      <c r="F181" s="774" t="s">
        <v>310</v>
      </c>
      <c r="G181" s="774" t="s">
        <v>534</v>
      </c>
      <c r="H181" s="775" t="s">
        <v>751</v>
      </c>
      <c r="I181" s="775" t="s">
        <v>752</v>
      </c>
      <c r="J181" s="775" t="s">
        <v>751</v>
      </c>
      <c r="K181" s="775">
        <v>165750</v>
      </c>
      <c r="L181" s="774" t="s">
        <v>1251</v>
      </c>
      <c r="M181" s="774" t="s">
        <v>360</v>
      </c>
      <c r="N181" s="728"/>
      <c r="O181" s="728"/>
      <c r="P181" s="670"/>
      <c r="Q181" s="776">
        <v>0</v>
      </c>
      <c r="R181" s="777">
        <v>0</v>
      </c>
      <c r="S181" s="845" t="str">
        <f>IF(CampList[[#This Row],[HH]]&gt;0,CampList[[#This Row],[Total]]/CampList[[#This Row],[HH]],"NA")</f>
        <v>NA</v>
      </c>
      <c r="T181" s="778" t="s">
        <v>513</v>
      </c>
      <c r="U181" s="779" t="s">
        <v>1194</v>
      </c>
      <c r="V181" s="773" t="s">
        <v>556</v>
      </c>
      <c r="W181" s="779"/>
      <c r="X181" s="892"/>
      <c r="Y181" s="893"/>
      <c r="Z181" s="894"/>
      <c r="AA181" s="781"/>
      <c r="AB181" s="895"/>
      <c r="AC181" s="896"/>
      <c r="AD181" s="897" t="s">
        <v>603</v>
      </c>
      <c r="AE181" s="780" t="s">
        <v>1010</v>
      </c>
      <c r="AF181" s="814">
        <f>IF(CampList[[#This Row],[Type of Accomodation]]="camp",MAX(0,CampList[[#This Row],[HH]]-SUMIF(Table_Shelter[Pcode],CampList[[#This Row],[CP_Pcode]],Table_Shelter[HH Covered])),0)</f>
        <v>0</v>
      </c>
      <c r="AG181" s="773"/>
      <c r="AH181" s="895">
        <f>MIN(CampList[[#This Row],[Shelter Gap]],CampList[[#This Row],[Land Status]])</f>
        <v>0</v>
      </c>
      <c r="AI181" s="773" t="str">
        <f ca="1">IFERROR(OFFSET(DistanceToCamp[Nearest Town],MATCH(CampList[[#This Row],[CP_Pcode]],DistanceToCamp[CP_Pcode],0)-1,0,1,1),"")</f>
        <v/>
      </c>
      <c r="AJ181" s="938" t="str">
        <f ca="1">IFERROR(OFFSET(DistanceToCamp[distance],MATCH(CampList[[#This Row],[CP_Pcode]],DistanceToCamp[CP_Pcode],0)-1,0,1,1),"")</f>
        <v/>
      </c>
      <c r="AK181" s="959" t="str">
        <f ca="1">IFERROR(INT(CampList[[#This Row],[Distance]]/5)+1,"")</f>
        <v/>
      </c>
      <c r="AL181" s="548"/>
      <c r="AM181" s="548"/>
      <c r="AN181" s="548"/>
      <c r="BD181" s="5"/>
      <c r="BE181" s="5"/>
    </row>
    <row r="182" spans="1:57" s="678" customFormat="1" ht="15.6" customHeight="1" x14ac:dyDescent="0.25">
      <c r="A182" s="819" t="s">
        <v>502</v>
      </c>
      <c r="B182" s="701" t="s">
        <v>380</v>
      </c>
      <c r="C182" s="701" t="s">
        <v>527</v>
      </c>
      <c r="D182" s="701" t="s">
        <v>237</v>
      </c>
      <c r="E182" s="701" t="s">
        <v>533</v>
      </c>
      <c r="F182" s="701" t="s">
        <v>237</v>
      </c>
      <c r="G182" s="701" t="s">
        <v>537</v>
      </c>
      <c r="H182" s="702" t="s">
        <v>673</v>
      </c>
      <c r="I182" s="702" t="s">
        <v>674</v>
      </c>
      <c r="J182" s="702" t="s">
        <v>678</v>
      </c>
      <c r="K182" s="702" t="s">
        <v>679</v>
      </c>
      <c r="L182" s="977" t="s">
        <v>1248</v>
      </c>
      <c r="M182" s="701" t="s">
        <v>241</v>
      </c>
      <c r="N182" s="944">
        <v>97.380027999999996</v>
      </c>
      <c r="O182" s="944">
        <v>25.423278</v>
      </c>
      <c r="P182" s="680">
        <v>0</v>
      </c>
      <c r="Q182" s="761">
        <v>54</v>
      </c>
      <c r="R182" s="755">
        <v>258</v>
      </c>
      <c r="S182" s="841">
        <f>IF(CampList[[#This Row],[HH]]&gt;0,CampList[[#This Row],[Total]]/CampList[[#This Row],[HH]],"NA")</f>
        <v>4.7777777777777777</v>
      </c>
      <c r="T182" s="750" t="s">
        <v>513</v>
      </c>
      <c r="U182" s="703" t="s">
        <v>1194</v>
      </c>
      <c r="V182" s="700" t="s">
        <v>556</v>
      </c>
      <c r="W182" s="703" t="s">
        <v>805</v>
      </c>
      <c r="X182" s="906">
        <v>41000</v>
      </c>
      <c r="Y182" s="916">
        <v>1</v>
      </c>
      <c r="Z182" s="906" t="s">
        <v>507</v>
      </c>
      <c r="AA182" s="762" t="s">
        <v>844</v>
      </c>
      <c r="AB182" s="878"/>
      <c r="AC182" s="901">
        <v>42537</v>
      </c>
      <c r="AD182" s="922" t="s">
        <v>1511</v>
      </c>
      <c r="AE182" s="704" t="s">
        <v>1096</v>
      </c>
      <c r="AF182" s="861">
        <f>IF(CampList[[#This Row],[Type of Accomodation]]="camp",MAX(0,CampList[[#This Row],[HH]]-SUMIF(Table_Shelter[Pcode],CampList[[#This Row],[CP_Pcode]],Table_Shelter[HH Covered])),0)</f>
        <v>0</v>
      </c>
      <c r="AG182" s="700"/>
      <c r="AH182" s="878">
        <f>MIN(CampList[[#This Row],[Shelter Gap]],CampList[[#This Row],[Land Status]])</f>
        <v>0</v>
      </c>
      <c r="AI182" s="700" t="str">
        <f ca="1">IFERROR(OFFSET(DistanceToCamp[Nearest Town],MATCH(CampList[[#This Row],[CP_Pcode]],DistanceToCamp[CP_Pcode],0)-1,0,1,1),"")</f>
        <v>Myitkyina Town</v>
      </c>
      <c r="AJ182" s="935">
        <f ca="1">IFERROR(OFFSET(DistanceToCamp[distance],MATCH(CampList[[#This Row],[CP_Pcode]],DistanceToCamp[CP_Pcode],0)-1,0,1,1),"")</f>
        <v>2.6190942927115026</v>
      </c>
      <c r="AK182" s="955">
        <f ca="1">IFERROR(INT(CampList[[#This Row],[Distance]]/5)+1,"")</f>
        <v>1</v>
      </c>
      <c r="AL182" s="548"/>
      <c r="AM182" s="548"/>
      <c r="AN182" s="548"/>
      <c r="BD182" s="5"/>
      <c r="BE182" s="5"/>
    </row>
    <row r="183" spans="1:57" s="678" customFormat="1" ht="15.6" customHeight="1" x14ac:dyDescent="0.25">
      <c r="A183" s="820" t="s">
        <v>502</v>
      </c>
      <c r="B183" s="216" t="s">
        <v>380</v>
      </c>
      <c r="C183" s="216" t="s">
        <v>527</v>
      </c>
      <c r="D183" s="216" t="s">
        <v>237</v>
      </c>
      <c r="E183" s="216" t="s">
        <v>533</v>
      </c>
      <c r="F183" s="216" t="s">
        <v>237</v>
      </c>
      <c r="G183" s="216" t="s">
        <v>537</v>
      </c>
      <c r="H183" s="679" t="s">
        <v>673</v>
      </c>
      <c r="I183" s="679" t="s">
        <v>674</v>
      </c>
      <c r="J183" s="679" t="s">
        <v>678</v>
      </c>
      <c r="K183" s="679" t="s">
        <v>679</v>
      </c>
      <c r="L183" s="216" t="s">
        <v>249</v>
      </c>
      <c r="M183" s="216" t="s">
        <v>248</v>
      </c>
      <c r="N183" s="842">
        <v>97.389778000000007</v>
      </c>
      <c r="O183" s="729">
        <v>25.417733999999999</v>
      </c>
      <c r="P183" s="743">
        <v>0</v>
      </c>
      <c r="Q183" s="692">
        <v>6</v>
      </c>
      <c r="R183" s="687">
        <v>29</v>
      </c>
      <c r="S183" s="843">
        <f>IF(CampList[[#This Row],[HH]]&gt;0,CampList[[#This Row],[Total]]/CampList[[#This Row],[HH]],"NA")</f>
        <v>4.833333333333333</v>
      </c>
      <c r="T183" s="455" t="s">
        <v>513</v>
      </c>
      <c r="U183" s="673" t="s">
        <v>1194</v>
      </c>
      <c r="V183" s="668" t="s">
        <v>556</v>
      </c>
      <c r="W183" s="673" t="s">
        <v>805</v>
      </c>
      <c r="X183" s="881">
        <v>40756</v>
      </c>
      <c r="Y183" s="882">
        <v>1</v>
      </c>
      <c r="Z183" s="881" t="s">
        <v>507</v>
      </c>
      <c r="AA183" s="433" t="s">
        <v>844</v>
      </c>
      <c r="AB183" s="883"/>
      <c r="AC183" s="693">
        <v>42537</v>
      </c>
      <c r="AD183" s="884" t="s">
        <v>1512</v>
      </c>
      <c r="AE183" s="682" t="s">
        <v>1096</v>
      </c>
      <c r="AF183" s="686">
        <f>IF(CampList[[#This Row],[Type of Accomodation]]="camp",MAX(0,CampList[[#This Row],[HH]]-SUMIF(Table_Shelter[Pcode],CampList[[#This Row],[CP_Pcode]],Table_Shelter[HH Covered])),0)</f>
        <v>0</v>
      </c>
      <c r="AG183" s="668"/>
      <c r="AH183" s="883">
        <f>MIN(CampList[[#This Row],[Shelter Gap]],CampList[[#This Row],[Land Status]])</f>
        <v>0</v>
      </c>
      <c r="AI183" s="668" t="str">
        <f ca="1">IFERROR(OFFSET(DistanceToCamp[Nearest Town],MATCH(CampList[[#This Row],[CP_Pcode]],DistanceToCamp[CP_Pcode],0)-1,0,1,1),"")</f>
        <v>Myitkyina Town</v>
      </c>
      <c r="AJ183" s="936">
        <f ca="1">IFERROR(OFFSET(DistanceToCamp[distance],MATCH(CampList[[#This Row],[CP_Pcode]],DistanceToCamp[CP_Pcode],0)-1,0,1,1),"")</f>
        <v>3.3637010801853577</v>
      </c>
      <c r="AK183" s="957">
        <f ca="1">IFERROR(INT(CampList[[#This Row],[Distance]]/5)+1,"")</f>
        <v>1</v>
      </c>
      <c r="AL183" s="548"/>
      <c r="AM183" s="548"/>
      <c r="AN183" s="548"/>
      <c r="BD183" s="5"/>
      <c r="BE183" s="5"/>
    </row>
    <row r="184" spans="1:57" s="678" customFormat="1" ht="15.6" hidden="1" customHeight="1" x14ac:dyDescent="0.25">
      <c r="A184" s="822" t="s">
        <v>845</v>
      </c>
      <c r="B184" s="774" t="s">
        <v>380</v>
      </c>
      <c r="C184" s="774" t="s">
        <v>527</v>
      </c>
      <c r="D184" s="774" t="s">
        <v>180</v>
      </c>
      <c r="E184" s="774" t="s">
        <v>528</v>
      </c>
      <c r="F184" s="774" t="s">
        <v>529</v>
      </c>
      <c r="G184" s="774" t="s">
        <v>530</v>
      </c>
      <c r="H184" s="775" t="s">
        <v>605</v>
      </c>
      <c r="I184" s="775" t="s">
        <v>606</v>
      </c>
      <c r="J184" s="775" t="s">
        <v>607</v>
      </c>
      <c r="K184" s="775" t="s">
        <v>608</v>
      </c>
      <c r="L184" s="774" t="s">
        <v>110</v>
      </c>
      <c r="M184" s="774" t="s">
        <v>109</v>
      </c>
      <c r="N184" s="729">
        <v>96.312790000000007</v>
      </c>
      <c r="O184" s="729">
        <v>25.611160000000002</v>
      </c>
      <c r="P184" s="680">
        <v>0</v>
      </c>
      <c r="Q184" s="776">
        <v>0</v>
      </c>
      <c r="R184" s="777">
        <v>0</v>
      </c>
      <c r="S184" s="845" t="str">
        <f>IF(CampList[[#This Row],[HH]]&gt;0,CampList[[#This Row],[Total]]/CampList[[#This Row],[HH]],"NA")</f>
        <v>NA</v>
      </c>
      <c r="T184" s="778" t="s">
        <v>513</v>
      </c>
      <c r="U184" s="779" t="s">
        <v>1194</v>
      </c>
      <c r="V184" s="773" t="s">
        <v>556</v>
      </c>
      <c r="W184" s="779" t="s">
        <v>805</v>
      </c>
      <c r="X184" s="902">
        <v>41122</v>
      </c>
      <c r="Y184" s="909">
        <v>2</v>
      </c>
      <c r="Z184" s="902" t="s">
        <v>462</v>
      </c>
      <c r="AA184" s="781" t="s">
        <v>844</v>
      </c>
      <c r="AB184" s="895"/>
      <c r="AC184" s="792">
        <v>41774</v>
      </c>
      <c r="AD184" s="897" t="s">
        <v>1050</v>
      </c>
      <c r="AE184" s="790" t="s">
        <v>1010</v>
      </c>
      <c r="AF184" s="814">
        <f>IF(CampList[[#This Row],[Type of Accomodation]]="camp",MAX(0,CampList[[#This Row],[HH]]-SUMIF(Table_Shelter[Pcode],CampList[[#This Row],[CP_Pcode]],Table_Shelter[HH Covered])),0)</f>
        <v>0</v>
      </c>
      <c r="AG184" s="773"/>
      <c r="AH184" s="895">
        <f>MIN(CampList[[#This Row],[Shelter Gap]],CampList[[#This Row],[Land Status]])</f>
        <v>0</v>
      </c>
      <c r="AI184" s="773" t="str">
        <f ca="1">IFERROR(OFFSET(DistanceToCamp[Nearest Town],MATCH(CampList[[#This Row],[CP_Pcode]],DistanceToCamp[CP_Pcode],0)-1,0,1,1),"")</f>
        <v/>
      </c>
      <c r="AJ184" s="938" t="str">
        <f ca="1">IFERROR(OFFSET(DistanceToCamp[distance],MATCH(CampList[[#This Row],[CP_Pcode]],DistanceToCamp[CP_Pcode],0)-1,0,1,1),"")</f>
        <v/>
      </c>
      <c r="AK184" s="959" t="str">
        <f ca="1">IFERROR(INT(CampList[[#This Row],[Distance]]/5)+1,"")</f>
        <v/>
      </c>
      <c r="AL184" s="548"/>
      <c r="AM184" s="548"/>
      <c r="AN184" s="548"/>
      <c r="BD184" s="5"/>
      <c r="BE184" s="5"/>
    </row>
    <row r="185" spans="1:57" s="678" customFormat="1" ht="15.6" hidden="1" customHeight="1" x14ac:dyDescent="0.25">
      <c r="A185" s="819" t="s">
        <v>845</v>
      </c>
      <c r="B185" s="701" t="s">
        <v>380</v>
      </c>
      <c r="C185" s="701" t="s">
        <v>527</v>
      </c>
      <c r="D185" s="701" t="s">
        <v>180</v>
      </c>
      <c r="E185" s="701" t="s">
        <v>528</v>
      </c>
      <c r="F185" s="701" t="s">
        <v>529</v>
      </c>
      <c r="G185" s="701" t="s">
        <v>530</v>
      </c>
      <c r="H185" s="747" t="s">
        <v>605</v>
      </c>
      <c r="I185" s="747" t="s">
        <v>606</v>
      </c>
      <c r="J185" s="747" t="s">
        <v>607</v>
      </c>
      <c r="K185" s="747" t="s">
        <v>608</v>
      </c>
      <c r="L185" s="701" t="s">
        <v>112</v>
      </c>
      <c r="M185" s="701" t="s">
        <v>111</v>
      </c>
      <c r="N185" s="729">
        <v>96.31326</v>
      </c>
      <c r="O185" s="729">
        <v>25.611899999999999</v>
      </c>
      <c r="P185" s="670"/>
      <c r="Q185" s="748">
        <v>0</v>
      </c>
      <c r="R185" s="749">
        <v>0</v>
      </c>
      <c r="S185" s="841" t="str">
        <f>IF(CampList[[#This Row],[HH]]&gt;0,CampList[[#This Row],[Total]]/CampList[[#This Row],[HH]],"NA")</f>
        <v>NA</v>
      </c>
      <c r="T185" s="750" t="s">
        <v>513</v>
      </c>
      <c r="U185" s="703" t="s">
        <v>1194</v>
      </c>
      <c r="V185" s="700" t="s">
        <v>556</v>
      </c>
      <c r="W185" s="703"/>
      <c r="X185" s="876"/>
      <c r="Y185" s="710"/>
      <c r="Z185" s="877"/>
      <c r="AA185" s="751"/>
      <c r="AB185" s="878"/>
      <c r="AC185" s="879"/>
      <c r="AD185" s="880" t="s">
        <v>603</v>
      </c>
      <c r="AE185" s="711" t="s">
        <v>1010</v>
      </c>
      <c r="AF185" s="861">
        <f>IF(CampList[[#This Row],[Type of Accomodation]]="camp",MAX(0,CampList[[#This Row],[HH]]-SUMIF(Table_Shelter[Pcode],CampList[[#This Row],[CP_Pcode]],Table_Shelter[HH Covered])),0)</f>
        <v>0</v>
      </c>
      <c r="AG185" s="700"/>
      <c r="AH185" s="878">
        <f>MIN(CampList[[#This Row],[Shelter Gap]],CampList[[#This Row],[Land Status]])</f>
        <v>0</v>
      </c>
      <c r="AI185" s="700" t="str">
        <f ca="1">IFERROR(OFFSET(DistanceToCamp[Nearest Town],MATCH(CampList[[#This Row],[CP_Pcode]],DistanceToCamp[CP_Pcode],0)-1,0,1,1),"")</f>
        <v/>
      </c>
      <c r="AJ185" s="935" t="str">
        <f ca="1">IFERROR(OFFSET(DistanceToCamp[distance],MATCH(CampList[[#This Row],[CP_Pcode]],DistanceToCamp[CP_Pcode],0)-1,0,1,1),"")</f>
        <v/>
      </c>
      <c r="AK185" s="955" t="str">
        <f ca="1">IFERROR(INT(CampList[[#This Row],[Distance]]/5)+1,"")</f>
        <v/>
      </c>
      <c r="AL185" s="548"/>
      <c r="AM185" s="548"/>
      <c r="AN185" s="548"/>
      <c r="BD185" s="5"/>
      <c r="BE185" s="5"/>
    </row>
    <row r="186" spans="1:57" s="678" customFormat="1" ht="15.6" customHeight="1" x14ac:dyDescent="0.25">
      <c r="A186" s="820" t="s">
        <v>502</v>
      </c>
      <c r="B186" s="216" t="s">
        <v>380</v>
      </c>
      <c r="C186" s="216" t="s">
        <v>527</v>
      </c>
      <c r="D186" s="216" t="s">
        <v>237</v>
      </c>
      <c r="E186" s="216" t="s">
        <v>533</v>
      </c>
      <c r="F186" s="216" t="s">
        <v>237</v>
      </c>
      <c r="G186" s="216" t="s">
        <v>537</v>
      </c>
      <c r="H186" s="679" t="s">
        <v>673</v>
      </c>
      <c r="I186" s="679" t="s">
        <v>674</v>
      </c>
      <c r="J186" s="679" t="s">
        <v>683</v>
      </c>
      <c r="K186" s="679" t="s">
        <v>684</v>
      </c>
      <c r="L186" s="435" t="s">
        <v>277</v>
      </c>
      <c r="M186" s="216" t="s">
        <v>276</v>
      </c>
      <c r="N186" s="842">
        <v>97.399628000000007</v>
      </c>
      <c r="O186" s="729">
        <v>25.412313000000001</v>
      </c>
      <c r="P186" s="743">
        <v>0</v>
      </c>
      <c r="Q186" s="681">
        <v>90</v>
      </c>
      <c r="R186" s="681">
        <v>395</v>
      </c>
      <c r="S186" s="843">
        <f>IF(CampList[[#This Row],[HH]]&gt;0,CampList[[#This Row],[Total]]/CampList[[#This Row],[HH]],"NA")</f>
        <v>4.3888888888888893</v>
      </c>
      <c r="T186" s="455" t="s">
        <v>513</v>
      </c>
      <c r="U186" s="673" t="s">
        <v>1194</v>
      </c>
      <c r="V186" s="668" t="s">
        <v>556</v>
      </c>
      <c r="W186" s="673" t="s">
        <v>805</v>
      </c>
      <c r="X186" s="881">
        <v>40756</v>
      </c>
      <c r="Y186" s="882">
        <v>2</v>
      </c>
      <c r="Z186" s="881" t="s">
        <v>462</v>
      </c>
      <c r="AA186" s="433" t="s">
        <v>844</v>
      </c>
      <c r="AB186" s="883"/>
      <c r="AC186" s="693">
        <v>42536</v>
      </c>
      <c r="AD186" s="884" t="s">
        <v>1432</v>
      </c>
      <c r="AE186" s="682" t="s">
        <v>1096</v>
      </c>
      <c r="AF186" s="686">
        <f>IF(CampList[[#This Row],[Type of Accomodation]]="camp",MAX(0,CampList[[#This Row],[HH]]-SUMIF(Table_Shelter[Pcode],CampList[[#This Row],[CP_Pcode]],Table_Shelter[HH Covered])),0)</f>
        <v>26</v>
      </c>
      <c r="AG186" s="668"/>
      <c r="AH186" s="883">
        <f>MIN(CampList[[#This Row],[Shelter Gap]],CampList[[#This Row],[Land Status]])</f>
        <v>26</v>
      </c>
      <c r="AI186" s="668" t="str">
        <f ca="1">IFERROR(OFFSET(DistanceToCamp[Nearest Town],MATCH(CampList[[#This Row],[CP_Pcode]],DistanceToCamp[CP_Pcode],0)-1,0,1,1),"")</f>
        <v>Myitkyina Town</v>
      </c>
      <c r="AJ186" s="936">
        <f ca="1">IFERROR(OFFSET(DistanceToCamp[distance],MATCH(CampList[[#This Row],[CP_Pcode]],DistanceToCamp[CP_Pcode],0)-1,0,1,1),"")</f>
        <v>2.9133254097712102</v>
      </c>
      <c r="AK186" s="957">
        <f ca="1">IFERROR(INT(CampList[[#This Row],[Distance]]/5)+1,"")</f>
        <v>1</v>
      </c>
      <c r="AL186" s="548"/>
      <c r="AM186" s="548"/>
      <c r="AN186" s="548"/>
      <c r="BD186" s="5"/>
      <c r="BE186" s="5"/>
    </row>
    <row r="187" spans="1:57" s="678" customFormat="1" ht="15.6" customHeight="1" x14ac:dyDescent="0.25">
      <c r="A187" s="820" t="s">
        <v>502</v>
      </c>
      <c r="B187" s="216" t="s">
        <v>380</v>
      </c>
      <c r="C187" s="216" t="s">
        <v>527</v>
      </c>
      <c r="D187" s="216" t="s">
        <v>237</v>
      </c>
      <c r="E187" s="216" t="s">
        <v>533</v>
      </c>
      <c r="F187" s="216" t="s">
        <v>237</v>
      </c>
      <c r="G187" s="216" t="s">
        <v>537</v>
      </c>
      <c r="H187" s="679" t="s">
        <v>673</v>
      </c>
      <c r="I187" s="679" t="s">
        <v>674</v>
      </c>
      <c r="J187" s="679" t="s">
        <v>683</v>
      </c>
      <c r="K187" s="679" t="s">
        <v>684</v>
      </c>
      <c r="L187" s="216" t="s">
        <v>279</v>
      </c>
      <c r="M187" s="216" t="s">
        <v>278</v>
      </c>
      <c r="N187" s="842">
        <v>97.418004999999994</v>
      </c>
      <c r="O187" s="729">
        <v>25.423817</v>
      </c>
      <c r="P187" s="743">
        <v>0</v>
      </c>
      <c r="Q187" s="692">
        <v>22</v>
      </c>
      <c r="R187" s="687">
        <v>111</v>
      </c>
      <c r="S187" s="843">
        <f>IF(CampList[[#This Row],[HH]]&gt;0,CampList[[#This Row],[Total]]/CampList[[#This Row],[HH]],"NA")</f>
        <v>5.0454545454545459</v>
      </c>
      <c r="T187" s="455" t="s">
        <v>513</v>
      </c>
      <c r="U187" s="673" t="s">
        <v>1194</v>
      </c>
      <c r="V187" s="668" t="s">
        <v>556</v>
      </c>
      <c r="W187" s="673" t="s">
        <v>805</v>
      </c>
      <c r="X187" s="881">
        <v>40909</v>
      </c>
      <c r="Y187" s="882">
        <v>1</v>
      </c>
      <c r="Z187" s="881" t="s">
        <v>507</v>
      </c>
      <c r="AA187" s="433" t="s">
        <v>844</v>
      </c>
      <c r="AB187" s="883"/>
      <c r="AC187" s="693">
        <v>42537</v>
      </c>
      <c r="AD187" s="884" t="s">
        <v>1509</v>
      </c>
      <c r="AE187" s="682" t="s">
        <v>1096</v>
      </c>
      <c r="AF187" s="686">
        <f>IF(CampList[[#This Row],[Type of Accomodation]]="camp",MAX(0,CampList[[#This Row],[HH]]-SUMIF(Table_Shelter[Pcode],CampList[[#This Row],[CP_Pcode]],Table_Shelter[HH Covered])),0)</f>
        <v>22</v>
      </c>
      <c r="AG187" s="668"/>
      <c r="AH187" s="883">
        <f>MIN(CampList[[#This Row],[Shelter Gap]],CampList[[#This Row],[Land Status]])</f>
        <v>22</v>
      </c>
      <c r="AI187" s="668" t="str">
        <f ca="1">IFERROR(OFFSET(DistanceToCamp[Nearest Town],MATCH(CampList[[#This Row],[CP_Pcode]],DistanceToCamp[CP_Pcode],0)-1,0,1,1),"")</f>
        <v>Myitkyina Town</v>
      </c>
      <c r="AJ187" s="936">
        <f ca="1">IFERROR(OFFSET(DistanceToCamp[distance],MATCH(CampList[[#This Row],[CP_Pcode]],DistanceToCamp[CP_Pcode],0)-1,0,1,1),"")</f>
        <v>4.9021696969220816</v>
      </c>
      <c r="AK187" s="957">
        <f ca="1">IFERROR(INT(CampList[[#This Row],[Distance]]/5)+1,"")</f>
        <v>1</v>
      </c>
      <c r="AL187" s="548"/>
      <c r="AM187" s="548"/>
      <c r="AN187" s="548"/>
      <c r="BD187" s="5"/>
      <c r="BE187" s="5"/>
    </row>
    <row r="188" spans="1:57" s="678" customFormat="1" ht="15.6" customHeight="1" x14ac:dyDescent="0.25">
      <c r="A188" s="820" t="s">
        <v>502</v>
      </c>
      <c r="B188" s="216" t="s">
        <v>380</v>
      </c>
      <c r="C188" s="216" t="s">
        <v>527</v>
      </c>
      <c r="D188" s="216" t="s">
        <v>237</v>
      </c>
      <c r="E188" s="216" t="s">
        <v>533</v>
      </c>
      <c r="F188" s="216" t="s">
        <v>237</v>
      </c>
      <c r="G188" s="216" t="s">
        <v>537</v>
      </c>
      <c r="H188" s="669" t="s">
        <v>673</v>
      </c>
      <c r="I188" s="669" t="s">
        <v>674</v>
      </c>
      <c r="J188" s="669" t="s">
        <v>689</v>
      </c>
      <c r="K188" s="669" t="s">
        <v>690</v>
      </c>
      <c r="L188" s="435" t="s">
        <v>285</v>
      </c>
      <c r="M188" s="216" t="s">
        <v>284</v>
      </c>
      <c r="N188" s="842">
        <v>97.403402307692303</v>
      </c>
      <c r="O188" s="729">
        <v>25.3510167948718</v>
      </c>
      <c r="P188" s="743">
        <v>0</v>
      </c>
      <c r="Q188" s="681">
        <v>138</v>
      </c>
      <c r="R188" s="681">
        <v>697</v>
      </c>
      <c r="S188" s="843">
        <f>IF(CampList[[#This Row],[HH]]&gt;0,CampList[[#This Row],[Total]]/CampList[[#This Row],[HH]],"NA")</f>
        <v>5.0507246376811592</v>
      </c>
      <c r="T188" s="455" t="s">
        <v>513</v>
      </c>
      <c r="U188" s="673" t="s">
        <v>1194</v>
      </c>
      <c r="V188" s="668" t="s">
        <v>556</v>
      </c>
      <c r="W188" s="673" t="s">
        <v>805</v>
      </c>
      <c r="X188" s="881">
        <v>40695</v>
      </c>
      <c r="Y188" s="882">
        <v>2</v>
      </c>
      <c r="Z188" s="881" t="s">
        <v>462</v>
      </c>
      <c r="AA188" s="683" t="s">
        <v>844</v>
      </c>
      <c r="AB188" s="883"/>
      <c r="AC188" s="693">
        <v>42536</v>
      </c>
      <c r="AD188" s="885" t="s">
        <v>1437</v>
      </c>
      <c r="AE188" s="682" t="s">
        <v>1096</v>
      </c>
      <c r="AF188" s="686">
        <f>IF(CampList[[#This Row],[Type of Accomodation]]="camp",MAX(0,CampList[[#This Row],[HH]]-SUMIF(Table_Shelter[Pcode],CampList[[#This Row],[CP_Pcode]],Table_Shelter[HH Covered])),0)</f>
        <v>13</v>
      </c>
      <c r="AG188" s="668"/>
      <c r="AH188" s="883">
        <f>MIN(CampList[[#This Row],[Shelter Gap]],CampList[[#This Row],[Land Status]])</f>
        <v>13</v>
      </c>
      <c r="AI188" s="668" t="str">
        <f ca="1">IFERROR(OFFSET(DistanceToCamp[Nearest Town],MATCH(CampList[[#This Row],[CP_Pcode]],DistanceToCamp[CP_Pcode],0)-1,0,1,1),"")</f>
        <v>Myitkyina Town</v>
      </c>
      <c r="AJ188" s="936">
        <f ca="1">IFERROR(OFFSET(DistanceToCamp[distance],MATCH(CampList[[#This Row],[CP_Pcode]],DistanceToCamp[CP_Pcode],0)-1,0,1,1),"")</f>
        <v>4.262018365878137</v>
      </c>
      <c r="AK188" s="957">
        <f ca="1">IFERROR(INT(CampList[[#This Row],[Distance]]/5)+1,"")</f>
        <v>1</v>
      </c>
      <c r="AL188" s="548"/>
      <c r="AM188" s="548"/>
      <c r="AN188" s="548"/>
      <c r="BD188" s="5"/>
      <c r="BE188" s="5"/>
    </row>
    <row r="189" spans="1:57" s="678" customFormat="1" ht="15.6" customHeight="1" x14ac:dyDescent="0.25">
      <c r="A189" s="820" t="s">
        <v>502</v>
      </c>
      <c r="B189" s="216" t="s">
        <v>380</v>
      </c>
      <c r="C189" s="216" t="s">
        <v>527</v>
      </c>
      <c r="D189" s="216" t="s">
        <v>237</v>
      </c>
      <c r="E189" s="216" t="s">
        <v>533</v>
      </c>
      <c r="F189" s="216" t="s">
        <v>237</v>
      </c>
      <c r="G189" s="216" t="s">
        <v>537</v>
      </c>
      <c r="H189" s="669" t="s">
        <v>673</v>
      </c>
      <c r="I189" s="669" t="s">
        <v>674</v>
      </c>
      <c r="J189" s="669" t="s">
        <v>689</v>
      </c>
      <c r="K189" s="669" t="s">
        <v>690</v>
      </c>
      <c r="L189" s="435" t="s">
        <v>240</v>
      </c>
      <c r="M189" s="216" t="s">
        <v>239</v>
      </c>
      <c r="N189" s="842">
        <v>97.409035000000003</v>
      </c>
      <c r="O189" s="729">
        <v>25.362420757575801</v>
      </c>
      <c r="P189" s="743">
        <v>0</v>
      </c>
      <c r="Q189" s="681">
        <v>96</v>
      </c>
      <c r="R189" s="681">
        <v>544</v>
      </c>
      <c r="S189" s="843">
        <f>IF(CampList[[#This Row],[HH]]&gt;0,CampList[[#This Row],[Total]]/CampList[[#This Row],[HH]],"NA")</f>
        <v>5.666666666666667</v>
      </c>
      <c r="T189" s="455" t="s">
        <v>513</v>
      </c>
      <c r="U189" s="673" t="s">
        <v>1194</v>
      </c>
      <c r="V189" s="668" t="s">
        <v>556</v>
      </c>
      <c r="W189" s="673" t="s">
        <v>805</v>
      </c>
      <c r="X189" s="881">
        <v>40603</v>
      </c>
      <c r="Y189" s="882">
        <v>2</v>
      </c>
      <c r="Z189" s="881" t="s">
        <v>462</v>
      </c>
      <c r="AA189" s="683" t="s">
        <v>844</v>
      </c>
      <c r="AB189" s="883"/>
      <c r="AC189" s="693">
        <v>42536</v>
      </c>
      <c r="AD189" s="885" t="s">
        <v>1438</v>
      </c>
      <c r="AE189" s="682" t="s">
        <v>1096</v>
      </c>
      <c r="AF189" s="686">
        <f>IF(CampList[[#This Row],[Type of Accomodation]]="camp",MAX(0,CampList[[#This Row],[HH]]-SUMIF(Table_Shelter[Pcode],CampList[[#This Row],[CP_Pcode]],Table_Shelter[HH Covered])),0)</f>
        <v>72</v>
      </c>
      <c r="AG189" s="668"/>
      <c r="AH189" s="883">
        <f>MIN(CampList[[#This Row],[Shelter Gap]],CampList[[#This Row],[Land Status]])</f>
        <v>72</v>
      </c>
      <c r="AI189" s="668" t="str">
        <f ca="1">IFERROR(OFFSET(DistanceToCamp[Nearest Town],MATCH(CampList[[#This Row],[CP_Pcode]],DistanceToCamp[CP_Pcode],0)-1,0,1,1),"")</f>
        <v>Myitkyina Town</v>
      </c>
      <c r="AJ189" s="936">
        <f ca="1">IFERROR(OFFSET(DistanceToCamp[distance],MATCH(CampList[[#This Row],[CP_Pcode]],DistanceToCamp[CP_Pcode],0)-1,0,1,1),"")</f>
        <v>3.3602711423118103</v>
      </c>
      <c r="AK189" s="957">
        <f ca="1">IFERROR(INT(CampList[[#This Row],[Distance]]/5)+1,"")</f>
        <v>1</v>
      </c>
      <c r="AL189" s="548"/>
      <c r="AM189" s="548"/>
      <c r="AN189" s="548"/>
      <c r="BD189" s="5"/>
      <c r="BE189" s="5"/>
    </row>
    <row r="190" spans="1:57" s="678" customFormat="1" ht="15.6" customHeight="1" x14ac:dyDescent="0.25">
      <c r="A190" s="820" t="s">
        <v>502</v>
      </c>
      <c r="B190" s="216" t="s">
        <v>380</v>
      </c>
      <c r="C190" s="216" t="s">
        <v>527</v>
      </c>
      <c r="D190" s="216" t="s">
        <v>237</v>
      </c>
      <c r="E190" s="216" t="s">
        <v>533</v>
      </c>
      <c r="F190" s="216" t="s">
        <v>237</v>
      </c>
      <c r="G190" s="216" t="s">
        <v>537</v>
      </c>
      <c r="H190" s="679" t="s">
        <v>673</v>
      </c>
      <c r="I190" s="679" t="s">
        <v>674</v>
      </c>
      <c r="J190" s="679" t="s">
        <v>682</v>
      </c>
      <c r="K190" s="679"/>
      <c r="L190" s="435" t="s">
        <v>269</v>
      </c>
      <c r="M190" s="216" t="s">
        <v>268</v>
      </c>
      <c r="N190" s="842">
        <v>97.394547000000003</v>
      </c>
      <c r="O190" s="729">
        <v>25.422194000000001</v>
      </c>
      <c r="P190" s="743">
        <v>0</v>
      </c>
      <c r="Q190" s="681">
        <v>58</v>
      </c>
      <c r="R190" s="681">
        <v>241</v>
      </c>
      <c r="S190" s="843">
        <f>IF(CampList[[#This Row],[HH]]&gt;0,CampList[[#This Row],[Total]]/CampList[[#This Row],[HH]],"NA")</f>
        <v>4.1551724137931032</v>
      </c>
      <c r="T190" s="455" t="s">
        <v>513</v>
      </c>
      <c r="U190" s="673" t="s">
        <v>1194</v>
      </c>
      <c r="V190" s="668" t="s">
        <v>556</v>
      </c>
      <c r="W190" s="673" t="s">
        <v>805</v>
      </c>
      <c r="X190" s="881">
        <v>40695</v>
      </c>
      <c r="Y190" s="882">
        <v>1</v>
      </c>
      <c r="Z190" s="881" t="s">
        <v>462</v>
      </c>
      <c r="AA190" s="433" t="s">
        <v>844</v>
      </c>
      <c r="AB190" s="883"/>
      <c r="AC190" s="693">
        <v>42536</v>
      </c>
      <c r="AD190" s="884" t="s">
        <v>1429</v>
      </c>
      <c r="AE190" s="682" t="s">
        <v>1096</v>
      </c>
      <c r="AF190" s="686">
        <f>IF(CampList[[#This Row],[Type of Accomodation]]="camp",MAX(0,CampList[[#This Row],[HH]]-SUMIF(Table_Shelter[Pcode],CampList[[#This Row],[CP_Pcode]],Table_Shelter[HH Covered])),0)</f>
        <v>6</v>
      </c>
      <c r="AG190" s="686"/>
      <c r="AH190" s="883">
        <f>MIN(CampList[[#This Row],[Shelter Gap]],CampList[[#This Row],[Land Status]])</f>
        <v>6</v>
      </c>
      <c r="AI190" s="668" t="str">
        <f ca="1">IFERROR(OFFSET(DistanceToCamp[Nearest Town],MATCH(CampList[[#This Row],[CP_Pcode]],DistanceToCamp[CP_Pcode],0)-1,0,1,1),"")</f>
        <v>Myitkyina Town</v>
      </c>
      <c r="AJ190" s="936">
        <f ca="1">IFERROR(OFFSET(DistanceToCamp[distance],MATCH(CampList[[#This Row],[CP_Pcode]],DistanceToCamp[CP_Pcode],0)-1,0,1,1),"")</f>
        <v>3.8820329084732181</v>
      </c>
      <c r="AK190" s="957">
        <f ca="1">IFERROR(INT(CampList[[#This Row],[Distance]]/5)+1,"")</f>
        <v>1</v>
      </c>
      <c r="AL190" s="548"/>
      <c r="AM190" s="548"/>
      <c r="AN190" s="548"/>
      <c r="BD190" s="5"/>
      <c r="BE190" s="5"/>
    </row>
    <row r="191" spans="1:57" s="678" customFormat="1" ht="15.6" customHeight="1" x14ac:dyDescent="0.25">
      <c r="A191" s="820" t="s">
        <v>502</v>
      </c>
      <c r="B191" s="216" t="s">
        <v>380</v>
      </c>
      <c r="C191" s="216" t="s">
        <v>527</v>
      </c>
      <c r="D191" s="216" t="s">
        <v>237</v>
      </c>
      <c r="E191" s="216" t="s">
        <v>533</v>
      </c>
      <c r="F191" s="216" t="s">
        <v>237</v>
      </c>
      <c r="G191" s="216" t="s">
        <v>537</v>
      </c>
      <c r="H191" s="669" t="s">
        <v>673</v>
      </c>
      <c r="I191" s="669" t="s">
        <v>674</v>
      </c>
      <c r="J191" s="652" t="s">
        <v>1416</v>
      </c>
      <c r="K191" s="652"/>
      <c r="L191" s="435" t="s">
        <v>259</v>
      </c>
      <c r="M191" s="216" t="s">
        <v>258</v>
      </c>
      <c r="N191" s="842">
        <v>97.4113064583333</v>
      </c>
      <c r="O191" s="729">
        <v>25.360463124999999</v>
      </c>
      <c r="P191" s="743">
        <v>0</v>
      </c>
      <c r="Q191" s="681">
        <v>60</v>
      </c>
      <c r="R191" s="681">
        <v>293</v>
      </c>
      <c r="S191" s="843">
        <f>IF(CampList[[#This Row],[HH]]&gt;0,CampList[[#This Row],[Total]]/CampList[[#This Row],[HH]],"NA")</f>
        <v>4.8833333333333337</v>
      </c>
      <c r="T191" s="455" t="s">
        <v>513</v>
      </c>
      <c r="U191" s="673" t="s">
        <v>1194</v>
      </c>
      <c r="V191" s="668" t="s">
        <v>556</v>
      </c>
      <c r="W191" s="673" t="s">
        <v>805</v>
      </c>
      <c r="X191" s="881">
        <v>40756</v>
      </c>
      <c r="Y191" s="882">
        <v>2</v>
      </c>
      <c r="Z191" s="881" t="s">
        <v>462</v>
      </c>
      <c r="AA191" s="683" t="s">
        <v>844</v>
      </c>
      <c r="AB191" s="883"/>
      <c r="AC191" s="693">
        <v>42536</v>
      </c>
      <c r="AD191" s="885" t="s">
        <v>1438</v>
      </c>
      <c r="AE191" s="682" t="s">
        <v>1096</v>
      </c>
      <c r="AF191" s="686">
        <f>IF(CampList[[#This Row],[Type of Accomodation]]="camp",MAX(0,CampList[[#This Row],[HH]]-SUMIF(Table_Shelter[Pcode],CampList[[#This Row],[CP_Pcode]],Table_Shelter[HH Covered])),0)</f>
        <v>40</v>
      </c>
      <c r="AG191" s="668"/>
      <c r="AH191" s="883">
        <f>MIN(CampList[[#This Row],[Shelter Gap]],CampList[[#This Row],[Land Status]])</f>
        <v>40</v>
      </c>
      <c r="AI191" s="668" t="str">
        <f ca="1">IFERROR(OFFSET(DistanceToCamp[Nearest Town],MATCH(CampList[[#This Row],[CP_Pcode]],DistanceToCamp[CP_Pcode],0)-1,0,1,1),"")</f>
        <v>Waingmaw Town</v>
      </c>
      <c r="AJ191" s="936">
        <f ca="1">IFERROR(OFFSET(DistanceToCamp[distance],MATCH(CampList[[#This Row],[CP_Pcode]],DistanceToCamp[CP_Pcode],0)-1,0,1,1),"")</f>
        <v>3.3362307375127798</v>
      </c>
      <c r="AK191" s="957">
        <f ca="1">IFERROR(INT(CampList[[#This Row],[Distance]]/5)+1,"")</f>
        <v>1</v>
      </c>
      <c r="AL191" s="548"/>
      <c r="AM191" s="548"/>
      <c r="AN191" s="548"/>
      <c r="BD191" s="5"/>
      <c r="BE191" s="5"/>
    </row>
    <row r="192" spans="1:57" s="678" customFormat="1" ht="15.6" customHeight="1" x14ac:dyDescent="0.25">
      <c r="A192" s="820" t="s">
        <v>502</v>
      </c>
      <c r="B192" s="216" t="s">
        <v>380</v>
      </c>
      <c r="C192" s="216" t="s">
        <v>527</v>
      </c>
      <c r="D192" s="216" t="s">
        <v>237</v>
      </c>
      <c r="E192" s="216" t="s">
        <v>533</v>
      </c>
      <c r="F192" s="216" t="s">
        <v>237</v>
      </c>
      <c r="G192" s="216" t="s">
        <v>537</v>
      </c>
      <c r="H192" s="669" t="s">
        <v>673</v>
      </c>
      <c r="I192" s="669" t="s">
        <v>674</v>
      </c>
      <c r="J192" s="216" t="s">
        <v>675</v>
      </c>
      <c r="K192" s="216"/>
      <c r="L192" s="435" t="s">
        <v>253</v>
      </c>
      <c r="M192" s="216" t="s">
        <v>252</v>
      </c>
      <c r="N192" s="846">
        <v>97.373361000000003</v>
      </c>
      <c r="O192" s="730">
        <v>25.403476999999999</v>
      </c>
      <c r="P192" s="743">
        <v>0</v>
      </c>
      <c r="Q192" s="681">
        <v>204</v>
      </c>
      <c r="R192" s="681">
        <v>1104</v>
      </c>
      <c r="S192" s="843">
        <f>IF(CampList[[#This Row],[HH]]&gt;0,CampList[[#This Row],[Total]]/CampList[[#This Row],[HH]],"NA")</f>
        <v>5.4117647058823533</v>
      </c>
      <c r="T192" s="455" t="s">
        <v>513</v>
      </c>
      <c r="U192" s="673" t="s">
        <v>1194</v>
      </c>
      <c r="V192" s="668" t="s">
        <v>556</v>
      </c>
      <c r="W192" s="673" t="s">
        <v>805</v>
      </c>
      <c r="X192" s="881">
        <v>40725</v>
      </c>
      <c r="Y192" s="882">
        <v>2</v>
      </c>
      <c r="Z192" s="881" t="s">
        <v>462</v>
      </c>
      <c r="AA192" s="683" t="s">
        <v>844</v>
      </c>
      <c r="AB192" s="883"/>
      <c r="AC192" s="693">
        <v>42536</v>
      </c>
      <c r="AD192" s="885" t="s">
        <v>1439</v>
      </c>
      <c r="AE192" s="682" t="s">
        <v>1096</v>
      </c>
      <c r="AF192" s="686">
        <f>IF(CampList[[#This Row],[Type of Accomodation]]="camp",MAX(0,CampList[[#This Row],[HH]]-SUMIF(Table_Shelter[Pcode],CampList[[#This Row],[CP_Pcode]],Table_Shelter[HH Covered])),0)</f>
        <v>44</v>
      </c>
      <c r="AG192" s="668"/>
      <c r="AH192" s="883">
        <f>MIN(CampList[[#This Row],[Shelter Gap]],CampList[[#This Row],[Land Status]])</f>
        <v>44</v>
      </c>
      <c r="AI192" s="668" t="str">
        <f ca="1">IFERROR(OFFSET(DistanceToCamp[Nearest Town],MATCH(CampList[[#This Row],[CP_Pcode]],DistanceToCamp[CP_Pcode],0)-1,0,1,1),"")</f>
        <v>Myitkyina Town</v>
      </c>
      <c r="AJ192" s="936">
        <f ca="1">IFERROR(OFFSET(DistanceToCamp[distance],MATCH(CampList[[#This Row],[CP_Pcode]],DistanceToCamp[CP_Pcode],0)-1,0,1,1),"")</f>
        <v>2.4647367211404561</v>
      </c>
      <c r="AK192" s="957">
        <f ca="1">IFERROR(INT(CampList[[#This Row],[Distance]]/5)+1,"")</f>
        <v>1</v>
      </c>
      <c r="AL192" s="548"/>
      <c r="AM192" s="548"/>
      <c r="AN192" s="548"/>
      <c r="BD192" s="5"/>
      <c r="BE192" s="5"/>
    </row>
    <row r="193" spans="1:57" s="678" customFormat="1" ht="15.6" customHeight="1" x14ac:dyDescent="0.25">
      <c r="A193" s="825" t="s">
        <v>502</v>
      </c>
      <c r="B193" s="677" t="s">
        <v>380</v>
      </c>
      <c r="C193" s="677" t="s">
        <v>527</v>
      </c>
      <c r="D193" s="677" t="s">
        <v>237</v>
      </c>
      <c r="E193" s="677" t="s">
        <v>533</v>
      </c>
      <c r="F193" s="677" t="s">
        <v>237</v>
      </c>
      <c r="G193" s="677" t="s">
        <v>537</v>
      </c>
      <c r="H193" s="677" t="s">
        <v>673</v>
      </c>
      <c r="I193" s="689" t="s">
        <v>674</v>
      </c>
      <c r="J193" s="677" t="s">
        <v>675</v>
      </c>
      <c r="K193" s="677"/>
      <c r="L193" s="677" t="s">
        <v>255</v>
      </c>
      <c r="M193" s="677" t="s">
        <v>254</v>
      </c>
      <c r="N193" s="847">
        <v>97.379594999999995</v>
      </c>
      <c r="O193" s="681">
        <v>25.401061110000001</v>
      </c>
      <c r="P193" s="744"/>
      <c r="Q193" s="681">
        <v>103</v>
      </c>
      <c r="R193" s="687">
        <v>462</v>
      </c>
      <c r="S193" s="843">
        <f>IF(CampList[[#This Row],[HH]]&gt;0,CampList[[#This Row],[Total]]/CampList[[#This Row],[HH]],"NA")</f>
        <v>4.4854368932038833</v>
      </c>
      <c r="T193" s="420" t="s">
        <v>513</v>
      </c>
      <c r="U193" s="455" t="s">
        <v>1194</v>
      </c>
      <c r="V193" s="420" t="s">
        <v>556</v>
      </c>
      <c r="W193" s="686" t="s">
        <v>805</v>
      </c>
      <c r="X193" s="905">
        <v>40725</v>
      </c>
      <c r="Y193" s="670">
        <v>3</v>
      </c>
      <c r="Z193" s="670" t="s">
        <v>1093</v>
      </c>
      <c r="AA193" s="681" t="s">
        <v>844</v>
      </c>
      <c r="AB193" s="907"/>
      <c r="AC193" s="693">
        <v>42537</v>
      </c>
      <c r="AD193" s="726" t="s">
        <v>1481</v>
      </c>
      <c r="AE193" s="690" t="s">
        <v>1096</v>
      </c>
      <c r="AF193" s="732">
        <f>IF(CampList[[#This Row],[Type of Accomodation]]="camp",MAX(0,CampList[[#This Row],[HH]]-SUMIF(Table_Shelter[Pcode],CampList[[#This Row],[CP_Pcode]],Table_Shelter[HH Covered])),0)</f>
        <v>23</v>
      </c>
      <c r="AG193" s="686"/>
      <c r="AH193" s="692">
        <f>MIN(CampList[[#This Row],[Shelter Gap]],CampList[[#This Row],[Land Status]])</f>
        <v>23</v>
      </c>
      <c r="AI193" s="732" t="str">
        <f ca="1">IFERROR(OFFSET(DistanceToCamp[Nearest Town],MATCH(CampList[[#This Row],[CP_Pcode]],DistanceToCamp[CP_Pcode],0)-1,0,1,1),"")</f>
        <v>Myitkyina Town</v>
      </c>
      <c r="AJ193" s="936">
        <f ca="1">IFERROR(OFFSET(DistanceToCamp[distance],MATCH(CampList[[#This Row],[CP_Pcode]],DistanceToCamp[CP_Pcode],0)-1,0,1,1),"")</f>
        <v>1.8563710010113432</v>
      </c>
      <c r="AK193" s="956">
        <f ca="1">IFERROR(INT(CampList[[#This Row],[Distance]]/5)+1,"")</f>
        <v>1</v>
      </c>
      <c r="AL193" s="548"/>
      <c r="AM193" s="548"/>
      <c r="AN193" s="548"/>
      <c r="BD193" s="5"/>
      <c r="BE193" s="5"/>
    </row>
    <row r="194" spans="1:57" s="678" customFormat="1" ht="15.6" hidden="1" customHeight="1" x14ac:dyDescent="0.25">
      <c r="A194" s="822" t="s">
        <v>845</v>
      </c>
      <c r="B194" s="774" t="s">
        <v>380</v>
      </c>
      <c r="C194" s="774" t="s">
        <v>527</v>
      </c>
      <c r="D194" s="774" t="s">
        <v>180</v>
      </c>
      <c r="E194" s="774" t="s">
        <v>528</v>
      </c>
      <c r="F194" s="774" t="s">
        <v>529</v>
      </c>
      <c r="G194" s="774" t="s">
        <v>530</v>
      </c>
      <c r="H194" s="775" t="s">
        <v>605</v>
      </c>
      <c r="I194" s="775" t="s">
        <v>606</v>
      </c>
      <c r="J194" s="775" t="s">
        <v>705</v>
      </c>
      <c r="K194" s="775" t="s">
        <v>706</v>
      </c>
      <c r="L194" s="774" t="s">
        <v>114</v>
      </c>
      <c r="M194" s="774" t="s">
        <v>113</v>
      </c>
      <c r="N194" s="729"/>
      <c r="O194" s="729"/>
      <c r="P194" s="670"/>
      <c r="Q194" s="776">
        <v>0</v>
      </c>
      <c r="R194" s="777">
        <v>0</v>
      </c>
      <c r="S194" s="845" t="str">
        <f>IF(CampList[[#This Row],[HH]]&gt;0,CampList[[#This Row],[Total]]/CampList[[#This Row],[HH]],"NA")</f>
        <v>NA</v>
      </c>
      <c r="T194" s="778" t="s">
        <v>513</v>
      </c>
      <c r="U194" s="779" t="s">
        <v>1194</v>
      </c>
      <c r="V194" s="773" t="s">
        <v>556</v>
      </c>
      <c r="W194" s="779"/>
      <c r="X194" s="892"/>
      <c r="Y194" s="893"/>
      <c r="Z194" s="894"/>
      <c r="AA194" s="781"/>
      <c r="AB194" s="895"/>
      <c r="AC194" s="896"/>
      <c r="AD194" s="897" t="s">
        <v>603</v>
      </c>
      <c r="AE194" s="780" t="s">
        <v>1010</v>
      </c>
      <c r="AF194" s="814">
        <f>IF(CampList[[#This Row],[Type of Accomodation]]="camp",MAX(0,CampList[[#This Row],[HH]]-SUMIF(Table_Shelter[Pcode],CampList[[#This Row],[CP_Pcode]],Table_Shelter[HH Covered])),0)</f>
        <v>0</v>
      </c>
      <c r="AG194" s="773"/>
      <c r="AH194" s="895">
        <f>MIN(CampList[[#This Row],[Shelter Gap]],CampList[[#This Row],[Land Status]])</f>
        <v>0</v>
      </c>
      <c r="AI194" s="773" t="str">
        <f ca="1">IFERROR(OFFSET(DistanceToCamp[Nearest Town],MATCH(CampList[[#This Row],[CP_Pcode]],DistanceToCamp[CP_Pcode],0)-1,0,1,1),"")</f>
        <v/>
      </c>
      <c r="AJ194" s="938" t="str">
        <f ca="1">IFERROR(OFFSET(DistanceToCamp[distance],MATCH(CampList[[#This Row],[CP_Pcode]],DistanceToCamp[CP_Pcode],0)-1,0,1,1),"")</f>
        <v/>
      </c>
      <c r="AK194" s="959" t="str">
        <f ca="1">IFERROR(INT(CampList[[#This Row],[Distance]]/5)+1,"")</f>
        <v/>
      </c>
      <c r="AL194" s="548"/>
      <c r="AM194" s="548"/>
      <c r="AN194" s="548"/>
      <c r="BD194" s="5"/>
      <c r="BE194" s="5"/>
    </row>
    <row r="195" spans="1:57" s="678" customFormat="1" ht="15.6" customHeight="1" x14ac:dyDescent="0.25">
      <c r="A195" s="819" t="s">
        <v>502</v>
      </c>
      <c r="B195" s="701" t="s">
        <v>555</v>
      </c>
      <c r="C195" s="701" t="s">
        <v>538</v>
      </c>
      <c r="D195" s="701" t="s">
        <v>230</v>
      </c>
      <c r="E195" s="701" t="s">
        <v>539</v>
      </c>
      <c r="F195" s="701" t="s">
        <v>289</v>
      </c>
      <c r="G195" s="701" t="s">
        <v>551</v>
      </c>
      <c r="H195" s="701" t="s">
        <v>1061</v>
      </c>
      <c r="I195" s="701" t="s">
        <v>1060</v>
      </c>
      <c r="J195" s="701" t="s">
        <v>1062</v>
      </c>
      <c r="K195" s="758">
        <v>208338</v>
      </c>
      <c r="L195" s="525" t="s">
        <v>1070</v>
      </c>
      <c r="M195" s="701" t="s">
        <v>1063</v>
      </c>
      <c r="N195" s="729">
        <v>97.709879999999998</v>
      </c>
      <c r="O195" s="729">
        <v>23.838190000000001</v>
      </c>
      <c r="P195" s="687">
        <v>829.8</v>
      </c>
      <c r="Q195" s="981">
        <v>123</v>
      </c>
      <c r="R195" s="981">
        <v>575</v>
      </c>
      <c r="S195" s="841">
        <f>IF(CampList[[#This Row],[HH]]&gt;0,CampList[[#This Row],[Total]]/CampList[[#This Row],[HH]],"NA")</f>
        <v>4.6747967479674797</v>
      </c>
      <c r="T195" s="750" t="s">
        <v>513</v>
      </c>
      <c r="U195" s="703" t="s">
        <v>1194</v>
      </c>
      <c r="V195" s="700" t="s">
        <v>556</v>
      </c>
      <c r="W195" s="700" t="s">
        <v>805</v>
      </c>
      <c r="X195" s="920">
        <v>41747</v>
      </c>
      <c r="Y195" s="755"/>
      <c r="Z195" s="878" t="s">
        <v>462</v>
      </c>
      <c r="AA195" s="654" t="s">
        <v>844</v>
      </c>
      <c r="AB195" s="878"/>
      <c r="AC195" s="901">
        <v>42536</v>
      </c>
      <c r="AD195" s="922" t="s">
        <v>1470</v>
      </c>
      <c r="AE195" s="756" t="s">
        <v>1096</v>
      </c>
      <c r="AF195" s="861">
        <f>IF(CampList[[#This Row],[Type of Accomodation]]="camp",MAX(0,CampList[[#This Row],[HH]]-SUMIF(Table_Shelter[Pcode],CampList[[#This Row],[CP_Pcode]],Table_Shelter[HH Covered])),0)</f>
        <v>51</v>
      </c>
      <c r="AG195" s="700"/>
      <c r="AH195" s="878">
        <f>MIN(CampList[[#This Row],[Shelter Gap]],CampList[[#This Row],[Land Status]])</f>
        <v>51</v>
      </c>
      <c r="AI195" s="700" t="str">
        <f ca="1">IFERROR(OFFSET(DistanceToCamp[Nearest Town],MATCH(CampList[[#This Row],[CP_Pcode]],DistanceToCamp[CP_Pcode],0)-1,0,1,1),"")</f>
        <v>Namhkan Town</v>
      </c>
      <c r="AJ195" s="935">
        <f ca="1">IFERROR(OFFSET(DistanceToCamp[distance],MATCH(CampList[[#This Row],[CP_Pcode]],DistanceToCamp[CP_Pcode],0)-1,0,1,1),"")</f>
        <v>2.8590638493982405</v>
      </c>
      <c r="AK195" s="955">
        <f ca="1">IFERROR(INT(CampList[[#This Row],[Distance]]/5)+1,"")</f>
        <v>1</v>
      </c>
      <c r="AL195" s="548"/>
      <c r="AM195" s="548"/>
      <c r="AN195" s="548"/>
      <c r="BD195" s="5"/>
      <c r="BE195" s="5"/>
    </row>
    <row r="196" spans="1:57" s="678" customFormat="1" ht="15.6" customHeight="1" x14ac:dyDescent="0.25">
      <c r="A196" s="820" t="s">
        <v>502</v>
      </c>
      <c r="B196" s="216" t="s">
        <v>555</v>
      </c>
      <c r="C196" s="216" t="s">
        <v>538</v>
      </c>
      <c r="D196" s="216" t="s">
        <v>230</v>
      </c>
      <c r="E196" s="216" t="s">
        <v>539</v>
      </c>
      <c r="F196" s="216" t="s">
        <v>289</v>
      </c>
      <c r="G196" s="216" t="s">
        <v>551</v>
      </c>
      <c r="H196" s="679" t="s">
        <v>753</v>
      </c>
      <c r="I196" s="679" t="s">
        <v>754</v>
      </c>
      <c r="J196" s="679" t="s">
        <v>753</v>
      </c>
      <c r="K196" s="679">
        <v>208353</v>
      </c>
      <c r="L196" s="435" t="s">
        <v>290</v>
      </c>
      <c r="M196" s="216" t="s">
        <v>288</v>
      </c>
      <c r="N196" s="842">
        <v>97.669557999999995</v>
      </c>
      <c r="O196" s="729">
        <v>23.828520000000001</v>
      </c>
      <c r="P196" s="743">
        <v>740</v>
      </c>
      <c r="Q196" s="657">
        <v>73</v>
      </c>
      <c r="R196" s="657">
        <v>380</v>
      </c>
      <c r="S196" s="843">
        <f>IF(CampList[[#This Row],[HH]]&gt;0,CampList[[#This Row],[Total]]/CampList[[#This Row],[HH]],"NA")</f>
        <v>5.2054794520547949</v>
      </c>
      <c r="T196" s="455" t="s">
        <v>513</v>
      </c>
      <c r="U196" s="673" t="s">
        <v>1194</v>
      </c>
      <c r="V196" s="668" t="s">
        <v>556</v>
      </c>
      <c r="W196" s="673" t="s">
        <v>805</v>
      </c>
      <c r="X196" s="881">
        <v>40878</v>
      </c>
      <c r="Y196" s="882">
        <v>2</v>
      </c>
      <c r="Z196" s="881" t="s">
        <v>462</v>
      </c>
      <c r="AA196" s="683" t="s">
        <v>844</v>
      </c>
      <c r="AB196" s="883"/>
      <c r="AC196" s="693">
        <v>42536</v>
      </c>
      <c r="AD196" s="884" t="s">
        <v>1460</v>
      </c>
      <c r="AE196" s="682" t="s">
        <v>1082</v>
      </c>
      <c r="AF196" s="686">
        <f>IF(CampList[[#This Row],[Type of Accomodation]]="camp",MAX(0,CampList[[#This Row],[HH]]-SUMIF(Table_Shelter[Pcode],CampList[[#This Row],[CP_Pcode]],Table_Shelter[HH Covered])),0)</f>
        <v>43</v>
      </c>
      <c r="AG196" s="668"/>
      <c r="AH196" s="883">
        <f>MIN(CampList[[#This Row],[Shelter Gap]],CampList[[#This Row],[Land Status]])</f>
        <v>43</v>
      </c>
      <c r="AI196" s="668" t="str">
        <f ca="1">IFERROR(OFFSET(DistanceToCamp[Nearest Town],MATCH(CampList[[#This Row],[CP_Pcode]],DistanceToCamp[CP_Pcode],0)-1,0,1,1),"")</f>
        <v>Namhkan Town</v>
      </c>
      <c r="AJ196" s="936">
        <f ca="1">IFERROR(OFFSET(DistanceToCamp[distance],MATCH(CampList[[#This Row],[CP_Pcode]],DistanceToCamp[CP_Pcode],0)-1,0,1,1),"")</f>
        <v>1.5619149693996526</v>
      </c>
      <c r="AK196" s="957">
        <f ca="1">IFERROR(INT(CampList[[#This Row],[Distance]]/5)+1,"")</f>
        <v>1</v>
      </c>
      <c r="AL196" s="548"/>
      <c r="AM196" s="548"/>
      <c r="AN196" s="548"/>
      <c r="BD196" s="5"/>
      <c r="BE196" s="5"/>
    </row>
    <row r="197" spans="1:57" s="678" customFormat="1" ht="15.6" customHeight="1" x14ac:dyDescent="0.25">
      <c r="A197" s="825" t="s">
        <v>502</v>
      </c>
      <c r="B197" s="677" t="s">
        <v>555</v>
      </c>
      <c r="C197" s="677" t="s">
        <v>538</v>
      </c>
      <c r="D197" s="677" t="s">
        <v>230</v>
      </c>
      <c r="E197" s="677" t="s">
        <v>539</v>
      </c>
      <c r="F197" s="677" t="s">
        <v>289</v>
      </c>
      <c r="G197" s="677" t="s">
        <v>551</v>
      </c>
      <c r="H197" s="677" t="s">
        <v>753</v>
      </c>
      <c r="I197" s="689" t="s">
        <v>754</v>
      </c>
      <c r="J197" s="677" t="s">
        <v>753</v>
      </c>
      <c r="K197" s="677">
        <v>208353</v>
      </c>
      <c r="L197" s="677" t="s">
        <v>374</v>
      </c>
      <c r="M197" s="677" t="s">
        <v>295</v>
      </c>
      <c r="N197" s="847">
        <v>97.670360000000002</v>
      </c>
      <c r="O197" s="681">
        <v>23.828150000000001</v>
      </c>
      <c r="P197" s="744">
        <v>751.8</v>
      </c>
      <c r="Q197" s="681">
        <v>48</v>
      </c>
      <c r="R197" s="687">
        <v>218</v>
      </c>
      <c r="S197" s="843">
        <f>IF(CampList[[#This Row],[HH]]&gt;0,CampList[[#This Row],[Total]]/CampList[[#This Row],[HH]],"NA")</f>
        <v>4.541666666666667</v>
      </c>
      <c r="T197" s="420" t="s">
        <v>513</v>
      </c>
      <c r="U197" s="455" t="s">
        <v>1194</v>
      </c>
      <c r="V197" s="420" t="s">
        <v>556</v>
      </c>
      <c r="W197" s="686" t="s">
        <v>805</v>
      </c>
      <c r="X197" s="905">
        <v>40878</v>
      </c>
      <c r="Y197" s="670"/>
      <c r="Z197" s="670" t="s">
        <v>1266</v>
      </c>
      <c r="AA197" s="681" t="s">
        <v>844</v>
      </c>
      <c r="AB197" s="907"/>
      <c r="AC197" s="693">
        <v>42397</v>
      </c>
      <c r="AD197" s="726" t="s">
        <v>1346</v>
      </c>
      <c r="AE197" s="690" t="s">
        <v>1082</v>
      </c>
      <c r="AF197" s="732">
        <f>IF(CampList[[#This Row],[Type of Accomodation]]="camp",MAX(0,CampList[[#This Row],[HH]]-SUMIF(Table_Shelter[Pcode],CampList[[#This Row],[CP_Pcode]],Table_Shelter[HH Covered])),0)</f>
        <v>48</v>
      </c>
      <c r="AG197" s="686"/>
      <c r="AH197" s="692">
        <f>MIN(CampList[[#This Row],[Shelter Gap]],CampList[[#This Row],[Land Status]])</f>
        <v>48</v>
      </c>
      <c r="AI197" s="732" t="str">
        <f ca="1">IFERROR(OFFSET(DistanceToCamp[Nearest Town],MATCH(CampList[[#This Row],[CP_Pcode]],DistanceToCamp[CP_Pcode],0)-1,0,1,1),"")</f>
        <v>Namhkan Town</v>
      </c>
      <c r="AJ197" s="936">
        <f ca="1">IFERROR(OFFSET(DistanceToCamp[distance],MATCH(CampList[[#This Row],[CP_Pcode]],DistanceToCamp[CP_Pcode],0)-1,0,1,1),"")</f>
        <v>1.5239325151406049</v>
      </c>
      <c r="AK197" s="956">
        <f ca="1">IFERROR(INT(CampList[[#This Row],[Distance]]/5)+1,"")</f>
        <v>1</v>
      </c>
      <c r="AL197" s="548"/>
      <c r="AM197" s="548"/>
      <c r="AN197" s="548"/>
      <c r="BD197" s="5"/>
      <c r="BE197" s="5"/>
    </row>
    <row r="198" spans="1:57" s="678" customFormat="1" ht="15.6" customHeight="1" x14ac:dyDescent="0.25">
      <c r="A198" s="820" t="s">
        <v>502</v>
      </c>
      <c r="B198" s="216" t="s">
        <v>555</v>
      </c>
      <c r="C198" s="216" t="s">
        <v>538</v>
      </c>
      <c r="D198" s="216" t="s">
        <v>230</v>
      </c>
      <c r="E198" s="216" t="s">
        <v>539</v>
      </c>
      <c r="F198" s="216" t="s">
        <v>289</v>
      </c>
      <c r="G198" s="216" t="s">
        <v>551</v>
      </c>
      <c r="H198" s="679" t="s">
        <v>753</v>
      </c>
      <c r="I198" s="679" t="s">
        <v>754</v>
      </c>
      <c r="J198" s="679" t="s">
        <v>753</v>
      </c>
      <c r="K198" s="679">
        <v>208353</v>
      </c>
      <c r="L198" s="435" t="s">
        <v>292</v>
      </c>
      <c r="M198" s="216" t="s">
        <v>291</v>
      </c>
      <c r="N198" s="842">
        <v>97.681970000000007</v>
      </c>
      <c r="O198" s="729">
        <v>23.821380000000001</v>
      </c>
      <c r="P198" s="743">
        <v>811.6</v>
      </c>
      <c r="Q198" s="657">
        <v>70</v>
      </c>
      <c r="R198" s="657">
        <v>368</v>
      </c>
      <c r="S198" s="843">
        <f>IF(CampList[[#This Row],[HH]]&gt;0,CampList[[#This Row],[Total]]/CampList[[#This Row],[HH]],"NA")</f>
        <v>5.2571428571428571</v>
      </c>
      <c r="T198" s="455" t="s">
        <v>513</v>
      </c>
      <c r="U198" s="673" t="s">
        <v>1194</v>
      </c>
      <c r="V198" s="668" t="s">
        <v>556</v>
      </c>
      <c r="W198" s="673" t="s">
        <v>805</v>
      </c>
      <c r="X198" s="881">
        <v>41609</v>
      </c>
      <c r="Y198" s="882">
        <v>2</v>
      </c>
      <c r="Z198" s="881" t="s">
        <v>462</v>
      </c>
      <c r="AA198" s="683" t="s">
        <v>844</v>
      </c>
      <c r="AB198" s="883"/>
      <c r="AC198" s="693">
        <v>42536</v>
      </c>
      <c r="AD198" s="884" t="s">
        <v>1460</v>
      </c>
      <c r="AE198" s="682" t="s">
        <v>1082</v>
      </c>
      <c r="AF198" s="686">
        <f>IF(CampList[[#This Row],[Type of Accomodation]]="camp",MAX(0,CampList[[#This Row],[HH]]-SUMIF(Table_Shelter[Pcode],CampList[[#This Row],[CP_Pcode]],Table_Shelter[HH Covered])),0)</f>
        <v>0</v>
      </c>
      <c r="AG198" s="668"/>
      <c r="AH198" s="883">
        <f>MIN(CampList[[#This Row],[Shelter Gap]],CampList[[#This Row],[Land Status]])</f>
        <v>0</v>
      </c>
      <c r="AI198" s="668" t="str">
        <f ca="1">IFERROR(OFFSET(DistanceToCamp[Nearest Town],MATCH(CampList[[#This Row],[CP_Pcode]],DistanceToCamp[CP_Pcode],0)-1,0,1,1),"")</f>
        <v>Namhkan Town</v>
      </c>
      <c r="AJ198" s="936">
        <f ca="1">IFERROR(OFFSET(DistanceToCamp[distance],MATCH(CampList[[#This Row],[CP_Pcode]],DistanceToCamp[CP_Pcode],0)-1,0,1,1),"")</f>
        <v>1.7369508287203668</v>
      </c>
      <c r="AK198" s="957">
        <f ca="1">IFERROR(INT(CampList[[#This Row],[Distance]]/5)+1,"")</f>
        <v>1</v>
      </c>
      <c r="AL198" s="548"/>
      <c r="AM198" s="548"/>
      <c r="AN198" s="548"/>
      <c r="BD198" s="5"/>
      <c r="BE198" s="5"/>
    </row>
    <row r="199" spans="1:57" s="678" customFormat="1" ht="15.6" customHeight="1" x14ac:dyDescent="0.25">
      <c r="A199" s="820" t="s">
        <v>502</v>
      </c>
      <c r="B199" s="216" t="s">
        <v>555</v>
      </c>
      <c r="C199" s="216" t="s">
        <v>538</v>
      </c>
      <c r="D199" s="216" t="s">
        <v>230</v>
      </c>
      <c r="E199" s="216" t="s">
        <v>539</v>
      </c>
      <c r="F199" s="216" t="s">
        <v>289</v>
      </c>
      <c r="G199" s="216" t="s">
        <v>551</v>
      </c>
      <c r="H199" s="216" t="s">
        <v>753</v>
      </c>
      <c r="I199" s="216" t="s">
        <v>754</v>
      </c>
      <c r="J199" s="216" t="s">
        <v>753</v>
      </c>
      <c r="K199" s="216">
        <v>208353</v>
      </c>
      <c r="L199" s="435" t="s">
        <v>1058</v>
      </c>
      <c r="M199" s="216" t="s">
        <v>1059</v>
      </c>
      <c r="N199" s="842">
        <v>97.700940000000003</v>
      </c>
      <c r="O199" s="729">
        <v>23.841646999999998</v>
      </c>
      <c r="P199" s="744">
        <v>798</v>
      </c>
      <c r="Q199" s="657">
        <v>37</v>
      </c>
      <c r="R199" s="657">
        <v>198</v>
      </c>
      <c r="S199" s="843">
        <f>IF(CampList[[#This Row],[HH]]&gt;0,CampList[[#This Row],[Total]]/CampList[[#This Row],[HH]],"NA")</f>
        <v>5.3513513513513518</v>
      </c>
      <c r="T199" s="455" t="s">
        <v>513</v>
      </c>
      <c r="U199" s="673" t="s">
        <v>1194</v>
      </c>
      <c r="V199" s="668" t="s">
        <v>556</v>
      </c>
      <c r="W199" s="668" t="s">
        <v>805</v>
      </c>
      <c r="X199" s="905">
        <v>41947</v>
      </c>
      <c r="Y199" s="670"/>
      <c r="Z199" s="899" t="s">
        <v>462</v>
      </c>
      <c r="AA199" s="434" t="s">
        <v>844</v>
      </c>
      <c r="AB199" s="883"/>
      <c r="AC199" s="693">
        <v>42536</v>
      </c>
      <c r="AD199" s="884" t="s">
        <v>1460</v>
      </c>
      <c r="AE199" s="674" t="s">
        <v>1096</v>
      </c>
      <c r="AF199" s="686">
        <f>IF(CampList[[#This Row],[Type of Accomodation]]="camp",MAX(0,CampList[[#This Row],[HH]]-SUMIF(Table_Shelter[Pcode],CampList[[#This Row],[CP_Pcode]],Table_Shelter[HH Covered])),0)</f>
        <v>0</v>
      </c>
      <c r="AG199" s="668"/>
      <c r="AH199" s="883">
        <f>MIN(CampList[[#This Row],[Shelter Gap]],CampList[[#This Row],[Land Status]])</f>
        <v>0</v>
      </c>
      <c r="AI199" s="668" t="str">
        <f ca="1">IFERROR(OFFSET(DistanceToCamp[Nearest Town],MATCH(CampList[[#This Row],[CP_Pcode]],DistanceToCamp[CP_Pcode],0)-1,0,1,1),"")</f>
        <v>Namhkan Town</v>
      </c>
      <c r="AJ199" s="936">
        <f ca="1">IFERROR(OFFSET(DistanceToCamp[distance],MATCH(CampList[[#This Row],[CP_Pcode]],DistanceToCamp[CP_Pcode],0)-1,0,1,1),"")</f>
        <v>2.0141034419413328</v>
      </c>
      <c r="AK199" s="957">
        <f ca="1">IFERROR(INT(CampList[[#This Row],[Distance]]/5)+1,"")</f>
        <v>1</v>
      </c>
      <c r="AL199" s="548"/>
      <c r="AM199" s="548"/>
      <c r="AN199" s="548"/>
      <c r="BD199" s="5"/>
      <c r="BE199" s="5"/>
    </row>
    <row r="200" spans="1:57" s="678" customFormat="1" ht="15.6" customHeight="1" x14ac:dyDescent="0.25">
      <c r="A200" s="820" t="s">
        <v>502</v>
      </c>
      <c r="B200" s="216" t="s">
        <v>555</v>
      </c>
      <c r="C200" s="216" t="s">
        <v>538</v>
      </c>
      <c r="D200" s="216" t="s">
        <v>543</v>
      </c>
      <c r="E200" s="216" t="s">
        <v>544</v>
      </c>
      <c r="F200" s="216" t="s">
        <v>298</v>
      </c>
      <c r="G200" s="216" t="s">
        <v>552</v>
      </c>
      <c r="H200" s="698" t="s">
        <v>819</v>
      </c>
      <c r="I200" s="216" t="s">
        <v>820</v>
      </c>
      <c r="J200" s="698" t="s">
        <v>821</v>
      </c>
      <c r="K200" s="698" t="s">
        <v>822</v>
      </c>
      <c r="L200" s="216" t="s">
        <v>595</v>
      </c>
      <c r="M200" s="216" t="s">
        <v>826</v>
      </c>
      <c r="N200" s="842">
        <v>97.398989</v>
      </c>
      <c r="O200" s="729">
        <v>23.088058</v>
      </c>
      <c r="P200" s="743">
        <v>1948</v>
      </c>
      <c r="Q200" s="671">
        <v>118</v>
      </c>
      <c r="R200" s="672">
        <v>520</v>
      </c>
      <c r="S200" s="843">
        <f>IF(CampList[[#This Row],[HH]]&gt;0,CampList[[#This Row],[Total]]/CampList[[#This Row],[HH]],"NA")</f>
        <v>4.406779661016949</v>
      </c>
      <c r="T200" s="455" t="s">
        <v>513</v>
      </c>
      <c r="U200" s="673" t="s">
        <v>1194</v>
      </c>
      <c r="V200" s="668" t="s">
        <v>12</v>
      </c>
      <c r="W200" s="673" t="s">
        <v>805</v>
      </c>
      <c r="X200" s="881"/>
      <c r="Y200" s="882"/>
      <c r="Z200" s="881"/>
      <c r="AA200" s="683" t="s">
        <v>844</v>
      </c>
      <c r="AB200" s="883"/>
      <c r="AC200" s="693">
        <v>41883</v>
      </c>
      <c r="AD200" s="885" t="s">
        <v>1112</v>
      </c>
      <c r="AE200" s="682" t="s">
        <v>1082</v>
      </c>
      <c r="AF200" s="686">
        <f>IF(CampList[[#This Row],[Type of Accomodation]]="camp",MAX(0,CampList[[#This Row],[HH]]-SUMIF(Table_Shelter[Pcode],CampList[[#This Row],[CP_Pcode]],Table_Shelter[HH Covered])),0)</f>
        <v>0</v>
      </c>
      <c r="AG200" s="668"/>
      <c r="AH200" s="883">
        <f>MIN(CampList[[#This Row],[Shelter Gap]],CampList[[#This Row],[Land Status]])</f>
        <v>0</v>
      </c>
      <c r="AI200" s="668" t="str">
        <f ca="1">IFERROR(OFFSET(DistanceToCamp[Nearest Town],MATCH(CampList[[#This Row],[CP_Pcode]],DistanceToCamp[CP_Pcode],0)-1,0,1,1),"")</f>
        <v>Namtu Town</v>
      </c>
      <c r="AJ200" s="936">
        <f ca="1">IFERROR(OFFSET(DistanceToCamp[distance],MATCH(CampList[[#This Row],[CP_Pcode]],DistanceToCamp[CP_Pcode],0)-1,0,1,1),"")</f>
        <v>0.63626694856259092</v>
      </c>
      <c r="AK200" s="957">
        <f ca="1">IFERROR(INT(CampList[[#This Row],[Distance]]/5)+1,"")</f>
        <v>1</v>
      </c>
      <c r="AL200" s="548"/>
      <c r="AM200" s="548"/>
      <c r="AN200" s="548"/>
      <c r="BD200" s="5"/>
      <c r="BE200" s="5"/>
    </row>
    <row r="201" spans="1:57" s="678" customFormat="1" ht="15.6" customHeight="1" x14ac:dyDescent="0.25">
      <c r="A201" s="820" t="s">
        <v>502</v>
      </c>
      <c r="B201" s="216" t="s">
        <v>555</v>
      </c>
      <c r="C201" s="216" t="s">
        <v>538</v>
      </c>
      <c r="D201" s="216" t="s">
        <v>543</v>
      </c>
      <c r="E201" s="216" t="s">
        <v>544</v>
      </c>
      <c r="F201" s="216" t="s">
        <v>298</v>
      </c>
      <c r="G201" s="216" t="s">
        <v>552</v>
      </c>
      <c r="H201" s="698" t="s">
        <v>819</v>
      </c>
      <c r="I201" s="216" t="s">
        <v>820</v>
      </c>
      <c r="J201" s="698" t="s">
        <v>821</v>
      </c>
      <c r="K201" s="698" t="s">
        <v>822</v>
      </c>
      <c r="L201" s="435" t="s">
        <v>823</v>
      </c>
      <c r="M201" s="216" t="s">
        <v>297</v>
      </c>
      <c r="N201" s="842">
        <v>97.404089999999997</v>
      </c>
      <c r="O201" s="729">
        <v>23.094290000000001</v>
      </c>
      <c r="P201" s="743">
        <v>534.29999999999995</v>
      </c>
      <c r="Q201" s="657">
        <v>9</v>
      </c>
      <c r="R201" s="657">
        <v>37</v>
      </c>
      <c r="S201" s="843">
        <f>IF(CampList[[#This Row],[HH]]&gt;0,CampList[[#This Row],[Total]]/CampList[[#This Row],[HH]],"NA")</f>
        <v>4.1111111111111107</v>
      </c>
      <c r="T201" s="455" t="s">
        <v>513</v>
      </c>
      <c r="U201" s="673" t="s">
        <v>1194</v>
      </c>
      <c r="V201" s="668" t="s">
        <v>556</v>
      </c>
      <c r="W201" s="673" t="s">
        <v>805</v>
      </c>
      <c r="X201" s="881">
        <v>41000</v>
      </c>
      <c r="Y201" s="882">
        <v>1</v>
      </c>
      <c r="Z201" s="881" t="s">
        <v>462</v>
      </c>
      <c r="AA201" s="683" t="s">
        <v>844</v>
      </c>
      <c r="AB201" s="883"/>
      <c r="AC201" s="693">
        <v>42536</v>
      </c>
      <c r="AD201" s="885" t="s">
        <v>1464</v>
      </c>
      <c r="AE201" s="682" t="s">
        <v>1082</v>
      </c>
      <c r="AF201" s="686">
        <f>IF(CampList[[#This Row],[Type of Accomodation]]="camp",MAX(0,CampList[[#This Row],[HH]]-SUMIF(Table_Shelter[Pcode],CampList[[#This Row],[CP_Pcode]],Table_Shelter[HH Covered])),0)</f>
        <v>0</v>
      </c>
      <c r="AG201" s="668"/>
      <c r="AH201" s="883">
        <f>MIN(CampList[[#This Row],[Shelter Gap]],CampList[[#This Row],[Land Status]])</f>
        <v>0</v>
      </c>
      <c r="AI201" s="668" t="str">
        <f ca="1">IFERROR(OFFSET(DistanceToCamp[Nearest Town],MATCH(CampList[[#This Row],[CP_Pcode]],DistanceToCamp[CP_Pcode],0)-1,0,1,1),"")</f>
        <v>Namtu Town</v>
      </c>
      <c r="AJ201" s="936">
        <f ca="1">IFERROR(OFFSET(DistanceToCamp[distance],MATCH(CampList[[#This Row],[CP_Pcode]],DistanceToCamp[CP_Pcode],0)-1,0,1,1),"")</f>
        <v>0.37588352961435612</v>
      </c>
      <c r="AK201" s="957">
        <f ca="1">IFERROR(INT(CampList[[#This Row],[Distance]]/5)+1,"")</f>
        <v>1</v>
      </c>
      <c r="AL201" s="548"/>
      <c r="AM201" s="548"/>
      <c r="AN201" s="548"/>
      <c r="BD201" s="5"/>
      <c r="BE201" s="5"/>
    </row>
    <row r="202" spans="1:57" s="678" customFormat="1" ht="15.6" customHeight="1" x14ac:dyDescent="0.25">
      <c r="A202" s="820" t="s">
        <v>502</v>
      </c>
      <c r="B202" s="216" t="s">
        <v>380</v>
      </c>
      <c r="C202" s="216" t="s">
        <v>527</v>
      </c>
      <c r="D202" s="216" t="s">
        <v>300</v>
      </c>
      <c r="E202" s="216" t="s">
        <v>548</v>
      </c>
      <c r="F202" s="216" t="s">
        <v>300</v>
      </c>
      <c r="G202" s="216" t="s">
        <v>554</v>
      </c>
      <c r="H202" s="216" t="s">
        <v>1032</v>
      </c>
      <c r="I202" s="216" t="s">
        <v>1033</v>
      </c>
      <c r="J202" s="216" t="s">
        <v>1043</v>
      </c>
      <c r="K202" s="216">
        <v>217032</v>
      </c>
      <c r="L202" s="216" t="s">
        <v>1044</v>
      </c>
      <c r="M202" s="216" t="s">
        <v>1046</v>
      </c>
      <c r="N202" s="847">
        <v>97.561105999999995</v>
      </c>
      <c r="O202" s="681">
        <v>27.248964999999998</v>
      </c>
      <c r="P202" s="745">
        <v>398</v>
      </c>
      <c r="Q202" s="681">
        <v>10</v>
      </c>
      <c r="R202" s="687">
        <v>56</v>
      </c>
      <c r="S202" s="843">
        <f>IF(CampList[[#This Row],[HH]]&gt;0,CampList[[#This Row],[Total]]/CampList[[#This Row],[HH]],"NA")</f>
        <v>5.6</v>
      </c>
      <c r="T202" s="455" t="s">
        <v>513</v>
      </c>
      <c r="U202" s="673" t="s">
        <v>1194</v>
      </c>
      <c r="V202" s="668" t="s">
        <v>12</v>
      </c>
      <c r="W202" s="668" t="s">
        <v>858</v>
      </c>
      <c r="X202" s="905">
        <v>41487</v>
      </c>
      <c r="Y202" s="687"/>
      <c r="Z202" s="883"/>
      <c r="AA202" s="434" t="s">
        <v>844</v>
      </c>
      <c r="AB202" s="883"/>
      <c r="AC202" s="693">
        <v>41736</v>
      </c>
      <c r="AD202" s="883" t="s">
        <v>1045</v>
      </c>
      <c r="AE202" s="688" t="s">
        <v>1082</v>
      </c>
      <c r="AF202" s="686">
        <f>IF(CampList[[#This Row],[Type of Accomodation]]="camp",MAX(0,CampList[[#This Row],[HH]]-SUMIF(Table_Shelter[Pcode],CampList[[#This Row],[CP_Pcode]],Table_Shelter[HH Covered])),0)</f>
        <v>0</v>
      </c>
      <c r="AG202" s="668"/>
      <c r="AH202" s="883">
        <f>MIN(CampList[[#This Row],[Shelter Gap]],CampList[[#This Row],[Land Status]])</f>
        <v>0</v>
      </c>
      <c r="AI202" s="668" t="str">
        <f ca="1">IFERROR(OFFSET(DistanceToCamp[Nearest Town],MATCH(CampList[[#This Row],[CP_Pcode]],DistanceToCamp[CP_Pcode],0)-1,0,1,1),"")</f>
        <v>Machanbaw Town</v>
      </c>
      <c r="AJ202" s="936">
        <f ca="1">IFERROR(OFFSET(DistanceToCamp[distance],MATCH(CampList[[#This Row],[CP_Pcode]],DistanceToCamp[CP_Pcode],0)-1,0,1,1),"")</f>
        <v>4.789460146835963</v>
      </c>
      <c r="AK202" s="957">
        <f ca="1">IFERROR(INT(CampList[[#This Row],[Distance]]/5)+1,"")</f>
        <v>1</v>
      </c>
      <c r="AL202" s="548"/>
      <c r="AM202" s="548"/>
      <c r="AN202" s="548"/>
      <c r="BD202" s="5"/>
      <c r="BE202" s="5"/>
    </row>
    <row r="203" spans="1:57" s="678" customFormat="1" ht="15.6" customHeight="1" x14ac:dyDescent="0.25">
      <c r="A203" s="820" t="s">
        <v>502</v>
      </c>
      <c r="B203" s="216" t="s">
        <v>380</v>
      </c>
      <c r="C203" s="216" t="s">
        <v>527</v>
      </c>
      <c r="D203" s="216" t="s">
        <v>300</v>
      </c>
      <c r="E203" s="216" t="s">
        <v>548</v>
      </c>
      <c r="F203" s="216" t="s">
        <v>300</v>
      </c>
      <c r="G203" s="216" t="s">
        <v>554</v>
      </c>
      <c r="H203" s="677" t="s">
        <v>802</v>
      </c>
      <c r="I203" s="689" t="s">
        <v>803</v>
      </c>
      <c r="J203" s="677" t="s">
        <v>1270</v>
      </c>
      <c r="K203" s="669" t="s">
        <v>1271</v>
      </c>
      <c r="L203" s="219" t="s">
        <v>1264</v>
      </c>
      <c r="M203" s="216" t="s">
        <v>1263</v>
      </c>
      <c r="N203" s="853">
        <v>97.416121000000004</v>
      </c>
      <c r="O203" s="854">
        <v>27.337499999999999</v>
      </c>
      <c r="P203" s="744"/>
      <c r="Q203" s="681">
        <v>59</v>
      </c>
      <c r="R203" s="681">
        <v>235</v>
      </c>
      <c r="S203" s="843">
        <f>IF(CampList[[#This Row],[HH]]&gt;0,CampList[[#This Row],[Total]]/CampList[[#This Row],[HH]],"NA")</f>
        <v>3.9830508474576272</v>
      </c>
      <c r="T203" s="455" t="s">
        <v>513</v>
      </c>
      <c r="U203" s="673" t="s">
        <v>1194</v>
      </c>
      <c r="V203" s="668" t="s">
        <v>556</v>
      </c>
      <c r="W203" s="686" t="s">
        <v>805</v>
      </c>
      <c r="X203" s="905">
        <v>42180</v>
      </c>
      <c r="Y203" s="670"/>
      <c r="Z203" s="670" t="s">
        <v>462</v>
      </c>
      <c r="AA203" s="434" t="s">
        <v>844</v>
      </c>
      <c r="AB203" s="907"/>
      <c r="AC203" s="693">
        <v>42536</v>
      </c>
      <c r="AD203" s="726" t="s">
        <v>1462</v>
      </c>
      <c r="AE203" s="690"/>
      <c r="AF203" s="732">
        <f>IF(CampList[[#This Row],[Type of Accomodation]]="camp",MAX(0,CampList[[#This Row],[HH]]-SUMIF(Table_Shelter[Pcode],CampList[[#This Row],[CP_Pcode]],Table_Shelter[HH Covered])),0)</f>
        <v>0</v>
      </c>
      <c r="AG203" s="686"/>
      <c r="AH203" s="692">
        <f>MIN(CampList[[#This Row],[Shelter Gap]],CampList[[#This Row],[Land Status]])</f>
        <v>0</v>
      </c>
      <c r="AI203" s="732" t="str">
        <f ca="1">IFERROR(OFFSET(DistanceToCamp[Nearest Town],MATCH(CampList[[#This Row],[CP_Pcode]],DistanceToCamp[CP_Pcode],0)-1,0,1,1),"")</f>
        <v/>
      </c>
      <c r="AJ203" s="936" t="str">
        <f ca="1">IFERROR(OFFSET(DistanceToCamp[distance],MATCH(CampList[[#This Row],[CP_Pcode]],DistanceToCamp[CP_Pcode],0)-1,0,1,1),"")</f>
        <v/>
      </c>
      <c r="AK203" s="956" t="str">
        <f ca="1">IFERROR(INT(CampList[[#This Row],[Distance]]/5)+1,"")</f>
        <v/>
      </c>
      <c r="AL203" s="548"/>
      <c r="AM203" s="548"/>
      <c r="AN203" s="548"/>
      <c r="BD203" s="5"/>
      <c r="BE203" s="5"/>
    </row>
    <row r="204" spans="1:57" s="678" customFormat="1" ht="15.6" hidden="1" customHeight="1" x14ac:dyDescent="0.25">
      <c r="A204" s="821" t="s">
        <v>845</v>
      </c>
      <c r="B204" s="764" t="s">
        <v>380</v>
      </c>
      <c r="C204" s="764" t="s">
        <v>527</v>
      </c>
      <c r="D204" s="764" t="s">
        <v>180</v>
      </c>
      <c r="E204" s="764" t="s">
        <v>528</v>
      </c>
      <c r="F204" s="764" t="s">
        <v>529</v>
      </c>
      <c r="G204" s="764" t="s">
        <v>530</v>
      </c>
      <c r="H204" s="764"/>
      <c r="I204" s="764"/>
      <c r="J204" s="764"/>
      <c r="K204" s="764"/>
      <c r="L204" s="764" t="s">
        <v>122</v>
      </c>
      <c r="M204" s="764" t="s">
        <v>121</v>
      </c>
      <c r="N204" s="728"/>
      <c r="O204" s="728"/>
      <c r="P204" s="670"/>
      <c r="Q204" s="766">
        <v>0</v>
      </c>
      <c r="R204" s="767">
        <v>0</v>
      </c>
      <c r="S204" s="844" t="str">
        <f>IF(CampList[[#This Row],[HH]]&gt;0,CampList[[#This Row],[Total]]/CampList[[#This Row],[HH]],"NA")</f>
        <v>NA</v>
      </c>
      <c r="T204" s="768" t="s">
        <v>513</v>
      </c>
      <c r="U204" s="769" t="s">
        <v>1194</v>
      </c>
      <c r="V204" s="763" t="s">
        <v>556</v>
      </c>
      <c r="W204" s="769"/>
      <c r="X204" s="886"/>
      <c r="Y204" s="887"/>
      <c r="Z204" s="888"/>
      <c r="AA204" s="785"/>
      <c r="AB204" s="889"/>
      <c r="AC204" s="890"/>
      <c r="AD204" s="891"/>
      <c r="AE204" s="770" t="s">
        <v>1010</v>
      </c>
      <c r="AF204" s="860">
        <f>IF(CampList[[#This Row],[Type of Accomodation]]="camp",MAX(0,CampList[[#This Row],[HH]]-SUMIF(Table_Shelter[Pcode],CampList[[#This Row],[CP_Pcode]],Table_Shelter[HH Covered])),0)</f>
        <v>0</v>
      </c>
      <c r="AG204" s="763"/>
      <c r="AH204" s="889">
        <f>MIN(CampList[[#This Row],[Shelter Gap]],CampList[[#This Row],[Land Status]])</f>
        <v>0</v>
      </c>
      <c r="AI204" s="763" t="str">
        <f ca="1">IFERROR(OFFSET(DistanceToCamp[Nearest Town],MATCH(CampList[[#This Row],[CP_Pcode]],DistanceToCamp[CP_Pcode],0)-1,0,1,1),"")</f>
        <v/>
      </c>
      <c r="AJ204" s="937" t="str">
        <f ca="1">IFERROR(OFFSET(DistanceToCamp[distance],MATCH(CampList[[#This Row],[CP_Pcode]],DistanceToCamp[CP_Pcode],0)-1,0,1,1),"")</f>
        <v/>
      </c>
      <c r="AK204" s="958" t="str">
        <f ca="1">IFERROR(INT(CampList[[#This Row],[Distance]]/5)+1,"")</f>
        <v/>
      </c>
      <c r="AL204" s="548"/>
      <c r="AM204" s="548"/>
      <c r="AN204" s="548"/>
      <c r="BD204" s="5"/>
      <c r="BE204" s="5"/>
    </row>
    <row r="205" spans="1:57" s="678" customFormat="1" ht="15.6" customHeight="1" x14ac:dyDescent="0.25">
      <c r="A205" s="707" t="s">
        <v>502</v>
      </c>
      <c r="B205" s="216" t="s">
        <v>380</v>
      </c>
      <c r="C205" s="216" t="s">
        <v>527</v>
      </c>
      <c r="D205" s="216" t="s">
        <v>300</v>
      </c>
      <c r="E205" s="216" t="s">
        <v>548</v>
      </c>
      <c r="F205" s="216" t="s">
        <v>300</v>
      </c>
      <c r="G205" s="216" t="s">
        <v>554</v>
      </c>
      <c r="H205" s="679" t="s">
        <v>802</v>
      </c>
      <c r="I205" s="679" t="s">
        <v>803</v>
      </c>
      <c r="J205" s="679" t="s">
        <v>1035</v>
      </c>
      <c r="K205" s="679" t="s">
        <v>1036</v>
      </c>
      <c r="L205" s="216" t="s">
        <v>301</v>
      </c>
      <c r="M205" s="216" t="s">
        <v>299</v>
      </c>
      <c r="N205" s="842">
        <v>97.415289999999999</v>
      </c>
      <c r="O205" s="729">
        <v>27.311699999999998</v>
      </c>
      <c r="P205" s="743">
        <v>476.7</v>
      </c>
      <c r="Q205" s="692">
        <v>14</v>
      </c>
      <c r="R205" s="687">
        <v>64</v>
      </c>
      <c r="S205" s="843">
        <f>IF(CampList[[#This Row],[HH]]&gt;0,CampList[[#This Row],[Total]]/CampList[[#This Row],[HH]],"NA")</f>
        <v>4.5714285714285712</v>
      </c>
      <c r="T205" s="455" t="s">
        <v>513</v>
      </c>
      <c r="U205" s="673" t="s">
        <v>1194</v>
      </c>
      <c r="V205" s="668" t="s">
        <v>12</v>
      </c>
      <c r="W205" s="673" t="s">
        <v>858</v>
      </c>
      <c r="X205" s="881"/>
      <c r="Y205" s="882"/>
      <c r="Z205" s="881"/>
      <c r="AA205" s="433" t="s">
        <v>844</v>
      </c>
      <c r="AB205" s="883"/>
      <c r="AC205" s="693">
        <v>41736</v>
      </c>
      <c r="AD205" s="883" t="s">
        <v>1042</v>
      </c>
      <c r="AE205" s="682" t="s">
        <v>1082</v>
      </c>
      <c r="AF205" s="686">
        <f>IF(CampList[[#This Row],[Type of Accomodation]]="camp",MAX(0,CampList[[#This Row],[HH]]-SUMIF(Table_Shelter[Pcode],CampList[[#This Row],[CP_Pcode]],Table_Shelter[HH Covered])),0)</f>
        <v>0</v>
      </c>
      <c r="AG205" s="668"/>
      <c r="AH205" s="883">
        <f>MIN(CampList[[#This Row],[Shelter Gap]],CampList[[#This Row],[Land Status]])</f>
        <v>0</v>
      </c>
      <c r="AI205" s="668" t="str">
        <f ca="1">IFERROR(OFFSET(DistanceToCamp[Nearest Town],MATCH(CampList[[#This Row],[CP_Pcode]],DistanceToCamp[CP_Pcode],0)-1,0,1,1),"")</f>
        <v>Puta-O Town</v>
      </c>
      <c r="AJ205" s="936">
        <f ca="1">IFERROR(OFFSET(DistanceToCamp[distance],MATCH(CampList[[#This Row],[CP_Pcode]],DistanceToCamp[CP_Pcode],0)-1,0,1,1),"")</f>
        <v>1.3759254000531889</v>
      </c>
      <c r="AK205" s="957">
        <f ca="1">IFERROR(INT(CampList[[#This Row],[Distance]]/5)+1,"")</f>
        <v>1</v>
      </c>
      <c r="AL205" s="548"/>
      <c r="AM205" s="548"/>
      <c r="AN205" s="548"/>
      <c r="BD205" s="5"/>
      <c r="BE205" s="5"/>
    </row>
    <row r="206" spans="1:57" s="678" customFormat="1" ht="15.6" customHeight="1" x14ac:dyDescent="0.25">
      <c r="A206" s="707" t="s">
        <v>502</v>
      </c>
      <c r="B206" s="216" t="s">
        <v>380</v>
      </c>
      <c r="C206" s="216" t="s">
        <v>527</v>
      </c>
      <c r="D206" s="216" t="s">
        <v>5</v>
      </c>
      <c r="E206" s="216" t="s">
        <v>531</v>
      </c>
      <c r="F206" s="216" t="s">
        <v>302</v>
      </c>
      <c r="G206" s="216" t="s">
        <v>542</v>
      </c>
      <c r="H206" s="679" t="s">
        <v>623</v>
      </c>
      <c r="I206" s="679" t="s">
        <v>624</v>
      </c>
      <c r="J206" s="216"/>
      <c r="K206" s="216"/>
      <c r="L206" s="216" t="s">
        <v>12</v>
      </c>
      <c r="M206" s="216" t="s">
        <v>394</v>
      </c>
      <c r="N206" s="842">
        <v>96.793177</v>
      </c>
      <c r="O206" s="729">
        <v>24.224830999999998</v>
      </c>
      <c r="P206" s="744"/>
      <c r="Q206" s="671">
        <v>9</v>
      </c>
      <c r="R206" s="672">
        <v>30</v>
      </c>
      <c r="S206" s="843">
        <f>IF(CampList[[#This Row],[HH]]&gt;0,CampList[[#This Row],[Total]]/CampList[[#This Row],[HH]],"NA")</f>
        <v>3.3333333333333335</v>
      </c>
      <c r="T206" s="455" t="s">
        <v>513</v>
      </c>
      <c r="U206" s="673" t="s">
        <v>1194</v>
      </c>
      <c r="V206" s="695" t="s">
        <v>12</v>
      </c>
      <c r="W206" s="668" t="s">
        <v>805</v>
      </c>
      <c r="X206" s="898"/>
      <c r="Y206" s="670"/>
      <c r="Z206" s="899"/>
      <c r="AA206" s="675" t="s">
        <v>843</v>
      </c>
      <c r="AB206" s="883"/>
      <c r="AC206" s="693"/>
      <c r="AD206" s="696"/>
      <c r="AE206" s="674" t="s">
        <v>1096</v>
      </c>
      <c r="AF206" s="686">
        <f>IF(CampList[[#This Row],[Type of Accomodation]]="camp",MAX(0,CampList[[#This Row],[HH]]-SUMIF(Table_Shelter[Pcode],CampList[[#This Row],[CP_Pcode]],Table_Shelter[HH Covered])),0)</f>
        <v>0</v>
      </c>
      <c r="AG206" s="668"/>
      <c r="AH206" s="883">
        <f>MIN(CampList[[#This Row],[Shelter Gap]],CampList[[#This Row],[Land Status]])</f>
        <v>0</v>
      </c>
      <c r="AI206" s="668" t="str">
        <f ca="1">IFERROR(OFFSET(DistanceToCamp[Nearest Town],MATCH(CampList[[#This Row],[CP_Pcode]],DistanceToCamp[CP_Pcode],0)-1,0,1,1),"")</f>
        <v>Shwegu Town</v>
      </c>
      <c r="AJ206" s="936">
        <f ca="1">IFERROR(OFFSET(DistanceToCamp[distance],MATCH(CampList[[#This Row],[CP_Pcode]],DistanceToCamp[CP_Pcode],0)-1,0,1,1),"")</f>
        <v>2.3794331620169178</v>
      </c>
      <c r="AK206" s="957">
        <f ca="1">IFERROR(INT(CampList[[#This Row],[Distance]]/5)+1,"")</f>
        <v>1</v>
      </c>
      <c r="AL206" s="548"/>
      <c r="AM206" s="548"/>
      <c r="AN206" s="548"/>
      <c r="BD206" s="5"/>
      <c r="BE206" s="5"/>
    </row>
    <row r="207" spans="1:57" s="678" customFormat="1" ht="15.6" hidden="1" customHeight="1" x14ac:dyDescent="0.25">
      <c r="A207" s="821" t="s">
        <v>845</v>
      </c>
      <c r="B207" s="764" t="s">
        <v>380</v>
      </c>
      <c r="C207" s="764" t="s">
        <v>527</v>
      </c>
      <c r="D207" s="764" t="s">
        <v>180</v>
      </c>
      <c r="E207" s="764" t="s">
        <v>528</v>
      </c>
      <c r="F207" s="764" t="s">
        <v>529</v>
      </c>
      <c r="G207" s="764" t="s">
        <v>530</v>
      </c>
      <c r="H207" s="764"/>
      <c r="I207" s="764"/>
      <c r="J207" s="764"/>
      <c r="K207" s="764"/>
      <c r="L207" s="764" t="s">
        <v>96</v>
      </c>
      <c r="M207" s="764" t="s">
        <v>95</v>
      </c>
      <c r="N207" s="729"/>
      <c r="O207" s="729"/>
      <c r="P207" s="670"/>
      <c r="Q207" s="766">
        <v>0</v>
      </c>
      <c r="R207" s="767">
        <v>0</v>
      </c>
      <c r="S207" s="844" t="str">
        <f>IF(CampList[[#This Row],[HH]]&gt;0,CampList[[#This Row],[Total]]/CampList[[#This Row],[HH]],"NA")</f>
        <v>NA</v>
      </c>
      <c r="T207" s="768" t="s">
        <v>513</v>
      </c>
      <c r="U207" s="769" t="s">
        <v>1194</v>
      </c>
      <c r="V207" s="763" t="s">
        <v>556</v>
      </c>
      <c r="W207" s="769"/>
      <c r="X207" s="886"/>
      <c r="Y207" s="887"/>
      <c r="Z207" s="888"/>
      <c r="AA207" s="785"/>
      <c r="AB207" s="889"/>
      <c r="AC207" s="890"/>
      <c r="AD207" s="891" t="s">
        <v>603</v>
      </c>
      <c r="AE207" s="770" t="s">
        <v>1010</v>
      </c>
      <c r="AF207" s="860">
        <f>IF(CampList[[#This Row],[Type of Accomodation]]="camp",MAX(0,CampList[[#This Row],[HH]]-SUMIF(Table_Shelter[Pcode],CampList[[#This Row],[CP_Pcode]],Table_Shelter[HH Covered])),0)</f>
        <v>0</v>
      </c>
      <c r="AG207" s="763"/>
      <c r="AH207" s="889">
        <f>MIN(CampList[[#This Row],[Shelter Gap]],CampList[[#This Row],[Land Status]])</f>
        <v>0</v>
      </c>
      <c r="AI207" s="763" t="str">
        <f ca="1">IFERROR(OFFSET(DistanceToCamp[Nearest Town],MATCH(CampList[[#This Row],[CP_Pcode]],DistanceToCamp[CP_Pcode],0)-1,0,1,1),"")</f>
        <v/>
      </c>
      <c r="AJ207" s="937" t="str">
        <f ca="1">IFERROR(OFFSET(DistanceToCamp[distance],MATCH(CampList[[#This Row],[CP_Pcode]],DistanceToCamp[CP_Pcode],0)-1,0,1,1),"")</f>
        <v/>
      </c>
      <c r="AK207" s="958" t="str">
        <f ca="1">IFERROR(INT(CampList[[#This Row],[Distance]]/5)+1,"")</f>
        <v/>
      </c>
      <c r="AL207" s="548"/>
      <c r="AM207" s="548"/>
      <c r="AN207" s="548"/>
      <c r="BD207" s="5"/>
      <c r="BE207" s="5"/>
    </row>
    <row r="208" spans="1:57" s="678" customFormat="1" ht="15.6" customHeight="1" x14ac:dyDescent="0.25">
      <c r="A208" s="707" t="s">
        <v>502</v>
      </c>
      <c r="B208" s="216" t="s">
        <v>380</v>
      </c>
      <c r="C208" s="216" t="s">
        <v>527</v>
      </c>
      <c r="D208" s="216" t="s">
        <v>5</v>
      </c>
      <c r="E208" s="216" t="s">
        <v>531</v>
      </c>
      <c r="F208" s="216" t="s">
        <v>302</v>
      </c>
      <c r="G208" s="216" t="s">
        <v>542</v>
      </c>
      <c r="H208" s="971"/>
      <c r="I208" s="971"/>
      <c r="J208" s="971"/>
      <c r="K208" s="971"/>
      <c r="L208" s="216" t="s">
        <v>304</v>
      </c>
      <c r="M208" s="216" t="s">
        <v>303</v>
      </c>
      <c r="N208" s="950"/>
      <c r="O208" s="947"/>
      <c r="P208" s="744"/>
      <c r="Q208" s="671">
        <v>375</v>
      </c>
      <c r="R208" s="672">
        <v>1691</v>
      </c>
      <c r="S208" s="843">
        <f>IF(CampList[[#This Row],[HH]]&gt;0,CampList[[#This Row],[Total]]/CampList[[#This Row],[HH]],"NA")</f>
        <v>4.5093333333333332</v>
      </c>
      <c r="T208" s="455" t="s">
        <v>515</v>
      </c>
      <c r="U208" s="673" t="s">
        <v>1194</v>
      </c>
      <c r="V208" s="668" t="s">
        <v>12</v>
      </c>
      <c r="W208" s="673" t="s">
        <v>858</v>
      </c>
      <c r="X208" s="898">
        <v>41701</v>
      </c>
      <c r="Y208" s="670"/>
      <c r="Z208" s="899"/>
      <c r="AA208" s="685" t="s">
        <v>574</v>
      </c>
      <c r="AB208" s="883"/>
      <c r="AC208" s="693">
        <v>41701</v>
      </c>
      <c r="AD208" s="696" t="s">
        <v>1014</v>
      </c>
      <c r="AE208" s="674" t="s">
        <v>1096</v>
      </c>
      <c r="AF208" s="686">
        <f>IF(CampList[[#This Row],[Type of Accomodation]]="camp",MAX(0,CampList[[#This Row],[HH]]-SUMIF(Table_Shelter[Pcode],CampList[[#This Row],[CP_Pcode]],Table_Shelter[HH Covered])),0)</f>
        <v>0</v>
      </c>
      <c r="AG208" s="668"/>
      <c r="AH208" s="883">
        <f>MIN(CampList[[#This Row],[Shelter Gap]],CampList[[#This Row],[Land Status]])</f>
        <v>0</v>
      </c>
      <c r="AI208" s="668" t="str">
        <f ca="1">IFERROR(OFFSET(DistanceToCamp[Nearest Town],MATCH(CampList[[#This Row],[CP_Pcode]],DistanceToCamp[CP_Pcode],0)-1,0,1,1),"")</f>
        <v/>
      </c>
      <c r="AJ208" s="936" t="str">
        <f ca="1">IFERROR(OFFSET(DistanceToCamp[distance],MATCH(CampList[[#This Row],[CP_Pcode]],DistanceToCamp[CP_Pcode],0)-1,0,1,1),"")</f>
        <v/>
      </c>
      <c r="AK208" s="957" t="str">
        <f ca="1">IFERROR(INT(CampList[[#This Row],[Distance]]/5)+1,"")</f>
        <v/>
      </c>
      <c r="AL208" s="548"/>
      <c r="AM208" s="548"/>
      <c r="AN208" s="548"/>
      <c r="BD208" s="5"/>
      <c r="BE208" s="5"/>
    </row>
    <row r="209" spans="1:57" s="678" customFormat="1" ht="15.6" customHeight="1" x14ac:dyDescent="0.25">
      <c r="A209" s="827" t="s">
        <v>502</v>
      </c>
      <c r="B209" s="764" t="s">
        <v>380</v>
      </c>
      <c r="C209" s="764" t="s">
        <v>527</v>
      </c>
      <c r="D209" s="764" t="s">
        <v>5</v>
      </c>
      <c r="E209" s="764" t="s">
        <v>531</v>
      </c>
      <c r="F209" s="764" t="s">
        <v>302</v>
      </c>
      <c r="G209" s="764" t="s">
        <v>542</v>
      </c>
      <c r="H209" s="794" t="s">
        <v>623</v>
      </c>
      <c r="I209" s="794" t="s">
        <v>624</v>
      </c>
      <c r="J209" s="794" t="s">
        <v>623</v>
      </c>
      <c r="K209" s="794" t="s">
        <v>625</v>
      </c>
      <c r="L209" s="824" t="s">
        <v>306</v>
      </c>
      <c r="M209" s="764" t="s">
        <v>305</v>
      </c>
      <c r="N209" s="729">
        <v>96.807353000000006</v>
      </c>
      <c r="O209" s="729">
        <v>24.200361000000001</v>
      </c>
      <c r="P209" s="680">
        <v>0</v>
      </c>
      <c r="Q209" s="795">
        <v>86</v>
      </c>
      <c r="R209" s="795">
        <v>309</v>
      </c>
      <c r="S209" s="844">
        <f>IF(CampList[[#This Row],[HH]]&gt;0,CampList[[#This Row],[Total]]/CampList[[#This Row],[HH]],"NA")</f>
        <v>3.5930232558139537</v>
      </c>
      <c r="T209" s="768" t="s">
        <v>513</v>
      </c>
      <c r="U209" s="769" t="s">
        <v>1194</v>
      </c>
      <c r="V209" s="763" t="s">
        <v>556</v>
      </c>
      <c r="W209" s="769" t="s">
        <v>805</v>
      </c>
      <c r="X209" s="918">
        <v>40725</v>
      </c>
      <c r="Y209" s="919">
        <v>1</v>
      </c>
      <c r="Z209" s="918" t="s">
        <v>462</v>
      </c>
      <c r="AA209" s="810" t="s">
        <v>844</v>
      </c>
      <c r="AB209" s="889"/>
      <c r="AC209" s="912">
        <v>42536</v>
      </c>
      <c r="AD209" s="904" t="s">
        <v>1446</v>
      </c>
      <c r="AE209" s="798" t="s">
        <v>1096</v>
      </c>
      <c r="AF209" s="860">
        <f>IF(CampList[[#This Row],[Type of Accomodation]]="camp",MAX(0,CampList[[#This Row],[HH]]-SUMIF(Table_Shelter[Pcode],CampList[[#This Row],[CP_Pcode]],Table_Shelter[HH Covered])),0)</f>
        <v>44</v>
      </c>
      <c r="AG209" s="763"/>
      <c r="AH209" s="889">
        <f>MIN(CampList[[#This Row],[Shelter Gap]],CampList[[#This Row],[Land Status]])</f>
        <v>44</v>
      </c>
      <c r="AI209" s="763" t="str">
        <f ca="1">IFERROR(OFFSET(DistanceToCamp[Nearest Town],MATCH(CampList[[#This Row],[CP_Pcode]],DistanceToCamp[CP_Pcode],0)-1,0,1,1),"")</f>
        <v>Shwegu Town</v>
      </c>
      <c r="AJ209" s="937">
        <f ca="1">IFERROR(OFFSET(DistanceToCamp[distance],MATCH(CampList[[#This Row],[CP_Pcode]],DistanceToCamp[CP_Pcode],0)-1,0,1,1),"")</f>
        <v>0.74396039478864395</v>
      </c>
      <c r="AK209" s="958">
        <f ca="1">IFERROR(INT(CampList[[#This Row],[Distance]]/5)+1,"")</f>
        <v>1</v>
      </c>
      <c r="AL209" s="548"/>
      <c r="AM209" s="548"/>
      <c r="AN209" s="548"/>
      <c r="BD209" s="5"/>
      <c r="BE209" s="5"/>
    </row>
    <row r="210" spans="1:57" s="678" customFormat="1" ht="15.6" customHeight="1" x14ac:dyDescent="0.25">
      <c r="A210" s="829" t="s">
        <v>502</v>
      </c>
      <c r="B210" s="677" t="s">
        <v>380</v>
      </c>
      <c r="C210" s="677" t="s">
        <v>527</v>
      </c>
      <c r="D210" s="677" t="s">
        <v>5</v>
      </c>
      <c r="E210" s="677" t="s">
        <v>531</v>
      </c>
      <c r="F210" s="677" t="s">
        <v>302</v>
      </c>
      <c r="G210" s="677" t="s">
        <v>542</v>
      </c>
      <c r="H210" s="677" t="s">
        <v>623</v>
      </c>
      <c r="I210" s="689" t="s">
        <v>624</v>
      </c>
      <c r="J210" s="677" t="s">
        <v>623</v>
      </c>
      <c r="K210" s="677" t="s">
        <v>625</v>
      </c>
      <c r="L210" s="677" t="s">
        <v>308</v>
      </c>
      <c r="M210" s="677" t="s">
        <v>307</v>
      </c>
      <c r="N210" s="847">
        <v>96.807353000000006</v>
      </c>
      <c r="O210" s="681">
        <v>24.200367</v>
      </c>
      <c r="P210" s="744"/>
      <c r="Q210" s="681">
        <v>41</v>
      </c>
      <c r="R210" s="687">
        <v>152</v>
      </c>
      <c r="S210" s="843">
        <f>IF(CampList[[#This Row],[HH]]&gt;0,CampList[[#This Row],[Total]]/CampList[[#This Row],[HH]],"NA")</f>
        <v>3.7073170731707319</v>
      </c>
      <c r="T210" s="420" t="s">
        <v>513</v>
      </c>
      <c r="U210" s="455" t="s">
        <v>1194</v>
      </c>
      <c r="V210" s="420" t="s">
        <v>556</v>
      </c>
      <c r="W210" s="686" t="s">
        <v>805</v>
      </c>
      <c r="X210" s="905">
        <v>40725</v>
      </c>
      <c r="Y210" s="670">
        <v>2</v>
      </c>
      <c r="Z210" s="670" t="s">
        <v>1092</v>
      </c>
      <c r="AA210" s="681" t="s">
        <v>844</v>
      </c>
      <c r="AB210" s="907"/>
      <c r="AC210" s="693">
        <v>42397</v>
      </c>
      <c r="AD210" s="726" t="s">
        <v>1341</v>
      </c>
      <c r="AE210" s="690" t="s">
        <v>1096</v>
      </c>
      <c r="AF210" s="732">
        <f>IF(CampList[[#This Row],[Type of Accomodation]]="camp",MAX(0,CampList[[#This Row],[HH]]-SUMIF(Table_Shelter[Pcode],CampList[[#This Row],[CP_Pcode]],Table_Shelter[HH Covered])),0)</f>
        <v>0</v>
      </c>
      <c r="AG210" s="686"/>
      <c r="AH210" s="692">
        <f>MIN(CampList[[#This Row],[Shelter Gap]],CampList[[#This Row],[Land Status]])</f>
        <v>0</v>
      </c>
      <c r="AI210" s="732" t="str">
        <f ca="1">IFERROR(OFFSET(DistanceToCamp[Nearest Town],MATCH(CampList[[#This Row],[CP_Pcode]],DistanceToCamp[CP_Pcode],0)-1,0,1,1),"")</f>
        <v>Shwegu Town</v>
      </c>
      <c r="AJ210" s="936">
        <f ca="1">IFERROR(OFFSET(DistanceToCamp[distance],MATCH(CampList[[#This Row],[CP_Pcode]],DistanceToCamp[CP_Pcode],0)-1,0,1,1),"")</f>
        <v>0.74330366237812662</v>
      </c>
      <c r="AK210" s="956">
        <f ca="1">IFERROR(INT(CampList[[#This Row],[Distance]]/5)+1,"")</f>
        <v>1</v>
      </c>
      <c r="AL210" s="548"/>
      <c r="AM210" s="548"/>
      <c r="AN210" s="548"/>
      <c r="BD210" s="5"/>
      <c r="BE210" s="5"/>
    </row>
    <row r="211" spans="1:57" s="678" customFormat="1" ht="15.6" customHeight="1" x14ac:dyDescent="0.25">
      <c r="A211" s="825" t="s">
        <v>502</v>
      </c>
      <c r="B211" s="677" t="s">
        <v>380</v>
      </c>
      <c r="C211" s="216" t="s">
        <v>527</v>
      </c>
      <c r="D211" s="216" t="s">
        <v>300</v>
      </c>
      <c r="E211" s="216" t="s">
        <v>548</v>
      </c>
      <c r="F211" s="216" t="s">
        <v>810</v>
      </c>
      <c r="G211" s="216" t="s">
        <v>811</v>
      </c>
      <c r="H211" s="677"/>
      <c r="I211" s="689"/>
      <c r="J211" s="677"/>
      <c r="K211" s="677"/>
      <c r="L211" s="216" t="s">
        <v>1302</v>
      </c>
      <c r="M211" s="677" t="s">
        <v>1303</v>
      </c>
      <c r="N211" s="851">
        <v>97.745480999999998</v>
      </c>
      <c r="O211" s="852">
        <v>26.569633</v>
      </c>
      <c r="P211" s="745"/>
      <c r="Q211" s="681">
        <v>161</v>
      </c>
      <c r="R211" s="687">
        <v>711</v>
      </c>
      <c r="S211" s="843">
        <f>IF(CampList[[#This Row],[HH]]&gt;0,CampList[[#This Row],[Total]]/CampList[[#This Row],[HH]],"NA")</f>
        <v>4.4161490683229809</v>
      </c>
      <c r="T211" s="420" t="s">
        <v>513</v>
      </c>
      <c r="U211" s="455" t="s">
        <v>1194</v>
      </c>
      <c r="V211" s="420" t="s">
        <v>556</v>
      </c>
      <c r="W211" s="686"/>
      <c r="X211" s="905"/>
      <c r="Y211" s="687"/>
      <c r="Z211" s="687"/>
      <c r="AA211" s="681"/>
      <c r="AB211" s="907"/>
      <c r="AC211" s="693">
        <v>42279</v>
      </c>
      <c r="AD211" s="693" t="s">
        <v>1304</v>
      </c>
      <c r="AE211" s="690"/>
      <c r="AF211" s="732">
        <f>IF(CampList[[#This Row],[Type of Accomodation]]="camp",MAX(0,CampList[[#This Row],[HH]]-SUMIF(Table_Shelter[Pcode],CampList[[#This Row],[CP_Pcode]],Table_Shelter[HH Covered])),0)</f>
        <v>161</v>
      </c>
      <c r="AG211" s="686"/>
      <c r="AH211" s="692">
        <f>MIN(CampList[[#This Row],[Shelter Gap]],CampList[[#This Row],[Land Status]])</f>
        <v>161</v>
      </c>
      <c r="AI211" s="732" t="str">
        <f ca="1">IFERROR(OFFSET(DistanceToCamp[Nearest Town],MATCH(CampList[[#This Row],[CP_Pcode]],DistanceToCamp[CP_Pcode],0)-1,0,1,1),"")</f>
        <v/>
      </c>
      <c r="AJ211" s="936" t="str">
        <f ca="1">IFERROR(OFFSET(DistanceToCamp[distance],MATCH(CampList[[#This Row],[CP_Pcode]],DistanceToCamp[CP_Pcode],0)-1,0,1,1),"")</f>
        <v/>
      </c>
      <c r="AK211" s="956" t="str">
        <f ca="1">IFERROR(INT(CampList[[#This Row],[Distance]]/5)+1,"")</f>
        <v/>
      </c>
      <c r="AL211" s="548"/>
      <c r="AM211" s="548"/>
      <c r="AN211" s="548"/>
      <c r="BD211" s="5"/>
      <c r="BE211" s="5"/>
    </row>
    <row r="212" spans="1:57" s="678" customFormat="1" ht="15.6" customHeight="1" x14ac:dyDescent="0.25">
      <c r="A212" s="825" t="s">
        <v>502</v>
      </c>
      <c r="B212" s="677" t="s">
        <v>380</v>
      </c>
      <c r="C212" s="216" t="s">
        <v>527</v>
      </c>
      <c r="D212" s="216" t="s">
        <v>300</v>
      </c>
      <c r="E212" s="216" t="s">
        <v>548</v>
      </c>
      <c r="F212" s="216" t="s">
        <v>810</v>
      </c>
      <c r="G212" s="216" t="s">
        <v>811</v>
      </c>
      <c r="H212" s="677"/>
      <c r="I212" s="689"/>
      <c r="J212" s="677"/>
      <c r="K212" s="677"/>
      <c r="L212" s="677" t="s">
        <v>1305</v>
      </c>
      <c r="M212" s="677" t="s">
        <v>1306</v>
      </c>
      <c r="N212" s="851">
        <v>97.75609</v>
      </c>
      <c r="O212" s="852">
        <v>26.548506</v>
      </c>
      <c r="P212" s="745"/>
      <c r="Q212" s="681"/>
      <c r="R212" s="687">
        <v>489</v>
      </c>
      <c r="S212" s="843" t="str">
        <f>IF(CampList[[#This Row],[HH]]&gt;0,CampList[[#This Row],[Total]]/CampList[[#This Row],[HH]],"NA")</f>
        <v>NA</v>
      </c>
      <c r="T212" s="420" t="s">
        <v>513</v>
      </c>
      <c r="U212" s="455" t="s">
        <v>1194</v>
      </c>
      <c r="V212" s="420" t="s">
        <v>556</v>
      </c>
      <c r="W212" s="686"/>
      <c r="X212" s="905"/>
      <c r="Y212" s="687"/>
      <c r="Z212" s="687"/>
      <c r="AA212" s="681"/>
      <c r="AB212" s="907"/>
      <c r="AC212" s="693">
        <v>42279</v>
      </c>
      <c r="AD212" s="693" t="s">
        <v>1304</v>
      </c>
      <c r="AE212" s="690"/>
      <c r="AF212" s="732">
        <f>IF(CampList[[#This Row],[Type of Accomodation]]="camp",MAX(0,CampList[[#This Row],[HH]]-SUMIF(Table_Shelter[Pcode],CampList[[#This Row],[CP_Pcode]],Table_Shelter[HH Covered])),0)</f>
        <v>0</v>
      </c>
      <c r="AG212" s="686"/>
      <c r="AH212" s="692">
        <f>MIN(CampList[[#This Row],[Shelter Gap]],CampList[[#This Row],[Land Status]])</f>
        <v>0</v>
      </c>
      <c r="AI212" s="732" t="str">
        <f ca="1">IFERROR(OFFSET(DistanceToCamp[Nearest Town],MATCH(CampList[[#This Row],[CP_Pcode]],DistanceToCamp[CP_Pcode],0)-1,0,1,1),"")</f>
        <v/>
      </c>
      <c r="AJ212" s="936" t="str">
        <f ca="1">IFERROR(OFFSET(DistanceToCamp[distance],MATCH(CampList[[#This Row],[CP_Pcode]],DistanceToCamp[CP_Pcode],0)-1,0,1,1),"")</f>
        <v/>
      </c>
      <c r="AK212" s="956" t="str">
        <f ca="1">IFERROR(INT(CampList[[#This Row],[Distance]]/5)+1,"")</f>
        <v/>
      </c>
      <c r="AL212" s="548"/>
      <c r="AM212" s="548"/>
      <c r="AN212" s="548"/>
      <c r="BD212" s="5"/>
      <c r="BE212" s="5"/>
    </row>
    <row r="213" spans="1:57" s="678" customFormat="1" ht="15.6" customHeight="1" x14ac:dyDescent="0.25">
      <c r="A213" s="707" t="s">
        <v>502</v>
      </c>
      <c r="B213" s="216" t="s">
        <v>380</v>
      </c>
      <c r="C213" s="216" t="s">
        <v>527</v>
      </c>
      <c r="D213" s="216" t="s">
        <v>300</v>
      </c>
      <c r="E213" s="216" t="s">
        <v>548</v>
      </c>
      <c r="F213" s="216" t="s">
        <v>810</v>
      </c>
      <c r="G213" s="216" t="s">
        <v>811</v>
      </c>
      <c r="H213" s="679" t="s">
        <v>812</v>
      </c>
      <c r="I213" s="679" t="s">
        <v>813</v>
      </c>
      <c r="J213" s="679"/>
      <c r="K213" s="679"/>
      <c r="L213" s="216" t="s">
        <v>810</v>
      </c>
      <c r="M213" s="216" t="s">
        <v>814</v>
      </c>
      <c r="N213" s="855">
        <v>97.568836000000005</v>
      </c>
      <c r="O213" s="856">
        <v>26.541930000000001</v>
      </c>
      <c r="P213" s="746">
        <v>1025</v>
      </c>
      <c r="Q213" s="692">
        <v>5</v>
      </c>
      <c r="R213" s="687">
        <v>32</v>
      </c>
      <c r="S213" s="843">
        <f>IF(CampList[[#This Row],[HH]]&gt;0,CampList[[#This Row],[Total]]/CampList[[#This Row],[HH]],"NA")</f>
        <v>6.4</v>
      </c>
      <c r="T213" s="455" t="s">
        <v>513</v>
      </c>
      <c r="U213" s="673" t="s">
        <v>1194</v>
      </c>
      <c r="V213" s="668" t="s">
        <v>556</v>
      </c>
      <c r="W213" s="673" t="s">
        <v>858</v>
      </c>
      <c r="X213" s="881"/>
      <c r="Y213" s="882"/>
      <c r="Z213" s="881"/>
      <c r="AA213" s="433" t="s">
        <v>843</v>
      </c>
      <c r="AB213" s="883"/>
      <c r="AC213" s="693"/>
      <c r="AD213" s="883" t="s">
        <v>603</v>
      </c>
      <c r="AE213" s="682" t="s">
        <v>1096</v>
      </c>
      <c r="AF213" s="686">
        <f>IF(CampList[[#This Row],[Type of Accomodation]]="camp",MAX(0,CampList[[#This Row],[HH]]-SUMIF(Table_Shelter[Pcode],CampList[[#This Row],[CP_Pcode]],Table_Shelter[HH Covered])),0)</f>
        <v>5</v>
      </c>
      <c r="AG213" s="668"/>
      <c r="AH213" s="883">
        <f>MIN(CampList[[#This Row],[Shelter Gap]],CampList[[#This Row],[Land Status]])</f>
        <v>5</v>
      </c>
      <c r="AI213" s="668" t="str">
        <f ca="1">IFERROR(OFFSET(DistanceToCamp[Nearest Town],MATCH(CampList[[#This Row],[CP_Pcode]],DistanceToCamp[CP_Pcode],0)-1,0,1,1),"")</f>
        <v>Sumprabum Town</v>
      </c>
      <c r="AJ213" s="936">
        <f ca="1">IFERROR(OFFSET(DistanceToCamp[distance],MATCH(CampList[[#This Row],[CP_Pcode]],DistanceToCamp[CP_Pcode],0)-1,0,1,1),"")</f>
        <v>0.23004407510846425</v>
      </c>
      <c r="AK213" s="957">
        <f ca="1">IFERROR(INT(CampList[[#This Row],[Distance]]/5)+1,"")</f>
        <v>1</v>
      </c>
      <c r="AL213" s="548"/>
      <c r="AM213" s="548"/>
      <c r="AN213" s="548"/>
      <c r="BD213" s="5"/>
      <c r="BE213" s="5"/>
    </row>
    <row r="214" spans="1:57" s="706" customFormat="1" ht="15.6" customHeight="1" x14ac:dyDescent="0.25">
      <c r="A214" s="707" t="s">
        <v>502</v>
      </c>
      <c r="B214" s="216" t="s">
        <v>380</v>
      </c>
      <c r="C214" s="216" t="s">
        <v>527</v>
      </c>
      <c r="D214" s="216" t="s">
        <v>237</v>
      </c>
      <c r="E214" s="216" t="s">
        <v>533</v>
      </c>
      <c r="F214" s="216" t="s">
        <v>310</v>
      </c>
      <c r="G214" s="216" t="s">
        <v>534</v>
      </c>
      <c r="H214" s="679" t="s">
        <v>721</v>
      </c>
      <c r="I214" s="679" t="s">
        <v>722</v>
      </c>
      <c r="J214" s="679" t="s">
        <v>723</v>
      </c>
      <c r="K214" s="679">
        <v>165730</v>
      </c>
      <c r="L214" s="435" t="s">
        <v>320</v>
      </c>
      <c r="M214" s="216" t="s">
        <v>319</v>
      </c>
      <c r="N214" s="842">
        <v>97.451965000000001</v>
      </c>
      <c r="O214" s="729">
        <v>25.356632000000001</v>
      </c>
      <c r="P214" s="743">
        <v>0</v>
      </c>
      <c r="Q214" s="657">
        <v>22</v>
      </c>
      <c r="R214" s="681">
        <v>128</v>
      </c>
      <c r="S214" s="843">
        <f>IF(CampList[[#This Row],[HH]]&gt;0,CampList[[#This Row],[Total]]/CampList[[#This Row],[HH]],"NA")</f>
        <v>5.8181818181818183</v>
      </c>
      <c r="T214" s="455" t="s">
        <v>513</v>
      </c>
      <c r="U214" s="673" t="s">
        <v>1194</v>
      </c>
      <c r="V214" s="668" t="s">
        <v>556</v>
      </c>
      <c r="W214" s="668" t="s">
        <v>805</v>
      </c>
      <c r="X214" s="881">
        <v>41030</v>
      </c>
      <c r="Y214" s="882">
        <v>1</v>
      </c>
      <c r="Z214" s="881" t="s">
        <v>462</v>
      </c>
      <c r="AA214" s="683" t="s">
        <v>844</v>
      </c>
      <c r="AB214" s="883"/>
      <c r="AC214" s="693">
        <v>42536</v>
      </c>
      <c r="AD214" s="885" t="s">
        <v>1441</v>
      </c>
      <c r="AE214" s="682" t="s">
        <v>1096</v>
      </c>
      <c r="AF214" s="686">
        <f>IF(CampList[[#This Row],[Type of Accomodation]]="camp",MAX(0,CampList[[#This Row],[HH]]-SUMIF(Table_Shelter[Pcode],CampList[[#This Row],[CP_Pcode]],Table_Shelter[HH Covered])),0)</f>
        <v>0</v>
      </c>
      <c r="AG214" s="668"/>
      <c r="AH214" s="883">
        <f>MIN(CampList[[#This Row],[Shelter Gap]],CampList[[#This Row],[Land Status]])</f>
        <v>0</v>
      </c>
      <c r="AI214" s="668" t="str">
        <f ca="1">IFERROR(OFFSET(DistanceToCamp[Nearest Town],MATCH(CampList[[#This Row],[CP_Pcode]],DistanceToCamp[CP_Pcode],0)-1,0,1,1),"")</f>
        <v>Waingmaw Town</v>
      </c>
      <c r="AJ214" s="936">
        <f ca="1">IFERROR(OFFSET(DistanceToCamp[distance],MATCH(CampList[[#This Row],[CP_Pcode]],DistanceToCamp[CP_Pcode],0)-1,0,1,1),"")</f>
        <v>1.1134935940025397</v>
      </c>
      <c r="AK214" s="957">
        <f ca="1">IFERROR(INT(CampList[[#This Row],[Distance]]/5)+1,"")</f>
        <v>1</v>
      </c>
      <c r="AL214" s="549"/>
      <c r="AM214" s="549"/>
      <c r="AN214" s="549"/>
      <c r="AY214" s="522"/>
      <c r="AZ214" s="522"/>
    </row>
    <row r="215" spans="1:57" s="706" customFormat="1" ht="15.6" customHeight="1" x14ac:dyDescent="0.25">
      <c r="A215" s="707" t="s">
        <v>502</v>
      </c>
      <c r="B215" s="216" t="s">
        <v>380</v>
      </c>
      <c r="C215" s="216" t="s">
        <v>527</v>
      </c>
      <c r="D215" s="216" t="s">
        <v>237</v>
      </c>
      <c r="E215" s="216" t="s">
        <v>533</v>
      </c>
      <c r="F215" s="216" t="s">
        <v>310</v>
      </c>
      <c r="G215" s="216" t="s">
        <v>534</v>
      </c>
      <c r="H215" s="679" t="s">
        <v>626</v>
      </c>
      <c r="I215" s="216" t="s">
        <v>627</v>
      </c>
      <c r="J215" s="679" t="s">
        <v>626</v>
      </c>
      <c r="K215" s="679">
        <v>165735</v>
      </c>
      <c r="L215" s="216" t="s">
        <v>313</v>
      </c>
      <c r="M215" s="216" t="s">
        <v>312</v>
      </c>
      <c r="N215" s="842">
        <v>97.404195925926004</v>
      </c>
      <c r="O215" s="729">
        <v>25.321710740740698</v>
      </c>
      <c r="P215" s="743">
        <v>0</v>
      </c>
      <c r="Q215" s="671">
        <v>99</v>
      </c>
      <c r="R215" s="672">
        <v>480</v>
      </c>
      <c r="S215" s="843">
        <f>IF(CampList[[#This Row],[HH]]&gt;0,CampList[[#This Row],[Total]]/CampList[[#This Row],[HH]],"NA")</f>
        <v>4.8484848484848486</v>
      </c>
      <c r="T215" s="455" t="s">
        <v>513</v>
      </c>
      <c r="U215" s="673" t="s">
        <v>1194</v>
      </c>
      <c r="V215" s="668" t="s">
        <v>556</v>
      </c>
      <c r="W215" s="673" t="s">
        <v>858</v>
      </c>
      <c r="X215" s="881">
        <v>40695</v>
      </c>
      <c r="Y215" s="882">
        <v>2</v>
      </c>
      <c r="Z215" s="881" t="s">
        <v>507</v>
      </c>
      <c r="AA215" s="684" t="s">
        <v>844</v>
      </c>
      <c r="AB215" s="883"/>
      <c r="AC215" s="693">
        <v>42537</v>
      </c>
      <c r="AD215" s="885" t="s">
        <v>1494</v>
      </c>
      <c r="AE215" s="682" t="s">
        <v>1096</v>
      </c>
      <c r="AF215" s="686">
        <f>IF(CampList[[#This Row],[Type of Accomodation]]="camp",MAX(0,CampList[[#This Row],[HH]]-SUMIF(Table_Shelter[Pcode],CampList[[#This Row],[CP_Pcode]],Table_Shelter[HH Covered])),0)</f>
        <v>0</v>
      </c>
      <c r="AG215" s="668"/>
      <c r="AH215" s="883">
        <f>MIN(CampList[[#This Row],[Shelter Gap]],CampList[[#This Row],[Land Status]])</f>
        <v>0</v>
      </c>
      <c r="AI215" s="668" t="str">
        <f ca="1">IFERROR(OFFSET(DistanceToCamp[Nearest Town],MATCH(CampList[[#This Row],[CP_Pcode]],DistanceToCamp[CP_Pcode],0)-1,0,1,1),"")</f>
        <v>Waingmaw Town</v>
      </c>
      <c r="AJ215" s="936">
        <f ca="1">IFERROR(OFFSET(DistanceToCamp[distance],MATCH(CampList[[#This Row],[CP_Pcode]],DistanceToCamp[CP_Pcode],0)-1,0,1,1),"")</f>
        <v>5.0655036329811631</v>
      </c>
      <c r="AK215" s="957">
        <f ca="1">IFERROR(INT(CampList[[#This Row],[Distance]]/5)+1,"")</f>
        <v>2</v>
      </c>
      <c r="AL215" s="549"/>
      <c r="AM215" s="549"/>
      <c r="AN215" s="549"/>
      <c r="AY215" s="522"/>
      <c r="AZ215" s="522"/>
    </row>
    <row r="216" spans="1:57" s="706" customFormat="1" ht="15.6" customHeight="1" x14ac:dyDescent="0.25">
      <c r="A216" s="707" t="s">
        <v>502</v>
      </c>
      <c r="B216" s="216" t="s">
        <v>380</v>
      </c>
      <c r="C216" s="216" t="s">
        <v>527</v>
      </c>
      <c r="D216" s="216" t="s">
        <v>237</v>
      </c>
      <c r="E216" s="216" t="s">
        <v>533</v>
      </c>
      <c r="F216" s="216" t="s">
        <v>310</v>
      </c>
      <c r="G216" s="216" t="s">
        <v>534</v>
      </c>
      <c r="H216" s="679" t="s">
        <v>695</v>
      </c>
      <c r="I216" s="679" t="s">
        <v>696</v>
      </c>
      <c r="J216" s="679" t="s">
        <v>695</v>
      </c>
      <c r="K216" s="679">
        <v>165740</v>
      </c>
      <c r="L216" s="435" t="s">
        <v>326</v>
      </c>
      <c r="M216" s="216" t="s">
        <v>325</v>
      </c>
      <c r="N216" s="842">
        <v>97.426536944444507</v>
      </c>
      <c r="O216" s="729">
        <v>25.409612685185198</v>
      </c>
      <c r="P216" s="743">
        <v>0</v>
      </c>
      <c r="Q216" s="681">
        <v>46</v>
      </c>
      <c r="R216" s="681">
        <v>192</v>
      </c>
      <c r="S216" s="843">
        <f>IF(CampList[[#This Row],[HH]]&gt;0,CampList[[#This Row],[Total]]/CampList[[#This Row],[HH]],"NA")</f>
        <v>4.1739130434782608</v>
      </c>
      <c r="T216" s="455" t="s">
        <v>513</v>
      </c>
      <c r="U216" s="673" t="s">
        <v>1194</v>
      </c>
      <c r="V216" s="668" t="s">
        <v>556</v>
      </c>
      <c r="W216" s="673" t="s">
        <v>805</v>
      </c>
      <c r="X216" s="881">
        <v>40878</v>
      </c>
      <c r="Y216" s="882">
        <v>1</v>
      </c>
      <c r="Z216" s="881" t="s">
        <v>462</v>
      </c>
      <c r="AA216" s="683" t="s">
        <v>844</v>
      </c>
      <c r="AB216" s="883"/>
      <c r="AC216" s="693">
        <v>42536</v>
      </c>
      <c r="AD216" s="885" t="s">
        <v>1442</v>
      </c>
      <c r="AE216" s="682" t="s">
        <v>1096</v>
      </c>
      <c r="AF216" s="686">
        <f>IF(CampList[[#This Row],[Type of Accomodation]]="camp",MAX(0,CampList[[#This Row],[HH]]-SUMIF(Table_Shelter[Pcode],CampList[[#This Row],[CP_Pcode]],Table_Shelter[HH Covered])),0)</f>
        <v>6</v>
      </c>
      <c r="AG216" s="668"/>
      <c r="AH216" s="883">
        <f>MIN(CampList[[#This Row],[Shelter Gap]],CampList[[#This Row],[Land Status]])</f>
        <v>6</v>
      </c>
      <c r="AI216" s="668" t="str">
        <f ca="1">IFERROR(OFFSET(DistanceToCamp[Nearest Town],MATCH(CampList[[#This Row],[CP_Pcode]],DistanceToCamp[CP_Pcode],0)-1,0,1,1),"")</f>
        <v>Myitkyina Town</v>
      </c>
      <c r="AJ216" s="936">
        <f ca="1">IFERROR(OFFSET(DistanceToCamp[distance],MATCH(CampList[[#This Row],[CP_Pcode]],DistanceToCamp[CP_Pcode],0)-1,0,1,1),"")</f>
        <v>4.3887485673235673</v>
      </c>
      <c r="AK216" s="957">
        <f ca="1">IFERROR(INT(CampList[[#This Row],[Distance]]/5)+1,"")</f>
        <v>1</v>
      </c>
      <c r="AL216" s="549"/>
      <c r="AM216" s="549"/>
      <c r="AN216" s="549"/>
      <c r="AY216" s="522"/>
      <c r="AZ216" s="522"/>
    </row>
    <row r="217" spans="1:57" s="706" customFormat="1" ht="15.6" customHeight="1" x14ac:dyDescent="0.25">
      <c r="A217" s="707" t="s">
        <v>502</v>
      </c>
      <c r="B217" s="216" t="s">
        <v>380</v>
      </c>
      <c r="C217" s="216" t="s">
        <v>527</v>
      </c>
      <c r="D217" s="216" t="s">
        <v>237</v>
      </c>
      <c r="E217" s="216" t="s">
        <v>533</v>
      </c>
      <c r="F217" s="216" t="s">
        <v>310</v>
      </c>
      <c r="G217" s="216" t="s">
        <v>534</v>
      </c>
      <c r="H217" s="679" t="s">
        <v>695</v>
      </c>
      <c r="I217" s="679" t="s">
        <v>696</v>
      </c>
      <c r="J217" s="679" t="s">
        <v>695</v>
      </c>
      <c r="K217" s="679">
        <v>165740</v>
      </c>
      <c r="L217" s="435" t="s">
        <v>324</v>
      </c>
      <c r="M217" s="216" t="s">
        <v>323</v>
      </c>
      <c r="N217" s="842">
        <v>97.434855869565197</v>
      </c>
      <c r="O217" s="729">
        <v>25.4118005797101</v>
      </c>
      <c r="P217" s="743">
        <v>0</v>
      </c>
      <c r="Q217" s="681">
        <v>396</v>
      </c>
      <c r="R217" s="681">
        <v>2120</v>
      </c>
      <c r="S217" s="843">
        <f>IF(CampList[[#This Row],[HH]]&gt;0,CampList[[#This Row],[Total]]/CampList[[#This Row],[HH]],"NA")</f>
        <v>5.3535353535353538</v>
      </c>
      <c r="T217" s="455" t="s">
        <v>513</v>
      </c>
      <c r="U217" s="673" t="s">
        <v>1194</v>
      </c>
      <c r="V217" s="668" t="s">
        <v>556</v>
      </c>
      <c r="W217" s="673" t="s">
        <v>858</v>
      </c>
      <c r="X217" s="881">
        <v>41061</v>
      </c>
      <c r="Y217" s="882">
        <v>3</v>
      </c>
      <c r="Z217" s="881" t="s">
        <v>462</v>
      </c>
      <c r="AA217" s="683" t="s">
        <v>844</v>
      </c>
      <c r="AB217" s="883"/>
      <c r="AC217" s="693">
        <v>42536</v>
      </c>
      <c r="AD217" s="885" t="s">
        <v>1442</v>
      </c>
      <c r="AE217" s="682" t="s">
        <v>1096</v>
      </c>
      <c r="AF217" s="686">
        <f>IF(CampList[[#This Row],[Type of Accomodation]]="camp",MAX(0,CampList[[#This Row],[HH]]-SUMIF(Table_Shelter[Pcode],CampList[[#This Row],[CP_Pcode]],Table_Shelter[HH Covered])),0)</f>
        <v>0</v>
      </c>
      <c r="AG217" s="668"/>
      <c r="AH217" s="883">
        <f>MIN(CampList[[#This Row],[Shelter Gap]],CampList[[#This Row],[Land Status]])</f>
        <v>0</v>
      </c>
      <c r="AI217" s="668" t="str">
        <f ca="1">IFERROR(OFFSET(DistanceToCamp[Nearest Town],MATCH(CampList[[#This Row],[CP_Pcode]],DistanceToCamp[CP_Pcode],0)-1,0,1,1),"")</f>
        <v>Myitkyina Town</v>
      </c>
      <c r="AJ217" s="936">
        <f ca="1">IFERROR(OFFSET(DistanceToCamp[distance],MATCH(CampList[[#This Row],[CP_Pcode]],DistanceToCamp[CP_Pcode],0)-1,0,1,1),"")</f>
        <v>5.2238983299151851</v>
      </c>
      <c r="AK217" s="957">
        <f ca="1">IFERROR(INT(CampList[[#This Row],[Distance]]/5)+1,"")</f>
        <v>2</v>
      </c>
      <c r="AL217" s="549"/>
      <c r="AM217" s="549"/>
      <c r="AN217" s="549"/>
      <c r="AY217" s="522"/>
      <c r="AZ217" s="522"/>
    </row>
    <row r="218" spans="1:57" s="706" customFormat="1" ht="15.6" hidden="1" customHeight="1" x14ac:dyDescent="0.25">
      <c r="A218" s="821" t="s">
        <v>845</v>
      </c>
      <c r="B218" s="764" t="s">
        <v>380</v>
      </c>
      <c r="C218" s="764" t="s">
        <v>527</v>
      </c>
      <c r="D218" s="764" t="s">
        <v>5</v>
      </c>
      <c r="E218" s="764" t="s">
        <v>531</v>
      </c>
      <c r="F218" s="764" t="s">
        <v>151</v>
      </c>
      <c r="G218" s="764" t="s">
        <v>541</v>
      </c>
      <c r="H218" s="764"/>
      <c r="I218" s="764"/>
      <c r="J218" s="764"/>
      <c r="K218" s="764"/>
      <c r="L218" s="764" t="s">
        <v>889</v>
      </c>
      <c r="M218" s="764" t="s">
        <v>890</v>
      </c>
      <c r="N218" s="681"/>
      <c r="O218" s="681"/>
      <c r="P218" s="687"/>
      <c r="Q218" s="766">
        <v>0</v>
      </c>
      <c r="R218" s="767">
        <v>0</v>
      </c>
      <c r="S218" s="844" t="str">
        <f>IF(CampList[[#This Row],[HH]]&gt;0,CampList[[#This Row],[Total]]/CampList[[#This Row],[HH]],"NA")</f>
        <v>NA</v>
      </c>
      <c r="T218" s="768" t="s">
        <v>513</v>
      </c>
      <c r="U218" s="769" t="s">
        <v>1194</v>
      </c>
      <c r="V218" s="763" t="s">
        <v>556</v>
      </c>
      <c r="W218" s="763" t="s">
        <v>858</v>
      </c>
      <c r="X218" s="911"/>
      <c r="Y218" s="796"/>
      <c r="Z218" s="889"/>
      <c r="AA218" s="810" t="s">
        <v>844</v>
      </c>
      <c r="AB218" s="797"/>
      <c r="AC218" s="912">
        <v>41652</v>
      </c>
      <c r="AD218" s="917" t="s">
        <v>931</v>
      </c>
      <c r="AE218" s="803" t="s">
        <v>1010</v>
      </c>
      <c r="AF218" s="860">
        <f>IF(CampList[[#This Row],[Type of Accomodation]]="camp",MAX(0,CampList[[#This Row],[HH]]-SUMIF(Table_Shelter[Pcode],CampList[[#This Row],[CP_Pcode]],Table_Shelter[HH Covered])),0)</f>
        <v>0</v>
      </c>
      <c r="AG218" s="763"/>
      <c r="AH218" s="889">
        <f>MIN(CampList[[#This Row],[Shelter Gap]],CampList[[#This Row],[Land Status]])</f>
        <v>0</v>
      </c>
      <c r="AI218" s="763" t="str">
        <f ca="1">IFERROR(OFFSET(DistanceToCamp[Nearest Town],MATCH(CampList[[#This Row],[CP_Pcode]],DistanceToCamp[CP_Pcode],0)-1,0,1,1),"")</f>
        <v/>
      </c>
      <c r="AJ218" s="937" t="str">
        <f ca="1">IFERROR(OFFSET(DistanceToCamp[distance],MATCH(CampList[[#This Row],[CP_Pcode]],DistanceToCamp[CP_Pcode],0)-1,0,1,1),"")</f>
        <v/>
      </c>
      <c r="AK218" s="958" t="str">
        <f ca="1">IFERROR(INT(CampList[[#This Row],[Distance]]/5)+1,"")</f>
        <v/>
      </c>
      <c r="AL218" s="549"/>
      <c r="AM218" s="549"/>
      <c r="AN218" s="549"/>
      <c r="AY218" s="522"/>
      <c r="AZ218" s="522"/>
    </row>
    <row r="219" spans="1:57" s="706" customFormat="1" ht="15.6" customHeight="1" x14ac:dyDescent="0.25">
      <c r="A219" s="707" t="s">
        <v>502</v>
      </c>
      <c r="B219" s="216" t="s">
        <v>380</v>
      </c>
      <c r="C219" s="216" t="s">
        <v>527</v>
      </c>
      <c r="D219" s="216" t="s">
        <v>237</v>
      </c>
      <c r="E219" s="216" t="s">
        <v>533</v>
      </c>
      <c r="F219" s="216" t="s">
        <v>310</v>
      </c>
      <c r="G219" s="216" t="s">
        <v>534</v>
      </c>
      <c r="H219" s="679" t="s">
        <v>695</v>
      </c>
      <c r="I219" s="679" t="s">
        <v>696</v>
      </c>
      <c r="J219" s="679" t="s">
        <v>695</v>
      </c>
      <c r="K219" s="679">
        <v>165740</v>
      </c>
      <c r="L219" s="216" t="s">
        <v>328</v>
      </c>
      <c r="M219" s="216" t="s">
        <v>327</v>
      </c>
      <c r="N219" s="842">
        <v>97.433419259259296</v>
      </c>
      <c r="O219" s="729">
        <v>25.424529444444399</v>
      </c>
      <c r="P219" s="743">
        <v>0</v>
      </c>
      <c r="Q219" s="671">
        <v>143</v>
      </c>
      <c r="R219" s="672">
        <v>800</v>
      </c>
      <c r="S219" s="843">
        <f>IF(CampList[[#This Row],[HH]]&gt;0,CampList[[#This Row],[Total]]/CampList[[#This Row],[HH]],"NA")</f>
        <v>5.5944055944055942</v>
      </c>
      <c r="T219" s="455" t="s">
        <v>513</v>
      </c>
      <c r="U219" s="673" t="s">
        <v>1194</v>
      </c>
      <c r="V219" s="668" t="s">
        <v>556</v>
      </c>
      <c r="W219" s="673" t="s">
        <v>858</v>
      </c>
      <c r="X219" s="881">
        <v>41456</v>
      </c>
      <c r="Y219" s="882">
        <v>1</v>
      </c>
      <c r="Z219" s="881" t="s">
        <v>507</v>
      </c>
      <c r="AA219" s="684" t="s">
        <v>844</v>
      </c>
      <c r="AB219" s="883"/>
      <c r="AC219" s="693">
        <v>42537</v>
      </c>
      <c r="AD219" s="885" t="s">
        <v>1498</v>
      </c>
      <c r="AE219" s="682" t="s">
        <v>1096</v>
      </c>
      <c r="AF219" s="686">
        <f>IF(CampList[[#This Row],[Type of Accomodation]]="camp",MAX(0,CampList[[#This Row],[HH]]-SUMIF(Table_Shelter[Pcode],CampList[[#This Row],[CP_Pcode]],Table_Shelter[HH Covered])),0)</f>
        <v>36</v>
      </c>
      <c r="AG219" s="686"/>
      <c r="AH219" s="883">
        <f>MIN(CampList[[#This Row],[Shelter Gap]],CampList[[#This Row],[Land Status]])</f>
        <v>36</v>
      </c>
      <c r="AI219" s="668" t="str">
        <f ca="1">IFERROR(OFFSET(DistanceToCamp[Nearest Town],MATCH(CampList[[#This Row],[CP_Pcode]],DistanceToCamp[CP_Pcode],0)-1,0,1,1),"")</f>
        <v>Myitkyina Town</v>
      </c>
      <c r="AJ219" s="936">
        <f ca="1">IFERROR(OFFSET(DistanceToCamp[distance],MATCH(CampList[[#This Row],[CP_Pcode]],DistanceToCamp[CP_Pcode],0)-1,0,1,1),"")</f>
        <v>5.9727739497559158</v>
      </c>
      <c r="AK219" s="957">
        <f ca="1">IFERROR(INT(CampList[[#This Row],[Distance]]/5)+1,"")</f>
        <v>2</v>
      </c>
      <c r="AL219" s="549"/>
      <c r="AM219" s="549"/>
      <c r="AN219" s="549"/>
      <c r="AY219" s="522"/>
      <c r="AZ219" s="522"/>
    </row>
    <row r="220" spans="1:57" s="706" customFormat="1" ht="15.6" hidden="1" customHeight="1" x14ac:dyDescent="0.25">
      <c r="A220" s="822" t="s">
        <v>845</v>
      </c>
      <c r="B220" s="774" t="s">
        <v>380</v>
      </c>
      <c r="C220" s="774" t="s">
        <v>527</v>
      </c>
      <c r="D220" s="774" t="s">
        <v>5</v>
      </c>
      <c r="E220" s="774" t="s">
        <v>531</v>
      </c>
      <c r="F220" s="774" t="s">
        <v>5</v>
      </c>
      <c r="G220" s="774" t="s">
        <v>532</v>
      </c>
      <c r="H220" s="774"/>
      <c r="I220" s="774"/>
      <c r="J220" s="774"/>
      <c r="K220" s="774"/>
      <c r="L220" s="774" t="s">
        <v>900</v>
      </c>
      <c r="M220" s="774" t="s">
        <v>899</v>
      </c>
      <c r="N220" s="729"/>
      <c r="O220" s="729"/>
      <c r="P220" s="687"/>
      <c r="Q220" s="776">
        <v>0</v>
      </c>
      <c r="R220" s="777">
        <v>0</v>
      </c>
      <c r="S220" s="845" t="str">
        <f>IF(CampList[[#This Row],[HH]]&gt;0,CampList[[#This Row],[Total]]/CampList[[#This Row],[HH]],"NA")</f>
        <v>NA</v>
      </c>
      <c r="T220" s="778" t="s">
        <v>513</v>
      </c>
      <c r="U220" s="779" t="s">
        <v>1194</v>
      </c>
      <c r="V220" s="773" t="s">
        <v>556</v>
      </c>
      <c r="W220" s="779" t="s">
        <v>805</v>
      </c>
      <c r="X220" s="913"/>
      <c r="Y220" s="789"/>
      <c r="Z220" s="895"/>
      <c r="AA220" s="781" t="s">
        <v>844</v>
      </c>
      <c r="AB220" s="800"/>
      <c r="AC220" s="792">
        <v>41702</v>
      </c>
      <c r="AD220" s="895" t="s">
        <v>1019</v>
      </c>
      <c r="AE220" s="811" t="s">
        <v>1010</v>
      </c>
      <c r="AF220" s="814">
        <f>IF(CampList[[#This Row],[Type of Accomodation]]="camp",MAX(0,CampList[[#This Row],[HH]]-SUMIF(Table_Shelter[Pcode],CampList[[#This Row],[CP_Pcode]],Table_Shelter[HH Covered])),0)</f>
        <v>0</v>
      </c>
      <c r="AG220" s="773"/>
      <c r="AH220" s="895">
        <f>MIN(CampList[[#This Row],[Shelter Gap]],CampList[[#This Row],[Land Status]])</f>
        <v>0</v>
      </c>
      <c r="AI220" s="773" t="str">
        <f ca="1">IFERROR(OFFSET(DistanceToCamp[Nearest Town],MATCH(CampList[[#This Row],[CP_Pcode]],DistanceToCamp[CP_Pcode],0)-1,0,1,1),"")</f>
        <v/>
      </c>
      <c r="AJ220" s="938" t="str">
        <f ca="1">IFERROR(OFFSET(DistanceToCamp[distance],MATCH(CampList[[#This Row],[CP_Pcode]],DistanceToCamp[CP_Pcode],0)-1,0,1,1),"")</f>
        <v/>
      </c>
      <c r="AK220" s="959" t="str">
        <f ca="1">IFERROR(INT(CampList[[#This Row],[Distance]]/5)+1,"")</f>
        <v/>
      </c>
      <c r="AL220" s="549"/>
      <c r="AM220" s="549"/>
      <c r="AN220" s="549"/>
      <c r="AY220" s="522"/>
      <c r="AZ220" s="522"/>
    </row>
    <row r="221" spans="1:57" s="706" customFormat="1" ht="15.6" customHeight="1" x14ac:dyDescent="0.25">
      <c r="A221" s="967" t="s">
        <v>502</v>
      </c>
      <c r="B221" s="968" t="s">
        <v>380</v>
      </c>
      <c r="C221" s="968" t="s">
        <v>527</v>
      </c>
      <c r="D221" s="968" t="s">
        <v>237</v>
      </c>
      <c r="E221" s="968" t="s">
        <v>533</v>
      </c>
      <c r="F221" s="968" t="s">
        <v>310</v>
      </c>
      <c r="G221" s="968" t="s">
        <v>534</v>
      </c>
      <c r="H221" s="968" t="s">
        <v>695</v>
      </c>
      <c r="I221" s="973" t="s">
        <v>696</v>
      </c>
      <c r="J221" s="968" t="s">
        <v>695</v>
      </c>
      <c r="K221" s="968">
        <v>165740</v>
      </c>
      <c r="L221" s="968" t="s">
        <v>330</v>
      </c>
      <c r="M221" s="968" t="s">
        <v>329</v>
      </c>
      <c r="N221" s="681">
        <v>97.437782499999997</v>
      </c>
      <c r="O221" s="681">
        <v>25.415667500000001</v>
      </c>
      <c r="P221" s="670"/>
      <c r="Q221" s="754">
        <v>222</v>
      </c>
      <c r="R221" s="755">
        <v>1210</v>
      </c>
      <c r="S221" s="841">
        <f>IF(CampList[[#This Row],[HH]]&gt;0,CampList[[#This Row],[Total]]/CampList[[#This Row],[HH]],"NA")</f>
        <v>5.4504504504504503</v>
      </c>
      <c r="T221" s="982" t="s">
        <v>513</v>
      </c>
      <c r="U221" s="750" t="s">
        <v>1194</v>
      </c>
      <c r="V221" s="982" t="s">
        <v>556</v>
      </c>
      <c r="W221" s="861" t="s">
        <v>805</v>
      </c>
      <c r="X221" s="920">
        <v>41426</v>
      </c>
      <c r="Y221" s="710">
        <v>4</v>
      </c>
      <c r="Z221" s="710" t="s">
        <v>1093</v>
      </c>
      <c r="AA221" s="754" t="s">
        <v>844</v>
      </c>
      <c r="AB221" s="987"/>
      <c r="AC221" s="901">
        <v>42537</v>
      </c>
      <c r="AD221" s="992" t="s">
        <v>1484</v>
      </c>
      <c r="AE221" s="760" t="s">
        <v>1096</v>
      </c>
      <c r="AF221" s="996">
        <f>IF(CampList[[#This Row],[Type of Accomodation]]="camp",MAX(0,CampList[[#This Row],[HH]]-SUMIF(Table_Shelter[Pcode],CampList[[#This Row],[CP_Pcode]],Table_Shelter[HH Covered])),0)</f>
        <v>12</v>
      </c>
      <c r="AG221" s="861"/>
      <c r="AH221" s="761">
        <f>MIN(CampList[[#This Row],[Shelter Gap]],CampList[[#This Row],[Land Status]])</f>
        <v>12</v>
      </c>
      <c r="AI221" s="996" t="str">
        <f ca="1">IFERROR(OFFSET(DistanceToCamp[Nearest Town],MATCH(CampList[[#This Row],[CP_Pcode]],DistanceToCamp[CP_Pcode],0)-1,0,1,1),"")</f>
        <v>Myitkyina Town</v>
      </c>
      <c r="AJ221" s="935">
        <f ca="1">IFERROR(OFFSET(DistanceToCamp[distance],MATCH(CampList[[#This Row],[CP_Pcode]],DistanceToCamp[CP_Pcode],0)-1,0,1,1),"")</f>
        <v>5.7019834469756479</v>
      </c>
      <c r="AK221" s="997">
        <f ca="1">IFERROR(INT(CampList[[#This Row],[Distance]]/5)+1,"")</f>
        <v>2</v>
      </c>
      <c r="AL221" s="549"/>
      <c r="AM221" s="549"/>
      <c r="AN221" s="549"/>
      <c r="AY221" s="522"/>
      <c r="AZ221" s="522"/>
    </row>
    <row r="222" spans="1:57" s="706" customFormat="1" ht="15.6" customHeight="1" x14ac:dyDescent="0.25">
      <c r="A222" s="707" t="s">
        <v>502</v>
      </c>
      <c r="B222" s="216" t="s">
        <v>380</v>
      </c>
      <c r="C222" s="216" t="s">
        <v>527</v>
      </c>
      <c r="D222" s="216" t="s">
        <v>237</v>
      </c>
      <c r="E222" s="216" t="s">
        <v>533</v>
      </c>
      <c r="F222" s="216" t="s">
        <v>310</v>
      </c>
      <c r="G222" s="216" t="s">
        <v>534</v>
      </c>
      <c r="H222" s="679" t="s">
        <v>1135</v>
      </c>
      <c r="I222" s="679" t="s">
        <v>1255</v>
      </c>
      <c r="J222" s="679" t="s">
        <v>668</v>
      </c>
      <c r="K222" s="679">
        <v>165745</v>
      </c>
      <c r="L222" s="216" t="s">
        <v>344</v>
      </c>
      <c r="M222" s="216" t="s">
        <v>343</v>
      </c>
      <c r="N222" s="842">
        <v>97.345039</v>
      </c>
      <c r="O222" s="729">
        <v>25.351965</v>
      </c>
      <c r="P222" s="743"/>
      <c r="Q222" s="692">
        <v>18</v>
      </c>
      <c r="R222" s="687">
        <v>82</v>
      </c>
      <c r="S222" s="843">
        <f>IF(CampList[[#This Row],[HH]]&gt;0,CampList[[#This Row],[Total]]/CampList[[#This Row],[HH]],"NA")</f>
        <v>4.5555555555555554</v>
      </c>
      <c r="T222" s="455" t="s">
        <v>513</v>
      </c>
      <c r="U222" s="673" t="s">
        <v>1194</v>
      </c>
      <c r="V222" s="668" t="s">
        <v>556</v>
      </c>
      <c r="W222" s="673" t="s">
        <v>858</v>
      </c>
      <c r="X222" s="881">
        <v>41030</v>
      </c>
      <c r="Y222" s="882">
        <v>1</v>
      </c>
      <c r="Z222" s="881" t="s">
        <v>507</v>
      </c>
      <c r="AA222" s="433" t="s">
        <v>844</v>
      </c>
      <c r="AB222" s="883"/>
      <c r="AC222" s="693">
        <v>42537</v>
      </c>
      <c r="AD222" s="884" t="s">
        <v>1505</v>
      </c>
      <c r="AE222" s="682" t="s">
        <v>1096</v>
      </c>
      <c r="AF222" s="686">
        <f>IF(CampList[[#This Row],[Type of Accomodation]]="camp",MAX(0,CampList[[#This Row],[HH]]-SUMIF(Table_Shelter[Pcode],CampList[[#This Row],[CP_Pcode]],Table_Shelter[HH Covered])),0)</f>
        <v>0</v>
      </c>
      <c r="AG222" s="668"/>
      <c r="AH222" s="883">
        <f>MIN(CampList[[#This Row],[Shelter Gap]],CampList[[#This Row],[Land Status]])</f>
        <v>0</v>
      </c>
      <c r="AI222" s="668" t="str">
        <f ca="1">IFERROR(OFFSET(DistanceToCamp[Nearest Town],MATCH(CampList[[#This Row],[CP_Pcode]],DistanceToCamp[CP_Pcode],0)-1,0,1,1),"")</f>
        <v>Myitkyina Town</v>
      </c>
      <c r="AJ222" s="936">
        <f ca="1">IFERROR(OFFSET(DistanceToCamp[distance],MATCH(CampList[[#This Row],[CP_Pcode]],DistanceToCamp[CP_Pcode],0)-1,0,1,1),"")</f>
        <v>6.0275881703713861</v>
      </c>
      <c r="AK222" s="957">
        <f ca="1">IFERROR(INT(CampList[[#This Row],[Distance]]/5)+1,"")</f>
        <v>2</v>
      </c>
      <c r="AL222" s="549"/>
      <c r="AM222" s="549"/>
      <c r="AN222" s="549"/>
      <c r="AY222" s="522"/>
      <c r="AZ222" s="522"/>
    </row>
    <row r="223" spans="1:57" s="706" customFormat="1" ht="15.6" hidden="1" customHeight="1" x14ac:dyDescent="0.25">
      <c r="A223" s="821" t="s">
        <v>845</v>
      </c>
      <c r="B223" s="764" t="s">
        <v>380</v>
      </c>
      <c r="C223" s="764" t="s">
        <v>527</v>
      </c>
      <c r="D223" s="764" t="s">
        <v>180</v>
      </c>
      <c r="E223" s="764" t="s">
        <v>528</v>
      </c>
      <c r="F223" s="764" t="s">
        <v>529</v>
      </c>
      <c r="G223" s="764" t="s">
        <v>530</v>
      </c>
      <c r="H223" s="765" t="s">
        <v>714</v>
      </c>
      <c r="I223" s="765" t="s">
        <v>715</v>
      </c>
      <c r="J223" s="765" t="s">
        <v>714</v>
      </c>
      <c r="K223" s="765">
        <v>166794</v>
      </c>
      <c r="L223" s="764" t="s">
        <v>132</v>
      </c>
      <c r="M223" s="764" t="s">
        <v>131</v>
      </c>
      <c r="N223" s="729"/>
      <c r="O223" s="729"/>
      <c r="P223" s="670"/>
      <c r="Q223" s="766">
        <v>0</v>
      </c>
      <c r="R223" s="767">
        <v>0</v>
      </c>
      <c r="S223" s="844" t="str">
        <f>IF(CampList[[#This Row],[HH]]&gt;0,CampList[[#This Row],[Total]]/CampList[[#This Row],[HH]],"NA")</f>
        <v>NA</v>
      </c>
      <c r="T223" s="768" t="s">
        <v>513</v>
      </c>
      <c r="U223" s="769" t="s">
        <v>1194</v>
      </c>
      <c r="V223" s="763" t="s">
        <v>556</v>
      </c>
      <c r="W223" s="769"/>
      <c r="X223" s="886"/>
      <c r="Y223" s="887"/>
      <c r="Z223" s="888"/>
      <c r="AA223" s="785"/>
      <c r="AB223" s="889"/>
      <c r="AC223" s="890"/>
      <c r="AD223" s="891"/>
      <c r="AE223" s="770" t="s">
        <v>1010</v>
      </c>
      <c r="AF223" s="860">
        <f>IF(CampList[[#This Row],[Type of Accomodation]]="camp",MAX(0,CampList[[#This Row],[HH]]-SUMIF(Table_Shelter[Pcode],CampList[[#This Row],[CP_Pcode]],Table_Shelter[HH Covered])),0)</f>
        <v>0</v>
      </c>
      <c r="AG223" s="763"/>
      <c r="AH223" s="889">
        <f>MIN(CampList[[#This Row],[Shelter Gap]],CampList[[#This Row],[Land Status]])</f>
        <v>0</v>
      </c>
      <c r="AI223" s="763" t="str">
        <f ca="1">IFERROR(OFFSET(DistanceToCamp[Nearest Town],MATCH(CampList[[#This Row],[CP_Pcode]],DistanceToCamp[CP_Pcode],0)-1,0,1,1),"")</f>
        <v/>
      </c>
      <c r="AJ223" s="937" t="str">
        <f ca="1">IFERROR(OFFSET(DistanceToCamp[distance],MATCH(CampList[[#This Row],[CP_Pcode]],DistanceToCamp[CP_Pcode],0)-1,0,1,1),"")</f>
        <v/>
      </c>
      <c r="AK223" s="958" t="str">
        <f ca="1">IFERROR(INT(CampList[[#This Row],[Distance]]/5)+1,"")</f>
        <v/>
      </c>
      <c r="AL223" s="549"/>
      <c r="AM223" s="549"/>
      <c r="AN223" s="549"/>
      <c r="AY223" s="522"/>
      <c r="AZ223" s="522"/>
    </row>
    <row r="224" spans="1:57" s="706" customFormat="1" ht="15.6" customHeight="1" x14ac:dyDescent="0.25">
      <c r="A224" s="829" t="s">
        <v>502</v>
      </c>
      <c r="B224" s="677" t="s">
        <v>380</v>
      </c>
      <c r="C224" s="677" t="s">
        <v>527</v>
      </c>
      <c r="D224" s="677" t="s">
        <v>237</v>
      </c>
      <c r="E224" s="677" t="s">
        <v>533</v>
      </c>
      <c r="F224" s="677" t="s">
        <v>310</v>
      </c>
      <c r="G224" s="677" t="s">
        <v>534</v>
      </c>
      <c r="H224" s="677" t="s">
        <v>729</v>
      </c>
      <c r="I224" s="689" t="s">
        <v>730</v>
      </c>
      <c r="J224" s="677" t="s">
        <v>729</v>
      </c>
      <c r="K224" s="677">
        <v>165772</v>
      </c>
      <c r="L224" s="677" t="s">
        <v>353</v>
      </c>
      <c r="M224" s="677" t="s">
        <v>352</v>
      </c>
      <c r="N224" s="847">
        <v>97.546893999999995</v>
      </c>
      <c r="O224" s="681">
        <v>24.755253</v>
      </c>
      <c r="P224" s="744">
        <v>316</v>
      </c>
      <c r="Q224" s="681">
        <v>1354</v>
      </c>
      <c r="R224" s="687">
        <v>6602</v>
      </c>
      <c r="S224" s="843">
        <f>IF(CampList[[#This Row],[HH]]&gt;0,CampList[[#This Row],[Total]]/CampList[[#This Row],[HH]],"NA")</f>
        <v>4.875923190546529</v>
      </c>
      <c r="T224" s="420" t="s">
        <v>515</v>
      </c>
      <c r="U224" s="455" t="s">
        <v>1194</v>
      </c>
      <c r="V224" s="420" t="s">
        <v>556</v>
      </c>
      <c r="W224" s="686" t="s">
        <v>805</v>
      </c>
      <c r="X224" s="905">
        <v>40695</v>
      </c>
      <c r="Y224" s="670">
        <v>5</v>
      </c>
      <c r="Z224" s="670" t="s">
        <v>1093</v>
      </c>
      <c r="AA224" s="681" t="s">
        <v>574</v>
      </c>
      <c r="AB224" s="907"/>
      <c r="AC224" s="693">
        <v>42537</v>
      </c>
      <c r="AD224" s="726" t="s">
        <v>1487</v>
      </c>
      <c r="AE224" s="690" t="s">
        <v>1096</v>
      </c>
      <c r="AF224" s="732">
        <f>IF(CampList[[#This Row],[Type of Accomodation]]="camp",MAX(0,CampList[[#This Row],[HH]]-SUMIF(Table_Shelter[Pcode],CampList[[#This Row],[CP_Pcode]],Table_Shelter[HH Covered])),0)</f>
        <v>1194</v>
      </c>
      <c r="AG224" s="686"/>
      <c r="AH224" s="692">
        <f>MIN(CampList[[#This Row],[Shelter Gap]],CampList[[#This Row],[Land Status]])</f>
        <v>1194</v>
      </c>
      <c r="AI224" s="732" t="str">
        <f ca="1">IFERROR(OFFSET(DistanceToCamp[Nearest Town],MATCH(CampList[[#This Row],[CP_Pcode]],DistanceToCamp[CP_Pcode],0)-1,0,1,1),"")</f>
        <v>Laiza town</v>
      </c>
      <c r="AJ224" s="936">
        <f ca="1">IFERROR(OFFSET(DistanceToCamp[distance],MATCH(CampList[[#This Row],[CP_Pcode]],DistanceToCamp[CP_Pcode],0)-1,0,1,1),"")</f>
        <v>1.7420415164460403</v>
      </c>
      <c r="AK224" s="956">
        <f ca="1">IFERROR(INT(CampList[[#This Row],[Distance]]/5)+1,"")</f>
        <v>1</v>
      </c>
      <c r="AL224" s="549"/>
      <c r="AM224" s="549"/>
      <c r="AN224" s="549"/>
      <c r="AY224" s="522"/>
      <c r="AZ224" s="522"/>
    </row>
    <row r="225" spans="1:52" s="706" customFormat="1" ht="15.6" customHeight="1" x14ac:dyDescent="0.25">
      <c r="A225" s="829" t="s">
        <v>502</v>
      </c>
      <c r="B225" s="677" t="s">
        <v>380</v>
      </c>
      <c r="C225" s="677" t="s">
        <v>527</v>
      </c>
      <c r="D225" s="677" t="s">
        <v>237</v>
      </c>
      <c r="E225" s="677" t="s">
        <v>533</v>
      </c>
      <c r="F225" s="677" t="s">
        <v>310</v>
      </c>
      <c r="G225" s="677" t="s">
        <v>534</v>
      </c>
      <c r="H225" s="677" t="s">
        <v>757</v>
      </c>
      <c r="I225" s="689" t="s">
        <v>758</v>
      </c>
      <c r="J225" s="677" t="s">
        <v>759</v>
      </c>
      <c r="K225" s="677">
        <v>165790</v>
      </c>
      <c r="L225" s="677" t="s">
        <v>322</v>
      </c>
      <c r="M225" s="677" t="s">
        <v>321</v>
      </c>
      <c r="N225" s="847">
        <v>97.715230000000005</v>
      </c>
      <c r="O225" s="681">
        <v>24.980250000000002</v>
      </c>
      <c r="P225" s="744">
        <v>984</v>
      </c>
      <c r="Q225" s="681">
        <v>586</v>
      </c>
      <c r="R225" s="687">
        <v>2595</v>
      </c>
      <c r="S225" s="843">
        <f>IF(CampList[[#This Row],[HH]]&gt;0,CampList[[#This Row],[Total]]/CampList[[#This Row],[HH]],"NA")</f>
        <v>4.4283276450511941</v>
      </c>
      <c r="T225" s="420" t="s">
        <v>515</v>
      </c>
      <c r="U225" s="455" t="s">
        <v>1194</v>
      </c>
      <c r="V225" s="420" t="s">
        <v>556</v>
      </c>
      <c r="W225" s="686" t="s">
        <v>858</v>
      </c>
      <c r="X225" s="905">
        <v>40695</v>
      </c>
      <c r="Y225" s="670">
        <v>5</v>
      </c>
      <c r="Z225" s="670" t="s">
        <v>1093</v>
      </c>
      <c r="AA225" s="681" t="s">
        <v>844</v>
      </c>
      <c r="AB225" s="907"/>
      <c r="AC225" s="693">
        <v>42537</v>
      </c>
      <c r="AD225" s="726" t="s">
        <v>1486</v>
      </c>
      <c r="AE225" s="690" t="s">
        <v>1081</v>
      </c>
      <c r="AF225" s="732">
        <f>IF(CampList[[#This Row],[Type of Accomodation]]="camp",MAX(0,CampList[[#This Row],[HH]]-SUMIF(Table_Shelter[Pcode],CampList[[#This Row],[CP_Pcode]],Table_Shelter[HH Covered])),0)</f>
        <v>0</v>
      </c>
      <c r="AG225" s="686"/>
      <c r="AH225" s="692">
        <f>MIN(CampList[[#This Row],[Shelter Gap]],CampList[[#This Row],[Land Status]])</f>
        <v>0</v>
      </c>
      <c r="AI225" s="732" t="str">
        <f ca="1">IFERROR(OFFSET(DistanceToCamp[Nearest Town],MATCH(CampList[[#This Row],[CP_Pcode]],DistanceToCamp[CP_Pcode],0)-1,0,1,1),"")</f>
        <v>Laiza town</v>
      </c>
      <c r="AJ225" s="936">
        <f ca="1">IFERROR(OFFSET(DistanceToCamp[distance],MATCH(CampList[[#This Row],[CP_Pcode]],DistanceToCamp[CP_Pcode],0)-1,0,1,1),"")</f>
        <v>28.888856599204185</v>
      </c>
      <c r="AK225" s="956">
        <f ca="1">IFERROR(INT(CampList[[#This Row],[Distance]]/5)+1,"")</f>
        <v>6</v>
      </c>
      <c r="AL225" s="549"/>
      <c r="AM225" s="549"/>
      <c r="AN225" s="549"/>
      <c r="AY225" s="522"/>
      <c r="AZ225" s="522"/>
    </row>
    <row r="226" spans="1:52" s="706" customFormat="1" ht="15.6" customHeight="1" x14ac:dyDescent="0.25">
      <c r="A226" s="707" t="s">
        <v>502</v>
      </c>
      <c r="B226" s="216" t="s">
        <v>380</v>
      </c>
      <c r="C226" s="216" t="s">
        <v>527</v>
      </c>
      <c r="D226" s="216" t="s">
        <v>237</v>
      </c>
      <c r="E226" s="216" t="s">
        <v>533</v>
      </c>
      <c r="F226" s="216" t="s">
        <v>310</v>
      </c>
      <c r="G226" s="216" t="s">
        <v>534</v>
      </c>
      <c r="H226" s="679" t="s">
        <v>757</v>
      </c>
      <c r="I226" s="679" t="s">
        <v>758</v>
      </c>
      <c r="J226" s="941" t="s">
        <v>1521</v>
      </c>
      <c r="K226" s="941">
        <v>165792</v>
      </c>
      <c r="L226" s="435" t="s">
        <v>1247</v>
      </c>
      <c r="M226" s="216" t="s">
        <v>345</v>
      </c>
      <c r="N226" s="842">
        <v>97.751389000000003</v>
      </c>
      <c r="O226" s="729">
        <v>24.831944</v>
      </c>
      <c r="P226" s="743">
        <v>2330</v>
      </c>
      <c r="Q226" s="681">
        <v>178</v>
      </c>
      <c r="R226" s="681">
        <v>850</v>
      </c>
      <c r="S226" s="843">
        <f>IF(CampList[[#This Row],[HH]]&gt;0,CampList[[#This Row],[Total]]/CampList[[#This Row],[HH]],"NA")</f>
        <v>4.7752808988764048</v>
      </c>
      <c r="T226" s="455" t="s">
        <v>515</v>
      </c>
      <c r="U226" s="673" t="s">
        <v>1194</v>
      </c>
      <c r="V226" s="668" t="s">
        <v>556</v>
      </c>
      <c r="W226" s="673" t="s">
        <v>858</v>
      </c>
      <c r="X226" s="881">
        <v>40725</v>
      </c>
      <c r="Y226" s="882">
        <v>3</v>
      </c>
      <c r="Z226" s="881" t="s">
        <v>462</v>
      </c>
      <c r="AA226" s="433" t="s">
        <v>844</v>
      </c>
      <c r="AB226" s="883"/>
      <c r="AC226" s="693">
        <v>42536</v>
      </c>
      <c r="AD226" s="884" t="s">
        <v>1450</v>
      </c>
      <c r="AE226" s="682" t="s">
        <v>1080</v>
      </c>
      <c r="AF226" s="686">
        <f>IF(CampList[[#This Row],[Type of Accomodation]]="camp",MAX(0,CampList[[#This Row],[HH]]-SUMIF(Table_Shelter[Pcode],CampList[[#This Row],[CP_Pcode]],Table_Shelter[HH Covered])),0)</f>
        <v>143</v>
      </c>
      <c r="AG226" s="686"/>
      <c r="AH226" s="883">
        <f>MIN(CampList[[#This Row],[Shelter Gap]],CampList[[#This Row],[Land Status]])</f>
        <v>143</v>
      </c>
      <c r="AI226" s="668" t="str">
        <f ca="1">IFERROR(OFFSET(DistanceToCamp[Nearest Town],MATCH(CampList[[#This Row],[CP_Pcode]],DistanceToCamp[CP_Pcode],0)-1,0,1,1),"")</f>
        <v>Laiza town</v>
      </c>
      <c r="AJ226" s="936">
        <f ca="1">IFERROR(OFFSET(DistanceToCamp[distance],MATCH(CampList[[#This Row],[CP_Pcode]],DistanceToCamp[CP_Pcode],0)-1,0,1,1),"")</f>
        <v>20.599512012485512</v>
      </c>
      <c r="AK226" s="957">
        <f ca="1">IFERROR(INT(CampList[[#This Row],[Distance]]/5)+1,"")</f>
        <v>5</v>
      </c>
      <c r="AL226" s="549"/>
      <c r="AM226" s="549"/>
      <c r="AN226" s="549"/>
      <c r="AY226" s="522"/>
      <c r="AZ226" s="522"/>
    </row>
    <row r="227" spans="1:52" s="706" customFormat="1" ht="15.6" customHeight="1" x14ac:dyDescent="0.25">
      <c r="A227" s="825" t="s">
        <v>502</v>
      </c>
      <c r="B227" s="677" t="s">
        <v>380</v>
      </c>
      <c r="C227" s="677" t="s">
        <v>527</v>
      </c>
      <c r="D227" s="677" t="s">
        <v>5</v>
      </c>
      <c r="E227" s="677" t="s">
        <v>531</v>
      </c>
      <c r="F227" s="677" t="s">
        <v>310</v>
      </c>
      <c r="G227" s="677" t="s">
        <v>534</v>
      </c>
      <c r="H227" s="677" t="s">
        <v>766</v>
      </c>
      <c r="I227" s="689" t="s">
        <v>767</v>
      </c>
      <c r="J227" s="677" t="s">
        <v>804</v>
      </c>
      <c r="K227" s="677">
        <v>165816</v>
      </c>
      <c r="L227" s="677" t="s">
        <v>196</v>
      </c>
      <c r="M227" s="677" t="s">
        <v>195</v>
      </c>
      <c r="N227" s="847">
        <v>97.568331999999998</v>
      </c>
      <c r="O227" s="681">
        <v>24.688338999999999</v>
      </c>
      <c r="P227" s="744">
        <v>314</v>
      </c>
      <c r="Q227" s="681">
        <v>1643</v>
      </c>
      <c r="R227" s="687">
        <v>8780</v>
      </c>
      <c r="S227" s="843">
        <f>IF(CampList[[#This Row],[HH]]&gt;0,CampList[[#This Row],[Total]]/CampList[[#This Row],[HH]],"NA")</f>
        <v>5.3438831405964695</v>
      </c>
      <c r="T227" s="420" t="s">
        <v>515</v>
      </c>
      <c r="U227" s="455" t="s">
        <v>1194</v>
      </c>
      <c r="V227" s="420" t="s">
        <v>556</v>
      </c>
      <c r="W227" s="686" t="s">
        <v>858</v>
      </c>
      <c r="X227" s="905">
        <v>41061</v>
      </c>
      <c r="Y227" s="670">
        <v>7</v>
      </c>
      <c r="Z227" s="670" t="s">
        <v>1093</v>
      </c>
      <c r="AA227" s="681" t="s">
        <v>844</v>
      </c>
      <c r="AB227" s="907"/>
      <c r="AC227" s="693">
        <v>42537</v>
      </c>
      <c r="AD227" s="726" t="s">
        <v>1488</v>
      </c>
      <c r="AE227" s="690" t="s">
        <v>1081</v>
      </c>
      <c r="AF227" s="732">
        <f>IF(CampList[[#This Row],[Type of Accomodation]]="camp",MAX(0,CampList[[#This Row],[HH]]-SUMIF(Table_Shelter[Pcode],CampList[[#This Row],[CP_Pcode]],Table_Shelter[HH Covered])),0)</f>
        <v>448</v>
      </c>
      <c r="AG227" s="686"/>
      <c r="AH227" s="692">
        <f>MIN(CampList[[#This Row],[Shelter Gap]],CampList[[#This Row],[Land Status]])</f>
        <v>448</v>
      </c>
      <c r="AI227" s="732" t="str">
        <f ca="1">IFERROR(OFFSET(DistanceToCamp[Nearest Town],MATCH(CampList[[#This Row],[CP_Pcode]],DistanceToCamp[CP_Pcode],0)-1,0,1,1),"")</f>
        <v>Laiza town</v>
      </c>
      <c r="AJ227" s="936">
        <f ca="1">IFERROR(OFFSET(DistanceToCamp[distance],MATCH(CampList[[#This Row],[CP_Pcode]],DistanceToCamp[CP_Pcode],0)-1,0,1,1),"")</f>
        <v>7.985347533011188</v>
      </c>
      <c r="AK227" s="956">
        <f ca="1">IFERROR(INT(CampList[[#This Row],[Distance]]/5)+1,"")</f>
        <v>2</v>
      </c>
      <c r="AL227" s="549"/>
      <c r="AM227" s="549"/>
      <c r="AN227" s="549"/>
      <c r="AY227" s="522"/>
      <c r="AZ227" s="522"/>
    </row>
    <row r="228" spans="1:52" s="706" customFormat="1" ht="15.6" customHeight="1" x14ac:dyDescent="0.25">
      <c r="A228" s="707" t="s">
        <v>502</v>
      </c>
      <c r="B228" s="216" t="s">
        <v>380</v>
      </c>
      <c r="C228" s="216" t="s">
        <v>527</v>
      </c>
      <c r="D228" s="216" t="s">
        <v>237</v>
      </c>
      <c r="E228" s="216" t="s">
        <v>533</v>
      </c>
      <c r="F228" s="216" t="s">
        <v>310</v>
      </c>
      <c r="G228" s="216" t="s">
        <v>534</v>
      </c>
      <c r="H228" s="679" t="s">
        <v>773</v>
      </c>
      <c r="I228" s="679" t="s">
        <v>774</v>
      </c>
      <c r="J228" s="679" t="s">
        <v>775</v>
      </c>
      <c r="K228" s="679">
        <v>165845</v>
      </c>
      <c r="L228" s="435" t="s">
        <v>347</v>
      </c>
      <c r="M228" s="216" t="s">
        <v>346</v>
      </c>
      <c r="N228" s="842">
        <v>98.025662999999994</v>
      </c>
      <c r="O228" s="729">
        <v>25.418084</v>
      </c>
      <c r="P228" s="743"/>
      <c r="Q228" s="681">
        <v>179</v>
      </c>
      <c r="R228" s="681">
        <v>940</v>
      </c>
      <c r="S228" s="843">
        <f>IF(CampList[[#This Row],[HH]]&gt;0,CampList[[#This Row],[Total]]/CampList[[#This Row],[HH]],"NA")</f>
        <v>5.2513966480446923</v>
      </c>
      <c r="T228" s="455" t="s">
        <v>513</v>
      </c>
      <c r="U228" s="673" t="s">
        <v>1194</v>
      </c>
      <c r="V228" s="668" t="s">
        <v>556</v>
      </c>
      <c r="W228" s="673" t="s">
        <v>858</v>
      </c>
      <c r="X228" s="881">
        <v>40848</v>
      </c>
      <c r="Y228" s="882">
        <v>2</v>
      </c>
      <c r="Z228" s="881" t="s">
        <v>462</v>
      </c>
      <c r="AA228" s="433" t="s">
        <v>844</v>
      </c>
      <c r="AB228" s="883"/>
      <c r="AC228" s="693">
        <v>42536</v>
      </c>
      <c r="AD228" s="884" t="s">
        <v>1443</v>
      </c>
      <c r="AE228" s="682" t="s">
        <v>1080</v>
      </c>
      <c r="AF228" s="686">
        <f>IF(CampList[[#This Row],[Type of Accomodation]]="camp",MAX(0,CampList[[#This Row],[HH]]-SUMIF(Table_Shelter[Pcode],CampList[[#This Row],[CP_Pcode]],Table_Shelter[HH Covered])),0)</f>
        <v>0</v>
      </c>
      <c r="AG228" s="668"/>
      <c r="AH228" s="883">
        <f>MIN(CampList[[#This Row],[Shelter Gap]],CampList[[#This Row],[Land Status]])</f>
        <v>0</v>
      </c>
      <c r="AI228" s="668" t="str">
        <f ca="1">IFERROR(OFFSET(DistanceToCamp[Nearest Town],MATCH(CampList[[#This Row],[CP_Pcode]],DistanceToCamp[CP_Pcode],0)-1,0,1,1),"")</f>
        <v>Kan Paik Ti Town</v>
      </c>
      <c r="AJ228" s="936">
        <f ca="1">IFERROR(OFFSET(DistanceToCamp[distance],MATCH(CampList[[#This Row],[CP_Pcode]],DistanceToCamp[CP_Pcode],0)-1,0,1,1),"")</f>
        <v>9.3609732231189877</v>
      </c>
      <c r="AK228" s="957">
        <f ca="1">IFERROR(INT(CampList[[#This Row],[Distance]]/5)+1,"")</f>
        <v>2</v>
      </c>
      <c r="AL228" s="549"/>
      <c r="AM228" s="549"/>
      <c r="AN228" s="549"/>
      <c r="AY228" s="522"/>
      <c r="AZ228" s="522"/>
    </row>
    <row r="229" spans="1:52" s="706" customFormat="1" ht="15.6" customHeight="1" x14ac:dyDescent="0.25">
      <c r="A229" s="829" t="s">
        <v>502</v>
      </c>
      <c r="B229" s="677" t="s">
        <v>380</v>
      </c>
      <c r="C229" s="677" t="s">
        <v>527</v>
      </c>
      <c r="D229" s="677" t="s">
        <v>237</v>
      </c>
      <c r="E229" s="677" t="s">
        <v>533</v>
      </c>
      <c r="F229" s="677" t="s">
        <v>310</v>
      </c>
      <c r="G229" s="677" t="s">
        <v>534</v>
      </c>
      <c r="H229" s="725" t="s">
        <v>772</v>
      </c>
      <c r="I229" s="725" t="s">
        <v>771</v>
      </c>
      <c r="J229" s="725" t="s">
        <v>772</v>
      </c>
      <c r="K229" s="725">
        <v>165895</v>
      </c>
      <c r="L229" s="677" t="s">
        <v>355</v>
      </c>
      <c r="M229" s="677" t="s">
        <v>354</v>
      </c>
      <c r="N229" s="847">
        <v>97.990555999999998</v>
      </c>
      <c r="O229" s="681">
        <v>25.265277999999999</v>
      </c>
      <c r="P229" s="744">
        <v>2764</v>
      </c>
      <c r="Q229" s="681">
        <v>98</v>
      </c>
      <c r="R229" s="681">
        <v>554</v>
      </c>
      <c r="S229" s="843">
        <f>IF(CampList[[#This Row],[HH]]&gt;0,CampList[[#This Row],[Total]]/CampList[[#This Row],[HH]],"NA")</f>
        <v>5.6530612244897958</v>
      </c>
      <c r="T229" s="420" t="s">
        <v>515</v>
      </c>
      <c r="U229" s="455" t="s">
        <v>1194</v>
      </c>
      <c r="V229" s="420" t="s">
        <v>556</v>
      </c>
      <c r="W229" s="686" t="s">
        <v>859</v>
      </c>
      <c r="X229" s="905">
        <v>40848</v>
      </c>
      <c r="Y229" s="670">
        <v>2</v>
      </c>
      <c r="Z229" s="670" t="s">
        <v>1093</v>
      </c>
      <c r="AA229" s="681" t="s">
        <v>844</v>
      </c>
      <c r="AB229" s="907"/>
      <c r="AC229" s="693">
        <v>42537</v>
      </c>
      <c r="AD229" s="726" t="s">
        <v>1480</v>
      </c>
      <c r="AE229" s="690" t="s">
        <v>1080</v>
      </c>
      <c r="AF229" s="732">
        <f>IF(CampList[[#This Row],[Type of Accomodation]]="camp",MAX(0,CampList[[#This Row],[HH]]-SUMIF(Table_Shelter[Pcode],CampList[[#This Row],[CP_Pcode]],Table_Shelter[HH Covered])),0)</f>
        <v>33</v>
      </c>
      <c r="AG229" s="686"/>
      <c r="AH229" s="692">
        <f>MIN(CampList[[#This Row],[Shelter Gap]],CampList[[#This Row],[Land Status]])</f>
        <v>33</v>
      </c>
      <c r="AI229" s="732" t="str">
        <f ca="1">IFERROR(OFFSET(DistanceToCamp[Nearest Town],MATCH(CampList[[#This Row],[CP_Pcode]],DistanceToCamp[CP_Pcode],0)-1,0,1,1),"")</f>
        <v>Sadung Town</v>
      </c>
      <c r="AJ229" s="936">
        <f ca="1">IFERROR(OFFSET(DistanceToCamp[distance],MATCH(CampList[[#This Row],[CP_Pcode]],DistanceToCamp[CP_Pcode],0)-1,0,1,1),"")</f>
        <v>17.035515422123492</v>
      </c>
      <c r="AK229" s="956">
        <f ca="1">IFERROR(INT(CampList[[#This Row],[Distance]]/5)+1,"")</f>
        <v>4</v>
      </c>
      <c r="AL229" s="549"/>
      <c r="AM229" s="549"/>
      <c r="AN229" s="549"/>
      <c r="AY229" s="522"/>
      <c r="AZ229" s="522"/>
    </row>
    <row r="230" spans="1:52" s="706" customFormat="1" ht="15.6" customHeight="1" x14ac:dyDescent="0.25">
      <c r="A230" s="829" t="s">
        <v>502</v>
      </c>
      <c r="B230" s="677" t="s">
        <v>380</v>
      </c>
      <c r="C230" s="677" t="s">
        <v>527</v>
      </c>
      <c r="D230" s="677" t="s">
        <v>237</v>
      </c>
      <c r="E230" s="677" t="s">
        <v>533</v>
      </c>
      <c r="F230" s="677" t="s">
        <v>310</v>
      </c>
      <c r="G230" s="677" t="s">
        <v>534</v>
      </c>
      <c r="H230" s="677" t="s">
        <v>720</v>
      </c>
      <c r="I230" s="689" t="s">
        <v>771</v>
      </c>
      <c r="J230" s="677" t="s">
        <v>772</v>
      </c>
      <c r="K230" s="677">
        <v>165895</v>
      </c>
      <c r="L230" s="677" t="s">
        <v>334</v>
      </c>
      <c r="M230" s="677" t="s">
        <v>333</v>
      </c>
      <c r="N230" s="847">
        <v>97.915833000000006</v>
      </c>
      <c r="O230" s="681">
        <v>25.220278</v>
      </c>
      <c r="P230" s="744">
        <v>2404</v>
      </c>
      <c r="Q230" s="726">
        <v>155</v>
      </c>
      <c r="R230" s="726">
        <v>665</v>
      </c>
      <c r="S230" s="843">
        <f>IF(CampList[[#This Row],[HH]]&gt;0,CampList[[#This Row],[Total]]/CampList[[#This Row],[HH]],"NA")</f>
        <v>4.290322580645161</v>
      </c>
      <c r="T230" s="420" t="s">
        <v>515</v>
      </c>
      <c r="U230" s="455" t="s">
        <v>1194</v>
      </c>
      <c r="V230" s="420" t="s">
        <v>556</v>
      </c>
      <c r="W230" s="686" t="s">
        <v>859</v>
      </c>
      <c r="X230" s="905">
        <v>40848</v>
      </c>
      <c r="Y230" s="670">
        <v>3</v>
      </c>
      <c r="Z230" s="670" t="s">
        <v>1093</v>
      </c>
      <c r="AA230" s="681" t="s">
        <v>844</v>
      </c>
      <c r="AB230" s="907"/>
      <c r="AC230" s="693">
        <v>42537</v>
      </c>
      <c r="AD230" s="726" t="s">
        <v>1483</v>
      </c>
      <c r="AE230" s="690" t="s">
        <v>1080</v>
      </c>
      <c r="AF230" s="732">
        <f>IF(CampList[[#This Row],[Type of Accomodation]]="camp",MAX(0,CampList[[#This Row],[HH]]-SUMIF(Table_Shelter[Pcode],CampList[[#This Row],[CP_Pcode]],Table_Shelter[HH Covered])),0)</f>
        <v>0</v>
      </c>
      <c r="AG230" s="686"/>
      <c r="AH230" s="692">
        <f>MIN(CampList[[#This Row],[Shelter Gap]],CampList[[#This Row],[Land Status]])</f>
        <v>0</v>
      </c>
      <c r="AI230" s="732" t="str">
        <f ca="1">IFERROR(OFFSET(DistanceToCamp[Nearest Town],MATCH(CampList[[#This Row],[CP_Pcode]],DistanceToCamp[CP_Pcode],0)-1,0,1,1),"")</f>
        <v>Sadung Town</v>
      </c>
      <c r="AJ230" s="936">
        <f ca="1">IFERROR(OFFSET(DistanceToCamp[distance],MATCH(CampList[[#This Row],[CP_Pcode]],DistanceToCamp[CP_Pcode],0)-1,0,1,1),"")</f>
        <v>18.198335991626355</v>
      </c>
      <c r="AK230" s="956">
        <f ca="1">IFERROR(INT(CampList[[#This Row],[Distance]]/5)+1,"")</f>
        <v>4</v>
      </c>
      <c r="AL230" s="549"/>
      <c r="AM230" s="549"/>
      <c r="AN230" s="549"/>
      <c r="AY230" s="522"/>
      <c r="AZ230" s="522"/>
    </row>
    <row r="231" spans="1:52" s="706" customFormat="1" ht="15.6" hidden="1" customHeight="1" x14ac:dyDescent="0.25">
      <c r="A231" s="822" t="s">
        <v>845</v>
      </c>
      <c r="B231" s="774" t="s">
        <v>380</v>
      </c>
      <c r="C231" s="774" t="s">
        <v>527</v>
      </c>
      <c r="D231" s="774" t="s">
        <v>5</v>
      </c>
      <c r="E231" s="774" t="s">
        <v>531</v>
      </c>
      <c r="F231" s="774" t="s">
        <v>5</v>
      </c>
      <c r="G231" s="774" t="s">
        <v>532</v>
      </c>
      <c r="H231" s="774" t="s">
        <v>647</v>
      </c>
      <c r="I231" s="774" t="s">
        <v>648</v>
      </c>
      <c r="J231" s="774"/>
      <c r="K231" s="774"/>
      <c r="L231" s="774" t="s">
        <v>1024</v>
      </c>
      <c r="M231" s="774" t="s">
        <v>1021</v>
      </c>
      <c r="N231" s="729">
        <v>97.239130000000003</v>
      </c>
      <c r="O231" s="681">
        <v>24.229189999999999</v>
      </c>
      <c r="P231" s="687">
        <v>126</v>
      </c>
      <c r="Q231" s="799">
        <v>0</v>
      </c>
      <c r="R231" s="789">
        <v>0</v>
      </c>
      <c r="S231" s="845" t="str">
        <f>IF(CampList[[#This Row],[HH]]&gt;0,CampList[[#This Row],[Total]]/CampList[[#This Row],[HH]],"NA")</f>
        <v>NA</v>
      </c>
      <c r="T231" s="778" t="s">
        <v>513</v>
      </c>
      <c r="U231" s="779" t="s">
        <v>1194</v>
      </c>
      <c r="V231" s="773" t="s">
        <v>556</v>
      </c>
      <c r="W231" s="773" t="s">
        <v>805</v>
      </c>
      <c r="X231" s="913"/>
      <c r="Y231" s="789"/>
      <c r="Z231" s="895" t="s">
        <v>507</v>
      </c>
      <c r="AA231" s="800" t="s">
        <v>844</v>
      </c>
      <c r="AB231" s="895"/>
      <c r="AC231" s="792">
        <v>41906</v>
      </c>
      <c r="AD231" s="895" t="s">
        <v>1119</v>
      </c>
      <c r="AE231" s="811" t="s">
        <v>1096</v>
      </c>
      <c r="AF231" s="814">
        <f>IF(CampList[[#This Row],[Type of Accomodation]]="camp",MAX(0,CampList[[#This Row],[HH]]-SUMIF(Table_Shelter[Pcode],CampList[[#This Row],[CP_Pcode]],Table_Shelter[HH Covered])),0)</f>
        <v>0</v>
      </c>
      <c r="AG231" s="773"/>
      <c r="AH231" s="895">
        <f>MIN(CampList[[#This Row],[Shelter Gap]],CampList[[#This Row],[Land Status]])</f>
        <v>0</v>
      </c>
      <c r="AI231" s="773" t="str">
        <f ca="1">IFERROR(OFFSET(DistanceToCamp[Nearest Town],MATCH(CampList[[#This Row],[CP_Pcode]],DistanceToCamp[CP_Pcode],0)-1,0,1,1),"")</f>
        <v/>
      </c>
      <c r="AJ231" s="938" t="str">
        <f ca="1">IFERROR(OFFSET(DistanceToCamp[distance],MATCH(CampList[[#This Row],[CP_Pcode]],DistanceToCamp[CP_Pcode],0)-1,0,1,1),"")</f>
        <v/>
      </c>
      <c r="AK231" s="959" t="str">
        <f ca="1">IFERROR(INT(CampList[[#This Row],[Distance]]/5)+1,"")</f>
        <v/>
      </c>
      <c r="AL231" s="549"/>
      <c r="AM231" s="549"/>
      <c r="AN231" s="549"/>
      <c r="AY231" s="522"/>
      <c r="AZ231" s="522"/>
    </row>
    <row r="232" spans="1:52" s="706" customFormat="1" ht="15.6" hidden="1" customHeight="1" x14ac:dyDescent="0.25">
      <c r="A232" s="823" t="s">
        <v>845</v>
      </c>
      <c r="B232" s="216" t="s">
        <v>380</v>
      </c>
      <c r="C232" s="216" t="s">
        <v>527</v>
      </c>
      <c r="D232" s="216" t="s">
        <v>180</v>
      </c>
      <c r="E232" s="216" t="s">
        <v>528</v>
      </c>
      <c r="F232" s="216" t="s">
        <v>529</v>
      </c>
      <c r="G232" s="216" t="s">
        <v>530</v>
      </c>
      <c r="H232" s="669" t="s">
        <v>605</v>
      </c>
      <c r="I232" s="669" t="s">
        <v>606</v>
      </c>
      <c r="J232" s="669" t="s">
        <v>705</v>
      </c>
      <c r="K232" s="669" t="s">
        <v>706</v>
      </c>
      <c r="L232" s="216" t="s">
        <v>134</v>
      </c>
      <c r="M232" s="216" t="s">
        <v>133</v>
      </c>
      <c r="N232" s="729"/>
      <c r="O232" s="729"/>
      <c r="P232" s="670"/>
      <c r="Q232" s="671">
        <v>0</v>
      </c>
      <c r="R232" s="672">
        <v>0</v>
      </c>
      <c r="S232" s="843" t="str">
        <f>IF(CampList[[#This Row],[HH]]&gt;0,CampList[[#This Row],[Total]]/CampList[[#This Row],[HH]],"NA")</f>
        <v>NA</v>
      </c>
      <c r="T232" s="455" t="s">
        <v>513</v>
      </c>
      <c r="U232" s="673" t="s">
        <v>1194</v>
      </c>
      <c r="V232" s="668" t="s">
        <v>556</v>
      </c>
      <c r="W232" s="673"/>
      <c r="X232" s="898"/>
      <c r="Y232" s="670"/>
      <c r="Z232" s="899"/>
      <c r="AA232" s="675"/>
      <c r="AB232" s="883"/>
      <c r="AC232" s="900"/>
      <c r="AD232" s="885" t="s">
        <v>603</v>
      </c>
      <c r="AE232" s="674" t="s">
        <v>1010</v>
      </c>
      <c r="AF232" s="686">
        <f>IF(CampList[[#This Row],[Type of Accomodation]]="camp",MAX(0,CampList[[#This Row],[HH]]-SUMIF(Table_Shelter[Pcode],CampList[[#This Row],[CP_Pcode]],Table_Shelter[HH Covered])),0)</f>
        <v>0</v>
      </c>
      <c r="AG232" s="668"/>
      <c r="AH232" s="883">
        <f>MIN(CampList[[#This Row],[Shelter Gap]],CampList[[#This Row],[Land Status]])</f>
        <v>0</v>
      </c>
      <c r="AI232" s="668" t="str">
        <f ca="1">IFERROR(OFFSET(DistanceToCamp[Nearest Town],MATCH(CampList[[#This Row],[CP_Pcode]],DistanceToCamp[CP_Pcode],0)-1,0,1,1),"")</f>
        <v/>
      </c>
      <c r="AJ232" s="936" t="str">
        <f ca="1">IFERROR(OFFSET(DistanceToCamp[distance],MATCH(CampList[[#This Row],[CP_Pcode]],DistanceToCamp[CP_Pcode],0)-1,0,1,1),"")</f>
        <v/>
      </c>
      <c r="AK232" s="960" t="str">
        <f ca="1">IFERROR(INT(CampList[[#This Row],[Distance]]/5)+1,"")</f>
        <v/>
      </c>
      <c r="AL232" s="549"/>
      <c r="AM232" s="549"/>
      <c r="AN232" s="549"/>
      <c r="AY232" s="522"/>
      <c r="AZ232" s="522"/>
    </row>
    <row r="233" spans="1:52" s="706" customFormat="1" ht="15.6" hidden="1" customHeight="1" x14ac:dyDescent="0.25">
      <c r="A233" s="819" t="s">
        <v>845</v>
      </c>
      <c r="B233" s="701" t="s">
        <v>380</v>
      </c>
      <c r="C233" s="701" t="s">
        <v>527</v>
      </c>
      <c r="D233" s="701" t="s">
        <v>5</v>
      </c>
      <c r="E233" s="701" t="s">
        <v>531</v>
      </c>
      <c r="F233" s="701" t="s">
        <v>5</v>
      </c>
      <c r="G233" s="701" t="s">
        <v>532</v>
      </c>
      <c r="H233" s="747"/>
      <c r="I233" s="747"/>
      <c r="J233" s="747"/>
      <c r="K233" s="747"/>
      <c r="L233" s="701" t="s">
        <v>871</v>
      </c>
      <c r="M233" s="701" t="s">
        <v>857</v>
      </c>
      <c r="N233" s="729"/>
      <c r="O233" s="729"/>
      <c r="P233" s="680"/>
      <c r="Q233" s="748">
        <v>0</v>
      </c>
      <c r="R233" s="749">
        <v>0</v>
      </c>
      <c r="S233" s="841" t="str">
        <f>IF(CampList[[#This Row],[HH]]&gt;0,CampList[[#This Row],[Total]]/CampList[[#This Row],[HH]],"NA")</f>
        <v>NA</v>
      </c>
      <c r="T233" s="750" t="s">
        <v>513</v>
      </c>
      <c r="U233" s="703" t="s">
        <v>1194</v>
      </c>
      <c r="V233" s="700" t="s">
        <v>556</v>
      </c>
      <c r="W233" s="703" t="s">
        <v>805</v>
      </c>
      <c r="X233" s="906"/>
      <c r="Y233" s="916"/>
      <c r="Z233" s="906"/>
      <c r="AA233" s="705" t="s">
        <v>844</v>
      </c>
      <c r="AB233" s="878"/>
      <c r="AC233" s="901">
        <v>41701</v>
      </c>
      <c r="AD233" s="880" t="s">
        <v>1020</v>
      </c>
      <c r="AE233" s="704" t="s">
        <v>1010</v>
      </c>
      <c r="AF233" s="861">
        <f>IF(CampList[[#This Row],[Type of Accomodation]]="camp",MAX(0,CampList[[#This Row],[HH]]-SUMIF(Table_Shelter[Pcode],CampList[[#This Row],[CP_Pcode]],Table_Shelter[HH Covered])),0)</f>
        <v>0</v>
      </c>
      <c r="AG233" s="700"/>
      <c r="AH233" s="878">
        <f>MIN(CampList[[#This Row],[Shelter Gap]],CampList[[#This Row],[Land Status]])</f>
        <v>0</v>
      </c>
      <c r="AI233" s="700" t="str">
        <f ca="1">IFERROR(OFFSET(DistanceToCamp[Nearest Town],MATCH(CampList[[#This Row],[CP_Pcode]],DistanceToCamp[CP_Pcode],0)-1,0,1,1),"")</f>
        <v/>
      </c>
      <c r="AJ233" s="935" t="str">
        <f ca="1">IFERROR(OFFSET(DistanceToCamp[distance],MATCH(CampList[[#This Row],[CP_Pcode]],DistanceToCamp[CP_Pcode],0)-1,0,1,1),"")</f>
        <v/>
      </c>
      <c r="AK233" s="955" t="str">
        <f ca="1">IFERROR(INT(CampList[[#This Row],[Distance]]/5)+1,"")</f>
        <v/>
      </c>
      <c r="AL233" s="549"/>
      <c r="AM233" s="549"/>
      <c r="AN233" s="549"/>
      <c r="AY233" s="522"/>
      <c r="AZ233" s="522"/>
    </row>
    <row r="234" spans="1:52" s="706" customFormat="1" ht="15.6" customHeight="1" x14ac:dyDescent="0.25">
      <c r="A234" s="707" t="s">
        <v>502</v>
      </c>
      <c r="B234" s="216" t="s">
        <v>380</v>
      </c>
      <c r="C234" s="216" t="s">
        <v>527</v>
      </c>
      <c r="D234" s="216" t="s">
        <v>237</v>
      </c>
      <c r="E234" s="216" t="s">
        <v>533</v>
      </c>
      <c r="F234" s="216" t="s">
        <v>310</v>
      </c>
      <c r="G234" s="216" t="s">
        <v>534</v>
      </c>
      <c r="H234" s="216" t="s">
        <v>729</v>
      </c>
      <c r="I234" s="216" t="s">
        <v>730</v>
      </c>
      <c r="J234" s="216"/>
      <c r="K234" s="652"/>
      <c r="L234" s="216" t="s">
        <v>815</v>
      </c>
      <c r="M234" s="216" t="s">
        <v>816</v>
      </c>
      <c r="N234" s="842">
        <v>97.541793999999996</v>
      </c>
      <c r="O234" s="729">
        <v>24.752471</v>
      </c>
      <c r="P234" s="744"/>
      <c r="Q234" s="681"/>
      <c r="R234" s="687">
        <v>1047</v>
      </c>
      <c r="S234" s="843" t="str">
        <f>IF(CampList[[#This Row],[HH]]&gt;0,CampList[[#This Row],[Total]]/CampList[[#This Row],[HH]],"NA")</f>
        <v>NA</v>
      </c>
      <c r="T234" s="455" t="s">
        <v>515</v>
      </c>
      <c r="U234" s="673" t="s">
        <v>1194</v>
      </c>
      <c r="V234" s="668" t="s">
        <v>989</v>
      </c>
      <c r="W234" s="673" t="s">
        <v>805</v>
      </c>
      <c r="X234" s="898"/>
      <c r="Y234" s="670"/>
      <c r="Z234" s="899"/>
      <c r="AA234" s="683" t="s">
        <v>574</v>
      </c>
      <c r="AB234" s="883"/>
      <c r="AC234" s="693">
        <v>41899</v>
      </c>
      <c r="AD234" s="883" t="s">
        <v>1118</v>
      </c>
      <c r="AE234" s="674" t="s">
        <v>1081</v>
      </c>
      <c r="AF234" s="686">
        <f>IF(CampList[[#This Row],[Type of Accomodation]]="camp",MAX(0,CampList[[#This Row],[HH]]-SUMIF(Table_Shelter[Pcode],CampList[[#This Row],[CP_Pcode]],Table_Shelter[HH Covered])),0)</f>
        <v>0</v>
      </c>
      <c r="AG234" s="668"/>
      <c r="AH234" s="883">
        <f>MIN(CampList[[#This Row],[Shelter Gap]],CampList[[#This Row],[Land Status]])</f>
        <v>0</v>
      </c>
      <c r="AI234" s="668" t="str">
        <f ca="1">IFERROR(OFFSET(DistanceToCamp[Nearest Town],MATCH(CampList[[#This Row],[CP_Pcode]],DistanceToCamp[CP_Pcode],0)-1,0,1,1),"")</f>
        <v>Laiza town</v>
      </c>
      <c r="AJ234" s="936">
        <f ca="1">IFERROR(OFFSET(DistanceToCamp[distance],MATCH(CampList[[#This Row],[CP_Pcode]],DistanceToCamp[CP_Pcode],0)-1,0,1,1),"")</f>
        <v>2.3307568207764655</v>
      </c>
      <c r="AK234" s="957">
        <f ca="1">IFERROR(INT(CampList[[#This Row],[Distance]]/5)+1,"")</f>
        <v>1</v>
      </c>
      <c r="AL234" s="549"/>
      <c r="AM234" s="549"/>
      <c r="AN234" s="549"/>
      <c r="AY234" s="522"/>
      <c r="AZ234" s="522"/>
    </row>
    <row r="235" spans="1:52" s="706" customFormat="1" ht="15.6" customHeight="1" x14ac:dyDescent="0.25">
      <c r="A235" s="707" t="s">
        <v>502</v>
      </c>
      <c r="B235" s="216" t="s">
        <v>380</v>
      </c>
      <c r="C235" s="216" t="s">
        <v>527</v>
      </c>
      <c r="D235" s="216" t="s">
        <v>237</v>
      </c>
      <c r="E235" s="216" t="s">
        <v>533</v>
      </c>
      <c r="F235" s="216" t="s">
        <v>310</v>
      </c>
      <c r="G235" s="216" t="s">
        <v>534</v>
      </c>
      <c r="H235" s="679" t="s">
        <v>766</v>
      </c>
      <c r="I235" s="679" t="s">
        <v>767</v>
      </c>
      <c r="J235" s="941" t="s">
        <v>1520</v>
      </c>
      <c r="K235" s="941">
        <v>220360</v>
      </c>
      <c r="L235" s="435" t="s">
        <v>1249</v>
      </c>
      <c r="M235" s="216" t="s">
        <v>356</v>
      </c>
      <c r="N235" s="842">
        <v>97.756789999999995</v>
      </c>
      <c r="O235" s="729">
        <v>25.106670000000001</v>
      </c>
      <c r="P235" s="743">
        <v>756</v>
      </c>
      <c r="Q235" s="681">
        <v>612</v>
      </c>
      <c r="R235" s="681">
        <v>2806</v>
      </c>
      <c r="S235" s="843">
        <f>IF(CampList[[#This Row],[HH]]&gt;0,CampList[[#This Row],[Total]]/CampList[[#This Row],[HH]],"NA")</f>
        <v>4.5849673202614376</v>
      </c>
      <c r="T235" s="455" t="s">
        <v>515</v>
      </c>
      <c r="U235" s="673" t="s">
        <v>1194</v>
      </c>
      <c r="V235" s="668" t="s">
        <v>556</v>
      </c>
      <c r="W235" s="668" t="s">
        <v>858</v>
      </c>
      <c r="X235" s="881">
        <v>40848</v>
      </c>
      <c r="Y235" s="882">
        <v>3</v>
      </c>
      <c r="Z235" s="881" t="s">
        <v>462</v>
      </c>
      <c r="AA235" s="433" t="s">
        <v>844</v>
      </c>
      <c r="AB235" s="883"/>
      <c r="AC235" s="693">
        <v>42536</v>
      </c>
      <c r="AD235" s="884" t="s">
        <v>1450</v>
      </c>
      <c r="AE235" s="682" t="s">
        <v>1081</v>
      </c>
      <c r="AF235" s="686">
        <f>IF(CampList[[#This Row],[Type of Accomodation]]="camp",MAX(0,CampList[[#This Row],[HH]]-SUMIF(Table_Shelter[Pcode],CampList[[#This Row],[CP_Pcode]],Table_Shelter[HH Covered])),0)</f>
        <v>0</v>
      </c>
      <c r="AG235" s="668"/>
      <c r="AH235" s="883">
        <f>MIN(CampList[[#This Row],[Shelter Gap]],CampList[[#This Row],[Land Status]])</f>
        <v>0</v>
      </c>
      <c r="AI235" s="668" t="str">
        <f ca="1">IFERROR(OFFSET(DistanceToCamp[Nearest Town],MATCH(CampList[[#This Row],[CP_Pcode]],DistanceToCamp[CP_Pcode],0)-1,0,1,1),"")</f>
        <v>Sadung Town</v>
      </c>
      <c r="AJ235" s="936">
        <f ca="1">IFERROR(OFFSET(DistanceToCamp[distance],MATCH(CampList[[#This Row],[CP_Pcode]],DistanceToCamp[CP_Pcode],0)-1,0,1,1),"")</f>
        <v>32.827754639406997</v>
      </c>
      <c r="AK235" s="957">
        <f ca="1">IFERROR(INT(CampList[[#This Row],[Distance]]/5)+1,"")</f>
        <v>7</v>
      </c>
      <c r="AL235" s="549"/>
      <c r="AM235" s="549"/>
      <c r="AN235" s="549"/>
      <c r="AY235" s="522"/>
      <c r="AZ235" s="522"/>
    </row>
    <row r="236" spans="1:52" s="708" customFormat="1" ht="15.6" hidden="1" customHeight="1" x14ac:dyDescent="0.25">
      <c r="A236" s="822" t="s">
        <v>845</v>
      </c>
      <c r="B236" s="774" t="s">
        <v>380</v>
      </c>
      <c r="C236" s="774" t="s">
        <v>527</v>
      </c>
      <c r="D236" s="774" t="s">
        <v>237</v>
      </c>
      <c r="E236" s="774" t="s">
        <v>533</v>
      </c>
      <c r="F236" s="774" t="s">
        <v>310</v>
      </c>
      <c r="G236" s="774" t="s">
        <v>534</v>
      </c>
      <c r="H236" s="787" t="s">
        <v>697</v>
      </c>
      <c r="I236" s="787" t="s">
        <v>698</v>
      </c>
      <c r="J236" s="787" t="s">
        <v>718</v>
      </c>
      <c r="K236" s="787" t="s">
        <v>719</v>
      </c>
      <c r="L236" s="828" t="s">
        <v>311</v>
      </c>
      <c r="M236" s="774" t="s">
        <v>309</v>
      </c>
      <c r="N236" s="729">
        <v>97.438259000000002</v>
      </c>
      <c r="O236" s="729">
        <v>25.355841999999999</v>
      </c>
      <c r="P236" s="680">
        <v>0</v>
      </c>
      <c r="Q236" s="788"/>
      <c r="R236" s="789"/>
      <c r="S236" s="845" t="str">
        <f>IF(CampList[[#This Row],[HH]]&gt;0,CampList[[#This Row],[Total]]/CampList[[#This Row],[HH]],"NA")</f>
        <v>NA</v>
      </c>
      <c r="T236" s="778" t="s">
        <v>513</v>
      </c>
      <c r="U236" s="773" t="s">
        <v>1194</v>
      </c>
      <c r="V236" s="773" t="s">
        <v>989</v>
      </c>
      <c r="W236" s="773" t="s">
        <v>805</v>
      </c>
      <c r="X236" s="908">
        <v>40848</v>
      </c>
      <c r="Y236" s="926">
        <v>1</v>
      </c>
      <c r="Z236" s="908" t="s">
        <v>462</v>
      </c>
      <c r="AA236" s="791" t="s">
        <v>844</v>
      </c>
      <c r="AB236" s="895"/>
      <c r="AC236" s="792">
        <v>42432</v>
      </c>
      <c r="AD236" s="910" t="s">
        <v>1379</v>
      </c>
      <c r="AE236" s="793" t="s">
        <v>1096</v>
      </c>
      <c r="AF236" s="814">
        <f>IF(CampList[[#This Row],[Type of Accomodation]]="camp",MAX(0,CampList[[#This Row],[HH]]-SUMIF(Table_Shelter[Pcode],CampList[[#This Row],[CP_Pcode]],Table_Shelter[HH Covered])),0)</f>
        <v>0</v>
      </c>
      <c r="AG236" s="773"/>
      <c r="AH236" s="895">
        <f>MIN(CampList[[#This Row],[Shelter Gap]],CampList[[#This Row],[Land Status]])</f>
        <v>0</v>
      </c>
      <c r="AI236" s="773" t="str">
        <f ca="1">IFERROR(OFFSET(DistanceToCamp[Nearest Town],MATCH(CampList[[#This Row],[CP_Pcode]],DistanceToCamp[CP_Pcode],0)-1,0,1,1),"")</f>
        <v>Waingmaw Town</v>
      </c>
      <c r="AJ236" s="938">
        <f ca="1">IFERROR(OFFSET(DistanceToCamp[distance],MATCH(CampList[[#This Row],[CP_Pcode]],DistanceToCamp[CP_Pcode],0)-1,0,1,1),"")</f>
        <v>0.70725493400809891</v>
      </c>
      <c r="AK236" s="959">
        <f ca="1">IFERROR(INT(CampList[[#This Row],[Distance]]/5)+1,"")</f>
        <v>1</v>
      </c>
      <c r="AL236" s="598"/>
      <c r="AM236" s="598"/>
      <c r="AN236" s="598"/>
      <c r="AY236" s="599"/>
      <c r="AZ236" s="599"/>
    </row>
    <row r="237" spans="1:52" s="706" customFormat="1" ht="15.6" hidden="1" customHeight="1" x14ac:dyDescent="0.25">
      <c r="A237" s="819" t="s">
        <v>845</v>
      </c>
      <c r="B237" s="701" t="s">
        <v>380</v>
      </c>
      <c r="C237" s="701" t="s">
        <v>527</v>
      </c>
      <c r="D237" s="701" t="s">
        <v>180</v>
      </c>
      <c r="E237" s="701" t="s">
        <v>528</v>
      </c>
      <c r="F237" s="701" t="s">
        <v>529</v>
      </c>
      <c r="G237" s="701" t="s">
        <v>530</v>
      </c>
      <c r="H237" s="747" t="s">
        <v>600</v>
      </c>
      <c r="I237" s="747" t="s">
        <v>601</v>
      </c>
      <c r="J237" s="747" t="s">
        <v>600</v>
      </c>
      <c r="K237" s="747">
        <v>166783</v>
      </c>
      <c r="L237" s="701" t="s">
        <v>64</v>
      </c>
      <c r="M237" s="701" t="s">
        <v>63</v>
      </c>
      <c r="N237" s="729">
        <v>96.288250000000005</v>
      </c>
      <c r="O237" s="729">
        <v>25.57921</v>
      </c>
      <c r="P237" s="680">
        <v>0</v>
      </c>
      <c r="Q237" s="748">
        <v>0</v>
      </c>
      <c r="R237" s="749">
        <v>0</v>
      </c>
      <c r="S237" s="841" t="str">
        <f>IF(CampList[[#This Row],[HH]]&gt;0,CampList[[#This Row],[Total]]/CampList[[#This Row],[HH]],"NA")</f>
        <v>NA</v>
      </c>
      <c r="T237" s="750" t="s">
        <v>513</v>
      </c>
      <c r="U237" s="703" t="s">
        <v>1194</v>
      </c>
      <c r="V237" s="700" t="s">
        <v>556</v>
      </c>
      <c r="W237" s="703" t="s">
        <v>858</v>
      </c>
      <c r="X237" s="906">
        <v>41275</v>
      </c>
      <c r="Y237" s="916"/>
      <c r="Z237" s="906" t="s">
        <v>1093</v>
      </c>
      <c r="AA237" s="751" t="s">
        <v>843</v>
      </c>
      <c r="AB237" s="878"/>
      <c r="AC237" s="901">
        <v>41736</v>
      </c>
      <c r="AD237" s="878" t="s">
        <v>1041</v>
      </c>
      <c r="AE237" s="704" t="s">
        <v>1010</v>
      </c>
      <c r="AF237" s="861">
        <f>IF(CampList[[#This Row],[Type of Accomodation]]="camp",MAX(0,CampList[[#This Row],[HH]]-SUMIF(Table_Shelter[Pcode],CampList[[#This Row],[CP_Pcode]],Table_Shelter[HH Covered])),0)</f>
        <v>0</v>
      </c>
      <c r="AG237" s="700"/>
      <c r="AH237" s="878">
        <f>MIN(CampList[[#This Row],[Shelter Gap]],CampList[[#This Row],[Land Status]])</f>
        <v>0</v>
      </c>
      <c r="AI237" s="700" t="str">
        <f ca="1">IFERROR(OFFSET(DistanceToCamp[Nearest Town],MATCH(CampList[[#This Row],[CP_Pcode]],DistanceToCamp[CP_Pcode],0)-1,0,1,1),"")</f>
        <v/>
      </c>
      <c r="AJ237" s="935" t="str">
        <f ca="1">IFERROR(OFFSET(DistanceToCamp[distance],MATCH(CampList[[#This Row],[CP_Pcode]],DistanceToCamp[CP_Pcode],0)-1,0,1,1),"")</f>
        <v/>
      </c>
      <c r="AK237" s="955" t="str">
        <f ca="1">IFERROR(INT(CampList[[#This Row],[Distance]]/5)+1,"")</f>
        <v/>
      </c>
      <c r="AL237" s="549"/>
      <c r="AM237" s="549"/>
      <c r="AN237" s="549"/>
      <c r="AY237" s="522"/>
      <c r="AZ237" s="522"/>
    </row>
    <row r="238" spans="1:52" s="706" customFormat="1" ht="15.6" customHeight="1" x14ac:dyDescent="0.25">
      <c r="A238" s="707" t="s">
        <v>502</v>
      </c>
      <c r="B238" s="216" t="s">
        <v>380</v>
      </c>
      <c r="C238" s="216" t="s">
        <v>527</v>
      </c>
      <c r="D238" s="216" t="s">
        <v>237</v>
      </c>
      <c r="E238" s="216" t="s">
        <v>533</v>
      </c>
      <c r="F238" s="216" t="s">
        <v>310</v>
      </c>
      <c r="G238" s="216" t="s">
        <v>534</v>
      </c>
      <c r="H238" s="679" t="s">
        <v>697</v>
      </c>
      <c r="I238" s="679" t="s">
        <v>698</v>
      </c>
      <c r="J238" s="679" t="s">
        <v>718</v>
      </c>
      <c r="K238" s="679" t="s">
        <v>719</v>
      </c>
      <c r="L238" s="435" t="s">
        <v>342</v>
      </c>
      <c r="M238" s="216" t="s">
        <v>341</v>
      </c>
      <c r="N238" s="842">
        <v>97.438432380952406</v>
      </c>
      <c r="O238" s="729">
        <v>25.351724999999998</v>
      </c>
      <c r="P238" s="743">
        <v>0</v>
      </c>
      <c r="Q238" s="681">
        <v>65</v>
      </c>
      <c r="R238" s="681">
        <v>328</v>
      </c>
      <c r="S238" s="843">
        <f>IF(CampList[[#This Row],[HH]]&gt;0,CampList[[#This Row],[Total]]/CampList[[#This Row],[HH]],"NA")</f>
        <v>5.046153846153846</v>
      </c>
      <c r="T238" s="455" t="s">
        <v>513</v>
      </c>
      <c r="U238" s="673" t="s">
        <v>1194</v>
      </c>
      <c r="V238" s="668" t="s">
        <v>556</v>
      </c>
      <c r="W238" s="673" t="s">
        <v>805</v>
      </c>
      <c r="X238" s="881">
        <v>40695</v>
      </c>
      <c r="Y238" s="882">
        <v>2</v>
      </c>
      <c r="Z238" s="881" t="s">
        <v>462</v>
      </c>
      <c r="AA238" s="433" t="s">
        <v>844</v>
      </c>
      <c r="AB238" s="883"/>
      <c r="AC238" s="693">
        <v>42536</v>
      </c>
      <c r="AD238" s="884" t="s">
        <v>1440</v>
      </c>
      <c r="AE238" s="682" t="s">
        <v>1096</v>
      </c>
      <c r="AF238" s="686">
        <f>IF(CampList[[#This Row],[Type of Accomodation]]="camp",MAX(0,CampList[[#This Row],[HH]]-SUMIF(Table_Shelter[Pcode],CampList[[#This Row],[CP_Pcode]],Table_Shelter[HH Covered])),0)</f>
        <v>27</v>
      </c>
      <c r="AG238" s="686"/>
      <c r="AH238" s="883">
        <f>MIN(CampList[[#This Row],[Shelter Gap]],CampList[[#This Row],[Land Status]])</f>
        <v>27</v>
      </c>
      <c r="AI238" s="668" t="str">
        <f ca="1">IFERROR(OFFSET(DistanceToCamp[Nearest Town],MATCH(CampList[[#This Row],[CP_Pcode]],DistanceToCamp[CP_Pcode],0)-1,0,1,1),"")</f>
        <v>Waingmaw Town</v>
      </c>
      <c r="AJ238" s="936">
        <f ca="1">IFERROR(OFFSET(DistanceToCamp[distance],MATCH(CampList[[#This Row],[CP_Pcode]],DistanceToCamp[CP_Pcode],0)-1,0,1,1),"")</f>
        <v>0.4474205416025816</v>
      </c>
      <c r="AK238" s="957">
        <f ca="1">IFERROR(INT(CampList[[#This Row],[Distance]]/5)+1,"")</f>
        <v>1</v>
      </c>
      <c r="AL238" s="549"/>
      <c r="AM238" s="549"/>
      <c r="AN238" s="549"/>
      <c r="AY238" s="522"/>
      <c r="AZ238" s="522"/>
    </row>
    <row r="239" spans="1:52" s="706" customFormat="1" ht="15.6" customHeight="1" x14ac:dyDescent="0.25">
      <c r="A239" s="707" t="s">
        <v>502</v>
      </c>
      <c r="B239" s="216" t="s">
        <v>380</v>
      </c>
      <c r="C239" s="216" t="s">
        <v>527</v>
      </c>
      <c r="D239" s="216" t="s">
        <v>237</v>
      </c>
      <c r="E239" s="216" t="s">
        <v>533</v>
      </c>
      <c r="F239" s="216" t="s">
        <v>310</v>
      </c>
      <c r="G239" s="216" t="s">
        <v>534</v>
      </c>
      <c r="H239" s="679" t="s">
        <v>697</v>
      </c>
      <c r="I239" s="679" t="s">
        <v>698</v>
      </c>
      <c r="J239" s="679" t="s">
        <v>718</v>
      </c>
      <c r="K239" s="679" t="s">
        <v>719</v>
      </c>
      <c r="L239" s="216" t="s">
        <v>318</v>
      </c>
      <c r="M239" s="216" t="s">
        <v>317</v>
      </c>
      <c r="N239" s="842">
        <v>97.441166388888902</v>
      </c>
      <c r="O239" s="729">
        <v>25.3540362037037</v>
      </c>
      <c r="P239" s="743">
        <v>0</v>
      </c>
      <c r="Q239" s="692">
        <v>91</v>
      </c>
      <c r="R239" s="687">
        <v>329</v>
      </c>
      <c r="S239" s="843">
        <f>IF(CampList[[#This Row],[HH]]&gt;0,CampList[[#This Row],[Total]]/CampList[[#This Row],[HH]],"NA")</f>
        <v>3.6153846153846154</v>
      </c>
      <c r="T239" s="455" t="s">
        <v>513</v>
      </c>
      <c r="U239" s="673" t="s">
        <v>1194</v>
      </c>
      <c r="V239" s="668" t="s">
        <v>556</v>
      </c>
      <c r="W239" s="673" t="s">
        <v>805</v>
      </c>
      <c r="X239" s="881">
        <v>40725</v>
      </c>
      <c r="Y239" s="882">
        <v>2</v>
      </c>
      <c r="Z239" s="881" t="s">
        <v>507</v>
      </c>
      <c r="AA239" s="433" t="s">
        <v>844</v>
      </c>
      <c r="AB239" s="883"/>
      <c r="AC239" s="693">
        <v>42537</v>
      </c>
      <c r="AD239" s="884" t="s">
        <v>1506</v>
      </c>
      <c r="AE239" s="682" t="s">
        <v>1096</v>
      </c>
      <c r="AF239" s="686">
        <f>IF(CampList[[#This Row],[Type of Accomodation]]="camp",MAX(0,CampList[[#This Row],[HH]]-SUMIF(Table_Shelter[Pcode],CampList[[#This Row],[CP_Pcode]],Table_Shelter[HH Covered])),0)</f>
        <v>0</v>
      </c>
      <c r="AG239" s="686"/>
      <c r="AH239" s="883">
        <f>MIN(CampList[[#This Row],[Shelter Gap]],CampList[[#This Row],[Land Status]])</f>
        <v>0</v>
      </c>
      <c r="AI239" s="668" t="str">
        <f ca="1">IFERROR(OFFSET(DistanceToCamp[Nearest Town],MATCH(CampList[[#This Row],[CP_Pcode]],DistanceToCamp[CP_Pcode],0)-1,0,1,1),"")</f>
        <v>Waingmaw Town</v>
      </c>
      <c r="AJ239" s="936">
        <f ca="1">IFERROR(OFFSET(DistanceToCamp[distance],MATCH(CampList[[#This Row],[CP_Pcode]],DistanceToCamp[CP_Pcode],0)-1,0,1,1),"")</f>
        <v>0.37684287609457234</v>
      </c>
      <c r="AK239" s="957">
        <f ca="1">IFERROR(INT(CampList[[#This Row],[Distance]]/5)+1,"")</f>
        <v>1</v>
      </c>
      <c r="AL239" s="549"/>
      <c r="AM239" s="549"/>
      <c r="AN239" s="549"/>
      <c r="AY239" s="522"/>
      <c r="AZ239" s="522"/>
    </row>
    <row r="240" spans="1:52" s="706" customFormat="1" ht="15.6" hidden="1" customHeight="1" x14ac:dyDescent="0.25">
      <c r="A240" s="822" t="s">
        <v>845</v>
      </c>
      <c r="B240" s="774" t="s">
        <v>380</v>
      </c>
      <c r="C240" s="774" t="s">
        <v>527</v>
      </c>
      <c r="D240" s="774" t="s">
        <v>237</v>
      </c>
      <c r="E240" s="774" t="s">
        <v>533</v>
      </c>
      <c r="F240" s="774" t="s">
        <v>27</v>
      </c>
      <c r="G240" s="774" t="s">
        <v>536</v>
      </c>
      <c r="H240" s="774"/>
      <c r="I240" s="774"/>
      <c r="J240" s="774"/>
      <c r="K240" s="774"/>
      <c r="L240" s="774" t="s">
        <v>37</v>
      </c>
      <c r="M240" s="774" t="s">
        <v>36</v>
      </c>
      <c r="N240" s="729"/>
      <c r="O240" s="729"/>
      <c r="P240" s="670"/>
      <c r="Q240" s="776">
        <v>0</v>
      </c>
      <c r="R240" s="777">
        <v>0</v>
      </c>
      <c r="S240" s="845" t="str">
        <f>IF(CampList[[#This Row],[HH]]&gt;0,CampList[[#This Row],[Total]]/CampList[[#This Row],[HH]],"NA")</f>
        <v>NA</v>
      </c>
      <c r="T240" s="778" t="s">
        <v>513</v>
      </c>
      <c r="U240" s="779" t="s">
        <v>1194</v>
      </c>
      <c r="V240" s="773" t="s">
        <v>556</v>
      </c>
      <c r="W240" s="779"/>
      <c r="X240" s="892"/>
      <c r="Y240" s="893"/>
      <c r="Z240" s="894"/>
      <c r="AA240" s="806"/>
      <c r="AB240" s="895"/>
      <c r="AC240" s="896"/>
      <c r="AD240" s="897" t="s">
        <v>603</v>
      </c>
      <c r="AE240" s="780" t="s">
        <v>1010</v>
      </c>
      <c r="AF240" s="814">
        <f>IF(CampList[[#This Row],[Type of Accomodation]]="camp",MAX(0,CampList[[#This Row],[HH]]-SUMIF(Table_Shelter[Pcode],CampList[[#This Row],[CP_Pcode]],Table_Shelter[HH Covered])),0)</f>
        <v>0</v>
      </c>
      <c r="AG240" s="773"/>
      <c r="AH240" s="895">
        <f>MIN(CampList[[#This Row],[Shelter Gap]],CampList[[#This Row],[Land Status]])</f>
        <v>0</v>
      </c>
      <c r="AI240" s="773" t="str">
        <f ca="1">IFERROR(OFFSET(DistanceToCamp[Nearest Town],MATCH(CampList[[#This Row],[CP_Pcode]],DistanceToCamp[CP_Pcode],0)-1,0,1,1),"")</f>
        <v/>
      </c>
      <c r="AJ240" s="938" t="str">
        <f ca="1">IFERROR(OFFSET(DistanceToCamp[distance],MATCH(CampList[[#This Row],[CP_Pcode]],DistanceToCamp[CP_Pcode],0)-1,0,1,1),"")</f>
        <v/>
      </c>
      <c r="AK240" s="959" t="str">
        <f ca="1">IFERROR(INT(CampList[[#This Row],[Distance]]/5)+1,"")</f>
        <v/>
      </c>
      <c r="AL240" s="549"/>
      <c r="AM240" s="549"/>
      <c r="AN240" s="549"/>
      <c r="AY240" s="522"/>
      <c r="AZ240" s="522"/>
    </row>
    <row r="241" spans="1:52" s="706" customFormat="1" ht="15.6" hidden="1" customHeight="1" x14ac:dyDescent="0.25">
      <c r="A241" s="819" t="s">
        <v>845</v>
      </c>
      <c r="B241" s="701" t="s">
        <v>380</v>
      </c>
      <c r="C241" s="701" t="s">
        <v>527</v>
      </c>
      <c r="D241" s="701" t="s">
        <v>180</v>
      </c>
      <c r="E241" s="701" t="s">
        <v>528</v>
      </c>
      <c r="F241" s="701" t="s">
        <v>529</v>
      </c>
      <c r="G241" s="701" t="s">
        <v>530</v>
      </c>
      <c r="H241" s="747" t="s">
        <v>605</v>
      </c>
      <c r="I241" s="747" t="s">
        <v>606</v>
      </c>
      <c r="J241" s="747" t="s">
        <v>703</v>
      </c>
      <c r="K241" s="747" t="s">
        <v>704</v>
      </c>
      <c r="L241" s="701" t="s">
        <v>74</v>
      </c>
      <c r="M241" s="701" t="s">
        <v>73</v>
      </c>
      <c r="N241" s="729"/>
      <c r="O241" s="729"/>
      <c r="P241" s="670"/>
      <c r="Q241" s="748">
        <v>0</v>
      </c>
      <c r="R241" s="749">
        <v>0</v>
      </c>
      <c r="S241" s="841" t="str">
        <f>IF(CampList[[#This Row],[HH]]&gt;0,CampList[[#This Row],[Total]]/CampList[[#This Row],[HH]],"NA")</f>
        <v>NA</v>
      </c>
      <c r="T241" s="750" t="s">
        <v>513</v>
      </c>
      <c r="U241" s="703" t="s">
        <v>1194</v>
      </c>
      <c r="V241" s="700" t="s">
        <v>556</v>
      </c>
      <c r="W241" s="703"/>
      <c r="X241" s="876"/>
      <c r="Y241" s="710"/>
      <c r="Z241" s="877"/>
      <c r="AA241" s="751"/>
      <c r="AB241" s="878"/>
      <c r="AC241" s="879"/>
      <c r="AD241" s="880" t="s">
        <v>603</v>
      </c>
      <c r="AE241" s="711" t="s">
        <v>1010</v>
      </c>
      <c r="AF241" s="861">
        <f>IF(CampList[[#This Row],[Type of Accomodation]]="camp",MAX(0,CampList[[#This Row],[HH]]-SUMIF(Table_Shelter[Pcode],CampList[[#This Row],[CP_Pcode]],Table_Shelter[HH Covered])),0)</f>
        <v>0</v>
      </c>
      <c r="AG241" s="700"/>
      <c r="AH241" s="878">
        <f>MIN(CampList[[#This Row],[Shelter Gap]],CampList[[#This Row],[Land Status]])</f>
        <v>0</v>
      </c>
      <c r="AI241" s="700" t="str">
        <f ca="1">IFERROR(OFFSET(DistanceToCamp[Nearest Town],MATCH(CampList[[#This Row],[CP_Pcode]],DistanceToCamp[CP_Pcode],0)-1,0,1,1),"")</f>
        <v/>
      </c>
      <c r="AJ241" s="935" t="str">
        <f ca="1">IFERROR(OFFSET(DistanceToCamp[distance],MATCH(CampList[[#This Row],[CP_Pcode]],DistanceToCamp[CP_Pcode],0)-1,0,1,1),"")</f>
        <v/>
      </c>
      <c r="AK241" s="955" t="str">
        <f ca="1">IFERROR(INT(CampList[[#This Row],[Distance]]/5)+1,"")</f>
        <v/>
      </c>
      <c r="AL241" s="549"/>
      <c r="AM241" s="549"/>
      <c r="AN241" s="549"/>
      <c r="AY241" s="522"/>
      <c r="AZ241" s="522"/>
    </row>
    <row r="242" spans="1:52" s="706" customFormat="1" ht="15.6" customHeight="1" x14ac:dyDescent="0.25">
      <c r="A242" s="707" t="s">
        <v>502</v>
      </c>
      <c r="B242" s="216" t="s">
        <v>380</v>
      </c>
      <c r="C242" s="216" t="s">
        <v>527</v>
      </c>
      <c r="D242" s="216" t="s">
        <v>237</v>
      </c>
      <c r="E242" s="216" t="s">
        <v>533</v>
      </c>
      <c r="F242" s="216" t="s">
        <v>310</v>
      </c>
      <c r="G242" s="216" t="s">
        <v>534</v>
      </c>
      <c r="H242" s="679" t="s">
        <v>697</v>
      </c>
      <c r="I242" s="679" t="s">
        <v>698</v>
      </c>
      <c r="J242" s="679" t="s">
        <v>716</v>
      </c>
      <c r="K242" s="679" t="s">
        <v>717</v>
      </c>
      <c r="L242" s="216" t="s">
        <v>338</v>
      </c>
      <c r="M242" s="216" t="s">
        <v>337</v>
      </c>
      <c r="N242" s="842">
        <v>97.437472666666693</v>
      </c>
      <c r="O242" s="729">
        <v>25.345918166666699</v>
      </c>
      <c r="P242" s="743"/>
      <c r="Q242" s="692">
        <v>31</v>
      </c>
      <c r="R242" s="687">
        <v>171</v>
      </c>
      <c r="S242" s="843">
        <f>IF(CampList[[#This Row],[HH]]&gt;0,CampList[[#This Row],[Total]]/CampList[[#This Row],[HH]],"NA")</f>
        <v>5.5161290322580649</v>
      </c>
      <c r="T242" s="455" t="s">
        <v>513</v>
      </c>
      <c r="U242" s="673" t="s">
        <v>1194</v>
      </c>
      <c r="V242" s="668" t="s">
        <v>556</v>
      </c>
      <c r="W242" s="673" t="s">
        <v>805</v>
      </c>
      <c r="X242" s="881">
        <v>40695</v>
      </c>
      <c r="Y242" s="882">
        <v>1</v>
      </c>
      <c r="Z242" s="881" t="s">
        <v>507</v>
      </c>
      <c r="AA242" s="433" t="s">
        <v>844</v>
      </c>
      <c r="AB242" s="883"/>
      <c r="AC242" s="693">
        <v>42537</v>
      </c>
      <c r="AD242" s="884" t="s">
        <v>1500</v>
      </c>
      <c r="AE242" s="682" t="s">
        <v>1096</v>
      </c>
      <c r="AF242" s="686">
        <f>IF(CampList[[#This Row],[Type of Accomodation]]="camp",MAX(0,CampList[[#This Row],[HH]]-SUMIF(Table_Shelter[Pcode],CampList[[#This Row],[CP_Pcode]],Table_Shelter[HH Covered])),0)</f>
        <v>0</v>
      </c>
      <c r="AG242" s="686"/>
      <c r="AH242" s="883">
        <f>MIN(CampList[[#This Row],[Shelter Gap]],CampList[[#This Row],[Land Status]])</f>
        <v>0</v>
      </c>
      <c r="AI242" s="668" t="str">
        <f ca="1">IFERROR(OFFSET(DistanceToCamp[Nearest Town],MATCH(CampList[[#This Row],[CP_Pcode]],DistanceToCamp[CP_Pcode],0)-1,0,1,1),"")</f>
        <v>Waingmaw Town</v>
      </c>
      <c r="AJ242" s="936">
        <f ca="1">IFERROR(OFFSET(DistanceToCamp[distance],MATCH(CampList[[#This Row],[CP_Pcode]],DistanceToCamp[CP_Pcode],0)-1,0,1,1),"")</f>
        <v>0.77827912736780092</v>
      </c>
      <c r="AK242" s="957">
        <f ca="1">IFERROR(INT(CampList[[#This Row],[Distance]]/5)+1,"")</f>
        <v>1</v>
      </c>
      <c r="AL242" s="549"/>
      <c r="AM242" s="549"/>
      <c r="AN242" s="549"/>
      <c r="AY242" s="522"/>
      <c r="AZ242" s="522"/>
    </row>
    <row r="243" spans="1:52" s="709" customFormat="1" ht="15.6" customHeight="1" x14ac:dyDescent="0.25">
      <c r="A243" s="707" t="s">
        <v>502</v>
      </c>
      <c r="B243" s="216" t="s">
        <v>380</v>
      </c>
      <c r="C243" s="216" t="s">
        <v>527</v>
      </c>
      <c r="D243" s="216" t="s">
        <v>237</v>
      </c>
      <c r="E243" s="216" t="s">
        <v>533</v>
      </c>
      <c r="F243" s="216" t="s">
        <v>310</v>
      </c>
      <c r="G243" s="216" t="s">
        <v>534</v>
      </c>
      <c r="H243" s="679" t="s">
        <v>697</v>
      </c>
      <c r="I243" s="679" t="s">
        <v>698</v>
      </c>
      <c r="J243" s="679" t="s">
        <v>716</v>
      </c>
      <c r="K243" s="679" t="s">
        <v>717</v>
      </c>
      <c r="L243" s="216" t="s">
        <v>316</v>
      </c>
      <c r="M243" s="216" t="s">
        <v>315</v>
      </c>
      <c r="N243" s="842">
        <v>97.444283730158702</v>
      </c>
      <c r="O243" s="729">
        <v>25.351250396825399</v>
      </c>
      <c r="P243" s="743">
        <v>476</v>
      </c>
      <c r="Q243" s="692">
        <v>70</v>
      </c>
      <c r="R243" s="687">
        <v>278</v>
      </c>
      <c r="S243" s="843">
        <f>IF(CampList[[#This Row],[HH]]&gt;0,CampList[[#This Row],[Total]]/CampList[[#This Row],[HH]],"NA")</f>
        <v>3.9714285714285715</v>
      </c>
      <c r="T243" s="455" t="s">
        <v>513</v>
      </c>
      <c r="U243" s="673" t="s">
        <v>1194</v>
      </c>
      <c r="V243" s="668" t="s">
        <v>556</v>
      </c>
      <c r="W243" s="673" t="s">
        <v>805</v>
      </c>
      <c r="X243" s="881">
        <v>40848</v>
      </c>
      <c r="Y243" s="882">
        <v>1</v>
      </c>
      <c r="Z243" s="881" t="s">
        <v>507</v>
      </c>
      <c r="AA243" s="433" t="s">
        <v>844</v>
      </c>
      <c r="AB243" s="883"/>
      <c r="AC243" s="693">
        <v>42537</v>
      </c>
      <c r="AD243" s="884" t="s">
        <v>1507</v>
      </c>
      <c r="AE243" s="682" t="s">
        <v>1096</v>
      </c>
      <c r="AF243" s="686">
        <f>IF(CampList[[#This Row],[Type of Accomodation]]="camp",MAX(0,CampList[[#This Row],[HH]]-SUMIF(Table_Shelter[Pcode],CampList[[#This Row],[CP_Pcode]],Table_Shelter[HH Covered])),0)</f>
        <v>15</v>
      </c>
      <c r="AG243" s="668"/>
      <c r="AH243" s="883">
        <f>MIN(CampList[[#This Row],[Shelter Gap]],CampList[[#This Row],[Land Status]])</f>
        <v>15</v>
      </c>
      <c r="AI243" s="668" t="str">
        <f ca="1">IFERROR(OFFSET(DistanceToCamp[Nearest Town],MATCH(CampList[[#This Row],[CP_Pcode]],DistanceToCamp[CP_Pcode],0)-1,0,1,1),"")</f>
        <v>Waingmaw Town</v>
      </c>
      <c r="AJ243" s="936">
        <f ca="1">IFERROR(OFFSET(DistanceToCamp[distance],MATCH(CampList[[#This Row],[CP_Pcode]],DistanceToCamp[CP_Pcode],0)-1,0,1,1),"")</f>
        <v>0.15089472113650237</v>
      </c>
      <c r="AK243" s="957">
        <f ca="1">IFERROR(INT(CampList[[#This Row],[Distance]]/5)+1,"")</f>
        <v>1</v>
      </c>
      <c r="AL243" s="550"/>
      <c r="AM243" s="550"/>
      <c r="AN243" s="550"/>
      <c r="AY243" s="540"/>
      <c r="AZ243" s="540"/>
    </row>
    <row r="244" spans="1:52" s="709" customFormat="1" ht="15.6" customHeight="1" x14ac:dyDescent="0.25">
      <c r="A244" s="707" t="s">
        <v>502</v>
      </c>
      <c r="B244" s="216" t="s">
        <v>380</v>
      </c>
      <c r="C244" s="216" t="s">
        <v>527</v>
      </c>
      <c r="D244" s="216" t="s">
        <v>237</v>
      </c>
      <c r="E244" s="216" t="s">
        <v>533</v>
      </c>
      <c r="F244" s="216" t="s">
        <v>310</v>
      </c>
      <c r="G244" s="216" t="s">
        <v>534</v>
      </c>
      <c r="H244" s="679" t="s">
        <v>697</v>
      </c>
      <c r="I244" s="679" t="s">
        <v>698</v>
      </c>
      <c r="J244" s="679" t="s">
        <v>699</v>
      </c>
      <c r="K244" s="679" t="s">
        <v>700</v>
      </c>
      <c r="L244" s="216" t="s">
        <v>351</v>
      </c>
      <c r="M244" s="216" t="s">
        <v>350</v>
      </c>
      <c r="N244" s="842">
        <v>97.432495000000003</v>
      </c>
      <c r="O244" s="729">
        <v>25.350809000000002</v>
      </c>
      <c r="P244" s="743">
        <v>0</v>
      </c>
      <c r="Q244" s="692">
        <v>88</v>
      </c>
      <c r="R244" s="687">
        <v>482</v>
      </c>
      <c r="S244" s="843">
        <f>IF(CampList[[#This Row],[HH]]&gt;0,CampList[[#This Row],[Total]]/CampList[[#This Row],[HH]],"NA")</f>
        <v>5.4772727272727275</v>
      </c>
      <c r="T244" s="455" t="s">
        <v>513</v>
      </c>
      <c r="U244" s="673" t="s">
        <v>1194</v>
      </c>
      <c r="V244" s="668" t="s">
        <v>556</v>
      </c>
      <c r="W244" s="673" t="s">
        <v>805</v>
      </c>
      <c r="X244" s="881">
        <v>40940</v>
      </c>
      <c r="Y244" s="882">
        <v>1</v>
      </c>
      <c r="Z244" s="881" t="s">
        <v>507</v>
      </c>
      <c r="AA244" s="433" t="s">
        <v>844</v>
      </c>
      <c r="AB244" s="883"/>
      <c r="AC244" s="693">
        <v>42537</v>
      </c>
      <c r="AD244" s="884" t="s">
        <v>1507</v>
      </c>
      <c r="AE244" s="682" t="s">
        <v>1096</v>
      </c>
      <c r="AF244" s="686">
        <f>IF(CampList[[#This Row],[Type of Accomodation]]="camp",MAX(0,CampList[[#This Row],[HH]]-SUMIF(Table_Shelter[Pcode],CampList[[#This Row],[CP_Pcode]],Table_Shelter[HH Covered])),0)</f>
        <v>0</v>
      </c>
      <c r="AG244" s="686"/>
      <c r="AH244" s="883">
        <f>MIN(CampList[[#This Row],[Shelter Gap]],CampList[[#This Row],[Land Status]])</f>
        <v>0</v>
      </c>
      <c r="AI244" s="668" t="str">
        <f ca="1">IFERROR(OFFSET(DistanceToCamp[Nearest Town],MATCH(CampList[[#This Row],[CP_Pcode]],DistanceToCamp[CP_Pcode],0)-1,0,1,1),"")</f>
        <v>Waingmaw Town</v>
      </c>
      <c r="AJ244" s="936">
        <f ca="1">IFERROR(OFFSET(DistanceToCamp[distance],MATCH(CampList[[#This Row],[CP_Pcode]],DistanceToCamp[CP_Pcode],0)-1,0,1,1),"")</f>
        <v>1.0367202051285227</v>
      </c>
      <c r="AK244" s="957">
        <f ca="1">IFERROR(INT(CampList[[#This Row],[Distance]]/5)+1,"")</f>
        <v>1</v>
      </c>
      <c r="AL244" s="550"/>
      <c r="AM244" s="550"/>
      <c r="AN244" s="550"/>
      <c r="AY244" s="540"/>
      <c r="AZ244" s="540"/>
    </row>
    <row r="245" spans="1:52" s="706" customFormat="1" ht="15.6" customHeight="1" x14ac:dyDescent="0.25">
      <c r="A245" s="707" t="s">
        <v>502</v>
      </c>
      <c r="B245" s="216" t="s">
        <v>380</v>
      </c>
      <c r="C245" s="216" t="s">
        <v>527</v>
      </c>
      <c r="D245" s="216" t="s">
        <v>237</v>
      </c>
      <c r="E245" s="216" t="s">
        <v>533</v>
      </c>
      <c r="F245" s="216" t="s">
        <v>310</v>
      </c>
      <c r="G245" s="216" t="s">
        <v>534</v>
      </c>
      <c r="H245" s="679" t="s">
        <v>697</v>
      </c>
      <c r="I245" s="679" t="s">
        <v>698</v>
      </c>
      <c r="J245" s="679" t="s">
        <v>699</v>
      </c>
      <c r="K245" s="679" t="s">
        <v>700</v>
      </c>
      <c r="L245" s="216" t="s">
        <v>349</v>
      </c>
      <c r="M245" s="216" t="s">
        <v>348</v>
      </c>
      <c r="N245" s="855">
        <v>97.428251153846105</v>
      </c>
      <c r="O245" s="856">
        <v>25.333683333333301</v>
      </c>
      <c r="P245" s="746"/>
      <c r="Q245" s="692">
        <v>44</v>
      </c>
      <c r="R245" s="687">
        <v>182</v>
      </c>
      <c r="S245" s="843">
        <f>IF(CampList[[#This Row],[HH]]&gt;0,CampList[[#This Row],[Total]]/CampList[[#This Row],[HH]],"NA")</f>
        <v>4.1363636363636367</v>
      </c>
      <c r="T245" s="455" t="s">
        <v>513</v>
      </c>
      <c r="U245" s="673" t="s">
        <v>1194</v>
      </c>
      <c r="V245" s="668" t="s">
        <v>556</v>
      </c>
      <c r="W245" s="673" t="s">
        <v>805</v>
      </c>
      <c r="X245" s="881">
        <v>40848</v>
      </c>
      <c r="Y245" s="882">
        <v>1</v>
      </c>
      <c r="Z245" s="881" t="s">
        <v>507</v>
      </c>
      <c r="AA245" s="433" t="s">
        <v>844</v>
      </c>
      <c r="AB245" s="883"/>
      <c r="AC245" s="693">
        <v>42537</v>
      </c>
      <c r="AD245" s="884" t="s">
        <v>1507</v>
      </c>
      <c r="AE245" s="682" t="s">
        <v>1096</v>
      </c>
      <c r="AF245" s="686">
        <f>IF(CampList[[#This Row],[Type of Accomodation]]="camp",MAX(0,CampList[[#This Row],[HH]]-SUMIF(Table_Shelter[Pcode],CampList[[#This Row],[CP_Pcode]],Table_Shelter[HH Covered])),0)</f>
        <v>0</v>
      </c>
      <c r="AG245" s="668"/>
      <c r="AH245" s="883">
        <f>MIN(CampList[[#This Row],[Shelter Gap]],CampList[[#This Row],[Land Status]])</f>
        <v>0</v>
      </c>
      <c r="AI245" s="668" t="str">
        <f ca="1">IFERROR(OFFSET(DistanceToCamp[Nearest Town],MATCH(CampList[[#This Row],[CP_Pcode]],DistanceToCamp[CP_Pcode],0)-1,0,1,1),"")</f>
        <v>Waingmaw Town</v>
      </c>
      <c r="AJ245" s="936">
        <f ca="1">IFERROR(OFFSET(DistanceToCamp[distance],MATCH(CampList[[#This Row],[CP_Pcode]],DistanceToCamp[CP_Pcode],0)-1,0,1,1),"")</f>
        <v>2.4174307716662291</v>
      </c>
      <c r="AK245" s="957">
        <f ca="1">IFERROR(INT(CampList[[#This Row],[Distance]]/5)+1,"")</f>
        <v>1</v>
      </c>
      <c r="AL245" s="549"/>
      <c r="AM245" s="549"/>
      <c r="AN245" s="549"/>
      <c r="AY245" s="522"/>
      <c r="AZ245" s="522"/>
    </row>
    <row r="246" spans="1:52" ht="15.6" hidden="1" customHeight="1" x14ac:dyDescent="0.25">
      <c r="A246" s="821" t="s">
        <v>845</v>
      </c>
      <c r="B246" s="764" t="s">
        <v>380</v>
      </c>
      <c r="C246" s="764" t="s">
        <v>527</v>
      </c>
      <c r="D246" s="764" t="s">
        <v>180</v>
      </c>
      <c r="E246" s="764" t="s">
        <v>528</v>
      </c>
      <c r="F246" s="812" t="s">
        <v>529</v>
      </c>
      <c r="G246" s="812" t="s">
        <v>530</v>
      </c>
      <c r="H246" s="813" t="s">
        <v>605</v>
      </c>
      <c r="I246" s="813" t="s">
        <v>606</v>
      </c>
      <c r="J246" s="765" t="s">
        <v>609</v>
      </c>
      <c r="K246" s="765" t="s">
        <v>610</v>
      </c>
      <c r="L246" s="764" t="s">
        <v>516</v>
      </c>
      <c r="M246" s="764" t="s">
        <v>517</v>
      </c>
      <c r="N246" s="857">
        <v>96.315601999999998</v>
      </c>
      <c r="O246" s="857">
        <v>25.615006000000001</v>
      </c>
      <c r="P246" s="670"/>
      <c r="Q246" s="766">
        <v>0</v>
      </c>
      <c r="R246" s="767">
        <v>0</v>
      </c>
      <c r="S246" s="844" t="str">
        <f>IF(CampList[[#This Row],[HH]]&gt;0,CampList[[#This Row],[Total]]/CampList[[#This Row],[HH]],"NA")</f>
        <v>NA</v>
      </c>
      <c r="T246" s="768" t="s">
        <v>513</v>
      </c>
      <c r="U246" s="769" t="s">
        <v>1194</v>
      </c>
      <c r="V246" s="763" t="s">
        <v>556</v>
      </c>
      <c r="W246" s="769"/>
      <c r="X246" s="886"/>
      <c r="Y246" s="887"/>
      <c r="Z246" s="888"/>
      <c r="AA246" s="805"/>
      <c r="AB246" s="889"/>
      <c r="AC246" s="890"/>
      <c r="AD246" s="891" t="s">
        <v>603</v>
      </c>
      <c r="AE246" s="770" t="s">
        <v>1010</v>
      </c>
      <c r="AF246" s="860">
        <f>IF(CampList[[#This Row],[Type of Accomodation]]="camp",MAX(0,CampList[[#This Row],[HH]]-SUMIF(Table_Shelter[Pcode],CampList[[#This Row],[CP_Pcode]],Table_Shelter[HH Covered])),0)</f>
        <v>0</v>
      </c>
      <c r="AG246" s="763"/>
      <c r="AH246" s="889">
        <f>MIN(CampList[[#This Row],[Shelter Gap]],CampList[[#This Row],[Land Status]])</f>
        <v>0</v>
      </c>
      <c r="AI246" s="763" t="str">
        <f ca="1">IFERROR(OFFSET(DistanceToCamp[Nearest Town],MATCH(CampList[[#This Row],[CP_Pcode]],DistanceToCamp[CP_Pcode],0)-1,0,1,1),"")</f>
        <v/>
      </c>
      <c r="AJ246" s="937" t="str">
        <f ca="1">IFERROR(OFFSET(DistanceToCamp[distance],MATCH(CampList[[#This Row],[CP_Pcode]],DistanceToCamp[CP_Pcode],0)-1,0,1,1),"")</f>
        <v/>
      </c>
      <c r="AK246" s="958" t="str">
        <f ca="1">IFERROR(INT(CampList[[#This Row],[Distance]]/5)+1,"")</f>
        <v/>
      </c>
    </row>
    <row r="247" spans="1:52" ht="15.6" customHeight="1" x14ac:dyDescent="0.25">
      <c r="A247" s="707" t="s">
        <v>502</v>
      </c>
      <c r="B247" s="216" t="s">
        <v>380</v>
      </c>
      <c r="C247" s="216" t="s">
        <v>527</v>
      </c>
      <c r="D247" s="216" t="s">
        <v>237</v>
      </c>
      <c r="E247" s="216" t="s">
        <v>533</v>
      </c>
      <c r="F247" s="216" t="s">
        <v>310</v>
      </c>
      <c r="G247" s="216" t="s">
        <v>534</v>
      </c>
      <c r="H247" s="679" t="s">
        <v>772</v>
      </c>
      <c r="I247" s="216" t="s">
        <v>771</v>
      </c>
      <c r="J247" s="652" t="s">
        <v>1410</v>
      </c>
      <c r="K247" s="652"/>
      <c r="L247" s="435" t="s">
        <v>336</v>
      </c>
      <c r="M247" s="216" t="s">
        <v>335</v>
      </c>
      <c r="N247" s="728">
        <v>97.807182999999995</v>
      </c>
      <c r="O247" s="728">
        <v>25.200333000000001</v>
      </c>
      <c r="P247" s="743">
        <v>1023</v>
      </c>
      <c r="Q247" s="681">
        <v>146</v>
      </c>
      <c r="R247" s="681">
        <v>1072</v>
      </c>
      <c r="S247" s="843">
        <f>IF(CampList[[#This Row],[HH]]&gt;0,CampList[[#This Row],[Total]]/CampList[[#This Row],[HH]],"NA")</f>
        <v>7.3424657534246576</v>
      </c>
      <c r="T247" s="455" t="s">
        <v>515</v>
      </c>
      <c r="U247" s="673" t="s">
        <v>1194</v>
      </c>
      <c r="V247" s="668" t="s">
        <v>556</v>
      </c>
      <c r="W247" s="668" t="s">
        <v>858</v>
      </c>
      <c r="X247" s="881">
        <v>40878</v>
      </c>
      <c r="Y247" s="882">
        <v>3</v>
      </c>
      <c r="Z247" s="881" t="s">
        <v>462</v>
      </c>
      <c r="AA247" s="683" t="s">
        <v>844</v>
      </c>
      <c r="AB247" s="883"/>
      <c r="AC247" s="693">
        <v>42536</v>
      </c>
      <c r="AD247" s="885" t="s">
        <v>1450</v>
      </c>
      <c r="AE247" s="682" t="s">
        <v>1080</v>
      </c>
      <c r="AF247" s="686">
        <f>IF(CampList[[#This Row],[Type of Accomodation]]="camp",MAX(0,CampList[[#This Row],[HH]]-SUMIF(Table_Shelter[Pcode],CampList[[#This Row],[CP_Pcode]],Table_Shelter[HH Covered])),0)</f>
        <v>46</v>
      </c>
      <c r="AG247" s="668"/>
      <c r="AH247" s="883">
        <f>MIN(CampList[[#This Row],[Shelter Gap]],CampList[[#This Row],[Land Status]])</f>
        <v>46</v>
      </c>
      <c r="AI247" s="668" t="str">
        <f ca="1">IFERROR(OFFSET(DistanceToCamp[Nearest Town],MATCH(CampList[[#This Row],[CP_Pcode]],DistanceToCamp[CP_Pcode],0)-1,0,1,1),"")</f>
        <v>Sadung Town</v>
      </c>
      <c r="AJ247" s="936">
        <f ca="1">IFERROR(OFFSET(DistanceToCamp[distance],MATCH(CampList[[#This Row],[CP_Pcode]],DistanceToCamp[CP_Pcode],0)-1,0,1,1),"")</f>
        <v>21.287604662770121</v>
      </c>
      <c r="AK247" s="957">
        <f ca="1">IFERROR(INT(CampList[[#This Row],[Distance]]/5)+1,"")</f>
        <v>5</v>
      </c>
    </row>
    <row r="248" spans="1:52" ht="15.6" customHeight="1" x14ac:dyDescent="0.25">
      <c r="AD248" s="713"/>
    </row>
    <row r="249" spans="1:52" ht="15.6" customHeight="1" x14ac:dyDescent="0.25">
      <c r="AD249" s="713"/>
    </row>
    <row r="250" spans="1:52" ht="15.6" customHeight="1" x14ac:dyDescent="0.25">
      <c r="AD250" s="713"/>
    </row>
    <row r="251" spans="1:52" ht="15.6" customHeight="1" x14ac:dyDescent="0.25">
      <c r="AD251" s="713"/>
    </row>
    <row r="252" spans="1:52" ht="15.6" customHeight="1" x14ac:dyDescent="0.25">
      <c r="L252" s="832"/>
      <c r="AD252" s="713"/>
    </row>
  </sheetData>
  <sortState ref="A73:AK238">
    <sortCondition ref="G1:G1048576"/>
    <sortCondition ref="L1:L1048576"/>
  </sortState>
  <mergeCells count="1">
    <mergeCell ref="A3:C3"/>
  </mergeCells>
  <conditionalFormatting sqref="A117:A155 A5:A110">
    <cfRule type="cellIs" dxfId="895" priority="77" operator="equal">
      <formula>"closed"</formula>
    </cfRule>
  </conditionalFormatting>
  <conditionalFormatting sqref="A111">
    <cfRule type="cellIs" dxfId="894" priority="73" operator="equal">
      <formula>"closed"</formula>
    </cfRule>
  </conditionalFormatting>
  <conditionalFormatting sqref="A112">
    <cfRule type="cellIs" dxfId="893" priority="72" operator="equal">
      <formula>"closed"</formula>
    </cfRule>
  </conditionalFormatting>
  <conditionalFormatting sqref="A113:A115">
    <cfRule type="cellIs" dxfId="892" priority="71" operator="equal">
      <formula>"closed"</formula>
    </cfRule>
  </conditionalFormatting>
  <conditionalFormatting sqref="A116">
    <cfRule type="cellIs" dxfId="891" priority="70" operator="equal">
      <formula>"closed"</formula>
    </cfRule>
  </conditionalFormatting>
  <conditionalFormatting sqref="AB1:AB3 AA4:AA155 AB214:AB1048576">
    <cfRule type="cellIs" dxfId="890" priority="66" operator="equal">
      <formula>"RRD"</formula>
    </cfRule>
    <cfRule type="cellIs" dxfId="889" priority="67" operator="equal">
      <formula>"IP"</formula>
    </cfRule>
    <cfRule type="cellIs" dxfId="888" priority="68" operator="equal">
      <formula>"IRRC"</formula>
    </cfRule>
  </conditionalFormatting>
  <conditionalFormatting sqref="A156:A205">
    <cfRule type="cellIs" dxfId="887" priority="46" operator="equal">
      <formula>"closed"</formula>
    </cfRule>
  </conditionalFormatting>
  <conditionalFormatting sqref="AA156:AA205">
    <cfRule type="cellIs" dxfId="886" priority="43" operator="equal">
      <formula>"RRD"</formula>
    </cfRule>
    <cfRule type="cellIs" dxfId="885" priority="44" operator="equal">
      <formula>"IP"</formula>
    </cfRule>
    <cfRule type="cellIs" dxfId="884" priority="45" operator="equal">
      <formula>"IRRC"</formula>
    </cfRule>
  </conditionalFormatting>
  <conditionalFormatting sqref="A206">
    <cfRule type="cellIs" dxfId="883" priority="42" operator="equal">
      <formula>"closed"</formula>
    </cfRule>
  </conditionalFormatting>
  <conditionalFormatting sqref="AA206">
    <cfRule type="cellIs" dxfId="882" priority="39" operator="equal">
      <formula>"RRD"</formula>
    </cfRule>
    <cfRule type="cellIs" dxfId="881" priority="40" operator="equal">
      <formula>"IP"</formula>
    </cfRule>
    <cfRule type="cellIs" dxfId="880" priority="41" operator="equal">
      <formula>"IRRC"</formula>
    </cfRule>
  </conditionalFormatting>
  <conditionalFormatting sqref="AG5:AG206">
    <cfRule type="notContainsBlanks" dxfId="879" priority="78">
      <formula>LEN(TRIM(AG5))&gt;0</formula>
    </cfRule>
  </conditionalFormatting>
  <conditionalFormatting sqref="AA208 AA210 AA212">
    <cfRule type="cellIs" dxfId="878" priority="2" operator="equal">
      <formula>"RRD"</formula>
    </cfRule>
    <cfRule type="cellIs" dxfId="877" priority="3" operator="equal">
      <formula>"IP"</formula>
    </cfRule>
    <cfRule type="cellIs" dxfId="876" priority="4" operator="equal">
      <formula>"IRRC"</formula>
    </cfRule>
  </conditionalFormatting>
  <conditionalFormatting sqref="A207 A209 A211 A213">
    <cfRule type="cellIs" dxfId="875" priority="9" operator="equal">
      <formula>"closed"</formula>
    </cfRule>
  </conditionalFormatting>
  <conditionalFormatting sqref="AA207 AA209 AA211 AA213">
    <cfRule type="cellIs" dxfId="874" priority="6" operator="equal">
      <formula>"RRD"</formula>
    </cfRule>
    <cfRule type="cellIs" dxfId="873" priority="7" operator="equal">
      <formula>"IP"</formula>
    </cfRule>
    <cfRule type="cellIs" dxfId="872" priority="8" operator="equal">
      <formula>"IRRC"</formula>
    </cfRule>
  </conditionalFormatting>
  <conditionalFormatting sqref="A208 A210 A212">
    <cfRule type="cellIs" dxfId="871" priority="5" operator="equal">
      <formula>"closed"</formula>
    </cfRule>
  </conditionalFormatting>
  <conditionalFormatting sqref="AG207:AG213">
    <cfRule type="notContainsBlanks" dxfId="870" priority="10">
      <formula>LEN(TRIM(AG207))&gt;0</formula>
    </cfRule>
  </conditionalFormatting>
  <conditionalFormatting sqref="A236">
    <cfRule type="cellIs" dxfId="869" priority="1" operator="equal">
      <formula>"closed"</formula>
    </cfRule>
  </conditionalFormatting>
  <pageMargins left="0.7" right="0.7" top="0.75" bottom="0.75" header="0.3" footer="0.3"/>
  <pageSetup scale="82" orientation="landscape" r:id="rId1"/>
  <drawing r:id="rId2"/>
  <tableParts count="1">
    <tablePart r:id="rId3"/>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theme="3" tint="0.59999389629810485"/>
  </sheetPr>
  <dimension ref="A1:BJ102"/>
  <sheetViews>
    <sheetView showZeros="0" topLeftCell="A16" zoomScaleNormal="100" zoomScaleSheetLayoutView="80" workbookViewId="0">
      <selection activeCell="H44" sqref="H44"/>
    </sheetView>
  </sheetViews>
  <sheetFormatPr defaultColWidth="11.42578125" defaultRowHeight="15" x14ac:dyDescent="0.25"/>
  <cols>
    <col min="1" max="1" width="2.42578125" style="123" customWidth="1"/>
    <col min="2" max="2" width="2.140625" style="123" customWidth="1"/>
    <col min="3" max="3" width="12.28515625" style="37" customWidth="1"/>
    <col min="4" max="10" width="6.85546875" style="37" customWidth="1"/>
    <col min="11" max="11" width="6.85546875" style="123" customWidth="1"/>
    <col min="12" max="12" width="17" style="37" customWidth="1"/>
    <col min="13" max="13" width="6.85546875" style="37" customWidth="1"/>
    <col min="14" max="14" width="6.5703125" style="37" customWidth="1"/>
    <col min="15" max="15" width="8" style="37" customWidth="1"/>
    <col min="16" max="16" width="6.85546875" style="37" customWidth="1"/>
    <col min="17" max="17" width="6.85546875" style="38" customWidth="1"/>
    <col min="18" max="19" width="6.85546875" style="123" customWidth="1"/>
    <col min="20" max="20" width="2.7109375" style="123" customWidth="1"/>
    <col min="21" max="21" width="5" style="123" customWidth="1"/>
    <col min="22" max="22" width="10.140625" style="123" hidden="1" customWidth="1"/>
    <col min="23" max="23" width="9.85546875" style="123" hidden="1" customWidth="1"/>
    <col min="24" max="24" width="8.140625" style="123" hidden="1" customWidth="1"/>
    <col min="25" max="25" width="9" style="123" hidden="1" customWidth="1"/>
    <col min="26" max="27" width="10.140625" style="123" hidden="1" customWidth="1"/>
    <col min="28" max="28" width="8.85546875" style="123" hidden="1" customWidth="1"/>
    <col min="29" max="29" width="15" style="123" hidden="1" customWidth="1"/>
    <col min="30" max="30" width="12" style="123" hidden="1" customWidth="1"/>
    <col min="31" max="31" width="13.42578125" style="123" hidden="1" customWidth="1"/>
    <col min="32" max="32" width="16" style="37" hidden="1" customWidth="1"/>
    <col min="33" max="33" width="13.42578125" style="37" customWidth="1"/>
    <col min="34" max="259" width="11.42578125" style="37"/>
    <col min="260" max="260" width="5.28515625" style="37" customWidth="1"/>
    <col min="261" max="261" width="15.28515625" style="37" customWidth="1"/>
    <col min="262" max="262" width="14.42578125" style="37" bestFit="1" customWidth="1"/>
    <col min="263" max="263" width="10.42578125" style="37" bestFit="1" customWidth="1"/>
    <col min="264" max="264" width="12.28515625" style="37" customWidth="1"/>
    <col min="265" max="269" width="11.42578125" style="37" customWidth="1"/>
    <col min="270" max="271" width="10.5703125" style="37" bestFit="1" customWidth="1"/>
    <col min="272" max="273" width="11.42578125" style="37" customWidth="1"/>
    <col min="274" max="274" width="6.140625" style="37" customWidth="1"/>
    <col min="275" max="285" width="11.42578125" style="37" customWidth="1"/>
    <col min="286" max="515" width="11.42578125" style="37"/>
    <col min="516" max="516" width="5.28515625" style="37" customWidth="1"/>
    <col min="517" max="517" width="15.28515625" style="37" customWidth="1"/>
    <col min="518" max="518" width="14.42578125" style="37" bestFit="1" customWidth="1"/>
    <col min="519" max="519" width="10.42578125" style="37" bestFit="1" customWidth="1"/>
    <col min="520" max="520" width="12.28515625" style="37" customWidth="1"/>
    <col min="521" max="525" width="11.42578125" style="37" customWidth="1"/>
    <col min="526" max="527" width="10.5703125" style="37" bestFit="1" customWidth="1"/>
    <col min="528" max="529" width="11.42578125" style="37" customWidth="1"/>
    <col min="530" max="530" width="6.140625" style="37" customWidth="1"/>
    <col min="531" max="541" width="11.42578125" style="37" customWidth="1"/>
    <col min="542" max="771" width="11.42578125" style="37"/>
    <col min="772" max="772" width="5.28515625" style="37" customWidth="1"/>
    <col min="773" max="773" width="15.28515625" style="37" customWidth="1"/>
    <col min="774" max="774" width="14.42578125" style="37" bestFit="1" customWidth="1"/>
    <col min="775" max="775" width="10.42578125" style="37" bestFit="1" customWidth="1"/>
    <col min="776" max="776" width="12.28515625" style="37" customWidth="1"/>
    <col min="777" max="781" width="11.42578125" style="37" customWidth="1"/>
    <col min="782" max="783" width="10.5703125" style="37" bestFit="1" customWidth="1"/>
    <col min="784" max="785" width="11.42578125" style="37" customWidth="1"/>
    <col min="786" max="786" width="6.140625" style="37" customWidth="1"/>
    <col min="787" max="797" width="11.42578125" style="37" customWidth="1"/>
    <col min="798" max="1027" width="11.42578125" style="37"/>
    <col min="1028" max="1028" width="5.28515625" style="37" customWidth="1"/>
    <col min="1029" max="1029" width="15.28515625" style="37" customWidth="1"/>
    <col min="1030" max="1030" width="14.42578125" style="37" bestFit="1" customWidth="1"/>
    <col min="1031" max="1031" width="10.42578125" style="37" bestFit="1" customWidth="1"/>
    <col min="1032" max="1032" width="12.28515625" style="37" customWidth="1"/>
    <col min="1033" max="1037" width="11.42578125" style="37" customWidth="1"/>
    <col min="1038" max="1039" width="10.5703125" style="37" bestFit="1" customWidth="1"/>
    <col min="1040" max="1041" width="11.42578125" style="37" customWidth="1"/>
    <col min="1042" max="1042" width="6.140625" style="37" customWidth="1"/>
    <col min="1043" max="1053" width="11.42578125" style="37" customWidth="1"/>
    <col min="1054" max="1283" width="11.42578125" style="37"/>
    <col min="1284" max="1284" width="5.28515625" style="37" customWidth="1"/>
    <col min="1285" max="1285" width="15.28515625" style="37" customWidth="1"/>
    <col min="1286" max="1286" width="14.42578125" style="37" bestFit="1" customWidth="1"/>
    <col min="1287" max="1287" width="10.42578125" style="37" bestFit="1" customWidth="1"/>
    <col min="1288" max="1288" width="12.28515625" style="37" customWidth="1"/>
    <col min="1289" max="1293" width="11.42578125" style="37" customWidth="1"/>
    <col min="1294" max="1295" width="10.5703125" style="37" bestFit="1" customWidth="1"/>
    <col min="1296" max="1297" width="11.42578125" style="37" customWidth="1"/>
    <col min="1298" max="1298" width="6.140625" style="37" customWidth="1"/>
    <col min="1299" max="1309" width="11.42578125" style="37" customWidth="1"/>
    <col min="1310" max="1539" width="11.42578125" style="37"/>
    <col min="1540" max="1540" width="5.28515625" style="37" customWidth="1"/>
    <col min="1541" max="1541" width="15.28515625" style="37" customWidth="1"/>
    <col min="1542" max="1542" width="14.42578125" style="37" bestFit="1" customWidth="1"/>
    <col min="1543" max="1543" width="10.42578125" style="37" bestFit="1" customWidth="1"/>
    <col min="1544" max="1544" width="12.28515625" style="37" customWidth="1"/>
    <col min="1545" max="1549" width="11.42578125" style="37" customWidth="1"/>
    <col min="1550" max="1551" width="10.5703125" style="37" bestFit="1" customWidth="1"/>
    <col min="1552" max="1553" width="11.42578125" style="37" customWidth="1"/>
    <col min="1554" max="1554" width="6.140625" style="37" customWidth="1"/>
    <col min="1555" max="1565" width="11.42578125" style="37" customWidth="1"/>
    <col min="1566" max="1795" width="11.42578125" style="37"/>
    <col min="1796" max="1796" width="5.28515625" style="37" customWidth="1"/>
    <col min="1797" max="1797" width="15.28515625" style="37" customWidth="1"/>
    <col min="1798" max="1798" width="14.42578125" style="37" bestFit="1" customWidth="1"/>
    <col min="1799" max="1799" width="10.42578125" style="37" bestFit="1" customWidth="1"/>
    <col min="1800" max="1800" width="12.28515625" style="37" customWidth="1"/>
    <col min="1801" max="1805" width="11.42578125" style="37" customWidth="1"/>
    <col min="1806" max="1807" width="10.5703125" style="37" bestFit="1" customWidth="1"/>
    <col min="1808" max="1809" width="11.42578125" style="37" customWidth="1"/>
    <col min="1810" max="1810" width="6.140625" style="37" customWidth="1"/>
    <col min="1811" max="1821" width="11.42578125" style="37" customWidth="1"/>
    <col min="1822" max="2051" width="11.42578125" style="37"/>
    <col min="2052" max="2052" width="5.28515625" style="37" customWidth="1"/>
    <col min="2053" max="2053" width="15.28515625" style="37" customWidth="1"/>
    <col min="2054" max="2054" width="14.42578125" style="37" bestFit="1" customWidth="1"/>
    <col min="2055" max="2055" width="10.42578125" style="37" bestFit="1" customWidth="1"/>
    <col min="2056" max="2056" width="12.28515625" style="37" customWidth="1"/>
    <col min="2057" max="2061" width="11.42578125" style="37" customWidth="1"/>
    <col min="2062" max="2063" width="10.5703125" style="37" bestFit="1" customWidth="1"/>
    <col min="2064" max="2065" width="11.42578125" style="37" customWidth="1"/>
    <col min="2066" max="2066" width="6.140625" style="37" customWidth="1"/>
    <col min="2067" max="2077" width="11.42578125" style="37" customWidth="1"/>
    <col min="2078" max="2307" width="11.42578125" style="37"/>
    <col min="2308" max="2308" width="5.28515625" style="37" customWidth="1"/>
    <col min="2309" max="2309" width="15.28515625" style="37" customWidth="1"/>
    <col min="2310" max="2310" width="14.42578125" style="37" bestFit="1" customWidth="1"/>
    <col min="2311" max="2311" width="10.42578125" style="37" bestFit="1" customWidth="1"/>
    <col min="2312" max="2312" width="12.28515625" style="37" customWidth="1"/>
    <col min="2313" max="2317" width="11.42578125" style="37" customWidth="1"/>
    <col min="2318" max="2319" width="10.5703125" style="37" bestFit="1" customWidth="1"/>
    <col min="2320" max="2321" width="11.42578125" style="37" customWidth="1"/>
    <col min="2322" max="2322" width="6.140625" style="37" customWidth="1"/>
    <col min="2323" max="2333" width="11.42578125" style="37" customWidth="1"/>
    <col min="2334" max="2563" width="11.42578125" style="37"/>
    <col min="2564" max="2564" width="5.28515625" style="37" customWidth="1"/>
    <col min="2565" max="2565" width="15.28515625" style="37" customWidth="1"/>
    <col min="2566" max="2566" width="14.42578125" style="37" bestFit="1" customWidth="1"/>
    <col min="2567" max="2567" width="10.42578125" style="37" bestFit="1" customWidth="1"/>
    <col min="2568" max="2568" width="12.28515625" style="37" customWidth="1"/>
    <col min="2569" max="2573" width="11.42578125" style="37" customWidth="1"/>
    <col min="2574" max="2575" width="10.5703125" style="37" bestFit="1" customWidth="1"/>
    <col min="2576" max="2577" width="11.42578125" style="37" customWidth="1"/>
    <col min="2578" max="2578" width="6.140625" style="37" customWidth="1"/>
    <col min="2579" max="2589" width="11.42578125" style="37" customWidth="1"/>
    <col min="2590" max="2819" width="11.42578125" style="37"/>
    <col min="2820" max="2820" width="5.28515625" style="37" customWidth="1"/>
    <col min="2821" max="2821" width="15.28515625" style="37" customWidth="1"/>
    <col min="2822" max="2822" width="14.42578125" style="37" bestFit="1" customWidth="1"/>
    <col min="2823" max="2823" width="10.42578125" style="37" bestFit="1" customWidth="1"/>
    <col min="2824" max="2824" width="12.28515625" style="37" customWidth="1"/>
    <col min="2825" max="2829" width="11.42578125" style="37" customWidth="1"/>
    <col min="2830" max="2831" width="10.5703125" style="37" bestFit="1" customWidth="1"/>
    <col min="2832" max="2833" width="11.42578125" style="37" customWidth="1"/>
    <col min="2834" max="2834" width="6.140625" style="37" customWidth="1"/>
    <col min="2835" max="2845" width="11.42578125" style="37" customWidth="1"/>
    <col min="2846" max="3075" width="11.42578125" style="37"/>
    <col min="3076" max="3076" width="5.28515625" style="37" customWidth="1"/>
    <col min="3077" max="3077" width="15.28515625" style="37" customWidth="1"/>
    <col min="3078" max="3078" width="14.42578125" style="37" bestFit="1" customWidth="1"/>
    <col min="3079" max="3079" width="10.42578125" style="37" bestFit="1" customWidth="1"/>
    <col min="3080" max="3080" width="12.28515625" style="37" customWidth="1"/>
    <col min="3081" max="3085" width="11.42578125" style="37" customWidth="1"/>
    <col min="3086" max="3087" width="10.5703125" style="37" bestFit="1" customWidth="1"/>
    <col min="3088" max="3089" width="11.42578125" style="37" customWidth="1"/>
    <col min="3090" max="3090" width="6.140625" style="37" customWidth="1"/>
    <col min="3091" max="3101" width="11.42578125" style="37" customWidth="1"/>
    <col min="3102" max="3331" width="11.42578125" style="37"/>
    <col min="3332" max="3332" width="5.28515625" style="37" customWidth="1"/>
    <col min="3333" max="3333" width="15.28515625" style="37" customWidth="1"/>
    <col min="3334" max="3334" width="14.42578125" style="37" bestFit="1" customWidth="1"/>
    <col min="3335" max="3335" width="10.42578125" style="37" bestFit="1" customWidth="1"/>
    <col min="3336" max="3336" width="12.28515625" style="37" customWidth="1"/>
    <col min="3337" max="3341" width="11.42578125" style="37" customWidth="1"/>
    <col min="3342" max="3343" width="10.5703125" style="37" bestFit="1" customWidth="1"/>
    <col min="3344" max="3345" width="11.42578125" style="37" customWidth="1"/>
    <col min="3346" max="3346" width="6.140625" style="37" customWidth="1"/>
    <col min="3347" max="3357" width="11.42578125" style="37" customWidth="1"/>
    <col min="3358" max="3587" width="11.42578125" style="37"/>
    <col min="3588" max="3588" width="5.28515625" style="37" customWidth="1"/>
    <col min="3589" max="3589" width="15.28515625" style="37" customWidth="1"/>
    <col min="3590" max="3590" width="14.42578125" style="37" bestFit="1" customWidth="1"/>
    <col min="3591" max="3591" width="10.42578125" style="37" bestFit="1" customWidth="1"/>
    <col min="3592" max="3592" width="12.28515625" style="37" customWidth="1"/>
    <col min="3593" max="3597" width="11.42578125" style="37" customWidth="1"/>
    <col min="3598" max="3599" width="10.5703125" style="37" bestFit="1" customWidth="1"/>
    <col min="3600" max="3601" width="11.42578125" style="37" customWidth="1"/>
    <col min="3602" max="3602" width="6.140625" style="37" customWidth="1"/>
    <col min="3603" max="3613" width="11.42578125" style="37" customWidth="1"/>
    <col min="3614" max="3843" width="11.42578125" style="37"/>
    <col min="3844" max="3844" width="5.28515625" style="37" customWidth="1"/>
    <col min="3845" max="3845" width="15.28515625" style="37" customWidth="1"/>
    <col min="3846" max="3846" width="14.42578125" style="37" bestFit="1" customWidth="1"/>
    <col min="3847" max="3847" width="10.42578125" style="37" bestFit="1" customWidth="1"/>
    <col min="3848" max="3848" width="12.28515625" style="37" customWidth="1"/>
    <col min="3849" max="3853" width="11.42578125" style="37" customWidth="1"/>
    <col min="3854" max="3855" width="10.5703125" style="37" bestFit="1" customWidth="1"/>
    <col min="3856" max="3857" width="11.42578125" style="37" customWidth="1"/>
    <col min="3858" max="3858" width="6.140625" style="37" customWidth="1"/>
    <col min="3859" max="3869" width="11.42578125" style="37" customWidth="1"/>
    <col min="3870" max="4099" width="11.42578125" style="37"/>
    <col min="4100" max="4100" width="5.28515625" style="37" customWidth="1"/>
    <col min="4101" max="4101" width="15.28515625" style="37" customWidth="1"/>
    <col min="4102" max="4102" width="14.42578125" style="37" bestFit="1" customWidth="1"/>
    <col min="4103" max="4103" width="10.42578125" style="37" bestFit="1" customWidth="1"/>
    <col min="4104" max="4104" width="12.28515625" style="37" customWidth="1"/>
    <col min="4105" max="4109" width="11.42578125" style="37" customWidth="1"/>
    <col min="4110" max="4111" width="10.5703125" style="37" bestFit="1" customWidth="1"/>
    <col min="4112" max="4113" width="11.42578125" style="37" customWidth="1"/>
    <col min="4114" max="4114" width="6.140625" style="37" customWidth="1"/>
    <col min="4115" max="4125" width="11.42578125" style="37" customWidth="1"/>
    <col min="4126" max="4355" width="11.42578125" style="37"/>
    <col min="4356" max="4356" width="5.28515625" style="37" customWidth="1"/>
    <col min="4357" max="4357" width="15.28515625" style="37" customWidth="1"/>
    <col min="4358" max="4358" width="14.42578125" style="37" bestFit="1" customWidth="1"/>
    <col min="4359" max="4359" width="10.42578125" style="37" bestFit="1" customWidth="1"/>
    <col min="4360" max="4360" width="12.28515625" style="37" customWidth="1"/>
    <col min="4361" max="4365" width="11.42578125" style="37" customWidth="1"/>
    <col min="4366" max="4367" width="10.5703125" style="37" bestFit="1" customWidth="1"/>
    <col min="4368" max="4369" width="11.42578125" style="37" customWidth="1"/>
    <col min="4370" max="4370" width="6.140625" style="37" customWidth="1"/>
    <col min="4371" max="4381" width="11.42578125" style="37" customWidth="1"/>
    <col min="4382" max="4611" width="11.42578125" style="37"/>
    <col min="4612" max="4612" width="5.28515625" style="37" customWidth="1"/>
    <col min="4613" max="4613" width="15.28515625" style="37" customWidth="1"/>
    <col min="4614" max="4614" width="14.42578125" style="37" bestFit="1" customWidth="1"/>
    <col min="4615" max="4615" width="10.42578125" style="37" bestFit="1" customWidth="1"/>
    <col min="4616" max="4616" width="12.28515625" style="37" customWidth="1"/>
    <col min="4617" max="4621" width="11.42578125" style="37" customWidth="1"/>
    <col min="4622" max="4623" width="10.5703125" style="37" bestFit="1" customWidth="1"/>
    <col min="4624" max="4625" width="11.42578125" style="37" customWidth="1"/>
    <col min="4626" max="4626" width="6.140625" style="37" customWidth="1"/>
    <col min="4627" max="4637" width="11.42578125" style="37" customWidth="1"/>
    <col min="4638" max="4867" width="11.42578125" style="37"/>
    <col min="4868" max="4868" width="5.28515625" style="37" customWidth="1"/>
    <col min="4869" max="4869" width="15.28515625" style="37" customWidth="1"/>
    <col min="4870" max="4870" width="14.42578125" style="37" bestFit="1" customWidth="1"/>
    <col min="4871" max="4871" width="10.42578125" style="37" bestFit="1" customWidth="1"/>
    <col min="4872" max="4872" width="12.28515625" style="37" customWidth="1"/>
    <col min="4873" max="4877" width="11.42578125" style="37" customWidth="1"/>
    <col min="4878" max="4879" width="10.5703125" style="37" bestFit="1" customWidth="1"/>
    <col min="4880" max="4881" width="11.42578125" style="37" customWidth="1"/>
    <col min="4882" max="4882" width="6.140625" style="37" customWidth="1"/>
    <col min="4883" max="4893" width="11.42578125" style="37" customWidth="1"/>
    <col min="4894" max="5123" width="11.42578125" style="37"/>
    <col min="5124" max="5124" width="5.28515625" style="37" customWidth="1"/>
    <col min="5125" max="5125" width="15.28515625" style="37" customWidth="1"/>
    <col min="5126" max="5126" width="14.42578125" style="37" bestFit="1" customWidth="1"/>
    <col min="5127" max="5127" width="10.42578125" style="37" bestFit="1" customWidth="1"/>
    <col min="5128" max="5128" width="12.28515625" style="37" customWidth="1"/>
    <col min="5129" max="5133" width="11.42578125" style="37" customWidth="1"/>
    <col min="5134" max="5135" width="10.5703125" style="37" bestFit="1" customWidth="1"/>
    <col min="5136" max="5137" width="11.42578125" style="37" customWidth="1"/>
    <col min="5138" max="5138" width="6.140625" style="37" customWidth="1"/>
    <col min="5139" max="5149" width="11.42578125" style="37" customWidth="1"/>
    <col min="5150" max="5379" width="11.42578125" style="37"/>
    <col min="5380" max="5380" width="5.28515625" style="37" customWidth="1"/>
    <col min="5381" max="5381" width="15.28515625" style="37" customWidth="1"/>
    <col min="5382" max="5382" width="14.42578125" style="37" bestFit="1" customWidth="1"/>
    <col min="5383" max="5383" width="10.42578125" style="37" bestFit="1" customWidth="1"/>
    <col min="5384" max="5384" width="12.28515625" style="37" customWidth="1"/>
    <col min="5385" max="5389" width="11.42578125" style="37" customWidth="1"/>
    <col min="5390" max="5391" width="10.5703125" style="37" bestFit="1" customWidth="1"/>
    <col min="5392" max="5393" width="11.42578125" style="37" customWidth="1"/>
    <col min="5394" max="5394" width="6.140625" style="37" customWidth="1"/>
    <col min="5395" max="5405" width="11.42578125" style="37" customWidth="1"/>
    <col min="5406" max="5635" width="11.42578125" style="37"/>
    <col min="5636" max="5636" width="5.28515625" style="37" customWidth="1"/>
    <col min="5637" max="5637" width="15.28515625" style="37" customWidth="1"/>
    <col min="5638" max="5638" width="14.42578125" style="37" bestFit="1" customWidth="1"/>
    <col min="5639" max="5639" width="10.42578125" style="37" bestFit="1" customWidth="1"/>
    <col min="5640" max="5640" width="12.28515625" style="37" customWidth="1"/>
    <col min="5641" max="5645" width="11.42578125" style="37" customWidth="1"/>
    <col min="5646" max="5647" width="10.5703125" style="37" bestFit="1" customWidth="1"/>
    <col min="5648" max="5649" width="11.42578125" style="37" customWidth="1"/>
    <col min="5650" max="5650" width="6.140625" style="37" customWidth="1"/>
    <col min="5651" max="5661" width="11.42578125" style="37" customWidth="1"/>
    <col min="5662" max="5891" width="11.42578125" style="37"/>
    <col min="5892" max="5892" width="5.28515625" style="37" customWidth="1"/>
    <col min="5893" max="5893" width="15.28515625" style="37" customWidth="1"/>
    <col min="5894" max="5894" width="14.42578125" style="37" bestFit="1" customWidth="1"/>
    <col min="5895" max="5895" width="10.42578125" style="37" bestFit="1" customWidth="1"/>
    <col min="5896" max="5896" width="12.28515625" style="37" customWidth="1"/>
    <col min="5897" max="5901" width="11.42578125" style="37" customWidth="1"/>
    <col min="5902" max="5903" width="10.5703125" style="37" bestFit="1" customWidth="1"/>
    <col min="5904" max="5905" width="11.42578125" style="37" customWidth="1"/>
    <col min="5906" max="5906" width="6.140625" style="37" customWidth="1"/>
    <col min="5907" max="5917" width="11.42578125" style="37" customWidth="1"/>
    <col min="5918" max="6147" width="11.42578125" style="37"/>
    <col min="6148" max="6148" width="5.28515625" style="37" customWidth="1"/>
    <col min="6149" max="6149" width="15.28515625" style="37" customWidth="1"/>
    <col min="6150" max="6150" width="14.42578125" style="37" bestFit="1" customWidth="1"/>
    <col min="6151" max="6151" width="10.42578125" style="37" bestFit="1" customWidth="1"/>
    <col min="6152" max="6152" width="12.28515625" style="37" customWidth="1"/>
    <col min="6153" max="6157" width="11.42578125" style="37" customWidth="1"/>
    <col min="6158" max="6159" width="10.5703125" style="37" bestFit="1" customWidth="1"/>
    <col min="6160" max="6161" width="11.42578125" style="37" customWidth="1"/>
    <col min="6162" max="6162" width="6.140625" style="37" customWidth="1"/>
    <col min="6163" max="6173" width="11.42578125" style="37" customWidth="1"/>
    <col min="6174" max="6403" width="11.42578125" style="37"/>
    <col min="6404" max="6404" width="5.28515625" style="37" customWidth="1"/>
    <col min="6405" max="6405" width="15.28515625" style="37" customWidth="1"/>
    <col min="6406" max="6406" width="14.42578125" style="37" bestFit="1" customWidth="1"/>
    <col min="6407" max="6407" width="10.42578125" style="37" bestFit="1" customWidth="1"/>
    <col min="6408" max="6408" width="12.28515625" style="37" customWidth="1"/>
    <col min="6409" max="6413" width="11.42578125" style="37" customWidth="1"/>
    <col min="6414" max="6415" width="10.5703125" style="37" bestFit="1" customWidth="1"/>
    <col min="6416" max="6417" width="11.42578125" style="37" customWidth="1"/>
    <col min="6418" max="6418" width="6.140625" style="37" customWidth="1"/>
    <col min="6419" max="6429" width="11.42578125" style="37" customWidth="1"/>
    <col min="6430" max="6659" width="11.42578125" style="37"/>
    <col min="6660" max="6660" width="5.28515625" style="37" customWidth="1"/>
    <col min="6661" max="6661" width="15.28515625" style="37" customWidth="1"/>
    <col min="6662" max="6662" width="14.42578125" style="37" bestFit="1" customWidth="1"/>
    <col min="6663" max="6663" width="10.42578125" style="37" bestFit="1" customWidth="1"/>
    <col min="6664" max="6664" width="12.28515625" style="37" customWidth="1"/>
    <col min="6665" max="6669" width="11.42578125" style="37" customWidth="1"/>
    <col min="6670" max="6671" width="10.5703125" style="37" bestFit="1" customWidth="1"/>
    <col min="6672" max="6673" width="11.42578125" style="37" customWidth="1"/>
    <col min="6674" max="6674" width="6.140625" style="37" customWidth="1"/>
    <col min="6675" max="6685" width="11.42578125" style="37" customWidth="1"/>
    <col min="6686" max="6915" width="11.42578125" style="37"/>
    <col min="6916" max="6916" width="5.28515625" style="37" customWidth="1"/>
    <col min="6917" max="6917" width="15.28515625" style="37" customWidth="1"/>
    <col min="6918" max="6918" width="14.42578125" style="37" bestFit="1" customWidth="1"/>
    <col min="6919" max="6919" width="10.42578125" style="37" bestFit="1" customWidth="1"/>
    <col min="6920" max="6920" width="12.28515625" style="37" customWidth="1"/>
    <col min="6921" max="6925" width="11.42578125" style="37" customWidth="1"/>
    <col min="6926" max="6927" width="10.5703125" style="37" bestFit="1" customWidth="1"/>
    <col min="6928" max="6929" width="11.42578125" style="37" customWidth="1"/>
    <col min="6930" max="6930" width="6.140625" style="37" customWidth="1"/>
    <col min="6931" max="6941" width="11.42578125" style="37" customWidth="1"/>
    <col min="6942" max="7171" width="11.42578125" style="37"/>
    <col min="7172" max="7172" width="5.28515625" style="37" customWidth="1"/>
    <col min="7173" max="7173" width="15.28515625" style="37" customWidth="1"/>
    <col min="7174" max="7174" width="14.42578125" style="37" bestFit="1" customWidth="1"/>
    <col min="7175" max="7175" width="10.42578125" style="37" bestFit="1" customWidth="1"/>
    <col min="7176" max="7176" width="12.28515625" style="37" customWidth="1"/>
    <col min="7177" max="7181" width="11.42578125" style="37" customWidth="1"/>
    <col min="7182" max="7183" width="10.5703125" style="37" bestFit="1" customWidth="1"/>
    <col min="7184" max="7185" width="11.42578125" style="37" customWidth="1"/>
    <col min="7186" max="7186" width="6.140625" style="37" customWidth="1"/>
    <col min="7187" max="7197" width="11.42578125" style="37" customWidth="1"/>
    <col min="7198" max="7427" width="11.42578125" style="37"/>
    <col min="7428" max="7428" width="5.28515625" style="37" customWidth="1"/>
    <col min="7429" max="7429" width="15.28515625" style="37" customWidth="1"/>
    <col min="7430" max="7430" width="14.42578125" style="37" bestFit="1" customWidth="1"/>
    <col min="7431" max="7431" width="10.42578125" style="37" bestFit="1" customWidth="1"/>
    <col min="7432" max="7432" width="12.28515625" style="37" customWidth="1"/>
    <col min="7433" max="7437" width="11.42578125" style="37" customWidth="1"/>
    <col min="7438" max="7439" width="10.5703125" style="37" bestFit="1" customWidth="1"/>
    <col min="7440" max="7441" width="11.42578125" style="37" customWidth="1"/>
    <col min="7442" max="7442" width="6.140625" style="37" customWidth="1"/>
    <col min="7443" max="7453" width="11.42578125" style="37" customWidth="1"/>
    <col min="7454" max="7683" width="11.42578125" style="37"/>
    <col min="7684" max="7684" width="5.28515625" style="37" customWidth="1"/>
    <col min="7685" max="7685" width="15.28515625" style="37" customWidth="1"/>
    <col min="7686" max="7686" width="14.42578125" style="37" bestFit="1" customWidth="1"/>
    <col min="7687" max="7687" width="10.42578125" style="37" bestFit="1" customWidth="1"/>
    <col min="7688" max="7688" width="12.28515625" style="37" customWidth="1"/>
    <col min="7689" max="7693" width="11.42578125" style="37" customWidth="1"/>
    <col min="7694" max="7695" width="10.5703125" style="37" bestFit="1" customWidth="1"/>
    <col min="7696" max="7697" width="11.42578125" style="37" customWidth="1"/>
    <col min="7698" max="7698" width="6.140625" style="37" customWidth="1"/>
    <col min="7699" max="7709" width="11.42578125" style="37" customWidth="1"/>
    <col min="7710" max="7939" width="11.42578125" style="37"/>
    <col min="7940" max="7940" width="5.28515625" style="37" customWidth="1"/>
    <col min="7941" max="7941" width="15.28515625" style="37" customWidth="1"/>
    <col min="7942" max="7942" width="14.42578125" style="37" bestFit="1" customWidth="1"/>
    <col min="7943" max="7943" width="10.42578125" style="37" bestFit="1" customWidth="1"/>
    <col min="7944" max="7944" width="12.28515625" style="37" customWidth="1"/>
    <col min="7945" max="7949" width="11.42578125" style="37" customWidth="1"/>
    <col min="7950" max="7951" width="10.5703125" style="37" bestFit="1" customWidth="1"/>
    <col min="7952" max="7953" width="11.42578125" style="37" customWidth="1"/>
    <col min="7954" max="7954" width="6.140625" style="37" customWidth="1"/>
    <col min="7955" max="7965" width="11.42578125" style="37" customWidth="1"/>
    <col min="7966" max="8195" width="11.42578125" style="37"/>
    <col min="8196" max="8196" width="5.28515625" style="37" customWidth="1"/>
    <col min="8197" max="8197" width="15.28515625" style="37" customWidth="1"/>
    <col min="8198" max="8198" width="14.42578125" style="37" bestFit="1" customWidth="1"/>
    <col min="8199" max="8199" width="10.42578125" style="37" bestFit="1" customWidth="1"/>
    <col min="8200" max="8200" width="12.28515625" style="37" customWidth="1"/>
    <col min="8201" max="8205" width="11.42578125" style="37" customWidth="1"/>
    <col min="8206" max="8207" width="10.5703125" style="37" bestFit="1" customWidth="1"/>
    <col min="8208" max="8209" width="11.42578125" style="37" customWidth="1"/>
    <col min="8210" max="8210" width="6.140625" style="37" customWidth="1"/>
    <col min="8211" max="8221" width="11.42578125" style="37" customWidth="1"/>
    <col min="8222" max="8451" width="11.42578125" style="37"/>
    <col min="8452" max="8452" width="5.28515625" style="37" customWidth="1"/>
    <col min="8453" max="8453" width="15.28515625" style="37" customWidth="1"/>
    <col min="8454" max="8454" width="14.42578125" style="37" bestFit="1" customWidth="1"/>
    <col min="8455" max="8455" width="10.42578125" style="37" bestFit="1" customWidth="1"/>
    <col min="8456" max="8456" width="12.28515625" style="37" customWidth="1"/>
    <col min="8457" max="8461" width="11.42578125" style="37" customWidth="1"/>
    <col min="8462" max="8463" width="10.5703125" style="37" bestFit="1" customWidth="1"/>
    <col min="8464" max="8465" width="11.42578125" style="37" customWidth="1"/>
    <col min="8466" max="8466" width="6.140625" style="37" customWidth="1"/>
    <col min="8467" max="8477" width="11.42578125" style="37" customWidth="1"/>
    <col min="8478" max="8707" width="11.42578125" style="37"/>
    <col min="8708" max="8708" width="5.28515625" style="37" customWidth="1"/>
    <col min="8709" max="8709" width="15.28515625" style="37" customWidth="1"/>
    <col min="8710" max="8710" width="14.42578125" style="37" bestFit="1" customWidth="1"/>
    <col min="8711" max="8711" width="10.42578125" style="37" bestFit="1" customWidth="1"/>
    <col min="8712" max="8712" width="12.28515625" style="37" customWidth="1"/>
    <col min="8713" max="8717" width="11.42578125" style="37" customWidth="1"/>
    <col min="8718" max="8719" width="10.5703125" style="37" bestFit="1" customWidth="1"/>
    <col min="8720" max="8721" width="11.42578125" style="37" customWidth="1"/>
    <col min="8722" max="8722" width="6.140625" style="37" customWidth="1"/>
    <col min="8723" max="8733" width="11.42578125" style="37" customWidth="1"/>
    <col min="8734" max="8963" width="11.42578125" style="37"/>
    <col min="8964" max="8964" width="5.28515625" style="37" customWidth="1"/>
    <col min="8965" max="8965" width="15.28515625" style="37" customWidth="1"/>
    <col min="8966" max="8966" width="14.42578125" style="37" bestFit="1" customWidth="1"/>
    <col min="8967" max="8967" width="10.42578125" style="37" bestFit="1" customWidth="1"/>
    <col min="8968" max="8968" width="12.28515625" style="37" customWidth="1"/>
    <col min="8969" max="8973" width="11.42578125" style="37" customWidth="1"/>
    <col min="8974" max="8975" width="10.5703125" style="37" bestFit="1" customWidth="1"/>
    <col min="8976" max="8977" width="11.42578125" style="37" customWidth="1"/>
    <col min="8978" max="8978" width="6.140625" style="37" customWidth="1"/>
    <col min="8979" max="8989" width="11.42578125" style="37" customWidth="1"/>
    <col min="8990" max="9219" width="11.42578125" style="37"/>
    <col min="9220" max="9220" width="5.28515625" style="37" customWidth="1"/>
    <col min="9221" max="9221" width="15.28515625" style="37" customWidth="1"/>
    <col min="9222" max="9222" width="14.42578125" style="37" bestFit="1" customWidth="1"/>
    <col min="9223" max="9223" width="10.42578125" style="37" bestFit="1" customWidth="1"/>
    <col min="9224" max="9224" width="12.28515625" style="37" customWidth="1"/>
    <col min="9225" max="9229" width="11.42578125" style="37" customWidth="1"/>
    <col min="9230" max="9231" width="10.5703125" style="37" bestFit="1" customWidth="1"/>
    <col min="9232" max="9233" width="11.42578125" style="37" customWidth="1"/>
    <col min="9234" max="9234" width="6.140625" style="37" customWidth="1"/>
    <col min="9235" max="9245" width="11.42578125" style="37" customWidth="1"/>
    <col min="9246" max="9475" width="11.42578125" style="37"/>
    <col min="9476" max="9476" width="5.28515625" style="37" customWidth="1"/>
    <col min="9477" max="9477" width="15.28515625" style="37" customWidth="1"/>
    <col min="9478" max="9478" width="14.42578125" style="37" bestFit="1" customWidth="1"/>
    <col min="9479" max="9479" width="10.42578125" style="37" bestFit="1" customWidth="1"/>
    <col min="9480" max="9480" width="12.28515625" style="37" customWidth="1"/>
    <col min="9481" max="9485" width="11.42578125" style="37" customWidth="1"/>
    <col min="9486" max="9487" width="10.5703125" style="37" bestFit="1" customWidth="1"/>
    <col min="9488" max="9489" width="11.42578125" style="37" customWidth="1"/>
    <col min="9490" max="9490" width="6.140625" style="37" customWidth="1"/>
    <col min="9491" max="9501" width="11.42578125" style="37" customWidth="1"/>
    <col min="9502" max="9731" width="11.42578125" style="37"/>
    <col min="9732" max="9732" width="5.28515625" style="37" customWidth="1"/>
    <col min="9733" max="9733" width="15.28515625" style="37" customWidth="1"/>
    <col min="9734" max="9734" width="14.42578125" style="37" bestFit="1" customWidth="1"/>
    <col min="9735" max="9735" width="10.42578125" style="37" bestFit="1" customWidth="1"/>
    <col min="9736" max="9736" width="12.28515625" style="37" customWidth="1"/>
    <col min="9737" max="9741" width="11.42578125" style="37" customWidth="1"/>
    <col min="9742" max="9743" width="10.5703125" style="37" bestFit="1" customWidth="1"/>
    <col min="9744" max="9745" width="11.42578125" style="37" customWidth="1"/>
    <col min="9746" max="9746" width="6.140625" style="37" customWidth="1"/>
    <col min="9747" max="9757" width="11.42578125" style="37" customWidth="1"/>
    <col min="9758" max="9987" width="11.42578125" style="37"/>
    <col min="9988" max="9988" width="5.28515625" style="37" customWidth="1"/>
    <col min="9989" max="9989" width="15.28515625" style="37" customWidth="1"/>
    <col min="9990" max="9990" width="14.42578125" style="37" bestFit="1" customWidth="1"/>
    <col min="9991" max="9991" width="10.42578125" style="37" bestFit="1" customWidth="1"/>
    <col min="9992" max="9992" width="12.28515625" style="37" customWidth="1"/>
    <col min="9993" max="9997" width="11.42578125" style="37" customWidth="1"/>
    <col min="9998" max="9999" width="10.5703125" style="37" bestFit="1" customWidth="1"/>
    <col min="10000" max="10001" width="11.42578125" style="37" customWidth="1"/>
    <col min="10002" max="10002" width="6.140625" style="37" customWidth="1"/>
    <col min="10003" max="10013" width="11.42578125" style="37" customWidth="1"/>
    <col min="10014" max="10243" width="11.42578125" style="37"/>
    <col min="10244" max="10244" width="5.28515625" style="37" customWidth="1"/>
    <col min="10245" max="10245" width="15.28515625" style="37" customWidth="1"/>
    <col min="10246" max="10246" width="14.42578125" style="37" bestFit="1" customWidth="1"/>
    <col min="10247" max="10247" width="10.42578125" style="37" bestFit="1" customWidth="1"/>
    <col min="10248" max="10248" width="12.28515625" style="37" customWidth="1"/>
    <col min="10249" max="10253" width="11.42578125" style="37" customWidth="1"/>
    <col min="10254" max="10255" width="10.5703125" style="37" bestFit="1" customWidth="1"/>
    <col min="10256" max="10257" width="11.42578125" style="37" customWidth="1"/>
    <col min="10258" max="10258" width="6.140625" style="37" customWidth="1"/>
    <col min="10259" max="10269" width="11.42578125" style="37" customWidth="1"/>
    <col min="10270" max="10499" width="11.42578125" style="37"/>
    <col min="10500" max="10500" width="5.28515625" style="37" customWidth="1"/>
    <col min="10501" max="10501" width="15.28515625" style="37" customWidth="1"/>
    <col min="10502" max="10502" width="14.42578125" style="37" bestFit="1" customWidth="1"/>
    <col min="10503" max="10503" width="10.42578125" style="37" bestFit="1" customWidth="1"/>
    <col min="10504" max="10504" width="12.28515625" style="37" customWidth="1"/>
    <col min="10505" max="10509" width="11.42578125" style="37" customWidth="1"/>
    <col min="10510" max="10511" width="10.5703125" style="37" bestFit="1" customWidth="1"/>
    <col min="10512" max="10513" width="11.42578125" style="37" customWidth="1"/>
    <col min="10514" max="10514" width="6.140625" style="37" customWidth="1"/>
    <col min="10515" max="10525" width="11.42578125" style="37" customWidth="1"/>
    <col min="10526" max="10755" width="11.42578125" style="37"/>
    <col min="10756" max="10756" width="5.28515625" style="37" customWidth="1"/>
    <col min="10757" max="10757" width="15.28515625" style="37" customWidth="1"/>
    <col min="10758" max="10758" width="14.42578125" style="37" bestFit="1" customWidth="1"/>
    <col min="10759" max="10759" width="10.42578125" style="37" bestFit="1" customWidth="1"/>
    <col min="10760" max="10760" width="12.28515625" style="37" customWidth="1"/>
    <col min="10761" max="10765" width="11.42578125" style="37" customWidth="1"/>
    <col min="10766" max="10767" width="10.5703125" style="37" bestFit="1" customWidth="1"/>
    <col min="10768" max="10769" width="11.42578125" style="37" customWidth="1"/>
    <col min="10770" max="10770" width="6.140625" style="37" customWidth="1"/>
    <col min="10771" max="10781" width="11.42578125" style="37" customWidth="1"/>
    <col min="10782" max="11011" width="11.42578125" style="37"/>
    <col min="11012" max="11012" width="5.28515625" style="37" customWidth="1"/>
    <col min="11013" max="11013" width="15.28515625" style="37" customWidth="1"/>
    <col min="11014" max="11014" width="14.42578125" style="37" bestFit="1" customWidth="1"/>
    <col min="11015" max="11015" width="10.42578125" style="37" bestFit="1" customWidth="1"/>
    <col min="11016" max="11016" width="12.28515625" style="37" customWidth="1"/>
    <col min="11017" max="11021" width="11.42578125" style="37" customWidth="1"/>
    <col min="11022" max="11023" width="10.5703125" style="37" bestFit="1" customWidth="1"/>
    <col min="11024" max="11025" width="11.42578125" style="37" customWidth="1"/>
    <col min="11026" max="11026" width="6.140625" style="37" customWidth="1"/>
    <col min="11027" max="11037" width="11.42578125" style="37" customWidth="1"/>
    <col min="11038" max="11267" width="11.42578125" style="37"/>
    <col min="11268" max="11268" width="5.28515625" style="37" customWidth="1"/>
    <col min="11269" max="11269" width="15.28515625" style="37" customWidth="1"/>
    <col min="11270" max="11270" width="14.42578125" style="37" bestFit="1" customWidth="1"/>
    <col min="11271" max="11271" width="10.42578125" style="37" bestFit="1" customWidth="1"/>
    <col min="11272" max="11272" width="12.28515625" style="37" customWidth="1"/>
    <col min="11273" max="11277" width="11.42578125" style="37" customWidth="1"/>
    <col min="11278" max="11279" width="10.5703125" style="37" bestFit="1" customWidth="1"/>
    <col min="11280" max="11281" width="11.42578125" style="37" customWidth="1"/>
    <col min="11282" max="11282" width="6.140625" style="37" customWidth="1"/>
    <col min="11283" max="11293" width="11.42578125" style="37" customWidth="1"/>
    <col min="11294" max="11523" width="11.42578125" style="37"/>
    <col min="11524" max="11524" width="5.28515625" style="37" customWidth="1"/>
    <col min="11525" max="11525" width="15.28515625" style="37" customWidth="1"/>
    <col min="11526" max="11526" width="14.42578125" style="37" bestFit="1" customWidth="1"/>
    <col min="11527" max="11527" width="10.42578125" style="37" bestFit="1" customWidth="1"/>
    <col min="11528" max="11528" width="12.28515625" style="37" customWidth="1"/>
    <col min="11529" max="11533" width="11.42578125" style="37" customWidth="1"/>
    <col min="11534" max="11535" width="10.5703125" style="37" bestFit="1" customWidth="1"/>
    <col min="11536" max="11537" width="11.42578125" style="37" customWidth="1"/>
    <col min="11538" max="11538" width="6.140625" style="37" customWidth="1"/>
    <col min="11539" max="11549" width="11.42578125" style="37" customWidth="1"/>
    <col min="11550" max="11779" width="11.42578125" style="37"/>
    <col min="11780" max="11780" width="5.28515625" style="37" customWidth="1"/>
    <col min="11781" max="11781" width="15.28515625" style="37" customWidth="1"/>
    <col min="11782" max="11782" width="14.42578125" style="37" bestFit="1" customWidth="1"/>
    <col min="11783" max="11783" width="10.42578125" style="37" bestFit="1" customWidth="1"/>
    <col min="11784" max="11784" width="12.28515625" style="37" customWidth="1"/>
    <col min="11785" max="11789" width="11.42578125" style="37" customWidth="1"/>
    <col min="11790" max="11791" width="10.5703125" style="37" bestFit="1" customWidth="1"/>
    <col min="11792" max="11793" width="11.42578125" style="37" customWidth="1"/>
    <col min="11794" max="11794" width="6.140625" style="37" customWidth="1"/>
    <col min="11795" max="11805" width="11.42578125" style="37" customWidth="1"/>
    <col min="11806" max="12035" width="11.42578125" style="37"/>
    <col min="12036" max="12036" width="5.28515625" style="37" customWidth="1"/>
    <col min="12037" max="12037" width="15.28515625" style="37" customWidth="1"/>
    <col min="12038" max="12038" width="14.42578125" style="37" bestFit="1" customWidth="1"/>
    <col min="12039" max="12039" width="10.42578125" style="37" bestFit="1" customWidth="1"/>
    <col min="12040" max="12040" width="12.28515625" style="37" customWidth="1"/>
    <col min="12041" max="12045" width="11.42578125" style="37" customWidth="1"/>
    <col min="12046" max="12047" width="10.5703125" style="37" bestFit="1" customWidth="1"/>
    <col min="12048" max="12049" width="11.42578125" style="37" customWidth="1"/>
    <col min="12050" max="12050" width="6.140625" style="37" customWidth="1"/>
    <col min="12051" max="12061" width="11.42578125" style="37" customWidth="1"/>
    <col min="12062" max="12291" width="11.42578125" style="37"/>
    <col min="12292" max="12292" width="5.28515625" style="37" customWidth="1"/>
    <col min="12293" max="12293" width="15.28515625" style="37" customWidth="1"/>
    <col min="12294" max="12294" width="14.42578125" style="37" bestFit="1" customWidth="1"/>
    <col min="12295" max="12295" width="10.42578125" style="37" bestFit="1" customWidth="1"/>
    <col min="12296" max="12296" width="12.28515625" style="37" customWidth="1"/>
    <col min="12297" max="12301" width="11.42578125" style="37" customWidth="1"/>
    <col min="12302" max="12303" width="10.5703125" style="37" bestFit="1" customWidth="1"/>
    <col min="12304" max="12305" width="11.42578125" style="37" customWidth="1"/>
    <col min="12306" max="12306" width="6.140625" style="37" customWidth="1"/>
    <col min="12307" max="12317" width="11.42578125" style="37" customWidth="1"/>
    <col min="12318" max="12547" width="11.42578125" style="37"/>
    <col min="12548" max="12548" width="5.28515625" style="37" customWidth="1"/>
    <col min="12549" max="12549" width="15.28515625" style="37" customWidth="1"/>
    <col min="12550" max="12550" width="14.42578125" style="37" bestFit="1" customWidth="1"/>
    <col min="12551" max="12551" width="10.42578125" style="37" bestFit="1" customWidth="1"/>
    <col min="12552" max="12552" width="12.28515625" style="37" customWidth="1"/>
    <col min="12553" max="12557" width="11.42578125" style="37" customWidth="1"/>
    <col min="12558" max="12559" width="10.5703125" style="37" bestFit="1" customWidth="1"/>
    <col min="12560" max="12561" width="11.42578125" style="37" customWidth="1"/>
    <col min="12562" max="12562" width="6.140625" style="37" customWidth="1"/>
    <col min="12563" max="12573" width="11.42578125" style="37" customWidth="1"/>
    <col min="12574" max="12803" width="11.42578125" style="37"/>
    <col min="12804" max="12804" width="5.28515625" style="37" customWidth="1"/>
    <col min="12805" max="12805" width="15.28515625" style="37" customWidth="1"/>
    <col min="12806" max="12806" width="14.42578125" style="37" bestFit="1" customWidth="1"/>
    <col min="12807" max="12807" width="10.42578125" style="37" bestFit="1" customWidth="1"/>
    <col min="12808" max="12808" width="12.28515625" style="37" customWidth="1"/>
    <col min="12809" max="12813" width="11.42578125" style="37" customWidth="1"/>
    <col min="12814" max="12815" width="10.5703125" style="37" bestFit="1" customWidth="1"/>
    <col min="12816" max="12817" width="11.42578125" style="37" customWidth="1"/>
    <col min="12818" max="12818" width="6.140625" style="37" customWidth="1"/>
    <col min="12819" max="12829" width="11.42578125" style="37" customWidth="1"/>
    <col min="12830" max="13059" width="11.42578125" style="37"/>
    <col min="13060" max="13060" width="5.28515625" style="37" customWidth="1"/>
    <col min="13061" max="13061" width="15.28515625" style="37" customWidth="1"/>
    <col min="13062" max="13062" width="14.42578125" style="37" bestFit="1" customWidth="1"/>
    <col min="13063" max="13063" width="10.42578125" style="37" bestFit="1" customWidth="1"/>
    <col min="13064" max="13064" width="12.28515625" style="37" customWidth="1"/>
    <col min="13065" max="13069" width="11.42578125" style="37" customWidth="1"/>
    <col min="13070" max="13071" width="10.5703125" style="37" bestFit="1" customWidth="1"/>
    <col min="13072" max="13073" width="11.42578125" style="37" customWidth="1"/>
    <col min="13074" max="13074" width="6.140625" style="37" customWidth="1"/>
    <col min="13075" max="13085" width="11.42578125" style="37" customWidth="1"/>
    <col min="13086" max="13315" width="11.42578125" style="37"/>
    <col min="13316" max="13316" width="5.28515625" style="37" customWidth="1"/>
    <col min="13317" max="13317" width="15.28515625" style="37" customWidth="1"/>
    <col min="13318" max="13318" width="14.42578125" style="37" bestFit="1" customWidth="1"/>
    <col min="13319" max="13319" width="10.42578125" style="37" bestFit="1" customWidth="1"/>
    <col min="13320" max="13320" width="12.28515625" style="37" customWidth="1"/>
    <col min="13321" max="13325" width="11.42578125" style="37" customWidth="1"/>
    <col min="13326" max="13327" width="10.5703125" style="37" bestFit="1" customWidth="1"/>
    <col min="13328" max="13329" width="11.42578125" style="37" customWidth="1"/>
    <col min="13330" max="13330" width="6.140625" style="37" customWidth="1"/>
    <col min="13331" max="13341" width="11.42578125" style="37" customWidth="1"/>
    <col min="13342" max="13571" width="11.42578125" style="37"/>
    <col min="13572" max="13572" width="5.28515625" style="37" customWidth="1"/>
    <col min="13573" max="13573" width="15.28515625" style="37" customWidth="1"/>
    <col min="13574" max="13574" width="14.42578125" style="37" bestFit="1" customWidth="1"/>
    <col min="13575" max="13575" width="10.42578125" style="37" bestFit="1" customWidth="1"/>
    <col min="13576" max="13576" width="12.28515625" style="37" customWidth="1"/>
    <col min="13577" max="13581" width="11.42578125" style="37" customWidth="1"/>
    <col min="13582" max="13583" width="10.5703125" style="37" bestFit="1" customWidth="1"/>
    <col min="13584" max="13585" width="11.42578125" style="37" customWidth="1"/>
    <col min="13586" max="13586" width="6.140625" style="37" customWidth="1"/>
    <col min="13587" max="13597" width="11.42578125" style="37" customWidth="1"/>
    <col min="13598" max="13827" width="11.42578125" style="37"/>
    <col min="13828" max="13828" width="5.28515625" style="37" customWidth="1"/>
    <col min="13829" max="13829" width="15.28515625" style="37" customWidth="1"/>
    <col min="13830" max="13830" width="14.42578125" style="37" bestFit="1" customWidth="1"/>
    <col min="13831" max="13831" width="10.42578125" style="37" bestFit="1" customWidth="1"/>
    <col min="13832" max="13832" width="12.28515625" style="37" customWidth="1"/>
    <col min="13833" max="13837" width="11.42578125" style="37" customWidth="1"/>
    <col min="13838" max="13839" width="10.5703125" style="37" bestFit="1" customWidth="1"/>
    <col min="13840" max="13841" width="11.42578125" style="37" customWidth="1"/>
    <col min="13842" max="13842" width="6.140625" style="37" customWidth="1"/>
    <col min="13843" max="13853" width="11.42578125" style="37" customWidth="1"/>
    <col min="13854" max="14083" width="11.42578125" style="37"/>
    <col min="14084" max="14084" width="5.28515625" style="37" customWidth="1"/>
    <col min="14085" max="14085" width="15.28515625" style="37" customWidth="1"/>
    <col min="14086" max="14086" width="14.42578125" style="37" bestFit="1" customWidth="1"/>
    <col min="14087" max="14087" width="10.42578125" style="37" bestFit="1" customWidth="1"/>
    <col min="14088" max="14088" width="12.28515625" style="37" customWidth="1"/>
    <col min="14089" max="14093" width="11.42578125" style="37" customWidth="1"/>
    <col min="14094" max="14095" width="10.5703125" style="37" bestFit="1" customWidth="1"/>
    <col min="14096" max="14097" width="11.42578125" style="37" customWidth="1"/>
    <col min="14098" max="14098" width="6.140625" style="37" customWidth="1"/>
    <col min="14099" max="14109" width="11.42578125" style="37" customWidth="1"/>
    <col min="14110" max="14339" width="11.42578125" style="37"/>
    <col min="14340" max="14340" width="5.28515625" style="37" customWidth="1"/>
    <col min="14341" max="14341" width="15.28515625" style="37" customWidth="1"/>
    <col min="14342" max="14342" width="14.42578125" style="37" bestFit="1" customWidth="1"/>
    <col min="14343" max="14343" width="10.42578125" style="37" bestFit="1" customWidth="1"/>
    <col min="14344" max="14344" width="12.28515625" style="37" customWidth="1"/>
    <col min="14345" max="14349" width="11.42578125" style="37" customWidth="1"/>
    <col min="14350" max="14351" width="10.5703125" style="37" bestFit="1" customWidth="1"/>
    <col min="14352" max="14353" width="11.42578125" style="37" customWidth="1"/>
    <col min="14354" max="14354" width="6.140625" style="37" customWidth="1"/>
    <col min="14355" max="14365" width="11.42578125" style="37" customWidth="1"/>
    <col min="14366" max="14595" width="11.42578125" style="37"/>
    <col min="14596" max="14596" width="5.28515625" style="37" customWidth="1"/>
    <col min="14597" max="14597" width="15.28515625" style="37" customWidth="1"/>
    <col min="14598" max="14598" width="14.42578125" style="37" bestFit="1" customWidth="1"/>
    <col min="14599" max="14599" width="10.42578125" style="37" bestFit="1" customWidth="1"/>
    <col min="14600" max="14600" width="12.28515625" style="37" customWidth="1"/>
    <col min="14601" max="14605" width="11.42578125" style="37" customWidth="1"/>
    <col min="14606" max="14607" width="10.5703125" style="37" bestFit="1" customWidth="1"/>
    <col min="14608" max="14609" width="11.42578125" style="37" customWidth="1"/>
    <col min="14610" max="14610" width="6.140625" style="37" customWidth="1"/>
    <col min="14611" max="14621" width="11.42578125" style="37" customWidth="1"/>
    <col min="14622" max="14851" width="11.42578125" style="37"/>
    <col min="14852" max="14852" width="5.28515625" style="37" customWidth="1"/>
    <col min="14853" max="14853" width="15.28515625" style="37" customWidth="1"/>
    <col min="14854" max="14854" width="14.42578125" style="37" bestFit="1" customWidth="1"/>
    <col min="14855" max="14855" width="10.42578125" style="37" bestFit="1" customWidth="1"/>
    <col min="14856" max="14856" width="12.28515625" style="37" customWidth="1"/>
    <col min="14857" max="14861" width="11.42578125" style="37" customWidth="1"/>
    <col min="14862" max="14863" width="10.5703125" style="37" bestFit="1" customWidth="1"/>
    <col min="14864" max="14865" width="11.42578125" style="37" customWidth="1"/>
    <col min="14866" max="14866" width="6.140625" style="37" customWidth="1"/>
    <col min="14867" max="14877" width="11.42578125" style="37" customWidth="1"/>
    <col min="14878" max="15107" width="11.42578125" style="37"/>
    <col min="15108" max="15108" width="5.28515625" style="37" customWidth="1"/>
    <col min="15109" max="15109" width="15.28515625" style="37" customWidth="1"/>
    <col min="15110" max="15110" width="14.42578125" style="37" bestFit="1" customWidth="1"/>
    <col min="15111" max="15111" width="10.42578125" style="37" bestFit="1" customWidth="1"/>
    <col min="15112" max="15112" width="12.28515625" style="37" customWidth="1"/>
    <col min="15113" max="15117" width="11.42578125" style="37" customWidth="1"/>
    <col min="15118" max="15119" width="10.5703125" style="37" bestFit="1" customWidth="1"/>
    <col min="15120" max="15121" width="11.42578125" style="37" customWidth="1"/>
    <col min="15122" max="15122" width="6.140625" style="37" customWidth="1"/>
    <col min="15123" max="15133" width="11.42578125" style="37" customWidth="1"/>
    <col min="15134" max="15363" width="11.42578125" style="37"/>
    <col min="15364" max="15364" width="5.28515625" style="37" customWidth="1"/>
    <col min="15365" max="15365" width="15.28515625" style="37" customWidth="1"/>
    <col min="15366" max="15366" width="14.42578125" style="37" bestFit="1" customWidth="1"/>
    <col min="15367" max="15367" width="10.42578125" style="37" bestFit="1" customWidth="1"/>
    <col min="15368" max="15368" width="12.28515625" style="37" customWidth="1"/>
    <col min="15369" max="15373" width="11.42578125" style="37" customWidth="1"/>
    <col min="15374" max="15375" width="10.5703125" style="37" bestFit="1" customWidth="1"/>
    <col min="15376" max="15377" width="11.42578125" style="37" customWidth="1"/>
    <col min="15378" max="15378" width="6.140625" style="37" customWidth="1"/>
    <col min="15379" max="15389" width="11.42578125" style="37" customWidth="1"/>
    <col min="15390" max="15619" width="11.42578125" style="37"/>
    <col min="15620" max="15620" width="5.28515625" style="37" customWidth="1"/>
    <col min="15621" max="15621" width="15.28515625" style="37" customWidth="1"/>
    <col min="15622" max="15622" width="14.42578125" style="37" bestFit="1" customWidth="1"/>
    <col min="15623" max="15623" width="10.42578125" style="37" bestFit="1" customWidth="1"/>
    <col min="15624" max="15624" width="12.28515625" style="37" customWidth="1"/>
    <col min="15625" max="15629" width="11.42578125" style="37" customWidth="1"/>
    <col min="15630" max="15631" width="10.5703125" style="37" bestFit="1" customWidth="1"/>
    <col min="15632" max="15633" width="11.42578125" style="37" customWidth="1"/>
    <col min="15634" max="15634" width="6.140625" style="37" customWidth="1"/>
    <col min="15635" max="15645" width="11.42578125" style="37" customWidth="1"/>
    <col min="15646" max="15875" width="11.42578125" style="37"/>
    <col min="15876" max="15876" width="5.28515625" style="37" customWidth="1"/>
    <col min="15877" max="15877" width="15.28515625" style="37" customWidth="1"/>
    <col min="15878" max="15878" width="14.42578125" style="37" bestFit="1" customWidth="1"/>
    <col min="15879" max="15879" width="10.42578125" style="37" bestFit="1" customWidth="1"/>
    <col min="15880" max="15880" width="12.28515625" style="37" customWidth="1"/>
    <col min="15881" max="15885" width="11.42578125" style="37" customWidth="1"/>
    <col min="15886" max="15887" width="10.5703125" style="37" bestFit="1" customWidth="1"/>
    <col min="15888" max="15889" width="11.42578125" style="37" customWidth="1"/>
    <col min="15890" max="15890" width="6.140625" style="37" customWidth="1"/>
    <col min="15891" max="15901" width="11.42578125" style="37" customWidth="1"/>
    <col min="15902" max="16131" width="11.42578125" style="37"/>
    <col min="16132" max="16132" width="5.28515625" style="37" customWidth="1"/>
    <col min="16133" max="16133" width="15.28515625" style="37" customWidth="1"/>
    <col min="16134" max="16134" width="14.42578125" style="37" bestFit="1" customWidth="1"/>
    <col min="16135" max="16135" width="10.42578125" style="37" bestFit="1" customWidth="1"/>
    <col min="16136" max="16136" width="12.28515625" style="37" customWidth="1"/>
    <col min="16137" max="16141" width="11.42578125" style="37" customWidth="1"/>
    <col min="16142" max="16143" width="10.5703125" style="37" bestFit="1" customWidth="1"/>
    <col min="16144" max="16145" width="11.42578125" style="37" customWidth="1"/>
    <col min="16146" max="16146" width="6.140625" style="37" customWidth="1"/>
    <col min="16147" max="16157" width="11.42578125" style="37" customWidth="1"/>
    <col min="16158" max="16384" width="11.42578125" style="37"/>
  </cols>
  <sheetData>
    <row r="1" spans="1:62" s="123" customFormat="1" ht="10.5" customHeight="1" thickBot="1" x14ac:dyDescent="0.3">
      <c r="Q1" s="38"/>
    </row>
    <row r="2" spans="1:62" s="123" customFormat="1" ht="6" customHeight="1" x14ac:dyDescent="0.25">
      <c r="B2" s="247"/>
      <c r="C2" s="248"/>
      <c r="D2" s="248"/>
      <c r="E2" s="248"/>
      <c r="F2" s="248"/>
      <c r="G2" s="248"/>
      <c r="H2" s="248"/>
      <c r="I2" s="248"/>
      <c r="J2" s="248"/>
      <c r="K2" s="248"/>
      <c r="L2" s="248"/>
      <c r="M2" s="248"/>
      <c r="N2" s="248"/>
      <c r="O2" s="248"/>
      <c r="P2" s="248"/>
      <c r="Q2" s="248"/>
      <c r="R2" s="248"/>
      <c r="S2" s="248"/>
      <c r="T2" s="249"/>
    </row>
    <row r="3" spans="1:62" s="1" customFormat="1" ht="33" customHeight="1" x14ac:dyDescent="0.25">
      <c r="B3" s="250"/>
      <c r="C3" s="263"/>
      <c r="D3" s="263"/>
      <c r="E3" s="263"/>
      <c r="F3" s="263"/>
      <c r="G3" s="263"/>
      <c r="H3" s="263"/>
      <c r="I3" s="263"/>
      <c r="J3" s="263"/>
      <c r="K3" s="263"/>
      <c r="L3" s="263"/>
      <c r="M3" s="263"/>
      <c r="N3" s="263"/>
      <c r="O3" s="263"/>
      <c r="P3" s="263"/>
      <c r="Q3" s="263"/>
      <c r="R3" s="263"/>
      <c r="S3" s="263"/>
      <c r="T3" s="251"/>
      <c r="U3" s="123"/>
      <c r="V3" s="1" t="s">
        <v>1234</v>
      </c>
      <c r="W3" s="182">
        <v>1</v>
      </c>
      <c r="X3" s="123"/>
      <c r="Y3" s="123"/>
      <c r="Z3" s="123"/>
      <c r="AA3" s="123"/>
      <c r="AB3" s="123"/>
      <c r="AC3" s="123"/>
      <c r="AD3" s="123"/>
      <c r="AE3" s="123"/>
      <c r="BI3" s="56"/>
      <c r="BJ3" s="56"/>
    </row>
    <row r="4" spans="1:62" s="1" customFormat="1" ht="25.15" customHeight="1" x14ac:dyDescent="0.25">
      <c r="B4" s="250"/>
      <c r="C4" s="281" t="s">
        <v>593</v>
      </c>
      <c r="D4" s="281"/>
      <c r="E4" s="281"/>
      <c r="F4" s="281"/>
      <c r="G4" s="281"/>
      <c r="H4" s="281"/>
      <c r="I4" s="281"/>
      <c r="J4" s="240"/>
      <c r="K4" s="240"/>
      <c r="L4" s="240"/>
      <c r="M4" s="240"/>
      <c r="N4" s="240"/>
      <c r="O4" s="240"/>
      <c r="P4" s="240"/>
      <c r="Q4" s="240"/>
      <c r="R4" s="240"/>
      <c r="S4" s="240"/>
      <c r="T4" s="251"/>
      <c r="V4" s="123" t="s">
        <v>1232</v>
      </c>
      <c r="W4" s="180">
        <f>SUMIFS(CampList[HH],CampList[Status],"open",CampList[Opening Date],"&gt;=" &amp; NFI_Monitor_Date)</f>
        <v>1164</v>
      </c>
      <c r="X4" s="123"/>
      <c r="Y4" s="123"/>
      <c r="Z4" s="123"/>
      <c r="AA4" s="123"/>
      <c r="AB4" s="123"/>
      <c r="AC4" s="123"/>
      <c r="AD4" s="123"/>
      <c r="AE4" s="123"/>
      <c r="AF4" s="77"/>
      <c r="AG4" s="77"/>
      <c r="AH4" s="77"/>
      <c r="AI4" s="77"/>
      <c r="AJ4" s="77"/>
      <c r="AK4" s="77"/>
      <c r="AL4" s="77"/>
      <c r="AM4" s="77"/>
      <c r="AN4" s="77"/>
      <c r="AO4" s="77"/>
      <c r="AP4" s="77"/>
      <c r="AQ4" s="77"/>
      <c r="AR4" s="77"/>
      <c r="AS4" s="77"/>
      <c r="BC4" s="56"/>
      <c r="BD4" s="56"/>
    </row>
    <row r="5" spans="1:62" s="18" customFormat="1" ht="12.75" customHeight="1" x14ac:dyDescent="0.25">
      <c r="B5" s="250"/>
      <c r="C5" s="1061">
        <f>Definition!B23</f>
        <v>42522</v>
      </c>
      <c r="D5" s="1061"/>
      <c r="E5" s="1061"/>
      <c r="F5" s="1061"/>
      <c r="G5" s="1061"/>
      <c r="H5" s="1061"/>
      <c r="I5" s="282"/>
      <c r="J5" s="240"/>
      <c r="K5" s="240"/>
      <c r="L5" s="240"/>
      <c r="M5" s="240"/>
      <c r="N5" s="240"/>
      <c r="O5" s="240"/>
      <c r="P5" s="240"/>
      <c r="Q5" s="240"/>
      <c r="R5" s="240"/>
      <c r="S5" s="240"/>
      <c r="T5" s="251"/>
      <c r="V5" s="123" t="s">
        <v>1233</v>
      </c>
      <c r="W5" s="180">
        <f>SUMIFS(CampList[HH],CampList[Status],"open",CampList[Priority],"P1")</f>
        <v>1799</v>
      </c>
      <c r="X5" s="123"/>
      <c r="Y5" s="123"/>
      <c r="Z5" s="123"/>
      <c r="AA5" s="123"/>
      <c r="AB5" s="123"/>
      <c r="AC5" s="123"/>
      <c r="AD5" s="123"/>
      <c r="AE5" s="123"/>
      <c r="AF5" s="77"/>
      <c r="AG5" s="77"/>
      <c r="AH5" s="77"/>
      <c r="AI5" s="77"/>
      <c r="AJ5" s="77"/>
      <c r="AK5" s="77"/>
      <c r="AL5" s="77"/>
      <c r="AM5" s="77"/>
      <c r="AN5" s="77"/>
      <c r="AO5" s="77"/>
      <c r="AP5" s="77"/>
      <c r="AQ5" s="77"/>
      <c r="AR5" s="77"/>
      <c r="AS5" s="77"/>
      <c r="BC5" s="57"/>
      <c r="BD5" s="57"/>
    </row>
    <row r="6" spans="1:62" s="45" customFormat="1" ht="44.25" customHeight="1" x14ac:dyDescent="0.55000000000000004">
      <c r="B6" s="286"/>
      <c r="C6" s="283"/>
      <c r="D6" s="284"/>
      <c r="E6" s="284"/>
      <c r="F6" s="284"/>
      <c r="G6" s="284"/>
      <c r="H6" s="284"/>
      <c r="I6" s="284"/>
      <c r="J6" s="284"/>
      <c r="K6" s="284"/>
      <c r="L6" s="284"/>
      <c r="M6" s="284"/>
      <c r="N6" s="284"/>
      <c r="O6" s="284"/>
      <c r="P6" s="284"/>
      <c r="Q6" s="285"/>
      <c r="R6" s="284"/>
      <c r="S6" s="284"/>
      <c r="T6" s="287"/>
    </row>
    <row r="7" spans="1:62" s="45" customFormat="1" ht="7.5" customHeight="1" x14ac:dyDescent="0.55000000000000004">
      <c r="B7" s="403"/>
      <c r="C7" s="404"/>
      <c r="D7" s="405"/>
      <c r="E7" s="405"/>
      <c r="F7" s="405"/>
      <c r="G7" s="405"/>
      <c r="H7" s="405"/>
      <c r="I7" s="405"/>
      <c r="J7" s="405"/>
      <c r="K7" s="405"/>
      <c r="L7" s="405"/>
      <c r="M7" s="405"/>
      <c r="N7" s="405"/>
      <c r="O7" s="405"/>
      <c r="P7" s="405"/>
      <c r="Q7" s="406"/>
      <c r="R7" s="405"/>
      <c r="S7" s="405"/>
      <c r="T7" s="407"/>
    </row>
    <row r="8" spans="1:62" s="77" customFormat="1" ht="12.75" customHeight="1" x14ac:dyDescent="0.35">
      <c r="A8" s="123"/>
      <c r="B8" s="270"/>
      <c r="C8" s="39"/>
      <c r="D8" s="39"/>
      <c r="E8" s="39"/>
      <c r="F8" s="39"/>
      <c r="G8" s="39"/>
      <c r="H8" s="39"/>
      <c r="I8" s="39"/>
      <c r="J8" s="39"/>
      <c r="K8" s="39"/>
      <c r="L8" s="39"/>
      <c r="M8" s="39"/>
      <c r="N8" s="39"/>
      <c r="O8" s="39"/>
      <c r="P8" s="39"/>
      <c r="Q8" s="408"/>
      <c r="R8" s="39"/>
      <c r="S8" s="39"/>
      <c r="T8" s="264"/>
      <c r="U8" s="123"/>
      <c r="V8" s="123"/>
      <c r="W8" s="123"/>
      <c r="X8" s="123"/>
      <c r="Y8" s="123"/>
      <c r="Z8" s="123"/>
      <c r="AA8" s="123"/>
      <c r="AB8" s="123"/>
      <c r="AC8" s="123"/>
      <c r="AD8" s="123"/>
      <c r="AE8" s="123"/>
    </row>
    <row r="9" spans="1:62" s="77" customFormat="1" ht="12.75" customHeight="1" x14ac:dyDescent="0.25">
      <c r="A9" s="123"/>
      <c r="B9" s="270"/>
      <c r="C9" s="39"/>
      <c r="D9" s="39"/>
      <c r="E9" s="39"/>
      <c r="F9" s="39"/>
      <c r="G9" s="39"/>
      <c r="H9" s="39"/>
      <c r="I9" s="39"/>
      <c r="J9" s="39"/>
      <c r="K9" s="39"/>
      <c r="L9" s="39"/>
      <c r="M9" s="39"/>
      <c r="N9" s="39"/>
      <c r="O9" s="39"/>
      <c r="P9" s="39"/>
      <c r="Q9" s="39"/>
      <c r="R9" s="39"/>
      <c r="S9" s="39"/>
      <c r="T9" s="264"/>
      <c r="U9" s="123"/>
      <c r="V9" s="123"/>
      <c r="W9" s="123"/>
      <c r="X9" s="123"/>
      <c r="Y9" s="123"/>
      <c r="Z9" s="123"/>
      <c r="AA9" s="123"/>
      <c r="AB9" s="123"/>
      <c r="AC9" s="123"/>
      <c r="AD9" s="123"/>
      <c r="AE9" s="123"/>
    </row>
    <row r="10" spans="1:62" ht="12.75" customHeight="1" thickBot="1" x14ac:dyDescent="0.3">
      <c r="B10" s="270"/>
      <c r="C10" s="39"/>
      <c r="D10" s="39"/>
      <c r="E10" s="39"/>
      <c r="F10" s="39"/>
      <c r="G10" s="39"/>
      <c r="H10" s="39"/>
      <c r="I10" s="39"/>
      <c r="J10" s="39"/>
      <c r="K10" s="39"/>
      <c r="L10" s="39"/>
      <c r="M10" s="39"/>
      <c r="N10" s="39"/>
      <c r="O10" s="39"/>
      <c r="P10" s="39"/>
      <c r="Q10" s="39"/>
      <c r="R10" s="39"/>
      <c r="S10" s="39"/>
      <c r="T10" s="264"/>
      <c r="Y10" s="1"/>
    </row>
    <row r="11" spans="1:62" ht="12.75" customHeight="1" x14ac:dyDescent="0.25">
      <c r="B11" s="270"/>
      <c r="C11" s="39"/>
      <c r="D11" s="39"/>
      <c r="E11" s="39"/>
      <c r="F11" s="39"/>
      <c r="G11" s="39"/>
      <c r="H11" s="39"/>
      <c r="I11" s="39"/>
      <c r="J11" s="39"/>
      <c r="K11" s="39"/>
      <c r="L11" s="39"/>
      <c r="M11" s="39"/>
      <c r="N11" s="39"/>
      <c r="O11" s="39"/>
      <c r="P11" s="39"/>
      <c r="Q11" s="39"/>
      <c r="R11" s="39"/>
      <c r="S11" s="39"/>
      <c r="T11" s="264"/>
      <c r="W11" s="288"/>
      <c r="X11" s="289"/>
      <c r="Y11" s="413"/>
      <c r="Z11" s="414"/>
      <c r="AA11" s="414"/>
      <c r="AB11" s="414"/>
      <c r="AC11" s="414"/>
      <c r="AD11" s="414"/>
      <c r="AE11" s="414"/>
      <c r="AF11" s="415"/>
    </row>
    <row r="12" spans="1:62" ht="24" customHeight="1" x14ac:dyDescent="0.25">
      <c r="B12" s="270"/>
      <c r="C12" s="193" t="s">
        <v>587</v>
      </c>
      <c r="D12" s="194" t="s">
        <v>456</v>
      </c>
      <c r="E12" s="195" t="s">
        <v>833</v>
      </c>
      <c r="F12" s="196" t="s">
        <v>829</v>
      </c>
      <c r="G12" s="196" t="s">
        <v>830</v>
      </c>
      <c r="H12" s="197" t="s">
        <v>831</v>
      </c>
      <c r="I12" s="197" t="s">
        <v>832</v>
      </c>
      <c r="J12" s="198" t="s">
        <v>1235</v>
      </c>
      <c r="K12" s="39"/>
      <c r="L12" s="193" t="s">
        <v>587</v>
      </c>
      <c r="M12" s="194" t="s">
        <v>456</v>
      </c>
      <c r="N12" s="195" t="s">
        <v>833</v>
      </c>
      <c r="O12" s="196" t="s">
        <v>829</v>
      </c>
      <c r="P12" s="196" t="s">
        <v>830</v>
      </c>
      <c r="Q12" s="197" t="s">
        <v>831</v>
      </c>
      <c r="R12" s="197" t="s">
        <v>832</v>
      </c>
      <c r="S12" s="198" t="s">
        <v>1235</v>
      </c>
      <c r="T12" s="264"/>
      <c r="W12" s="46"/>
      <c r="X12" s="1"/>
      <c r="Y12" s="270"/>
      <c r="Z12" s="409" t="s">
        <v>833</v>
      </c>
      <c r="AA12" s="409" t="s">
        <v>834</v>
      </c>
      <c r="AB12" s="136" t="s">
        <v>835</v>
      </c>
      <c r="AC12" s="136" t="s">
        <v>836</v>
      </c>
      <c r="AD12" s="137" t="s">
        <v>837</v>
      </c>
      <c r="AE12" s="137" t="s">
        <v>838</v>
      </c>
      <c r="AF12" s="264"/>
    </row>
    <row r="13" spans="1:62" ht="12.75" customHeight="1" x14ac:dyDescent="0.25">
      <c r="B13" s="270"/>
      <c r="C13" s="199" t="s">
        <v>597</v>
      </c>
      <c r="D13" s="200">
        <f t="shared" ref="D13:D19" si="0">VLOOKUP($C13,NFI,6,0)</f>
        <v>2</v>
      </c>
      <c r="E13" s="201">
        <f>$W$4*D13</f>
        <v>2328</v>
      </c>
      <c r="F13" s="202">
        <f ca="1">SUMIFS(Table_NFI[Mosquito net_LS],Table_NFI[opening_date],1,Table_NFI[Status],"open")</f>
        <v>13</v>
      </c>
      <c r="G13" s="203">
        <f t="shared" ref="G13:G18" ca="1" si="1">IF((F13/E13)&gt;100%,100%,(F13/E13))</f>
        <v>5.5841924398625431E-3</v>
      </c>
      <c r="H13" s="202">
        <f ca="1">SUM(INDIRECT(VLOOKUP($C13,NFI,3,0)))</f>
        <v>6088</v>
      </c>
      <c r="I13" s="204">
        <f ca="1">H13/E13</f>
        <v>2.6151202749140894</v>
      </c>
      <c r="J13" s="205">
        <f ca="1">MAX(0,1-G13-I13)</f>
        <v>0</v>
      </c>
      <c r="K13" s="39"/>
      <c r="L13" s="199" t="s">
        <v>990</v>
      </c>
      <c r="M13" s="200">
        <f>VLOOKUP($L13,NFI,6,0)</f>
        <v>2</v>
      </c>
      <c r="N13" s="201">
        <f>$W$5*M13</f>
        <v>3598</v>
      </c>
      <c r="O13" s="202">
        <f ca="1">SUMIFS(Table_NFI[Winter Clothes Adult_LS],Table_NFI[Priority],"P1",Table_NFI[Status],"open")</f>
        <v>710</v>
      </c>
      <c r="P13" s="203">
        <f t="shared" ref="P13:P14" ca="1" si="2">IF((O13/N13)&gt;100%,100%,(O13/N13))</f>
        <v>0.19733185102834908</v>
      </c>
      <c r="Q13" s="202">
        <f ca="1">SUM(INDIRECT(VLOOKUP($L13,NFI,3,0)))</f>
        <v>0</v>
      </c>
      <c r="R13" s="204">
        <f t="shared" ref="R13:R14" ca="1" si="3">Q13/N13</f>
        <v>0</v>
      </c>
      <c r="S13" s="205">
        <f ca="1">MAX(0,1-P13-R13)</f>
        <v>0.80266814897165095</v>
      </c>
      <c r="T13" s="264"/>
      <c r="W13" s="46"/>
      <c r="X13" s="1"/>
      <c r="Y13" s="270"/>
      <c r="Z13" s="83">
        <f t="shared" ref="Z13:Z19" ca="1" si="4">IF((E13-(SUM(F13:H13)))&lt;0,0,(E13-(SUM(F13:H13))))</f>
        <v>0</v>
      </c>
      <c r="AA13" s="410">
        <f t="shared" ref="AA13:AA19" ca="1" si="5">Z13/E13</f>
        <v>0</v>
      </c>
      <c r="AB13" s="83">
        <f t="shared" ref="AB13:AB19" ca="1" si="6">SUMIFS(INDIRECT(VLOOKUP($C13,NFI,4,0)),NFI_Pipeline_State,$C$6)</f>
        <v>0</v>
      </c>
      <c r="AC13" s="82">
        <f t="shared" ref="AC13:AC19" ca="1" si="7">AB13/E13</f>
        <v>0</v>
      </c>
      <c r="AD13" s="84">
        <f t="shared" ref="AD13:AD19" ca="1" si="8">IF((E13-(F13+H13+AB13))&lt;0,0,(E13-(F13+H13+AB13)))</f>
        <v>0</v>
      </c>
      <c r="AE13" s="85">
        <f t="shared" ref="AE13:AE19" ca="1" si="9">AD13/E13</f>
        <v>0</v>
      </c>
      <c r="AF13" s="264"/>
    </row>
    <row r="14" spans="1:62" ht="12.75" customHeight="1" x14ac:dyDescent="0.25">
      <c r="B14" s="270"/>
      <c r="C14" s="199" t="s">
        <v>459</v>
      </c>
      <c r="D14" s="200">
        <f t="shared" si="0"/>
        <v>1</v>
      </c>
      <c r="E14" s="201">
        <f>$W$4*D14</f>
        <v>1164</v>
      </c>
      <c r="F14" s="202">
        <f ca="1">SUMIFS(Table_NFI[Tarpaulin_LS],Table_NFI[opening_date],1,Table_NFI[Status],"open")</f>
        <v>7</v>
      </c>
      <c r="G14" s="203">
        <f t="shared" ca="1" si="1"/>
        <v>6.0137457044673543E-3</v>
      </c>
      <c r="H14" s="202">
        <f ca="1">SUM(INDIRECT(VLOOKUP($C14,NFI,3,0)))</f>
        <v>2947</v>
      </c>
      <c r="I14" s="204">
        <f ca="1">H14/E14</f>
        <v>2.5317869415807559</v>
      </c>
      <c r="J14" s="205">
        <f t="shared" ref="J14:J19" ca="1" si="10">MAX(0,1-G14-I14)</f>
        <v>0</v>
      </c>
      <c r="K14" s="39"/>
      <c r="L14" s="199" t="s">
        <v>994</v>
      </c>
      <c r="M14" s="200">
        <f>VLOOKUP($L14,NFI,6,0)</f>
        <v>3</v>
      </c>
      <c r="N14" s="201">
        <f>$W$5*M14</f>
        <v>5397</v>
      </c>
      <c r="O14" s="202">
        <f ca="1">SUMIFS(Table_NFI[Winter Clothes Children_LS],Table_NFI[Priority],"P1",Table_NFI[Status],"open")</f>
        <v>2145</v>
      </c>
      <c r="P14" s="203">
        <f t="shared" ca="1" si="2"/>
        <v>0.39744302390216785</v>
      </c>
      <c r="Q14" s="202">
        <f ca="1">SUM(INDIRECT(VLOOKUP($L14,NFI,3,0)))</f>
        <v>465</v>
      </c>
      <c r="R14" s="204">
        <f t="shared" ca="1" si="3"/>
        <v>8.6158977209560866E-2</v>
      </c>
      <c r="S14" s="205">
        <f ca="1">MAX(0,1-P14-R14)</f>
        <v>0.51639799888827131</v>
      </c>
      <c r="T14" s="264"/>
      <c r="W14" s="46"/>
      <c r="X14" s="1"/>
      <c r="Y14" s="270"/>
      <c r="Z14" s="83">
        <f t="shared" ca="1" si="4"/>
        <v>0</v>
      </c>
      <c r="AA14" s="410">
        <f t="shared" ca="1" si="5"/>
        <v>0</v>
      </c>
      <c r="AB14" s="83">
        <f t="shared" ca="1" si="6"/>
        <v>0</v>
      </c>
      <c r="AC14" s="82">
        <f t="shared" ca="1" si="7"/>
        <v>0</v>
      </c>
      <c r="AD14" s="84">
        <f t="shared" ca="1" si="8"/>
        <v>0</v>
      </c>
      <c r="AE14" s="85">
        <f t="shared" ca="1" si="9"/>
        <v>0</v>
      </c>
      <c r="AF14" s="264"/>
    </row>
    <row r="15" spans="1:62" x14ac:dyDescent="0.25">
      <c r="B15" s="270"/>
      <c r="C15" s="199" t="s">
        <v>436</v>
      </c>
      <c r="D15" s="200">
        <f t="shared" si="0"/>
        <v>2</v>
      </c>
      <c r="E15" s="201">
        <f t="shared" ref="E15:E19" si="11">$W$4*D15</f>
        <v>2328</v>
      </c>
      <c r="F15" s="202">
        <f ca="1">SUMIFS(Table_NFI[Blanket_LS],Table_NFI[opening_date],1,Table_NFI[Status],"open")</f>
        <v>13</v>
      </c>
      <c r="G15" s="203">
        <f t="shared" ca="1" si="1"/>
        <v>5.5841924398625431E-3</v>
      </c>
      <c r="H15" s="202">
        <f t="shared" ref="H15:H19" ca="1" si="12">SUM(INDIRECT(VLOOKUP($C15,NFI,3,0)))</f>
        <v>10348</v>
      </c>
      <c r="I15" s="204">
        <f ca="1">H15/E15</f>
        <v>4.4450171821305844</v>
      </c>
      <c r="J15" s="205">
        <f ca="1">MAX(0,1-G15-I15)</f>
        <v>0</v>
      </c>
      <c r="K15" s="39"/>
      <c r="L15" s="199" t="s">
        <v>1114</v>
      </c>
      <c r="M15" s="200">
        <f>VLOOKUP(L15,NFI,6,0)</f>
        <v>2</v>
      </c>
      <c r="N15" s="201">
        <f>$W$5*M15</f>
        <v>3598</v>
      </c>
      <c r="O15" s="202">
        <f ca="1">SUMIFS(Table_NFI[Winter Blanket_LS],Table_NFI[Priority],"P1",Table_NFI[Status],"open")</f>
        <v>346</v>
      </c>
      <c r="P15" s="203">
        <f ca="1">IF((O15/N15)&gt;100%,100%,(O15/N15))</f>
        <v>9.6164535853251812E-2</v>
      </c>
      <c r="Q15" s="202">
        <f ca="1">SUM(INDIRECT(VLOOKUP($L15,NFI,3,0)))</f>
        <v>1334</v>
      </c>
      <c r="R15" s="204">
        <f t="shared" ref="R15" ca="1" si="13">Q15/N15</f>
        <v>0.37076153418565871</v>
      </c>
      <c r="S15" s="205">
        <f ca="1">MAX(0,1-P15-R15)</f>
        <v>0.53307392996108949</v>
      </c>
      <c r="T15" s="264"/>
      <c r="W15" s="46"/>
      <c r="X15" s="1"/>
      <c r="Y15" s="270"/>
      <c r="Z15" s="83">
        <f t="shared" ca="1" si="4"/>
        <v>0</v>
      </c>
      <c r="AA15" s="410">
        <f t="shared" ca="1" si="5"/>
        <v>0</v>
      </c>
      <c r="AB15" s="83">
        <f t="shared" ca="1" si="6"/>
        <v>0</v>
      </c>
      <c r="AC15" s="82">
        <f t="shared" ca="1" si="7"/>
        <v>0</v>
      </c>
      <c r="AD15" s="84">
        <f t="shared" ca="1" si="8"/>
        <v>0</v>
      </c>
      <c r="AE15" s="85">
        <f t="shared" ca="1" si="9"/>
        <v>0</v>
      </c>
      <c r="AF15" s="264"/>
    </row>
    <row r="16" spans="1:62" x14ac:dyDescent="0.25">
      <c r="B16" s="270"/>
      <c r="C16" s="199" t="s">
        <v>437</v>
      </c>
      <c r="D16" s="200">
        <f t="shared" si="0"/>
        <v>1</v>
      </c>
      <c r="E16" s="201">
        <f t="shared" si="11"/>
        <v>1164</v>
      </c>
      <c r="F16" s="202">
        <f ca="1">SUMIFS(Table_NFI[Kitchen Set_LS],Table_NFI[opening_date],1,Table_NFI[Status],"open")</f>
        <v>7</v>
      </c>
      <c r="G16" s="203">
        <f t="shared" ca="1" si="1"/>
        <v>6.0137457044673543E-3</v>
      </c>
      <c r="H16" s="202">
        <f t="shared" ca="1" si="12"/>
        <v>2390</v>
      </c>
      <c r="I16" s="204">
        <f ca="1">H16/E16</f>
        <v>2.0532646048109964</v>
      </c>
      <c r="J16" s="205">
        <f t="shared" ca="1" si="10"/>
        <v>0</v>
      </c>
      <c r="K16" s="39"/>
      <c r="L16" s="39"/>
      <c r="M16" s="39"/>
      <c r="N16" s="39"/>
      <c r="O16" s="39"/>
      <c r="P16" s="39"/>
      <c r="Q16" s="39"/>
      <c r="R16" s="39"/>
      <c r="S16" s="39"/>
      <c r="T16" s="264"/>
      <c r="W16" s="46"/>
      <c r="X16" s="1"/>
      <c r="Y16" s="270"/>
      <c r="Z16" s="83">
        <f t="shared" ca="1" si="4"/>
        <v>0</v>
      </c>
      <c r="AA16" s="410">
        <f t="shared" ca="1" si="5"/>
        <v>0</v>
      </c>
      <c r="AB16" s="83">
        <f t="shared" ca="1" si="6"/>
        <v>0</v>
      </c>
      <c r="AC16" s="82">
        <f t="shared" ca="1" si="7"/>
        <v>0</v>
      </c>
      <c r="AD16" s="84">
        <f t="shared" ca="1" si="8"/>
        <v>0</v>
      </c>
      <c r="AE16" s="85">
        <f t="shared" ca="1" si="9"/>
        <v>0</v>
      </c>
      <c r="AF16" s="264"/>
    </row>
    <row r="17" spans="2:32" x14ac:dyDescent="0.25">
      <c r="B17" s="270"/>
      <c r="C17" s="199" t="s">
        <v>1222</v>
      </c>
      <c r="D17" s="200">
        <f t="shared" si="0"/>
        <v>1</v>
      </c>
      <c r="E17" s="201">
        <f t="shared" si="11"/>
        <v>1164</v>
      </c>
      <c r="F17" s="202">
        <f ca="1">SUMIFS(Table_NFI[Clothes Kit_LS],Table_NFI[opening_date],1,Table_NFI[Status],"open")</f>
        <v>7</v>
      </c>
      <c r="G17" s="203">
        <f t="shared" ca="1" si="1"/>
        <v>6.0137457044673543E-3</v>
      </c>
      <c r="H17" s="202">
        <f t="shared" ca="1" si="12"/>
        <v>0</v>
      </c>
      <c r="I17" s="204">
        <f t="shared" ref="I17:I19" ca="1" si="14">H17/E17</f>
        <v>0</v>
      </c>
      <c r="J17" s="205">
        <f t="shared" ca="1" si="10"/>
        <v>0.99398625429553267</v>
      </c>
      <c r="K17" s="39"/>
      <c r="L17" s="39"/>
      <c r="M17" s="39"/>
      <c r="N17" s="39"/>
      <c r="O17" s="39"/>
      <c r="P17" s="39"/>
      <c r="Q17" s="39"/>
      <c r="R17" s="39"/>
      <c r="S17" s="39"/>
      <c r="T17" s="264"/>
      <c r="W17" s="46"/>
      <c r="X17" s="1"/>
      <c r="Y17" s="270"/>
      <c r="Z17" s="83">
        <f t="shared" ca="1" si="4"/>
        <v>1156.9939862542956</v>
      </c>
      <c r="AA17" s="410">
        <f t="shared" ca="1" si="5"/>
        <v>0.99398108784733297</v>
      </c>
      <c r="AB17" s="83">
        <f t="shared" ca="1" si="6"/>
        <v>0</v>
      </c>
      <c r="AC17" s="82">
        <f t="shared" ca="1" si="7"/>
        <v>0</v>
      </c>
      <c r="AD17" s="84">
        <f t="shared" ca="1" si="8"/>
        <v>1157</v>
      </c>
      <c r="AE17" s="85">
        <f t="shared" ca="1" si="9"/>
        <v>0.99398625429553267</v>
      </c>
      <c r="AF17" s="264"/>
    </row>
    <row r="18" spans="2:32" x14ac:dyDescent="0.25">
      <c r="B18" s="270"/>
      <c r="C18" s="199" t="s">
        <v>579</v>
      </c>
      <c r="D18" s="200">
        <f t="shared" si="0"/>
        <v>1</v>
      </c>
      <c r="E18" s="201">
        <f t="shared" si="11"/>
        <v>1164</v>
      </c>
      <c r="F18" s="202">
        <f ca="1">SUMIFS(Table_NFI[Plastic Bucket _LS],Table_NFI[opening_date],1,Table_NFI[Status],"open")</f>
        <v>13</v>
      </c>
      <c r="G18" s="203">
        <f t="shared" ca="1" si="1"/>
        <v>1.1168384879725086E-2</v>
      </c>
      <c r="H18" s="202">
        <f ca="1">SUM(INDIRECT(VLOOKUP($C18,NFI,3,0)))</f>
        <v>2139</v>
      </c>
      <c r="I18" s="204">
        <f t="shared" ca="1" si="14"/>
        <v>1.8376288659793814</v>
      </c>
      <c r="J18" s="205">
        <f t="shared" ca="1" si="10"/>
        <v>0</v>
      </c>
      <c r="K18" s="39"/>
      <c r="L18" s="39"/>
      <c r="M18" s="39"/>
      <c r="N18" s="39"/>
      <c r="O18" s="39"/>
      <c r="P18" s="39"/>
      <c r="Q18" s="39"/>
      <c r="R18" s="39"/>
      <c r="S18" s="39"/>
      <c r="T18" s="264"/>
      <c r="W18" s="46"/>
      <c r="X18" s="1"/>
      <c r="Y18" s="270"/>
      <c r="Z18" s="83">
        <f t="shared" ca="1" si="4"/>
        <v>0</v>
      </c>
      <c r="AA18" s="410">
        <f t="shared" ca="1" si="5"/>
        <v>0</v>
      </c>
      <c r="AB18" s="83">
        <f t="shared" ca="1" si="6"/>
        <v>0</v>
      </c>
      <c r="AC18" s="82">
        <f t="shared" ca="1" si="7"/>
        <v>0</v>
      </c>
      <c r="AD18" s="84">
        <f t="shared" ca="1" si="8"/>
        <v>0</v>
      </c>
      <c r="AE18" s="85">
        <f t="shared" ca="1" si="9"/>
        <v>0</v>
      </c>
      <c r="AF18" s="264"/>
    </row>
    <row r="19" spans="2:32" x14ac:dyDescent="0.25">
      <c r="B19" s="270"/>
      <c r="C19" s="199" t="s">
        <v>580</v>
      </c>
      <c r="D19" s="200">
        <f t="shared" si="0"/>
        <v>5</v>
      </c>
      <c r="E19" s="201">
        <f t="shared" si="11"/>
        <v>5820</v>
      </c>
      <c r="F19" s="202">
        <f ca="1">SUMIFS(Table_NFI[Plastic  Mat_LS],Table_NFI[opening_date],1,Table_NFI[Status],"open")</f>
        <v>0</v>
      </c>
      <c r="G19" s="203">
        <f ca="1">IF((F19/E19)&gt;100%,100%,(F19/E19))</f>
        <v>0</v>
      </c>
      <c r="H19" s="202">
        <f t="shared" ca="1" si="12"/>
        <v>11017</v>
      </c>
      <c r="I19" s="204">
        <f t="shared" ca="1" si="14"/>
        <v>1.892955326460481</v>
      </c>
      <c r="J19" s="205">
        <f t="shared" ca="1" si="10"/>
        <v>0</v>
      </c>
      <c r="K19" s="39"/>
      <c r="L19" s="39"/>
      <c r="M19" s="39"/>
      <c r="N19" s="39"/>
      <c r="O19" s="39"/>
      <c r="P19" s="39"/>
      <c r="Q19" s="39"/>
      <c r="R19" s="39"/>
      <c r="S19" s="39"/>
      <c r="T19" s="264"/>
      <c r="W19" s="46"/>
      <c r="X19" s="1"/>
      <c r="Y19" s="270"/>
      <c r="Z19" s="83">
        <f t="shared" ca="1" si="4"/>
        <v>0</v>
      </c>
      <c r="AA19" s="410">
        <f t="shared" ca="1" si="5"/>
        <v>0</v>
      </c>
      <c r="AB19" s="83">
        <f t="shared" ca="1" si="6"/>
        <v>0</v>
      </c>
      <c r="AC19" s="82">
        <f t="shared" ca="1" si="7"/>
        <v>0</v>
      </c>
      <c r="AD19" s="84">
        <f t="shared" ca="1" si="8"/>
        <v>0</v>
      </c>
      <c r="AE19" s="85">
        <f t="shared" ca="1" si="9"/>
        <v>0</v>
      </c>
      <c r="AF19" s="264"/>
    </row>
    <row r="20" spans="2:32" s="123" customFormat="1" x14ac:dyDescent="0.25">
      <c r="B20" s="270"/>
      <c r="C20" s="39"/>
      <c r="D20" s="39"/>
      <c r="E20" s="39"/>
      <c r="F20" s="39"/>
      <c r="G20" s="39"/>
      <c r="H20" s="39"/>
      <c r="I20" s="39"/>
      <c r="J20" s="39"/>
      <c r="K20" s="39"/>
      <c r="L20" s="39"/>
      <c r="M20" s="39"/>
      <c r="N20" s="39"/>
      <c r="O20" s="39"/>
      <c r="P20" s="39"/>
      <c r="Q20" s="39"/>
      <c r="R20" s="39"/>
      <c r="S20" s="39"/>
      <c r="T20" s="264"/>
      <c r="W20" s="46"/>
      <c r="X20" s="1"/>
      <c r="Y20" s="270"/>
      <c r="Z20" s="83">
        <f ca="1">IF((N13-(SUM(O13:Q13)))&lt;0,0,(N13-(SUM(O13:Q13))))</f>
        <v>2887.8026681489719</v>
      </c>
      <c r="AA20" s="410">
        <f ca="1">Z20/N13</f>
        <v>0.80261330409921394</v>
      </c>
      <c r="AB20" s="83">
        <f ca="1">SUMIFS(INDIRECT(VLOOKUP($L13,NFI,4,0)),NFI_Pipeline_State,$C$6)</f>
        <v>0</v>
      </c>
      <c r="AC20" s="82">
        <f ca="1">AB20/N13</f>
        <v>0</v>
      </c>
      <c r="AD20" s="84">
        <f ca="1">IF((N13-(O13+Q13+AB20))&lt;0,0,(N13-(O13+Q13+AB20)))</f>
        <v>2888</v>
      </c>
      <c r="AE20" s="85">
        <f ca="1">AD20/N13</f>
        <v>0.80266814897165095</v>
      </c>
      <c r="AF20" s="264"/>
    </row>
    <row r="21" spans="2:32" s="123" customFormat="1" x14ac:dyDescent="0.25">
      <c r="B21" s="270"/>
      <c r="C21" s="39"/>
      <c r="D21" s="39"/>
      <c r="E21" s="39"/>
      <c r="F21" s="39"/>
      <c r="G21" s="39"/>
      <c r="H21" s="39"/>
      <c r="I21" s="39"/>
      <c r="J21" s="39"/>
      <c r="K21" s="39"/>
      <c r="L21" s="39"/>
      <c r="M21" s="39"/>
      <c r="N21" s="39"/>
      <c r="O21" s="39"/>
      <c r="P21" s="39"/>
      <c r="Q21" s="39"/>
      <c r="R21" s="39"/>
      <c r="S21" s="39"/>
      <c r="T21" s="264"/>
      <c r="W21" s="46"/>
      <c r="X21" s="1"/>
      <c r="Y21" s="270"/>
      <c r="Z21" s="83">
        <f ca="1">IF((N14-(SUM(O14:Q14)))&lt;0,0,(N14-(SUM(O14:Q14))))</f>
        <v>2786.6025569760977</v>
      </c>
      <c r="AA21" s="410">
        <f ca="1">Z21/N14</f>
        <v>0.51632435741636051</v>
      </c>
      <c r="AB21" s="83">
        <f ca="1">SUMIFS(INDIRECT(VLOOKUP($L14,NFI,4,0)),NFI_Pipeline_State,$C$6)</f>
        <v>0</v>
      </c>
      <c r="AC21" s="82">
        <f ca="1">AB21/N14</f>
        <v>0</v>
      </c>
      <c r="AD21" s="84">
        <f ca="1">IF((N14-(O14+Q14+AB21))&lt;0,0,(N14-(O14+Q14+AB21)))</f>
        <v>2787</v>
      </c>
      <c r="AE21" s="85">
        <f ca="1">AD21/N14</f>
        <v>0.51639799888827131</v>
      </c>
      <c r="AF21" s="264"/>
    </row>
    <row r="22" spans="2:32" x14ac:dyDescent="0.25">
      <c r="B22" s="270"/>
      <c r="C22" s="39"/>
      <c r="D22" s="39"/>
      <c r="E22" s="39"/>
      <c r="F22" s="39"/>
      <c r="G22" s="39"/>
      <c r="H22" s="39"/>
      <c r="I22" s="39"/>
      <c r="J22" s="39"/>
      <c r="K22" s="39"/>
      <c r="L22" s="39"/>
      <c r="M22" s="39"/>
      <c r="N22" s="39"/>
      <c r="O22" s="39"/>
      <c r="P22" s="39"/>
      <c r="Q22" s="39"/>
      <c r="R22" s="39"/>
      <c r="S22" s="39"/>
      <c r="T22" s="264"/>
      <c r="W22" s="46"/>
      <c r="X22" s="1"/>
      <c r="Y22" s="270"/>
      <c r="Z22" s="83">
        <f ca="1">IF((N15-(SUM(O15:Q15)))&lt;0,0,(N15-(SUM(O15:Q15))))</f>
        <v>1917.9038354641468</v>
      </c>
      <c r="AA22" s="410">
        <f ca="1">Z22/N15</f>
        <v>0.53304720274156392</v>
      </c>
      <c r="AB22" s="83">
        <f ca="1">SUMIFS(INDIRECT(VLOOKUP($L15,NFI,4,0)),NFI_Pipeline_State,$C$6)</f>
        <v>0</v>
      </c>
      <c r="AC22" s="82">
        <f ca="1">AB22/N15</f>
        <v>0</v>
      </c>
      <c r="AD22" s="84">
        <f ca="1">IF((N15-(O15+Q15+AB22))&lt;0,0,(N15-(O15+Q15+AB22)))</f>
        <v>1918</v>
      </c>
      <c r="AE22" s="85">
        <f ca="1">AD22/N15</f>
        <v>0.53307392996108949</v>
      </c>
      <c r="AF22" s="264"/>
    </row>
    <row r="23" spans="2:32" ht="15.75" thickBot="1" x14ac:dyDescent="0.3">
      <c r="B23" s="270"/>
      <c r="C23" s="39"/>
      <c r="D23" s="39"/>
      <c r="E23" s="39"/>
      <c r="F23" s="39"/>
      <c r="G23" s="39"/>
      <c r="H23" s="39"/>
      <c r="I23" s="39"/>
      <c r="J23" s="39"/>
      <c r="K23" s="39"/>
      <c r="L23" s="39"/>
      <c r="M23" s="39"/>
      <c r="N23" s="39"/>
      <c r="O23" s="39"/>
      <c r="P23" s="39"/>
      <c r="Q23" s="39"/>
      <c r="R23" s="39"/>
      <c r="S23" s="39"/>
      <c r="T23" s="264"/>
      <c r="W23" s="254"/>
      <c r="X23" s="255"/>
      <c r="Y23" s="271"/>
      <c r="Z23" s="256"/>
      <c r="AA23" s="256"/>
      <c r="AB23" s="256"/>
      <c r="AC23" s="256"/>
      <c r="AD23" s="256"/>
      <c r="AE23" s="256"/>
      <c r="AF23" s="269"/>
    </row>
    <row r="24" spans="2:32" x14ac:dyDescent="0.25">
      <c r="B24" s="270"/>
      <c r="C24" s="39"/>
      <c r="D24" s="39"/>
      <c r="E24" s="39"/>
      <c r="F24" s="39"/>
      <c r="G24" s="39"/>
      <c r="H24" s="39"/>
      <c r="I24" s="39"/>
      <c r="J24" s="39"/>
      <c r="K24" s="39"/>
      <c r="L24" s="39"/>
      <c r="M24" s="39"/>
      <c r="N24" s="39"/>
      <c r="O24" s="39"/>
      <c r="P24" s="39"/>
      <c r="Q24" s="39"/>
      <c r="R24" s="39"/>
      <c r="S24" s="39"/>
      <c r="T24" s="264"/>
      <c r="Y24" s="1"/>
    </row>
    <row r="25" spans="2:32" x14ac:dyDescent="0.25">
      <c r="B25" s="270"/>
      <c r="C25" s="39"/>
      <c r="D25" s="39"/>
      <c r="E25" s="39"/>
      <c r="F25" s="39"/>
      <c r="G25" s="39"/>
      <c r="H25" s="39"/>
      <c r="I25" s="39"/>
      <c r="J25" s="39"/>
      <c r="K25" s="39"/>
      <c r="L25" s="39"/>
      <c r="M25" s="39"/>
      <c r="N25" s="39"/>
      <c r="O25" s="39"/>
      <c r="P25" s="39"/>
      <c r="Q25" s="39"/>
      <c r="R25" s="39"/>
      <c r="S25" s="39"/>
      <c r="T25" s="264"/>
      <c r="Y25" s="1"/>
    </row>
    <row r="26" spans="2:32" x14ac:dyDescent="0.25">
      <c r="B26" s="270"/>
      <c r="C26" s="39"/>
      <c r="D26" s="39"/>
      <c r="E26" s="39"/>
      <c r="F26" s="39"/>
      <c r="G26" s="39"/>
      <c r="H26" s="39"/>
      <c r="I26" s="39"/>
      <c r="J26" s="39"/>
      <c r="K26" s="39"/>
      <c r="L26" s="39"/>
      <c r="M26" s="39"/>
      <c r="N26" s="39"/>
      <c r="O26" s="39"/>
      <c r="P26" s="39"/>
      <c r="Q26" s="39"/>
      <c r="R26" s="39"/>
      <c r="S26" s="39"/>
      <c r="T26" s="264"/>
    </row>
    <row r="27" spans="2:32" x14ac:dyDescent="0.25">
      <c r="B27" s="270"/>
      <c r="C27" s="39"/>
      <c r="D27" s="39"/>
      <c r="E27" s="39"/>
      <c r="F27" s="39"/>
      <c r="G27" s="39"/>
      <c r="H27" s="39"/>
      <c r="I27" s="39"/>
      <c r="J27" s="39"/>
      <c r="K27" s="39"/>
      <c r="L27" s="39"/>
      <c r="M27" s="39"/>
      <c r="N27" s="39"/>
      <c r="O27" s="39"/>
      <c r="P27" s="39"/>
      <c r="Q27" s="39"/>
      <c r="R27" s="39"/>
      <c r="S27" s="39"/>
      <c r="T27" s="264"/>
    </row>
    <row r="28" spans="2:32" x14ac:dyDescent="0.25">
      <c r="B28" s="270"/>
      <c r="C28" s="39"/>
      <c r="D28" s="39"/>
      <c r="E28" s="39"/>
      <c r="F28" s="39"/>
      <c r="G28" s="39"/>
      <c r="H28" s="39"/>
      <c r="I28" s="39"/>
      <c r="J28" s="39"/>
      <c r="K28" s="39"/>
      <c r="L28" s="39"/>
      <c r="M28" s="39"/>
      <c r="N28" s="39"/>
      <c r="O28" s="39"/>
      <c r="P28" s="39"/>
      <c r="Q28" s="39"/>
      <c r="R28" s="39"/>
      <c r="S28" s="39"/>
      <c r="T28" s="264"/>
    </row>
    <row r="29" spans="2:32" x14ac:dyDescent="0.25">
      <c r="B29" s="270"/>
      <c r="C29" s="39"/>
      <c r="D29" s="39"/>
      <c r="E29" s="39"/>
      <c r="F29" s="39"/>
      <c r="G29" s="39"/>
      <c r="H29" s="39"/>
      <c r="I29" s="39"/>
      <c r="J29" s="39"/>
      <c r="K29" s="39"/>
      <c r="L29" s="39"/>
      <c r="M29" s="39"/>
      <c r="N29" s="39"/>
      <c r="O29" s="39"/>
      <c r="P29" s="39"/>
      <c r="Q29" s="39"/>
      <c r="R29" s="39"/>
      <c r="S29" s="39"/>
      <c r="T29" s="264"/>
    </row>
    <row r="30" spans="2:32" x14ac:dyDescent="0.25">
      <c r="B30" s="270"/>
      <c r="C30" s="39"/>
      <c r="D30" s="39"/>
      <c r="E30" s="39"/>
      <c r="F30" s="39"/>
      <c r="G30" s="39"/>
      <c r="H30" s="39"/>
      <c r="I30" s="39"/>
      <c r="J30" s="39"/>
      <c r="K30" s="39"/>
      <c r="L30" s="39"/>
      <c r="M30" s="39"/>
      <c r="N30" s="39"/>
      <c r="O30" s="39"/>
      <c r="P30" s="39"/>
      <c r="Q30" s="39"/>
      <c r="R30" s="39"/>
      <c r="S30" s="39"/>
      <c r="T30" s="264"/>
    </row>
    <row r="31" spans="2:32" x14ac:dyDescent="0.25">
      <c r="B31" s="270"/>
      <c r="C31" s="39"/>
      <c r="D31" s="39"/>
      <c r="E31" s="39"/>
      <c r="F31" s="39"/>
      <c r="G31" s="39"/>
      <c r="H31" s="39"/>
      <c r="I31" s="39"/>
      <c r="J31" s="39"/>
      <c r="K31" s="39"/>
      <c r="L31" s="39"/>
      <c r="M31" s="39"/>
      <c r="N31" s="39"/>
      <c r="O31" s="39"/>
      <c r="P31" s="39"/>
      <c r="Q31" s="39"/>
      <c r="R31" s="39"/>
      <c r="S31" s="39"/>
      <c r="T31" s="264"/>
    </row>
    <row r="32" spans="2:32" s="123" customFormat="1" x14ac:dyDescent="0.25">
      <c r="B32" s="270"/>
      <c r="C32" s="39"/>
      <c r="D32" s="39"/>
      <c r="E32" s="39"/>
      <c r="F32" s="39"/>
      <c r="G32" s="39"/>
      <c r="H32" s="39"/>
      <c r="I32" s="39"/>
      <c r="J32" s="39"/>
      <c r="K32" s="39"/>
      <c r="L32" s="39"/>
      <c r="M32" s="39"/>
      <c r="N32" s="39"/>
      <c r="O32" s="39"/>
      <c r="P32" s="39"/>
      <c r="Q32" s="39"/>
      <c r="R32" s="39"/>
      <c r="S32" s="39"/>
      <c r="T32" s="264"/>
    </row>
    <row r="33" spans="2:20" s="123" customFormat="1" x14ac:dyDescent="0.25">
      <c r="B33" s="270"/>
      <c r="C33" s="39"/>
      <c r="D33" s="39"/>
      <c r="E33" s="39"/>
      <c r="F33" s="39"/>
      <c r="G33" s="39"/>
      <c r="H33" s="39"/>
      <c r="I33" s="39"/>
      <c r="J33" s="39"/>
      <c r="K33" s="39"/>
      <c r="L33" s="39"/>
      <c r="M33" s="39"/>
      <c r="N33" s="39"/>
      <c r="O33" s="39"/>
      <c r="P33" s="39"/>
      <c r="Q33" s="39"/>
      <c r="R33" s="39"/>
      <c r="S33" s="39"/>
      <c r="T33" s="264"/>
    </row>
    <row r="34" spans="2:20" x14ac:dyDescent="0.25">
      <c r="B34" s="270"/>
      <c r="C34" s="39"/>
      <c r="D34" s="39"/>
      <c r="E34" s="39"/>
      <c r="F34" s="39"/>
      <c r="G34" s="39"/>
      <c r="H34" s="39"/>
      <c r="I34" s="39"/>
      <c r="J34" s="39"/>
      <c r="K34" s="39"/>
      <c r="L34" s="39"/>
      <c r="M34" s="39"/>
      <c r="N34" s="39"/>
      <c r="O34" s="39"/>
      <c r="P34" s="39"/>
      <c r="Q34" s="39"/>
      <c r="R34" s="39"/>
      <c r="S34" s="39"/>
      <c r="T34" s="264"/>
    </row>
    <row r="35" spans="2:20" x14ac:dyDescent="0.25">
      <c r="B35" s="270"/>
      <c r="C35" s="39"/>
      <c r="D35" s="39"/>
      <c r="E35" s="39"/>
      <c r="F35" s="39"/>
      <c r="G35" s="39"/>
      <c r="H35" s="39"/>
      <c r="I35" s="39"/>
      <c r="J35" s="39"/>
      <c r="K35" s="39"/>
      <c r="L35" s="39"/>
      <c r="M35" s="39"/>
      <c r="N35" s="39"/>
      <c r="O35" s="39"/>
      <c r="P35" s="39"/>
      <c r="Q35" s="39"/>
      <c r="R35" s="39"/>
      <c r="S35" s="39"/>
      <c r="T35" s="264"/>
    </row>
    <row r="36" spans="2:20" x14ac:dyDescent="0.25">
      <c r="B36" s="270"/>
      <c r="C36" s="39"/>
      <c r="D36" s="39"/>
      <c r="E36" s="39"/>
      <c r="F36" s="39"/>
      <c r="G36" s="39"/>
      <c r="H36" s="39"/>
      <c r="I36" s="39"/>
      <c r="J36" s="39"/>
      <c r="K36" s="39"/>
      <c r="L36" s="39"/>
      <c r="M36" s="39"/>
      <c r="N36" s="39"/>
      <c r="O36" s="39"/>
      <c r="P36" s="39"/>
      <c r="Q36" s="39"/>
      <c r="R36" s="39"/>
      <c r="S36" s="39"/>
      <c r="T36" s="264"/>
    </row>
    <row r="37" spans="2:20" s="123" customFormat="1" ht="4.1500000000000004" customHeight="1" x14ac:dyDescent="0.25">
      <c r="B37" s="270"/>
      <c r="C37" s="39"/>
      <c r="D37" s="39"/>
      <c r="E37" s="39"/>
      <c r="F37" s="39"/>
      <c r="G37" s="39"/>
      <c r="H37" s="39"/>
      <c r="I37" s="39"/>
      <c r="J37" s="39"/>
      <c r="K37" s="39"/>
      <c r="L37" s="39"/>
      <c r="M37" s="39"/>
      <c r="N37" s="39"/>
      <c r="O37" s="39"/>
      <c r="P37" s="39"/>
      <c r="Q37" s="39"/>
      <c r="R37" s="39"/>
      <c r="S37" s="39"/>
      <c r="T37" s="264"/>
    </row>
    <row r="38" spans="2:20" s="123" customFormat="1" x14ac:dyDescent="0.25">
      <c r="B38" s="270"/>
      <c r="C38" s="39"/>
      <c r="D38" s="39"/>
      <c r="E38" s="39"/>
      <c r="F38" s="39"/>
      <c r="G38" s="39"/>
      <c r="H38" s="39"/>
      <c r="I38" s="39"/>
      <c r="J38" s="39"/>
      <c r="K38" s="39"/>
      <c r="L38" s="39"/>
      <c r="M38" s="39"/>
      <c r="N38" s="39"/>
      <c r="O38" s="39"/>
      <c r="P38" s="39"/>
      <c r="Q38" s="39"/>
      <c r="R38" s="39"/>
      <c r="S38" s="39"/>
      <c r="T38" s="264"/>
    </row>
    <row r="39" spans="2:20" ht="20.25" customHeight="1" x14ac:dyDescent="0.25">
      <c r="B39" s="270"/>
      <c r="C39" s="39"/>
      <c r="D39" s="39"/>
      <c r="E39" s="39"/>
      <c r="F39" s="39"/>
      <c r="G39" s="39"/>
      <c r="H39" s="39"/>
      <c r="I39" s="39"/>
      <c r="J39" s="39"/>
      <c r="K39" s="39"/>
      <c r="L39" s="39"/>
      <c r="M39" s="39"/>
      <c r="N39" s="39"/>
      <c r="O39" s="39"/>
      <c r="P39" s="39"/>
      <c r="Q39" s="39"/>
      <c r="R39" s="39"/>
      <c r="S39" s="39"/>
      <c r="T39" s="264"/>
    </row>
    <row r="40" spans="2:20" ht="14.25" customHeight="1" thickBot="1" x14ac:dyDescent="0.3">
      <c r="B40" s="271"/>
      <c r="C40" s="256"/>
      <c r="D40" s="256"/>
      <c r="E40" s="256"/>
      <c r="F40" s="256"/>
      <c r="G40" s="256"/>
      <c r="H40" s="256"/>
      <c r="I40" s="256"/>
      <c r="J40" s="256"/>
      <c r="K40" s="256"/>
      <c r="L40" s="256"/>
      <c r="M40" s="256"/>
      <c r="N40" s="256"/>
      <c r="O40" s="256"/>
      <c r="P40" s="256"/>
      <c r="Q40" s="256"/>
      <c r="R40" s="256"/>
      <c r="S40" s="256"/>
      <c r="T40" s="269"/>
    </row>
    <row r="41" spans="2:20" x14ac:dyDescent="0.25">
      <c r="C41" s="6"/>
      <c r="D41" s="6"/>
      <c r="E41" s="6"/>
      <c r="F41" s="6"/>
      <c r="G41" s="6"/>
      <c r="H41" s="6"/>
      <c r="I41" s="6"/>
      <c r="J41" s="6"/>
      <c r="K41" s="6"/>
      <c r="L41" s="6"/>
      <c r="M41" s="6"/>
      <c r="N41" s="6"/>
      <c r="O41" s="6"/>
      <c r="P41" s="6"/>
      <c r="Q41" s="6"/>
    </row>
    <row r="43" spans="2:20" ht="3.75" customHeight="1" x14ac:dyDescent="0.25"/>
    <row r="44" spans="2:20" x14ac:dyDescent="0.25">
      <c r="J44" s="38"/>
      <c r="K44" s="38"/>
    </row>
    <row r="49" spans="3:10" x14ac:dyDescent="0.25">
      <c r="C49"/>
      <c r="D49"/>
      <c r="E49"/>
      <c r="F49"/>
      <c r="G49"/>
      <c r="H49"/>
      <c r="I49"/>
      <c r="J49"/>
    </row>
    <row r="80" spans="3:10" x14ac:dyDescent="0.25">
      <c r="C80"/>
      <c r="D80"/>
      <c r="E80"/>
      <c r="F80"/>
      <c r="G80"/>
      <c r="H80"/>
      <c r="I80"/>
      <c r="J80"/>
    </row>
    <row r="81" spans="3:10" x14ac:dyDescent="0.25">
      <c r="C81"/>
      <c r="D81"/>
      <c r="E81"/>
      <c r="F81"/>
      <c r="G81"/>
      <c r="H81"/>
      <c r="I81"/>
      <c r="J81"/>
    </row>
    <row r="82" spans="3:10" x14ac:dyDescent="0.25">
      <c r="C82"/>
      <c r="D82"/>
      <c r="E82"/>
      <c r="F82"/>
      <c r="G82"/>
      <c r="H82"/>
      <c r="I82"/>
      <c r="J82"/>
    </row>
    <row r="83" spans="3:10" x14ac:dyDescent="0.25">
      <c r="C83"/>
      <c r="D83"/>
      <c r="E83"/>
      <c r="F83"/>
      <c r="G83"/>
      <c r="H83"/>
      <c r="I83"/>
      <c r="J83"/>
    </row>
    <row r="84" spans="3:10" x14ac:dyDescent="0.25">
      <c r="C84"/>
      <c r="D84"/>
      <c r="E84"/>
      <c r="F84"/>
      <c r="G84"/>
      <c r="H84"/>
      <c r="I84"/>
      <c r="J84"/>
    </row>
    <row r="85" spans="3:10" x14ac:dyDescent="0.25">
      <c r="C85"/>
      <c r="D85"/>
      <c r="E85"/>
      <c r="F85"/>
      <c r="G85"/>
      <c r="H85"/>
      <c r="I85"/>
      <c r="J85"/>
    </row>
    <row r="86" spans="3:10" x14ac:dyDescent="0.25">
      <c r="C86"/>
      <c r="D86"/>
      <c r="E86"/>
      <c r="F86"/>
      <c r="G86"/>
      <c r="H86"/>
      <c r="I86"/>
      <c r="J86"/>
    </row>
    <row r="87" spans="3:10" x14ac:dyDescent="0.25">
      <c r="C87"/>
      <c r="D87"/>
      <c r="E87"/>
      <c r="F87"/>
      <c r="G87"/>
      <c r="H87"/>
      <c r="I87"/>
      <c r="J87"/>
    </row>
    <row r="88" spans="3:10" x14ac:dyDescent="0.25">
      <c r="C88"/>
      <c r="D88"/>
      <c r="E88"/>
      <c r="F88"/>
      <c r="G88"/>
      <c r="H88"/>
      <c r="I88"/>
      <c r="J88"/>
    </row>
    <row r="89" spans="3:10" x14ac:dyDescent="0.25">
      <c r="C89"/>
      <c r="D89"/>
      <c r="E89"/>
      <c r="F89"/>
      <c r="G89"/>
      <c r="H89"/>
      <c r="I89"/>
      <c r="J89"/>
    </row>
    <row r="90" spans="3:10" x14ac:dyDescent="0.25">
      <c r="C90"/>
      <c r="D90"/>
      <c r="E90"/>
      <c r="F90"/>
      <c r="G90"/>
      <c r="H90"/>
      <c r="I90"/>
      <c r="J90"/>
    </row>
    <row r="91" spans="3:10" x14ac:dyDescent="0.25">
      <c r="C91"/>
      <c r="D91"/>
      <c r="E91"/>
      <c r="F91"/>
      <c r="G91"/>
      <c r="H91"/>
      <c r="I91"/>
      <c r="J91"/>
    </row>
    <row r="92" spans="3:10" x14ac:dyDescent="0.25">
      <c r="C92"/>
      <c r="D92"/>
      <c r="E92"/>
      <c r="F92"/>
      <c r="G92"/>
      <c r="H92"/>
      <c r="I92"/>
      <c r="J92"/>
    </row>
    <row r="93" spans="3:10" x14ac:dyDescent="0.25">
      <c r="C93"/>
      <c r="D93"/>
      <c r="E93"/>
      <c r="F93"/>
      <c r="G93"/>
      <c r="H93"/>
      <c r="I93"/>
      <c r="J93"/>
    </row>
    <row r="94" spans="3:10" x14ac:dyDescent="0.25">
      <c r="C94"/>
      <c r="D94"/>
      <c r="E94"/>
      <c r="F94"/>
      <c r="G94"/>
      <c r="H94"/>
      <c r="I94"/>
      <c r="J94"/>
    </row>
    <row r="95" spans="3:10" x14ac:dyDescent="0.25">
      <c r="C95"/>
      <c r="D95"/>
      <c r="E95"/>
      <c r="F95"/>
      <c r="G95"/>
      <c r="H95"/>
      <c r="I95"/>
      <c r="J95"/>
    </row>
    <row r="96" spans="3:10" x14ac:dyDescent="0.25">
      <c r="C96"/>
      <c r="D96"/>
      <c r="E96"/>
      <c r="F96"/>
      <c r="G96"/>
      <c r="H96"/>
      <c r="I96"/>
      <c r="J96"/>
    </row>
    <row r="97" spans="3:10" x14ac:dyDescent="0.25">
      <c r="C97"/>
      <c r="D97"/>
      <c r="E97"/>
      <c r="F97"/>
      <c r="G97"/>
      <c r="H97"/>
      <c r="I97"/>
      <c r="J97"/>
    </row>
    <row r="98" spans="3:10" x14ac:dyDescent="0.25">
      <c r="C98"/>
      <c r="D98"/>
      <c r="E98"/>
      <c r="F98"/>
      <c r="G98"/>
      <c r="H98"/>
      <c r="I98"/>
      <c r="J98"/>
    </row>
    <row r="99" spans="3:10" x14ac:dyDescent="0.25">
      <c r="C99"/>
      <c r="D99"/>
      <c r="E99"/>
      <c r="F99"/>
      <c r="G99"/>
      <c r="H99"/>
      <c r="I99"/>
      <c r="J99"/>
    </row>
    <row r="100" spans="3:10" x14ac:dyDescent="0.25">
      <c r="C100"/>
      <c r="D100"/>
      <c r="E100"/>
      <c r="F100"/>
      <c r="G100"/>
      <c r="H100"/>
      <c r="I100"/>
      <c r="J100"/>
    </row>
    <row r="101" spans="3:10" x14ac:dyDescent="0.25">
      <c r="C101"/>
      <c r="D101"/>
      <c r="E101"/>
      <c r="F101"/>
      <c r="G101"/>
      <c r="H101"/>
      <c r="I101"/>
      <c r="J101"/>
    </row>
    <row r="102" spans="3:10" x14ac:dyDescent="0.25">
      <c r="C102"/>
      <c r="D102"/>
      <c r="E102"/>
      <c r="F102"/>
      <c r="G102"/>
      <c r="H102"/>
      <c r="I102"/>
      <c r="J102"/>
    </row>
  </sheetData>
  <mergeCells count="1">
    <mergeCell ref="C5:H5"/>
  </mergeCells>
  <printOptions horizontalCentered="1" verticalCentered="1"/>
  <pageMargins left="0.19685039370078741" right="0.19685039370078741" top="0.19685039370078741" bottom="0.19685039370078741" header="0" footer="0"/>
  <pageSetup paperSize="9"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FFC000"/>
  </sheetPr>
  <dimension ref="A1:V247"/>
  <sheetViews>
    <sheetView topLeftCell="A211" workbookViewId="0">
      <selection activeCell="G13" sqref="G4:G246"/>
      <pivotSelection pane="bottomRight" showHeader="1" activeRow="12" activeCol="6" click="1" r:id="rId1">
        <pivotArea dataOnly="0" labelOnly="1" outline="0" fieldPosition="0">
          <references count="1">
            <reference field="11" count="0"/>
          </references>
        </pivotArea>
      </pivotSelection>
    </sheetView>
  </sheetViews>
  <sheetFormatPr defaultRowHeight="15" x14ac:dyDescent="0.25"/>
  <cols>
    <col min="1" max="1" width="13.85546875" customWidth="1"/>
    <col min="2" max="2" width="56.5703125" customWidth="1"/>
    <col min="3" max="3" width="56.5703125" bestFit="1" customWidth="1"/>
    <col min="4" max="4" width="13.85546875" customWidth="1"/>
    <col min="6" max="6" width="4.5703125" customWidth="1"/>
    <col min="7" max="7" width="56.7109375" bestFit="1" customWidth="1"/>
    <col min="8" max="8" width="16.140625" bestFit="1" customWidth="1"/>
    <col min="9" max="9" width="7" bestFit="1" customWidth="1"/>
    <col min="10" max="10" width="10.140625" bestFit="1" customWidth="1"/>
    <col min="13" max="13" width="16.140625" style="123" bestFit="1" customWidth="1"/>
    <col min="14" max="14" width="56.7109375" style="123" bestFit="1" customWidth="1"/>
    <col min="15" max="15" width="13.85546875" style="123" bestFit="1" customWidth="1"/>
    <col min="16" max="16" width="10.140625" style="123" bestFit="1" customWidth="1"/>
    <col min="17" max="17" width="12" bestFit="1" customWidth="1"/>
    <col min="21" max="21" width="16.140625" bestFit="1" customWidth="1"/>
    <col min="22" max="22" width="23.28515625" customWidth="1"/>
  </cols>
  <sheetData>
    <row r="1" spans="1:22" x14ac:dyDescent="0.25">
      <c r="A1" s="429" t="s">
        <v>500</v>
      </c>
      <c r="B1" s="421" t="s">
        <v>598</v>
      </c>
      <c r="M1" s="429" t="s">
        <v>500</v>
      </c>
      <c r="N1" s="421" t="s">
        <v>598</v>
      </c>
    </row>
    <row r="2" spans="1:22" x14ac:dyDescent="0.25">
      <c r="G2" s="106"/>
      <c r="U2" s="429" t="s">
        <v>500</v>
      </c>
      <c r="V2" s="421" t="s">
        <v>598</v>
      </c>
    </row>
    <row r="3" spans="1:22" x14ac:dyDescent="0.25">
      <c r="A3" s="429" t="s">
        <v>0</v>
      </c>
      <c r="B3" s="429" t="s">
        <v>556</v>
      </c>
      <c r="G3" s="429" t="s">
        <v>556</v>
      </c>
      <c r="H3" s="429" t="s">
        <v>928</v>
      </c>
      <c r="I3" s="429" t="s">
        <v>500</v>
      </c>
      <c r="J3" t="s">
        <v>870</v>
      </c>
      <c r="M3" s="429" t="s">
        <v>928</v>
      </c>
      <c r="N3" s="429" t="s">
        <v>556</v>
      </c>
      <c r="O3" s="429" t="s">
        <v>1186</v>
      </c>
      <c r="P3" s="429" t="s">
        <v>0</v>
      </c>
      <c r="Q3" s="421" t="s">
        <v>870</v>
      </c>
      <c r="R3" s="421" t="s">
        <v>828</v>
      </c>
    </row>
    <row r="4" spans="1:22" x14ac:dyDescent="0.25">
      <c r="A4" s="421" t="s">
        <v>5</v>
      </c>
      <c r="B4" s="421" t="s">
        <v>6</v>
      </c>
      <c r="G4" s="421" t="s">
        <v>128</v>
      </c>
      <c r="H4" s="421" t="s">
        <v>127</v>
      </c>
      <c r="I4" s="421" t="s">
        <v>845</v>
      </c>
      <c r="J4" s="423">
        <v>0</v>
      </c>
      <c r="M4" s="421" t="s">
        <v>236</v>
      </c>
      <c r="N4" s="421" t="s">
        <v>238</v>
      </c>
      <c r="O4" s="421" t="s">
        <v>237</v>
      </c>
      <c r="P4" s="421" t="s">
        <v>237</v>
      </c>
      <c r="Q4" s="423">
        <v>67</v>
      </c>
      <c r="R4" s="423">
        <v>365</v>
      </c>
      <c r="U4" s="429" t="s">
        <v>928</v>
      </c>
      <c r="V4" s="429" t="s">
        <v>402</v>
      </c>
    </row>
    <row r="5" spans="1:22" x14ac:dyDescent="0.25">
      <c r="A5" s="421" t="s">
        <v>5</v>
      </c>
      <c r="B5" s="421" t="s">
        <v>514</v>
      </c>
      <c r="G5" s="421" t="s">
        <v>62</v>
      </c>
      <c r="H5" s="421" t="s">
        <v>61</v>
      </c>
      <c r="I5" s="421" t="s">
        <v>502</v>
      </c>
      <c r="J5" s="423">
        <v>77</v>
      </c>
      <c r="M5" s="421" t="s">
        <v>268</v>
      </c>
      <c r="N5" s="421" t="s">
        <v>269</v>
      </c>
      <c r="O5" s="421" t="s">
        <v>237</v>
      </c>
      <c r="P5" s="421" t="s">
        <v>237</v>
      </c>
      <c r="Q5" s="423">
        <v>58</v>
      </c>
      <c r="R5" s="423">
        <v>241</v>
      </c>
      <c r="U5" s="421" t="s">
        <v>236</v>
      </c>
      <c r="V5" s="421" t="s">
        <v>556</v>
      </c>
    </row>
    <row r="6" spans="1:22" x14ac:dyDescent="0.25">
      <c r="A6" s="421" t="s">
        <v>5</v>
      </c>
      <c r="B6" s="421" t="s">
        <v>10</v>
      </c>
      <c r="G6" s="421" t="s">
        <v>120</v>
      </c>
      <c r="H6" s="421" t="s">
        <v>119</v>
      </c>
      <c r="I6" s="421" t="s">
        <v>502</v>
      </c>
      <c r="J6" s="423">
        <v>66</v>
      </c>
      <c r="M6" s="421" t="s">
        <v>250</v>
      </c>
      <c r="N6" s="421" t="s">
        <v>251</v>
      </c>
      <c r="O6" s="421" t="s">
        <v>237</v>
      </c>
      <c r="P6" s="421" t="s">
        <v>237</v>
      </c>
      <c r="Q6" s="423">
        <v>32</v>
      </c>
      <c r="R6" s="423">
        <v>161</v>
      </c>
      <c r="U6" s="421" t="s">
        <v>268</v>
      </c>
      <c r="V6" s="421" t="s">
        <v>556</v>
      </c>
    </row>
    <row r="7" spans="1:22" x14ac:dyDescent="0.25">
      <c r="A7" s="421" t="s">
        <v>5</v>
      </c>
      <c r="B7" s="421" t="s">
        <v>12</v>
      </c>
      <c r="G7" s="421" t="s">
        <v>6</v>
      </c>
      <c r="H7" s="421" t="s">
        <v>4</v>
      </c>
      <c r="I7" s="421" t="s">
        <v>502</v>
      </c>
      <c r="J7" s="423">
        <v>274</v>
      </c>
      <c r="M7" s="421" t="s">
        <v>248</v>
      </c>
      <c r="N7" s="421" t="s">
        <v>249</v>
      </c>
      <c r="O7" s="421" t="s">
        <v>237</v>
      </c>
      <c r="P7" s="421" t="s">
        <v>237</v>
      </c>
      <c r="Q7" s="423">
        <v>6</v>
      </c>
      <c r="R7" s="423">
        <v>29</v>
      </c>
      <c r="U7" s="421" t="s">
        <v>250</v>
      </c>
      <c r="V7" s="421" t="s">
        <v>556</v>
      </c>
    </row>
    <row r="8" spans="1:22" x14ac:dyDescent="0.25">
      <c r="A8" s="421" t="s">
        <v>5</v>
      </c>
      <c r="B8" s="421" t="s">
        <v>14</v>
      </c>
      <c r="G8" s="421" t="s">
        <v>41</v>
      </c>
      <c r="H8" s="421" t="s">
        <v>40</v>
      </c>
      <c r="I8" s="421" t="s">
        <v>502</v>
      </c>
      <c r="J8" s="423">
        <v>67</v>
      </c>
      <c r="M8" s="421" t="s">
        <v>274</v>
      </c>
      <c r="N8" s="421" t="s">
        <v>275</v>
      </c>
      <c r="O8" s="421" t="s">
        <v>237</v>
      </c>
      <c r="P8" s="421" t="s">
        <v>237</v>
      </c>
      <c r="Q8" s="423">
        <v>43</v>
      </c>
      <c r="R8" s="423">
        <v>216</v>
      </c>
      <c r="U8" s="421" t="s">
        <v>248</v>
      </c>
      <c r="V8" s="421" t="s">
        <v>556</v>
      </c>
    </row>
    <row r="9" spans="1:22" x14ac:dyDescent="0.25">
      <c r="A9" s="421" t="s">
        <v>5</v>
      </c>
      <c r="B9" s="421" t="s">
        <v>16</v>
      </c>
      <c r="G9" s="421" t="s">
        <v>43</v>
      </c>
      <c r="H9" s="421" t="s">
        <v>42</v>
      </c>
      <c r="I9" s="421" t="s">
        <v>502</v>
      </c>
      <c r="J9" s="423">
        <v>14</v>
      </c>
      <c r="M9" s="421" t="s">
        <v>276</v>
      </c>
      <c r="N9" s="421" t="s">
        <v>277</v>
      </c>
      <c r="O9" s="421" t="s">
        <v>237</v>
      </c>
      <c r="P9" s="421" t="s">
        <v>237</v>
      </c>
      <c r="Q9" s="423">
        <v>90</v>
      </c>
      <c r="R9" s="423">
        <v>395</v>
      </c>
      <c r="U9" s="421" t="s">
        <v>274</v>
      </c>
      <c r="V9" s="421" t="s">
        <v>556</v>
      </c>
    </row>
    <row r="10" spans="1:22" x14ac:dyDescent="0.25">
      <c r="A10" s="421" t="s">
        <v>5</v>
      </c>
      <c r="B10" s="421" t="s">
        <v>18</v>
      </c>
      <c r="G10" s="421" t="s">
        <v>39</v>
      </c>
      <c r="H10" s="421" t="s">
        <v>38</v>
      </c>
      <c r="I10" s="421" t="s">
        <v>845</v>
      </c>
      <c r="J10" s="423">
        <v>0</v>
      </c>
      <c r="M10" s="421" t="s">
        <v>278</v>
      </c>
      <c r="N10" s="421" t="s">
        <v>279</v>
      </c>
      <c r="O10" s="421" t="s">
        <v>237</v>
      </c>
      <c r="P10" s="421" t="s">
        <v>237</v>
      </c>
      <c r="Q10" s="423">
        <v>22</v>
      </c>
      <c r="R10" s="423">
        <v>111</v>
      </c>
      <c r="U10" s="421" t="s">
        <v>276</v>
      </c>
      <c r="V10" s="421" t="s">
        <v>556</v>
      </c>
    </row>
    <row r="11" spans="1:22" x14ac:dyDescent="0.25">
      <c r="A11" s="421" t="s">
        <v>5</v>
      </c>
      <c r="B11" s="421" t="s">
        <v>8</v>
      </c>
      <c r="G11" s="421" t="s">
        <v>514</v>
      </c>
      <c r="H11" s="421" t="s">
        <v>377</v>
      </c>
      <c r="I11" s="421" t="s">
        <v>502</v>
      </c>
      <c r="J11" s="423">
        <v>12</v>
      </c>
      <c r="M11" s="421" t="s">
        <v>260</v>
      </c>
      <c r="N11" s="421" t="s">
        <v>261</v>
      </c>
      <c r="O11" s="421" t="s">
        <v>237</v>
      </c>
      <c r="P11" s="421" t="s">
        <v>237</v>
      </c>
      <c r="Q11" s="423">
        <v>101</v>
      </c>
      <c r="R11" s="423">
        <v>544</v>
      </c>
      <c r="U11" s="421" t="s">
        <v>278</v>
      </c>
      <c r="V11" s="421" t="s">
        <v>556</v>
      </c>
    </row>
    <row r="12" spans="1:22" x14ac:dyDescent="0.25">
      <c r="A12" s="421" t="s">
        <v>5</v>
      </c>
      <c r="B12" s="421" t="s">
        <v>20</v>
      </c>
      <c r="G12" s="421" t="s">
        <v>48</v>
      </c>
      <c r="H12" s="421" t="s">
        <v>47</v>
      </c>
      <c r="I12" s="421" t="s">
        <v>845</v>
      </c>
      <c r="J12" s="423">
        <v>0</v>
      </c>
      <c r="M12" s="421" t="s">
        <v>280</v>
      </c>
      <c r="N12" s="421" t="s">
        <v>281</v>
      </c>
      <c r="O12" s="421" t="s">
        <v>237</v>
      </c>
      <c r="P12" s="421" t="s">
        <v>237</v>
      </c>
      <c r="Q12" s="423">
        <v>91</v>
      </c>
      <c r="R12" s="423">
        <v>491</v>
      </c>
      <c r="U12" s="421" t="s">
        <v>260</v>
      </c>
      <c r="V12" s="421" t="s">
        <v>556</v>
      </c>
    </row>
    <row r="13" spans="1:22" x14ac:dyDescent="0.25">
      <c r="A13" s="421" t="s">
        <v>5</v>
      </c>
      <c r="B13" s="421" t="s">
        <v>366</v>
      </c>
      <c r="G13" s="421" t="s">
        <v>50</v>
      </c>
      <c r="H13" s="421" t="s">
        <v>49</v>
      </c>
      <c r="I13" s="421" t="s">
        <v>845</v>
      </c>
      <c r="J13" s="423">
        <v>0</v>
      </c>
      <c r="M13" s="421" t="s">
        <v>244</v>
      </c>
      <c r="N13" s="421" t="s">
        <v>245</v>
      </c>
      <c r="O13" s="421" t="s">
        <v>237</v>
      </c>
      <c r="P13" s="421" t="s">
        <v>237</v>
      </c>
      <c r="Q13" s="423">
        <v>6</v>
      </c>
      <c r="R13" s="423">
        <v>39</v>
      </c>
      <c r="U13" s="421" t="s">
        <v>280</v>
      </c>
      <c r="V13" s="421" t="s">
        <v>556</v>
      </c>
    </row>
    <row r="14" spans="1:22" x14ac:dyDescent="0.25">
      <c r="A14" s="421" t="s">
        <v>5</v>
      </c>
      <c r="B14" s="421" t="s">
        <v>22</v>
      </c>
      <c r="G14" s="421" t="s">
        <v>884</v>
      </c>
      <c r="H14" s="421" t="s">
        <v>882</v>
      </c>
      <c r="I14" s="421" t="s">
        <v>845</v>
      </c>
      <c r="J14" s="423">
        <v>0</v>
      </c>
      <c r="M14" s="421" t="s">
        <v>246</v>
      </c>
      <c r="N14" s="421" t="s">
        <v>247</v>
      </c>
      <c r="O14" s="421" t="s">
        <v>237</v>
      </c>
      <c r="P14" s="421" t="s">
        <v>237</v>
      </c>
      <c r="Q14" s="423">
        <v>42</v>
      </c>
      <c r="R14" s="423">
        <v>211</v>
      </c>
      <c r="U14" s="421" t="s">
        <v>244</v>
      </c>
      <c r="V14" s="421" t="s">
        <v>556</v>
      </c>
    </row>
    <row r="15" spans="1:22" x14ac:dyDescent="0.25">
      <c r="A15" s="421" t="s">
        <v>5</v>
      </c>
      <c r="B15" s="421" t="s">
        <v>900</v>
      </c>
      <c r="G15" s="421" t="s">
        <v>879</v>
      </c>
      <c r="H15" s="421" t="s">
        <v>883</v>
      </c>
      <c r="I15" s="421" t="s">
        <v>845</v>
      </c>
      <c r="J15" s="423">
        <v>0</v>
      </c>
      <c r="M15" s="421" t="s">
        <v>242</v>
      </c>
      <c r="N15" s="421" t="s">
        <v>243</v>
      </c>
      <c r="O15" s="421" t="s">
        <v>237</v>
      </c>
      <c r="P15" s="421" t="s">
        <v>237</v>
      </c>
      <c r="Q15" s="423">
        <v>6</v>
      </c>
      <c r="R15" s="423">
        <v>28</v>
      </c>
      <c r="U15" s="421" t="s">
        <v>246</v>
      </c>
      <c r="V15" s="421" t="s">
        <v>556</v>
      </c>
    </row>
    <row r="16" spans="1:22" x14ac:dyDescent="0.25">
      <c r="A16" s="421" t="s">
        <v>5</v>
      </c>
      <c r="B16" s="421" t="s">
        <v>24</v>
      </c>
      <c r="G16" s="421" t="s">
        <v>880</v>
      </c>
      <c r="H16" s="421" t="s">
        <v>881</v>
      </c>
      <c r="I16" s="421" t="s">
        <v>845</v>
      </c>
      <c r="J16" s="423">
        <v>0</v>
      </c>
      <c r="M16" s="421" t="s">
        <v>256</v>
      </c>
      <c r="N16" s="421" t="s">
        <v>257</v>
      </c>
      <c r="O16" s="421" t="s">
        <v>237</v>
      </c>
      <c r="P16" s="421" t="s">
        <v>237</v>
      </c>
      <c r="Q16" s="423">
        <v>44</v>
      </c>
      <c r="R16" s="423">
        <v>191</v>
      </c>
      <c r="U16" s="421" t="s">
        <v>242</v>
      </c>
      <c r="V16" s="421" t="s">
        <v>556</v>
      </c>
    </row>
    <row r="17" spans="1:22" x14ac:dyDescent="0.25">
      <c r="A17" s="421" t="s">
        <v>5</v>
      </c>
      <c r="B17" s="421" t="s">
        <v>871</v>
      </c>
      <c r="G17" s="421" t="s">
        <v>52</v>
      </c>
      <c r="H17" s="421" t="s">
        <v>51</v>
      </c>
      <c r="I17" s="421" t="s">
        <v>502</v>
      </c>
      <c r="J17" s="423">
        <v>36</v>
      </c>
      <c r="M17" s="421" t="s">
        <v>284</v>
      </c>
      <c r="N17" s="421" t="s">
        <v>285</v>
      </c>
      <c r="O17" s="421" t="s">
        <v>237</v>
      </c>
      <c r="P17" s="421" t="s">
        <v>237</v>
      </c>
      <c r="Q17" s="423">
        <v>138</v>
      </c>
      <c r="R17" s="423">
        <v>697</v>
      </c>
      <c r="U17" s="421" t="s">
        <v>256</v>
      </c>
      <c r="V17" s="421" t="s">
        <v>556</v>
      </c>
    </row>
    <row r="18" spans="1:22" x14ac:dyDescent="0.25">
      <c r="A18" s="421" t="s">
        <v>5</v>
      </c>
      <c r="B18" s="421" t="s">
        <v>26</v>
      </c>
      <c r="G18" s="421" t="s">
        <v>58</v>
      </c>
      <c r="H18" s="421" t="s">
        <v>57</v>
      </c>
      <c r="I18" s="421" t="s">
        <v>845</v>
      </c>
      <c r="J18" s="423">
        <v>0</v>
      </c>
      <c r="M18" s="421" t="s">
        <v>239</v>
      </c>
      <c r="N18" s="421" t="s">
        <v>240</v>
      </c>
      <c r="O18" s="421" t="s">
        <v>237</v>
      </c>
      <c r="P18" s="421" t="s">
        <v>237</v>
      </c>
      <c r="Q18" s="423">
        <v>96</v>
      </c>
      <c r="R18" s="423">
        <v>544</v>
      </c>
      <c r="U18" s="421" t="s">
        <v>284</v>
      </c>
      <c r="V18" s="421" t="s">
        <v>556</v>
      </c>
    </row>
    <row r="19" spans="1:22" x14ac:dyDescent="0.25">
      <c r="A19" s="421" t="s">
        <v>5</v>
      </c>
      <c r="B19" s="421" t="s">
        <v>1024</v>
      </c>
      <c r="G19" s="421" t="s">
        <v>60</v>
      </c>
      <c r="H19" s="421" t="s">
        <v>59</v>
      </c>
      <c r="I19" s="421" t="s">
        <v>845</v>
      </c>
      <c r="J19" s="423">
        <v>0</v>
      </c>
      <c r="M19" s="421" t="s">
        <v>258</v>
      </c>
      <c r="N19" s="421" t="s">
        <v>259</v>
      </c>
      <c r="O19" s="421" t="s">
        <v>237</v>
      </c>
      <c r="P19" s="421" t="s">
        <v>237</v>
      </c>
      <c r="Q19" s="423">
        <v>60</v>
      </c>
      <c r="R19" s="423">
        <v>293</v>
      </c>
      <c r="U19" s="421" t="s">
        <v>239</v>
      </c>
      <c r="V19" s="421" t="s">
        <v>556</v>
      </c>
    </row>
    <row r="20" spans="1:22" x14ac:dyDescent="0.25">
      <c r="A20" s="421" t="s">
        <v>27</v>
      </c>
      <c r="B20" s="421" t="s">
        <v>28</v>
      </c>
      <c r="G20" s="421" t="s">
        <v>358</v>
      </c>
      <c r="H20" s="421" t="s">
        <v>357</v>
      </c>
      <c r="I20" s="421" t="s">
        <v>845</v>
      </c>
      <c r="J20" s="423">
        <v>0</v>
      </c>
      <c r="M20" s="421" t="s">
        <v>266</v>
      </c>
      <c r="N20" s="421" t="s">
        <v>267</v>
      </c>
      <c r="O20" s="421" t="s">
        <v>237</v>
      </c>
      <c r="P20" s="421" t="s">
        <v>237</v>
      </c>
      <c r="Q20" s="423">
        <v>0</v>
      </c>
      <c r="R20" s="423">
        <v>0</v>
      </c>
      <c r="U20" s="421" t="s">
        <v>258</v>
      </c>
      <c r="V20" s="421" t="s">
        <v>556</v>
      </c>
    </row>
    <row r="21" spans="1:22" x14ac:dyDescent="0.25">
      <c r="A21" s="421" t="s">
        <v>27</v>
      </c>
      <c r="B21" s="421" t="s">
        <v>32</v>
      </c>
      <c r="G21" s="421" t="s">
        <v>334</v>
      </c>
      <c r="H21" s="421" t="s">
        <v>333</v>
      </c>
      <c r="I21" s="421" t="s">
        <v>502</v>
      </c>
      <c r="J21" s="423">
        <v>155</v>
      </c>
      <c r="M21" s="421" t="s">
        <v>252</v>
      </c>
      <c r="N21" s="421" t="s">
        <v>253</v>
      </c>
      <c r="O21" s="421" t="s">
        <v>237</v>
      </c>
      <c r="P21" s="421" t="s">
        <v>237</v>
      </c>
      <c r="Q21" s="423">
        <v>204</v>
      </c>
      <c r="R21" s="423">
        <v>1104</v>
      </c>
      <c r="U21" s="421" t="s">
        <v>266</v>
      </c>
      <c r="V21" s="421" t="s">
        <v>556</v>
      </c>
    </row>
    <row r="22" spans="1:22" x14ac:dyDescent="0.25">
      <c r="A22" s="421" t="s">
        <v>27</v>
      </c>
      <c r="B22" s="421" t="s">
        <v>364</v>
      </c>
      <c r="G22" s="421" t="s">
        <v>188</v>
      </c>
      <c r="H22" s="421" t="s">
        <v>187</v>
      </c>
      <c r="I22" s="421" t="s">
        <v>502</v>
      </c>
      <c r="J22" s="423">
        <v>245</v>
      </c>
      <c r="M22" s="421" t="s">
        <v>254</v>
      </c>
      <c r="N22" s="421" t="s">
        <v>255</v>
      </c>
      <c r="O22" s="421" t="s">
        <v>237</v>
      </c>
      <c r="P22" s="421" t="s">
        <v>237</v>
      </c>
      <c r="Q22" s="423">
        <v>103</v>
      </c>
      <c r="R22" s="423">
        <v>462</v>
      </c>
      <c r="U22" s="421" t="s">
        <v>252</v>
      </c>
      <c r="V22" s="421" t="s">
        <v>556</v>
      </c>
    </row>
    <row r="23" spans="1:22" x14ac:dyDescent="0.25">
      <c r="A23" s="421" t="s">
        <v>27</v>
      </c>
      <c r="B23" s="421" t="s">
        <v>34</v>
      </c>
      <c r="G23" s="421" t="s">
        <v>1037</v>
      </c>
      <c r="H23" s="421" t="s">
        <v>1038</v>
      </c>
      <c r="I23" s="421" t="s">
        <v>502</v>
      </c>
      <c r="J23" s="423">
        <v>219</v>
      </c>
      <c r="M23" s="421" t="s">
        <v>262</v>
      </c>
      <c r="N23" s="421" t="s">
        <v>263</v>
      </c>
      <c r="O23" s="421" t="s">
        <v>237</v>
      </c>
      <c r="P23" s="421" t="s">
        <v>237</v>
      </c>
      <c r="Q23" s="423">
        <v>21</v>
      </c>
      <c r="R23" s="423">
        <v>97</v>
      </c>
      <c r="U23" s="421" t="s">
        <v>254</v>
      </c>
      <c r="V23" s="421" t="s">
        <v>556</v>
      </c>
    </row>
    <row r="24" spans="1:22" x14ac:dyDescent="0.25">
      <c r="A24" s="421" t="s">
        <v>27</v>
      </c>
      <c r="B24" s="421" t="s">
        <v>365</v>
      </c>
      <c r="G24" s="421" t="s">
        <v>72</v>
      </c>
      <c r="H24" s="421" t="s">
        <v>71</v>
      </c>
      <c r="I24" s="421" t="s">
        <v>502</v>
      </c>
      <c r="J24" s="423">
        <v>6</v>
      </c>
      <c r="M24" s="421" t="s">
        <v>264</v>
      </c>
      <c r="N24" s="421" t="s">
        <v>265</v>
      </c>
      <c r="O24" s="421" t="s">
        <v>237</v>
      </c>
      <c r="P24" s="421" t="s">
        <v>237</v>
      </c>
      <c r="Q24" s="423">
        <v>14</v>
      </c>
      <c r="R24" s="423">
        <v>71</v>
      </c>
      <c r="U24" s="421" t="s">
        <v>262</v>
      </c>
      <c r="V24" s="421" t="s">
        <v>556</v>
      </c>
    </row>
    <row r="25" spans="1:22" x14ac:dyDescent="0.25">
      <c r="A25" s="421" t="s">
        <v>27</v>
      </c>
      <c r="B25" s="421" t="s">
        <v>866</v>
      </c>
      <c r="G25" s="421" t="s">
        <v>70</v>
      </c>
      <c r="H25" s="421" t="s">
        <v>69</v>
      </c>
      <c r="I25" s="421" t="s">
        <v>845</v>
      </c>
      <c r="J25" s="423">
        <v>0</v>
      </c>
      <c r="M25" s="421" t="s">
        <v>282</v>
      </c>
      <c r="N25" s="421" t="s">
        <v>283</v>
      </c>
      <c r="O25" s="421" t="s">
        <v>237</v>
      </c>
      <c r="P25" s="421" t="s">
        <v>237</v>
      </c>
      <c r="Q25" s="423">
        <v>7</v>
      </c>
      <c r="R25" s="423">
        <v>37</v>
      </c>
      <c r="U25" s="421" t="s">
        <v>264</v>
      </c>
      <c r="V25" s="421" t="s">
        <v>556</v>
      </c>
    </row>
    <row r="26" spans="1:22" x14ac:dyDescent="0.25">
      <c r="A26" s="421" t="s">
        <v>27</v>
      </c>
      <c r="B26" s="421" t="s">
        <v>37</v>
      </c>
      <c r="G26" s="421" t="s">
        <v>28</v>
      </c>
      <c r="H26" s="421" t="s">
        <v>30</v>
      </c>
      <c r="I26" s="421" t="s">
        <v>502</v>
      </c>
      <c r="J26" s="423">
        <v>109</v>
      </c>
      <c r="M26" s="421" t="s">
        <v>241</v>
      </c>
      <c r="N26" s="421" t="s">
        <v>1248</v>
      </c>
      <c r="O26" s="421" t="s">
        <v>237</v>
      </c>
      <c r="P26" s="421" t="s">
        <v>237</v>
      </c>
      <c r="Q26" s="423">
        <v>54</v>
      </c>
      <c r="R26" s="423">
        <v>258</v>
      </c>
      <c r="U26" s="421" t="s">
        <v>282</v>
      </c>
      <c r="V26" s="421" t="s">
        <v>556</v>
      </c>
    </row>
    <row r="27" spans="1:22" x14ac:dyDescent="0.25">
      <c r="A27" s="421" t="s">
        <v>27</v>
      </c>
      <c r="B27" s="421" t="s">
        <v>1022</v>
      </c>
      <c r="G27" s="421" t="s">
        <v>10</v>
      </c>
      <c r="H27" s="421" t="s">
        <v>9</v>
      </c>
      <c r="I27" s="421" t="s">
        <v>845</v>
      </c>
      <c r="J27" s="423">
        <v>0</v>
      </c>
      <c r="M27" s="421" t="s">
        <v>270</v>
      </c>
      <c r="N27" s="421" t="s">
        <v>271</v>
      </c>
      <c r="O27" s="421" t="s">
        <v>237</v>
      </c>
      <c r="P27" s="421" t="s">
        <v>237</v>
      </c>
      <c r="Q27" s="423">
        <v>66</v>
      </c>
      <c r="R27" s="423">
        <v>323</v>
      </c>
      <c r="U27" s="421" t="s">
        <v>241</v>
      </c>
      <c r="V27" s="421" t="s">
        <v>556</v>
      </c>
    </row>
    <row r="28" spans="1:22" x14ac:dyDescent="0.25">
      <c r="A28" s="421" t="s">
        <v>529</v>
      </c>
      <c r="B28" s="421" t="s">
        <v>128</v>
      </c>
      <c r="G28" s="421" t="s">
        <v>1319</v>
      </c>
      <c r="H28" s="421" t="s">
        <v>1320</v>
      </c>
      <c r="I28" s="421" t="s">
        <v>502</v>
      </c>
      <c r="J28" s="423"/>
      <c r="M28" s="421" t="s">
        <v>341</v>
      </c>
      <c r="N28" s="421" t="s">
        <v>342</v>
      </c>
      <c r="O28" s="421" t="s">
        <v>310</v>
      </c>
      <c r="P28" s="421" t="s">
        <v>310</v>
      </c>
      <c r="Q28" s="423">
        <v>65</v>
      </c>
      <c r="R28" s="423">
        <v>328</v>
      </c>
      <c r="U28" s="421" t="s">
        <v>270</v>
      </c>
      <c r="V28" s="421" t="s">
        <v>556</v>
      </c>
    </row>
    <row r="29" spans="1:22" x14ac:dyDescent="0.25">
      <c r="A29" s="421" t="s">
        <v>529</v>
      </c>
      <c r="B29" s="421" t="s">
        <v>62</v>
      </c>
      <c r="G29" s="421" t="s">
        <v>76</v>
      </c>
      <c r="H29" s="421" t="s">
        <v>75</v>
      </c>
      <c r="I29" s="421" t="s">
        <v>502</v>
      </c>
      <c r="J29" s="423">
        <v>66</v>
      </c>
      <c r="M29" s="421" t="s">
        <v>350</v>
      </c>
      <c r="N29" s="421" t="s">
        <v>351</v>
      </c>
      <c r="O29" s="421" t="s">
        <v>310</v>
      </c>
      <c r="P29" s="421" t="s">
        <v>310</v>
      </c>
      <c r="Q29" s="423">
        <v>88</v>
      </c>
      <c r="R29" s="423">
        <v>482</v>
      </c>
      <c r="U29" s="421" t="s">
        <v>341</v>
      </c>
      <c r="V29" s="421" t="s">
        <v>556</v>
      </c>
    </row>
    <row r="30" spans="1:22" x14ac:dyDescent="0.25">
      <c r="A30" s="421" t="s">
        <v>529</v>
      </c>
      <c r="B30" s="421" t="s">
        <v>120</v>
      </c>
      <c r="G30" s="421" t="s">
        <v>243</v>
      </c>
      <c r="H30" s="421" t="s">
        <v>242</v>
      </c>
      <c r="I30" s="421" t="s">
        <v>502</v>
      </c>
      <c r="J30" s="423">
        <v>6</v>
      </c>
      <c r="M30" s="421" t="s">
        <v>319</v>
      </c>
      <c r="N30" s="421" t="s">
        <v>320</v>
      </c>
      <c r="O30" s="421" t="s">
        <v>310</v>
      </c>
      <c r="P30" s="421" t="s">
        <v>310</v>
      </c>
      <c r="Q30" s="423">
        <v>22</v>
      </c>
      <c r="R30" s="423">
        <v>128</v>
      </c>
      <c r="U30" s="421" t="s">
        <v>350</v>
      </c>
      <c r="V30" s="421" t="s">
        <v>556</v>
      </c>
    </row>
    <row r="31" spans="1:22" x14ac:dyDescent="0.25">
      <c r="A31" s="421" t="s">
        <v>529</v>
      </c>
      <c r="B31" s="421" t="s">
        <v>41</v>
      </c>
      <c r="G31" s="421" t="s">
        <v>245</v>
      </c>
      <c r="H31" s="421" t="s">
        <v>244</v>
      </c>
      <c r="I31" s="421" t="s">
        <v>502</v>
      </c>
      <c r="J31" s="423">
        <v>6</v>
      </c>
      <c r="M31" s="421" t="s">
        <v>312</v>
      </c>
      <c r="N31" s="421" t="s">
        <v>313</v>
      </c>
      <c r="O31" s="421" t="s">
        <v>310</v>
      </c>
      <c r="P31" s="421" t="s">
        <v>310</v>
      </c>
      <c r="Q31" s="423">
        <v>99</v>
      </c>
      <c r="R31" s="423">
        <v>480</v>
      </c>
      <c r="U31" s="421" t="s">
        <v>319</v>
      </c>
      <c r="V31" s="421" t="s">
        <v>556</v>
      </c>
    </row>
    <row r="32" spans="1:22" x14ac:dyDescent="0.25">
      <c r="A32" s="421" t="s">
        <v>529</v>
      </c>
      <c r="B32" s="421" t="s">
        <v>43</v>
      </c>
      <c r="G32" s="421" t="s">
        <v>247</v>
      </c>
      <c r="H32" s="421" t="s">
        <v>246</v>
      </c>
      <c r="I32" s="421" t="s">
        <v>502</v>
      </c>
      <c r="J32" s="423">
        <v>42</v>
      </c>
      <c r="M32" s="421" t="s">
        <v>329</v>
      </c>
      <c r="N32" s="421" t="s">
        <v>330</v>
      </c>
      <c r="O32" s="421" t="s">
        <v>310</v>
      </c>
      <c r="P32" s="421" t="s">
        <v>310</v>
      </c>
      <c r="Q32" s="423">
        <v>222</v>
      </c>
      <c r="R32" s="423">
        <v>1210</v>
      </c>
      <c r="U32" s="421" t="s">
        <v>312</v>
      </c>
      <c r="V32" s="421" t="s">
        <v>556</v>
      </c>
    </row>
    <row r="33" spans="1:22" x14ac:dyDescent="0.25">
      <c r="A33" s="421" t="s">
        <v>529</v>
      </c>
      <c r="B33" s="421" t="s">
        <v>39</v>
      </c>
      <c r="G33" s="421" t="s">
        <v>192</v>
      </c>
      <c r="H33" s="421" t="s">
        <v>191</v>
      </c>
      <c r="I33" s="421" t="s">
        <v>502</v>
      </c>
      <c r="J33" s="423">
        <v>111</v>
      </c>
      <c r="M33" s="421" t="s">
        <v>337</v>
      </c>
      <c r="N33" s="421" t="s">
        <v>338</v>
      </c>
      <c r="O33" s="421" t="s">
        <v>310</v>
      </c>
      <c r="P33" s="421" t="s">
        <v>310</v>
      </c>
      <c r="Q33" s="423">
        <v>31</v>
      </c>
      <c r="R33" s="423">
        <v>171</v>
      </c>
      <c r="U33" s="421" t="s">
        <v>329</v>
      </c>
      <c r="V33" s="421" t="s">
        <v>556</v>
      </c>
    </row>
    <row r="34" spans="1:22" x14ac:dyDescent="0.25">
      <c r="A34" s="421" t="s">
        <v>529</v>
      </c>
      <c r="B34" s="421" t="s">
        <v>48</v>
      </c>
      <c r="G34" s="421" t="s">
        <v>78</v>
      </c>
      <c r="H34" s="421" t="s">
        <v>77</v>
      </c>
      <c r="I34" s="421" t="s">
        <v>845</v>
      </c>
      <c r="J34" s="423">
        <v>0</v>
      </c>
      <c r="M34" s="421" t="s">
        <v>327</v>
      </c>
      <c r="N34" s="421" t="s">
        <v>328</v>
      </c>
      <c r="O34" s="421" t="s">
        <v>310</v>
      </c>
      <c r="P34" s="421" t="s">
        <v>310</v>
      </c>
      <c r="Q34" s="423">
        <v>143</v>
      </c>
      <c r="R34" s="423">
        <v>800</v>
      </c>
      <c r="U34" s="421" t="s">
        <v>337</v>
      </c>
      <c r="V34" s="421" t="s">
        <v>556</v>
      </c>
    </row>
    <row r="35" spans="1:22" x14ac:dyDescent="0.25">
      <c r="A35" s="421" t="s">
        <v>529</v>
      </c>
      <c r="B35" s="421" t="s">
        <v>50</v>
      </c>
      <c r="G35" s="421" t="s">
        <v>82</v>
      </c>
      <c r="H35" s="421" t="s">
        <v>81</v>
      </c>
      <c r="I35" s="421" t="s">
        <v>845</v>
      </c>
      <c r="J35" s="423">
        <v>0</v>
      </c>
      <c r="M35" s="421" t="s">
        <v>317</v>
      </c>
      <c r="N35" s="421" t="s">
        <v>318</v>
      </c>
      <c r="O35" s="421" t="s">
        <v>310</v>
      </c>
      <c r="P35" s="421" t="s">
        <v>310</v>
      </c>
      <c r="Q35" s="423">
        <v>91</v>
      </c>
      <c r="R35" s="423">
        <v>329</v>
      </c>
      <c r="U35" s="421" t="s">
        <v>327</v>
      </c>
      <c r="V35" s="421" t="s">
        <v>556</v>
      </c>
    </row>
    <row r="36" spans="1:22" x14ac:dyDescent="0.25">
      <c r="A36" s="421" t="s">
        <v>529</v>
      </c>
      <c r="B36" s="421" t="s">
        <v>52</v>
      </c>
      <c r="G36" s="421" t="s">
        <v>933</v>
      </c>
      <c r="H36" s="421" t="s">
        <v>934</v>
      </c>
      <c r="I36" s="421" t="s">
        <v>845</v>
      </c>
      <c r="J36" s="423">
        <v>0</v>
      </c>
      <c r="M36" s="421" t="s">
        <v>343</v>
      </c>
      <c r="N36" s="421" t="s">
        <v>344</v>
      </c>
      <c r="O36" s="421" t="s">
        <v>310</v>
      </c>
      <c r="P36" s="421" t="s">
        <v>310</v>
      </c>
      <c r="Q36" s="423">
        <v>18</v>
      </c>
      <c r="R36" s="423">
        <v>82</v>
      </c>
      <c r="U36" s="421" t="s">
        <v>317</v>
      </c>
      <c r="V36" s="421" t="s">
        <v>556</v>
      </c>
    </row>
    <row r="37" spans="1:22" x14ac:dyDescent="0.25">
      <c r="A37" s="421" t="s">
        <v>529</v>
      </c>
      <c r="B37" s="421" t="s">
        <v>58</v>
      </c>
      <c r="G37" s="421" t="s">
        <v>935</v>
      </c>
      <c r="H37" s="421" t="s">
        <v>936</v>
      </c>
      <c r="I37" s="421" t="s">
        <v>845</v>
      </c>
      <c r="J37" s="423">
        <v>0</v>
      </c>
      <c r="M37" s="421" t="s">
        <v>360</v>
      </c>
      <c r="N37" s="421" t="s">
        <v>1251</v>
      </c>
      <c r="O37" s="421" t="s">
        <v>310</v>
      </c>
      <c r="P37" s="421" t="s">
        <v>310</v>
      </c>
      <c r="Q37" s="423">
        <v>0</v>
      </c>
      <c r="R37" s="423">
        <v>0</v>
      </c>
      <c r="U37" s="421" t="s">
        <v>343</v>
      </c>
      <c r="V37" s="421" t="s">
        <v>556</v>
      </c>
    </row>
    <row r="38" spans="1:22" x14ac:dyDescent="0.25">
      <c r="A38" s="421" t="s">
        <v>529</v>
      </c>
      <c r="B38" s="421" t="s">
        <v>60</v>
      </c>
      <c r="G38" s="421" t="s">
        <v>32</v>
      </c>
      <c r="H38" s="421" t="s">
        <v>31</v>
      </c>
      <c r="I38" s="421" t="s">
        <v>845</v>
      </c>
      <c r="J38" s="423"/>
      <c r="M38" s="421" t="s">
        <v>359</v>
      </c>
      <c r="N38" s="421" t="s">
        <v>1250</v>
      </c>
      <c r="O38" s="421" t="s">
        <v>310</v>
      </c>
      <c r="P38" s="421" t="s">
        <v>310</v>
      </c>
      <c r="Q38" s="423">
        <v>0</v>
      </c>
      <c r="R38" s="423">
        <v>0</v>
      </c>
      <c r="U38" s="421" t="s">
        <v>360</v>
      </c>
      <c r="V38" s="421" t="s">
        <v>556</v>
      </c>
    </row>
    <row r="39" spans="1:22" x14ac:dyDescent="0.25">
      <c r="A39" s="421" t="s">
        <v>529</v>
      </c>
      <c r="B39" s="421" t="s">
        <v>72</v>
      </c>
      <c r="G39" s="421" t="s">
        <v>313</v>
      </c>
      <c r="H39" s="421" t="s">
        <v>312</v>
      </c>
      <c r="I39" s="421" t="s">
        <v>502</v>
      </c>
      <c r="J39" s="423">
        <v>99</v>
      </c>
      <c r="M39" s="421" t="s">
        <v>309</v>
      </c>
      <c r="N39" s="421" t="s">
        <v>311</v>
      </c>
      <c r="O39" s="421" t="s">
        <v>310</v>
      </c>
      <c r="P39" s="421" t="s">
        <v>310</v>
      </c>
      <c r="Q39" s="423"/>
      <c r="R39" s="423"/>
      <c r="U39" s="421" t="s">
        <v>359</v>
      </c>
      <c r="V39" s="421" t="s">
        <v>556</v>
      </c>
    </row>
    <row r="40" spans="1:22" x14ac:dyDescent="0.25">
      <c r="A40" s="421" t="s">
        <v>529</v>
      </c>
      <c r="B40" s="421" t="s">
        <v>70</v>
      </c>
      <c r="G40" s="421" t="s">
        <v>336</v>
      </c>
      <c r="H40" s="421" t="s">
        <v>335</v>
      </c>
      <c r="I40" s="421" t="s">
        <v>502</v>
      </c>
      <c r="J40" s="423">
        <v>146</v>
      </c>
      <c r="M40" s="421" t="s">
        <v>348</v>
      </c>
      <c r="N40" s="421" t="s">
        <v>349</v>
      </c>
      <c r="O40" s="421" t="s">
        <v>310</v>
      </c>
      <c r="P40" s="421" t="s">
        <v>310</v>
      </c>
      <c r="Q40" s="423">
        <v>44</v>
      </c>
      <c r="R40" s="423">
        <v>182</v>
      </c>
      <c r="U40" s="421" t="s">
        <v>309</v>
      </c>
      <c r="V40" s="421" t="s">
        <v>989</v>
      </c>
    </row>
    <row r="41" spans="1:22" x14ac:dyDescent="0.25">
      <c r="A41" s="421" t="s">
        <v>529</v>
      </c>
      <c r="B41" s="421" t="s">
        <v>76</v>
      </c>
      <c r="G41" s="421" t="s">
        <v>88</v>
      </c>
      <c r="H41" s="421" t="s">
        <v>87</v>
      </c>
      <c r="I41" s="421" t="s">
        <v>502</v>
      </c>
      <c r="J41" s="423">
        <v>14</v>
      </c>
      <c r="M41" s="421" t="s">
        <v>315</v>
      </c>
      <c r="N41" s="421" t="s">
        <v>316</v>
      </c>
      <c r="O41" s="421" t="s">
        <v>310</v>
      </c>
      <c r="P41" s="421" t="s">
        <v>310</v>
      </c>
      <c r="Q41" s="423">
        <v>70</v>
      </c>
      <c r="R41" s="423">
        <v>278</v>
      </c>
      <c r="U41" s="421" t="s">
        <v>348</v>
      </c>
      <c r="V41" s="421" t="s">
        <v>556</v>
      </c>
    </row>
    <row r="42" spans="1:22" x14ac:dyDescent="0.25">
      <c r="A42" s="421" t="s">
        <v>529</v>
      </c>
      <c r="B42" s="421" t="s">
        <v>78</v>
      </c>
      <c r="G42" s="421" t="s">
        <v>44</v>
      </c>
      <c r="H42" s="421" t="s">
        <v>45</v>
      </c>
      <c r="I42" s="421" t="s">
        <v>502</v>
      </c>
      <c r="J42" s="423">
        <v>8</v>
      </c>
      <c r="M42" s="421" t="s">
        <v>325</v>
      </c>
      <c r="N42" s="421" t="s">
        <v>326</v>
      </c>
      <c r="O42" s="421" t="s">
        <v>310</v>
      </c>
      <c r="P42" s="421" t="s">
        <v>310</v>
      </c>
      <c r="Q42" s="423">
        <v>46</v>
      </c>
      <c r="R42" s="423">
        <v>192</v>
      </c>
      <c r="U42" s="421" t="s">
        <v>315</v>
      </c>
      <c r="V42" s="421" t="s">
        <v>556</v>
      </c>
    </row>
    <row r="43" spans="1:22" x14ac:dyDescent="0.25">
      <c r="A43" s="421" t="s">
        <v>529</v>
      </c>
      <c r="B43" s="421" t="s">
        <v>82</v>
      </c>
      <c r="G43" s="421" t="s">
        <v>56</v>
      </c>
      <c r="H43" s="421" t="s">
        <v>55</v>
      </c>
      <c r="I43" s="421" t="s">
        <v>845</v>
      </c>
      <c r="J43" s="423">
        <v>0</v>
      </c>
      <c r="M43" s="421" t="s">
        <v>323</v>
      </c>
      <c r="N43" s="421" t="s">
        <v>324</v>
      </c>
      <c r="O43" s="421" t="s">
        <v>310</v>
      </c>
      <c r="P43" s="421" t="s">
        <v>310</v>
      </c>
      <c r="Q43" s="423">
        <v>396</v>
      </c>
      <c r="R43" s="423">
        <v>2120</v>
      </c>
      <c r="U43" s="421" t="s">
        <v>325</v>
      </c>
      <c r="V43" s="421" t="s">
        <v>556</v>
      </c>
    </row>
    <row r="44" spans="1:22" x14ac:dyDescent="0.25">
      <c r="A44" s="421" t="s">
        <v>529</v>
      </c>
      <c r="B44" s="421" t="s">
        <v>88</v>
      </c>
      <c r="G44" s="421" t="s">
        <v>1160</v>
      </c>
      <c r="H44" s="421" t="s">
        <v>1162</v>
      </c>
      <c r="I44" s="421" t="s">
        <v>502</v>
      </c>
      <c r="J44" s="423">
        <v>36</v>
      </c>
      <c r="M44" s="421" t="s">
        <v>346</v>
      </c>
      <c r="N44" s="421" t="s">
        <v>347</v>
      </c>
      <c r="O44" s="421" t="s">
        <v>310</v>
      </c>
      <c r="P44" s="421" t="s">
        <v>310</v>
      </c>
      <c r="Q44" s="423">
        <v>179</v>
      </c>
      <c r="R44" s="423">
        <v>940</v>
      </c>
      <c r="U44" s="421" t="s">
        <v>323</v>
      </c>
      <c r="V44" s="421" t="s">
        <v>556</v>
      </c>
    </row>
    <row r="45" spans="1:22" x14ac:dyDescent="0.25">
      <c r="A45" s="421" t="s">
        <v>529</v>
      </c>
      <c r="B45" s="421" t="s">
        <v>44</v>
      </c>
      <c r="G45" s="421" t="s">
        <v>12</v>
      </c>
      <c r="H45" s="421" t="s">
        <v>11</v>
      </c>
      <c r="I45" s="421" t="s">
        <v>502</v>
      </c>
      <c r="J45" s="423">
        <v>211</v>
      </c>
      <c r="M45" s="421" t="s">
        <v>30</v>
      </c>
      <c r="N45" s="421" t="s">
        <v>28</v>
      </c>
      <c r="O45" s="421" t="s">
        <v>27</v>
      </c>
      <c r="P45" s="421" t="s">
        <v>27</v>
      </c>
      <c r="Q45" s="423">
        <v>109</v>
      </c>
      <c r="R45" s="423">
        <v>504</v>
      </c>
      <c r="U45" s="421" t="s">
        <v>346</v>
      </c>
      <c r="V45" s="421" t="s">
        <v>556</v>
      </c>
    </row>
    <row r="46" spans="1:22" x14ac:dyDescent="0.25">
      <c r="A46" s="421" t="s">
        <v>529</v>
      </c>
      <c r="B46" s="421" t="s">
        <v>56</v>
      </c>
      <c r="G46" s="421" t="s">
        <v>12</v>
      </c>
      <c r="H46" s="421" t="s">
        <v>391</v>
      </c>
      <c r="I46" s="421" t="s">
        <v>502</v>
      </c>
      <c r="J46" s="423">
        <v>76</v>
      </c>
      <c r="M46" s="421" t="s">
        <v>29</v>
      </c>
      <c r="N46" s="421" t="s">
        <v>364</v>
      </c>
      <c r="O46" s="421" t="s">
        <v>27</v>
      </c>
      <c r="P46" s="421" t="s">
        <v>27</v>
      </c>
      <c r="Q46" s="423">
        <v>154</v>
      </c>
      <c r="R46" s="423">
        <v>920</v>
      </c>
      <c r="U46" s="421" t="s">
        <v>30</v>
      </c>
      <c r="V46" s="421" t="s">
        <v>556</v>
      </c>
    </row>
    <row r="47" spans="1:22" x14ac:dyDescent="0.25">
      <c r="A47" s="421" t="s">
        <v>529</v>
      </c>
      <c r="B47" s="421" t="s">
        <v>90</v>
      </c>
      <c r="G47" s="421" t="s">
        <v>12</v>
      </c>
      <c r="H47" s="421" t="s">
        <v>392</v>
      </c>
      <c r="I47" s="421" t="s">
        <v>502</v>
      </c>
      <c r="J47" s="423">
        <v>320</v>
      </c>
      <c r="M47" s="421" t="s">
        <v>36</v>
      </c>
      <c r="N47" s="421" t="s">
        <v>37</v>
      </c>
      <c r="O47" s="421" t="s">
        <v>27</v>
      </c>
      <c r="P47" s="421" t="s">
        <v>27</v>
      </c>
      <c r="Q47" s="423">
        <v>0</v>
      </c>
      <c r="R47" s="423">
        <v>0</v>
      </c>
      <c r="U47" s="421" t="s">
        <v>29</v>
      </c>
      <c r="V47" s="421" t="s">
        <v>556</v>
      </c>
    </row>
    <row r="48" spans="1:22" x14ac:dyDescent="0.25">
      <c r="A48" s="421" t="s">
        <v>529</v>
      </c>
      <c r="B48" s="421" t="s">
        <v>92</v>
      </c>
      <c r="G48" s="421" t="s">
        <v>12</v>
      </c>
      <c r="H48" s="421" t="s">
        <v>394</v>
      </c>
      <c r="I48" s="421" t="s">
        <v>502</v>
      </c>
      <c r="J48" s="423">
        <v>9</v>
      </c>
      <c r="M48" s="421" t="s">
        <v>33</v>
      </c>
      <c r="N48" s="421" t="s">
        <v>34</v>
      </c>
      <c r="O48" s="421" t="s">
        <v>27</v>
      </c>
      <c r="P48" s="421" t="s">
        <v>27</v>
      </c>
      <c r="Q48" s="423"/>
      <c r="R48" s="423"/>
      <c r="U48" s="421" t="s">
        <v>36</v>
      </c>
      <c r="V48" s="421" t="s">
        <v>556</v>
      </c>
    </row>
    <row r="49" spans="1:22" x14ac:dyDescent="0.25">
      <c r="A49" s="421" t="s">
        <v>529</v>
      </c>
      <c r="B49" s="421" t="s">
        <v>94</v>
      </c>
      <c r="G49" s="421" t="s">
        <v>169</v>
      </c>
      <c r="H49" s="421" t="s">
        <v>168</v>
      </c>
      <c r="I49" s="421" t="s">
        <v>502</v>
      </c>
      <c r="J49" s="423">
        <v>32</v>
      </c>
      <c r="M49" s="421" t="s">
        <v>31</v>
      </c>
      <c r="N49" s="421" t="s">
        <v>32</v>
      </c>
      <c r="O49" s="421" t="s">
        <v>27</v>
      </c>
      <c r="P49" s="421" t="s">
        <v>27</v>
      </c>
      <c r="Q49" s="423"/>
      <c r="R49" s="423"/>
      <c r="U49" s="421" t="s">
        <v>33</v>
      </c>
      <c r="V49" s="421" t="s">
        <v>12</v>
      </c>
    </row>
    <row r="50" spans="1:22" x14ac:dyDescent="0.25">
      <c r="A50" s="421" t="s">
        <v>529</v>
      </c>
      <c r="B50" s="421" t="s">
        <v>54</v>
      </c>
      <c r="G50" s="421" t="s">
        <v>231</v>
      </c>
      <c r="H50" s="421" t="s">
        <v>388</v>
      </c>
      <c r="I50" s="421" t="s">
        <v>502</v>
      </c>
      <c r="J50" s="423">
        <v>32</v>
      </c>
      <c r="M50" s="421" t="s">
        <v>21</v>
      </c>
      <c r="N50" s="421" t="s">
        <v>22</v>
      </c>
      <c r="O50" s="421" t="s">
        <v>5</v>
      </c>
      <c r="P50" s="421" t="s">
        <v>5</v>
      </c>
      <c r="Q50" s="423">
        <v>629</v>
      </c>
      <c r="R50" s="423">
        <v>3798</v>
      </c>
      <c r="U50" s="421" t="s">
        <v>31</v>
      </c>
      <c r="V50" s="421" t="s">
        <v>556</v>
      </c>
    </row>
    <row r="51" spans="1:22" x14ac:dyDescent="0.25">
      <c r="A51" s="421" t="s">
        <v>529</v>
      </c>
      <c r="B51" s="421" t="s">
        <v>66</v>
      </c>
      <c r="G51" s="421" t="s">
        <v>1068</v>
      </c>
      <c r="H51" s="421" t="s">
        <v>1069</v>
      </c>
      <c r="I51" s="421" t="s">
        <v>502</v>
      </c>
      <c r="J51" s="423">
        <v>116</v>
      </c>
      <c r="M51" s="421" t="s">
        <v>15</v>
      </c>
      <c r="N51" s="421" t="s">
        <v>16</v>
      </c>
      <c r="O51" s="421" t="s">
        <v>5</v>
      </c>
      <c r="P51" s="421" t="s">
        <v>5</v>
      </c>
      <c r="Q51" s="423">
        <v>0</v>
      </c>
      <c r="R51" s="423">
        <v>0</v>
      </c>
      <c r="U51" s="421" t="s">
        <v>21</v>
      </c>
      <c r="V51" s="421" t="s">
        <v>556</v>
      </c>
    </row>
    <row r="52" spans="1:22" x14ac:dyDescent="0.25">
      <c r="A52" s="421" t="s">
        <v>529</v>
      </c>
      <c r="B52" s="421" t="s">
        <v>80</v>
      </c>
      <c r="G52" s="421" t="s">
        <v>364</v>
      </c>
      <c r="H52" s="421" t="s">
        <v>29</v>
      </c>
      <c r="I52" s="421" t="s">
        <v>502</v>
      </c>
      <c r="J52" s="423">
        <v>154</v>
      </c>
      <c r="M52" s="421" t="s">
        <v>17</v>
      </c>
      <c r="N52" s="421" t="s">
        <v>18</v>
      </c>
      <c r="O52" s="421" t="s">
        <v>5</v>
      </c>
      <c r="P52" s="421" t="s">
        <v>5</v>
      </c>
      <c r="Q52" s="423">
        <v>116</v>
      </c>
      <c r="R52" s="423">
        <v>659</v>
      </c>
      <c r="U52" s="421" t="s">
        <v>15</v>
      </c>
      <c r="V52" s="421" t="s">
        <v>556</v>
      </c>
    </row>
    <row r="53" spans="1:22" x14ac:dyDescent="0.25">
      <c r="A53" s="421" t="s">
        <v>529</v>
      </c>
      <c r="B53" s="421" t="s">
        <v>102</v>
      </c>
      <c r="G53" s="421" t="s">
        <v>194</v>
      </c>
      <c r="H53" s="421" t="s">
        <v>193</v>
      </c>
      <c r="I53" s="421" t="s">
        <v>502</v>
      </c>
      <c r="J53" s="423">
        <v>586</v>
      </c>
      <c r="M53" s="421" t="s">
        <v>4</v>
      </c>
      <c r="N53" s="421" t="s">
        <v>6</v>
      </c>
      <c r="O53" s="421" t="s">
        <v>5</v>
      </c>
      <c r="P53" s="421" t="s">
        <v>5</v>
      </c>
      <c r="Q53" s="423">
        <v>274</v>
      </c>
      <c r="R53" s="423">
        <v>1349</v>
      </c>
      <c r="U53" s="421" t="s">
        <v>17</v>
      </c>
      <c r="V53" s="421" t="s">
        <v>556</v>
      </c>
    </row>
    <row r="54" spans="1:22" x14ac:dyDescent="0.25">
      <c r="A54" s="421" t="s">
        <v>529</v>
      </c>
      <c r="B54" s="421" t="s">
        <v>106</v>
      </c>
      <c r="G54" s="421" t="s">
        <v>14</v>
      </c>
      <c r="H54" s="421" t="s">
        <v>13</v>
      </c>
      <c r="I54" s="421" t="s">
        <v>502</v>
      </c>
      <c r="J54" s="423">
        <v>39</v>
      </c>
      <c r="M54" s="421" t="s">
        <v>7</v>
      </c>
      <c r="N54" s="421" t="s">
        <v>8</v>
      </c>
      <c r="O54" s="421" t="s">
        <v>5</v>
      </c>
      <c r="P54" s="421" t="s">
        <v>5</v>
      </c>
      <c r="Q54" s="423">
        <v>14</v>
      </c>
      <c r="R54" s="423">
        <v>65</v>
      </c>
      <c r="U54" s="421" t="s">
        <v>4</v>
      </c>
      <c r="V54" s="421" t="s">
        <v>556</v>
      </c>
    </row>
    <row r="55" spans="1:22" x14ac:dyDescent="0.25">
      <c r="A55" s="421" t="s">
        <v>529</v>
      </c>
      <c r="B55" s="421" t="s">
        <v>116</v>
      </c>
      <c r="G55" s="421" t="s">
        <v>815</v>
      </c>
      <c r="H55" s="421" t="s">
        <v>816</v>
      </c>
      <c r="I55" s="421" t="s">
        <v>502</v>
      </c>
      <c r="J55" s="423"/>
      <c r="M55" s="421" t="s">
        <v>13</v>
      </c>
      <c r="N55" s="421" t="s">
        <v>14</v>
      </c>
      <c r="O55" s="421" t="s">
        <v>5</v>
      </c>
      <c r="P55" s="421" t="s">
        <v>5</v>
      </c>
      <c r="Q55" s="423">
        <v>39</v>
      </c>
      <c r="R55" s="423">
        <v>227</v>
      </c>
      <c r="U55" s="421" t="s">
        <v>7</v>
      </c>
      <c r="V55" s="421" t="s">
        <v>556</v>
      </c>
    </row>
    <row r="56" spans="1:22" x14ac:dyDescent="0.25">
      <c r="A56" s="421" t="s">
        <v>529</v>
      </c>
      <c r="B56" s="421" t="s">
        <v>130</v>
      </c>
      <c r="G56" s="421" t="s">
        <v>886</v>
      </c>
      <c r="H56" s="421" t="s">
        <v>885</v>
      </c>
      <c r="I56" s="421" t="s">
        <v>845</v>
      </c>
      <c r="J56" s="423">
        <v>0</v>
      </c>
      <c r="M56" s="421" t="s">
        <v>25</v>
      </c>
      <c r="N56" s="421" t="s">
        <v>26</v>
      </c>
      <c r="O56" s="421" t="s">
        <v>5</v>
      </c>
      <c r="P56" s="421" t="s">
        <v>5</v>
      </c>
      <c r="Q56" s="423">
        <v>15</v>
      </c>
      <c r="R56" s="423">
        <v>73</v>
      </c>
      <c r="U56" s="421" t="s">
        <v>13</v>
      </c>
      <c r="V56" s="421" t="s">
        <v>556</v>
      </c>
    </row>
    <row r="57" spans="1:22" x14ac:dyDescent="0.25">
      <c r="A57" s="421" t="s">
        <v>529</v>
      </c>
      <c r="B57" s="421" t="s">
        <v>138</v>
      </c>
      <c r="G57" s="421" t="s">
        <v>1044</v>
      </c>
      <c r="H57" s="421" t="s">
        <v>1046</v>
      </c>
      <c r="I57" s="421" t="s">
        <v>502</v>
      </c>
      <c r="J57" s="423">
        <v>10</v>
      </c>
      <c r="M57" s="421" t="s">
        <v>19</v>
      </c>
      <c r="N57" s="421" t="s">
        <v>20</v>
      </c>
      <c r="O57" s="421" t="s">
        <v>5</v>
      </c>
      <c r="P57" s="421" t="s">
        <v>5</v>
      </c>
      <c r="Q57" s="423">
        <v>20</v>
      </c>
      <c r="R57" s="423">
        <v>103</v>
      </c>
      <c r="U57" s="421" t="s">
        <v>25</v>
      </c>
      <c r="V57" s="421" t="s">
        <v>556</v>
      </c>
    </row>
    <row r="58" spans="1:22" x14ac:dyDescent="0.25">
      <c r="A58" s="421" t="s">
        <v>529</v>
      </c>
      <c r="B58" s="421" t="s">
        <v>136</v>
      </c>
      <c r="G58" s="421" t="s">
        <v>253</v>
      </c>
      <c r="H58" s="421" t="s">
        <v>252</v>
      </c>
      <c r="I58" s="421" t="s">
        <v>502</v>
      </c>
      <c r="J58" s="423">
        <v>204</v>
      </c>
      <c r="M58" s="421" t="s">
        <v>23</v>
      </c>
      <c r="N58" s="421" t="s">
        <v>24</v>
      </c>
      <c r="O58" s="421" t="s">
        <v>5</v>
      </c>
      <c r="P58" s="421" t="s">
        <v>5</v>
      </c>
      <c r="Q58" s="423">
        <v>21</v>
      </c>
      <c r="R58" s="423">
        <v>97</v>
      </c>
      <c r="U58" s="421" t="s">
        <v>19</v>
      </c>
      <c r="V58" s="421" t="s">
        <v>556</v>
      </c>
    </row>
    <row r="59" spans="1:22" x14ac:dyDescent="0.25">
      <c r="A59" s="421" t="s">
        <v>529</v>
      </c>
      <c r="B59" s="421" t="s">
        <v>68</v>
      </c>
      <c r="G59" s="421" t="s">
        <v>255</v>
      </c>
      <c r="H59" s="421" t="s">
        <v>254</v>
      </c>
      <c r="I59" s="421" t="s">
        <v>502</v>
      </c>
      <c r="J59" s="423">
        <v>103</v>
      </c>
      <c r="M59" s="421" t="s">
        <v>208</v>
      </c>
      <c r="N59" s="421" t="s">
        <v>209</v>
      </c>
      <c r="O59" s="421" t="s">
        <v>185</v>
      </c>
      <c r="P59" s="421" t="s">
        <v>185</v>
      </c>
      <c r="Q59" s="423">
        <v>226</v>
      </c>
      <c r="R59" s="423">
        <v>1824</v>
      </c>
      <c r="U59" s="421" t="s">
        <v>23</v>
      </c>
      <c r="V59" s="421" t="s">
        <v>556</v>
      </c>
    </row>
    <row r="60" spans="1:22" x14ac:dyDescent="0.25">
      <c r="A60" s="421" t="s">
        <v>529</v>
      </c>
      <c r="B60" s="421" t="s">
        <v>84</v>
      </c>
      <c r="G60" s="421" t="s">
        <v>196</v>
      </c>
      <c r="H60" s="421" t="s">
        <v>195</v>
      </c>
      <c r="I60" s="421" t="s">
        <v>502</v>
      </c>
      <c r="J60" s="423">
        <v>1643</v>
      </c>
      <c r="M60" s="421" t="s">
        <v>210</v>
      </c>
      <c r="N60" s="421" t="s">
        <v>211</v>
      </c>
      <c r="O60" s="421" t="s">
        <v>185</v>
      </c>
      <c r="P60" s="421" t="s">
        <v>185</v>
      </c>
      <c r="Q60" s="423"/>
      <c r="R60" s="423"/>
      <c r="U60" s="421" t="s">
        <v>208</v>
      </c>
      <c r="V60" s="421" t="s">
        <v>556</v>
      </c>
    </row>
    <row r="61" spans="1:22" x14ac:dyDescent="0.25">
      <c r="A61" s="421" t="s">
        <v>529</v>
      </c>
      <c r="B61" s="421" t="s">
        <v>86</v>
      </c>
      <c r="G61" s="421" t="s">
        <v>16</v>
      </c>
      <c r="H61" s="421" t="s">
        <v>15</v>
      </c>
      <c r="I61" s="421" t="s">
        <v>845</v>
      </c>
      <c r="J61" s="423">
        <v>0</v>
      </c>
      <c r="M61" s="421" t="s">
        <v>206</v>
      </c>
      <c r="N61" s="421" t="s">
        <v>207</v>
      </c>
      <c r="O61" s="421" t="s">
        <v>185</v>
      </c>
      <c r="P61" s="421" t="s">
        <v>185</v>
      </c>
      <c r="Q61" s="423"/>
      <c r="R61" s="423"/>
      <c r="U61" s="421" t="s">
        <v>210</v>
      </c>
      <c r="V61" s="421" t="s">
        <v>556</v>
      </c>
    </row>
    <row r="62" spans="1:22" x14ac:dyDescent="0.25">
      <c r="A62" s="421" t="s">
        <v>529</v>
      </c>
      <c r="B62" s="421" t="s">
        <v>100</v>
      </c>
      <c r="G62" s="421" t="s">
        <v>523</v>
      </c>
      <c r="H62" s="421" t="s">
        <v>524</v>
      </c>
      <c r="I62" s="421" t="s">
        <v>502</v>
      </c>
      <c r="J62" s="423">
        <v>4</v>
      </c>
      <c r="M62" s="421" t="s">
        <v>216</v>
      </c>
      <c r="N62" s="421" t="s">
        <v>217</v>
      </c>
      <c r="O62" s="421" t="s">
        <v>185</v>
      </c>
      <c r="P62" s="421" t="s">
        <v>185</v>
      </c>
      <c r="Q62" s="423"/>
      <c r="R62" s="423"/>
      <c r="U62" s="421" t="s">
        <v>206</v>
      </c>
      <c r="V62" s="421" t="s">
        <v>556</v>
      </c>
    </row>
    <row r="63" spans="1:22" x14ac:dyDescent="0.25">
      <c r="A63" s="421" t="s">
        <v>529</v>
      </c>
      <c r="B63" s="421" t="s">
        <v>104</v>
      </c>
      <c r="G63" s="421" t="s">
        <v>372</v>
      </c>
      <c r="H63" s="421" t="s">
        <v>382</v>
      </c>
      <c r="I63" s="421" t="s">
        <v>502</v>
      </c>
      <c r="J63" s="423">
        <v>88</v>
      </c>
      <c r="M63" s="421" t="s">
        <v>226</v>
      </c>
      <c r="N63" s="421" t="s">
        <v>227</v>
      </c>
      <c r="O63" s="421" t="s">
        <v>185</v>
      </c>
      <c r="P63" s="421" t="s">
        <v>185</v>
      </c>
      <c r="Q63" s="423">
        <v>10</v>
      </c>
      <c r="R63" s="423">
        <v>38</v>
      </c>
      <c r="U63" s="421" t="s">
        <v>216</v>
      </c>
      <c r="V63" s="421" t="s">
        <v>556</v>
      </c>
    </row>
    <row r="64" spans="1:22" x14ac:dyDescent="0.25">
      <c r="A64" s="421" t="s">
        <v>529</v>
      </c>
      <c r="B64" s="421" t="s">
        <v>98</v>
      </c>
      <c r="G64" s="421" t="s">
        <v>1123</v>
      </c>
      <c r="H64" s="421" t="s">
        <v>1124</v>
      </c>
      <c r="I64" s="421" t="s">
        <v>502</v>
      </c>
      <c r="J64" s="423">
        <v>50</v>
      </c>
      <c r="M64" s="421" t="s">
        <v>212</v>
      </c>
      <c r="N64" s="421" t="s">
        <v>213</v>
      </c>
      <c r="O64" s="421" t="s">
        <v>185</v>
      </c>
      <c r="P64" s="421" t="s">
        <v>185</v>
      </c>
      <c r="Q64" s="423">
        <v>13</v>
      </c>
      <c r="R64" s="423">
        <v>53</v>
      </c>
      <c r="U64" s="421" t="s">
        <v>226</v>
      </c>
      <c r="V64" s="421" t="s">
        <v>12</v>
      </c>
    </row>
    <row r="65" spans="1:22" x14ac:dyDescent="0.25">
      <c r="A65" s="421" t="s">
        <v>529</v>
      </c>
      <c r="B65" s="421" t="s">
        <v>142</v>
      </c>
      <c r="G65" s="421" t="s">
        <v>369</v>
      </c>
      <c r="H65" s="421" t="s">
        <v>383</v>
      </c>
      <c r="I65" s="421" t="s">
        <v>502</v>
      </c>
      <c r="J65" s="423">
        <v>63</v>
      </c>
      <c r="M65" s="421" t="s">
        <v>201</v>
      </c>
      <c r="N65" s="421" t="s">
        <v>202</v>
      </c>
      <c r="O65" s="421" t="s">
        <v>185</v>
      </c>
      <c r="P65" s="421" t="s">
        <v>185</v>
      </c>
      <c r="Q65" s="423">
        <v>261</v>
      </c>
      <c r="R65" s="423">
        <v>1155</v>
      </c>
      <c r="U65" s="421" t="s">
        <v>212</v>
      </c>
      <c r="V65" s="421" t="s">
        <v>12</v>
      </c>
    </row>
    <row r="66" spans="1:22" x14ac:dyDescent="0.25">
      <c r="A66" s="421" t="s">
        <v>529</v>
      </c>
      <c r="B66" s="421" t="s">
        <v>613</v>
      </c>
      <c r="G66" s="421" t="s">
        <v>370</v>
      </c>
      <c r="H66" s="421" t="s">
        <v>384</v>
      </c>
      <c r="I66" s="421" t="s">
        <v>502</v>
      </c>
      <c r="J66" s="423">
        <v>31</v>
      </c>
      <c r="M66" s="421" t="s">
        <v>203</v>
      </c>
      <c r="N66" s="421" t="s">
        <v>204</v>
      </c>
      <c r="O66" s="421" t="s">
        <v>185</v>
      </c>
      <c r="P66" s="421" t="s">
        <v>185</v>
      </c>
      <c r="Q66" s="423">
        <v>28</v>
      </c>
      <c r="R66" s="423">
        <v>136</v>
      </c>
      <c r="U66" s="421" t="s">
        <v>201</v>
      </c>
      <c r="V66" s="421" t="s">
        <v>556</v>
      </c>
    </row>
    <row r="67" spans="1:22" x14ac:dyDescent="0.25">
      <c r="A67" s="421" t="s">
        <v>529</v>
      </c>
      <c r="B67" s="421" t="s">
        <v>108</v>
      </c>
      <c r="G67" s="421" t="s">
        <v>257</v>
      </c>
      <c r="H67" s="421" t="s">
        <v>256</v>
      </c>
      <c r="I67" s="421" t="s">
        <v>502</v>
      </c>
      <c r="J67" s="423">
        <v>44</v>
      </c>
      <c r="M67" s="421" t="s">
        <v>199</v>
      </c>
      <c r="N67" s="421" t="s">
        <v>200</v>
      </c>
      <c r="O67" s="421" t="s">
        <v>185</v>
      </c>
      <c r="P67" s="421" t="s">
        <v>185</v>
      </c>
      <c r="Q67" s="423">
        <v>2</v>
      </c>
      <c r="R67" s="423">
        <v>9</v>
      </c>
      <c r="U67" s="421" t="s">
        <v>203</v>
      </c>
      <c r="V67" s="421" t="s">
        <v>12</v>
      </c>
    </row>
    <row r="68" spans="1:22" x14ac:dyDescent="0.25">
      <c r="A68" s="421" t="s">
        <v>529</v>
      </c>
      <c r="B68" s="421" t="s">
        <v>110</v>
      </c>
      <c r="G68" s="421" t="s">
        <v>174</v>
      </c>
      <c r="H68" s="421" t="s">
        <v>172</v>
      </c>
      <c r="I68" s="421" t="s">
        <v>502</v>
      </c>
      <c r="J68" s="423">
        <v>13</v>
      </c>
      <c r="M68" s="421" t="s">
        <v>220</v>
      </c>
      <c r="N68" s="421" t="s">
        <v>221</v>
      </c>
      <c r="O68" s="421" t="s">
        <v>185</v>
      </c>
      <c r="P68" s="421" t="s">
        <v>185</v>
      </c>
      <c r="Q68" s="423">
        <v>39</v>
      </c>
      <c r="R68" s="423">
        <v>176</v>
      </c>
      <c r="U68" s="421" t="s">
        <v>199</v>
      </c>
      <c r="V68" s="421" t="s">
        <v>12</v>
      </c>
    </row>
    <row r="69" spans="1:22" x14ac:dyDescent="0.25">
      <c r="A69" s="421" t="s">
        <v>529</v>
      </c>
      <c r="B69" s="421" t="s">
        <v>112</v>
      </c>
      <c r="G69" s="421" t="s">
        <v>145</v>
      </c>
      <c r="H69" s="421" t="s">
        <v>143</v>
      </c>
      <c r="I69" s="421" t="s">
        <v>502</v>
      </c>
      <c r="J69" s="423">
        <v>11</v>
      </c>
      <c r="M69" s="421" t="s">
        <v>150</v>
      </c>
      <c r="N69" s="421" t="s">
        <v>152</v>
      </c>
      <c r="O69" s="421" t="s">
        <v>151</v>
      </c>
      <c r="P69" s="421" t="s">
        <v>151</v>
      </c>
      <c r="Q69" s="423">
        <v>221</v>
      </c>
      <c r="R69" s="423">
        <v>1003</v>
      </c>
      <c r="U69" s="421" t="s">
        <v>220</v>
      </c>
      <c r="V69" s="421" t="s">
        <v>12</v>
      </c>
    </row>
    <row r="70" spans="1:22" x14ac:dyDescent="0.25">
      <c r="A70" s="421" t="s">
        <v>529</v>
      </c>
      <c r="B70" s="421" t="s">
        <v>114</v>
      </c>
      <c r="G70" s="421" t="s">
        <v>518</v>
      </c>
      <c r="H70" s="421" t="s">
        <v>519</v>
      </c>
      <c r="I70" s="421" t="s">
        <v>845</v>
      </c>
      <c r="J70" s="423">
        <v>0</v>
      </c>
      <c r="M70" s="421" t="s">
        <v>305</v>
      </c>
      <c r="N70" s="421" t="s">
        <v>306</v>
      </c>
      <c r="O70" s="421" t="s">
        <v>1185</v>
      </c>
      <c r="P70" s="421" t="s">
        <v>302</v>
      </c>
      <c r="Q70" s="423">
        <v>86</v>
      </c>
      <c r="R70" s="423">
        <v>309</v>
      </c>
      <c r="U70" s="421" t="s">
        <v>150</v>
      </c>
      <c r="V70" s="421" t="s">
        <v>556</v>
      </c>
    </row>
    <row r="71" spans="1:22" x14ac:dyDescent="0.25">
      <c r="A71" s="421" t="s">
        <v>529</v>
      </c>
      <c r="B71" s="421" t="s">
        <v>118</v>
      </c>
      <c r="G71" s="421" t="s">
        <v>1252</v>
      </c>
      <c r="H71" s="421" t="s">
        <v>314</v>
      </c>
      <c r="I71" s="421" t="s">
        <v>845</v>
      </c>
      <c r="J71" s="423">
        <v>0</v>
      </c>
      <c r="M71" s="421" t="s">
        <v>307</v>
      </c>
      <c r="N71" s="421" t="s">
        <v>308</v>
      </c>
      <c r="O71" s="421" t="s">
        <v>1185</v>
      </c>
      <c r="P71" s="421" t="s">
        <v>302</v>
      </c>
      <c r="Q71" s="423">
        <v>41</v>
      </c>
      <c r="R71" s="423">
        <v>152</v>
      </c>
      <c r="U71" s="421" t="s">
        <v>305</v>
      </c>
      <c r="V71" s="421" t="s">
        <v>556</v>
      </c>
    </row>
    <row r="72" spans="1:22" x14ac:dyDescent="0.25">
      <c r="A72" s="421" t="s">
        <v>529</v>
      </c>
      <c r="B72" s="421" t="s">
        <v>122</v>
      </c>
      <c r="G72" s="421" t="s">
        <v>340</v>
      </c>
      <c r="H72" s="421" t="s">
        <v>339</v>
      </c>
      <c r="I72" s="421" t="s">
        <v>502</v>
      </c>
      <c r="J72" s="423">
        <v>355</v>
      </c>
      <c r="M72" s="421" t="s">
        <v>222</v>
      </c>
      <c r="N72" s="421" t="s">
        <v>223</v>
      </c>
      <c r="O72" s="421" t="s">
        <v>185</v>
      </c>
      <c r="P72" s="421" t="s">
        <v>185</v>
      </c>
      <c r="Q72" s="423">
        <v>124</v>
      </c>
      <c r="R72" s="423">
        <v>544</v>
      </c>
      <c r="U72" s="421" t="s">
        <v>307</v>
      </c>
      <c r="V72" s="421" t="s">
        <v>556</v>
      </c>
    </row>
    <row r="73" spans="1:22" x14ac:dyDescent="0.25">
      <c r="A73" s="421" t="s">
        <v>529</v>
      </c>
      <c r="B73" s="421" t="s">
        <v>124</v>
      </c>
      <c r="G73" s="421" t="s">
        <v>34</v>
      </c>
      <c r="H73" s="421" t="s">
        <v>33</v>
      </c>
      <c r="I73" s="421" t="s">
        <v>502</v>
      </c>
      <c r="J73" s="423"/>
      <c r="M73" s="421" t="s">
        <v>189</v>
      </c>
      <c r="N73" s="421" t="s">
        <v>190</v>
      </c>
      <c r="O73" s="421" t="s">
        <v>185</v>
      </c>
      <c r="P73" s="421" t="s">
        <v>185</v>
      </c>
      <c r="Q73" s="423">
        <v>190</v>
      </c>
      <c r="R73" s="423">
        <v>1021</v>
      </c>
      <c r="U73" s="421" t="s">
        <v>222</v>
      </c>
      <c r="V73" s="421" t="s">
        <v>556</v>
      </c>
    </row>
    <row r="74" spans="1:22" x14ac:dyDescent="0.25">
      <c r="A74" s="421" t="s">
        <v>529</v>
      </c>
      <c r="B74" s="421" t="s">
        <v>96</v>
      </c>
      <c r="G74" s="421" t="s">
        <v>198</v>
      </c>
      <c r="H74" s="421" t="s">
        <v>197</v>
      </c>
      <c r="I74" s="421" t="s">
        <v>502</v>
      </c>
      <c r="J74" s="423">
        <v>545</v>
      </c>
      <c r="M74" s="421" t="s">
        <v>184</v>
      </c>
      <c r="N74" s="421" t="s">
        <v>186</v>
      </c>
      <c r="O74" s="421" t="s">
        <v>185</v>
      </c>
      <c r="P74" s="421" t="s">
        <v>185</v>
      </c>
      <c r="Q74" s="423">
        <v>36</v>
      </c>
      <c r="R74" s="423">
        <v>214</v>
      </c>
      <c r="U74" s="421" t="s">
        <v>189</v>
      </c>
      <c r="V74" s="421" t="s">
        <v>556</v>
      </c>
    </row>
    <row r="75" spans="1:22" x14ac:dyDescent="0.25">
      <c r="A75" s="421" t="s">
        <v>529</v>
      </c>
      <c r="B75" s="421" t="s">
        <v>132</v>
      </c>
      <c r="G75" s="421" t="s">
        <v>304</v>
      </c>
      <c r="H75" s="421" t="s">
        <v>303</v>
      </c>
      <c r="I75" s="421" t="s">
        <v>502</v>
      </c>
      <c r="J75" s="423">
        <v>375</v>
      </c>
      <c r="M75" s="421" t="s">
        <v>228</v>
      </c>
      <c r="N75" s="421" t="s">
        <v>229</v>
      </c>
      <c r="O75" s="421" t="s">
        <v>185</v>
      </c>
      <c r="P75" s="421" t="s">
        <v>185</v>
      </c>
      <c r="Q75" s="423">
        <v>50</v>
      </c>
      <c r="R75" s="423">
        <v>308</v>
      </c>
      <c r="U75" s="421" t="s">
        <v>184</v>
      </c>
      <c r="V75" s="421" t="s">
        <v>556</v>
      </c>
    </row>
    <row r="76" spans="1:22" x14ac:dyDescent="0.25">
      <c r="A76" s="421" t="s">
        <v>529</v>
      </c>
      <c r="B76" s="421" t="s">
        <v>134</v>
      </c>
      <c r="G76" s="421" t="s">
        <v>35</v>
      </c>
      <c r="H76" s="421" t="s">
        <v>362</v>
      </c>
      <c r="I76" s="421" t="s">
        <v>845</v>
      </c>
      <c r="J76" s="423">
        <v>0</v>
      </c>
      <c r="M76" s="421" t="s">
        <v>224</v>
      </c>
      <c r="N76" s="421" t="s">
        <v>225</v>
      </c>
      <c r="O76" s="421" t="s">
        <v>185</v>
      </c>
      <c r="P76" s="421" t="s">
        <v>185</v>
      </c>
      <c r="Q76" s="423">
        <v>39</v>
      </c>
      <c r="R76" s="423">
        <v>249</v>
      </c>
      <c r="U76" s="421" t="s">
        <v>228</v>
      </c>
      <c r="V76" s="421" t="s">
        <v>556</v>
      </c>
    </row>
    <row r="77" spans="1:22" x14ac:dyDescent="0.25">
      <c r="A77" s="421" t="s">
        <v>529</v>
      </c>
      <c r="B77" s="421" t="s">
        <v>64</v>
      </c>
      <c r="G77" s="421" t="s">
        <v>240</v>
      </c>
      <c r="H77" s="421" t="s">
        <v>239</v>
      </c>
      <c r="I77" s="421" t="s">
        <v>502</v>
      </c>
      <c r="J77" s="423">
        <v>96</v>
      </c>
      <c r="M77" s="421" t="s">
        <v>143</v>
      </c>
      <c r="N77" s="421" t="s">
        <v>145</v>
      </c>
      <c r="O77" s="421" t="s">
        <v>1185</v>
      </c>
      <c r="P77" s="421" t="s">
        <v>144</v>
      </c>
      <c r="Q77" s="423">
        <v>11</v>
      </c>
      <c r="R77" s="423">
        <v>17</v>
      </c>
      <c r="U77" s="421" t="s">
        <v>224</v>
      </c>
      <c r="V77" s="421" t="s">
        <v>556</v>
      </c>
    </row>
    <row r="78" spans="1:22" x14ac:dyDescent="0.25">
      <c r="A78" s="421" t="s">
        <v>529</v>
      </c>
      <c r="B78" s="421" t="s">
        <v>126</v>
      </c>
      <c r="G78" s="421" t="s">
        <v>285</v>
      </c>
      <c r="H78" s="421" t="s">
        <v>284</v>
      </c>
      <c r="I78" s="421" t="s">
        <v>502</v>
      </c>
      <c r="J78" s="423">
        <v>138</v>
      </c>
      <c r="M78" s="421" t="s">
        <v>299</v>
      </c>
      <c r="N78" s="421" t="s">
        <v>301</v>
      </c>
      <c r="O78" s="421" t="s">
        <v>1185</v>
      </c>
      <c r="P78" s="421" t="s">
        <v>300</v>
      </c>
      <c r="Q78" s="423">
        <v>14</v>
      </c>
      <c r="R78" s="423">
        <v>64</v>
      </c>
      <c r="U78" s="421" t="s">
        <v>143</v>
      </c>
      <c r="V78" s="421" t="s">
        <v>556</v>
      </c>
    </row>
    <row r="79" spans="1:22" x14ac:dyDescent="0.25">
      <c r="A79" s="421" t="s">
        <v>529</v>
      </c>
      <c r="B79" s="421" t="s">
        <v>74</v>
      </c>
      <c r="G79" s="421" t="s">
        <v>365</v>
      </c>
      <c r="H79" s="421" t="s">
        <v>378</v>
      </c>
      <c r="I79" s="421" t="s">
        <v>502</v>
      </c>
      <c r="J79" s="423">
        <v>143</v>
      </c>
      <c r="M79" s="421" t="s">
        <v>175</v>
      </c>
      <c r="N79" s="421" t="s">
        <v>176</v>
      </c>
      <c r="O79" s="421" t="s">
        <v>1185</v>
      </c>
      <c r="P79" s="421" t="s">
        <v>173</v>
      </c>
      <c r="Q79" s="423">
        <v>17</v>
      </c>
      <c r="R79" s="423">
        <v>77</v>
      </c>
      <c r="U79" s="421" t="s">
        <v>299</v>
      </c>
      <c r="V79" s="421" t="s">
        <v>12</v>
      </c>
    </row>
    <row r="80" spans="1:22" x14ac:dyDescent="0.25">
      <c r="A80" s="421" t="s">
        <v>529</v>
      </c>
      <c r="B80" s="421" t="s">
        <v>140</v>
      </c>
      <c r="G80" s="421" t="s">
        <v>90</v>
      </c>
      <c r="H80" s="421" t="s">
        <v>89</v>
      </c>
      <c r="I80" s="421" t="s">
        <v>502</v>
      </c>
      <c r="J80" s="423">
        <v>25</v>
      </c>
      <c r="M80" s="421" t="s">
        <v>172</v>
      </c>
      <c r="N80" s="421" t="s">
        <v>174</v>
      </c>
      <c r="O80" s="421" t="s">
        <v>1185</v>
      </c>
      <c r="P80" s="421" t="s">
        <v>173</v>
      </c>
      <c r="Q80" s="423">
        <v>13</v>
      </c>
      <c r="R80" s="423">
        <v>64</v>
      </c>
      <c r="U80" s="421" t="s">
        <v>175</v>
      </c>
      <c r="V80" s="421" t="s">
        <v>556</v>
      </c>
    </row>
    <row r="81" spans="1:22" x14ac:dyDescent="0.25">
      <c r="A81" s="421" t="s">
        <v>529</v>
      </c>
      <c r="B81" s="421" t="s">
        <v>516</v>
      </c>
      <c r="G81" s="421" t="s">
        <v>92</v>
      </c>
      <c r="H81" s="421" t="s">
        <v>91</v>
      </c>
      <c r="I81" s="421" t="s">
        <v>502</v>
      </c>
      <c r="J81" s="423">
        <v>15</v>
      </c>
      <c r="M81" s="421" t="s">
        <v>177</v>
      </c>
      <c r="N81" s="421" t="s">
        <v>178</v>
      </c>
      <c r="O81" s="421" t="s">
        <v>1185</v>
      </c>
      <c r="P81" s="421" t="s">
        <v>173</v>
      </c>
      <c r="Q81" s="423">
        <v>12</v>
      </c>
      <c r="R81" s="423">
        <v>42</v>
      </c>
      <c r="U81" s="421" t="s">
        <v>172</v>
      </c>
      <c r="V81" s="421" t="s">
        <v>556</v>
      </c>
    </row>
    <row r="82" spans="1:22" x14ac:dyDescent="0.25">
      <c r="A82" s="421" t="s">
        <v>529</v>
      </c>
      <c r="B82" s="421" t="s">
        <v>1068</v>
      </c>
      <c r="G82" s="421" t="s">
        <v>18</v>
      </c>
      <c r="H82" s="421" t="s">
        <v>17</v>
      </c>
      <c r="I82" s="421" t="s">
        <v>502</v>
      </c>
      <c r="J82" s="423">
        <v>116</v>
      </c>
      <c r="M82" s="421" t="s">
        <v>179</v>
      </c>
      <c r="N82" s="421" t="s">
        <v>181</v>
      </c>
      <c r="O82" s="421" t="s">
        <v>1185</v>
      </c>
      <c r="P82" s="421" t="s">
        <v>180</v>
      </c>
      <c r="Q82" s="423">
        <v>12</v>
      </c>
      <c r="R82" s="423">
        <v>55</v>
      </c>
      <c r="U82" s="421" t="s">
        <v>177</v>
      </c>
      <c r="V82" s="421" t="s">
        <v>556</v>
      </c>
    </row>
    <row r="83" spans="1:22" x14ac:dyDescent="0.25">
      <c r="A83" s="421" t="s">
        <v>529</v>
      </c>
      <c r="B83" s="421" t="s">
        <v>1123</v>
      </c>
      <c r="G83" s="421" t="s">
        <v>186</v>
      </c>
      <c r="H83" s="421" t="s">
        <v>184</v>
      </c>
      <c r="I83" s="421" t="s">
        <v>502</v>
      </c>
      <c r="J83" s="423">
        <v>36</v>
      </c>
      <c r="M83" s="421" t="s">
        <v>182</v>
      </c>
      <c r="N83" s="421" t="s">
        <v>183</v>
      </c>
      <c r="O83" s="421" t="s">
        <v>1185</v>
      </c>
      <c r="P83" s="421" t="s">
        <v>180</v>
      </c>
      <c r="Q83" s="423">
        <v>0</v>
      </c>
      <c r="R83" s="423">
        <v>0</v>
      </c>
      <c r="U83" s="421" t="s">
        <v>179</v>
      </c>
      <c r="V83" s="421" t="s">
        <v>556</v>
      </c>
    </row>
    <row r="84" spans="1:22" x14ac:dyDescent="0.25">
      <c r="A84" s="421" t="s">
        <v>781</v>
      </c>
      <c r="B84" s="421" t="s">
        <v>596</v>
      </c>
      <c r="G84" s="421" t="s">
        <v>223</v>
      </c>
      <c r="H84" s="421" t="s">
        <v>222</v>
      </c>
      <c r="I84" s="421" t="s">
        <v>502</v>
      </c>
      <c r="J84" s="423">
        <v>124</v>
      </c>
      <c r="M84" s="421" t="s">
        <v>109</v>
      </c>
      <c r="N84" s="421" t="s">
        <v>110</v>
      </c>
      <c r="O84" s="421" t="s">
        <v>529</v>
      </c>
      <c r="P84" s="421" t="s">
        <v>529</v>
      </c>
      <c r="Q84" s="423">
        <v>0</v>
      </c>
      <c r="R84" s="423">
        <v>0</v>
      </c>
      <c r="U84" s="421" t="s">
        <v>182</v>
      </c>
      <c r="V84" s="421" t="s">
        <v>556</v>
      </c>
    </row>
    <row r="85" spans="1:22" x14ac:dyDescent="0.25">
      <c r="A85" s="421" t="s">
        <v>781</v>
      </c>
      <c r="B85" s="421" t="s">
        <v>1279</v>
      </c>
      <c r="G85" s="421" t="s">
        <v>190</v>
      </c>
      <c r="H85" s="421" t="s">
        <v>189</v>
      </c>
      <c r="I85" s="421" t="s">
        <v>502</v>
      </c>
      <c r="J85" s="423">
        <v>190</v>
      </c>
      <c r="M85" s="421" t="s">
        <v>111</v>
      </c>
      <c r="N85" s="421" t="s">
        <v>112</v>
      </c>
      <c r="O85" s="421" t="s">
        <v>529</v>
      </c>
      <c r="P85" s="421" t="s">
        <v>529</v>
      </c>
      <c r="Q85" s="423">
        <v>0</v>
      </c>
      <c r="R85" s="423">
        <v>0</v>
      </c>
      <c r="U85" s="421" t="s">
        <v>109</v>
      </c>
      <c r="V85" s="421" t="s">
        <v>556</v>
      </c>
    </row>
    <row r="86" spans="1:22" x14ac:dyDescent="0.25">
      <c r="A86" s="421" t="s">
        <v>363</v>
      </c>
      <c r="B86" s="421" t="s">
        <v>35</v>
      </c>
      <c r="G86" s="421" t="s">
        <v>158</v>
      </c>
      <c r="H86" s="421" t="s">
        <v>157</v>
      </c>
      <c r="I86" s="421" t="s">
        <v>845</v>
      </c>
      <c r="J86" s="423">
        <v>0</v>
      </c>
      <c r="M86" s="421" t="s">
        <v>85</v>
      </c>
      <c r="N86" s="421" t="s">
        <v>86</v>
      </c>
      <c r="O86" s="421" t="s">
        <v>529</v>
      </c>
      <c r="P86" s="421" t="s">
        <v>529</v>
      </c>
      <c r="Q86" s="423">
        <v>0</v>
      </c>
      <c r="R86" s="423">
        <v>0</v>
      </c>
      <c r="U86" s="421" t="s">
        <v>111</v>
      </c>
      <c r="V86" s="421" t="s">
        <v>556</v>
      </c>
    </row>
    <row r="87" spans="1:22" x14ac:dyDescent="0.25">
      <c r="A87" s="421" t="s">
        <v>144</v>
      </c>
      <c r="B87" s="421" t="s">
        <v>145</v>
      </c>
      <c r="G87" s="421" t="s">
        <v>1264</v>
      </c>
      <c r="H87" s="421" t="s">
        <v>1263</v>
      </c>
      <c r="I87" s="421" t="s">
        <v>502</v>
      </c>
      <c r="J87" s="423">
        <v>59</v>
      </c>
      <c r="M87" s="421" t="s">
        <v>83</v>
      </c>
      <c r="N87" s="421" t="s">
        <v>84</v>
      </c>
      <c r="O87" s="421" t="s">
        <v>529</v>
      </c>
      <c r="P87" s="421" t="s">
        <v>529</v>
      </c>
      <c r="Q87" s="423">
        <v>0</v>
      </c>
      <c r="R87" s="423">
        <v>0</v>
      </c>
      <c r="U87" s="421" t="s">
        <v>85</v>
      </c>
      <c r="V87" s="421" t="s">
        <v>556</v>
      </c>
    </row>
    <row r="88" spans="1:22" x14ac:dyDescent="0.25">
      <c r="A88" s="421" t="s">
        <v>146</v>
      </c>
      <c r="B88" s="421" t="s">
        <v>933</v>
      </c>
      <c r="G88" s="421" t="s">
        <v>1272</v>
      </c>
      <c r="H88" s="421" t="s">
        <v>1275</v>
      </c>
      <c r="I88" s="421" t="s">
        <v>502</v>
      </c>
      <c r="J88" s="423">
        <v>9</v>
      </c>
      <c r="M88" s="421" t="s">
        <v>69</v>
      </c>
      <c r="N88" s="421" t="s">
        <v>70</v>
      </c>
      <c r="O88" s="421" t="s">
        <v>529</v>
      </c>
      <c r="P88" s="421" t="s">
        <v>529</v>
      </c>
      <c r="Q88" s="423">
        <v>0</v>
      </c>
      <c r="R88" s="423">
        <v>0</v>
      </c>
      <c r="U88" s="421" t="s">
        <v>83</v>
      </c>
      <c r="V88" s="421" t="s">
        <v>556</v>
      </c>
    </row>
    <row r="89" spans="1:22" x14ac:dyDescent="0.25">
      <c r="A89" s="421" t="s">
        <v>146</v>
      </c>
      <c r="B89" s="421" t="s">
        <v>935</v>
      </c>
      <c r="G89" s="421" t="s">
        <v>94</v>
      </c>
      <c r="H89" s="421" t="s">
        <v>93</v>
      </c>
      <c r="I89" s="421" t="s">
        <v>845</v>
      </c>
      <c r="J89" s="423">
        <v>0</v>
      </c>
      <c r="M89" s="421" t="s">
        <v>103</v>
      </c>
      <c r="N89" s="421" t="s">
        <v>104</v>
      </c>
      <c r="O89" s="421" t="s">
        <v>529</v>
      </c>
      <c r="P89" s="421" t="s">
        <v>529</v>
      </c>
      <c r="Q89" s="423">
        <v>0</v>
      </c>
      <c r="R89" s="423">
        <v>0</v>
      </c>
      <c r="U89" s="421" t="s">
        <v>69</v>
      </c>
      <c r="V89" s="421" t="s">
        <v>556</v>
      </c>
    </row>
    <row r="90" spans="1:22" x14ac:dyDescent="0.25">
      <c r="A90" s="421" t="s">
        <v>146</v>
      </c>
      <c r="B90" s="421" t="s">
        <v>372</v>
      </c>
      <c r="G90" s="421" t="s">
        <v>897</v>
      </c>
      <c r="H90" s="421" t="s">
        <v>898</v>
      </c>
      <c r="I90" s="421" t="s">
        <v>845</v>
      </c>
      <c r="J90" s="423">
        <v>0</v>
      </c>
      <c r="M90" s="421" t="s">
        <v>67</v>
      </c>
      <c r="N90" s="421" t="s">
        <v>68</v>
      </c>
      <c r="O90" s="421" t="s">
        <v>529</v>
      </c>
      <c r="P90" s="421" t="s">
        <v>529</v>
      </c>
      <c r="Q90" s="423">
        <v>0</v>
      </c>
      <c r="R90" s="423">
        <v>0</v>
      </c>
      <c r="U90" s="421" t="s">
        <v>103</v>
      </c>
      <c r="V90" s="421" t="s">
        <v>556</v>
      </c>
    </row>
    <row r="91" spans="1:22" x14ac:dyDescent="0.25">
      <c r="A91" s="421" t="s">
        <v>146</v>
      </c>
      <c r="B91" s="421" t="s">
        <v>369</v>
      </c>
      <c r="G91" s="421" t="s">
        <v>320</v>
      </c>
      <c r="H91" s="421" t="s">
        <v>319</v>
      </c>
      <c r="I91" s="421" t="s">
        <v>502</v>
      </c>
      <c r="J91" s="423">
        <v>22</v>
      </c>
      <c r="M91" s="421" t="s">
        <v>99</v>
      </c>
      <c r="N91" s="421" t="s">
        <v>100</v>
      </c>
      <c r="O91" s="421" t="s">
        <v>529</v>
      </c>
      <c r="P91" s="421" t="s">
        <v>529</v>
      </c>
      <c r="Q91" s="423">
        <v>5</v>
      </c>
      <c r="R91" s="423">
        <v>26</v>
      </c>
      <c r="U91" s="421" t="s">
        <v>67</v>
      </c>
      <c r="V91" s="421" t="s">
        <v>556</v>
      </c>
    </row>
    <row r="92" spans="1:22" x14ac:dyDescent="0.25">
      <c r="A92" s="421" t="s">
        <v>146</v>
      </c>
      <c r="B92" s="421" t="s">
        <v>370</v>
      </c>
      <c r="G92" s="421" t="s">
        <v>322</v>
      </c>
      <c r="H92" s="421" t="s">
        <v>321</v>
      </c>
      <c r="I92" s="421" t="s">
        <v>502</v>
      </c>
      <c r="J92" s="423">
        <v>586</v>
      </c>
      <c r="M92" s="421" t="s">
        <v>49</v>
      </c>
      <c r="N92" s="421" t="s">
        <v>50</v>
      </c>
      <c r="O92" s="421" t="s">
        <v>529</v>
      </c>
      <c r="P92" s="421" t="s">
        <v>529</v>
      </c>
      <c r="Q92" s="423">
        <v>0</v>
      </c>
      <c r="R92" s="423">
        <v>0</v>
      </c>
      <c r="U92" s="421" t="s">
        <v>99</v>
      </c>
      <c r="V92" s="421" t="s">
        <v>556</v>
      </c>
    </row>
    <row r="93" spans="1:22" x14ac:dyDescent="0.25">
      <c r="A93" s="421" t="s">
        <v>146</v>
      </c>
      <c r="B93" s="421" t="s">
        <v>368</v>
      </c>
      <c r="G93" s="421" t="s">
        <v>200</v>
      </c>
      <c r="H93" s="421" t="s">
        <v>199</v>
      </c>
      <c r="I93" s="421" t="s">
        <v>502</v>
      </c>
      <c r="J93" s="423">
        <v>2</v>
      </c>
      <c r="M93" s="421" t="s">
        <v>65</v>
      </c>
      <c r="N93" s="421" t="s">
        <v>66</v>
      </c>
      <c r="O93" s="421" t="s">
        <v>529</v>
      </c>
      <c r="P93" s="421" t="s">
        <v>529</v>
      </c>
      <c r="Q93" s="423">
        <v>0</v>
      </c>
      <c r="R93" s="423">
        <v>0</v>
      </c>
      <c r="U93" s="421" t="s">
        <v>49</v>
      </c>
      <c r="V93" s="421" t="s">
        <v>556</v>
      </c>
    </row>
    <row r="94" spans="1:22" x14ac:dyDescent="0.25">
      <c r="A94" s="421" t="s">
        <v>146</v>
      </c>
      <c r="B94" s="421" t="s">
        <v>371</v>
      </c>
      <c r="G94" s="421" t="s">
        <v>328</v>
      </c>
      <c r="H94" s="421" t="s">
        <v>327</v>
      </c>
      <c r="I94" s="421" t="s">
        <v>502</v>
      </c>
      <c r="J94" s="423">
        <v>143</v>
      </c>
      <c r="M94" s="421" t="s">
        <v>53</v>
      </c>
      <c r="N94" s="421" t="s">
        <v>54</v>
      </c>
      <c r="O94" s="421" t="s">
        <v>529</v>
      </c>
      <c r="P94" s="421" t="s">
        <v>529</v>
      </c>
      <c r="Q94" s="423">
        <v>0</v>
      </c>
      <c r="R94" s="423">
        <v>0</v>
      </c>
      <c r="U94" s="421" t="s">
        <v>65</v>
      </c>
      <c r="V94" s="421" t="s">
        <v>556</v>
      </c>
    </row>
    <row r="95" spans="1:22" x14ac:dyDescent="0.25">
      <c r="A95" s="421" t="s">
        <v>146</v>
      </c>
      <c r="B95" s="421" t="s">
        <v>367</v>
      </c>
      <c r="G95" s="421" t="s">
        <v>330</v>
      </c>
      <c r="H95" s="421" t="s">
        <v>329</v>
      </c>
      <c r="I95" s="421" t="s">
        <v>502</v>
      </c>
      <c r="J95" s="423">
        <v>222</v>
      </c>
      <c r="M95" s="421" t="s">
        <v>115</v>
      </c>
      <c r="N95" s="421" t="s">
        <v>116</v>
      </c>
      <c r="O95" s="421" t="s">
        <v>529</v>
      </c>
      <c r="P95" s="421" t="s">
        <v>529</v>
      </c>
      <c r="Q95" s="423">
        <v>0</v>
      </c>
      <c r="R95" s="423">
        <v>0</v>
      </c>
      <c r="U95" s="421" t="s">
        <v>53</v>
      </c>
      <c r="V95" s="421" t="s">
        <v>556</v>
      </c>
    </row>
    <row r="96" spans="1:22" x14ac:dyDescent="0.25">
      <c r="A96" s="421" t="s">
        <v>146</v>
      </c>
      <c r="B96" s="421" t="s">
        <v>149</v>
      </c>
      <c r="G96" s="421" t="s">
        <v>324</v>
      </c>
      <c r="H96" s="421" t="s">
        <v>323</v>
      </c>
      <c r="I96" s="421" t="s">
        <v>502</v>
      </c>
      <c r="J96" s="423">
        <v>396</v>
      </c>
      <c r="M96" s="421" t="s">
        <v>79</v>
      </c>
      <c r="N96" s="421" t="s">
        <v>80</v>
      </c>
      <c r="O96" s="421" t="s">
        <v>529</v>
      </c>
      <c r="P96" s="421" t="s">
        <v>529</v>
      </c>
      <c r="Q96" s="423">
        <v>0</v>
      </c>
      <c r="R96" s="423">
        <v>0</v>
      </c>
      <c r="U96" s="421" t="s">
        <v>115</v>
      </c>
      <c r="V96" s="421" t="s">
        <v>556</v>
      </c>
    </row>
    <row r="97" spans="1:22" x14ac:dyDescent="0.25">
      <c r="A97" s="421" t="s">
        <v>146</v>
      </c>
      <c r="B97" s="421" t="s">
        <v>373</v>
      </c>
      <c r="G97" s="421" t="s">
        <v>326</v>
      </c>
      <c r="H97" s="421" t="s">
        <v>325</v>
      </c>
      <c r="I97" s="421" t="s">
        <v>502</v>
      </c>
      <c r="J97" s="423">
        <v>46</v>
      </c>
      <c r="M97" s="421" t="s">
        <v>137</v>
      </c>
      <c r="N97" s="421" t="s">
        <v>138</v>
      </c>
      <c r="O97" s="421" t="s">
        <v>529</v>
      </c>
      <c r="P97" s="421" t="s">
        <v>529</v>
      </c>
      <c r="Q97" s="423">
        <v>0</v>
      </c>
      <c r="R97" s="423">
        <v>0</v>
      </c>
      <c r="U97" s="421" t="s">
        <v>79</v>
      </c>
      <c r="V97" s="421" t="s">
        <v>556</v>
      </c>
    </row>
    <row r="98" spans="1:22" x14ac:dyDescent="0.25">
      <c r="A98" s="421" t="s">
        <v>146</v>
      </c>
      <c r="B98" s="421" t="s">
        <v>1105</v>
      </c>
      <c r="G98" s="421" t="s">
        <v>887</v>
      </c>
      <c r="H98" s="421" t="s">
        <v>888</v>
      </c>
      <c r="I98" s="421" t="s">
        <v>502</v>
      </c>
      <c r="J98" s="423">
        <v>365</v>
      </c>
      <c r="M98" s="421" t="s">
        <v>101</v>
      </c>
      <c r="N98" s="421" t="s">
        <v>102</v>
      </c>
      <c r="O98" s="421" t="s">
        <v>529</v>
      </c>
      <c r="P98" s="421" t="s">
        <v>529</v>
      </c>
      <c r="Q98" s="423">
        <v>0</v>
      </c>
      <c r="R98" s="423">
        <v>0</v>
      </c>
      <c r="U98" s="421" t="s">
        <v>137</v>
      </c>
      <c r="V98" s="421" t="s">
        <v>556</v>
      </c>
    </row>
    <row r="99" spans="1:22" x14ac:dyDescent="0.25">
      <c r="A99" s="421" t="s">
        <v>146</v>
      </c>
      <c r="B99" s="421" t="s">
        <v>1322</v>
      </c>
      <c r="G99" s="421" t="s">
        <v>945</v>
      </c>
      <c r="H99" s="421" t="s">
        <v>944</v>
      </c>
      <c r="I99" s="421" t="s">
        <v>502</v>
      </c>
      <c r="J99" s="423">
        <v>123</v>
      </c>
      <c r="M99" s="421" t="s">
        <v>105</v>
      </c>
      <c r="N99" s="421" t="s">
        <v>106</v>
      </c>
      <c r="O99" s="421" t="s">
        <v>529</v>
      </c>
      <c r="P99" s="421" t="s">
        <v>529</v>
      </c>
      <c r="Q99" s="423">
        <v>0</v>
      </c>
      <c r="R99" s="423">
        <v>0</v>
      </c>
      <c r="U99" s="421" t="s">
        <v>101</v>
      </c>
      <c r="V99" s="421" t="s">
        <v>556</v>
      </c>
    </row>
    <row r="100" spans="1:22" x14ac:dyDescent="0.25">
      <c r="A100" s="421" t="s">
        <v>895</v>
      </c>
      <c r="B100" s="421" t="s">
        <v>897</v>
      </c>
      <c r="G100" s="421" t="s">
        <v>259</v>
      </c>
      <c r="H100" s="421" t="s">
        <v>258</v>
      </c>
      <c r="I100" s="421" t="s">
        <v>502</v>
      </c>
      <c r="J100" s="423">
        <v>60</v>
      </c>
      <c r="M100" s="421" t="s">
        <v>129</v>
      </c>
      <c r="N100" s="421" t="s">
        <v>130</v>
      </c>
      <c r="O100" s="421" t="s">
        <v>529</v>
      </c>
      <c r="P100" s="421" t="s">
        <v>529</v>
      </c>
      <c r="Q100" s="423">
        <v>0</v>
      </c>
      <c r="R100" s="423">
        <v>0</v>
      </c>
      <c r="U100" s="421" t="s">
        <v>105</v>
      </c>
      <c r="V100" s="421" t="s">
        <v>556</v>
      </c>
    </row>
    <row r="101" spans="1:22" x14ac:dyDescent="0.25">
      <c r="A101" s="421" t="s">
        <v>151</v>
      </c>
      <c r="B101" s="421" t="s">
        <v>884</v>
      </c>
      <c r="G101" s="421" t="s">
        <v>202</v>
      </c>
      <c r="H101" s="421" t="s">
        <v>201</v>
      </c>
      <c r="I101" s="421" t="s">
        <v>502</v>
      </c>
      <c r="J101" s="423">
        <v>261</v>
      </c>
      <c r="M101" s="421" t="s">
        <v>133</v>
      </c>
      <c r="N101" s="421" t="s">
        <v>134</v>
      </c>
      <c r="O101" s="421" t="s">
        <v>529</v>
      </c>
      <c r="P101" s="421" t="s">
        <v>529</v>
      </c>
      <c r="Q101" s="423">
        <v>0</v>
      </c>
      <c r="R101" s="423">
        <v>0</v>
      </c>
      <c r="U101" s="421" t="s">
        <v>129</v>
      </c>
      <c r="V101" s="421" t="s">
        <v>556</v>
      </c>
    </row>
    <row r="102" spans="1:22" x14ac:dyDescent="0.25">
      <c r="A102" s="421" t="s">
        <v>151</v>
      </c>
      <c r="B102" s="421" t="s">
        <v>879</v>
      </c>
      <c r="G102" s="421" t="s">
        <v>261</v>
      </c>
      <c r="H102" s="421" t="s">
        <v>260</v>
      </c>
      <c r="I102" s="421" t="s">
        <v>502</v>
      </c>
      <c r="J102" s="423">
        <v>101</v>
      </c>
      <c r="M102" s="421" t="s">
        <v>113</v>
      </c>
      <c r="N102" s="421" t="s">
        <v>114</v>
      </c>
      <c r="O102" s="421" t="s">
        <v>529</v>
      </c>
      <c r="P102" s="421" t="s">
        <v>529</v>
      </c>
      <c r="Q102" s="423">
        <v>0</v>
      </c>
      <c r="R102" s="423">
        <v>0</v>
      </c>
      <c r="U102" s="421" t="s">
        <v>133</v>
      </c>
      <c r="V102" s="421" t="s">
        <v>556</v>
      </c>
    </row>
    <row r="103" spans="1:22" x14ac:dyDescent="0.25">
      <c r="A103" s="421" t="s">
        <v>151</v>
      </c>
      <c r="B103" s="421" t="s">
        <v>880</v>
      </c>
      <c r="G103" s="421" t="s">
        <v>878</v>
      </c>
      <c r="H103" s="421" t="s">
        <v>872</v>
      </c>
      <c r="I103" s="421" t="s">
        <v>845</v>
      </c>
      <c r="J103" s="423">
        <v>0</v>
      </c>
      <c r="M103" s="421" t="s">
        <v>107</v>
      </c>
      <c r="N103" s="421" t="s">
        <v>108</v>
      </c>
      <c r="O103" s="421" t="s">
        <v>529</v>
      </c>
      <c r="P103" s="421" t="s">
        <v>529</v>
      </c>
      <c r="Q103" s="423">
        <v>53</v>
      </c>
      <c r="R103" s="423">
        <v>241</v>
      </c>
      <c r="U103" s="421" t="s">
        <v>113</v>
      </c>
      <c r="V103" s="421" t="s">
        <v>556</v>
      </c>
    </row>
    <row r="104" spans="1:22" x14ac:dyDescent="0.25">
      <c r="A104" s="421" t="s">
        <v>151</v>
      </c>
      <c r="B104" s="421" t="s">
        <v>188</v>
      </c>
      <c r="G104" s="421" t="s">
        <v>877</v>
      </c>
      <c r="H104" s="421" t="s">
        <v>876</v>
      </c>
      <c r="I104" s="421" t="s">
        <v>845</v>
      </c>
      <c r="J104" s="423">
        <v>0</v>
      </c>
      <c r="M104" s="421" t="s">
        <v>95</v>
      </c>
      <c r="N104" s="421" t="s">
        <v>96</v>
      </c>
      <c r="O104" s="421" t="s">
        <v>529</v>
      </c>
      <c r="P104" s="421" t="s">
        <v>529</v>
      </c>
      <c r="Q104" s="423">
        <v>0</v>
      </c>
      <c r="R104" s="423">
        <v>0</v>
      </c>
      <c r="U104" s="421" t="s">
        <v>107</v>
      </c>
      <c r="V104" s="421" t="s">
        <v>556</v>
      </c>
    </row>
    <row r="105" spans="1:22" x14ac:dyDescent="0.25">
      <c r="A105" s="421" t="s">
        <v>151</v>
      </c>
      <c r="B105" s="421" t="s">
        <v>12</v>
      </c>
      <c r="G105" s="421" t="s">
        <v>204</v>
      </c>
      <c r="H105" s="421" t="s">
        <v>203</v>
      </c>
      <c r="I105" s="421" t="s">
        <v>502</v>
      </c>
      <c r="J105" s="423">
        <v>28</v>
      </c>
      <c r="M105" s="421" t="s">
        <v>139</v>
      </c>
      <c r="N105" s="421" t="s">
        <v>140</v>
      </c>
      <c r="O105" s="421" t="s">
        <v>529</v>
      </c>
      <c r="P105" s="421" t="s">
        <v>529</v>
      </c>
      <c r="Q105" s="423">
        <v>19</v>
      </c>
      <c r="R105" s="423">
        <v>72</v>
      </c>
      <c r="U105" s="421" t="s">
        <v>95</v>
      </c>
      <c r="V105" s="421" t="s">
        <v>556</v>
      </c>
    </row>
    <row r="106" spans="1:22" x14ac:dyDescent="0.25">
      <c r="A106" s="421" t="s">
        <v>151</v>
      </c>
      <c r="B106" s="421" t="s">
        <v>886</v>
      </c>
      <c r="G106" s="421" t="s">
        <v>205</v>
      </c>
      <c r="H106" s="421" t="s">
        <v>393</v>
      </c>
      <c r="I106" s="421" t="s">
        <v>502</v>
      </c>
      <c r="J106" s="423"/>
      <c r="M106" s="421" t="s">
        <v>135</v>
      </c>
      <c r="N106" s="421" t="s">
        <v>136</v>
      </c>
      <c r="O106" s="421" t="s">
        <v>529</v>
      </c>
      <c r="P106" s="421" t="s">
        <v>529</v>
      </c>
      <c r="Q106" s="423">
        <v>0</v>
      </c>
      <c r="R106" s="423">
        <v>0</v>
      </c>
      <c r="U106" s="421" t="s">
        <v>139</v>
      </c>
      <c r="V106" s="421" t="s">
        <v>556</v>
      </c>
    </row>
    <row r="107" spans="1:22" x14ac:dyDescent="0.25">
      <c r="A107" s="421" t="s">
        <v>151</v>
      </c>
      <c r="B107" s="421" t="s">
        <v>518</v>
      </c>
      <c r="G107" s="421" t="s">
        <v>160</v>
      </c>
      <c r="H107" s="421" t="s">
        <v>159</v>
      </c>
      <c r="I107" s="421" t="s">
        <v>502</v>
      </c>
      <c r="J107" s="423">
        <v>107</v>
      </c>
      <c r="M107" s="421" t="s">
        <v>93</v>
      </c>
      <c r="N107" s="421" t="s">
        <v>94</v>
      </c>
      <c r="O107" s="421" t="s">
        <v>529</v>
      </c>
      <c r="P107" s="421" t="s">
        <v>529</v>
      </c>
      <c r="Q107" s="423">
        <v>0</v>
      </c>
      <c r="R107" s="423">
        <v>0</v>
      </c>
      <c r="U107" s="421" t="s">
        <v>135</v>
      </c>
      <c r="V107" s="421" t="s">
        <v>556</v>
      </c>
    </row>
    <row r="108" spans="1:22" x14ac:dyDescent="0.25">
      <c r="A108" s="421" t="s">
        <v>151</v>
      </c>
      <c r="B108" s="421" t="s">
        <v>198</v>
      </c>
      <c r="G108" s="421" t="s">
        <v>1098</v>
      </c>
      <c r="H108" s="421" t="s">
        <v>1099</v>
      </c>
      <c r="I108" s="421" t="s">
        <v>502</v>
      </c>
      <c r="J108" s="423">
        <v>113</v>
      </c>
      <c r="M108" s="421" t="s">
        <v>121</v>
      </c>
      <c r="N108" s="421" t="s">
        <v>122</v>
      </c>
      <c r="O108" s="421" t="s">
        <v>529</v>
      </c>
      <c r="P108" s="421" t="s">
        <v>529</v>
      </c>
      <c r="Q108" s="423">
        <v>0</v>
      </c>
      <c r="R108" s="423">
        <v>0</v>
      </c>
      <c r="U108" s="421" t="s">
        <v>93</v>
      </c>
      <c r="V108" s="421" t="s">
        <v>556</v>
      </c>
    </row>
    <row r="109" spans="1:22" x14ac:dyDescent="0.25">
      <c r="A109" s="421" t="s">
        <v>151</v>
      </c>
      <c r="B109" s="421" t="s">
        <v>158</v>
      </c>
      <c r="G109" s="421" t="s">
        <v>154</v>
      </c>
      <c r="H109" s="421" t="s">
        <v>153</v>
      </c>
      <c r="I109" s="421" t="s">
        <v>502</v>
      </c>
      <c r="J109" s="423">
        <v>458</v>
      </c>
      <c r="M109" s="421" t="s">
        <v>71</v>
      </c>
      <c r="N109" s="421" t="s">
        <v>72</v>
      </c>
      <c r="O109" s="421" t="s">
        <v>529</v>
      </c>
      <c r="P109" s="421" t="s">
        <v>529</v>
      </c>
      <c r="Q109" s="423">
        <v>6</v>
      </c>
      <c r="R109" s="423">
        <v>30</v>
      </c>
      <c r="U109" s="421" t="s">
        <v>121</v>
      </c>
      <c r="V109" s="421" t="s">
        <v>556</v>
      </c>
    </row>
    <row r="110" spans="1:22" x14ac:dyDescent="0.25">
      <c r="A110" s="421" t="s">
        <v>151</v>
      </c>
      <c r="B110" s="421" t="s">
        <v>887</v>
      </c>
      <c r="G110" s="421" t="s">
        <v>1064</v>
      </c>
      <c r="H110" s="421" t="s">
        <v>1065</v>
      </c>
      <c r="I110" s="421" t="s">
        <v>502</v>
      </c>
      <c r="J110" s="423">
        <v>123</v>
      </c>
      <c r="M110" s="421" t="s">
        <v>131</v>
      </c>
      <c r="N110" s="421" t="s">
        <v>132</v>
      </c>
      <c r="O110" s="421" t="s">
        <v>529</v>
      </c>
      <c r="P110" s="421" t="s">
        <v>529</v>
      </c>
      <c r="Q110" s="423">
        <v>0</v>
      </c>
      <c r="R110" s="423">
        <v>0</v>
      </c>
      <c r="U110" s="421" t="s">
        <v>71</v>
      </c>
      <c r="V110" s="421" t="s">
        <v>556</v>
      </c>
    </row>
    <row r="111" spans="1:22" x14ac:dyDescent="0.25">
      <c r="A111" s="421" t="s">
        <v>151</v>
      </c>
      <c r="B111" s="421" t="s">
        <v>878</v>
      </c>
      <c r="G111" s="421" t="s">
        <v>156</v>
      </c>
      <c r="H111" s="421" t="s">
        <v>155</v>
      </c>
      <c r="I111" s="421" t="s">
        <v>502</v>
      </c>
      <c r="J111" s="423">
        <v>175</v>
      </c>
      <c r="M111" s="421" t="s">
        <v>356</v>
      </c>
      <c r="N111" s="421" t="s">
        <v>1249</v>
      </c>
      <c r="O111" s="421" t="s">
        <v>310</v>
      </c>
      <c r="P111" s="421" t="s">
        <v>310</v>
      </c>
      <c r="Q111" s="423">
        <v>612</v>
      </c>
      <c r="R111" s="423">
        <v>2806</v>
      </c>
      <c r="U111" s="421" t="s">
        <v>131</v>
      </c>
      <c r="V111" s="421" t="s">
        <v>556</v>
      </c>
    </row>
    <row r="112" spans="1:22" x14ac:dyDescent="0.25">
      <c r="A112" s="421" t="s">
        <v>151</v>
      </c>
      <c r="B112" s="421" t="s">
        <v>877</v>
      </c>
      <c r="G112" s="421" t="s">
        <v>332</v>
      </c>
      <c r="H112" s="421" t="s">
        <v>331</v>
      </c>
      <c r="I112" s="421" t="s">
        <v>845</v>
      </c>
      <c r="J112" s="423">
        <v>0</v>
      </c>
      <c r="M112" s="421" t="s">
        <v>333</v>
      </c>
      <c r="N112" s="421" t="s">
        <v>334</v>
      </c>
      <c r="O112" s="421" t="s">
        <v>310</v>
      </c>
      <c r="P112" s="421" t="s">
        <v>310</v>
      </c>
      <c r="Q112" s="423">
        <v>155</v>
      </c>
      <c r="R112" s="423">
        <v>665</v>
      </c>
      <c r="U112" s="421" t="s">
        <v>356</v>
      </c>
      <c r="V112" s="421" t="s">
        <v>556</v>
      </c>
    </row>
    <row r="113" spans="1:22" x14ac:dyDescent="0.25">
      <c r="A113" s="421" t="s">
        <v>151</v>
      </c>
      <c r="B113" s="421" t="s">
        <v>160</v>
      </c>
      <c r="G113" s="421" t="s">
        <v>207</v>
      </c>
      <c r="H113" s="421" t="s">
        <v>206</v>
      </c>
      <c r="I113" s="421" t="s">
        <v>845</v>
      </c>
      <c r="J113" s="423"/>
      <c r="M113" s="421" t="s">
        <v>357</v>
      </c>
      <c r="N113" s="421" t="s">
        <v>358</v>
      </c>
      <c r="O113" s="421" t="s">
        <v>310</v>
      </c>
      <c r="P113" s="421" t="s">
        <v>310</v>
      </c>
      <c r="Q113" s="423">
        <v>0</v>
      </c>
      <c r="R113" s="423">
        <v>0</v>
      </c>
      <c r="U113" s="421" t="s">
        <v>333</v>
      </c>
      <c r="V113" s="421" t="s">
        <v>556</v>
      </c>
    </row>
    <row r="114" spans="1:22" x14ac:dyDescent="0.25">
      <c r="A114" s="421" t="s">
        <v>151</v>
      </c>
      <c r="B114" s="421" t="s">
        <v>154</v>
      </c>
      <c r="G114" s="421" t="s">
        <v>167</v>
      </c>
      <c r="H114" s="421" t="s">
        <v>165</v>
      </c>
      <c r="I114" s="421" t="s">
        <v>502</v>
      </c>
      <c r="J114" s="423">
        <v>37</v>
      </c>
      <c r="M114" s="421" t="s">
        <v>335</v>
      </c>
      <c r="N114" s="421" t="s">
        <v>336</v>
      </c>
      <c r="O114" s="421" t="s">
        <v>310</v>
      </c>
      <c r="P114" s="421" t="s">
        <v>310</v>
      </c>
      <c r="Q114" s="423">
        <v>146</v>
      </c>
      <c r="R114" s="423">
        <v>1072</v>
      </c>
      <c r="U114" s="421" t="s">
        <v>357</v>
      </c>
      <c r="V114" s="421" t="s">
        <v>556</v>
      </c>
    </row>
    <row r="115" spans="1:22" x14ac:dyDescent="0.25">
      <c r="A115" s="421" t="s">
        <v>151</v>
      </c>
      <c r="B115" s="421" t="s">
        <v>156</v>
      </c>
      <c r="G115" s="421" t="s">
        <v>824</v>
      </c>
      <c r="H115" s="421" t="s">
        <v>825</v>
      </c>
      <c r="I115" s="421" t="s">
        <v>502</v>
      </c>
      <c r="J115" s="423">
        <v>31</v>
      </c>
      <c r="M115" s="421" t="s">
        <v>352</v>
      </c>
      <c r="N115" s="421" t="s">
        <v>353</v>
      </c>
      <c r="O115" s="421" t="s">
        <v>310</v>
      </c>
      <c r="P115" s="421" t="s">
        <v>310</v>
      </c>
      <c r="Q115" s="423">
        <v>1354</v>
      </c>
      <c r="R115" s="423">
        <v>6602</v>
      </c>
      <c r="U115" s="421" t="s">
        <v>335</v>
      </c>
      <c r="V115" s="421" t="s">
        <v>556</v>
      </c>
    </row>
    <row r="116" spans="1:22" x14ac:dyDescent="0.25">
      <c r="A116" s="421" t="s">
        <v>151</v>
      </c>
      <c r="B116" s="421" t="s">
        <v>152</v>
      </c>
      <c r="G116" s="421" t="s">
        <v>176</v>
      </c>
      <c r="H116" s="421" t="s">
        <v>175</v>
      </c>
      <c r="I116" s="421" t="s">
        <v>502</v>
      </c>
      <c r="J116" s="423">
        <v>17</v>
      </c>
      <c r="M116" s="421" t="s">
        <v>314</v>
      </c>
      <c r="N116" s="421" t="s">
        <v>1252</v>
      </c>
      <c r="O116" s="421" t="s">
        <v>310</v>
      </c>
      <c r="P116" s="421" t="s">
        <v>310</v>
      </c>
      <c r="Q116" s="423">
        <v>0</v>
      </c>
      <c r="R116" s="423">
        <v>0</v>
      </c>
      <c r="U116" s="421" t="s">
        <v>352</v>
      </c>
      <c r="V116" s="421" t="s">
        <v>556</v>
      </c>
    </row>
    <row r="117" spans="1:22" x14ac:dyDescent="0.25">
      <c r="A117" s="421" t="s">
        <v>151</v>
      </c>
      <c r="B117" s="421" t="s">
        <v>296</v>
      </c>
      <c r="G117" s="421" t="s">
        <v>152</v>
      </c>
      <c r="H117" s="421" t="s">
        <v>150</v>
      </c>
      <c r="I117" s="421" t="s">
        <v>502</v>
      </c>
      <c r="J117" s="423">
        <v>221</v>
      </c>
      <c r="M117" s="421" t="s">
        <v>331</v>
      </c>
      <c r="N117" s="421" t="s">
        <v>332</v>
      </c>
      <c r="O117" s="421" t="s">
        <v>310</v>
      </c>
      <c r="P117" s="421" t="s">
        <v>310</v>
      </c>
      <c r="Q117" s="423">
        <v>0</v>
      </c>
      <c r="R117" s="423">
        <v>0</v>
      </c>
      <c r="U117" s="421" t="s">
        <v>314</v>
      </c>
      <c r="V117" s="421" t="s">
        <v>556</v>
      </c>
    </row>
    <row r="118" spans="1:22" x14ac:dyDescent="0.25">
      <c r="A118" s="421" t="s">
        <v>151</v>
      </c>
      <c r="B118" s="421" t="s">
        <v>520</v>
      </c>
      <c r="G118" s="421" t="s">
        <v>54</v>
      </c>
      <c r="H118" s="421" t="s">
        <v>53</v>
      </c>
      <c r="I118" s="421" t="s">
        <v>845</v>
      </c>
      <c r="J118" s="423">
        <v>0</v>
      </c>
      <c r="M118" s="421" t="s">
        <v>321</v>
      </c>
      <c r="N118" s="421" t="s">
        <v>322</v>
      </c>
      <c r="O118" s="421" t="s">
        <v>310</v>
      </c>
      <c r="P118" s="421" t="s">
        <v>310</v>
      </c>
      <c r="Q118" s="423">
        <v>586</v>
      </c>
      <c r="R118" s="423">
        <v>2595</v>
      </c>
      <c r="U118" s="421" t="s">
        <v>331</v>
      </c>
      <c r="V118" s="421" t="s">
        <v>556</v>
      </c>
    </row>
    <row r="119" spans="1:22" x14ac:dyDescent="0.25">
      <c r="A119" s="421" t="s">
        <v>151</v>
      </c>
      <c r="B119" s="421" t="s">
        <v>162</v>
      </c>
      <c r="G119" s="421" t="s">
        <v>66</v>
      </c>
      <c r="H119" s="421" t="s">
        <v>65</v>
      </c>
      <c r="I119" s="421" t="s">
        <v>845</v>
      </c>
      <c r="J119" s="423">
        <v>0</v>
      </c>
      <c r="M119" s="421" t="s">
        <v>345</v>
      </c>
      <c r="N119" s="421" t="s">
        <v>1247</v>
      </c>
      <c r="O119" s="421" t="s">
        <v>310</v>
      </c>
      <c r="P119" s="421" t="s">
        <v>310</v>
      </c>
      <c r="Q119" s="423">
        <v>178</v>
      </c>
      <c r="R119" s="423">
        <v>850</v>
      </c>
      <c r="U119" s="421" t="s">
        <v>321</v>
      </c>
      <c r="V119" s="421" t="s">
        <v>556</v>
      </c>
    </row>
    <row r="120" spans="1:22" x14ac:dyDescent="0.25">
      <c r="A120" s="421" t="s">
        <v>151</v>
      </c>
      <c r="B120" s="421" t="s">
        <v>867</v>
      </c>
      <c r="G120" s="421" t="s">
        <v>80</v>
      </c>
      <c r="H120" s="421" t="s">
        <v>79</v>
      </c>
      <c r="I120" s="421" t="s">
        <v>845</v>
      </c>
      <c r="J120" s="423">
        <v>0</v>
      </c>
      <c r="M120" s="421" t="s">
        <v>195</v>
      </c>
      <c r="N120" s="421" t="s">
        <v>196</v>
      </c>
      <c r="O120" s="421" t="s">
        <v>310</v>
      </c>
      <c r="P120" s="421" t="s">
        <v>310</v>
      </c>
      <c r="Q120" s="423">
        <v>1643</v>
      </c>
      <c r="R120" s="423">
        <v>8780</v>
      </c>
      <c r="U120" s="421" t="s">
        <v>345</v>
      </c>
      <c r="V120" s="421" t="s">
        <v>556</v>
      </c>
    </row>
    <row r="121" spans="1:22" x14ac:dyDescent="0.25">
      <c r="A121" s="421" t="s">
        <v>151</v>
      </c>
      <c r="B121" s="421" t="s">
        <v>868</v>
      </c>
      <c r="G121" s="421" t="s">
        <v>102</v>
      </c>
      <c r="H121" s="421" t="s">
        <v>101</v>
      </c>
      <c r="I121" s="421" t="s">
        <v>845</v>
      </c>
      <c r="J121" s="423">
        <v>0</v>
      </c>
      <c r="M121" s="421" t="s">
        <v>193</v>
      </c>
      <c r="N121" s="421" t="s">
        <v>194</v>
      </c>
      <c r="O121" s="421" t="s">
        <v>185</v>
      </c>
      <c r="P121" s="421" t="s">
        <v>185</v>
      </c>
      <c r="Q121" s="423">
        <v>586</v>
      </c>
      <c r="R121" s="423">
        <v>2829</v>
      </c>
      <c r="U121" s="421" t="s">
        <v>195</v>
      </c>
      <c r="V121" s="421" t="s">
        <v>556</v>
      </c>
    </row>
    <row r="122" spans="1:22" x14ac:dyDescent="0.25">
      <c r="A122" s="421" t="s">
        <v>151</v>
      </c>
      <c r="B122" s="421" t="s">
        <v>164</v>
      </c>
      <c r="G122" s="421" t="s">
        <v>106</v>
      </c>
      <c r="H122" s="421" t="s">
        <v>105</v>
      </c>
      <c r="I122" s="421" t="s">
        <v>845</v>
      </c>
      <c r="J122" s="423">
        <v>0</v>
      </c>
      <c r="M122" s="421" t="s">
        <v>191</v>
      </c>
      <c r="N122" s="421" t="s">
        <v>192</v>
      </c>
      <c r="O122" s="421" t="s">
        <v>185</v>
      </c>
      <c r="P122" s="421" t="s">
        <v>185</v>
      </c>
      <c r="Q122" s="423">
        <v>111</v>
      </c>
      <c r="R122" s="423">
        <v>516</v>
      </c>
      <c r="U122" s="421" t="s">
        <v>193</v>
      </c>
      <c r="V122" s="421" t="s">
        <v>556</v>
      </c>
    </row>
    <row r="123" spans="1:22" x14ac:dyDescent="0.25">
      <c r="A123" s="421" t="s">
        <v>151</v>
      </c>
      <c r="B123" s="421" t="s">
        <v>889</v>
      </c>
      <c r="G123" s="421" t="s">
        <v>116</v>
      </c>
      <c r="H123" s="421" t="s">
        <v>115</v>
      </c>
      <c r="I123" s="421" t="s">
        <v>845</v>
      </c>
      <c r="J123" s="423">
        <v>0</v>
      </c>
      <c r="M123" s="421" t="s">
        <v>218</v>
      </c>
      <c r="N123" s="421" t="s">
        <v>219</v>
      </c>
      <c r="O123" s="421" t="s">
        <v>185</v>
      </c>
      <c r="P123" s="421" t="s">
        <v>185</v>
      </c>
      <c r="Q123" s="423">
        <v>677</v>
      </c>
      <c r="R123" s="423">
        <v>3622</v>
      </c>
      <c r="U123" s="421" t="s">
        <v>191</v>
      </c>
      <c r="V123" s="421" t="s">
        <v>556</v>
      </c>
    </row>
    <row r="124" spans="1:22" x14ac:dyDescent="0.25">
      <c r="A124" s="421" t="s">
        <v>151</v>
      </c>
      <c r="B124" s="421" t="s">
        <v>945</v>
      </c>
      <c r="G124" s="421" t="s">
        <v>130</v>
      </c>
      <c r="H124" s="421" t="s">
        <v>129</v>
      </c>
      <c r="I124" s="421" t="s">
        <v>845</v>
      </c>
      <c r="J124" s="423">
        <v>0</v>
      </c>
      <c r="M124" s="421" t="s">
        <v>197</v>
      </c>
      <c r="N124" s="421" t="s">
        <v>198</v>
      </c>
      <c r="O124" s="421" t="s">
        <v>151</v>
      </c>
      <c r="P124" s="421" t="s">
        <v>151</v>
      </c>
      <c r="Q124" s="423">
        <v>545</v>
      </c>
      <c r="R124" s="423">
        <v>2560</v>
      </c>
      <c r="U124" s="421" t="s">
        <v>218</v>
      </c>
      <c r="V124" s="421" t="s">
        <v>556</v>
      </c>
    </row>
    <row r="125" spans="1:22" x14ac:dyDescent="0.25">
      <c r="A125" s="421" t="s">
        <v>151</v>
      </c>
      <c r="B125" s="421" t="s">
        <v>1037</v>
      </c>
      <c r="G125" s="421" t="s">
        <v>138</v>
      </c>
      <c r="H125" s="421" t="s">
        <v>137</v>
      </c>
      <c r="I125" s="421" t="s">
        <v>845</v>
      </c>
      <c r="J125" s="423">
        <v>0</v>
      </c>
      <c r="M125" s="421" t="s">
        <v>187</v>
      </c>
      <c r="N125" s="421" t="s">
        <v>188</v>
      </c>
      <c r="O125" s="421" t="s">
        <v>151</v>
      </c>
      <c r="P125" s="421" t="s">
        <v>151</v>
      </c>
      <c r="Q125" s="423">
        <v>245</v>
      </c>
      <c r="R125" s="423">
        <v>1232</v>
      </c>
      <c r="U125" s="421" t="s">
        <v>197</v>
      </c>
      <c r="V125" s="421" t="s">
        <v>556</v>
      </c>
    </row>
    <row r="126" spans="1:22" x14ac:dyDescent="0.25">
      <c r="A126" s="421" t="s">
        <v>151</v>
      </c>
      <c r="B126" s="421" t="s">
        <v>1064</v>
      </c>
      <c r="G126" s="421" t="s">
        <v>263</v>
      </c>
      <c r="H126" s="421" t="s">
        <v>262</v>
      </c>
      <c r="I126" s="421" t="s">
        <v>502</v>
      </c>
      <c r="J126" s="423">
        <v>21</v>
      </c>
      <c r="M126" s="421" t="s">
        <v>214</v>
      </c>
      <c r="N126" s="421" t="s">
        <v>215</v>
      </c>
      <c r="O126" s="421" t="s">
        <v>185</v>
      </c>
      <c r="P126" s="421" t="s">
        <v>185</v>
      </c>
      <c r="Q126" s="423">
        <v>375</v>
      </c>
      <c r="R126" s="423">
        <v>1598</v>
      </c>
      <c r="U126" s="421" t="s">
        <v>187</v>
      </c>
      <c r="V126" s="421" t="s">
        <v>556</v>
      </c>
    </row>
    <row r="127" spans="1:22" x14ac:dyDescent="0.25">
      <c r="A127" s="421" t="s">
        <v>151</v>
      </c>
      <c r="B127" s="421" t="s">
        <v>1098</v>
      </c>
      <c r="G127" s="421" t="s">
        <v>265</v>
      </c>
      <c r="H127" s="421" t="s">
        <v>264</v>
      </c>
      <c r="I127" s="421" t="s">
        <v>502</v>
      </c>
      <c r="J127" s="423">
        <v>14</v>
      </c>
      <c r="M127" s="421" t="s">
        <v>153</v>
      </c>
      <c r="N127" s="421" t="s">
        <v>154</v>
      </c>
      <c r="O127" s="421" t="s">
        <v>151</v>
      </c>
      <c r="P127" s="421" t="s">
        <v>151</v>
      </c>
      <c r="Q127" s="423">
        <v>458</v>
      </c>
      <c r="R127" s="423">
        <v>2139</v>
      </c>
      <c r="U127" s="421" t="s">
        <v>214</v>
      </c>
      <c r="V127" s="421" t="s">
        <v>556</v>
      </c>
    </row>
    <row r="128" spans="1:22" x14ac:dyDescent="0.25">
      <c r="A128" s="421" t="s">
        <v>166</v>
      </c>
      <c r="B128" s="421" t="s">
        <v>167</v>
      </c>
      <c r="G128" s="421" t="s">
        <v>136</v>
      </c>
      <c r="H128" s="421" t="s">
        <v>135</v>
      </c>
      <c r="I128" s="421" t="s">
        <v>845</v>
      </c>
      <c r="J128" s="423">
        <v>0</v>
      </c>
      <c r="M128" s="421" t="s">
        <v>159</v>
      </c>
      <c r="N128" s="421" t="s">
        <v>160</v>
      </c>
      <c r="O128" s="421" t="s">
        <v>151</v>
      </c>
      <c r="P128" s="421" t="s">
        <v>151</v>
      </c>
      <c r="Q128" s="423">
        <v>107</v>
      </c>
      <c r="R128" s="423">
        <v>527</v>
      </c>
      <c r="U128" s="421" t="s">
        <v>153</v>
      </c>
      <c r="V128" s="421" t="s">
        <v>556</v>
      </c>
    </row>
    <row r="129" spans="1:22" x14ac:dyDescent="0.25">
      <c r="A129" s="421" t="s">
        <v>166</v>
      </c>
      <c r="B129" s="421" t="s">
        <v>824</v>
      </c>
      <c r="G129" s="421" t="s">
        <v>68</v>
      </c>
      <c r="H129" s="421" t="s">
        <v>67</v>
      </c>
      <c r="I129" s="421" t="s">
        <v>845</v>
      </c>
      <c r="J129" s="423">
        <v>0</v>
      </c>
      <c r="M129" s="421" t="s">
        <v>155</v>
      </c>
      <c r="N129" s="421" t="s">
        <v>156</v>
      </c>
      <c r="O129" s="421" t="s">
        <v>151</v>
      </c>
      <c r="P129" s="421" t="s">
        <v>151</v>
      </c>
      <c r="Q129" s="423">
        <v>175</v>
      </c>
      <c r="R129" s="423">
        <v>834</v>
      </c>
      <c r="U129" s="421" t="s">
        <v>159</v>
      </c>
      <c r="V129" s="421" t="s">
        <v>556</v>
      </c>
    </row>
    <row r="130" spans="1:22" x14ac:dyDescent="0.25">
      <c r="A130" s="421" t="s">
        <v>173</v>
      </c>
      <c r="B130" s="421" t="s">
        <v>174</v>
      </c>
      <c r="G130" s="421" t="s">
        <v>84</v>
      </c>
      <c r="H130" s="421" t="s">
        <v>83</v>
      </c>
      <c r="I130" s="421" t="s">
        <v>845</v>
      </c>
      <c r="J130" s="423">
        <v>0</v>
      </c>
      <c r="M130" s="421" t="s">
        <v>157</v>
      </c>
      <c r="N130" s="421" t="s">
        <v>158</v>
      </c>
      <c r="O130" s="421" t="s">
        <v>151</v>
      </c>
      <c r="P130" s="421" t="s">
        <v>151</v>
      </c>
      <c r="Q130" s="423">
        <v>0</v>
      </c>
      <c r="R130" s="423">
        <v>0</v>
      </c>
      <c r="U130" s="421" t="s">
        <v>155</v>
      </c>
      <c r="V130" s="421" t="s">
        <v>12</v>
      </c>
    </row>
    <row r="131" spans="1:22" x14ac:dyDescent="0.25">
      <c r="A131" s="421" t="s">
        <v>173</v>
      </c>
      <c r="B131" s="421" t="s">
        <v>176</v>
      </c>
      <c r="G131" s="421" t="s">
        <v>86</v>
      </c>
      <c r="H131" s="421" t="s">
        <v>85</v>
      </c>
      <c r="I131" s="421" t="s">
        <v>845</v>
      </c>
      <c r="J131" s="423">
        <v>0</v>
      </c>
      <c r="M131" s="421" t="s">
        <v>161</v>
      </c>
      <c r="N131" s="421" t="s">
        <v>162</v>
      </c>
      <c r="O131" s="421" t="s">
        <v>151</v>
      </c>
      <c r="P131" s="421" t="s">
        <v>151</v>
      </c>
      <c r="Q131" s="423">
        <v>0</v>
      </c>
      <c r="R131" s="423">
        <v>0</v>
      </c>
      <c r="U131" s="421" t="s">
        <v>157</v>
      </c>
      <c r="V131" s="421" t="s">
        <v>556</v>
      </c>
    </row>
    <row r="132" spans="1:22" x14ac:dyDescent="0.25">
      <c r="A132" s="421" t="s">
        <v>173</v>
      </c>
      <c r="B132" s="421" t="s">
        <v>178</v>
      </c>
      <c r="G132" s="421" t="s">
        <v>100</v>
      </c>
      <c r="H132" s="421" t="s">
        <v>99</v>
      </c>
      <c r="I132" s="421" t="s">
        <v>502</v>
      </c>
      <c r="J132" s="423">
        <v>5</v>
      </c>
      <c r="M132" s="421" t="s">
        <v>163</v>
      </c>
      <c r="N132" s="421" t="s">
        <v>164</v>
      </c>
      <c r="O132" s="421" t="s">
        <v>151</v>
      </c>
      <c r="P132" s="421" t="s">
        <v>151</v>
      </c>
      <c r="Q132" s="423">
        <v>0</v>
      </c>
      <c r="R132" s="423">
        <v>0</v>
      </c>
      <c r="U132" s="421" t="s">
        <v>161</v>
      </c>
      <c r="V132" s="421" t="s">
        <v>556</v>
      </c>
    </row>
    <row r="133" spans="1:22" x14ac:dyDescent="0.25">
      <c r="A133" s="421" t="s">
        <v>173</v>
      </c>
      <c r="B133" s="421" t="s">
        <v>1282</v>
      </c>
      <c r="G133" s="421" t="s">
        <v>104</v>
      </c>
      <c r="H133" s="421" t="s">
        <v>103</v>
      </c>
      <c r="I133" s="421" t="s">
        <v>845</v>
      </c>
      <c r="J133" s="423">
        <v>0</v>
      </c>
      <c r="M133" s="421" t="s">
        <v>362</v>
      </c>
      <c r="N133" s="421" t="s">
        <v>35</v>
      </c>
      <c r="O133" s="421" t="s">
        <v>363</v>
      </c>
      <c r="P133" s="421" t="s">
        <v>363</v>
      </c>
      <c r="Q133" s="423">
        <v>0</v>
      </c>
      <c r="R133" s="423">
        <v>0</v>
      </c>
      <c r="U133" s="421" t="s">
        <v>163</v>
      </c>
      <c r="V133" s="421" t="s">
        <v>556</v>
      </c>
    </row>
    <row r="134" spans="1:22" x14ac:dyDescent="0.25">
      <c r="A134" s="421" t="s">
        <v>173</v>
      </c>
      <c r="B134" s="421" t="s">
        <v>1281</v>
      </c>
      <c r="G134" s="421" t="s">
        <v>98</v>
      </c>
      <c r="H134" s="421" t="s">
        <v>97</v>
      </c>
      <c r="I134" s="421" t="s">
        <v>845</v>
      </c>
      <c r="J134" s="423">
        <v>0</v>
      </c>
      <c r="M134" s="421" t="s">
        <v>303</v>
      </c>
      <c r="N134" s="421" t="s">
        <v>304</v>
      </c>
      <c r="O134" s="421" t="s">
        <v>1185</v>
      </c>
      <c r="P134" s="421" t="s">
        <v>302</v>
      </c>
      <c r="Q134" s="423">
        <v>375</v>
      </c>
      <c r="R134" s="423">
        <v>1691</v>
      </c>
      <c r="U134" s="421" t="s">
        <v>362</v>
      </c>
      <c r="V134" s="421" t="s">
        <v>556</v>
      </c>
    </row>
    <row r="135" spans="1:22" x14ac:dyDescent="0.25">
      <c r="A135" s="421" t="s">
        <v>173</v>
      </c>
      <c r="B135" s="421" t="s">
        <v>1272</v>
      </c>
      <c r="G135" s="421" t="s">
        <v>368</v>
      </c>
      <c r="H135" s="421" t="s">
        <v>385</v>
      </c>
      <c r="I135" s="421" t="s">
        <v>502</v>
      </c>
      <c r="J135" s="423">
        <v>63</v>
      </c>
      <c r="M135" s="421" t="s">
        <v>87</v>
      </c>
      <c r="N135" s="421" t="s">
        <v>88</v>
      </c>
      <c r="O135" s="421" t="s">
        <v>529</v>
      </c>
      <c r="P135" s="421" t="s">
        <v>529</v>
      </c>
      <c r="Q135" s="423">
        <v>14</v>
      </c>
      <c r="R135" s="423">
        <v>47</v>
      </c>
      <c r="U135" s="421" t="s">
        <v>303</v>
      </c>
      <c r="V135" s="421" t="s">
        <v>12</v>
      </c>
    </row>
    <row r="136" spans="1:22" x14ac:dyDescent="0.25">
      <c r="A136" s="421" t="s">
        <v>180</v>
      </c>
      <c r="B136" s="421" t="s">
        <v>183</v>
      </c>
      <c r="G136" s="421" t="s">
        <v>1161</v>
      </c>
      <c r="H136" s="421" t="s">
        <v>1163</v>
      </c>
      <c r="I136" s="421" t="s">
        <v>502</v>
      </c>
      <c r="J136" s="423">
        <v>15</v>
      </c>
      <c r="M136" s="421" t="s">
        <v>339</v>
      </c>
      <c r="N136" s="421" t="s">
        <v>340</v>
      </c>
      <c r="O136" s="421" t="s">
        <v>310</v>
      </c>
      <c r="P136" s="421" t="s">
        <v>310</v>
      </c>
      <c r="Q136" s="423">
        <v>355</v>
      </c>
      <c r="R136" s="423">
        <v>4450</v>
      </c>
      <c r="U136" s="421" t="s">
        <v>87</v>
      </c>
      <c r="V136" s="421" t="s">
        <v>556</v>
      </c>
    </row>
    <row r="137" spans="1:22" x14ac:dyDescent="0.25">
      <c r="A137" s="421" t="s">
        <v>180</v>
      </c>
      <c r="B137" s="421" t="s">
        <v>287</v>
      </c>
      <c r="G137" s="421" t="s">
        <v>1250</v>
      </c>
      <c r="H137" s="421" t="s">
        <v>359</v>
      </c>
      <c r="I137" s="421" t="s">
        <v>845</v>
      </c>
      <c r="J137" s="423">
        <v>0</v>
      </c>
      <c r="M137" s="421" t="s">
        <v>286</v>
      </c>
      <c r="N137" s="421" t="s">
        <v>287</v>
      </c>
      <c r="O137" s="421" t="s">
        <v>1185</v>
      </c>
      <c r="P137" s="421" t="s">
        <v>180</v>
      </c>
      <c r="Q137" s="423">
        <v>19</v>
      </c>
      <c r="R137" s="423">
        <v>100</v>
      </c>
      <c r="U137" s="421" t="s">
        <v>339</v>
      </c>
      <c r="V137" s="421" t="s">
        <v>1239</v>
      </c>
    </row>
    <row r="138" spans="1:22" x14ac:dyDescent="0.25">
      <c r="A138" s="421" t="s">
        <v>180</v>
      </c>
      <c r="B138" s="421" t="s">
        <v>181</v>
      </c>
      <c r="G138" s="421" t="s">
        <v>209</v>
      </c>
      <c r="H138" s="421" t="s">
        <v>208</v>
      </c>
      <c r="I138" s="421" t="s">
        <v>502</v>
      </c>
      <c r="J138" s="423">
        <v>226</v>
      </c>
      <c r="M138" s="421" t="s">
        <v>9</v>
      </c>
      <c r="N138" s="421" t="s">
        <v>10</v>
      </c>
      <c r="O138" s="421" t="s">
        <v>5</v>
      </c>
      <c r="P138" s="421" t="s">
        <v>5</v>
      </c>
      <c r="Q138" s="423">
        <v>0</v>
      </c>
      <c r="R138" s="423">
        <v>0</v>
      </c>
      <c r="U138" s="421" t="s">
        <v>286</v>
      </c>
      <c r="V138" s="421" t="s">
        <v>556</v>
      </c>
    </row>
    <row r="139" spans="1:22" x14ac:dyDescent="0.25">
      <c r="A139" s="421" t="s">
        <v>180</v>
      </c>
      <c r="B139" s="421" t="s">
        <v>1160</v>
      </c>
      <c r="G139" s="421" t="s">
        <v>211</v>
      </c>
      <c r="H139" s="421" t="s">
        <v>210</v>
      </c>
      <c r="I139" s="421" t="s">
        <v>845</v>
      </c>
      <c r="J139" s="423"/>
      <c r="M139" s="421" t="s">
        <v>354</v>
      </c>
      <c r="N139" s="421" t="s">
        <v>355</v>
      </c>
      <c r="O139" s="421" t="s">
        <v>310</v>
      </c>
      <c r="P139" s="421" t="s">
        <v>310</v>
      </c>
      <c r="Q139" s="423">
        <v>98</v>
      </c>
      <c r="R139" s="423">
        <v>554</v>
      </c>
      <c r="U139" s="421" t="s">
        <v>9</v>
      </c>
      <c r="V139" s="421" t="s">
        <v>12</v>
      </c>
    </row>
    <row r="140" spans="1:22" x14ac:dyDescent="0.25">
      <c r="A140" s="421" t="s">
        <v>180</v>
      </c>
      <c r="B140" s="421" t="s">
        <v>1161</v>
      </c>
      <c r="G140" s="421" t="s">
        <v>233</v>
      </c>
      <c r="H140" s="421" t="s">
        <v>232</v>
      </c>
      <c r="I140" s="421" t="s">
        <v>845</v>
      </c>
      <c r="J140" s="423"/>
      <c r="M140" s="421" t="s">
        <v>272</v>
      </c>
      <c r="N140" s="421" t="s">
        <v>273</v>
      </c>
      <c r="O140" s="421" t="s">
        <v>237</v>
      </c>
      <c r="P140" s="421" t="s">
        <v>237</v>
      </c>
      <c r="Q140" s="423">
        <v>43</v>
      </c>
      <c r="R140" s="423">
        <v>271</v>
      </c>
      <c r="U140" s="421" t="s">
        <v>354</v>
      </c>
      <c r="V140" s="421" t="s">
        <v>556</v>
      </c>
    </row>
    <row r="141" spans="1:22" x14ac:dyDescent="0.25">
      <c r="A141" s="421" t="s">
        <v>185</v>
      </c>
      <c r="B141" s="421" t="s">
        <v>192</v>
      </c>
      <c r="G141" s="421" t="s">
        <v>235</v>
      </c>
      <c r="H141" s="421" t="s">
        <v>234</v>
      </c>
      <c r="I141" s="421" t="s">
        <v>502</v>
      </c>
      <c r="J141" s="423">
        <v>123</v>
      </c>
      <c r="M141" s="421" t="s">
        <v>11</v>
      </c>
      <c r="N141" s="421" t="s">
        <v>12</v>
      </c>
      <c r="O141" s="421" t="s">
        <v>5</v>
      </c>
      <c r="P141" s="421" t="s">
        <v>5</v>
      </c>
      <c r="Q141" s="423">
        <v>211</v>
      </c>
      <c r="R141" s="423">
        <v>989</v>
      </c>
      <c r="U141" s="421" t="s">
        <v>272</v>
      </c>
      <c r="V141" s="421" t="s">
        <v>556</v>
      </c>
    </row>
    <row r="142" spans="1:22" x14ac:dyDescent="0.25">
      <c r="A142" s="421" t="s">
        <v>185</v>
      </c>
      <c r="B142" s="421" t="s">
        <v>12</v>
      </c>
      <c r="G142" s="421" t="s">
        <v>296</v>
      </c>
      <c r="H142" s="421" t="s">
        <v>389</v>
      </c>
      <c r="I142" s="421" t="s">
        <v>845</v>
      </c>
      <c r="J142" s="423">
        <v>0</v>
      </c>
      <c r="M142" s="421" t="s">
        <v>91</v>
      </c>
      <c r="N142" s="421" t="s">
        <v>92</v>
      </c>
      <c r="O142" s="421" t="s">
        <v>529</v>
      </c>
      <c r="P142" s="421" t="s">
        <v>529</v>
      </c>
      <c r="Q142" s="423">
        <v>15</v>
      </c>
      <c r="R142" s="423">
        <v>74</v>
      </c>
      <c r="U142" s="421" t="s">
        <v>11</v>
      </c>
      <c r="V142" s="421" t="s">
        <v>12</v>
      </c>
    </row>
    <row r="143" spans="1:22" x14ac:dyDescent="0.25">
      <c r="A143" s="421" t="s">
        <v>185</v>
      </c>
      <c r="B143" s="421" t="s">
        <v>194</v>
      </c>
      <c r="G143" s="421" t="s">
        <v>520</v>
      </c>
      <c r="H143" s="421" t="s">
        <v>521</v>
      </c>
      <c r="I143" s="421" t="s">
        <v>845</v>
      </c>
      <c r="J143" s="423">
        <v>0</v>
      </c>
      <c r="M143" s="421" t="s">
        <v>119</v>
      </c>
      <c r="N143" s="421" t="s">
        <v>120</v>
      </c>
      <c r="O143" s="421" t="s">
        <v>529</v>
      </c>
      <c r="P143" s="421" t="s">
        <v>529</v>
      </c>
      <c r="Q143" s="423">
        <v>66</v>
      </c>
      <c r="R143" s="423">
        <v>367</v>
      </c>
      <c r="U143" s="421" t="s">
        <v>91</v>
      </c>
      <c r="V143" s="421" t="s">
        <v>556</v>
      </c>
    </row>
    <row r="144" spans="1:22" x14ac:dyDescent="0.25">
      <c r="A144" s="421" t="s">
        <v>185</v>
      </c>
      <c r="B144" s="421" t="s">
        <v>523</v>
      </c>
      <c r="G144" s="421" t="s">
        <v>371</v>
      </c>
      <c r="H144" s="421" t="s">
        <v>147</v>
      </c>
      <c r="I144" s="421" t="s">
        <v>502</v>
      </c>
      <c r="J144" s="423">
        <v>49</v>
      </c>
      <c r="M144" s="421" t="s">
        <v>51</v>
      </c>
      <c r="N144" s="421" t="s">
        <v>52</v>
      </c>
      <c r="O144" s="421" t="s">
        <v>529</v>
      </c>
      <c r="P144" s="421" t="s">
        <v>529</v>
      </c>
      <c r="Q144" s="423">
        <v>36</v>
      </c>
      <c r="R144" s="423">
        <v>220</v>
      </c>
      <c r="U144" s="421" t="s">
        <v>119</v>
      </c>
      <c r="V144" s="421" t="s">
        <v>556</v>
      </c>
    </row>
    <row r="145" spans="1:22" x14ac:dyDescent="0.25">
      <c r="A145" s="421" t="s">
        <v>185</v>
      </c>
      <c r="B145" s="421" t="s">
        <v>186</v>
      </c>
      <c r="G145" s="421" t="s">
        <v>1105</v>
      </c>
      <c r="H145" s="421" t="s">
        <v>1104</v>
      </c>
      <c r="I145" s="421" t="s">
        <v>502</v>
      </c>
      <c r="J145" s="423">
        <v>23</v>
      </c>
      <c r="M145" s="421" t="s">
        <v>47</v>
      </c>
      <c r="N145" s="421" t="s">
        <v>48</v>
      </c>
      <c r="O145" s="421" t="s">
        <v>529</v>
      </c>
      <c r="P145" s="421" t="s">
        <v>529</v>
      </c>
      <c r="Q145" s="423">
        <v>0</v>
      </c>
      <c r="R145" s="423">
        <v>0</v>
      </c>
      <c r="U145" s="421" t="s">
        <v>51</v>
      </c>
      <c r="V145" s="421" t="s">
        <v>556</v>
      </c>
    </row>
    <row r="146" spans="1:22" x14ac:dyDescent="0.25">
      <c r="A146" s="421" t="s">
        <v>185</v>
      </c>
      <c r="B146" s="421" t="s">
        <v>223</v>
      </c>
      <c r="G146" s="421" t="s">
        <v>367</v>
      </c>
      <c r="H146" s="421" t="s">
        <v>386</v>
      </c>
      <c r="I146" s="421" t="s">
        <v>845</v>
      </c>
      <c r="J146" s="423">
        <v>0</v>
      </c>
      <c r="M146" s="421" t="s">
        <v>127</v>
      </c>
      <c r="N146" s="421" t="s">
        <v>128</v>
      </c>
      <c r="O146" s="421" t="s">
        <v>529</v>
      </c>
      <c r="P146" s="421" t="s">
        <v>529</v>
      </c>
      <c r="Q146" s="423">
        <v>0</v>
      </c>
      <c r="R146" s="423">
        <v>0</v>
      </c>
      <c r="U146" s="421" t="s">
        <v>47</v>
      </c>
      <c r="V146" s="421" t="s">
        <v>556</v>
      </c>
    </row>
    <row r="147" spans="1:22" x14ac:dyDescent="0.25">
      <c r="A147" s="421" t="s">
        <v>185</v>
      </c>
      <c r="B147" s="421" t="s">
        <v>190</v>
      </c>
      <c r="G147" s="421" t="s">
        <v>142</v>
      </c>
      <c r="H147" s="421" t="s">
        <v>141</v>
      </c>
      <c r="I147" s="421" t="s">
        <v>845</v>
      </c>
      <c r="J147" s="423">
        <v>0</v>
      </c>
      <c r="M147" s="421" t="s">
        <v>59</v>
      </c>
      <c r="N147" s="421" t="s">
        <v>60</v>
      </c>
      <c r="O147" s="421" t="s">
        <v>529</v>
      </c>
      <c r="P147" s="421" t="s">
        <v>529</v>
      </c>
      <c r="Q147" s="423">
        <v>0</v>
      </c>
      <c r="R147" s="423">
        <v>0</v>
      </c>
      <c r="U147" s="421" t="s">
        <v>127</v>
      </c>
      <c r="V147" s="421" t="s">
        <v>556</v>
      </c>
    </row>
    <row r="148" spans="1:22" x14ac:dyDescent="0.25">
      <c r="A148" s="421" t="s">
        <v>185</v>
      </c>
      <c r="B148" s="421" t="s">
        <v>200</v>
      </c>
      <c r="G148" s="421" t="s">
        <v>1056</v>
      </c>
      <c r="H148" s="421" t="s">
        <v>1057</v>
      </c>
      <c r="I148" s="421" t="s">
        <v>502</v>
      </c>
      <c r="J148" s="423">
        <v>52</v>
      </c>
      <c r="M148" s="421" t="s">
        <v>38</v>
      </c>
      <c r="N148" s="421" t="s">
        <v>39</v>
      </c>
      <c r="O148" s="421" t="s">
        <v>529</v>
      </c>
      <c r="P148" s="421" t="s">
        <v>529</v>
      </c>
      <c r="Q148" s="423">
        <v>0</v>
      </c>
      <c r="R148" s="423">
        <v>0</v>
      </c>
      <c r="U148" s="421" t="s">
        <v>59</v>
      </c>
      <c r="V148" s="421" t="s">
        <v>556</v>
      </c>
    </row>
    <row r="149" spans="1:22" x14ac:dyDescent="0.25">
      <c r="A149" s="421" t="s">
        <v>185</v>
      </c>
      <c r="B149" s="421" t="s">
        <v>202</v>
      </c>
      <c r="G149" s="421" t="s">
        <v>1066</v>
      </c>
      <c r="H149" s="421" t="s">
        <v>1067</v>
      </c>
      <c r="I149" s="421" t="s">
        <v>502</v>
      </c>
      <c r="J149" s="423">
        <v>26</v>
      </c>
      <c r="M149" s="421" t="s">
        <v>75</v>
      </c>
      <c r="N149" s="421" t="s">
        <v>76</v>
      </c>
      <c r="O149" s="421" t="s">
        <v>529</v>
      </c>
      <c r="P149" s="421" t="s">
        <v>529</v>
      </c>
      <c r="Q149" s="423">
        <v>66</v>
      </c>
      <c r="R149" s="423">
        <v>356</v>
      </c>
      <c r="U149" s="421" t="s">
        <v>38</v>
      </c>
      <c r="V149" s="421" t="s">
        <v>556</v>
      </c>
    </row>
    <row r="150" spans="1:22" x14ac:dyDescent="0.25">
      <c r="A150" s="421" t="s">
        <v>185</v>
      </c>
      <c r="B150" s="421" t="s">
        <v>204</v>
      </c>
      <c r="G150" s="421" t="s">
        <v>8</v>
      </c>
      <c r="H150" s="421" t="s">
        <v>7</v>
      </c>
      <c r="I150" s="421" t="s">
        <v>502</v>
      </c>
      <c r="J150" s="423">
        <v>14</v>
      </c>
      <c r="M150" s="421" t="s">
        <v>73</v>
      </c>
      <c r="N150" s="421" t="s">
        <v>74</v>
      </c>
      <c r="O150" s="421" t="s">
        <v>529</v>
      </c>
      <c r="P150" s="421" t="s">
        <v>529</v>
      </c>
      <c r="Q150" s="423">
        <v>0</v>
      </c>
      <c r="R150" s="423">
        <v>0</v>
      </c>
      <c r="U150" s="421" t="s">
        <v>75</v>
      </c>
      <c r="V150" s="421" t="s">
        <v>556</v>
      </c>
    </row>
    <row r="151" spans="1:22" x14ac:dyDescent="0.25">
      <c r="A151" s="421" t="s">
        <v>185</v>
      </c>
      <c r="B151" s="421" t="s">
        <v>205</v>
      </c>
      <c r="G151" s="421" t="s">
        <v>267</v>
      </c>
      <c r="H151" s="421" t="s">
        <v>266</v>
      </c>
      <c r="I151" s="421" t="s">
        <v>845</v>
      </c>
      <c r="J151" s="423">
        <v>0</v>
      </c>
      <c r="M151" s="421" t="s">
        <v>40</v>
      </c>
      <c r="N151" s="421" t="s">
        <v>41</v>
      </c>
      <c r="O151" s="421" t="s">
        <v>529</v>
      </c>
      <c r="P151" s="421" t="s">
        <v>529</v>
      </c>
      <c r="Q151" s="423">
        <v>67</v>
      </c>
      <c r="R151" s="423">
        <v>350</v>
      </c>
      <c r="U151" s="421" t="s">
        <v>73</v>
      </c>
      <c r="V151" s="421" t="s">
        <v>556</v>
      </c>
    </row>
    <row r="152" spans="1:22" x14ac:dyDescent="0.25">
      <c r="A152" s="421" t="s">
        <v>185</v>
      </c>
      <c r="B152" s="421" t="s">
        <v>207</v>
      </c>
      <c r="G152" s="421" t="s">
        <v>213</v>
      </c>
      <c r="H152" s="421" t="s">
        <v>212</v>
      </c>
      <c r="I152" s="421" t="s">
        <v>502</v>
      </c>
      <c r="J152" s="423">
        <v>13</v>
      </c>
      <c r="M152" s="421" t="s">
        <v>141</v>
      </c>
      <c r="N152" s="421" t="s">
        <v>142</v>
      </c>
      <c r="O152" s="421" t="s">
        <v>529</v>
      </c>
      <c r="P152" s="421" t="s">
        <v>529</v>
      </c>
      <c r="Q152" s="423">
        <v>0</v>
      </c>
      <c r="R152" s="423">
        <v>0</v>
      </c>
      <c r="U152" s="421" t="s">
        <v>40</v>
      </c>
      <c r="V152" s="421" t="s">
        <v>556</v>
      </c>
    </row>
    <row r="153" spans="1:22" x14ac:dyDescent="0.25">
      <c r="A153" s="421" t="s">
        <v>185</v>
      </c>
      <c r="B153" s="421" t="s">
        <v>209</v>
      </c>
      <c r="G153" s="421" t="s">
        <v>162</v>
      </c>
      <c r="H153" s="421" t="s">
        <v>161</v>
      </c>
      <c r="I153" s="421" t="s">
        <v>845</v>
      </c>
      <c r="J153" s="423">
        <v>0</v>
      </c>
      <c r="M153" s="421" t="s">
        <v>97</v>
      </c>
      <c r="N153" s="421" t="s">
        <v>98</v>
      </c>
      <c r="O153" s="421" t="s">
        <v>529</v>
      </c>
      <c r="P153" s="421" t="s">
        <v>529</v>
      </c>
      <c r="Q153" s="423">
        <v>0</v>
      </c>
      <c r="R153" s="423">
        <v>0</v>
      </c>
      <c r="U153" s="421" t="s">
        <v>141</v>
      </c>
      <c r="V153" s="421" t="s">
        <v>556</v>
      </c>
    </row>
    <row r="154" spans="1:22" x14ac:dyDescent="0.25">
      <c r="A154" s="421" t="s">
        <v>185</v>
      </c>
      <c r="B154" s="421" t="s">
        <v>211</v>
      </c>
      <c r="G154" s="421" t="s">
        <v>292</v>
      </c>
      <c r="H154" s="421" t="s">
        <v>291</v>
      </c>
      <c r="I154" s="421" t="s">
        <v>502</v>
      </c>
      <c r="J154" s="423">
        <v>70</v>
      </c>
      <c r="M154" s="421" t="s">
        <v>61</v>
      </c>
      <c r="N154" s="421" t="s">
        <v>62</v>
      </c>
      <c r="O154" s="421" t="s">
        <v>529</v>
      </c>
      <c r="P154" s="421" t="s">
        <v>529</v>
      </c>
      <c r="Q154" s="423">
        <v>77</v>
      </c>
      <c r="R154" s="423">
        <v>393</v>
      </c>
      <c r="U154" s="421" t="s">
        <v>97</v>
      </c>
      <c r="V154" s="421" t="s">
        <v>556</v>
      </c>
    </row>
    <row r="155" spans="1:22" x14ac:dyDescent="0.25">
      <c r="A155" s="421" t="s">
        <v>185</v>
      </c>
      <c r="B155" s="421" t="s">
        <v>213</v>
      </c>
      <c r="G155" s="421" t="s">
        <v>290</v>
      </c>
      <c r="H155" s="421" t="s">
        <v>288</v>
      </c>
      <c r="I155" s="421" t="s">
        <v>502</v>
      </c>
      <c r="J155" s="423">
        <v>73</v>
      </c>
      <c r="M155" s="421" t="s">
        <v>77</v>
      </c>
      <c r="N155" s="421" t="s">
        <v>78</v>
      </c>
      <c r="O155" s="421" t="s">
        <v>529</v>
      </c>
      <c r="P155" s="421" t="s">
        <v>529</v>
      </c>
      <c r="Q155" s="423">
        <v>0</v>
      </c>
      <c r="R155" s="423">
        <v>0</v>
      </c>
      <c r="U155" s="421" t="s">
        <v>61</v>
      </c>
      <c r="V155" s="421" t="s">
        <v>556</v>
      </c>
    </row>
    <row r="156" spans="1:22" x14ac:dyDescent="0.25">
      <c r="A156" s="421" t="s">
        <v>185</v>
      </c>
      <c r="B156" s="421" t="s">
        <v>215</v>
      </c>
      <c r="G156" s="421" t="s">
        <v>1058</v>
      </c>
      <c r="H156" s="421" t="s">
        <v>1059</v>
      </c>
      <c r="I156" s="421" t="s">
        <v>502</v>
      </c>
      <c r="J156" s="423">
        <v>37</v>
      </c>
      <c r="M156" s="421" t="s">
        <v>89</v>
      </c>
      <c r="N156" s="421" t="s">
        <v>90</v>
      </c>
      <c r="O156" s="421" t="s">
        <v>529</v>
      </c>
      <c r="P156" s="421" t="s">
        <v>529</v>
      </c>
      <c r="Q156" s="423">
        <v>25</v>
      </c>
      <c r="R156" s="423">
        <v>133</v>
      </c>
      <c r="U156" s="421" t="s">
        <v>77</v>
      </c>
      <c r="V156" s="421" t="s">
        <v>556</v>
      </c>
    </row>
    <row r="157" spans="1:22" x14ac:dyDescent="0.25">
      <c r="A157" s="421" t="s">
        <v>185</v>
      </c>
      <c r="B157" s="421" t="s">
        <v>217</v>
      </c>
      <c r="G157" s="421" t="s">
        <v>374</v>
      </c>
      <c r="H157" s="421" t="s">
        <v>295</v>
      </c>
      <c r="I157" s="421" t="s">
        <v>502</v>
      </c>
      <c r="J157" s="423">
        <v>48</v>
      </c>
      <c r="M157" s="421" t="s">
        <v>117</v>
      </c>
      <c r="N157" s="421" t="s">
        <v>118</v>
      </c>
      <c r="O157" s="421" t="s">
        <v>529</v>
      </c>
      <c r="P157" s="421" t="s">
        <v>529</v>
      </c>
      <c r="Q157" s="423">
        <v>10</v>
      </c>
      <c r="R157" s="423">
        <v>39</v>
      </c>
      <c r="U157" s="421" t="s">
        <v>89</v>
      </c>
      <c r="V157" s="421" t="s">
        <v>556</v>
      </c>
    </row>
    <row r="158" spans="1:22" x14ac:dyDescent="0.25">
      <c r="A158" s="421" t="s">
        <v>185</v>
      </c>
      <c r="B158" s="421" t="s">
        <v>229</v>
      </c>
      <c r="G158" s="421" t="s">
        <v>375</v>
      </c>
      <c r="H158" s="421" t="s">
        <v>390</v>
      </c>
      <c r="I158" s="421" t="s">
        <v>845</v>
      </c>
      <c r="J158" s="423">
        <v>0</v>
      </c>
      <c r="M158" s="421" t="s">
        <v>123</v>
      </c>
      <c r="N158" s="421" t="s">
        <v>124</v>
      </c>
      <c r="O158" s="421" t="s">
        <v>529</v>
      </c>
      <c r="P158" s="421" t="s">
        <v>529</v>
      </c>
      <c r="Q158" s="423">
        <v>8</v>
      </c>
      <c r="R158" s="423">
        <v>40</v>
      </c>
      <c r="U158" s="421" t="s">
        <v>117</v>
      </c>
      <c r="V158" s="421" t="s">
        <v>556</v>
      </c>
    </row>
    <row r="159" spans="1:22" x14ac:dyDescent="0.25">
      <c r="A159" s="421" t="s">
        <v>185</v>
      </c>
      <c r="B159" s="421" t="s">
        <v>219</v>
      </c>
      <c r="G159" s="421" t="s">
        <v>294</v>
      </c>
      <c r="H159" s="421" t="s">
        <v>293</v>
      </c>
      <c r="I159" s="421" t="s">
        <v>845</v>
      </c>
      <c r="J159" s="423">
        <v>0</v>
      </c>
      <c r="M159" s="421" t="s">
        <v>125</v>
      </c>
      <c r="N159" s="421" t="s">
        <v>126</v>
      </c>
      <c r="O159" s="421" t="s">
        <v>529</v>
      </c>
      <c r="P159" s="421" t="s">
        <v>529</v>
      </c>
      <c r="Q159" s="423">
        <v>35</v>
      </c>
      <c r="R159" s="423">
        <v>173</v>
      </c>
      <c r="U159" s="421" t="s">
        <v>123</v>
      </c>
      <c r="V159" s="421" t="s">
        <v>556</v>
      </c>
    </row>
    <row r="160" spans="1:22" x14ac:dyDescent="0.25">
      <c r="A160" s="421" t="s">
        <v>185</v>
      </c>
      <c r="B160" s="421" t="s">
        <v>221</v>
      </c>
      <c r="G160" s="421" t="s">
        <v>361</v>
      </c>
      <c r="H160" s="421" t="s">
        <v>839</v>
      </c>
      <c r="I160" s="421" t="s">
        <v>845</v>
      </c>
      <c r="J160" s="423"/>
      <c r="M160" s="421" t="s">
        <v>63</v>
      </c>
      <c r="N160" s="421" t="s">
        <v>64</v>
      </c>
      <c r="O160" s="421" t="s">
        <v>529</v>
      </c>
      <c r="P160" s="421" t="s">
        <v>529</v>
      </c>
      <c r="Q160" s="423">
        <v>0</v>
      </c>
      <c r="R160" s="423">
        <v>0</v>
      </c>
      <c r="U160" s="421" t="s">
        <v>125</v>
      </c>
      <c r="V160" s="421" t="s">
        <v>556</v>
      </c>
    </row>
    <row r="161" spans="1:22" x14ac:dyDescent="0.25">
      <c r="A161" s="421" t="s">
        <v>185</v>
      </c>
      <c r="B161" s="421" t="s">
        <v>225</v>
      </c>
      <c r="G161" s="421" t="s">
        <v>171</v>
      </c>
      <c r="H161" s="421" t="s">
        <v>170</v>
      </c>
      <c r="I161" s="421" t="s">
        <v>502</v>
      </c>
      <c r="J161" s="423">
        <v>6</v>
      </c>
      <c r="M161" s="421" t="s">
        <v>81</v>
      </c>
      <c r="N161" s="421" t="s">
        <v>82</v>
      </c>
      <c r="O161" s="421" t="s">
        <v>529</v>
      </c>
      <c r="P161" s="421" t="s">
        <v>529</v>
      </c>
      <c r="Q161" s="423">
        <v>0</v>
      </c>
      <c r="R161" s="423">
        <v>0</v>
      </c>
      <c r="U161" s="421" t="s">
        <v>63</v>
      </c>
      <c r="V161" s="421" t="s">
        <v>556</v>
      </c>
    </row>
    <row r="162" spans="1:22" x14ac:dyDescent="0.25">
      <c r="A162" s="421" t="s">
        <v>185</v>
      </c>
      <c r="B162" s="421" t="s">
        <v>227</v>
      </c>
      <c r="G162" s="421" t="s">
        <v>149</v>
      </c>
      <c r="H162" s="421" t="s">
        <v>148</v>
      </c>
      <c r="I162" s="421" t="s">
        <v>502</v>
      </c>
      <c r="J162" s="423">
        <v>62</v>
      </c>
      <c r="M162" s="421" t="s">
        <v>57</v>
      </c>
      <c r="N162" s="421" t="s">
        <v>58</v>
      </c>
      <c r="O162" s="421" t="s">
        <v>529</v>
      </c>
      <c r="P162" s="421" t="s">
        <v>529</v>
      </c>
      <c r="Q162" s="423">
        <v>0</v>
      </c>
      <c r="R162" s="423">
        <v>0</v>
      </c>
      <c r="U162" s="421" t="s">
        <v>81</v>
      </c>
      <c r="V162" s="421" t="s">
        <v>556</v>
      </c>
    </row>
    <row r="163" spans="1:22" x14ac:dyDescent="0.25">
      <c r="A163" s="421" t="s">
        <v>185</v>
      </c>
      <c r="B163" s="421" t="s">
        <v>1319</v>
      </c>
      <c r="G163" s="421" t="s">
        <v>867</v>
      </c>
      <c r="H163" s="421" t="s">
        <v>522</v>
      </c>
      <c r="I163" s="421" t="s">
        <v>845</v>
      </c>
      <c r="J163" s="423">
        <v>0</v>
      </c>
      <c r="M163" s="421" t="s">
        <v>55</v>
      </c>
      <c r="N163" s="421" t="s">
        <v>56</v>
      </c>
      <c r="O163" s="421" t="s">
        <v>529</v>
      </c>
      <c r="P163" s="421" t="s">
        <v>529</v>
      </c>
      <c r="Q163" s="423">
        <v>0</v>
      </c>
      <c r="R163" s="423">
        <v>0</v>
      </c>
      <c r="U163" s="421" t="s">
        <v>57</v>
      </c>
      <c r="V163" s="421" t="s">
        <v>556</v>
      </c>
    </row>
    <row r="164" spans="1:22" x14ac:dyDescent="0.25">
      <c r="A164" s="421" t="s">
        <v>230</v>
      </c>
      <c r="B164" s="421" t="s">
        <v>169</v>
      </c>
      <c r="G164" s="421" t="s">
        <v>868</v>
      </c>
      <c r="H164" s="421" t="s">
        <v>869</v>
      </c>
      <c r="I164" s="421" t="s">
        <v>845</v>
      </c>
      <c r="J164" s="423">
        <v>0</v>
      </c>
      <c r="M164" s="421" t="s">
        <v>42</v>
      </c>
      <c r="N164" s="421" t="s">
        <v>43</v>
      </c>
      <c r="O164" s="421" t="s">
        <v>529</v>
      </c>
      <c r="P164" s="421" t="s">
        <v>529</v>
      </c>
      <c r="Q164" s="423">
        <v>14</v>
      </c>
      <c r="R164" s="423">
        <v>83</v>
      </c>
      <c r="U164" s="421" t="s">
        <v>55</v>
      </c>
      <c r="V164" s="421" t="s">
        <v>556</v>
      </c>
    </row>
    <row r="165" spans="1:22" x14ac:dyDescent="0.25">
      <c r="A165" s="421" t="s">
        <v>230</v>
      </c>
      <c r="B165" s="421" t="s">
        <v>231</v>
      </c>
      <c r="G165" s="421" t="s">
        <v>164</v>
      </c>
      <c r="H165" s="421" t="s">
        <v>163</v>
      </c>
      <c r="I165" s="421" t="s">
        <v>845</v>
      </c>
      <c r="J165" s="423">
        <v>0</v>
      </c>
      <c r="M165" s="421" t="s">
        <v>45</v>
      </c>
      <c r="N165" s="421" t="s">
        <v>44</v>
      </c>
      <c r="O165" s="421" t="s">
        <v>529</v>
      </c>
      <c r="P165" s="421" t="s">
        <v>529</v>
      </c>
      <c r="Q165" s="423">
        <v>8</v>
      </c>
      <c r="R165" s="423">
        <v>46</v>
      </c>
      <c r="U165" s="421" t="s">
        <v>42</v>
      </c>
      <c r="V165" s="421" t="s">
        <v>556</v>
      </c>
    </row>
    <row r="166" spans="1:22" x14ac:dyDescent="0.25">
      <c r="A166" s="421" t="s">
        <v>230</v>
      </c>
      <c r="B166" s="421" t="s">
        <v>233</v>
      </c>
      <c r="G166" s="421" t="s">
        <v>613</v>
      </c>
      <c r="H166" s="421" t="s">
        <v>46</v>
      </c>
      <c r="I166" s="421" t="s">
        <v>502</v>
      </c>
      <c r="J166" s="423">
        <v>17</v>
      </c>
      <c r="M166" s="421" t="s">
        <v>46</v>
      </c>
      <c r="N166" s="421" t="s">
        <v>613</v>
      </c>
      <c r="O166" s="421" t="s">
        <v>529</v>
      </c>
      <c r="P166" s="421" t="s">
        <v>529</v>
      </c>
      <c r="Q166" s="423">
        <v>17</v>
      </c>
      <c r="R166" s="423">
        <v>64</v>
      </c>
      <c r="U166" s="421" t="s">
        <v>45</v>
      </c>
      <c r="V166" s="421" t="s">
        <v>556</v>
      </c>
    </row>
    <row r="167" spans="1:22" x14ac:dyDescent="0.25">
      <c r="A167" s="421" t="s">
        <v>230</v>
      </c>
      <c r="B167" s="421" t="s">
        <v>235</v>
      </c>
      <c r="G167" s="421" t="s">
        <v>1279</v>
      </c>
      <c r="H167" s="421" t="s">
        <v>1262</v>
      </c>
      <c r="I167" s="421" t="s">
        <v>502</v>
      </c>
      <c r="J167" s="423">
        <v>38</v>
      </c>
      <c r="M167" s="421" t="s">
        <v>376</v>
      </c>
      <c r="N167" s="421" t="s">
        <v>366</v>
      </c>
      <c r="O167" s="421" t="s">
        <v>5</v>
      </c>
      <c r="P167" s="421" t="s">
        <v>5</v>
      </c>
      <c r="Q167" s="423">
        <v>150</v>
      </c>
      <c r="R167" s="423">
        <v>766</v>
      </c>
      <c r="U167" s="421" t="s">
        <v>46</v>
      </c>
      <c r="V167" s="421" t="s">
        <v>556</v>
      </c>
    </row>
    <row r="168" spans="1:22" x14ac:dyDescent="0.25">
      <c r="A168" s="421" t="s">
        <v>230</v>
      </c>
      <c r="B168" s="421" t="s">
        <v>361</v>
      </c>
      <c r="G168" s="421" t="s">
        <v>823</v>
      </c>
      <c r="H168" s="421" t="s">
        <v>297</v>
      </c>
      <c r="I168" s="421" t="s">
        <v>502</v>
      </c>
      <c r="J168" s="423">
        <v>9</v>
      </c>
      <c r="M168" s="421" t="s">
        <v>377</v>
      </c>
      <c r="N168" s="421" t="s">
        <v>514</v>
      </c>
      <c r="O168" s="421" t="s">
        <v>5</v>
      </c>
      <c r="P168" s="421" t="s">
        <v>5</v>
      </c>
      <c r="Q168" s="423">
        <v>12</v>
      </c>
      <c r="R168" s="423">
        <v>54</v>
      </c>
      <c r="U168" s="421" t="s">
        <v>376</v>
      </c>
      <c r="V168" s="421" t="s">
        <v>556</v>
      </c>
    </row>
    <row r="169" spans="1:22" x14ac:dyDescent="0.25">
      <c r="A169" s="421" t="s">
        <v>230</v>
      </c>
      <c r="B169" s="421" t="s">
        <v>171</v>
      </c>
      <c r="G169" s="421" t="s">
        <v>595</v>
      </c>
      <c r="H169" s="421" t="s">
        <v>826</v>
      </c>
      <c r="I169" s="421" t="s">
        <v>502</v>
      </c>
      <c r="J169" s="423">
        <v>118</v>
      </c>
      <c r="M169" s="421" t="s">
        <v>378</v>
      </c>
      <c r="N169" s="421" t="s">
        <v>365</v>
      </c>
      <c r="O169" s="421" t="s">
        <v>27</v>
      </c>
      <c r="P169" s="421" t="s">
        <v>27</v>
      </c>
      <c r="Q169" s="423">
        <v>143</v>
      </c>
      <c r="R169" s="423">
        <v>638</v>
      </c>
      <c r="U169" s="421" t="s">
        <v>377</v>
      </c>
      <c r="V169" s="421" t="s">
        <v>556</v>
      </c>
    </row>
    <row r="170" spans="1:22" x14ac:dyDescent="0.25">
      <c r="A170" s="421" t="s">
        <v>230</v>
      </c>
      <c r="B170" s="421" t="s">
        <v>1056</v>
      </c>
      <c r="G170" s="421" t="s">
        <v>1070</v>
      </c>
      <c r="H170" s="421" t="s">
        <v>1063</v>
      </c>
      <c r="I170" s="421" t="s">
        <v>502</v>
      </c>
      <c r="J170" s="423">
        <v>123</v>
      </c>
      <c r="M170" s="421" t="s">
        <v>391</v>
      </c>
      <c r="N170" s="421" t="s">
        <v>12</v>
      </c>
      <c r="O170" s="421" t="s">
        <v>151</v>
      </c>
      <c r="P170" s="421" t="s">
        <v>151</v>
      </c>
      <c r="Q170" s="423">
        <v>76</v>
      </c>
      <c r="R170" s="423">
        <v>256</v>
      </c>
      <c r="U170" s="421" t="s">
        <v>378</v>
      </c>
      <c r="V170" s="421" t="s">
        <v>556</v>
      </c>
    </row>
    <row r="171" spans="1:22" x14ac:dyDescent="0.25">
      <c r="A171" s="421" t="s">
        <v>230</v>
      </c>
      <c r="B171" s="421" t="s">
        <v>1066</v>
      </c>
      <c r="G171" s="421" t="s">
        <v>271</v>
      </c>
      <c r="H171" s="421" t="s">
        <v>270</v>
      </c>
      <c r="I171" s="421" t="s">
        <v>502</v>
      </c>
      <c r="J171" s="423">
        <v>66</v>
      </c>
      <c r="M171" s="421" t="s">
        <v>392</v>
      </c>
      <c r="N171" s="421" t="s">
        <v>12</v>
      </c>
      <c r="O171" s="421" t="s">
        <v>185</v>
      </c>
      <c r="P171" s="421" t="s">
        <v>185</v>
      </c>
      <c r="Q171" s="423">
        <v>320</v>
      </c>
      <c r="R171" s="423">
        <v>1125</v>
      </c>
      <c r="U171" s="421" t="s">
        <v>391</v>
      </c>
      <c r="V171" s="421" t="s">
        <v>12</v>
      </c>
    </row>
    <row r="172" spans="1:22" x14ac:dyDescent="0.25">
      <c r="A172" s="421" t="s">
        <v>237</v>
      </c>
      <c r="B172" s="421" t="s">
        <v>243</v>
      </c>
      <c r="G172" s="421" t="s">
        <v>20</v>
      </c>
      <c r="H172" s="421" t="s">
        <v>19</v>
      </c>
      <c r="I172" s="421" t="s">
        <v>502</v>
      </c>
      <c r="J172" s="423">
        <v>20</v>
      </c>
      <c r="M172" s="421" t="s">
        <v>393</v>
      </c>
      <c r="N172" s="421" t="s">
        <v>205</v>
      </c>
      <c r="O172" s="421" t="s">
        <v>185</v>
      </c>
      <c r="P172" s="421" t="s">
        <v>185</v>
      </c>
      <c r="Q172" s="423"/>
      <c r="R172" s="423"/>
      <c r="U172" s="421" t="s">
        <v>392</v>
      </c>
      <c r="V172" s="421" t="s">
        <v>12</v>
      </c>
    </row>
    <row r="173" spans="1:22" x14ac:dyDescent="0.25">
      <c r="A173" s="421" t="s">
        <v>237</v>
      </c>
      <c r="B173" s="421" t="s">
        <v>245</v>
      </c>
      <c r="G173" s="421" t="s">
        <v>108</v>
      </c>
      <c r="H173" s="421" t="s">
        <v>107</v>
      </c>
      <c r="I173" s="421" t="s">
        <v>502</v>
      </c>
      <c r="J173" s="423">
        <v>53</v>
      </c>
      <c r="M173" s="421" t="s">
        <v>394</v>
      </c>
      <c r="N173" s="421" t="s">
        <v>12</v>
      </c>
      <c r="O173" s="421" t="s">
        <v>1185</v>
      </c>
      <c r="P173" s="421" t="s">
        <v>302</v>
      </c>
      <c r="Q173" s="423">
        <v>9</v>
      </c>
      <c r="R173" s="423">
        <v>30</v>
      </c>
      <c r="U173" s="421" t="s">
        <v>393</v>
      </c>
      <c r="V173" s="421" t="s">
        <v>12</v>
      </c>
    </row>
    <row r="174" spans="1:22" x14ac:dyDescent="0.25">
      <c r="A174" s="421" t="s">
        <v>237</v>
      </c>
      <c r="B174" s="421" t="s">
        <v>247</v>
      </c>
      <c r="G174" s="421" t="s">
        <v>183</v>
      </c>
      <c r="H174" s="421" t="s">
        <v>182</v>
      </c>
      <c r="I174" s="421" t="s">
        <v>845</v>
      </c>
      <c r="J174" s="423">
        <v>0</v>
      </c>
      <c r="M174" s="421" t="s">
        <v>524</v>
      </c>
      <c r="N174" s="421" t="s">
        <v>523</v>
      </c>
      <c r="O174" s="421" t="s">
        <v>185</v>
      </c>
      <c r="P174" s="421" t="s">
        <v>185</v>
      </c>
      <c r="Q174" s="423">
        <v>4</v>
      </c>
      <c r="R174" s="423">
        <v>26</v>
      </c>
      <c r="U174" s="421" t="s">
        <v>394</v>
      </c>
      <c r="V174" s="421" t="s">
        <v>12</v>
      </c>
    </row>
    <row r="175" spans="1:22" x14ac:dyDescent="0.25">
      <c r="A175" s="421" t="s">
        <v>237</v>
      </c>
      <c r="B175" s="421" t="s">
        <v>253</v>
      </c>
      <c r="G175" s="421" t="s">
        <v>596</v>
      </c>
      <c r="H175" s="421" t="s">
        <v>840</v>
      </c>
      <c r="I175" s="421" t="s">
        <v>502</v>
      </c>
      <c r="J175" s="423">
        <v>67</v>
      </c>
      <c r="M175" s="421" t="s">
        <v>517</v>
      </c>
      <c r="N175" s="421" t="s">
        <v>516</v>
      </c>
      <c r="O175" s="421" t="s">
        <v>529</v>
      </c>
      <c r="P175" s="421" t="s">
        <v>529</v>
      </c>
      <c r="Q175" s="423">
        <v>0</v>
      </c>
      <c r="R175" s="423">
        <v>0</v>
      </c>
      <c r="U175" s="421" t="s">
        <v>524</v>
      </c>
      <c r="V175" s="421" t="s">
        <v>12</v>
      </c>
    </row>
    <row r="176" spans="1:22" x14ac:dyDescent="0.25">
      <c r="A176" s="421" t="s">
        <v>237</v>
      </c>
      <c r="B176" s="421" t="s">
        <v>255</v>
      </c>
      <c r="G176" s="421" t="s">
        <v>178</v>
      </c>
      <c r="H176" s="421" t="s">
        <v>177</v>
      </c>
      <c r="I176" s="421" t="s">
        <v>502</v>
      </c>
      <c r="J176" s="423">
        <v>12</v>
      </c>
      <c r="M176" s="421" t="s">
        <v>519</v>
      </c>
      <c r="N176" s="421" t="s">
        <v>518</v>
      </c>
      <c r="O176" s="421" t="s">
        <v>151</v>
      </c>
      <c r="P176" s="421" t="s">
        <v>151</v>
      </c>
      <c r="Q176" s="423">
        <v>0</v>
      </c>
      <c r="R176" s="423">
        <v>0</v>
      </c>
      <c r="U176" s="421" t="s">
        <v>517</v>
      </c>
      <c r="V176" s="421" t="s">
        <v>556</v>
      </c>
    </row>
    <row r="177" spans="1:22" x14ac:dyDescent="0.25">
      <c r="A177" s="421" t="s">
        <v>237</v>
      </c>
      <c r="B177" s="421" t="s">
        <v>257</v>
      </c>
      <c r="G177" s="421" t="s">
        <v>893</v>
      </c>
      <c r="H177" s="421" t="s">
        <v>894</v>
      </c>
      <c r="I177" s="421" t="s">
        <v>845</v>
      </c>
      <c r="J177" s="423">
        <v>0</v>
      </c>
      <c r="M177" s="421" t="s">
        <v>521</v>
      </c>
      <c r="N177" s="421" t="s">
        <v>520</v>
      </c>
      <c r="O177" s="421" t="s">
        <v>151</v>
      </c>
      <c r="P177" s="421" t="s">
        <v>151</v>
      </c>
      <c r="Q177" s="423">
        <v>0</v>
      </c>
      <c r="R177" s="423">
        <v>0</v>
      </c>
      <c r="U177" s="421" t="s">
        <v>519</v>
      </c>
      <c r="V177" s="421" t="s">
        <v>556</v>
      </c>
    </row>
    <row r="178" spans="1:22" x14ac:dyDescent="0.25">
      <c r="A178" s="421" t="s">
        <v>237</v>
      </c>
      <c r="B178" s="421" t="s">
        <v>240</v>
      </c>
      <c r="G178" s="421" t="s">
        <v>344</v>
      </c>
      <c r="H178" s="421" t="s">
        <v>343</v>
      </c>
      <c r="I178" s="421" t="s">
        <v>502</v>
      </c>
      <c r="J178" s="423">
        <v>18</v>
      </c>
      <c r="M178" s="421" t="s">
        <v>522</v>
      </c>
      <c r="N178" s="421" t="s">
        <v>867</v>
      </c>
      <c r="O178" s="421" t="s">
        <v>151</v>
      </c>
      <c r="P178" s="421" t="s">
        <v>151</v>
      </c>
      <c r="Q178" s="423">
        <v>0</v>
      </c>
      <c r="R178" s="423">
        <v>0</v>
      </c>
      <c r="U178" s="421" t="s">
        <v>521</v>
      </c>
      <c r="V178" s="421" t="s">
        <v>556</v>
      </c>
    </row>
    <row r="179" spans="1:22" x14ac:dyDescent="0.25">
      <c r="A179" s="421" t="s">
        <v>237</v>
      </c>
      <c r="B179" s="421" t="s">
        <v>285</v>
      </c>
      <c r="G179" s="421" t="s">
        <v>287</v>
      </c>
      <c r="H179" s="421" t="s">
        <v>286</v>
      </c>
      <c r="I179" s="421" t="s">
        <v>502</v>
      </c>
      <c r="J179" s="423">
        <v>19</v>
      </c>
      <c r="M179" s="421" t="s">
        <v>814</v>
      </c>
      <c r="N179" s="421" t="s">
        <v>810</v>
      </c>
      <c r="O179" s="421" t="s">
        <v>1185</v>
      </c>
      <c r="P179" s="421" t="s">
        <v>810</v>
      </c>
      <c r="Q179" s="423">
        <v>5</v>
      </c>
      <c r="R179" s="423">
        <v>32</v>
      </c>
      <c r="U179" s="421" t="s">
        <v>522</v>
      </c>
      <c r="V179" s="421" t="s">
        <v>556</v>
      </c>
    </row>
    <row r="180" spans="1:22" x14ac:dyDescent="0.25">
      <c r="A180" s="421" t="s">
        <v>237</v>
      </c>
      <c r="B180" s="421" t="s">
        <v>259</v>
      </c>
      <c r="G180" s="421" t="s">
        <v>1251</v>
      </c>
      <c r="H180" s="421" t="s">
        <v>360</v>
      </c>
      <c r="I180" s="421" t="s">
        <v>845</v>
      </c>
      <c r="J180" s="423">
        <v>0</v>
      </c>
      <c r="M180" s="421" t="s">
        <v>816</v>
      </c>
      <c r="N180" s="421" t="s">
        <v>815</v>
      </c>
      <c r="O180" s="421" t="s">
        <v>310</v>
      </c>
      <c r="P180" s="421" t="s">
        <v>310</v>
      </c>
      <c r="Q180" s="423"/>
      <c r="R180" s="423">
        <v>1047</v>
      </c>
      <c r="U180" s="421" t="s">
        <v>814</v>
      </c>
      <c r="V180" s="421" t="s">
        <v>556</v>
      </c>
    </row>
    <row r="181" spans="1:22" x14ac:dyDescent="0.25">
      <c r="A181" s="421" t="s">
        <v>237</v>
      </c>
      <c r="B181" s="421" t="s">
        <v>261</v>
      </c>
      <c r="G181" s="421" t="s">
        <v>1302</v>
      </c>
      <c r="H181" s="421" t="s">
        <v>1303</v>
      </c>
      <c r="I181" s="421" t="s">
        <v>502</v>
      </c>
      <c r="J181" s="423">
        <v>161</v>
      </c>
      <c r="M181" s="421" t="s">
        <v>869</v>
      </c>
      <c r="N181" s="421" t="s">
        <v>868</v>
      </c>
      <c r="O181" s="421" t="s">
        <v>151</v>
      </c>
      <c r="P181" s="421" t="s">
        <v>151</v>
      </c>
      <c r="Q181" s="423">
        <v>0</v>
      </c>
      <c r="R181" s="423">
        <v>0</v>
      </c>
      <c r="U181" s="421" t="s">
        <v>816</v>
      </c>
      <c r="V181" s="421" t="s">
        <v>989</v>
      </c>
    </row>
    <row r="182" spans="1:22" x14ac:dyDescent="0.25">
      <c r="A182" s="421" t="s">
        <v>237</v>
      </c>
      <c r="B182" s="421" t="s">
        <v>263</v>
      </c>
      <c r="G182" s="421" t="s">
        <v>1322</v>
      </c>
      <c r="H182" s="421" t="s">
        <v>1323</v>
      </c>
      <c r="I182" s="421" t="s">
        <v>502</v>
      </c>
      <c r="J182" s="423">
        <v>105</v>
      </c>
      <c r="M182" s="421" t="s">
        <v>865</v>
      </c>
      <c r="N182" s="421" t="s">
        <v>866</v>
      </c>
      <c r="O182" s="421" t="s">
        <v>27</v>
      </c>
      <c r="P182" s="421" t="s">
        <v>27</v>
      </c>
      <c r="Q182" s="423">
        <v>60</v>
      </c>
      <c r="R182" s="423">
        <v>275</v>
      </c>
      <c r="U182" s="421" t="s">
        <v>869</v>
      </c>
      <c r="V182" s="421" t="s">
        <v>556</v>
      </c>
    </row>
    <row r="183" spans="1:22" x14ac:dyDescent="0.25">
      <c r="A183" s="421" t="s">
        <v>237</v>
      </c>
      <c r="B183" s="421" t="s">
        <v>265</v>
      </c>
      <c r="G183" s="421" t="s">
        <v>110</v>
      </c>
      <c r="H183" s="421" t="s">
        <v>109</v>
      </c>
      <c r="I183" s="421" t="s">
        <v>845</v>
      </c>
      <c r="J183" s="423">
        <v>0</v>
      </c>
      <c r="M183" s="421" t="s">
        <v>857</v>
      </c>
      <c r="N183" s="421" t="s">
        <v>871</v>
      </c>
      <c r="O183" s="421" t="s">
        <v>5</v>
      </c>
      <c r="P183" s="421" t="s">
        <v>5</v>
      </c>
      <c r="Q183" s="423">
        <v>0</v>
      </c>
      <c r="R183" s="423">
        <v>0</v>
      </c>
      <c r="U183" s="421" t="s">
        <v>865</v>
      </c>
      <c r="V183" s="421" t="s">
        <v>556</v>
      </c>
    </row>
    <row r="184" spans="1:22" x14ac:dyDescent="0.25">
      <c r="A184" s="421" t="s">
        <v>237</v>
      </c>
      <c r="B184" s="421" t="s">
        <v>267</v>
      </c>
      <c r="G184" s="421" t="s">
        <v>112</v>
      </c>
      <c r="H184" s="421" t="s">
        <v>111</v>
      </c>
      <c r="I184" s="421" t="s">
        <v>845</v>
      </c>
      <c r="J184" s="423">
        <v>0</v>
      </c>
      <c r="M184" s="421" t="s">
        <v>872</v>
      </c>
      <c r="N184" s="421" t="s">
        <v>878</v>
      </c>
      <c r="O184" s="421" t="s">
        <v>151</v>
      </c>
      <c r="P184" s="421" t="s">
        <v>151</v>
      </c>
      <c r="Q184" s="423">
        <v>0</v>
      </c>
      <c r="R184" s="423">
        <v>0</v>
      </c>
      <c r="U184" s="421" t="s">
        <v>857</v>
      </c>
      <c r="V184" s="421" t="s">
        <v>556</v>
      </c>
    </row>
    <row r="185" spans="1:22" x14ac:dyDescent="0.25">
      <c r="A185" s="421" t="s">
        <v>237</v>
      </c>
      <c r="B185" s="421" t="s">
        <v>271</v>
      </c>
      <c r="G185" s="421" t="s">
        <v>215</v>
      </c>
      <c r="H185" s="421" t="s">
        <v>214</v>
      </c>
      <c r="I185" s="421" t="s">
        <v>502</v>
      </c>
      <c r="J185" s="423">
        <v>375</v>
      </c>
      <c r="M185" s="421" t="s">
        <v>876</v>
      </c>
      <c r="N185" s="421" t="s">
        <v>877</v>
      </c>
      <c r="O185" s="421" t="s">
        <v>151</v>
      </c>
      <c r="P185" s="421" t="s">
        <v>151</v>
      </c>
      <c r="Q185" s="423">
        <v>0</v>
      </c>
      <c r="R185" s="423">
        <v>0</v>
      </c>
      <c r="U185" s="421" t="s">
        <v>872</v>
      </c>
      <c r="V185" s="421" t="s">
        <v>556</v>
      </c>
    </row>
    <row r="186" spans="1:22" x14ac:dyDescent="0.25">
      <c r="A186" s="421" t="s">
        <v>237</v>
      </c>
      <c r="B186" s="421" t="s">
        <v>269</v>
      </c>
      <c r="G186" s="421" t="s">
        <v>217</v>
      </c>
      <c r="H186" s="421" t="s">
        <v>216</v>
      </c>
      <c r="I186" s="421" t="s">
        <v>845</v>
      </c>
      <c r="J186" s="423"/>
      <c r="M186" s="421" t="s">
        <v>881</v>
      </c>
      <c r="N186" s="421" t="s">
        <v>880</v>
      </c>
      <c r="O186" s="421" t="s">
        <v>151</v>
      </c>
      <c r="P186" s="421" t="s">
        <v>151</v>
      </c>
      <c r="Q186" s="423">
        <v>0</v>
      </c>
      <c r="R186" s="423">
        <v>0</v>
      </c>
      <c r="U186" s="421" t="s">
        <v>876</v>
      </c>
      <c r="V186" s="421" t="s">
        <v>556</v>
      </c>
    </row>
    <row r="187" spans="1:22" x14ac:dyDescent="0.25">
      <c r="A187" s="421" t="s">
        <v>237</v>
      </c>
      <c r="B187" s="421" t="s">
        <v>273</v>
      </c>
      <c r="G187" s="421" t="s">
        <v>269</v>
      </c>
      <c r="H187" s="421" t="s">
        <v>268</v>
      </c>
      <c r="I187" s="421" t="s">
        <v>502</v>
      </c>
      <c r="J187" s="423">
        <v>58</v>
      </c>
      <c r="M187" s="421" t="s">
        <v>882</v>
      </c>
      <c r="N187" s="421" t="s">
        <v>884</v>
      </c>
      <c r="O187" s="421" t="s">
        <v>151</v>
      </c>
      <c r="P187" s="421" t="s">
        <v>151</v>
      </c>
      <c r="Q187" s="423">
        <v>0</v>
      </c>
      <c r="R187" s="423">
        <v>0</v>
      </c>
      <c r="U187" s="421" t="s">
        <v>881</v>
      </c>
      <c r="V187" s="421" t="s">
        <v>556</v>
      </c>
    </row>
    <row r="188" spans="1:22" x14ac:dyDescent="0.25">
      <c r="A188" s="421" t="s">
        <v>237</v>
      </c>
      <c r="B188" s="421" t="s">
        <v>277</v>
      </c>
      <c r="G188" s="421" t="s">
        <v>229</v>
      </c>
      <c r="H188" s="421" t="s">
        <v>228</v>
      </c>
      <c r="I188" s="421" t="s">
        <v>502</v>
      </c>
      <c r="J188" s="423">
        <v>50</v>
      </c>
      <c r="M188" s="421" t="s">
        <v>883</v>
      </c>
      <c r="N188" s="421" t="s">
        <v>879</v>
      </c>
      <c r="O188" s="421" t="s">
        <v>151</v>
      </c>
      <c r="P188" s="421" t="s">
        <v>151</v>
      </c>
      <c r="Q188" s="423">
        <v>0</v>
      </c>
      <c r="R188" s="423">
        <v>0</v>
      </c>
      <c r="U188" s="421" t="s">
        <v>882</v>
      </c>
      <c r="V188" s="421" t="s">
        <v>556</v>
      </c>
    </row>
    <row r="189" spans="1:22" x14ac:dyDescent="0.25">
      <c r="A189" s="421" t="s">
        <v>237</v>
      </c>
      <c r="B189" s="421" t="s">
        <v>279</v>
      </c>
      <c r="G189" s="421" t="s">
        <v>273</v>
      </c>
      <c r="H189" s="421" t="s">
        <v>272</v>
      </c>
      <c r="I189" s="421" t="s">
        <v>502</v>
      </c>
      <c r="J189" s="423">
        <v>43</v>
      </c>
      <c r="M189" s="421" t="s">
        <v>885</v>
      </c>
      <c r="N189" s="421" t="s">
        <v>886</v>
      </c>
      <c r="O189" s="421" t="s">
        <v>151</v>
      </c>
      <c r="P189" s="421" t="s">
        <v>151</v>
      </c>
      <c r="Q189" s="423">
        <v>0</v>
      </c>
      <c r="R189" s="423">
        <v>0</v>
      </c>
      <c r="U189" s="421" t="s">
        <v>883</v>
      </c>
      <c r="V189" s="421" t="s">
        <v>12</v>
      </c>
    </row>
    <row r="190" spans="1:22" x14ac:dyDescent="0.25">
      <c r="A190" s="421" t="s">
        <v>237</v>
      </c>
      <c r="B190" s="421" t="s">
        <v>281</v>
      </c>
      <c r="G190" s="421" t="s">
        <v>219</v>
      </c>
      <c r="H190" s="421" t="s">
        <v>218</v>
      </c>
      <c r="I190" s="421" t="s">
        <v>502</v>
      </c>
      <c r="J190" s="423">
        <v>677</v>
      </c>
      <c r="M190" s="421" t="s">
        <v>888</v>
      </c>
      <c r="N190" s="421" t="s">
        <v>887</v>
      </c>
      <c r="O190" s="421" t="s">
        <v>151</v>
      </c>
      <c r="P190" s="421" t="s">
        <v>151</v>
      </c>
      <c r="Q190" s="423">
        <v>365</v>
      </c>
      <c r="R190" s="423">
        <v>1672</v>
      </c>
      <c r="U190" s="421" t="s">
        <v>885</v>
      </c>
      <c r="V190" s="421" t="s">
        <v>858</v>
      </c>
    </row>
    <row r="191" spans="1:22" x14ac:dyDescent="0.25">
      <c r="A191" s="421" t="s">
        <v>237</v>
      </c>
      <c r="B191" s="421" t="s">
        <v>238</v>
      </c>
      <c r="G191" s="421" t="s">
        <v>1247</v>
      </c>
      <c r="H191" s="421" t="s">
        <v>345</v>
      </c>
      <c r="I191" s="421" t="s">
        <v>502</v>
      </c>
      <c r="J191" s="423">
        <v>178</v>
      </c>
      <c r="M191" s="421" t="s">
        <v>890</v>
      </c>
      <c r="N191" s="421" t="s">
        <v>889</v>
      </c>
      <c r="O191" s="421" t="s">
        <v>151</v>
      </c>
      <c r="P191" s="421" t="s">
        <v>151</v>
      </c>
      <c r="Q191" s="423">
        <v>0</v>
      </c>
      <c r="R191" s="423">
        <v>0</v>
      </c>
      <c r="U191" s="421" t="s">
        <v>888</v>
      </c>
      <c r="V191" s="421" t="s">
        <v>556</v>
      </c>
    </row>
    <row r="192" spans="1:22" x14ac:dyDescent="0.25">
      <c r="A192" s="421" t="s">
        <v>237</v>
      </c>
      <c r="B192" s="421" t="s">
        <v>249</v>
      </c>
      <c r="G192" s="421" t="s">
        <v>866</v>
      </c>
      <c r="H192" s="421" t="s">
        <v>865</v>
      </c>
      <c r="I192" s="421" t="s">
        <v>502</v>
      </c>
      <c r="J192" s="423">
        <v>60</v>
      </c>
      <c r="M192" s="421" t="s">
        <v>894</v>
      </c>
      <c r="N192" s="421" t="s">
        <v>893</v>
      </c>
      <c r="O192" s="421" t="s">
        <v>1185</v>
      </c>
      <c r="P192" s="421" t="s">
        <v>300</v>
      </c>
      <c r="Q192" s="423">
        <v>0</v>
      </c>
      <c r="R192" s="423">
        <v>0</v>
      </c>
      <c r="U192" s="421" t="s">
        <v>890</v>
      </c>
      <c r="V192" s="421" t="s">
        <v>556</v>
      </c>
    </row>
    <row r="193" spans="1:22" x14ac:dyDescent="0.25">
      <c r="A193" s="421" t="s">
        <v>237</v>
      </c>
      <c r="B193" s="421" t="s">
        <v>251</v>
      </c>
      <c r="G193" s="421" t="s">
        <v>114</v>
      </c>
      <c r="H193" s="421" t="s">
        <v>113</v>
      </c>
      <c r="I193" s="421" t="s">
        <v>845</v>
      </c>
      <c r="J193" s="423">
        <v>0</v>
      </c>
      <c r="M193" s="421" t="s">
        <v>898</v>
      </c>
      <c r="N193" s="421" t="s">
        <v>897</v>
      </c>
      <c r="O193" s="421" t="s">
        <v>1185</v>
      </c>
      <c r="P193" s="421" t="s">
        <v>895</v>
      </c>
      <c r="Q193" s="423">
        <v>0</v>
      </c>
      <c r="R193" s="423">
        <v>0</v>
      </c>
      <c r="U193" s="421" t="s">
        <v>894</v>
      </c>
      <c r="V193" s="421" t="s">
        <v>556</v>
      </c>
    </row>
    <row r="194" spans="1:22" x14ac:dyDescent="0.25">
      <c r="A194" s="421" t="s">
        <v>237</v>
      </c>
      <c r="B194" s="421" t="s">
        <v>275</v>
      </c>
      <c r="G194" s="421" t="s">
        <v>366</v>
      </c>
      <c r="H194" s="421" t="s">
        <v>376</v>
      </c>
      <c r="I194" s="421" t="s">
        <v>502</v>
      </c>
      <c r="J194" s="423">
        <v>150</v>
      </c>
      <c r="M194" s="421" t="s">
        <v>899</v>
      </c>
      <c r="N194" s="421" t="s">
        <v>900</v>
      </c>
      <c r="O194" s="421" t="s">
        <v>5</v>
      </c>
      <c r="P194" s="421" t="s">
        <v>5</v>
      </c>
      <c r="Q194" s="423">
        <v>0</v>
      </c>
      <c r="R194" s="423">
        <v>0</v>
      </c>
      <c r="U194" s="421" t="s">
        <v>898</v>
      </c>
      <c r="V194" s="421" t="s">
        <v>556</v>
      </c>
    </row>
    <row r="195" spans="1:22" x14ac:dyDescent="0.25">
      <c r="A195" s="421" t="s">
        <v>237</v>
      </c>
      <c r="B195" s="421" t="s">
        <v>283</v>
      </c>
      <c r="G195" s="421" t="s">
        <v>221</v>
      </c>
      <c r="H195" s="421" t="s">
        <v>220</v>
      </c>
      <c r="I195" s="421" t="s">
        <v>502</v>
      </c>
      <c r="J195" s="423">
        <v>39</v>
      </c>
      <c r="M195" s="421" t="s">
        <v>288</v>
      </c>
      <c r="N195" s="421" t="s">
        <v>290</v>
      </c>
      <c r="O195" s="421" t="s">
        <v>289</v>
      </c>
      <c r="P195" s="421" t="s">
        <v>289</v>
      </c>
      <c r="Q195" s="423">
        <v>73</v>
      </c>
      <c r="R195" s="423">
        <v>380</v>
      </c>
      <c r="U195" s="421" t="s">
        <v>899</v>
      </c>
      <c r="V195" s="421" t="s">
        <v>556</v>
      </c>
    </row>
    <row r="196" spans="1:22" x14ac:dyDescent="0.25">
      <c r="A196" s="421" t="s">
        <v>237</v>
      </c>
      <c r="B196" s="421" t="s">
        <v>1248</v>
      </c>
      <c r="G196" s="421" t="s">
        <v>355</v>
      </c>
      <c r="H196" s="421" t="s">
        <v>354</v>
      </c>
      <c r="I196" s="421" t="s">
        <v>502</v>
      </c>
      <c r="J196" s="423">
        <v>98</v>
      </c>
      <c r="M196" s="421" t="s">
        <v>293</v>
      </c>
      <c r="N196" s="421" t="s">
        <v>294</v>
      </c>
      <c r="O196" s="421" t="s">
        <v>289</v>
      </c>
      <c r="P196" s="421" t="s">
        <v>289</v>
      </c>
      <c r="Q196" s="423">
        <v>0</v>
      </c>
      <c r="R196" s="423">
        <v>0</v>
      </c>
      <c r="U196" s="421" t="s">
        <v>944</v>
      </c>
      <c r="V196" s="421" t="s">
        <v>556</v>
      </c>
    </row>
    <row r="197" spans="1:22" x14ac:dyDescent="0.25">
      <c r="A197" s="421" t="s">
        <v>289</v>
      </c>
      <c r="B197" s="421" t="s">
        <v>292</v>
      </c>
      <c r="G197" s="421" t="s">
        <v>318</v>
      </c>
      <c r="H197" s="421" t="s">
        <v>317</v>
      </c>
      <c r="I197" s="421" t="s">
        <v>502</v>
      </c>
      <c r="J197" s="423">
        <v>91</v>
      </c>
      <c r="M197" s="421" t="s">
        <v>295</v>
      </c>
      <c r="N197" s="421" t="s">
        <v>374</v>
      </c>
      <c r="O197" s="421" t="s">
        <v>289</v>
      </c>
      <c r="P197" s="421" t="s">
        <v>289</v>
      </c>
      <c r="Q197" s="423">
        <v>48</v>
      </c>
      <c r="R197" s="423">
        <v>218</v>
      </c>
      <c r="U197" s="421" t="s">
        <v>1021</v>
      </c>
      <c r="V197" s="421" t="s">
        <v>556</v>
      </c>
    </row>
    <row r="198" spans="1:22" x14ac:dyDescent="0.25">
      <c r="A198" s="421" t="s">
        <v>289</v>
      </c>
      <c r="B198" s="421" t="s">
        <v>290</v>
      </c>
      <c r="G198" s="421" t="s">
        <v>342</v>
      </c>
      <c r="H198" s="421" t="s">
        <v>341</v>
      </c>
      <c r="I198" s="421" t="s">
        <v>502</v>
      </c>
      <c r="J198" s="423">
        <v>65</v>
      </c>
      <c r="M198" s="421" t="s">
        <v>291</v>
      </c>
      <c r="N198" s="421" t="s">
        <v>292</v>
      </c>
      <c r="O198" s="421" t="s">
        <v>289</v>
      </c>
      <c r="P198" s="421" t="s">
        <v>289</v>
      </c>
      <c r="Q198" s="423">
        <v>70</v>
      </c>
      <c r="R198" s="423">
        <v>368</v>
      </c>
      <c r="U198" s="421" t="s">
        <v>1023</v>
      </c>
      <c r="V198" s="421" t="s">
        <v>556</v>
      </c>
    </row>
    <row r="199" spans="1:22" x14ac:dyDescent="0.25">
      <c r="A199" s="421" t="s">
        <v>289</v>
      </c>
      <c r="B199" s="421" t="s">
        <v>374</v>
      </c>
      <c r="G199" s="421" t="s">
        <v>338</v>
      </c>
      <c r="H199" s="421" t="s">
        <v>337</v>
      </c>
      <c r="I199" s="421" t="s">
        <v>502</v>
      </c>
      <c r="J199" s="423">
        <v>31</v>
      </c>
      <c r="M199" s="421" t="s">
        <v>234</v>
      </c>
      <c r="N199" s="421" t="s">
        <v>235</v>
      </c>
      <c r="O199" s="421" t="s">
        <v>1185</v>
      </c>
      <c r="P199" s="421" t="s">
        <v>230</v>
      </c>
      <c r="Q199" s="423">
        <v>123</v>
      </c>
      <c r="R199" s="423">
        <v>503</v>
      </c>
      <c r="U199" s="421" t="s">
        <v>1038</v>
      </c>
      <c r="V199" s="421" t="s">
        <v>556</v>
      </c>
    </row>
    <row r="200" spans="1:22" x14ac:dyDescent="0.25">
      <c r="A200" s="421" t="s">
        <v>289</v>
      </c>
      <c r="B200" s="421" t="s">
        <v>375</v>
      </c>
      <c r="G200" s="421" t="s">
        <v>351</v>
      </c>
      <c r="H200" s="421" t="s">
        <v>350</v>
      </c>
      <c r="I200" s="421" t="s">
        <v>502</v>
      </c>
      <c r="J200" s="423">
        <v>88</v>
      </c>
      <c r="M200" s="421" t="s">
        <v>147</v>
      </c>
      <c r="N200" s="421" t="s">
        <v>371</v>
      </c>
      <c r="O200" s="421" t="s">
        <v>146</v>
      </c>
      <c r="P200" s="421" t="s">
        <v>146</v>
      </c>
      <c r="Q200" s="423">
        <v>49</v>
      </c>
      <c r="R200" s="423">
        <v>261</v>
      </c>
      <c r="U200" s="421" t="s">
        <v>1046</v>
      </c>
      <c r="V200" s="421" t="s">
        <v>12</v>
      </c>
    </row>
    <row r="201" spans="1:22" x14ac:dyDescent="0.25">
      <c r="A201" s="421" t="s">
        <v>289</v>
      </c>
      <c r="B201" s="421" t="s">
        <v>294</v>
      </c>
      <c r="G201" s="421" t="s">
        <v>118</v>
      </c>
      <c r="H201" s="421" t="s">
        <v>117</v>
      </c>
      <c r="I201" s="421" t="s">
        <v>502</v>
      </c>
      <c r="J201" s="423">
        <v>10</v>
      </c>
      <c r="M201" s="421" t="s">
        <v>148</v>
      </c>
      <c r="N201" s="421" t="s">
        <v>149</v>
      </c>
      <c r="O201" s="421" t="s">
        <v>146</v>
      </c>
      <c r="P201" s="421" t="s">
        <v>146</v>
      </c>
      <c r="Q201" s="423">
        <v>62</v>
      </c>
      <c r="R201" s="423">
        <v>281</v>
      </c>
      <c r="U201" s="421" t="s">
        <v>1065</v>
      </c>
      <c r="V201" s="421" t="s">
        <v>556</v>
      </c>
    </row>
    <row r="202" spans="1:22" x14ac:dyDescent="0.25">
      <c r="A202" s="421" t="s">
        <v>289</v>
      </c>
      <c r="B202" s="421" t="s">
        <v>1058</v>
      </c>
      <c r="G202" s="421" t="s">
        <v>22</v>
      </c>
      <c r="H202" s="421" t="s">
        <v>21</v>
      </c>
      <c r="I202" s="421" t="s">
        <v>502</v>
      </c>
      <c r="J202" s="423">
        <v>629</v>
      </c>
      <c r="M202" s="421" t="s">
        <v>165</v>
      </c>
      <c r="N202" s="421" t="s">
        <v>167</v>
      </c>
      <c r="O202" s="421" t="s">
        <v>1185</v>
      </c>
      <c r="P202" s="421" t="s">
        <v>166</v>
      </c>
      <c r="Q202" s="423">
        <v>37</v>
      </c>
      <c r="R202" s="423">
        <v>159</v>
      </c>
      <c r="U202" s="421" t="s">
        <v>1069</v>
      </c>
      <c r="V202" s="421" t="s">
        <v>556</v>
      </c>
    </row>
    <row r="203" spans="1:22" x14ac:dyDescent="0.25">
      <c r="A203" s="421" t="s">
        <v>289</v>
      </c>
      <c r="B203" s="421" t="s">
        <v>1070</v>
      </c>
      <c r="G203" s="421" t="s">
        <v>122</v>
      </c>
      <c r="H203" s="421" t="s">
        <v>121</v>
      </c>
      <c r="I203" s="421" t="s">
        <v>845</v>
      </c>
      <c r="J203" s="423">
        <v>0</v>
      </c>
      <c r="M203" s="421" t="s">
        <v>168</v>
      </c>
      <c r="N203" s="421" t="s">
        <v>169</v>
      </c>
      <c r="O203" s="421" t="s">
        <v>1185</v>
      </c>
      <c r="P203" s="421" t="s">
        <v>230</v>
      </c>
      <c r="Q203" s="423">
        <v>32</v>
      </c>
      <c r="R203" s="423"/>
      <c r="U203" s="421" t="s">
        <v>288</v>
      </c>
      <c r="V203" s="421" t="s">
        <v>556</v>
      </c>
    </row>
    <row r="204" spans="1:22" x14ac:dyDescent="0.25">
      <c r="A204" s="421" t="s">
        <v>298</v>
      </c>
      <c r="B204" s="421" t="s">
        <v>823</v>
      </c>
      <c r="G204" s="421" t="s">
        <v>124</v>
      </c>
      <c r="H204" s="421" t="s">
        <v>123</v>
      </c>
      <c r="I204" s="421" t="s">
        <v>502</v>
      </c>
      <c r="J204" s="423">
        <v>8</v>
      </c>
      <c r="M204" s="421" t="s">
        <v>170</v>
      </c>
      <c r="N204" s="421" t="s">
        <v>171</v>
      </c>
      <c r="O204" s="421" t="s">
        <v>1185</v>
      </c>
      <c r="P204" s="421" t="s">
        <v>230</v>
      </c>
      <c r="Q204" s="423">
        <v>6</v>
      </c>
      <c r="R204" s="423"/>
      <c r="U204" s="421" t="s">
        <v>293</v>
      </c>
      <c r="V204" s="421" t="s">
        <v>556</v>
      </c>
    </row>
    <row r="205" spans="1:22" x14ac:dyDescent="0.25">
      <c r="A205" s="421" t="s">
        <v>298</v>
      </c>
      <c r="B205" s="421" t="s">
        <v>595</v>
      </c>
      <c r="G205" s="421" t="s">
        <v>1305</v>
      </c>
      <c r="H205" s="421" t="s">
        <v>1306</v>
      </c>
      <c r="I205" s="421" t="s">
        <v>502</v>
      </c>
      <c r="J205" s="423"/>
      <c r="M205" s="421" t="s">
        <v>232</v>
      </c>
      <c r="N205" s="421" t="s">
        <v>233</v>
      </c>
      <c r="O205" s="421" t="s">
        <v>1185</v>
      </c>
      <c r="P205" s="421" t="s">
        <v>230</v>
      </c>
      <c r="Q205" s="423"/>
      <c r="R205" s="423"/>
      <c r="U205" s="421" t="s">
        <v>295</v>
      </c>
      <c r="V205" s="421" t="s">
        <v>556</v>
      </c>
    </row>
    <row r="206" spans="1:22" x14ac:dyDescent="0.25">
      <c r="A206" s="421" t="s">
        <v>300</v>
      </c>
      <c r="B206" s="421" t="s">
        <v>893</v>
      </c>
      <c r="G206" s="421" t="s">
        <v>96</v>
      </c>
      <c r="H206" s="421" t="s">
        <v>95</v>
      </c>
      <c r="I206" s="421" t="s">
        <v>845</v>
      </c>
      <c r="J206" s="423">
        <v>0</v>
      </c>
      <c r="M206" s="421" t="s">
        <v>297</v>
      </c>
      <c r="N206" s="421" t="s">
        <v>823</v>
      </c>
      <c r="O206" s="421" t="s">
        <v>1185</v>
      </c>
      <c r="P206" s="421" t="s">
        <v>298</v>
      </c>
      <c r="Q206" s="423">
        <v>9</v>
      </c>
      <c r="R206" s="423">
        <v>37</v>
      </c>
      <c r="U206" s="421" t="s">
        <v>291</v>
      </c>
      <c r="V206" s="421" t="s">
        <v>556</v>
      </c>
    </row>
    <row r="207" spans="1:22" x14ac:dyDescent="0.25">
      <c r="A207" s="421" t="s">
        <v>300</v>
      </c>
      <c r="B207" s="421" t="s">
        <v>301</v>
      </c>
      <c r="G207" s="421" t="s">
        <v>1282</v>
      </c>
      <c r="H207" s="421" t="s">
        <v>1273</v>
      </c>
      <c r="I207" s="421" t="s">
        <v>502</v>
      </c>
      <c r="J207" s="423">
        <v>24</v>
      </c>
      <c r="M207" s="421" t="s">
        <v>382</v>
      </c>
      <c r="N207" s="421" t="s">
        <v>372</v>
      </c>
      <c r="O207" s="421" t="s">
        <v>146</v>
      </c>
      <c r="P207" s="421" t="s">
        <v>146</v>
      </c>
      <c r="Q207" s="423">
        <v>88</v>
      </c>
      <c r="R207" s="423">
        <v>505</v>
      </c>
      <c r="U207" s="421" t="s">
        <v>234</v>
      </c>
      <c r="V207" s="421" t="s">
        <v>12</v>
      </c>
    </row>
    <row r="208" spans="1:22" x14ac:dyDescent="0.25">
      <c r="A208" s="421" t="s">
        <v>300</v>
      </c>
      <c r="B208" s="421" t="s">
        <v>1044</v>
      </c>
      <c r="G208" s="421" t="s">
        <v>1281</v>
      </c>
      <c r="H208" s="421" t="s">
        <v>1274</v>
      </c>
      <c r="I208" s="421" t="s">
        <v>502</v>
      </c>
      <c r="J208" s="423">
        <v>30</v>
      </c>
      <c r="M208" s="421" t="s">
        <v>383</v>
      </c>
      <c r="N208" s="421" t="s">
        <v>369</v>
      </c>
      <c r="O208" s="421" t="s">
        <v>146</v>
      </c>
      <c r="P208" s="421" t="s">
        <v>146</v>
      </c>
      <c r="Q208" s="423">
        <v>63</v>
      </c>
      <c r="R208" s="423">
        <v>295</v>
      </c>
      <c r="U208" s="421" t="s">
        <v>147</v>
      </c>
      <c r="V208" s="421" t="s">
        <v>556</v>
      </c>
    </row>
    <row r="209" spans="1:22" x14ac:dyDescent="0.25">
      <c r="A209" s="421" t="s">
        <v>300</v>
      </c>
      <c r="B209" s="421" t="s">
        <v>1264</v>
      </c>
      <c r="G209" s="421" t="s">
        <v>1022</v>
      </c>
      <c r="H209" s="421" t="s">
        <v>1023</v>
      </c>
      <c r="I209" s="421" t="s">
        <v>502</v>
      </c>
      <c r="J209" s="423">
        <v>30</v>
      </c>
      <c r="M209" s="421" t="s">
        <v>384</v>
      </c>
      <c r="N209" s="421" t="s">
        <v>370</v>
      </c>
      <c r="O209" s="421" t="s">
        <v>146</v>
      </c>
      <c r="P209" s="421" t="s">
        <v>146</v>
      </c>
      <c r="Q209" s="423">
        <v>31</v>
      </c>
      <c r="R209" s="423">
        <v>144</v>
      </c>
      <c r="U209" s="421" t="s">
        <v>148</v>
      </c>
      <c r="V209" s="421" t="s">
        <v>556</v>
      </c>
    </row>
    <row r="210" spans="1:22" x14ac:dyDescent="0.25">
      <c r="A210" s="421" t="s">
        <v>302</v>
      </c>
      <c r="B210" s="421" t="s">
        <v>12</v>
      </c>
      <c r="G210" s="421" t="s">
        <v>225</v>
      </c>
      <c r="H210" s="421" t="s">
        <v>224</v>
      </c>
      <c r="I210" s="421" t="s">
        <v>502</v>
      </c>
      <c r="J210" s="423">
        <v>39</v>
      </c>
      <c r="M210" s="421" t="s">
        <v>385</v>
      </c>
      <c r="N210" s="421" t="s">
        <v>368</v>
      </c>
      <c r="O210" s="421" t="s">
        <v>146</v>
      </c>
      <c r="P210" s="421" t="s">
        <v>146</v>
      </c>
      <c r="Q210" s="423">
        <v>63</v>
      </c>
      <c r="R210" s="423">
        <v>305</v>
      </c>
      <c r="U210" s="421" t="s">
        <v>165</v>
      </c>
      <c r="V210" s="421" t="s">
        <v>556</v>
      </c>
    </row>
    <row r="211" spans="1:22" x14ac:dyDescent="0.25">
      <c r="A211" s="421" t="s">
        <v>302</v>
      </c>
      <c r="B211" s="421" t="s">
        <v>304</v>
      </c>
      <c r="G211" s="421" t="s">
        <v>277</v>
      </c>
      <c r="H211" s="421" t="s">
        <v>276</v>
      </c>
      <c r="I211" s="421" t="s">
        <v>502</v>
      </c>
      <c r="J211" s="423">
        <v>90</v>
      </c>
      <c r="M211" s="421" t="s">
        <v>386</v>
      </c>
      <c r="N211" s="421" t="s">
        <v>367</v>
      </c>
      <c r="O211" s="421" t="s">
        <v>146</v>
      </c>
      <c r="P211" s="421" t="s">
        <v>146</v>
      </c>
      <c r="Q211" s="423">
        <v>0</v>
      </c>
      <c r="R211" s="423">
        <v>0</v>
      </c>
      <c r="U211" s="421" t="s">
        <v>168</v>
      </c>
      <c r="V211" s="421" t="s">
        <v>12</v>
      </c>
    </row>
    <row r="212" spans="1:22" x14ac:dyDescent="0.25">
      <c r="A212" s="421" t="s">
        <v>302</v>
      </c>
      <c r="B212" s="421" t="s">
        <v>306</v>
      </c>
      <c r="G212" s="421" t="s">
        <v>279</v>
      </c>
      <c r="H212" s="421" t="s">
        <v>278</v>
      </c>
      <c r="I212" s="421" t="s">
        <v>502</v>
      </c>
      <c r="J212" s="423">
        <v>22</v>
      </c>
      <c r="M212" s="421" t="s">
        <v>387</v>
      </c>
      <c r="N212" s="421" t="s">
        <v>373</v>
      </c>
      <c r="O212" s="421" t="s">
        <v>146</v>
      </c>
      <c r="P212" s="421" t="s">
        <v>146</v>
      </c>
      <c r="Q212" s="423">
        <v>202</v>
      </c>
      <c r="R212" s="423">
        <v>906</v>
      </c>
      <c r="U212" s="421" t="s">
        <v>170</v>
      </c>
      <c r="V212" s="421" t="s">
        <v>12</v>
      </c>
    </row>
    <row r="213" spans="1:22" x14ac:dyDescent="0.25">
      <c r="A213" s="421" t="s">
        <v>302</v>
      </c>
      <c r="B213" s="421" t="s">
        <v>308</v>
      </c>
      <c r="G213" s="421" t="s">
        <v>347</v>
      </c>
      <c r="H213" s="421" t="s">
        <v>346</v>
      </c>
      <c r="I213" s="421" t="s">
        <v>502</v>
      </c>
      <c r="J213" s="423">
        <v>179</v>
      </c>
      <c r="M213" s="421" t="s">
        <v>388</v>
      </c>
      <c r="N213" s="421" t="s">
        <v>231</v>
      </c>
      <c r="O213" s="421" t="s">
        <v>1185</v>
      </c>
      <c r="P213" s="421" t="s">
        <v>230</v>
      </c>
      <c r="Q213" s="423">
        <v>32</v>
      </c>
      <c r="R213" s="423">
        <v>187</v>
      </c>
      <c r="U213" s="421" t="s">
        <v>232</v>
      </c>
      <c r="V213" s="421" t="s">
        <v>556</v>
      </c>
    </row>
    <row r="214" spans="1:22" x14ac:dyDescent="0.25">
      <c r="A214" s="421" t="s">
        <v>810</v>
      </c>
      <c r="B214" s="421" t="s">
        <v>810</v>
      </c>
      <c r="G214" s="421" t="s">
        <v>306</v>
      </c>
      <c r="H214" s="421" t="s">
        <v>305</v>
      </c>
      <c r="I214" s="421" t="s">
        <v>502</v>
      </c>
      <c r="J214" s="423">
        <v>86</v>
      </c>
      <c r="M214" s="421" t="s">
        <v>389</v>
      </c>
      <c r="N214" s="421" t="s">
        <v>296</v>
      </c>
      <c r="O214" s="421" t="s">
        <v>151</v>
      </c>
      <c r="P214" s="421" t="s">
        <v>151</v>
      </c>
      <c r="Q214" s="423">
        <v>0</v>
      </c>
      <c r="R214" s="423">
        <v>0</v>
      </c>
      <c r="U214" s="421" t="s">
        <v>297</v>
      </c>
      <c r="V214" s="421" t="s">
        <v>556</v>
      </c>
    </row>
    <row r="215" spans="1:22" x14ac:dyDescent="0.25">
      <c r="A215" s="421" t="s">
        <v>810</v>
      </c>
      <c r="B215" s="421" t="s">
        <v>1302</v>
      </c>
      <c r="G215" s="421" t="s">
        <v>308</v>
      </c>
      <c r="H215" s="421" t="s">
        <v>307</v>
      </c>
      <c r="I215" s="421" t="s">
        <v>502</v>
      </c>
      <c r="J215" s="423">
        <v>41</v>
      </c>
      <c r="M215" s="421" t="s">
        <v>390</v>
      </c>
      <c r="N215" s="421" t="s">
        <v>375</v>
      </c>
      <c r="O215" s="421" t="s">
        <v>289</v>
      </c>
      <c r="P215" s="421" t="s">
        <v>289</v>
      </c>
      <c r="Q215" s="423">
        <v>0</v>
      </c>
      <c r="R215" s="423">
        <v>0</v>
      </c>
      <c r="U215" s="421" t="s">
        <v>382</v>
      </c>
      <c r="V215" s="421" t="s">
        <v>556</v>
      </c>
    </row>
    <row r="216" spans="1:22" x14ac:dyDescent="0.25">
      <c r="A216" s="421" t="s">
        <v>810</v>
      </c>
      <c r="B216" s="421" t="s">
        <v>1305</v>
      </c>
      <c r="G216" s="421" t="s">
        <v>281</v>
      </c>
      <c r="H216" s="421" t="s">
        <v>280</v>
      </c>
      <c r="I216" s="421" t="s">
        <v>502</v>
      </c>
      <c r="J216" s="423">
        <v>91</v>
      </c>
      <c r="M216" s="421" t="s">
        <v>839</v>
      </c>
      <c r="N216" s="421" t="s">
        <v>361</v>
      </c>
      <c r="O216" s="421" t="s">
        <v>1185</v>
      </c>
      <c r="P216" s="421" t="s">
        <v>230</v>
      </c>
      <c r="Q216" s="423"/>
      <c r="R216" s="423"/>
      <c r="U216" s="421" t="s">
        <v>383</v>
      </c>
      <c r="V216" s="421" t="s">
        <v>556</v>
      </c>
    </row>
    <row r="217" spans="1:22" x14ac:dyDescent="0.25">
      <c r="A217" s="421" t="s">
        <v>310</v>
      </c>
      <c r="B217" s="421" t="s">
        <v>358</v>
      </c>
      <c r="G217" s="421" t="s">
        <v>889</v>
      </c>
      <c r="H217" s="421" t="s">
        <v>890</v>
      </c>
      <c r="I217" s="421" t="s">
        <v>845</v>
      </c>
      <c r="J217" s="423">
        <v>0</v>
      </c>
      <c r="M217" s="421" t="s">
        <v>840</v>
      </c>
      <c r="N217" s="421" t="s">
        <v>596</v>
      </c>
      <c r="O217" s="421" t="s">
        <v>781</v>
      </c>
      <c r="P217" s="421" t="s">
        <v>781</v>
      </c>
      <c r="Q217" s="423">
        <v>67</v>
      </c>
      <c r="R217" s="423">
        <v>392</v>
      </c>
      <c r="U217" s="421" t="s">
        <v>384</v>
      </c>
      <c r="V217" s="421" t="s">
        <v>556</v>
      </c>
    </row>
    <row r="218" spans="1:22" x14ac:dyDescent="0.25">
      <c r="A218" s="421" t="s">
        <v>310</v>
      </c>
      <c r="B218" s="421" t="s">
        <v>334</v>
      </c>
      <c r="G218" s="421" t="s">
        <v>181</v>
      </c>
      <c r="H218" s="421" t="s">
        <v>179</v>
      </c>
      <c r="I218" s="421" t="s">
        <v>502</v>
      </c>
      <c r="J218" s="423">
        <v>12</v>
      </c>
      <c r="M218" s="421" t="s">
        <v>825</v>
      </c>
      <c r="N218" s="421" t="s">
        <v>824</v>
      </c>
      <c r="O218" s="421" t="s">
        <v>1185</v>
      </c>
      <c r="P218" s="421" t="s">
        <v>166</v>
      </c>
      <c r="Q218" s="423">
        <v>31</v>
      </c>
      <c r="R218" s="423">
        <v>183</v>
      </c>
      <c r="U218" s="421" t="s">
        <v>385</v>
      </c>
      <c r="V218" s="421" t="s">
        <v>556</v>
      </c>
    </row>
    <row r="219" spans="1:22" x14ac:dyDescent="0.25">
      <c r="A219" s="421" t="s">
        <v>310</v>
      </c>
      <c r="B219" s="421" t="s">
        <v>313</v>
      </c>
      <c r="G219" s="421" t="s">
        <v>900</v>
      </c>
      <c r="H219" s="421" t="s">
        <v>899</v>
      </c>
      <c r="I219" s="421" t="s">
        <v>845</v>
      </c>
      <c r="J219" s="423">
        <v>0</v>
      </c>
      <c r="M219" s="421" t="s">
        <v>826</v>
      </c>
      <c r="N219" s="421" t="s">
        <v>595</v>
      </c>
      <c r="O219" s="421" t="s">
        <v>1185</v>
      </c>
      <c r="P219" s="421" t="s">
        <v>298</v>
      </c>
      <c r="Q219" s="423">
        <v>118</v>
      </c>
      <c r="R219" s="423">
        <v>520</v>
      </c>
      <c r="U219" s="421" t="s">
        <v>386</v>
      </c>
      <c r="V219" s="421" t="s">
        <v>556</v>
      </c>
    </row>
    <row r="220" spans="1:22" x14ac:dyDescent="0.25">
      <c r="A220" s="421" t="s">
        <v>310</v>
      </c>
      <c r="B220" s="421" t="s">
        <v>336</v>
      </c>
      <c r="G220" s="421" t="s">
        <v>810</v>
      </c>
      <c r="H220" s="421" t="s">
        <v>814</v>
      </c>
      <c r="I220" s="421" t="s">
        <v>502</v>
      </c>
      <c r="J220" s="423">
        <v>5</v>
      </c>
      <c r="M220" s="421" t="s">
        <v>934</v>
      </c>
      <c r="N220" s="421" t="s">
        <v>933</v>
      </c>
      <c r="O220" s="421" t="s">
        <v>146</v>
      </c>
      <c r="P220" s="421" t="s">
        <v>146</v>
      </c>
      <c r="Q220" s="423">
        <v>0</v>
      </c>
      <c r="R220" s="423">
        <v>0</v>
      </c>
      <c r="U220" s="421" t="s">
        <v>387</v>
      </c>
      <c r="V220" s="421" t="s">
        <v>556</v>
      </c>
    </row>
    <row r="221" spans="1:22" x14ac:dyDescent="0.25">
      <c r="A221" s="421" t="s">
        <v>310</v>
      </c>
      <c r="B221" s="421" t="s">
        <v>815</v>
      </c>
      <c r="G221" s="421" t="s">
        <v>24</v>
      </c>
      <c r="H221" s="421" t="s">
        <v>23</v>
      </c>
      <c r="I221" s="421" t="s">
        <v>502</v>
      </c>
      <c r="J221" s="423">
        <v>21</v>
      </c>
      <c r="M221" s="421" t="s">
        <v>936</v>
      </c>
      <c r="N221" s="421" t="s">
        <v>935</v>
      </c>
      <c r="O221" s="421" t="s">
        <v>146</v>
      </c>
      <c r="P221" s="421" t="s">
        <v>146</v>
      </c>
      <c r="Q221" s="423">
        <v>0</v>
      </c>
      <c r="R221" s="423">
        <v>0</v>
      </c>
      <c r="U221" s="421" t="s">
        <v>388</v>
      </c>
      <c r="V221" s="421" t="s">
        <v>12</v>
      </c>
    </row>
    <row r="222" spans="1:22" x14ac:dyDescent="0.25">
      <c r="A222" s="421" t="s">
        <v>310</v>
      </c>
      <c r="B222" s="421" t="s">
        <v>196</v>
      </c>
      <c r="G222" s="421" t="s">
        <v>132</v>
      </c>
      <c r="H222" s="421" t="s">
        <v>131</v>
      </c>
      <c r="I222" s="421" t="s">
        <v>845</v>
      </c>
      <c r="J222" s="423">
        <v>0</v>
      </c>
      <c r="M222" s="421" t="s">
        <v>944</v>
      </c>
      <c r="N222" s="421" t="s">
        <v>945</v>
      </c>
      <c r="O222" s="421" t="s">
        <v>151</v>
      </c>
      <c r="P222" s="421" t="s">
        <v>151</v>
      </c>
      <c r="Q222" s="423">
        <v>123</v>
      </c>
      <c r="R222" s="423">
        <v>582</v>
      </c>
      <c r="U222" s="421" t="s">
        <v>389</v>
      </c>
      <c r="V222" s="421" t="s">
        <v>556</v>
      </c>
    </row>
    <row r="223" spans="1:22" x14ac:dyDescent="0.25">
      <c r="A223" s="421" t="s">
        <v>310</v>
      </c>
      <c r="B223" s="421" t="s">
        <v>340</v>
      </c>
      <c r="G223" s="421" t="s">
        <v>227</v>
      </c>
      <c r="H223" s="421" t="s">
        <v>226</v>
      </c>
      <c r="I223" s="421" t="s">
        <v>502</v>
      </c>
      <c r="J223" s="423">
        <v>10</v>
      </c>
      <c r="M223" s="421" t="s">
        <v>1021</v>
      </c>
      <c r="N223" s="421" t="s">
        <v>1024</v>
      </c>
      <c r="O223" s="421" t="s">
        <v>5</v>
      </c>
      <c r="P223" s="421" t="s">
        <v>5</v>
      </c>
      <c r="Q223" s="423">
        <v>0</v>
      </c>
      <c r="R223" s="423">
        <v>0</v>
      </c>
      <c r="U223" s="421" t="s">
        <v>390</v>
      </c>
      <c r="V223" s="421" t="s">
        <v>556</v>
      </c>
    </row>
    <row r="224" spans="1:22" x14ac:dyDescent="0.25">
      <c r="A224" s="421" t="s">
        <v>310</v>
      </c>
      <c r="B224" s="421" t="s">
        <v>320</v>
      </c>
      <c r="G224" s="421" t="s">
        <v>238</v>
      </c>
      <c r="H224" s="421" t="s">
        <v>236</v>
      </c>
      <c r="I224" s="421" t="s">
        <v>502</v>
      </c>
      <c r="J224" s="423">
        <v>67</v>
      </c>
      <c r="M224" s="421" t="s">
        <v>1023</v>
      </c>
      <c r="N224" s="421" t="s">
        <v>1022</v>
      </c>
      <c r="O224" s="421" t="s">
        <v>27</v>
      </c>
      <c r="P224" s="421" t="s">
        <v>27</v>
      </c>
      <c r="Q224" s="423">
        <v>30</v>
      </c>
      <c r="R224" s="423">
        <v>174</v>
      </c>
      <c r="U224" s="421" t="s">
        <v>839</v>
      </c>
      <c r="V224" s="421" t="s">
        <v>556</v>
      </c>
    </row>
    <row r="225" spans="1:22" x14ac:dyDescent="0.25">
      <c r="A225" s="421" t="s">
        <v>310</v>
      </c>
      <c r="B225" s="421" t="s">
        <v>322</v>
      </c>
      <c r="G225" s="421" t="s">
        <v>1248</v>
      </c>
      <c r="H225" s="421" t="s">
        <v>241</v>
      </c>
      <c r="I225" s="421" t="s">
        <v>502</v>
      </c>
      <c r="J225" s="423">
        <v>54</v>
      </c>
      <c r="M225" s="421" t="s">
        <v>1038</v>
      </c>
      <c r="N225" s="421" t="s">
        <v>1037</v>
      </c>
      <c r="O225" s="421" t="s">
        <v>151</v>
      </c>
      <c r="P225" s="421" t="s">
        <v>151</v>
      </c>
      <c r="Q225" s="423">
        <v>219</v>
      </c>
      <c r="R225" s="423">
        <v>891</v>
      </c>
      <c r="U225" s="421" t="s">
        <v>840</v>
      </c>
      <c r="V225" s="421" t="s">
        <v>12</v>
      </c>
    </row>
    <row r="226" spans="1:22" x14ac:dyDescent="0.25">
      <c r="A226" s="421" t="s">
        <v>310</v>
      </c>
      <c r="B226" s="421" t="s">
        <v>328</v>
      </c>
      <c r="G226" s="421" t="s">
        <v>249</v>
      </c>
      <c r="H226" s="421" t="s">
        <v>248</v>
      </c>
      <c r="I226" s="421" t="s">
        <v>502</v>
      </c>
      <c r="J226" s="423">
        <v>6</v>
      </c>
      <c r="M226" s="421" t="s">
        <v>1046</v>
      </c>
      <c r="N226" s="421" t="s">
        <v>1044</v>
      </c>
      <c r="O226" s="421" t="s">
        <v>1185</v>
      </c>
      <c r="P226" s="421" t="s">
        <v>300</v>
      </c>
      <c r="Q226" s="423">
        <v>10</v>
      </c>
      <c r="R226" s="423">
        <v>56</v>
      </c>
      <c r="U226" s="421" t="s">
        <v>825</v>
      </c>
      <c r="V226" s="421" t="s">
        <v>556</v>
      </c>
    </row>
    <row r="227" spans="1:22" x14ac:dyDescent="0.25">
      <c r="A227" s="421" t="s">
        <v>310</v>
      </c>
      <c r="B227" s="421" t="s">
        <v>330</v>
      </c>
      <c r="G227" s="421" t="s">
        <v>251</v>
      </c>
      <c r="H227" s="421" t="s">
        <v>250</v>
      </c>
      <c r="I227" s="421" t="s">
        <v>502</v>
      </c>
      <c r="J227" s="423">
        <v>32</v>
      </c>
      <c r="M227" s="421" t="s">
        <v>1057</v>
      </c>
      <c r="N227" s="421" t="s">
        <v>1056</v>
      </c>
      <c r="O227" s="421" t="s">
        <v>1185</v>
      </c>
      <c r="P227" s="421" t="s">
        <v>230</v>
      </c>
      <c r="Q227" s="423">
        <v>52</v>
      </c>
      <c r="R227" s="423">
        <v>212</v>
      </c>
      <c r="U227" s="421" t="s">
        <v>826</v>
      </c>
      <c r="V227" s="421" t="s">
        <v>12</v>
      </c>
    </row>
    <row r="228" spans="1:22" x14ac:dyDescent="0.25">
      <c r="A228" s="421" t="s">
        <v>310</v>
      </c>
      <c r="B228" s="421" t="s">
        <v>324</v>
      </c>
      <c r="G228" s="421" t="s">
        <v>275</v>
      </c>
      <c r="H228" s="421" t="s">
        <v>274</v>
      </c>
      <c r="I228" s="421" t="s">
        <v>502</v>
      </c>
      <c r="J228" s="423">
        <v>43</v>
      </c>
      <c r="M228" s="421" t="s">
        <v>1059</v>
      </c>
      <c r="N228" s="421" t="s">
        <v>1058</v>
      </c>
      <c r="O228" s="421" t="s">
        <v>289</v>
      </c>
      <c r="P228" s="421" t="s">
        <v>289</v>
      </c>
      <c r="Q228" s="423">
        <v>37</v>
      </c>
      <c r="R228" s="423">
        <v>198</v>
      </c>
      <c r="U228" s="421" t="s">
        <v>934</v>
      </c>
      <c r="V228" s="421" t="s">
        <v>556</v>
      </c>
    </row>
    <row r="229" spans="1:22" x14ac:dyDescent="0.25">
      <c r="A229" s="421" t="s">
        <v>310</v>
      </c>
      <c r="B229" s="421" t="s">
        <v>326</v>
      </c>
      <c r="G229" s="421" t="s">
        <v>349</v>
      </c>
      <c r="H229" s="421" t="s">
        <v>348</v>
      </c>
      <c r="I229" s="421" t="s">
        <v>502</v>
      </c>
      <c r="J229" s="423">
        <v>44</v>
      </c>
      <c r="M229" s="421" t="s">
        <v>1063</v>
      </c>
      <c r="N229" s="421" t="s">
        <v>1070</v>
      </c>
      <c r="O229" s="421" t="s">
        <v>289</v>
      </c>
      <c r="P229" s="421" t="s">
        <v>289</v>
      </c>
      <c r="Q229" s="423">
        <v>123</v>
      </c>
      <c r="R229" s="423">
        <v>575</v>
      </c>
      <c r="U229" s="421" t="s">
        <v>936</v>
      </c>
      <c r="V229" s="421" t="s">
        <v>556</v>
      </c>
    </row>
    <row r="230" spans="1:22" x14ac:dyDescent="0.25">
      <c r="A230" s="421" t="s">
        <v>310</v>
      </c>
      <c r="B230" s="421" t="s">
        <v>332</v>
      </c>
      <c r="G230" s="421" t="s">
        <v>1024</v>
      </c>
      <c r="H230" s="421" t="s">
        <v>1021</v>
      </c>
      <c r="I230" s="421" t="s">
        <v>845</v>
      </c>
      <c r="J230" s="423">
        <v>0</v>
      </c>
      <c r="M230" s="421" t="s">
        <v>1065</v>
      </c>
      <c r="N230" s="421" t="s">
        <v>1064</v>
      </c>
      <c r="O230" s="421" t="s">
        <v>151</v>
      </c>
      <c r="P230" s="421" t="s">
        <v>151</v>
      </c>
      <c r="Q230" s="423">
        <v>123</v>
      </c>
      <c r="R230" s="423">
        <v>555</v>
      </c>
      <c r="U230" s="421" t="s">
        <v>1057</v>
      </c>
      <c r="V230" s="421" t="s">
        <v>556</v>
      </c>
    </row>
    <row r="231" spans="1:22" x14ac:dyDescent="0.25">
      <c r="A231" s="421" t="s">
        <v>310</v>
      </c>
      <c r="B231" s="421" t="s">
        <v>344</v>
      </c>
      <c r="G231" s="421" t="s">
        <v>134</v>
      </c>
      <c r="H231" s="421" t="s">
        <v>133</v>
      </c>
      <c r="I231" s="421" t="s">
        <v>845</v>
      </c>
      <c r="J231" s="423">
        <v>0</v>
      </c>
      <c r="M231" s="421" t="s">
        <v>1067</v>
      </c>
      <c r="N231" s="421" t="s">
        <v>1066</v>
      </c>
      <c r="O231" s="421" t="s">
        <v>1185</v>
      </c>
      <c r="P231" s="421" t="s">
        <v>230</v>
      </c>
      <c r="Q231" s="423">
        <v>26</v>
      </c>
      <c r="R231" s="423">
        <v>111</v>
      </c>
      <c r="U231" s="421" t="s">
        <v>1059</v>
      </c>
      <c r="V231" s="421" t="s">
        <v>556</v>
      </c>
    </row>
    <row r="232" spans="1:22" x14ac:dyDescent="0.25">
      <c r="A232" s="421" t="s">
        <v>310</v>
      </c>
      <c r="B232" s="421" t="s">
        <v>355</v>
      </c>
      <c r="G232" s="421" t="s">
        <v>871</v>
      </c>
      <c r="H232" s="421" t="s">
        <v>857</v>
      </c>
      <c r="I232" s="421" t="s">
        <v>845</v>
      </c>
      <c r="J232" s="423">
        <v>0</v>
      </c>
      <c r="M232" s="421" t="s">
        <v>1069</v>
      </c>
      <c r="N232" s="421" t="s">
        <v>1068</v>
      </c>
      <c r="O232" s="421" t="s">
        <v>529</v>
      </c>
      <c r="P232" s="421" t="s">
        <v>529</v>
      </c>
      <c r="Q232" s="423">
        <v>116</v>
      </c>
      <c r="R232" s="423">
        <v>530</v>
      </c>
      <c r="U232" s="421" t="s">
        <v>1063</v>
      </c>
      <c r="V232" s="421" t="s">
        <v>556</v>
      </c>
    </row>
    <row r="233" spans="1:22" x14ac:dyDescent="0.25">
      <c r="A233" s="421" t="s">
        <v>310</v>
      </c>
      <c r="B233" s="421" t="s">
        <v>318</v>
      </c>
      <c r="G233" s="421" t="s">
        <v>301</v>
      </c>
      <c r="H233" s="421" t="s">
        <v>299</v>
      </c>
      <c r="I233" s="421" t="s">
        <v>502</v>
      </c>
      <c r="J233" s="423">
        <v>14</v>
      </c>
      <c r="M233" s="421" t="s">
        <v>1099</v>
      </c>
      <c r="N233" s="421" t="s">
        <v>1098</v>
      </c>
      <c r="O233" s="421" t="s">
        <v>151</v>
      </c>
      <c r="P233" s="421" t="s">
        <v>151</v>
      </c>
      <c r="Q233" s="423">
        <v>113</v>
      </c>
      <c r="R233" s="423">
        <v>476</v>
      </c>
      <c r="U233" s="421" t="s">
        <v>1067</v>
      </c>
      <c r="V233" s="421" t="s">
        <v>556</v>
      </c>
    </row>
    <row r="234" spans="1:22" x14ac:dyDescent="0.25">
      <c r="A234" s="421" t="s">
        <v>310</v>
      </c>
      <c r="B234" s="421" t="s">
        <v>342</v>
      </c>
      <c r="G234" s="421" t="s">
        <v>316</v>
      </c>
      <c r="H234" s="421" t="s">
        <v>315</v>
      </c>
      <c r="I234" s="421" t="s">
        <v>502</v>
      </c>
      <c r="J234" s="423">
        <v>70</v>
      </c>
      <c r="M234" s="421" t="s">
        <v>1104</v>
      </c>
      <c r="N234" s="421" t="s">
        <v>1105</v>
      </c>
      <c r="O234" s="421" t="s">
        <v>146</v>
      </c>
      <c r="P234" s="421" t="s">
        <v>146</v>
      </c>
      <c r="Q234" s="423">
        <v>23</v>
      </c>
      <c r="R234" s="423">
        <v>112</v>
      </c>
      <c r="U234" s="421" t="s">
        <v>1099</v>
      </c>
      <c r="V234" s="421" t="s">
        <v>556</v>
      </c>
    </row>
    <row r="235" spans="1:22" x14ac:dyDescent="0.25">
      <c r="A235" s="421" t="s">
        <v>310</v>
      </c>
      <c r="B235" s="421" t="s">
        <v>338</v>
      </c>
      <c r="G235" s="421" t="s">
        <v>311</v>
      </c>
      <c r="H235" s="421" t="s">
        <v>309</v>
      </c>
      <c r="I235" s="421" t="s">
        <v>845</v>
      </c>
      <c r="J235" s="423"/>
      <c r="M235" s="421" t="s">
        <v>1124</v>
      </c>
      <c r="N235" s="421" t="s">
        <v>1123</v>
      </c>
      <c r="O235" s="421" t="s">
        <v>529</v>
      </c>
      <c r="P235" s="421" t="s">
        <v>529</v>
      </c>
      <c r="Q235" s="423">
        <v>50</v>
      </c>
      <c r="R235" s="423">
        <v>242</v>
      </c>
      <c r="U235" s="421" t="s">
        <v>1104</v>
      </c>
      <c r="V235" s="421" t="s">
        <v>556</v>
      </c>
    </row>
    <row r="236" spans="1:22" x14ac:dyDescent="0.25">
      <c r="A236" s="421" t="s">
        <v>310</v>
      </c>
      <c r="B236" s="421" t="s">
        <v>351</v>
      </c>
      <c r="G236" s="421" t="s">
        <v>64</v>
      </c>
      <c r="H236" s="421" t="s">
        <v>63</v>
      </c>
      <c r="I236" s="421" t="s">
        <v>845</v>
      </c>
      <c r="J236" s="423">
        <v>0</v>
      </c>
      <c r="M236" s="421" t="s">
        <v>1162</v>
      </c>
      <c r="N236" s="421" t="s">
        <v>1160</v>
      </c>
      <c r="O236" s="421" t="s">
        <v>1185</v>
      </c>
      <c r="P236" s="421" t="s">
        <v>180</v>
      </c>
      <c r="Q236" s="423">
        <v>36</v>
      </c>
      <c r="R236" s="423">
        <v>153</v>
      </c>
      <c r="U236" s="421" t="s">
        <v>1124</v>
      </c>
      <c r="V236" s="421" t="s">
        <v>556</v>
      </c>
    </row>
    <row r="237" spans="1:22" x14ac:dyDescent="0.25">
      <c r="A237" s="421" t="s">
        <v>310</v>
      </c>
      <c r="B237" s="421" t="s">
        <v>347</v>
      </c>
      <c r="G237" s="421" t="s">
        <v>126</v>
      </c>
      <c r="H237" s="421" t="s">
        <v>125</v>
      </c>
      <c r="I237" s="421" t="s">
        <v>502</v>
      </c>
      <c r="J237" s="423">
        <v>35</v>
      </c>
      <c r="M237" s="421" t="s">
        <v>1163</v>
      </c>
      <c r="N237" s="421" t="s">
        <v>1161</v>
      </c>
      <c r="O237" s="421" t="s">
        <v>1185</v>
      </c>
      <c r="P237" s="421" t="s">
        <v>180</v>
      </c>
      <c r="Q237" s="423">
        <v>15</v>
      </c>
      <c r="R237" s="423">
        <v>64</v>
      </c>
      <c r="U237" s="421" t="s">
        <v>1162</v>
      </c>
      <c r="V237" s="421" t="s">
        <v>12</v>
      </c>
    </row>
    <row r="238" spans="1:22" x14ac:dyDescent="0.25">
      <c r="A238" s="421" t="s">
        <v>310</v>
      </c>
      <c r="B238" s="421" t="s">
        <v>349</v>
      </c>
      <c r="G238" s="421" t="s">
        <v>353</v>
      </c>
      <c r="H238" s="421" t="s">
        <v>352</v>
      </c>
      <c r="I238" s="421" t="s">
        <v>502</v>
      </c>
      <c r="J238" s="423">
        <v>1354</v>
      </c>
      <c r="M238" s="421" t="s">
        <v>1262</v>
      </c>
      <c r="N238" s="421" t="s">
        <v>1279</v>
      </c>
      <c r="O238" s="421" t="s">
        <v>781</v>
      </c>
      <c r="P238" s="421" t="s">
        <v>781</v>
      </c>
      <c r="Q238" s="423">
        <v>38</v>
      </c>
      <c r="R238" s="423">
        <v>172</v>
      </c>
      <c r="U238" s="421" t="s">
        <v>1163</v>
      </c>
      <c r="V238" s="421" t="s">
        <v>12</v>
      </c>
    </row>
    <row r="239" spans="1:22" x14ac:dyDescent="0.25">
      <c r="A239" s="421" t="s">
        <v>310</v>
      </c>
      <c r="B239" s="421" t="s">
        <v>316</v>
      </c>
      <c r="G239" s="421" t="s">
        <v>37</v>
      </c>
      <c r="H239" s="421" t="s">
        <v>36</v>
      </c>
      <c r="I239" s="421" t="s">
        <v>845</v>
      </c>
      <c r="J239" s="423">
        <v>0</v>
      </c>
      <c r="M239" s="421" t="s">
        <v>1263</v>
      </c>
      <c r="N239" s="421" t="s">
        <v>1264</v>
      </c>
      <c r="O239" s="421" t="s">
        <v>1185</v>
      </c>
      <c r="P239" s="421" t="s">
        <v>300</v>
      </c>
      <c r="Q239" s="423">
        <v>59</v>
      </c>
      <c r="R239" s="423">
        <v>235</v>
      </c>
      <c r="U239" s="421" t="s">
        <v>1262</v>
      </c>
      <c r="V239" s="421" t="s">
        <v>556</v>
      </c>
    </row>
    <row r="240" spans="1:22" x14ac:dyDescent="0.25">
      <c r="A240" s="421" t="s">
        <v>310</v>
      </c>
      <c r="B240" s="421" t="s">
        <v>311</v>
      </c>
      <c r="G240" s="421" t="s">
        <v>74</v>
      </c>
      <c r="H240" s="421" t="s">
        <v>73</v>
      </c>
      <c r="I240" s="421" t="s">
        <v>845</v>
      </c>
      <c r="J240" s="423">
        <v>0</v>
      </c>
      <c r="M240" s="421" t="s">
        <v>1273</v>
      </c>
      <c r="N240" s="421" t="s">
        <v>1282</v>
      </c>
      <c r="O240" s="421" t="s">
        <v>1185</v>
      </c>
      <c r="P240" s="421" t="s">
        <v>173</v>
      </c>
      <c r="Q240" s="423">
        <v>24</v>
      </c>
      <c r="R240" s="423">
        <v>83</v>
      </c>
      <c r="U240" s="421" t="s">
        <v>1263</v>
      </c>
      <c r="V240" s="421" t="s">
        <v>556</v>
      </c>
    </row>
    <row r="241" spans="1:22" x14ac:dyDescent="0.25">
      <c r="A241" s="421" t="s">
        <v>310</v>
      </c>
      <c r="B241" s="421" t="s">
        <v>353</v>
      </c>
      <c r="G241" s="421" t="s">
        <v>283</v>
      </c>
      <c r="H241" s="421" t="s">
        <v>282</v>
      </c>
      <c r="I241" s="421" t="s">
        <v>502</v>
      </c>
      <c r="J241" s="423">
        <v>7</v>
      </c>
      <c r="M241" s="421" t="s">
        <v>1274</v>
      </c>
      <c r="N241" s="421" t="s">
        <v>1281</v>
      </c>
      <c r="O241" s="421" t="s">
        <v>1185</v>
      </c>
      <c r="P241" s="421" t="s">
        <v>173</v>
      </c>
      <c r="Q241" s="423">
        <v>30</v>
      </c>
      <c r="R241" s="423">
        <v>137</v>
      </c>
      <c r="U241" s="421" t="s">
        <v>1273</v>
      </c>
      <c r="V241" s="421" t="s">
        <v>12</v>
      </c>
    </row>
    <row r="242" spans="1:22" x14ac:dyDescent="0.25">
      <c r="A242" s="421" t="s">
        <v>310</v>
      </c>
      <c r="B242" s="421" t="s">
        <v>1250</v>
      </c>
      <c r="G242" s="421" t="s">
        <v>26</v>
      </c>
      <c r="H242" s="421" t="s">
        <v>25</v>
      </c>
      <c r="I242" s="421" t="s">
        <v>502</v>
      </c>
      <c r="J242" s="423">
        <v>15</v>
      </c>
      <c r="M242" s="421" t="s">
        <v>1275</v>
      </c>
      <c r="N242" s="421" t="s">
        <v>1272</v>
      </c>
      <c r="O242" s="421" t="s">
        <v>1185</v>
      </c>
      <c r="P242" s="421" t="s">
        <v>173</v>
      </c>
      <c r="Q242" s="423">
        <v>9</v>
      </c>
      <c r="R242" s="423">
        <v>39</v>
      </c>
      <c r="U242" s="421" t="s">
        <v>1274</v>
      </c>
      <c r="V242" s="421" t="s">
        <v>556</v>
      </c>
    </row>
    <row r="243" spans="1:22" x14ac:dyDescent="0.25">
      <c r="A243" s="421" t="s">
        <v>310</v>
      </c>
      <c r="B243" s="421" t="s">
        <v>1251</v>
      </c>
      <c r="G243" s="421" t="s">
        <v>140</v>
      </c>
      <c r="H243" s="421" t="s">
        <v>139</v>
      </c>
      <c r="I243" s="421" t="s">
        <v>502</v>
      </c>
      <c r="J243" s="423">
        <v>19</v>
      </c>
      <c r="M243" s="421" t="s">
        <v>1303</v>
      </c>
      <c r="N243" s="421" t="s">
        <v>1302</v>
      </c>
      <c r="O243" s="421" t="s">
        <v>1185</v>
      </c>
      <c r="P243" s="421" t="s">
        <v>810</v>
      </c>
      <c r="Q243" s="423">
        <v>161</v>
      </c>
      <c r="R243" s="423">
        <v>711</v>
      </c>
      <c r="U243" s="421" t="s">
        <v>1275</v>
      </c>
      <c r="V243" s="421" t="s">
        <v>556</v>
      </c>
    </row>
    <row r="244" spans="1:22" x14ac:dyDescent="0.25">
      <c r="A244" s="421" t="s">
        <v>310</v>
      </c>
      <c r="B244" s="421" t="s">
        <v>1252</v>
      </c>
      <c r="G244" s="421" t="s">
        <v>1249</v>
      </c>
      <c r="H244" s="421" t="s">
        <v>356</v>
      </c>
      <c r="I244" s="421" t="s">
        <v>502</v>
      </c>
      <c r="J244" s="423">
        <v>612</v>
      </c>
      <c r="M244" s="421" t="s">
        <v>1306</v>
      </c>
      <c r="N244" s="421" t="s">
        <v>1305</v>
      </c>
      <c r="O244" s="421" t="s">
        <v>1185</v>
      </c>
      <c r="P244" s="421" t="s">
        <v>810</v>
      </c>
      <c r="Q244" s="423"/>
      <c r="R244" s="423">
        <v>489</v>
      </c>
      <c r="U244" s="421" t="s">
        <v>1303</v>
      </c>
      <c r="V244" s="421" t="s">
        <v>556</v>
      </c>
    </row>
    <row r="245" spans="1:22" x14ac:dyDescent="0.25">
      <c r="A245" s="421" t="s">
        <v>310</v>
      </c>
      <c r="B245" s="421" t="s">
        <v>1247</v>
      </c>
      <c r="G245" s="421" t="s">
        <v>516</v>
      </c>
      <c r="H245" s="421" t="s">
        <v>517</v>
      </c>
      <c r="I245" s="421" t="s">
        <v>845</v>
      </c>
      <c r="J245" s="423">
        <v>0</v>
      </c>
      <c r="M245" s="421" t="s">
        <v>1320</v>
      </c>
      <c r="N245" s="421" t="s">
        <v>1319</v>
      </c>
      <c r="O245" s="421" t="s">
        <v>185</v>
      </c>
      <c r="P245" s="421" t="s">
        <v>185</v>
      </c>
      <c r="Q245" s="423"/>
      <c r="R245" s="423">
        <v>49</v>
      </c>
      <c r="U245" s="421" t="s">
        <v>1306</v>
      </c>
      <c r="V245" s="421" t="s">
        <v>556</v>
      </c>
    </row>
    <row r="246" spans="1:22" x14ac:dyDescent="0.25">
      <c r="A246" s="421" t="s">
        <v>310</v>
      </c>
      <c r="B246" s="421" t="s">
        <v>1249</v>
      </c>
      <c r="G246" s="421" t="s">
        <v>373</v>
      </c>
      <c r="H246" s="421" t="s">
        <v>387</v>
      </c>
      <c r="I246" s="421" t="s">
        <v>502</v>
      </c>
      <c r="J246" s="423">
        <v>202</v>
      </c>
      <c r="M246" s="421" t="s">
        <v>1323</v>
      </c>
      <c r="N246" s="421" t="s">
        <v>1322</v>
      </c>
      <c r="O246" s="421" t="s">
        <v>146</v>
      </c>
      <c r="P246" s="421" t="s">
        <v>146</v>
      </c>
      <c r="Q246" s="423">
        <v>105</v>
      </c>
      <c r="R246" s="423">
        <v>568</v>
      </c>
      <c r="U246" s="421" t="s">
        <v>1320</v>
      </c>
      <c r="V246" s="421" t="s">
        <v>989</v>
      </c>
    </row>
    <row r="247" spans="1:22" x14ac:dyDescent="0.25">
      <c r="M247"/>
      <c r="N247"/>
      <c r="O247"/>
      <c r="P247"/>
      <c r="U247" s="421" t="s">
        <v>1323</v>
      </c>
      <c r="V247" s="421" t="s">
        <v>556</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tabColor rgb="FFFFC000"/>
  </sheetPr>
  <dimension ref="A1:M13"/>
  <sheetViews>
    <sheetView workbookViewId="0">
      <selection activeCell="J19" sqref="J19"/>
    </sheetView>
  </sheetViews>
  <sheetFormatPr defaultColWidth="9.140625" defaultRowHeight="15" x14ac:dyDescent="0.25"/>
  <cols>
    <col min="1" max="1" width="6.7109375" style="123" customWidth="1"/>
    <col min="2" max="2" width="34.42578125" style="123" customWidth="1"/>
    <col min="3" max="3" width="22.5703125" style="123" customWidth="1"/>
    <col min="4" max="16384" width="9.140625" style="123"/>
  </cols>
  <sheetData>
    <row r="1" spans="1:13" x14ac:dyDescent="0.25">
      <c r="A1" s="131"/>
      <c r="B1" s="132"/>
      <c r="E1" s="123" t="s">
        <v>948</v>
      </c>
      <c r="K1" s="123" t="s">
        <v>949</v>
      </c>
      <c r="L1" s="123" t="s">
        <v>950</v>
      </c>
    </row>
    <row r="2" spans="1:13" ht="44.25" customHeight="1" x14ac:dyDescent="0.25">
      <c r="A2" s="131"/>
      <c r="B2" s="132" t="s">
        <v>951</v>
      </c>
      <c r="C2" s="132" t="str">
        <f>CONCATENATE("d:\",C3,".kml")</f>
        <v>d:\Kachin_CampList_20160601.kml</v>
      </c>
      <c r="G2" s="123" t="s">
        <v>952</v>
      </c>
      <c r="H2" s="123" t="s">
        <v>953</v>
      </c>
      <c r="K2" s="123" t="s">
        <v>954</v>
      </c>
      <c r="L2" s="123" t="s">
        <v>955</v>
      </c>
      <c r="M2" s="123" t="s">
        <v>956</v>
      </c>
    </row>
    <row r="3" spans="1:13" x14ac:dyDescent="0.25">
      <c r="A3" s="131"/>
      <c r="B3" s="133" t="s">
        <v>957</v>
      </c>
      <c r="C3" s="123" t="str">
        <f>CONCATENATE("Kachin_CampList_",TEXT(Report_Date,"yyyymmdd"))</f>
        <v>Kachin_CampList_20160601</v>
      </c>
      <c r="G3" s="123" t="s">
        <v>958</v>
      </c>
      <c r="H3" s="123" t="s">
        <v>959</v>
      </c>
      <c r="K3" s="123" t="s">
        <v>960</v>
      </c>
      <c r="L3" s="123" t="s">
        <v>961</v>
      </c>
      <c r="M3" s="123" t="s">
        <v>962</v>
      </c>
    </row>
    <row r="4" spans="1:13" x14ac:dyDescent="0.25">
      <c r="A4" s="131"/>
      <c r="B4" s="133"/>
      <c r="G4" s="123" t="s">
        <v>963</v>
      </c>
      <c r="H4" s="123" t="s">
        <v>964</v>
      </c>
      <c r="K4" s="123" t="s">
        <v>965</v>
      </c>
      <c r="L4" s="123" t="s">
        <v>966</v>
      </c>
      <c r="M4" s="123" t="s">
        <v>967</v>
      </c>
    </row>
    <row r="5" spans="1:13" x14ac:dyDescent="0.25">
      <c r="B5" s="123" t="s">
        <v>968</v>
      </c>
      <c r="C5" s="123" t="s">
        <v>969</v>
      </c>
      <c r="K5" s="123" t="s">
        <v>970</v>
      </c>
      <c r="L5" s="123" t="s">
        <v>971</v>
      </c>
      <c r="M5" s="123" t="s">
        <v>972</v>
      </c>
    </row>
    <row r="6" spans="1:13" x14ac:dyDescent="0.25">
      <c r="B6" s="123" t="s">
        <v>973</v>
      </c>
      <c r="C6" s="123" t="s">
        <v>974</v>
      </c>
      <c r="K6" s="123" t="s">
        <v>975</v>
      </c>
      <c r="L6" s="123" t="s">
        <v>976</v>
      </c>
      <c r="M6" s="123" t="s">
        <v>977</v>
      </c>
    </row>
    <row r="8" spans="1:13" x14ac:dyDescent="0.25">
      <c r="B8" s="123" t="s">
        <v>978</v>
      </c>
      <c r="C8" s="123" t="s">
        <v>979</v>
      </c>
    </row>
    <row r="9" spans="1:13" x14ac:dyDescent="0.25">
      <c r="B9" s="123" t="s">
        <v>980</v>
      </c>
      <c r="C9" s="123" t="s">
        <v>981</v>
      </c>
      <c r="D9" s="123" t="s">
        <v>982</v>
      </c>
    </row>
    <row r="10" spans="1:13" x14ac:dyDescent="0.25">
      <c r="B10" s="123" t="s">
        <v>983</v>
      </c>
      <c r="C10" s="123" t="s">
        <v>984</v>
      </c>
    </row>
    <row r="11" spans="1:13" x14ac:dyDescent="0.25">
      <c r="B11" s="123" t="s">
        <v>985</v>
      </c>
      <c r="C11" s="123" t="s">
        <v>986</v>
      </c>
    </row>
    <row r="13" spans="1:13" x14ac:dyDescent="0.25">
      <c r="B13" s="123" t="s">
        <v>987</v>
      </c>
      <c r="C13" s="123" t="s">
        <v>988</v>
      </c>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FFC000"/>
    <pageSetUpPr fitToPage="1"/>
  </sheetPr>
  <dimension ref="A1:S25"/>
  <sheetViews>
    <sheetView showZeros="0" workbookViewId="0">
      <selection activeCell="B24" sqref="B24"/>
    </sheetView>
  </sheetViews>
  <sheetFormatPr defaultRowHeight="15" x14ac:dyDescent="0.25"/>
  <cols>
    <col min="1" max="1" width="22.7109375" bestFit="1" customWidth="1"/>
    <col min="2" max="2" width="33.85546875" bestFit="1" customWidth="1"/>
    <col min="3" max="3" width="34" bestFit="1" customWidth="1"/>
    <col min="4" max="4" width="36.7109375" bestFit="1" customWidth="1"/>
    <col min="5" max="5" width="18" bestFit="1" customWidth="1"/>
    <col min="6" max="6" width="3.5703125" bestFit="1" customWidth="1"/>
    <col min="10" max="10" width="14" customWidth="1"/>
    <col min="11" max="11" width="14" style="123" customWidth="1"/>
    <col min="12" max="12" width="15.28515625" customWidth="1"/>
    <col min="13" max="13" width="15.28515625" style="123" customWidth="1"/>
    <col min="14" max="14" width="14.85546875" customWidth="1"/>
    <col min="16" max="16" width="22.5703125" customWidth="1"/>
    <col min="17" max="17" width="21.42578125" customWidth="1"/>
  </cols>
  <sheetData>
    <row r="1" spans="1:19" s="41" customFormat="1" x14ac:dyDescent="0.25">
      <c r="A1" s="41" t="s">
        <v>487</v>
      </c>
      <c r="B1" s="41" t="s">
        <v>489</v>
      </c>
      <c r="C1" s="41" t="s">
        <v>488</v>
      </c>
      <c r="D1" s="41" t="s">
        <v>411</v>
      </c>
      <c r="E1" s="41" t="s">
        <v>491</v>
      </c>
      <c r="F1" s="41" t="s">
        <v>490</v>
      </c>
      <c r="J1" s="2" t="s">
        <v>396</v>
      </c>
      <c r="K1" s="2"/>
      <c r="L1" s="2" t="s">
        <v>380</v>
      </c>
      <c r="M1" s="2"/>
      <c r="N1" s="2" t="s">
        <v>555</v>
      </c>
      <c r="O1" s="2"/>
      <c r="P1" s="2" t="s">
        <v>402</v>
      </c>
      <c r="Q1" s="2" t="s">
        <v>501</v>
      </c>
      <c r="R1"/>
      <c r="S1" s="2" t="s">
        <v>1307</v>
      </c>
    </row>
    <row r="2" spans="1:19" x14ac:dyDescent="0.25">
      <c r="A2" t="s">
        <v>436</v>
      </c>
      <c r="B2" t="s">
        <v>478</v>
      </c>
      <c r="C2" t="s">
        <v>468</v>
      </c>
      <c r="D2" t="s">
        <v>471</v>
      </c>
      <c r="E2" s="123">
        <v>12</v>
      </c>
      <c r="F2">
        <v>2</v>
      </c>
      <c r="J2" s="45" t="s">
        <v>380</v>
      </c>
      <c r="K2" s="45"/>
      <c r="L2" s="45" t="s">
        <v>5</v>
      </c>
      <c r="M2" s="45"/>
      <c r="N2" s="45" t="s">
        <v>146</v>
      </c>
      <c r="O2" s="45"/>
      <c r="P2" s="45" t="s">
        <v>397</v>
      </c>
      <c r="Q2" s="45" t="s">
        <v>496</v>
      </c>
      <c r="S2" t="s">
        <v>1309</v>
      </c>
    </row>
    <row r="3" spans="1:19" x14ac:dyDescent="0.25">
      <c r="A3" t="s">
        <v>1222</v>
      </c>
      <c r="B3" t="s">
        <v>1224</v>
      </c>
      <c r="C3" t="s">
        <v>1225</v>
      </c>
      <c r="D3" t="s">
        <v>1226</v>
      </c>
      <c r="E3" s="123">
        <v>12</v>
      </c>
      <c r="F3">
        <v>1</v>
      </c>
      <c r="J3" s="45" t="s">
        <v>381</v>
      </c>
      <c r="K3" s="45"/>
      <c r="L3" s="45" t="s">
        <v>27</v>
      </c>
      <c r="M3" s="45"/>
      <c r="N3" s="45" t="s">
        <v>166</v>
      </c>
      <c r="O3" s="45"/>
      <c r="P3" s="45" t="s">
        <v>398</v>
      </c>
      <c r="Q3" s="45" t="s">
        <v>497</v>
      </c>
      <c r="S3" t="s">
        <v>1310</v>
      </c>
    </row>
    <row r="4" spans="1:19" x14ac:dyDescent="0.25">
      <c r="A4" t="s">
        <v>457</v>
      </c>
      <c r="B4" t="s">
        <v>479</v>
      </c>
      <c r="C4" t="s">
        <v>464</v>
      </c>
      <c r="D4" t="s">
        <v>474</v>
      </c>
      <c r="E4" s="123">
        <v>12</v>
      </c>
      <c r="F4">
        <v>1</v>
      </c>
      <c r="J4" s="45" t="s">
        <v>555</v>
      </c>
      <c r="K4" s="45"/>
      <c r="L4" s="45" t="s">
        <v>529</v>
      </c>
      <c r="M4" s="45"/>
      <c r="N4" s="45" t="s">
        <v>230</v>
      </c>
      <c r="O4" s="45"/>
      <c r="P4" s="45" t="s">
        <v>399</v>
      </c>
      <c r="Q4" s="45" t="s">
        <v>495</v>
      </c>
    </row>
    <row r="5" spans="1:19" x14ac:dyDescent="0.25">
      <c r="A5" t="s">
        <v>437</v>
      </c>
      <c r="B5" t="s">
        <v>480</v>
      </c>
      <c r="C5" t="s">
        <v>469</v>
      </c>
      <c r="D5" t="s">
        <v>472</v>
      </c>
      <c r="E5" s="123">
        <v>12</v>
      </c>
      <c r="F5">
        <v>1</v>
      </c>
      <c r="J5" s="2"/>
      <c r="K5" s="2"/>
      <c r="L5" s="45" t="s">
        <v>363</v>
      </c>
      <c r="M5" s="45"/>
      <c r="N5" s="45" t="s">
        <v>289</v>
      </c>
      <c r="O5" s="45"/>
      <c r="P5" s="45" t="s">
        <v>400</v>
      </c>
      <c r="Q5" s="45"/>
    </row>
    <row r="6" spans="1:19" x14ac:dyDescent="0.25">
      <c r="A6" t="s">
        <v>597</v>
      </c>
      <c r="B6" t="s">
        <v>481</v>
      </c>
      <c r="C6" t="s">
        <v>473</v>
      </c>
      <c r="D6" t="s">
        <v>477</v>
      </c>
      <c r="E6" s="123">
        <v>12</v>
      </c>
      <c r="F6">
        <v>2</v>
      </c>
      <c r="J6" s="45"/>
      <c r="K6" s="45"/>
      <c r="L6" s="45" t="s">
        <v>144</v>
      </c>
      <c r="M6" s="45"/>
      <c r="N6" s="45" t="s">
        <v>298</v>
      </c>
      <c r="O6" s="45"/>
      <c r="P6" s="45" t="s">
        <v>401</v>
      </c>
      <c r="Q6" s="45"/>
    </row>
    <row r="7" spans="1:19" x14ac:dyDescent="0.25">
      <c r="A7" t="s">
        <v>405</v>
      </c>
      <c r="B7" t="s">
        <v>482</v>
      </c>
      <c r="C7" t="s">
        <v>465</v>
      </c>
      <c r="D7" t="s">
        <v>475</v>
      </c>
      <c r="E7" s="123">
        <v>12</v>
      </c>
      <c r="F7">
        <v>1</v>
      </c>
      <c r="J7" s="45"/>
      <c r="K7" s="45"/>
      <c r="L7" s="123" t="s">
        <v>895</v>
      </c>
      <c r="N7" s="45" t="s">
        <v>781</v>
      </c>
      <c r="O7" s="45"/>
      <c r="P7" s="45"/>
      <c r="Q7" s="45"/>
    </row>
    <row r="8" spans="1:19" x14ac:dyDescent="0.25">
      <c r="A8" t="s">
        <v>458</v>
      </c>
      <c r="B8" t="s">
        <v>483</v>
      </c>
      <c r="C8" t="s">
        <v>466</v>
      </c>
      <c r="D8" t="s">
        <v>476</v>
      </c>
      <c r="E8" s="123">
        <v>12</v>
      </c>
      <c r="F8">
        <v>1</v>
      </c>
      <c r="J8" s="45"/>
      <c r="K8" s="45"/>
      <c r="L8" s="45" t="s">
        <v>151</v>
      </c>
      <c r="M8" s="45"/>
      <c r="O8" s="45"/>
      <c r="P8" s="45"/>
      <c r="Q8" s="45"/>
    </row>
    <row r="9" spans="1:19" x14ac:dyDescent="0.25">
      <c r="A9" t="s">
        <v>459</v>
      </c>
      <c r="B9" t="s">
        <v>484</v>
      </c>
      <c r="C9" t="s">
        <v>467</v>
      </c>
      <c r="D9" t="s">
        <v>470</v>
      </c>
      <c r="E9" s="123">
        <v>12</v>
      </c>
      <c r="F9">
        <v>1</v>
      </c>
      <c r="J9" s="45"/>
      <c r="K9" s="45"/>
      <c r="L9" s="45" t="s">
        <v>173</v>
      </c>
      <c r="M9" s="45"/>
      <c r="N9" s="45"/>
      <c r="O9" s="45"/>
      <c r="P9" s="45"/>
      <c r="Q9" s="45"/>
    </row>
    <row r="10" spans="1:19" x14ac:dyDescent="0.25">
      <c r="A10" t="s">
        <v>579</v>
      </c>
      <c r="B10" s="77" t="s">
        <v>581</v>
      </c>
      <c r="C10" s="77" t="s">
        <v>583</v>
      </c>
      <c r="D10" s="77" t="s">
        <v>585</v>
      </c>
      <c r="E10" s="123">
        <v>12</v>
      </c>
      <c r="F10" s="77">
        <v>1</v>
      </c>
      <c r="J10" s="45"/>
      <c r="K10" s="45"/>
      <c r="L10" s="45" t="s">
        <v>180</v>
      </c>
      <c r="M10" s="45"/>
      <c r="N10" s="45"/>
      <c r="O10" s="45"/>
      <c r="P10" s="45"/>
      <c r="Q10" s="45"/>
    </row>
    <row r="11" spans="1:19" x14ac:dyDescent="0.25">
      <c r="A11" t="s">
        <v>580</v>
      </c>
      <c r="B11" s="77" t="s">
        <v>582</v>
      </c>
      <c r="C11" s="77" t="s">
        <v>584</v>
      </c>
      <c r="D11" s="77" t="s">
        <v>586</v>
      </c>
      <c r="E11" s="123">
        <v>12</v>
      </c>
      <c r="F11" s="77">
        <v>5</v>
      </c>
      <c r="J11" s="45"/>
      <c r="K11" s="45"/>
      <c r="L11" s="45" t="s">
        <v>185</v>
      </c>
      <c r="M11" s="45"/>
      <c r="N11" s="45"/>
      <c r="O11" s="45"/>
      <c r="P11" s="45"/>
      <c r="Q11" s="45"/>
    </row>
    <row r="12" spans="1:19" x14ac:dyDescent="0.25">
      <c r="A12" t="s">
        <v>990</v>
      </c>
      <c r="B12" s="123" t="s">
        <v>991</v>
      </c>
      <c r="C12" s="123" t="s">
        <v>992</v>
      </c>
      <c r="D12" s="123" t="s">
        <v>993</v>
      </c>
      <c r="E12" s="123">
        <v>12</v>
      </c>
      <c r="F12">
        <v>2</v>
      </c>
      <c r="J12" s="45"/>
      <c r="K12" s="45"/>
      <c r="L12" s="45" t="s">
        <v>379</v>
      </c>
      <c r="M12" s="45"/>
      <c r="N12" s="45"/>
      <c r="O12" s="45"/>
      <c r="P12" s="45"/>
      <c r="Q12" s="45"/>
    </row>
    <row r="13" spans="1:19" x14ac:dyDescent="0.25">
      <c r="A13" s="123" t="s">
        <v>994</v>
      </c>
      <c r="B13" s="123" t="s">
        <v>995</v>
      </c>
      <c r="C13" s="123" t="s">
        <v>996</v>
      </c>
      <c r="D13" s="123" t="s">
        <v>997</v>
      </c>
      <c r="E13" s="123">
        <v>12</v>
      </c>
      <c r="F13">
        <v>3</v>
      </c>
      <c r="J13" s="45"/>
      <c r="K13" s="45"/>
      <c r="L13" s="45" t="s">
        <v>237</v>
      </c>
      <c r="M13" s="45"/>
      <c r="N13" s="45"/>
      <c r="O13" s="45"/>
      <c r="P13" s="45"/>
      <c r="Q13" s="45"/>
    </row>
    <row r="14" spans="1:19" x14ac:dyDescent="0.25">
      <c r="A14" t="s">
        <v>998</v>
      </c>
      <c r="B14" s="123" t="s">
        <v>999</v>
      </c>
      <c r="C14" s="123" t="s">
        <v>1000</v>
      </c>
      <c r="D14" s="123" t="s">
        <v>1001</v>
      </c>
      <c r="E14" s="123">
        <v>12</v>
      </c>
      <c r="F14">
        <v>10</v>
      </c>
      <c r="J14" s="45"/>
      <c r="K14" s="45"/>
      <c r="L14" s="45" t="s">
        <v>300</v>
      </c>
      <c r="M14" s="45"/>
      <c r="N14" s="45"/>
      <c r="O14" s="45"/>
      <c r="P14" s="45"/>
      <c r="Q14" s="45"/>
    </row>
    <row r="15" spans="1:19" x14ac:dyDescent="0.25">
      <c r="A15" t="s">
        <v>1114</v>
      </c>
      <c r="B15" t="s">
        <v>1115</v>
      </c>
      <c r="C15" s="123" t="s">
        <v>1116</v>
      </c>
      <c r="D15" s="123" t="s">
        <v>1117</v>
      </c>
      <c r="E15" s="123">
        <v>24</v>
      </c>
      <c r="F15">
        <v>2</v>
      </c>
      <c r="J15" s="45"/>
      <c r="K15" s="45"/>
      <c r="L15" s="45" t="s">
        <v>302</v>
      </c>
      <c r="M15" s="45"/>
      <c r="N15" s="45"/>
      <c r="O15" s="45"/>
      <c r="P15" s="45"/>
      <c r="Q15" s="45"/>
    </row>
    <row r="16" spans="1:19" x14ac:dyDescent="0.25">
      <c r="A16" t="s">
        <v>1312</v>
      </c>
      <c r="B16" t="s">
        <v>1314</v>
      </c>
      <c r="C16" t="s">
        <v>1315</v>
      </c>
      <c r="D16" t="s">
        <v>1316</v>
      </c>
      <c r="E16">
        <v>12</v>
      </c>
      <c r="F16">
        <v>1</v>
      </c>
      <c r="J16" s="45"/>
      <c r="K16" s="45"/>
      <c r="L16" s="45" t="s">
        <v>810</v>
      </c>
      <c r="M16" s="45"/>
      <c r="N16" s="45"/>
      <c r="O16" s="45"/>
      <c r="P16" s="45"/>
      <c r="Q16" s="45"/>
    </row>
    <row r="17" spans="1:17" x14ac:dyDescent="0.25">
      <c r="J17" s="45"/>
      <c r="K17" s="45"/>
      <c r="L17" s="45" t="s">
        <v>310</v>
      </c>
      <c r="M17" s="45"/>
      <c r="N17" s="45"/>
      <c r="O17" s="45"/>
      <c r="P17" s="45"/>
      <c r="Q17" s="45"/>
    </row>
    <row r="18" spans="1:17" x14ac:dyDescent="0.25">
      <c r="J18" s="45"/>
      <c r="K18" s="45"/>
      <c r="L18" s="45"/>
      <c r="M18" s="45"/>
      <c r="N18" s="45"/>
      <c r="O18" s="45"/>
      <c r="P18" s="45"/>
      <c r="Q18" s="45"/>
    </row>
    <row r="19" spans="1:17" x14ac:dyDescent="0.25">
      <c r="J19" s="45"/>
      <c r="K19" s="45"/>
      <c r="L19" s="45"/>
      <c r="M19" s="45"/>
      <c r="N19" s="45"/>
      <c r="O19" s="45"/>
      <c r="P19" s="45"/>
      <c r="Q19" s="45"/>
    </row>
    <row r="20" spans="1:17" x14ac:dyDescent="0.25">
      <c r="A20" s="2"/>
      <c r="J20" s="45"/>
      <c r="K20" s="45"/>
      <c r="L20" s="45"/>
      <c r="M20" s="45"/>
      <c r="N20" s="45"/>
      <c r="O20" s="45"/>
      <c r="P20" s="45"/>
      <c r="Q20" s="45"/>
    </row>
    <row r="23" spans="1:17" x14ac:dyDescent="0.25">
      <c r="A23" t="s">
        <v>1152</v>
      </c>
      <c r="B23" s="61">
        <v>42522</v>
      </c>
    </row>
    <row r="24" spans="1:17" x14ac:dyDescent="0.25">
      <c r="A24" t="s">
        <v>1153</v>
      </c>
      <c r="B24" s="181">
        <v>41640</v>
      </c>
      <c r="C24" s="181"/>
    </row>
    <row r="25" spans="1:17" x14ac:dyDescent="0.25">
      <c r="B25" s="181"/>
    </row>
  </sheetData>
  <sortState ref="J2:M17">
    <sortCondition ref="L11"/>
  </sortState>
  <printOptions gridLines="1"/>
  <pageMargins left="0.25" right="0.25" top="0.75" bottom="0.75" header="0.3" footer="0.3"/>
  <pageSetup paperSize="9" orientation="landscape" r:id="rId1"/>
  <tableParts count="3">
    <tablePart r:id="rId2"/>
    <tablePart r:id="rId3"/>
    <tablePart r:id="rId4"/>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92D050"/>
  </sheetPr>
  <dimension ref="A1:C160"/>
  <sheetViews>
    <sheetView workbookViewId="0">
      <selection activeCell="A161" sqref="A161"/>
    </sheetView>
  </sheetViews>
  <sheetFormatPr defaultRowHeight="15" x14ac:dyDescent="0.25"/>
  <cols>
    <col min="1" max="1" width="20" style="123" customWidth="1"/>
    <col min="2" max="2" width="23" style="123" customWidth="1"/>
    <col min="3" max="3" width="11.7109375" style="188" customWidth="1"/>
  </cols>
  <sheetData>
    <row r="1" spans="1:3" s="190" customFormat="1" x14ac:dyDescent="0.25">
      <c r="A1" s="189" t="s">
        <v>928</v>
      </c>
      <c r="B1" s="191" t="s">
        <v>1195</v>
      </c>
      <c r="C1" s="192" t="s">
        <v>1196</v>
      </c>
    </row>
    <row r="2" spans="1:3" x14ac:dyDescent="0.25">
      <c r="A2" s="130" t="s">
        <v>236</v>
      </c>
      <c r="B2" s="178" t="s">
        <v>673</v>
      </c>
      <c r="C2" s="185">
        <v>3.1341427522962952</v>
      </c>
    </row>
    <row r="3" spans="1:3" x14ac:dyDescent="0.25">
      <c r="A3" s="130" t="s">
        <v>268</v>
      </c>
      <c r="B3" s="178" t="s">
        <v>673</v>
      </c>
      <c r="C3" s="185">
        <v>3.8820329084732181</v>
      </c>
    </row>
    <row r="4" spans="1:3" x14ac:dyDescent="0.25">
      <c r="A4" s="130" t="s">
        <v>250</v>
      </c>
      <c r="B4" s="178" t="s">
        <v>673</v>
      </c>
      <c r="C4" s="185">
        <v>2.3045478259125423</v>
      </c>
    </row>
    <row r="5" spans="1:3" x14ac:dyDescent="0.25">
      <c r="A5" s="130" t="s">
        <v>248</v>
      </c>
      <c r="B5" s="178" t="s">
        <v>673</v>
      </c>
      <c r="C5" s="185">
        <v>3.3637010801853577</v>
      </c>
    </row>
    <row r="6" spans="1:3" x14ac:dyDescent="0.25">
      <c r="A6" s="130" t="s">
        <v>274</v>
      </c>
      <c r="B6" s="178" t="s">
        <v>673</v>
      </c>
      <c r="C6" s="185">
        <v>2.0123527499589278</v>
      </c>
    </row>
    <row r="7" spans="1:3" x14ac:dyDescent="0.25">
      <c r="A7" s="130" t="s">
        <v>276</v>
      </c>
      <c r="B7" s="178" t="s">
        <v>673</v>
      </c>
      <c r="C7" s="185">
        <v>2.9133254097712102</v>
      </c>
    </row>
    <row r="8" spans="1:3" x14ac:dyDescent="0.25">
      <c r="A8" s="130" t="s">
        <v>278</v>
      </c>
      <c r="B8" s="178" t="s">
        <v>673</v>
      </c>
      <c r="C8" s="185">
        <v>4.9021696969220816</v>
      </c>
    </row>
    <row r="9" spans="1:3" x14ac:dyDescent="0.25">
      <c r="A9" s="179" t="s">
        <v>260</v>
      </c>
      <c r="B9" s="178" t="s">
        <v>673</v>
      </c>
      <c r="C9" s="185">
        <v>5.4145379230647226</v>
      </c>
    </row>
    <row r="10" spans="1:3" x14ac:dyDescent="0.25">
      <c r="A10" s="179" t="s">
        <v>280</v>
      </c>
      <c r="B10" s="178" t="s">
        <v>673</v>
      </c>
      <c r="C10" s="185">
        <v>6.6198004689728469</v>
      </c>
    </row>
    <row r="11" spans="1:3" x14ac:dyDescent="0.25">
      <c r="A11" s="130" t="s">
        <v>244</v>
      </c>
      <c r="B11" s="178" t="s">
        <v>673</v>
      </c>
      <c r="C11" s="185">
        <v>1.1985969617964649</v>
      </c>
    </row>
    <row r="12" spans="1:3" x14ac:dyDescent="0.25">
      <c r="A12" s="130" t="s">
        <v>246</v>
      </c>
      <c r="B12" s="178" t="s">
        <v>673</v>
      </c>
      <c r="C12" s="185">
        <v>1.3510454549069482</v>
      </c>
    </row>
    <row r="13" spans="1:3" x14ac:dyDescent="0.25">
      <c r="A13" s="130" t="s">
        <v>242</v>
      </c>
      <c r="B13" s="178" t="s">
        <v>673</v>
      </c>
      <c r="C13" s="185">
        <v>1.5295244799681529</v>
      </c>
    </row>
    <row r="14" spans="1:3" x14ac:dyDescent="0.25">
      <c r="A14" s="130" t="s">
        <v>256</v>
      </c>
      <c r="B14" s="178" t="s">
        <v>673</v>
      </c>
      <c r="C14" s="185">
        <v>2.8164250706222882</v>
      </c>
    </row>
    <row r="15" spans="1:3" x14ac:dyDescent="0.25">
      <c r="A15" s="130" t="s">
        <v>284</v>
      </c>
      <c r="B15" s="178" t="s">
        <v>673</v>
      </c>
      <c r="C15" s="185">
        <v>4.262018365878137</v>
      </c>
    </row>
    <row r="16" spans="1:3" x14ac:dyDescent="0.25">
      <c r="A16" s="130" t="s">
        <v>239</v>
      </c>
      <c r="B16" s="178" t="s">
        <v>673</v>
      </c>
      <c r="C16" s="185">
        <v>3.3602711423118103</v>
      </c>
    </row>
    <row r="17" spans="1:3" x14ac:dyDescent="0.25">
      <c r="A17" s="130" t="s">
        <v>258</v>
      </c>
      <c r="B17" s="178" t="s">
        <v>697</v>
      </c>
      <c r="C17" s="185">
        <v>3.3362307375127798</v>
      </c>
    </row>
    <row r="18" spans="1:3" x14ac:dyDescent="0.25">
      <c r="A18" s="130" t="s">
        <v>266</v>
      </c>
      <c r="B18" s="178" t="s">
        <v>673</v>
      </c>
      <c r="C18" s="185">
        <v>1.3751794210741128</v>
      </c>
    </row>
    <row r="19" spans="1:3" x14ac:dyDescent="0.25">
      <c r="A19" s="130" t="s">
        <v>252</v>
      </c>
      <c r="B19" s="178" t="s">
        <v>673</v>
      </c>
      <c r="C19" s="185">
        <v>2.4647367211404561</v>
      </c>
    </row>
    <row r="20" spans="1:3" x14ac:dyDescent="0.25">
      <c r="A20" s="130" t="s">
        <v>254</v>
      </c>
      <c r="B20" s="178" t="s">
        <v>673</v>
      </c>
      <c r="C20" s="185">
        <v>1.8563710010113432</v>
      </c>
    </row>
    <row r="21" spans="1:3" x14ac:dyDescent="0.25">
      <c r="A21" s="130" t="s">
        <v>262</v>
      </c>
      <c r="B21" s="178" t="s">
        <v>673</v>
      </c>
      <c r="C21" s="185">
        <v>10.744749696609457</v>
      </c>
    </row>
    <row r="22" spans="1:3" x14ac:dyDescent="0.25">
      <c r="A22" s="130" t="s">
        <v>264</v>
      </c>
      <c r="B22" s="178" t="s">
        <v>673</v>
      </c>
      <c r="C22" s="185">
        <v>10.15228229456989</v>
      </c>
    </row>
    <row r="23" spans="1:3" x14ac:dyDescent="0.25">
      <c r="A23" s="130" t="s">
        <v>282</v>
      </c>
      <c r="B23" s="178" t="s">
        <v>673</v>
      </c>
      <c r="C23" s="185">
        <v>1.7877148351104664</v>
      </c>
    </row>
    <row r="24" spans="1:3" x14ac:dyDescent="0.25">
      <c r="A24" s="130" t="s">
        <v>241</v>
      </c>
      <c r="B24" s="178" t="s">
        <v>673</v>
      </c>
      <c r="C24" s="185">
        <v>2.6190942927115026</v>
      </c>
    </row>
    <row r="25" spans="1:3" x14ac:dyDescent="0.25">
      <c r="A25" s="130" t="s">
        <v>270</v>
      </c>
      <c r="B25" s="178" t="s">
        <v>673</v>
      </c>
      <c r="C25" s="185">
        <v>4.037940696665812</v>
      </c>
    </row>
    <row r="26" spans="1:3" x14ac:dyDescent="0.25">
      <c r="A26" s="130" t="s">
        <v>341</v>
      </c>
      <c r="B26" s="178" t="s">
        <v>697</v>
      </c>
      <c r="C26" s="185">
        <v>0.4474205416025816</v>
      </c>
    </row>
    <row r="27" spans="1:3" x14ac:dyDescent="0.25">
      <c r="A27" s="130" t="s">
        <v>350</v>
      </c>
      <c r="B27" s="178" t="s">
        <v>697</v>
      </c>
      <c r="C27" s="185">
        <v>1.0367202051285227</v>
      </c>
    </row>
    <row r="28" spans="1:3" x14ac:dyDescent="0.25">
      <c r="A28" s="186" t="s">
        <v>319</v>
      </c>
      <c r="B28" s="178" t="s">
        <v>697</v>
      </c>
      <c r="C28" s="185">
        <v>1.1134935940025397</v>
      </c>
    </row>
    <row r="29" spans="1:3" x14ac:dyDescent="0.25">
      <c r="A29" s="130" t="s">
        <v>312</v>
      </c>
      <c r="B29" s="178" t="s">
        <v>697</v>
      </c>
      <c r="C29" s="185">
        <v>5.0655036329811631</v>
      </c>
    </row>
    <row r="30" spans="1:3" x14ac:dyDescent="0.25">
      <c r="A30" s="179" t="s">
        <v>329</v>
      </c>
      <c r="B30" s="178" t="s">
        <v>673</v>
      </c>
      <c r="C30" s="185">
        <v>5.7019834469756479</v>
      </c>
    </row>
    <row r="31" spans="1:3" x14ac:dyDescent="0.25">
      <c r="A31" s="130" t="s">
        <v>337</v>
      </c>
      <c r="B31" s="178" t="s">
        <v>697</v>
      </c>
      <c r="C31" s="185">
        <v>0.77827912736780092</v>
      </c>
    </row>
    <row r="32" spans="1:3" x14ac:dyDescent="0.25">
      <c r="A32" s="130" t="s">
        <v>327</v>
      </c>
      <c r="B32" s="178" t="s">
        <v>673</v>
      </c>
      <c r="C32" s="185">
        <v>5.9727739497559158</v>
      </c>
    </row>
    <row r="33" spans="1:3" x14ac:dyDescent="0.25">
      <c r="A33" s="130" t="s">
        <v>317</v>
      </c>
      <c r="B33" s="178" t="s">
        <v>697</v>
      </c>
      <c r="C33" s="185">
        <v>0.37684287609457234</v>
      </c>
    </row>
    <row r="34" spans="1:3" x14ac:dyDescent="0.25">
      <c r="A34" s="130" t="s">
        <v>343</v>
      </c>
      <c r="B34" s="178" t="s">
        <v>673</v>
      </c>
      <c r="C34" s="185">
        <v>6.0275881703713861</v>
      </c>
    </row>
    <row r="35" spans="1:3" x14ac:dyDescent="0.25">
      <c r="A35" s="186" t="s">
        <v>309</v>
      </c>
      <c r="B35" s="178" t="s">
        <v>697</v>
      </c>
      <c r="C35" s="185">
        <v>0.70725493400809891</v>
      </c>
    </row>
    <row r="36" spans="1:3" x14ac:dyDescent="0.25">
      <c r="A36" s="130" t="s">
        <v>348</v>
      </c>
      <c r="B36" s="178" t="s">
        <v>697</v>
      </c>
      <c r="C36" s="185">
        <v>2.4174307716662291</v>
      </c>
    </row>
    <row r="37" spans="1:3" x14ac:dyDescent="0.25">
      <c r="A37" s="130" t="s">
        <v>315</v>
      </c>
      <c r="B37" s="178" t="s">
        <v>697</v>
      </c>
      <c r="C37" s="185">
        <v>0.15089472113650237</v>
      </c>
    </row>
    <row r="38" spans="1:3" x14ac:dyDescent="0.25">
      <c r="A38" s="130" t="s">
        <v>325</v>
      </c>
      <c r="B38" s="178" t="s">
        <v>673</v>
      </c>
      <c r="C38" s="185">
        <v>4.3887485673235673</v>
      </c>
    </row>
    <row r="39" spans="1:3" x14ac:dyDescent="0.25">
      <c r="A39" s="130" t="s">
        <v>323</v>
      </c>
      <c r="B39" s="178" t="s">
        <v>673</v>
      </c>
      <c r="C39" s="185">
        <v>5.2238983299151851</v>
      </c>
    </row>
    <row r="40" spans="1:3" x14ac:dyDescent="0.25">
      <c r="A40" s="130" t="s">
        <v>346</v>
      </c>
      <c r="B40" s="178" t="s">
        <v>1211</v>
      </c>
      <c r="C40" s="185">
        <v>9.3609732231189877</v>
      </c>
    </row>
    <row r="41" spans="1:3" x14ac:dyDescent="0.25">
      <c r="A41" s="130" t="s">
        <v>30</v>
      </c>
      <c r="B41" s="178" t="s">
        <v>793</v>
      </c>
      <c r="C41" s="185">
        <v>0.15809623370782155</v>
      </c>
    </row>
    <row r="42" spans="1:3" x14ac:dyDescent="0.25">
      <c r="A42" s="130" t="s">
        <v>29</v>
      </c>
      <c r="B42" s="178" t="s">
        <v>1198</v>
      </c>
      <c r="C42" s="185">
        <v>19.834999342466848</v>
      </c>
    </row>
    <row r="43" spans="1:3" x14ac:dyDescent="0.25">
      <c r="A43" s="130" t="s">
        <v>33</v>
      </c>
      <c r="B43" s="178" t="s">
        <v>1198</v>
      </c>
      <c r="C43" s="185">
        <v>12.486065224161463</v>
      </c>
    </row>
    <row r="44" spans="1:3" x14ac:dyDescent="0.25">
      <c r="A44" s="130" t="s">
        <v>21</v>
      </c>
      <c r="B44" s="178" t="s">
        <v>639</v>
      </c>
      <c r="C44" s="185">
        <v>1.5797992800898704</v>
      </c>
    </row>
    <row r="45" spans="1:3" x14ac:dyDescent="0.25">
      <c r="A45" s="130" t="s">
        <v>17</v>
      </c>
      <c r="B45" s="178" t="s">
        <v>639</v>
      </c>
      <c r="C45" s="185">
        <v>1.0876401420946245</v>
      </c>
    </row>
    <row r="46" spans="1:3" x14ac:dyDescent="0.25">
      <c r="A46" s="130" t="s">
        <v>4</v>
      </c>
      <c r="B46" s="178" t="s">
        <v>639</v>
      </c>
      <c r="C46" s="185">
        <v>0.78440046838596356</v>
      </c>
    </row>
    <row r="47" spans="1:3" x14ac:dyDescent="0.25">
      <c r="A47" s="130" t="s">
        <v>7</v>
      </c>
      <c r="B47" s="178" t="s">
        <v>639</v>
      </c>
      <c r="C47" s="185">
        <v>0.20824727902294948</v>
      </c>
    </row>
    <row r="48" spans="1:3" x14ac:dyDescent="0.25">
      <c r="A48" s="130" t="s">
        <v>13</v>
      </c>
      <c r="B48" s="178" t="s">
        <v>639</v>
      </c>
      <c r="C48" s="185">
        <v>0.84749304721635399</v>
      </c>
    </row>
    <row r="49" spans="1:3" x14ac:dyDescent="0.25">
      <c r="A49" s="130" t="s">
        <v>25</v>
      </c>
      <c r="B49" s="178" t="s">
        <v>639</v>
      </c>
      <c r="C49" s="185">
        <v>0.87147615879849294</v>
      </c>
    </row>
    <row r="50" spans="1:3" x14ac:dyDescent="0.25">
      <c r="A50" s="179" t="s">
        <v>19</v>
      </c>
      <c r="B50" s="178" t="s">
        <v>664</v>
      </c>
      <c r="C50" s="185">
        <v>8.3788619521763046</v>
      </c>
    </row>
    <row r="51" spans="1:3" x14ac:dyDescent="0.25">
      <c r="A51" s="130" t="s">
        <v>23</v>
      </c>
      <c r="B51" s="178" t="s">
        <v>639</v>
      </c>
      <c r="C51" s="185">
        <v>4.108228790802368</v>
      </c>
    </row>
    <row r="52" spans="1:3" x14ac:dyDescent="0.25">
      <c r="A52" s="130" t="s">
        <v>208</v>
      </c>
      <c r="B52" s="178" t="s">
        <v>664</v>
      </c>
      <c r="C52" s="185">
        <v>0.62513510418653162</v>
      </c>
    </row>
    <row r="53" spans="1:3" x14ac:dyDescent="0.25">
      <c r="A53" s="130" t="s">
        <v>206</v>
      </c>
      <c r="B53" s="178" t="s">
        <v>664</v>
      </c>
      <c r="C53" s="185">
        <v>0.49034468319599833</v>
      </c>
    </row>
    <row r="54" spans="1:3" x14ac:dyDescent="0.25">
      <c r="A54" s="130" t="s">
        <v>216</v>
      </c>
      <c r="B54" s="178" t="s">
        <v>664</v>
      </c>
      <c r="C54" s="185">
        <v>0.32830807173487342</v>
      </c>
    </row>
    <row r="55" spans="1:3" x14ac:dyDescent="0.25">
      <c r="A55" s="130" t="s">
        <v>226</v>
      </c>
      <c r="B55" s="178" t="s">
        <v>1208</v>
      </c>
      <c r="C55" s="185">
        <v>14.236592976936194</v>
      </c>
    </row>
    <row r="56" spans="1:3" x14ac:dyDescent="0.25">
      <c r="A56" s="130" t="s">
        <v>212</v>
      </c>
      <c r="B56" s="178" t="s">
        <v>664</v>
      </c>
      <c r="C56" s="185">
        <v>17.689123339899055</v>
      </c>
    </row>
    <row r="57" spans="1:3" x14ac:dyDescent="0.25">
      <c r="A57" s="130" t="s">
        <v>201</v>
      </c>
      <c r="B57" s="178" t="s">
        <v>664</v>
      </c>
      <c r="C57" s="185">
        <v>2.4411071835305544</v>
      </c>
    </row>
    <row r="58" spans="1:3" x14ac:dyDescent="0.25">
      <c r="A58" s="130" t="s">
        <v>203</v>
      </c>
      <c r="B58" s="178" t="s">
        <v>664</v>
      </c>
      <c r="C58" s="185">
        <v>17.282528446236295</v>
      </c>
    </row>
    <row r="59" spans="1:3" x14ac:dyDescent="0.25">
      <c r="A59" s="130" t="s">
        <v>199</v>
      </c>
      <c r="B59" s="178" t="s">
        <v>1208</v>
      </c>
      <c r="C59" s="185">
        <v>19.860265975801305</v>
      </c>
    </row>
    <row r="60" spans="1:3" x14ac:dyDescent="0.25">
      <c r="A60" s="186" t="s">
        <v>220</v>
      </c>
      <c r="B60" s="178" t="s">
        <v>1208</v>
      </c>
      <c r="C60" s="185">
        <v>3.6887624513681017</v>
      </c>
    </row>
    <row r="61" spans="1:3" x14ac:dyDescent="0.25">
      <c r="A61" s="130" t="s">
        <v>150</v>
      </c>
      <c r="B61" s="178" t="s">
        <v>652</v>
      </c>
      <c r="C61" s="185">
        <v>1.0576516850656514</v>
      </c>
    </row>
    <row r="62" spans="1:3" x14ac:dyDescent="0.25">
      <c r="A62" s="130" t="s">
        <v>305</v>
      </c>
      <c r="B62" s="178" t="s">
        <v>623</v>
      </c>
      <c r="C62" s="185">
        <v>0.74396039478864395</v>
      </c>
    </row>
    <row r="63" spans="1:3" x14ac:dyDescent="0.25">
      <c r="A63" s="130" t="s">
        <v>307</v>
      </c>
      <c r="B63" s="178" t="s">
        <v>623</v>
      </c>
      <c r="C63" s="185">
        <v>0.74330366237812662</v>
      </c>
    </row>
    <row r="64" spans="1:3" x14ac:dyDescent="0.25">
      <c r="A64" s="130" t="s">
        <v>222</v>
      </c>
      <c r="B64" s="178" t="s">
        <v>755</v>
      </c>
      <c r="C64" s="185">
        <v>0.77978735578277303</v>
      </c>
    </row>
    <row r="65" spans="1:3" x14ac:dyDescent="0.25">
      <c r="A65" s="130" t="s">
        <v>189</v>
      </c>
      <c r="B65" s="178" t="s">
        <v>755</v>
      </c>
      <c r="C65" s="185">
        <v>0.38934692601696641</v>
      </c>
    </row>
    <row r="66" spans="1:3" x14ac:dyDescent="0.25">
      <c r="A66" s="130" t="s">
        <v>184</v>
      </c>
      <c r="B66" s="178" t="s">
        <v>755</v>
      </c>
      <c r="C66" s="185">
        <v>0.28829825866869707</v>
      </c>
    </row>
    <row r="67" spans="1:3" x14ac:dyDescent="0.25">
      <c r="A67" s="130" t="s">
        <v>228</v>
      </c>
      <c r="B67" s="178" t="s">
        <v>755</v>
      </c>
      <c r="C67" s="185">
        <v>0.77561767807574999</v>
      </c>
    </row>
    <row r="68" spans="1:3" x14ac:dyDescent="0.25">
      <c r="A68" s="130" t="s">
        <v>224</v>
      </c>
      <c r="B68" s="178" t="s">
        <v>755</v>
      </c>
      <c r="C68" s="185">
        <v>1.343152344964242</v>
      </c>
    </row>
    <row r="69" spans="1:3" x14ac:dyDescent="0.25">
      <c r="A69" s="130" t="s">
        <v>143</v>
      </c>
      <c r="B69" s="178" t="s">
        <v>1202</v>
      </c>
      <c r="C69" s="185">
        <v>28.422357500443528</v>
      </c>
    </row>
    <row r="70" spans="1:3" x14ac:dyDescent="0.25">
      <c r="A70" s="186" t="s">
        <v>299</v>
      </c>
      <c r="B70" s="178" t="s">
        <v>802</v>
      </c>
      <c r="C70" s="185">
        <v>1.3759254000531889</v>
      </c>
    </row>
    <row r="71" spans="1:3" x14ac:dyDescent="0.25">
      <c r="A71" s="130" t="s">
        <v>175</v>
      </c>
      <c r="B71" s="178" t="s">
        <v>632</v>
      </c>
      <c r="C71" s="185">
        <v>0.71141459237180937</v>
      </c>
    </row>
    <row r="72" spans="1:3" x14ac:dyDescent="0.25">
      <c r="A72" s="130" t="s">
        <v>172</v>
      </c>
      <c r="B72" s="178" t="s">
        <v>632</v>
      </c>
      <c r="C72" s="185">
        <v>1.815139598767344</v>
      </c>
    </row>
    <row r="73" spans="1:3" x14ac:dyDescent="0.25">
      <c r="A73" s="130" t="s">
        <v>177</v>
      </c>
      <c r="B73" s="178" t="s">
        <v>632</v>
      </c>
      <c r="C73" s="185">
        <v>0.86042374061342075</v>
      </c>
    </row>
    <row r="74" spans="1:3" x14ac:dyDescent="0.25">
      <c r="A74" s="130" t="s">
        <v>179</v>
      </c>
      <c r="B74" s="178" t="s">
        <v>1134</v>
      </c>
      <c r="C74" s="185">
        <v>1.7021273757523427</v>
      </c>
    </row>
    <row r="75" spans="1:3" x14ac:dyDescent="0.25">
      <c r="A75" s="130" t="s">
        <v>99</v>
      </c>
      <c r="B75" s="178" t="s">
        <v>1199</v>
      </c>
      <c r="C75" s="185">
        <v>0.79577754007276646</v>
      </c>
    </row>
    <row r="76" spans="1:3" x14ac:dyDescent="0.25">
      <c r="A76" s="130" t="s">
        <v>107</v>
      </c>
      <c r="B76" s="178" t="s">
        <v>1199</v>
      </c>
      <c r="C76" s="185">
        <v>2.9334852607184256</v>
      </c>
    </row>
    <row r="77" spans="1:3" x14ac:dyDescent="0.25">
      <c r="A77" s="130" t="s">
        <v>139</v>
      </c>
      <c r="B77" s="178" t="s">
        <v>1199</v>
      </c>
      <c r="C77" s="185">
        <v>1.5942018764815451</v>
      </c>
    </row>
    <row r="78" spans="1:3" x14ac:dyDescent="0.25">
      <c r="A78" s="130" t="s">
        <v>71</v>
      </c>
      <c r="B78" s="178" t="s">
        <v>1199</v>
      </c>
      <c r="C78" s="185">
        <v>4.4704963044882238</v>
      </c>
    </row>
    <row r="79" spans="1:3" x14ac:dyDescent="0.25">
      <c r="A79" s="130" t="s">
        <v>356</v>
      </c>
      <c r="B79" s="178" t="s">
        <v>1212</v>
      </c>
      <c r="C79" s="185">
        <v>32.827754639406997</v>
      </c>
    </row>
    <row r="80" spans="1:3" x14ac:dyDescent="0.25">
      <c r="A80" s="130" t="s">
        <v>333</v>
      </c>
      <c r="B80" s="178" t="s">
        <v>1212</v>
      </c>
      <c r="C80" s="185">
        <v>18.198335991626355</v>
      </c>
    </row>
    <row r="81" spans="1:3" x14ac:dyDescent="0.25">
      <c r="A81" s="130" t="s">
        <v>335</v>
      </c>
      <c r="B81" s="178" t="s">
        <v>1212</v>
      </c>
      <c r="C81" s="185">
        <v>21.287604662770121</v>
      </c>
    </row>
    <row r="82" spans="1:3" x14ac:dyDescent="0.25">
      <c r="A82" s="179" t="s">
        <v>352</v>
      </c>
      <c r="B82" s="178" t="s">
        <v>1207</v>
      </c>
      <c r="C82" s="185">
        <v>1.7420415164460403</v>
      </c>
    </row>
    <row r="83" spans="1:3" x14ac:dyDescent="0.25">
      <c r="A83" s="179" t="s">
        <v>314</v>
      </c>
      <c r="B83" s="178" t="s">
        <v>1207</v>
      </c>
      <c r="C83" s="185">
        <v>1.857513522619473</v>
      </c>
    </row>
    <row r="84" spans="1:3" x14ac:dyDescent="0.25">
      <c r="A84" s="130" t="s">
        <v>321</v>
      </c>
      <c r="B84" s="178" t="s">
        <v>1207</v>
      </c>
      <c r="C84" s="185">
        <v>28.888856599204185</v>
      </c>
    </row>
    <row r="85" spans="1:3" x14ac:dyDescent="0.25">
      <c r="A85" s="130" t="s">
        <v>345</v>
      </c>
      <c r="B85" s="178" t="s">
        <v>1207</v>
      </c>
      <c r="C85" s="185">
        <v>20.599512012485512</v>
      </c>
    </row>
    <row r="86" spans="1:3" x14ac:dyDescent="0.25">
      <c r="A86" s="130" t="s">
        <v>195</v>
      </c>
      <c r="B86" s="178" t="s">
        <v>1207</v>
      </c>
      <c r="C86" s="185">
        <v>7.985347533011188</v>
      </c>
    </row>
    <row r="87" spans="1:3" x14ac:dyDescent="0.25">
      <c r="A87" s="130" t="s">
        <v>193</v>
      </c>
      <c r="B87" s="178" t="s">
        <v>1207</v>
      </c>
      <c r="C87" s="185">
        <v>10.953347686331073</v>
      </c>
    </row>
    <row r="88" spans="1:3" x14ac:dyDescent="0.25">
      <c r="A88" s="130" t="s">
        <v>191</v>
      </c>
      <c r="B88" s="178" t="s">
        <v>1208</v>
      </c>
      <c r="C88" s="185">
        <v>18.65617244319267</v>
      </c>
    </row>
    <row r="89" spans="1:3" x14ac:dyDescent="0.25">
      <c r="A89" s="130" t="s">
        <v>218</v>
      </c>
      <c r="B89" s="178" t="s">
        <v>755</v>
      </c>
      <c r="C89" s="185">
        <v>8.953204937938569</v>
      </c>
    </row>
    <row r="90" spans="1:3" x14ac:dyDescent="0.25">
      <c r="A90" s="130" t="s">
        <v>197</v>
      </c>
      <c r="B90" s="178" t="s">
        <v>755</v>
      </c>
      <c r="C90" s="185">
        <v>18.620903555062636</v>
      </c>
    </row>
    <row r="91" spans="1:3" x14ac:dyDescent="0.25">
      <c r="A91" s="130" t="s">
        <v>187</v>
      </c>
      <c r="B91" s="178" t="s">
        <v>1203</v>
      </c>
      <c r="C91" s="185">
        <v>19.796407430638478</v>
      </c>
    </row>
    <row r="92" spans="1:3" x14ac:dyDescent="0.25">
      <c r="A92" s="130" t="s">
        <v>214</v>
      </c>
      <c r="B92" s="178" t="s">
        <v>755</v>
      </c>
      <c r="C92" s="185">
        <v>20.558236360788097</v>
      </c>
    </row>
    <row r="93" spans="1:3" x14ac:dyDescent="0.25">
      <c r="A93" s="130" t="s">
        <v>153</v>
      </c>
      <c r="B93" s="178" t="s">
        <v>1203</v>
      </c>
      <c r="C93" s="185">
        <v>10.509375400480517</v>
      </c>
    </row>
    <row r="94" spans="1:3" x14ac:dyDescent="0.25">
      <c r="A94" s="130" t="s">
        <v>159</v>
      </c>
      <c r="B94" s="178" t="s">
        <v>1203</v>
      </c>
      <c r="C94" s="185">
        <v>9.3704379947870464</v>
      </c>
    </row>
    <row r="95" spans="1:3" x14ac:dyDescent="0.25">
      <c r="A95" s="130" t="s">
        <v>155</v>
      </c>
      <c r="B95" s="178" t="s">
        <v>1203</v>
      </c>
      <c r="C95" s="185">
        <v>9.5650381623500511</v>
      </c>
    </row>
    <row r="96" spans="1:3" x14ac:dyDescent="0.25">
      <c r="A96" s="130" t="s">
        <v>157</v>
      </c>
      <c r="B96" s="178" t="s">
        <v>1203</v>
      </c>
      <c r="C96" s="185">
        <v>12.392289083396149</v>
      </c>
    </row>
    <row r="97" spans="1:3" x14ac:dyDescent="0.25">
      <c r="A97" s="130" t="s">
        <v>87</v>
      </c>
      <c r="B97" s="178" t="s">
        <v>1200</v>
      </c>
      <c r="C97" s="185">
        <v>1.1537462444167914</v>
      </c>
    </row>
    <row r="98" spans="1:3" x14ac:dyDescent="0.25">
      <c r="A98" s="179" t="s">
        <v>339</v>
      </c>
      <c r="B98" s="178" t="s">
        <v>1212</v>
      </c>
      <c r="C98" s="185">
        <v>34.344689881690819</v>
      </c>
    </row>
    <row r="99" spans="1:3" x14ac:dyDescent="0.25">
      <c r="A99" s="130" t="s">
        <v>286</v>
      </c>
      <c r="B99" s="178" t="s">
        <v>1206</v>
      </c>
      <c r="C99" s="185">
        <v>16.668825701583572</v>
      </c>
    </row>
    <row r="100" spans="1:3" x14ac:dyDescent="0.25">
      <c r="A100" s="130" t="s">
        <v>354</v>
      </c>
      <c r="B100" s="178" t="s">
        <v>1212</v>
      </c>
      <c r="C100" s="185">
        <v>17.035515422123492</v>
      </c>
    </row>
    <row r="101" spans="1:3" x14ac:dyDescent="0.25">
      <c r="A101" s="179" t="s">
        <v>272</v>
      </c>
      <c r="B101" s="178" t="s">
        <v>673</v>
      </c>
      <c r="C101" s="185">
        <v>12.627188913244609</v>
      </c>
    </row>
    <row r="102" spans="1:3" x14ac:dyDescent="0.25">
      <c r="A102" s="130" t="s">
        <v>11</v>
      </c>
      <c r="B102" s="178" t="s">
        <v>639</v>
      </c>
      <c r="C102" s="185">
        <v>1.1354007641426449</v>
      </c>
    </row>
    <row r="103" spans="1:3" x14ac:dyDescent="0.25">
      <c r="A103" s="130" t="s">
        <v>91</v>
      </c>
      <c r="B103" s="178" t="s">
        <v>1199</v>
      </c>
      <c r="C103" s="185">
        <v>0.75842119772531946</v>
      </c>
    </row>
    <row r="104" spans="1:3" x14ac:dyDescent="0.25">
      <c r="A104" s="130" t="s">
        <v>119</v>
      </c>
      <c r="B104" s="178" t="s">
        <v>1199</v>
      </c>
      <c r="C104" s="185">
        <v>6.3039408411778268</v>
      </c>
    </row>
    <row r="105" spans="1:3" x14ac:dyDescent="0.25">
      <c r="A105" s="130" t="s">
        <v>51</v>
      </c>
      <c r="B105" s="178" t="s">
        <v>1199</v>
      </c>
      <c r="C105" s="185">
        <v>5.184483270539272</v>
      </c>
    </row>
    <row r="106" spans="1:3" x14ac:dyDescent="0.25">
      <c r="A106" s="130" t="s">
        <v>75</v>
      </c>
      <c r="B106" s="178" t="s">
        <v>1199</v>
      </c>
      <c r="C106" s="185">
        <v>4.8862832644478198</v>
      </c>
    </row>
    <row r="107" spans="1:3" x14ac:dyDescent="0.25">
      <c r="A107" s="130" t="s">
        <v>40</v>
      </c>
      <c r="B107" s="178" t="s">
        <v>1199</v>
      </c>
      <c r="C107" s="185">
        <v>4.1842484710239098</v>
      </c>
    </row>
    <row r="108" spans="1:3" x14ac:dyDescent="0.25">
      <c r="A108" s="130" t="s">
        <v>61</v>
      </c>
      <c r="B108" s="178" t="s">
        <v>1199</v>
      </c>
      <c r="C108" s="185">
        <v>6.4753396248436657</v>
      </c>
    </row>
    <row r="109" spans="1:3" x14ac:dyDescent="0.25">
      <c r="A109" s="130" t="s">
        <v>89</v>
      </c>
      <c r="B109" s="178" t="s">
        <v>1199</v>
      </c>
      <c r="C109" s="185">
        <v>6.7094919928483892</v>
      </c>
    </row>
    <row r="110" spans="1:3" x14ac:dyDescent="0.25">
      <c r="A110" s="130" t="s">
        <v>117</v>
      </c>
      <c r="B110" s="178" t="s">
        <v>1199</v>
      </c>
      <c r="C110" s="185">
        <v>6.2085564346706201</v>
      </c>
    </row>
    <row r="111" spans="1:3" x14ac:dyDescent="0.25">
      <c r="A111" s="130" t="s">
        <v>123</v>
      </c>
      <c r="B111" s="178" t="s">
        <v>1199</v>
      </c>
      <c r="C111" s="185">
        <v>7.419312682373878</v>
      </c>
    </row>
    <row r="112" spans="1:3" x14ac:dyDescent="0.25">
      <c r="A112" s="130" t="s">
        <v>125</v>
      </c>
      <c r="B112" s="178" t="s">
        <v>1199</v>
      </c>
      <c r="C112" s="185">
        <v>4.6754712546149264</v>
      </c>
    </row>
    <row r="113" spans="1:3" x14ac:dyDescent="0.25">
      <c r="A113" s="130" t="s">
        <v>57</v>
      </c>
      <c r="B113" s="178" t="s">
        <v>1200</v>
      </c>
      <c r="C113" s="185">
        <v>23.222739740353646</v>
      </c>
    </row>
    <row r="114" spans="1:3" x14ac:dyDescent="0.25">
      <c r="A114" s="130" t="s">
        <v>42</v>
      </c>
      <c r="B114" s="178" t="s">
        <v>1199</v>
      </c>
      <c r="C114" s="185">
        <v>0.66733171900141897</v>
      </c>
    </row>
    <row r="115" spans="1:3" x14ac:dyDescent="0.25">
      <c r="A115" s="130" t="s">
        <v>45</v>
      </c>
      <c r="B115" s="178" t="s">
        <v>1199</v>
      </c>
      <c r="C115" s="185">
        <v>0.56771790814545575</v>
      </c>
    </row>
    <row r="116" spans="1:3" x14ac:dyDescent="0.25">
      <c r="A116" s="130" t="s">
        <v>46</v>
      </c>
      <c r="B116" s="178" t="s">
        <v>1199</v>
      </c>
      <c r="C116" s="185">
        <v>2.814225084976667</v>
      </c>
    </row>
    <row r="117" spans="1:3" x14ac:dyDescent="0.25">
      <c r="A117" s="130" t="s">
        <v>376</v>
      </c>
      <c r="B117" s="178" t="s">
        <v>639</v>
      </c>
      <c r="C117" s="185">
        <v>4.067486452659054</v>
      </c>
    </row>
    <row r="118" spans="1:3" x14ac:dyDescent="0.25">
      <c r="A118" s="130" t="s">
        <v>377</v>
      </c>
      <c r="B118" s="178" t="s">
        <v>639</v>
      </c>
      <c r="C118" s="185">
        <v>1.9489261822960435</v>
      </c>
    </row>
    <row r="119" spans="1:3" x14ac:dyDescent="0.25">
      <c r="A119" s="130" t="s">
        <v>391</v>
      </c>
      <c r="B119" s="178" t="s">
        <v>652</v>
      </c>
      <c r="C119" s="185">
        <v>0.51447052329458698</v>
      </c>
    </row>
    <row r="120" spans="1:3" x14ac:dyDescent="0.25">
      <c r="A120" s="130" t="s">
        <v>392</v>
      </c>
      <c r="B120" s="178" t="s">
        <v>664</v>
      </c>
      <c r="C120" s="185">
        <v>0.60629049139006752</v>
      </c>
    </row>
    <row r="121" spans="1:3" x14ac:dyDescent="0.25">
      <c r="A121" s="130" t="s">
        <v>393</v>
      </c>
      <c r="B121" s="178" t="s">
        <v>1208</v>
      </c>
      <c r="C121" s="185">
        <v>24.701686141136339</v>
      </c>
    </row>
    <row r="122" spans="1:3" x14ac:dyDescent="0.25">
      <c r="A122" s="130" t="s">
        <v>394</v>
      </c>
      <c r="B122" s="178" t="s">
        <v>623</v>
      </c>
      <c r="C122" s="185">
        <v>2.3794331620169178</v>
      </c>
    </row>
    <row r="123" spans="1:3" x14ac:dyDescent="0.25">
      <c r="A123" s="130" t="s">
        <v>524</v>
      </c>
      <c r="B123" s="178" t="s">
        <v>664</v>
      </c>
      <c r="C123" s="185">
        <v>13.446032768350749</v>
      </c>
    </row>
    <row r="124" spans="1:3" x14ac:dyDescent="0.25">
      <c r="A124" s="186" t="s">
        <v>814</v>
      </c>
      <c r="B124" s="178" t="s">
        <v>812</v>
      </c>
      <c r="C124" s="185">
        <v>0.23004407510846425</v>
      </c>
    </row>
    <row r="125" spans="1:3" x14ac:dyDescent="0.25">
      <c r="A125" s="179" t="s">
        <v>816</v>
      </c>
      <c r="B125" s="178" t="s">
        <v>1207</v>
      </c>
      <c r="C125" s="185">
        <v>2.3307568207764655</v>
      </c>
    </row>
    <row r="126" spans="1:3" x14ac:dyDescent="0.25">
      <c r="A126" s="186" t="s">
        <v>865</v>
      </c>
      <c r="B126" s="178" t="s">
        <v>1198</v>
      </c>
      <c r="C126" s="185">
        <v>0.18710270881855062</v>
      </c>
    </row>
    <row r="127" spans="1:3" x14ac:dyDescent="0.25">
      <c r="A127" s="130" t="s">
        <v>888</v>
      </c>
      <c r="B127" s="178" t="s">
        <v>652</v>
      </c>
      <c r="C127" s="185">
        <v>17.731070777343263</v>
      </c>
    </row>
    <row r="128" spans="1:3" x14ac:dyDescent="0.25">
      <c r="A128" s="186" t="s">
        <v>894</v>
      </c>
      <c r="B128" s="178" t="s">
        <v>1213</v>
      </c>
      <c r="C128" s="185">
        <v>1.7005689699647559</v>
      </c>
    </row>
    <row r="129" spans="1:3" x14ac:dyDescent="0.25">
      <c r="A129" s="186" t="s">
        <v>898</v>
      </c>
      <c r="B129" s="178" t="s">
        <v>1213</v>
      </c>
      <c r="C129" s="185">
        <v>1.136583238544624</v>
      </c>
    </row>
    <row r="130" spans="1:3" x14ac:dyDescent="0.25">
      <c r="A130" s="130" t="s">
        <v>944</v>
      </c>
      <c r="B130" s="178" t="s">
        <v>1200</v>
      </c>
      <c r="C130" s="185">
        <v>12.257552920582597</v>
      </c>
    </row>
    <row r="131" spans="1:3" x14ac:dyDescent="0.25">
      <c r="A131" s="130" t="s">
        <v>1023</v>
      </c>
      <c r="B131" s="178" t="s">
        <v>1197</v>
      </c>
      <c r="C131" s="185">
        <v>0</v>
      </c>
    </row>
    <row r="132" spans="1:3" x14ac:dyDescent="0.25">
      <c r="A132" s="89" t="s">
        <v>1038</v>
      </c>
      <c r="B132" s="178" t="s">
        <v>1203</v>
      </c>
      <c r="C132" s="185">
        <v>19.631786732140053</v>
      </c>
    </row>
    <row r="133" spans="1:3" x14ac:dyDescent="0.25">
      <c r="A133" s="187" t="s">
        <v>1046</v>
      </c>
      <c r="B133" s="178" t="s">
        <v>1213</v>
      </c>
      <c r="C133" s="185">
        <v>4.789460146835963</v>
      </c>
    </row>
    <row r="134" spans="1:3" x14ac:dyDescent="0.25">
      <c r="A134" s="130" t="s">
        <v>1065</v>
      </c>
      <c r="B134" s="178" t="s">
        <v>1203</v>
      </c>
      <c r="C134" s="185">
        <v>10.527586947557506</v>
      </c>
    </row>
    <row r="135" spans="1:3" x14ac:dyDescent="0.25">
      <c r="A135" s="130" t="s">
        <v>1069</v>
      </c>
      <c r="B135" s="178" t="s">
        <v>1199</v>
      </c>
      <c r="C135" s="185">
        <v>0.19374952337076978</v>
      </c>
    </row>
    <row r="136" spans="1:3" x14ac:dyDescent="0.25">
      <c r="A136" s="130" t="s">
        <v>1099</v>
      </c>
      <c r="B136" s="178" t="s">
        <v>1203</v>
      </c>
      <c r="C136" s="185">
        <v>9.2957189123335944</v>
      </c>
    </row>
    <row r="137" spans="1:3" x14ac:dyDescent="0.25">
      <c r="A137" s="130" t="s">
        <v>288</v>
      </c>
      <c r="B137" s="178" t="s">
        <v>1203</v>
      </c>
      <c r="C137" s="185">
        <v>1.5619149693996526</v>
      </c>
    </row>
    <row r="138" spans="1:3" x14ac:dyDescent="0.25">
      <c r="A138" s="130" t="s">
        <v>295</v>
      </c>
      <c r="B138" s="178" t="s">
        <v>1203</v>
      </c>
      <c r="C138" s="185">
        <v>1.5239325151406049</v>
      </c>
    </row>
    <row r="139" spans="1:3" x14ac:dyDescent="0.25">
      <c r="A139" s="130" t="s">
        <v>291</v>
      </c>
      <c r="B139" s="178" t="s">
        <v>1203</v>
      </c>
      <c r="C139" s="185">
        <v>1.7369508287203668</v>
      </c>
    </row>
    <row r="140" spans="1:3" x14ac:dyDescent="0.25">
      <c r="A140" s="130" t="s">
        <v>234</v>
      </c>
      <c r="B140" s="178" t="s">
        <v>1210</v>
      </c>
      <c r="C140" s="185">
        <v>7.490291417449443</v>
      </c>
    </row>
    <row r="141" spans="1:3" x14ac:dyDescent="0.25">
      <c r="A141" s="130" t="s">
        <v>147</v>
      </c>
      <c r="B141" s="178" t="s">
        <v>1204</v>
      </c>
      <c r="C141" s="185">
        <v>23.172399462804503</v>
      </c>
    </row>
    <row r="142" spans="1:3" x14ac:dyDescent="0.25">
      <c r="A142" s="130" t="s">
        <v>148</v>
      </c>
      <c r="B142" s="178" t="s">
        <v>1203</v>
      </c>
      <c r="C142" s="185">
        <v>21.148671772283631</v>
      </c>
    </row>
    <row r="143" spans="1:3" x14ac:dyDescent="0.25">
      <c r="A143" s="130" t="s">
        <v>165</v>
      </c>
      <c r="B143" s="178" t="s">
        <v>1205</v>
      </c>
      <c r="C143" s="185">
        <v>0.43878855438285824</v>
      </c>
    </row>
    <row r="144" spans="1:3" x14ac:dyDescent="0.25">
      <c r="A144" s="130" t="s">
        <v>168</v>
      </c>
      <c r="B144" s="178" t="s">
        <v>1210</v>
      </c>
      <c r="C144" s="185">
        <v>18.405283544772924</v>
      </c>
    </row>
    <row r="145" spans="1:3" x14ac:dyDescent="0.25">
      <c r="A145" s="130" t="s">
        <v>170</v>
      </c>
      <c r="B145" s="178" t="s">
        <v>1210</v>
      </c>
      <c r="C145" s="185">
        <v>12.794700705104317</v>
      </c>
    </row>
    <row r="146" spans="1:3" x14ac:dyDescent="0.25">
      <c r="A146" s="130" t="s">
        <v>232</v>
      </c>
      <c r="B146" s="178" t="s">
        <v>1209</v>
      </c>
      <c r="C146" s="185">
        <v>1.789574394782699</v>
      </c>
    </row>
    <row r="147" spans="1:3" x14ac:dyDescent="0.25">
      <c r="A147" s="130" t="s">
        <v>297</v>
      </c>
      <c r="B147" s="178" t="s">
        <v>819</v>
      </c>
      <c r="C147" s="185">
        <v>0.37588352961435612</v>
      </c>
    </row>
    <row r="148" spans="1:3" x14ac:dyDescent="0.25">
      <c r="A148" s="130" t="s">
        <v>382</v>
      </c>
      <c r="B148" s="178" t="s">
        <v>731</v>
      </c>
      <c r="C148" s="185">
        <v>11.65743881259678</v>
      </c>
    </row>
    <row r="149" spans="1:3" x14ac:dyDescent="0.25">
      <c r="A149" s="130" t="s">
        <v>383</v>
      </c>
      <c r="B149" s="178" t="s">
        <v>731</v>
      </c>
      <c r="C149" s="185">
        <v>1.9281430163271129</v>
      </c>
    </row>
    <row r="150" spans="1:3" x14ac:dyDescent="0.25">
      <c r="A150" s="130" t="s">
        <v>384</v>
      </c>
      <c r="B150" s="178" t="s">
        <v>731</v>
      </c>
      <c r="C150" s="185">
        <v>0.42212558305526549</v>
      </c>
    </row>
    <row r="151" spans="1:3" x14ac:dyDescent="0.25">
      <c r="A151" s="130" t="s">
        <v>385</v>
      </c>
      <c r="B151" s="178" t="s">
        <v>731</v>
      </c>
      <c r="C151" s="185">
        <v>21.050742639251741</v>
      </c>
    </row>
    <row r="152" spans="1:3" x14ac:dyDescent="0.25">
      <c r="A152" s="130" t="s">
        <v>387</v>
      </c>
      <c r="B152" s="178" t="s">
        <v>731</v>
      </c>
      <c r="C152" s="185">
        <v>13.632081902964599</v>
      </c>
    </row>
    <row r="153" spans="1:3" x14ac:dyDescent="0.25">
      <c r="A153" s="130" t="s">
        <v>388</v>
      </c>
      <c r="B153" s="178" t="s">
        <v>1210</v>
      </c>
      <c r="C153" s="185">
        <v>5.5919136174199959</v>
      </c>
    </row>
    <row r="154" spans="1:3" x14ac:dyDescent="0.25">
      <c r="A154" s="130" t="s">
        <v>840</v>
      </c>
      <c r="B154" s="178" t="s">
        <v>1201</v>
      </c>
      <c r="C154" s="185">
        <v>30.037709702375544</v>
      </c>
    </row>
    <row r="155" spans="1:3" x14ac:dyDescent="0.25">
      <c r="A155" s="130" t="s">
        <v>825</v>
      </c>
      <c r="B155" s="178" t="s">
        <v>1205</v>
      </c>
      <c r="C155" s="185">
        <v>0.71762888500316424</v>
      </c>
    </row>
    <row r="156" spans="1:3" x14ac:dyDescent="0.25">
      <c r="A156" s="130" t="s">
        <v>826</v>
      </c>
      <c r="B156" s="178" t="s">
        <v>819</v>
      </c>
      <c r="C156" s="185">
        <v>0.63626694856259092</v>
      </c>
    </row>
    <row r="157" spans="1:3" x14ac:dyDescent="0.25">
      <c r="A157" s="89" t="s">
        <v>1057</v>
      </c>
      <c r="B157" s="178" t="s">
        <v>1052</v>
      </c>
      <c r="C157" s="185">
        <v>1.989668595899414</v>
      </c>
    </row>
    <row r="158" spans="1:3" x14ac:dyDescent="0.25">
      <c r="A158" s="89" t="s">
        <v>1059</v>
      </c>
      <c r="B158" s="178" t="s">
        <v>1203</v>
      </c>
      <c r="C158" s="185">
        <v>2.0141034419413328</v>
      </c>
    </row>
    <row r="159" spans="1:3" x14ac:dyDescent="0.25">
      <c r="A159" s="89" t="s">
        <v>1063</v>
      </c>
      <c r="B159" s="178" t="s">
        <v>1203</v>
      </c>
      <c r="C159" s="185">
        <v>2.8590638493982405</v>
      </c>
    </row>
    <row r="160" spans="1:3" x14ac:dyDescent="0.25">
      <c r="A160" s="89" t="s">
        <v>1067</v>
      </c>
      <c r="B160" s="178" t="s">
        <v>1052</v>
      </c>
      <c r="C160" s="185">
        <v>2.1362355825722226</v>
      </c>
    </row>
  </sheetData>
  <pageMargins left="0.7" right="0.7" top="0.75" bottom="0.75" header="0.3" footer="0.3"/>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92D050"/>
    <pageSetUpPr fitToPage="1"/>
  </sheetPr>
  <dimension ref="A1:BG265"/>
  <sheetViews>
    <sheetView showZeros="0" zoomScale="85" zoomScaleNormal="85" workbookViewId="0">
      <pane ySplit="1" topLeftCell="A2" activePane="bottomLeft" state="frozen"/>
      <selection activeCell="AS915" sqref="AS915"/>
      <selection pane="bottomLeft" activeCell="A4" sqref="A4"/>
    </sheetView>
  </sheetViews>
  <sheetFormatPr defaultColWidth="9.140625" defaultRowHeight="15" x14ac:dyDescent="0.25"/>
  <cols>
    <col min="1" max="1" width="19.5703125" style="6" customWidth="1"/>
    <col min="2" max="2" width="16.28515625" style="6" customWidth="1"/>
    <col min="3" max="3" width="13.85546875" style="6" customWidth="1"/>
    <col min="4" max="5" width="11.28515625" style="6" customWidth="1"/>
    <col min="6" max="6" width="7" style="6" customWidth="1"/>
    <col min="7" max="7" width="16.42578125" style="6" customWidth="1"/>
    <col min="8" max="8" width="11.28515625" style="6" customWidth="1"/>
    <col min="9" max="9" width="7.28515625" style="6" customWidth="1"/>
    <col min="10" max="10" width="11.28515625" style="6" customWidth="1"/>
    <col min="11" max="11" width="8.7109375" style="6" customWidth="1"/>
    <col min="12" max="12" width="11.28515625" style="6" customWidth="1"/>
    <col min="13" max="13" width="12.28515625" style="6" customWidth="1"/>
    <col min="14" max="14" width="9.140625" style="6"/>
    <col min="15" max="15" width="0" style="6" hidden="1" customWidth="1"/>
    <col min="16" max="16" width="19.42578125" style="6" hidden="1" customWidth="1"/>
    <col min="17" max="17" width="20.5703125" style="6" hidden="1" customWidth="1"/>
    <col min="18" max="18" width="0" style="6" hidden="1" customWidth="1"/>
    <col min="19" max="22" width="9.140625" style="6"/>
    <col min="23" max="23" width="15.5703125" style="6" customWidth="1"/>
    <col min="24" max="24" width="10.7109375" style="6" customWidth="1"/>
    <col min="25" max="25" width="14.28515625" style="6" bestFit="1" customWidth="1"/>
    <col min="26" max="26" width="10.140625" style="6" customWidth="1"/>
    <col min="27" max="27" width="9.140625" style="6"/>
    <col min="28" max="28" width="7.42578125" style="6" customWidth="1"/>
    <col min="29" max="29" width="7" style="6" customWidth="1"/>
    <col min="30" max="30" width="6.5703125" style="6" customWidth="1"/>
    <col min="31" max="31" width="9.85546875" style="6" bestFit="1" customWidth="1"/>
    <col min="32" max="32" width="7.140625" style="6" customWidth="1"/>
    <col min="33" max="33" width="8.140625" style="6" customWidth="1"/>
    <col min="34" max="34" width="6" style="6" customWidth="1"/>
    <col min="35" max="35" width="8" style="6" customWidth="1"/>
    <col min="36" max="36" width="9.42578125" style="6" bestFit="1" customWidth="1"/>
    <col min="37" max="37" width="9" style="6" customWidth="1"/>
    <col min="38" max="38" width="10.85546875" style="6" bestFit="1" customWidth="1"/>
    <col min="39" max="39" width="9.85546875" style="6" bestFit="1" customWidth="1"/>
    <col min="40" max="40" width="13.85546875" style="6" bestFit="1" customWidth="1"/>
    <col min="41" max="42" width="7.28515625" style="6" customWidth="1"/>
    <col min="43" max="43" width="11.5703125" style="6" bestFit="1" customWidth="1"/>
    <col min="44" max="16384" width="9.140625" style="6"/>
  </cols>
  <sheetData>
    <row r="1" spans="1:59" s="123" customFormat="1" ht="36" x14ac:dyDescent="0.25">
      <c r="A1" s="290"/>
      <c r="B1" s="291"/>
      <c r="C1" s="291"/>
      <c r="D1" s="291"/>
      <c r="E1" s="291"/>
      <c r="F1" s="291"/>
      <c r="G1" s="291"/>
      <c r="H1" s="291"/>
      <c r="I1" s="291"/>
      <c r="J1" s="291"/>
      <c r="K1" s="291"/>
      <c r="L1" s="291"/>
      <c r="M1" s="291"/>
      <c r="N1" s="242"/>
      <c r="O1" s="6"/>
      <c r="P1" s="6"/>
      <c r="Q1" s="6"/>
      <c r="R1" s="6"/>
      <c r="S1" s="6"/>
      <c r="T1" s="6"/>
      <c r="U1" s="6"/>
      <c r="BF1" s="2"/>
      <c r="BG1" s="2"/>
    </row>
    <row r="2" spans="1:59" s="1" customFormat="1" ht="63.75" customHeight="1" x14ac:dyDescent="0.25">
      <c r="A2" s="310" t="s">
        <v>419</v>
      </c>
      <c r="B2" s="55"/>
      <c r="C2" s="55"/>
      <c r="D2" s="55"/>
      <c r="E2" s="55"/>
      <c r="F2" s="55"/>
      <c r="G2" s="55"/>
      <c r="H2" s="55"/>
      <c r="I2" s="55"/>
      <c r="J2" s="55"/>
      <c r="K2" s="55"/>
      <c r="L2" s="55"/>
      <c r="M2" s="55"/>
      <c r="N2" s="243"/>
      <c r="O2" s="6"/>
      <c r="P2" s="6"/>
      <c r="Q2" s="6"/>
      <c r="R2" s="6"/>
      <c r="S2" s="323"/>
      <c r="T2" s="323"/>
      <c r="U2" s="323"/>
      <c r="V2" s="239"/>
      <c r="BF2" s="56"/>
      <c r="BG2" s="56"/>
    </row>
    <row r="3" spans="1:59" s="18" customFormat="1" ht="18" customHeight="1" x14ac:dyDescent="0.25">
      <c r="A3" s="311">
        <f>Definition!B23</f>
        <v>42522</v>
      </c>
      <c r="B3" s="312"/>
      <c r="C3" s="312"/>
      <c r="D3" s="312"/>
      <c r="E3" s="312"/>
      <c r="F3" s="312"/>
      <c r="G3" s="312"/>
      <c r="H3" s="312"/>
      <c r="I3" s="312"/>
      <c r="J3" s="312"/>
      <c r="K3" s="312"/>
      <c r="L3" s="312"/>
      <c r="M3" s="312"/>
      <c r="N3" s="313"/>
      <c r="O3" s="43"/>
      <c r="P3" s="43"/>
      <c r="Q3" s="43"/>
      <c r="R3" s="43"/>
      <c r="S3" s="324"/>
      <c r="T3" s="325"/>
      <c r="U3" s="325"/>
      <c r="V3" s="239"/>
      <c r="BF3" s="57"/>
      <c r="BG3" s="57"/>
    </row>
    <row r="4" spans="1:59" s="18" customFormat="1" ht="36" x14ac:dyDescent="0.25">
      <c r="A4" s="207"/>
      <c r="B4" s="207"/>
      <c r="C4" s="222"/>
      <c r="D4" s="222"/>
      <c r="E4" s="222"/>
      <c r="F4" s="222"/>
      <c r="G4" s="223"/>
      <c r="H4" s="223"/>
      <c r="I4" s="223"/>
      <c r="J4" s="223"/>
      <c r="K4" s="39"/>
      <c r="L4" s="223"/>
      <c r="M4" s="223"/>
      <c r="N4" s="223"/>
      <c r="O4" s="43"/>
      <c r="P4" s="43"/>
      <c r="Q4" s="43"/>
      <c r="R4" s="43"/>
      <c r="S4" s="324"/>
      <c r="T4" s="325"/>
      <c r="U4" s="325"/>
      <c r="V4" s="239"/>
      <c r="BF4" s="57"/>
      <c r="BG4" s="57"/>
    </row>
    <row r="5" spans="1:59" s="18" customFormat="1" ht="16.5" customHeight="1" x14ac:dyDescent="0.25">
      <c r="A5" s="517" t="s">
        <v>396</v>
      </c>
      <c r="B5" s="517" t="s">
        <v>598</v>
      </c>
      <c r="C5" s="224"/>
      <c r="D5" s="224"/>
      <c r="E5" s="224"/>
      <c r="F5" s="224"/>
      <c r="G5" s="224"/>
      <c r="H5" s="224"/>
      <c r="I5" s="224"/>
      <c r="J5" s="224"/>
      <c r="K5" s="224"/>
      <c r="L5" s="223"/>
      <c r="M5" s="223"/>
      <c r="N5" s="223"/>
      <c r="O5" s="43"/>
      <c r="P5" s="43"/>
      <c r="Q5" s="43"/>
      <c r="R5" s="43"/>
      <c r="S5" s="324"/>
      <c r="T5" s="325"/>
      <c r="U5" s="325"/>
      <c r="V5" s="239"/>
      <c r="BF5" s="57"/>
      <c r="BG5" s="57"/>
    </row>
    <row r="6" spans="1:59" ht="18.75" x14ac:dyDescent="0.25">
      <c r="A6" s="517" t="s">
        <v>0</v>
      </c>
      <c r="B6" s="517" t="s">
        <v>598</v>
      </c>
      <c r="C6" s="242"/>
      <c r="S6" s="326"/>
      <c r="T6" s="323"/>
      <c r="U6" s="323"/>
      <c r="V6" s="323"/>
    </row>
    <row r="7" spans="1:59" x14ac:dyDescent="0.25">
      <c r="A7" s="555" t="s">
        <v>1253</v>
      </c>
      <c r="B7" s="554" t="s">
        <v>1194</v>
      </c>
      <c r="C7" s="246" t="s">
        <v>422</v>
      </c>
      <c r="P7" s="123"/>
      <c r="Q7" s="123"/>
      <c r="S7" s="323"/>
      <c r="T7" s="323"/>
      <c r="U7" s="323"/>
      <c r="V7" s="323"/>
    </row>
    <row r="8" spans="1:59" x14ac:dyDescent="0.25">
      <c r="P8" s="123"/>
      <c r="Q8" s="123"/>
      <c r="S8" s="323"/>
      <c r="T8" s="323"/>
      <c r="U8" s="323"/>
      <c r="V8" s="323"/>
    </row>
    <row r="9" spans="1:59" x14ac:dyDescent="0.25">
      <c r="A9" s="459" t="s">
        <v>415</v>
      </c>
      <c r="B9" s="460" t="s">
        <v>418</v>
      </c>
      <c r="C9" s="458" t="s">
        <v>417</v>
      </c>
      <c r="P9" s="427" t="s">
        <v>396</v>
      </c>
      <c r="Q9" s="424" t="s">
        <v>598</v>
      </c>
      <c r="R9" s="6" t="s">
        <v>422</v>
      </c>
      <c r="S9" s="323"/>
      <c r="T9" s="323"/>
      <c r="U9" s="323"/>
      <c r="V9" s="323"/>
    </row>
    <row r="10" spans="1:59" x14ac:dyDescent="0.25">
      <c r="A10" s="461" t="s">
        <v>502</v>
      </c>
      <c r="B10" s="462">
        <v>18831</v>
      </c>
      <c r="C10" s="463">
        <v>94500</v>
      </c>
      <c r="S10" s="323"/>
      <c r="T10" s="323"/>
      <c r="U10" s="323"/>
      <c r="V10" s="323"/>
      <c r="W10" s="123"/>
      <c r="X10" s="123"/>
    </row>
    <row r="11" spans="1:59" x14ac:dyDescent="0.25">
      <c r="A11" s="464" t="s">
        <v>5</v>
      </c>
      <c r="B11" s="462">
        <v>1501</v>
      </c>
      <c r="C11" s="463">
        <v>8180</v>
      </c>
      <c r="P11" s="424" t="s">
        <v>415</v>
      </c>
      <c r="Q11" s="424" t="s">
        <v>417</v>
      </c>
      <c r="R11" s="123"/>
      <c r="S11" s="323"/>
      <c r="T11" s="323"/>
      <c r="U11" s="323"/>
      <c r="V11" s="323"/>
      <c r="W11" s="123"/>
      <c r="X11" s="123"/>
    </row>
    <row r="12" spans="1:59" x14ac:dyDescent="0.25">
      <c r="A12" s="464" t="s">
        <v>27</v>
      </c>
      <c r="B12" s="462">
        <v>496</v>
      </c>
      <c r="C12" s="463">
        <v>2511</v>
      </c>
      <c r="P12" s="425" t="s">
        <v>5</v>
      </c>
      <c r="Q12" s="426"/>
      <c r="R12" s="123"/>
      <c r="S12" s="323"/>
      <c r="T12" s="323"/>
      <c r="U12" s="323"/>
      <c r="V12" s="323"/>
      <c r="W12" s="123"/>
      <c r="X12" s="123"/>
    </row>
    <row r="13" spans="1:59" x14ac:dyDescent="0.25">
      <c r="A13" s="464" t="s">
        <v>529</v>
      </c>
      <c r="B13" s="462">
        <v>707</v>
      </c>
      <c r="C13" s="463">
        <v>3526</v>
      </c>
      <c r="P13" s="431" t="s">
        <v>5</v>
      </c>
      <c r="Q13" s="426">
        <v>8180</v>
      </c>
      <c r="R13" s="123"/>
      <c r="S13" s="323"/>
      <c r="T13" s="323"/>
      <c r="U13" s="323"/>
      <c r="V13" s="323"/>
      <c r="W13" s="123"/>
      <c r="X13" s="123"/>
    </row>
    <row r="14" spans="1:59" x14ac:dyDescent="0.25">
      <c r="A14" s="464" t="s">
        <v>781</v>
      </c>
      <c r="B14" s="462">
        <v>105</v>
      </c>
      <c r="C14" s="463">
        <v>564</v>
      </c>
      <c r="P14" s="425" t="s">
        <v>27</v>
      </c>
      <c r="Q14" s="426"/>
      <c r="R14" s="123"/>
      <c r="W14" s="123"/>
      <c r="X14" s="123"/>
    </row>
    <row r="15" spans="1:59" x14ac:dyDescent="0.25">
      <c r="A15" s="464" t="s">
        <v>1185</v>
      </c>
      <c r="B15" s="462">
        <v>1424</v>
      </c>
      <c r="C15" s="463">
        <v>6512</v>
      </c>
      <c r="P15" s="431" t="s">
        <v>27</v>
      </c>
      <c r="Q15" s="426">
        <v>2511</v>
      </c>
      <c r="R15" s="123"/>
      <c r="W15" s="123"/>
      <c r="X15" s="123"/>
    </row>
    <row r="16" spans="1:59" x14ac:dyDescent="0.25">
      <c r="A16" s="464" t="s">
        <v>146</v>
      </c>
      <c r="B16" s="462">
        <v>686</v>
      </c>
      <c r="C16" s="463">
        <v>3377</v>
      </c>
      <c r="P16" s="425" t="s">
        <v>529</v>
      </c>
      <c r="Q16" s="426"/>
      <c r="R16" s="123"/>
      <c r="W16" s="123"/>
      <c r="X16" s="123"/>
    </row>
    <row r="17" spans="1:24" x14ac:dyDescent="0.25">
      <c r="A17" s="464" t="s">
        <v>151</v>
      </c>
      <c r="B17" s="462">
        <v>2770</v>
      </c>
      <c r="C17" s="463">
        <v>12727</v>
      </c>
      <c r="P17" s="431" t="s">
        <v>529</v>
      </c>
      <c r="Q17" s="426">
        <v>3526</v>
      </c>
      <c r="R17" s="123"/>
      <c r="W17" s="123"/>
      <c r="X17" s="123"/>
    </row>
    <row r="18" spans="1:24" x14ac:dyDescent="0.25">
      <c r="A18" s="464" t="s">
        <v>185</v>
      </c>
      <c r="B18" s="462">
        <v>3091</v>
      </c>
      <c r="C18" s="463">
        <v>15492</v>
      </c>
      <c r="P18" s="425" t="s">
        <v>781</v>
      </c>
      <c r="Q18" s="426"/>
      <c r="R18" s="123"/>
      <c r="W18" s="123"/>
      <c r="X18" s="123"/>
    </row>
    <row r="19" spans="1:24" x14ac:dyDescent="0.25">
      <c r="A19" s="464" t="s">
        <v>237</v>
      </c>
      <c r="B19" s="462">
        <v>1414</v>
      </c>
      <c r="C19" s="463">
        <v>7179</v>
      </c>
      <c r="P19" s="431" t="s">
        <v>781</v>
      </c>
      <c r="Q19" s="426">
        <v>564</v>
      </c>
      <c r="R19" s="123"/>
      <c r="W19" s="123"/>
      <c r="X19" s="123"/>
    </row>
    <row r="20" spans="1:24" x14ac:dyDescent="0.25">
      <c r="A20" s="464" t="s">
        <v>289</v>
      </c>
      <c r="B20" s="462">
        <v>351</v>
      </c>
      <c r="C20" s="463">
        <v>1739</v>
      </c>
      <c r="P20" s="425" t="s">
        <v>363</v>
      </c>
      <c r="Q20" s="426"/>
      <c r="R20" s="123"/>
      <c r="W20" s="123"/>
      <c r="X20" s="123"/>
    </row>
    <row r="21" spans="1:24" x14ac:dyDescent="0.25">
      <c r="A21" s="464" t="s">
        <v>310</v>
      </c>
      <c r="B21" s="462">
        <v>6286</v>
      </c>
      <c r="C21" s="463">
        <v>32693</v>
      </c>
      <c r="P21" s="431" t="s">
        <v>363</v>
      </c>
      <c r="Q21" s="426">
        <v>0</v>
      </c>
      <c r="R21" s="123"/>
      <c r="W21" s="123"/>
      <c r="X21" s="123"/>
    </row>
    <row r="22" spans="1:24" x14ac:dyDescent="0.25">
      <c r="A22" s="461" t="s">
        <v>845</v>
      </c>
      <c r="B22" s="462">
        <v>0</v>
      </c>
      <c r="C22" s="463">
        <v>0</v>
      </c>
      <c r="P22" s="425" t="s">
        <v>1185</v>
      </c>
      <c r="Q22" s="426"/>
      <c r="R22" s="123"/>
      <c r="W22" s="123"/>
      <c r="X22" s="123"/>
    </row>
    <row r="23" spans="1:24" x14ac:dyDescent="0.25">
      <c r="A23" s="464" t="s">
        <v>5</v>
      </c>
      <c r="B23" s="462">
        <v>0</v>
      </c>
      <c r="C23" s="463">
        <v>0</v>
      </c>
      <c r="P23" s="431" t="s">
        <v>144</v>
      </c>
      <c r="Q23" s="426">
        <v>17</v>
      </c>
      <c r="R23" s="123"/>
      <c r="W23" s="123"/>
      <c r="X23" s="123"/>
    </row>
    <row r="24" spans="1:24" x14ac:dyDescent="0.25">
      <c r="A24" s="464" t="s">
        <v>27</v>
      </c>
      <c r="B24" s="462">
        <v>0</v>
      </c>
      <c r="C24" s="463">
        <v>0</v>
      </c>
      <c r="P24" s="431" t="s">
        <v>895</v>
      </c>
      <c r="Q24" s="426">
        <v>0</v>
      </c>
      <c r="R24" s="123"/>
      <c r="W24" s="123"/>
      <c r="X24" s="123"/>
    </row>
    <row r="25" spans="1:24" x14ac:dyDescent="0.25">
      <c r="A25" s="464" t="s">
        <v>529</v>
      </c>
      <c r="B25" s="462">
        <v>0</v>
      </c>
      <c r="C25" s="463">
        <v>0</v>
      </c>
      <c r="P25" s="431" t="s">
        <v>166</v>
      </c>
      <c r="Q25" s="426">
        <v>342</v>
      </c>
      <c r="R25" s="123"/>
      <c r="W25" s="123"/>
      <c r="X25" s="123"/>
    </row>
    <row r="26" spans="1:24" x14ac:dyDescent="0.25">
      <c r="A26" s="464" t="s">
        <v>363</v>
      </c>
      <c r="B26" s="462">
        <v>0</v>
      </c>
      <c r="C26" s="463">
        <v>0</v>
      </c>
      <c r="P26" s="431" t="s">
        <v>173</v>
      </c>
      <c r="Q26" s="426">
        <v>442</v>
      </c>
      <c r="R26" s="123"/>
      <c r="W26" s="123"/>
      <c r="X26" s="123"/>
    </row>
    <row r="27" spans="1:24" x14ac:dyDescent="0.25">
      <c r="A27" s="464" t="s">
        <v>1185</v>
      </c>
      <c r="B27" s="462">
        <v>0</v>
      </c>
      <c r="C27" s="463">
        <v>0</v>
      </c>
      <c r="P27" s="431" t="s">
        <v>180</v>
      </c>
      <c r="Q27" s="426">
        <v>372</v>
      </c>
      <c r="W27" s="123"/>
      <c r="X27" s="123"/>
    </row>
    <row r="28" spans="1:24" x14ac:dyDescent="0.25">
      <c r="A28" s="464" t="s">
        <v>146</v>
      </c>
      <c r="B28" s="462">
        <v>0</v>
      </c>
      <c r="C28" s="463">
        <v>0</v>
      </c>
      <c r="P28" s="431" t="s">
        <v>230</v>
      </c>
      <c r="Q28" s="426">
        <v>1013</v>
      </c>
      <c r="W28" s="123"/>
      <c r="X28" s="123"/>
    </row>
    <row r="29" spans="1:24" x14ac:dyDescent="0.25">
      <c r="A29" s="464" t="s">
        <v>151</v>
      </c>
      <c r="B29" s="462">
        <v>0</v>
      </c>
      <c r="C29" s="463">
        <v>0</v>
      </c>
      <c r="P29" s="431" t="s">
        <v>298</v>
      </c>
      <c r="Q29" s="426">
        <v>557</v>
      </c>
      <c r="W29" s="123"/>
      <c r="X29" s="123"/>
    </row>
    <row r="30" spans="1:24" x14ac:dyDescent="0.25">
      <c r="A30" s="464" t="s">
        <v>185</v>
      </c>
      <c r="B30" s="462"/>
      <c r="C30" s="463"/>
      <c r="P30" s="431" t="s">
        <v>300</v>
      </c>
      <c r="Q30" s="426">
        <v>355</v>
      </c>
      <c r="W30" s="123"/>
      <c r="X30" s="123"/>
    </row>
    <row r="31" spans="1:24" x14ac:dyDescent="0.25">
      <c r="A31" s="464" t="s">
        <v>237</v>
      </c>
      <c r="B31" s="462">
        <v>0</v>
      </c>
      <c r="C31" s="463">
        <v>0</v>
      </c>
      <c r="P31" s="431" t="s">
        <v>302</v>
      </c>
      <c r="Q31" s="426">
        <v>2182</v>
      </c>
      <c r="W31" s="123"/>
      <c r="X31" s="123"/>
    </row>
    <row r="32" spans="1:24" x14ac:dyDescent="0.25">
      <c r="A32" s="464" t="s">
        <v>289</v>
      </c>
      <c r="B32" s="462">
        <v>0</v>
      </c>
      <c r="C32" s="463">
        <v>0</v>
      </c>
      <c r="P32" s="431" t="s">
        <v>810</v>
      </c>
      <c r="Q32" s="426">
        <v>1232</v>
      </c>
      <c r="W32" s="123"/>
      <c r="X32" s="123"/>
    </row>
    <row r="33" spans="1:24" x14ac:dyDescent="0.25">
      <c r="A33" s="464" t="s">
        <v>310</v>
      </c>
      <c r="B33" s="462">
        <v>0</v>
      </c>
      <c r="C33" s="463">
        <v>0</v>
      </c>
      <c r="P33" s="425" t="s">
        <v>146</v>
      </c>
      <c r="Q33" s="426"/>
      <c r="W33" s="123"/>
      <c r="X33" s="123"/>
    </row>
    <row r="34" spans="1:24" x14ac:dyDescent="0.25">
      <c r="A34" s="465" t="s">
        <v>416</v>
      </c>
      <c r="B34" s="466">
        <v>18831</v>
      </c>
      <c r="C34" s="543">
        <v>94500</v>
      </c>
      <c r="P34" s="431" t="s">
        <v>146</v>
      </c>
      <c r="Q34" s="426">
        <v>3377</v>
      </c>
      <c r="W34" s="123"/>
      <c r="X34" s="123"/>
    </row>
    <row r="35" spans="1:24" x14ac:dyDescent="0.25">
      <c r="A35"/>
      <c r="B35"/>
      <c r="C35"/>
      <c r="P35" s="425" t="s">
        <v>151</v>
      </c>
      <c r="Q35" s="426"/>
      <c r="W35" s="123"/>
      <c r="X35" s="123"/>
    </row>
    <row r="36" spans="1:24" hidden="1" x14ac:dyDescent="0.25">
      <c r="A36"/>
      <c r="B36"/>
      <c r="C36"/>
      <c r="P36" s="431" t="s">
        <v>151</v>
      </c>
      <c r="Q36" s="426">
        <v>12727</v>
      </c>
      <c r="W36" s="123"/>
      <c r="X36" s="123"/>
    </row>
    <row r="37" spans="1:24" hidden="1" x14ac:dyDescent="0.25">
      <c r="P37" s="425" t="s">
        <v>185</v>
      </c>
      <c r="Q37" s="426"/>
      <c r="W37" s="123"/>
      <c r="X37" s="123"/>
    </row>
    <row r="38" spans="1:24" hidden="1" x14ac:dyDescent="0.25">
      <c r="P38" s="431" t="s">
        <v>185</v>
      </c>
      <c r="Q38" s="426">
        <v>15492</v>
      </c>
      <c r="W38" s="123"/>
      <c r="X38" s="123"/>
    </row>
    <row r="39" spans="1:24" hidden="1" x14ac:dyDescent="0.25">
      <c r="P39" s="425" t="s">
        <v>237</v>
      </c>
      <c r="Q39" s="426"/>
      <c r="W39" s="123"/>
      <c r="X39" s="123"/>
    </row>
    <row r="40" spans="1:24" hidden="1" x14ac:dyDescent="0.25">
      <c r="P40" s="431" t="s">
        <v>237</v>
      </c>
      <c r="Q40" s="426">
        <v>7179</v>
      </c>
      <c r="W40" s="123"/>
      <c r="X40" s="123"/>
    </row>
    <row r="41" spans="1:24" hidden="1" x14ac:dyDescent="0.25">
      <c r="P41" s="425" t="s">
        <v>289</v>
      </c>
      <c r="Q41" s="426"/>
      <c r="W41" s="123"/>
      <c r="X41" s="123"/>
    </row>
    <row r="42" spans="1:24" hidden="1" x14ac:dyDescent="0.25">
      <c r="P42" s="431" t="s">
        <v>289</v>
      </c>
      <c r="Q42" s="426">
        <v>1739</v>
      </c>
      <c r="W42" s="123"/>
      <c r="X42" s="123"/>
    </row>
    <row r="43" spans="1:24" x14ac:dyDescent="0.25">
      <c r="A43" s="483" t="s">
        <v>396</v>
      </c>
      <c r="B43" s="475" t="s">
        <v>598</v>
      </c>
      <c r="P43" s="425" t="s">
        <v>310</v>
      </c>
      <c r="Q43" s="426"/>
      <c r="W43" s="123"/>
      <c r="X43" s="123"/>
    </row>
    <row r="44" spans="1:24" x14ac:dyDescent="0.25">
      <c r="A44" s="483" t="s">
        <v>1253</v>
      </c>
      <c r="B44" s="475" t="s">
        <v>1194</v>
      </c>
      <c r="C44" s="322" t="s">
        <v>422</v>
      </c>
      <c r="P44" s="431" t="s">
        <v>310</v>
      </c>
      <c r="Q44" s="426">
        <v>37143</v>
      </c>
      <c r="W44" s="123"/>
      <c r="X44" s="123"/>
    </row>
    <row r="45" spans="1:24" x14ac:dyDescent="0.25">
      <c r="P45" s="542" t="s">
        <v>416</v>
      </c>
      <c r="Q45" s="541">
        <v>98950</v>
      </c>
      <c r="W45" s="123"/>
      <c r="X45" s="123"/>
    </row>
    <row r="46" spans="1:24" x14ac:dyDescent="0.25">
      <c r="A46" s="469" t="s">
        <v>828</v>
      </c>
      <c r="B46" s="436" t="s">
        <v>827</v>
      </c>
      <c r="C46" s="436"/>
      <c r="D46" s="437"/>
      <c r="E46"/>
      <c r="P46"/>
      <c r="Q46"/>
      <c r="W46" s="123"/>
      <c r="X46" s="123"/>
    </row>
    <row r="47" spans="1:24" x14ac:dyDescent="0.25">
      <c r="A47" s="470" t="s">
        <v>415</v>
      </c>
      <c r="B47" s="432" t="s">
        <v>513</v>
      </c>
      <c r="C47" s="432" t="s">
        <v>515</v>
      </c>
      <c r="D47" s="438" t="s">
        <v>416</v>
      </c>
      <c r="E47"/>
      <c r="P47"/>
      <c r="Q47"/>
      <c r="W47" s="123"/>
      <c r="X47" s="123"/>
    </row>
    <row r="48" spans="1:24" x14ac:dyDescent="0.25">
      <c r="A48" s="477" t="s">
        <v>502</v>
      </c>
      <c r="B48" s="478">
        <v>52588</v>
      </c>
      <c r="C48" s="478">
        <v>41912</v>
      </c>
      <c r="D48" s="479">
        <v>94500</v>
      </c>
      <c r="E48"/>
      <c r="W48" s="123"/>
      <c r="X48" s="123"/>
    </row>
    <row r="49" spans="1:24" x14ac:dyDescent="0.25">
      <c r="A49" s="477" t="s">
        <v>845</v>
      </c>
      <c r="B49" s="478">
        <v>0</v>
      </c>
      <c r="C49" s="478">
        <v>0</v>
      </c>
      <c r="D49" s="479">
        <v>0</v>
      </c>
      <c r="E49"/>
      <c r="W49" s="123"/>
      <c r="X49" s="123"/>
    </row>
    <row r="50" spans="1:24" x14ac:dyDescent="0.25">
      <c r="A50" s="544" t="s">
        <v>416</v>
      </c>
      <c r="B50" s="545">
        <v>52588</v>
      </c>
      <c r="C50" s="545">
        <v>41912</v>
      </c>
      <c r="D50" s="543">
        <v>94500</v>
      </c>
      <c r="E50"/>
      <c r="W50" s="123"/>
      <c r="X50" s="123"/>
    </row>
    <row r="51" spans="1:24" x14ac:dyDescent="0.25">
      <c r="A51"/>
      <c r="B51"/>
      <c r="C51"/>
      <c r="D51"/>
      <c r="E51"/>
      <c r="W51" s="123"/>
      <c r="X51" s="123"/>
    </row>
    <row r="52" spans="1:24" s="424" customFormat="1" x14ac:dyDescent="0.25">
      <c r="A52" s="421"/>
      <c r="B52" s="421"/>
      <c r="C52" s="421"/>
      <c r="D52" s="421"/>
      <c r="E52" s="421"/>
      <c r="W52" s="421"/>
      <c r="X52" s="421"/>
    </row>
    <row r="53" spans="1:24" x14ac:dyDescent="0.25">
      <c r="A53" s="517" t="s">
        <v>500</v>
      </c>
      <c r="B53" s="517" t="s">
        <v>502</v>
      </c>
      <c r="W53" s="123"/>
      <c r="X53" s="123"/>
    </row>
    <row r="54" spans="1:24" x14ac:dyDescent="0.25">
      <c r="A54" s="483" t="s">
        <v>1253</v>
      </c>
      <c r="B54" s="475" t="s">
        <v>1194</v>
      </c>
    </row>
    <row r="56" spans="1:24" x14ac:dyDescent="0.25">
      <c r="A56" s="469" t="s">
        <v>828</v>
      </c>
      <c r="B56" s="436" t="s">
        <v>827</v>
      </c>
      <c r="C56" s="436"/>
      <c r="D56" s="437"/>
    </row>
    <row r="57" spans="1:24" x14ac:dyDescent="0.25">
      <c r="A57" s="470" t="s">
        <v>415</v>
      </c>
      <c r="B57" s="432" t="s">
        <v>513</v>
      </c>
      <c r="C57" s="432" t="s">
        <v>515</v>
      </c>
      <c r="D57" s="438" t="s">
        <v>416</v>
      </c>
    </row>
    <row r="58" spans="1:24" x14ac:dyDescent="0.25">
      <c r="A58" s="480" t="s">
        <v>556</v>
      </c>
      <c r="B58" s="481">
        <v>47927</v>
      </c>
      <c r="C58" s="481">
        <v>38092</v>
      </c>
      <c r="D58" s="482">
        <v>86019</v>
      </c>
    </row>
    <row r="59" spans="1:24" x14ac:dyDescent="0.25">
      <c r="A59" s="480" t="s">
        <v>12</v>
      </c>
      <c r="B59" s="481">
        <v>4612</v>
      </c>
      <c r="C59" s="481">
        <v>2773</v>
      </c>
      <c r="D59" s="482">
        <v>7385</v>
      </c>
    </row>
    <row r="60" spans="1:24" x14ac:dyDescent="0.25">
      <c r="A60" s="480" t="s">
        <v>989</v>
      </c>
      <c r="B60" s="481">
        <v>49</v>
      </c>
      <c r="C60" s="481">
        <v>1047</v>
      </c>
      <c r="D60" s="482">
        <v>1096</v>
      </c>
    </row>
    <row r="61" spans="1:24" x14ac:dyDescent="0.25">
      <c r="A61" s="472" t="s">
        <v>416</v>
      </c>
      <c r="B61" s="473">
        <v>52588</v>
      </c>
      <c r="C61" s="473">
        <v>41912</v>
      </c>
      <c r="D61" s="474">
        <v>94500</v>
      </c>
    </row>
    <row r="62" spans="1:24" x14ac:dyDescent="0.25">
      <c r="A62"/>
      <c r="B62"/>
      <c r="C62"/>
      <c r="D62"/>
    </row>
    <row r="65" spans="1:4" x14ac:dyDescent="0.25">
      <c r="A65" s="467" t="s">
        <v>500</v>
      </c>
      <c r="B65" s="468" t="s">
        <v>502</v>
      </c>
    </row>
    <row r="66" spans="1:4" x14ac:dyDescent="0.25">
      <c r="A66" s="467" t="s">
        <v>1253</v>
      </c>
      <c r="B66" s="468" t="s">
        <v>1194</v>
      </c>
    </row>
    <row r="68" spans="1:4" x14ac:dyDescent="0.25">
      <c r="A68" s="490" t="s">
        <v>943</v>
      </c>
      <c r="B68" s="491" t="s">
        <v>827</v>
      </c>
      <c r="C68" s="456"/>
      <c r="D68" s="457"/>
    </row>
    <row r="69" spans="1:4" x14ac:dyDescent="0.25">
      <c r="A69" s="492" t="s">
        <v>415</v>
      </c>
      <c r="B69" s="422" t="s">
        <v>513</v>
      </c>
      <c r="C69" s="422" t="s">
        <v>515</v>
      </c>
      <c r="D69" s="454" t="s">
        <v>416</v>
      </c>
    </row>
    <row r="70" spans="1:4" x14ac:dyDescent="0.25">
      <c r="A70" s="493" t="s">
        <v>556</v>
      </c>
      <c r="B70" s="439">
        <v>120</v>
      </c>
      <c r="C70" s="439">
        <v>16</v>
      </c>
      <c r="D70" s="494">
        <v>136</v>
      </c>
    </row>
    <row r="71" spans="1:4" x14ac:dyDescent="0.25">
      <c r="A71" s="493" t="s">
        <v>12</v>
      </c>
      <c r="B71" s="439">
        <v>21</v>
      </c>
      <c r="C71" s="439">
        <v>4</v>
      </c>
      <c r="D71" s="494">
        <v>25</v>
      </c>
    </row>
    <row r="72" spans="1:4" x14ac:dyDescent="0.25">
      <c r="A72" s="493" t="s">
        <v>989</v>
      </c>
      <c r="B72" s="439">
        <v>1</v>
      </c>
      <c r="C72" s="439">
        <v>1</v>
      </c>
      <c r="D72" s="494">
        <v>2</v>
      </c>
    </row>
    <row r="73" spans="1:4" x14ac:dyDescent="0.25">
      <c r="A73" s="495" t="s">
        <v>416</v>
      </c>
      <c r="B73" s="496">
        <v>142</v>
      </c>
      <c r="C73" s="496">
        <v>21</v>
      </c>
      <c r="D73" s="497">
        <v>163</v>
      </c>
    </row>
    <row r="74" spans="1:4" x14ac:dyDescent="0.25">
      <c r="A74"/>
      <c r="B74"/>
      <c r="C74"/>
      <c r="D74"/>
    </row>
    <row r="78" spans="1:4" x14ac:dyDescent="0.25">
      <c r="A78" s="517" t="s">
        <v>500</v>
      </c>
      <c r="B78" s="518" t="s">
        <v>502</v>
      </c>
    </row>
    <row r="79" spans="1:4" x14ac:dyDescent="0.25">
      <c r="A79" s="555" t="s">
        <v>1253</v>
      </c>
      <c r="B79" s="554" t="s">
        <v>1194</v>
      </c>
      <c r="C79" s="322" t="s">
        <v>422</v>
      </c>
    </row>
    <row r="81" spans="1:4" x14ac:dyDescent="0.25">
      <c r="A81" s="469" t="s">
        <v>415</v>
      </c>
      <c r="B81" s="436" t="s">
        <v>1178</v>
      </c>
      <c r="C81" s="436" t="s">
        <v>828</v>
      </c>
      <c r="D81" s="437" t="s">
        <v>1179</v>
      </c>
    </row>
    <row r="82" spans="1:4" x14ac:dyDescent="0.25">
      <c r="A82" s="471" t="s">
        <v>380</v>
      </c>
      <c r="B82" s="476">
        <v>137</v>
      </c>
      <c r="C82" s="476">
        <v>86908</v>
      </c>
      <c r="D82" s="484">
        <v>0.91966137566137562</v>
      </c>
    </row>
    <row r="83" spans="1:4" x14ac:dyDescent="0.25">
      <c r="A83" s="464" t="s">
        <v>513</v>
      </c>
      <c r="B83" s="462"/>
      <c r="C83" s="462"/>
      <c r="D83" s="485"/>
    </row>
    <row r="84" spans="1:4" x14ac:dyDescent="0.25">
      <c r="A84" s="486" t="s">
        <v>989</v>
      </c>
      <c r="B84" s="462">
        <v>1</v>
      </c>
      <c r="C84" s="462">
        <v>49</v>
      </c>
      <c r="D84" s="487">
        <v>5.1851851851851853E-4</v>
      </c>
    </row>
    <row r="85" spans="1:4" x14ac:dyDescent="0.25">
      <c r="A85" s="486" t="s">
        <v>556</v>
      </c>
      <c r="B85" s="462">
        <v>100</v>
      </c>
      <c r="C85" s="462">
        <v>41937</v>
      </c>
      <c r="D85" s="487">
        <v>0.44377777777777777</v>
      </c>
    </row>
    <row r="86" spans="1:4" x14ac:dyDescent="0.25">
      <c r="A86" s="486" t="s">
        <v>12</v>
      </c>
      <c r="B86" s="462">
        <v>18</v>
      </c>
      <c r="C86" s="462">
        <v>4092</v>
      </c>
      <c r="D86" s="487">
        <v>4.3301587301587299E-2</v>
      </c>
    </row>
    <row r="87" spans="1:4" x14ac:dyDescent="0.25">
      <c r="A87" s="464" t="s">
        <v>515</v>
      </c>
      <c r="B87" s="462"/>
      <c r="C87" s="462"/>
      <c r="D87" s="487"/>
    </row>
    <row r="88" spans="1:4" x14ac:dyDescent="0.25">
      <c r="A88" s="486" t="s">
        <v>989</v>
      </c>
      <c r="B88" s="462">
        <v>1</v>
      </c>
      <c r="C88" s="462">
        <v>1047</v>
      </c>
      <c r="D88" s="487">
        <v>1.1079365079365079E-2</v>
      </c>
    </row>
    <row r="89" spans="1:4" x14ac:dyDescent="0.25">
      <c r="A89" s="486" t="s">
        <v>556</v>
      </c>
      <c r="B89" s="462">
        <v>16</v>
      </c>
      <c r="C89" s="462">
        <v>38092</v>
      </c>
      <c r="D89" s="487">
        <v>0.40308994708994711</v>
      </c>
    </row>
    <row r="90" spans="1:4" x14ac:dyDescent="0.25">
      <c r="A90" s="486" t="s">
        <v>12</v>
      </c>
      <c r="B90" s="462">
        <v>1</v>
      </c>
      <c r="C90" s="462">
        <v>1691</v>
      </c>
      <c r="D90" s="487">
        <v>1.7894179894179893E-2</v>
      </c>
    </row>
    <row r="91" spans="1:4" x14ac:dyDescent="0.25">
      <c r="A91" s="488" t="s">
        <v>555</v>
      </c>
      <c r="B91" s="462">
        <v>26</v>
      </c>
      <c r="C91" s="462">
        <v>7592</v>
      </c>
      <c r="D91" s="487">
        <v>8.0338624338624334E-2</v>
      </c>
    </row>
    <row r="92" spans="1:4" x14ac:dyDescent="0.25">
      <c r="A92" s="465" t="s">
        <v>416</v>
      </c>
      <c r="B92" s="466">
        <v>163</v>
      </c>
      <c r="C92" s="466">
        <v>94500</v>
      </c>
      <c r="D92" s="489">
        <v>1</v>
      </c>
    </row>
    <row r="93" spans="1:4" x14ac:dyDescent="0.25">
      <c r="A93"/>
      <c r="B93"/>
      <c r="C93"/>
      <c r="D93"/>
    </row>
    <row r="94" spans="1:4" x14ac:dyDescent="0.25">
      <c r="A94" s="323"/>
      <c r="B94" s="323"/>
      <c r="C94" s="323"/>
      <c r="D94" s="323"/>
    </row>
    <row r="95" spans="1:4" x14ac:dyDescent="0.25">
      <c r="A95" s="323"/>
      <c r="B95" s="323"/>
      <c r="C95" s="323"/>
      <c r="D95" s="323"/>
    </row>
    <row r="96" spans="1:4" x14ac:dyDescent="0.25">
      <c r="A96" s="323"/>
      <c r="B96" s="323"/>
      <c r="C96" s="323"/>
      <c r="D96" s="323"/>
    </row>
    <row r="97" spans="1:4" x14ac:dyDescent="0.25">
      <c r="A97" s="323"/>
      <c r="B97" s="323"/>
      <c r="C97" s="323"/>
      <c r="D97" s="323"/>
    </row>
    <row r="98" spans="1:4" x14ac:dyDescent="0.25">
      <c r="A98" s="323"/>
      <c r="B98" s="323"/>
      <c r="C98" s="323"/>
      <c r="D98" s="323"/>
    </row>
    <row r="99" spans="1:4" x14ac:dyDescent="0.25">
      <c r="A99" s="323"/>
      <c r="B99" s="323"/>
      <c r="C99" s="323"/>
      <c r="D99" s="323"/>
    </row>
    <row r="100" spans="1:4" x14ac:dyDescent="0.25">
      <c r="A100" s="323"/>
      <c r="B100" s="323"/>
      <c r="C100" s="323"/>
      <c r="D100" s="323"/>
    </row>
    <row r="101" spans="1:4" x14ac:dyDescent="0.25">
      <c r="A101" s="323"/>
      <c r="B101" s="323"/>
      <c r="C101" s="323"/>
      <c r="D101" s="323"/>
    </row>
    <row r="102" spans="1:4" x14ac:dyDescent="0.25">
      <c r="A102" s="323"/>
      <c r="B102" s="323"/>
      <c r="C102" s="323"/>
      <c r="D102" s="323"/>
    </row>
    <row r="103" spans="1:4" x14ac:dyDescent="0.25">
      <c r="A103" s="323"/>
      <c r="B103" s="323"/>
      <c r="C103" s="323"/>
      <c r="D103" s="323"/>
    </row>
    <row r="104" spans="1:4" x14ac:dyDescent="0.25">
      <c r="A104" s="323"/>
      <c r="B104" s="323"/>
      <c r="C104" s="323"/>
      <c r="D104" s="323"/>
    </row>
    <row r="105" spans="1:4" x14ac:dyDescent="0.25">
      <c r="A105" s="323"/>
      <c r="B105" s="323"/>
      <c r="C105" s="323"/>
      <c r="D105" s="323"/>
    </row>
    <row r="106" spans="1:4" x14ac:dyDescent="0.25">
      <c r="A106" s="323"/>
      <c r="B106" s="323"/>
      <c r="C106" s="323"/>
      <c r="D106" s="323"/>
    </row>
    <row r="107" spans="1:4" x14ac:dyDescent="0.25">
      <c r="A107" s="323"/>
      <c r="B107" s="323"/>
      <c r="C107" s="323"/>
      <c r="D107" s="323"/>
    </row>
    <row r="108" spans="1:4" x14ac:dyDescent="0.25">
      <c r="A108" s="323"/>
      <c r="B108" s="323"/>
      <c r="C108" s="323"/>
      <c r="D108" s="323"/>
    </row>
    <row r="109" spans="1:4" x14ac:dyDescent="0.25">
      <c r="A109" s="323"/>
      <c r="B109" s="323"/>
      <c r="C109" s="323"/>
      <c r="D109" s="323"/>
    </row>
    <row r="110" spans="1:4" x14ac:dyDescent="0.25">
      <c r="A110" s="323"/>
      <c r="B110" s="323"/>
      <c r="C110" s="323"/>
      <c r="D110" s="323"/>
    </row>
    <row r="111" spans="1:4" x14ac:dyDescent="0.25">
      <c r="A111" s="323"/>
      <c r="B111" s="323"/>
      <c r="C111" s="323"/>
      <c r="D111" s="323"/>
    </row>
    <row r="112" spans="1:4" x14ac:dyDescent="0.25">
      <c r="A112" s="323"/>
      <c r="B112" s="323"/>
      <c r="C112" s="323"/>
      <c r="D112" s="323"/>
    </row>
    <row r="113" spans="1:4" x14ac:dyDescent="0.25">
      <c r="A113" s="323"/>
      <c r="B113" s="323"/>
      <c r="C113" s="323"/>
      <c r="D113" s="323"/>
    </row>
    <row r="114" spans="1:4" x14ac:dyDescent="0.25">
      <c r="A114" s="323"/>
      <c r="B114" s="323"/>
      <c r="C114" s="323"/>
      <c r="D114" s="323"/>
    </row>
    <row r="115" spans="1:4" x14ac:dyDescent="0.25">
      <c r="A115" s="323"/>
      <c r="B115" s="323"/>
      <c r="C115" s="323"/>
      <c r="D115" s="323"/>
    </row>
    <row r="116" spans="1:4" x14ac:dyDescent="0.25">
      <c r="A116" s="323"/>
      <c r="B116" s="323"/>
      <c r="C116" s="323"/>
      <c r="D116" s="323"/>
    </row>
    <row r="117" spans="1:4" x14ac:dyDescent="0.25">
      <c r="A117" s="323"/>
      <c r="B117" s="323"/>
      <c r="C117" s="323"/>
      <c r="D117" s="323"/>
    </row>
    <row r="118" spans="1:4" x14ac:dyDescent="0.25">
      <c r="A118" s="323"/>
      <c r="B118" s="323"/>
      <c r="C118" s="323"/>
      <c r="D118" s="323"/>
    </row>
    <row r="119" spans="1:4" x14ac:dyDescent="0.25">
      <c r="A119" s="323"/>
      <c r="B119" s="323"/>
      <c r="C119" s="323"/>
      <c r="D119" s="323"/>
    </row>
    <row r="120" spans="1:4" x14ac:dyDescent="0.25">
      <c r="A120" s="323"/>
      <c r="B120" s="323"/>
      <c r="C120" s="323"/>
      <c r="D120" s="323"/>
    </row>
    <row r="121" spans="1:4" x14ac:dyDescent="0.25">
      <c r="A121" s="323"/>
      <c r="B121" s="323"/>
      <c r="C121" s="323"/>
      <c r="D121" s="323"/>
    </row>
    <row r="122" spans="1:4" x14ac:dyDescent="0.25">
      <c r="A122" s="323"/>
      <c r="B122" s="323"/>
      <c r="C122" s="323"/>
      <c r="D122" s="323"/>
    </row>
    <row r="123" spans="1:4" x14ac:dyDescent="0.25">
      <c r="A123" s="323"/>
      <c r="B123" s="323"/>
      <c r="C123" s="323"/>
      <c r="D123" s="323"/>
    </row>
    <row r="124" spans="1:4" x14ac:dyDescent="0.25">
      <c r="A124" s="323"/>
      <c r="B124" s="323"/>
      <c r="C124" s="323"/>
      <c r="D124" s="323"/>
    </row>
    <row r="125" spans="1:4" x14ac:dyDescent="0.25">
      <c r="A125" s="323"/>
      <c r="B125" s="323"/>
      <c r="C125" s="323"/>
      <c r="D125" s="323"/>
    </row>
    <row r="126" spans="1:4" x14ac:dyDescent="0.25">
      <c r="A126" s="323"/>
      <c r="B126" s="323"/>
      <c r="C126" s="323"/>
      <c r="D126" s="323"/>
    </row>
    <row r="127" spans="1:4" x14ac:dyDescent="0.25">
      <c r="A127" s="323"/>
      <c r="B127" s="323"/>
      <c r="C127" s="323"/>
      <c r="D127" s="323"/>
    </row>
    <row r="128" spans="1:4" x14ac:dyDescent="0.25">
      <c r="A128" s="323"/>
      <c r="B128" s="323"/>
      <c r="C128" s="323"/>
      <c r="D128" s="323"/>
    </row>
    <row r="129" spans="1:4" x14ac:dyDescent="0.25">
      <c r="A129" s="323"/>
      <c r="B129" s="323"/>
      <c r="C129" s="323"/>
      <c r="D129" s="323"/>
    </row>
    <row r="130" spans="1:4" x14ac:dyDescent="0.25">
      <c r="A130" s="323"/>
      <c r="B130" s="323"/>
      <c r="C130" s="323"/>
      <c r="D130" s="323"/>
    </row>
    <row r="131" spans="1:4" x14ac:dyDescent="0.25">
      <c r="A131" s="323"/>
      <c r="B131" s="323"/>
      <c r="C131" s="323"/>
      <c r="D131" s="323"/>
    </row>
    <row r="132" spans="1:4" x14ac:dyDescent="0.25">
      <c r="A132" s="323"/>
      <c r="B132" s="323"/>
      <c r="C132" s="323"/>
      <c r="D132" s="323"/>
    </row>
    <row r="133" spans="1:4" x14ac:dyDescent="0.25">
      <c r="A133" s="323"/>
      <c r="B133" s="323"/>
      <c r="C133" s="323"/>
      <c r="D133" s="323"/>
    </row>
    <row r="134" spans="1:4" x14ac:dyDescent="0.25">
      <c r="A134" s="323"/>
      <c r="B134" s="323"/>
      <c r="C134" s="323"/>
      <c r="D134" s="323"/>
    </row>
    <row r="135" spans="1:4" x14ac:dyDescent="0.25">
      <c r="A135" s="323"/>
      <c r="B135" s="323"/>
      <c r="C135" s="323"/>
      <c r="D135" s="323"/>
    </row>
    <row r="136" spans="1:4" x14ac:dyDescent="0.25">
      <c r="A136" s="323"/>
      <c r="B136" s="323"/>
      <c r="C136" s="323"/>
      <c r="D136" s="323"/>
    </row>
    <row r="137" spans="1:4" x14ac:dyDescent="0.25">
      <c r="A137" s="323"/>
      <c r="B137" s="323"/>
      <c r="C137" s="323"/>
      <c r="D137" s="323"/>
    </row>
    <row r="138" spans="1:4" x14ac:dyDescent="0.25">
      <c r="A138" s="323"/>
      <c r="B138" s="323"/>
      <c r="C138" s="323"/>
      <c r="D138" s="323"/>
    </row>
    <row r="139" spans="1:4" x14ac:dyDescent="0.25">
      <c r="A139" s="323"/>
      <c r="B139" s="323"/>
      <c r="C139" s="323"/>
      <c r="D139" s="323"/>
    </row>
    <row r="140" spans="1:4" x14ac:dyDescent="0.25">
      <c r="A140" s="323"/>
      <c r="B140" s="323"/>
      <c r="C140" s="323"/>
      <c r="D140" s="323"/>
    </row>
    <row r="141" spans="1:4" x14ac:dyDescent="0.25">
      <c r="A141" s="323"/>
      <c r="B141" s="323"/>
      <c r="C141" s="323"/>
      <c r="D141" s="323"/>
    </row>
    <row r="142" spans="1:4" x14ac:dyDescent="0.25">
      <c r="A142" s="323"/>
      <c r="B142" s="323"/>
      <c r="C142" s="323"/>
      <c r="D142" s="323"/>
    </row>
    <row r="143" spans="1:4" x14ac:dyDescent="0.25">
      <c r="A143" s="323"/>
      <c r="B143" s="323"/>
      <c r="C143" s="323"/>
      <c r="D143" s="323"/>
    </row>
    <row r="144" spans="1:4" x14ac:dyDescent="0.25">
      <c r="A144" s="323"/>
      <c r="B144" s="323"/>
      <c r="C144" s="323"/>
      <c r="D144" s="323"/>
    </row>
    <row r="145" spans="1:4" x14ac:dyDescent="0.25">
      <c r="A145" s="323"/>
      <c r="B145" s="323"/>
      <c r="C145" s="323"/>
      <c r="D145" s="323"/>
    </row>
    <row r="146" spans="1:4" x14ac:dyDescent="0.25">
      <c r="A146" s="323"/>
      <c r="B146" s="323"/>
      <c r="C146" s="323"/>
      <c r="D146" s="323"/>
    </row>
    <row r="147" spans="1:4" x14ac:dyDescent="0.25">
      <c r="A147" s="323"/>
      <c r="B147" s="323"/>
      <c r="C147" s="323"/>
      <c r="D147" s="323"/>
    </row>
    <row r="148" spans="1:4" x14ac:dyDescent="0.25">
      <c r="A148" s="323"/>
      <c r="B148" s="323"/>
      <c r="C148" s="323"/>
      <c r="D148" s="323"/>
    </row>
    <row r="149" spans="1:4" x14ac:dyDescent="0.25">
      <c r="A149" s="323"/>
      <c r="B149" s="323"/>
      <c r="C149" s="323"/>
      <c r="D149" s="323"/>
    </row>
    <row r="150" spans="1:4" x14ac:dyDescent="0.25">
      <c r="A150" s="323"/>
      <c r="B150" s="323"/>
      <c r="C150" s="323"/>
      <c r="D150" s="323"/>
    </row>
    <row r="151" spans="1:4" x14ac:dyDescent="0.25">
      <c r="A151" s="323"/>
      <c r="B151" s="323"/>
      <c r="C151" s="323"/>
      <c r="D151" s="323"/>
    </row>
    <row r="152" spans="1:4" x14ac:dyDescent="0.25">
      <c r="A152" s="323"/>
      <c r="B152" s="323"/>
      <c r="C152" s="323"/>
      <c r="D152" s="323"/>
    </row>
    <row r="153" spans="1:4" x14ac:dyDescent="0.25">
      <c r="A153" s="323"/>
      <c r="B153" s="323"/>
      <c r="C153" s="323"/>
      <c r="D153" s="323"/>
    </row>
    <row r="154" spans="1:4" x14ac:dyDescent="0.25">
      <c r="A154" s="323"/>
      <c r="B154" s="323"/>
      <c r="C154" s="323"/>
      <c r="D154" s="323"/>
    </row>
    <row r="155" spans="1:4" x14ac:dyDescent="0.25">
      <c r="A155" s="323"/>
      <c r="B155" s="323"/>
      <c r="C155" s="323"/>
      <c r="D155" s="323"/>
    </row>
    <row r="156" spans="1:4" x14ac:dyDescent="0.25">
      <c r="A156" s="323"/>
      <c r="B156" s="323"/>
      <c r="C156" s="323"/>
      <c r="D156" s="323"/>
    </row>
    <row r="157" spans="1:4" x14ac:dyDescent="0.25">
      <c r="A157" s="323"/>
      <c r="B157" s="323"/>
      <c r="C157" s="323"/>
      <c r="D157" s="323"/>
    </row>
    <row r="158" spans="1:4" x14ac:dyDescent="0.25">
      <c r="A158" s="123"/>
      <c r="B158" s="123"/>
      <c r="C158" s="123"/>
      <c r="D158" s="123"/>
    </row>
    <row r="159" spans="1:4" x14ac:dyDescent="0.25">
      <c r="A159" s="123"/>
      <c r="B159" s="123"/>
      <c r="C159" s="123"/>
      <c r="D159" s="123"/>
    </row>
    <row r="160" spans="1:4" x14ac:dyDescent="0.25">
      <c r="A160" s="123"/>
      <c r="B160" s="123"/>
      <c r="C160" s="123"/>
      <c r="D160" s="123"/>
    </row>
    <row r="161" spans="1:4" x14ac:dyDescent="0.25">
      <c r="A161" s="123"/>
      <c r="B161" s="123"/>
      <c r="C161" s="123"/>
      <c r="D161" s="123"/>
    </row>
    <row r="162" spans="1:4" x14ac:dyDescent="0.25">
      <c r="A162" s="123"/>
      <c r="B162" s="123"/>
      <c r="C162" s="123"/>
      <c r="D162" s="123"/>
    </row>
    <row r="163" spans="1:4" x14ac:dyDescent="0.25">
      <c r="A163" s="123"/>
      <c r="B163" s="123"/>
      <c r="C163" s="123"/>
      <c r="D163" s="123"/>
    </row>
    <row r="164" spans="1:4" x14ac:dyDescent="0.25">
      <c r="A164" s="123"/>
      <c r="B164" s="123"/>
      <c r="C164" s="123"/>
      <c r="D164" s="123"/>
    </row>
    <row r="165" spans="1:4" x14ac:dyDescent="0.25">
      <c r="A165" s="123"/>
      <c r="B165" s="123"/>
      <c r="C165" s="123"/>
      <c r="D165" s="123"/>
    </row>
    <row r="166" spans="1:4" x14ac:dyDescent="0.25">
      <c r="A166" s="123"/>
      <c r="B166" s="123"/>
      <c r="C166" s="123"/>
      <c r="D166" s="123"/>
    </row>
    <row r="167" spans="1:4" x14ac:dyDescent="0.25">
      <c r="A167" s="123"/>
      <c r="B167" s="123"/>
      <c r="C167" s="123"/>
      <c r="D167" s="123"/>
    </row>
    <row r="168" spans="1:4" x14ac:dyDescent="0.25">
      <c r="A168" s="123"/>
      <c r="B168" s="123"/>
      <c r="C168" s="123"/>
      <c r="D168" s="123"/>
    </row>
    <row r="169" spans="1:4" x14ac:dyDescent="0.25">
      <c r="A169" s="123"/>
      <c r="B169" s="123"/>
      <c r="C169" s="123"/>
      <c r="D169" s="123"/>
    </row>
    <row r="170" spans="1:4" x14ac:dyDescent="0.25">
      <c r="A170" s="123"/>
      <c r="B170" s="123"/>
      <c r="C170" s="123"/>
      <c r="D170" s="123"/>
    </row>
    <row r="171" spans="1:4" x14ac:dyDescent="0.25">
      <c r="A171" s="123"/>
      <c r="B171" s="123"/>
      <c r="C171" s="123"/>
      <c r="D171" s="123"/>
    </row>
    <row r="172" spans="1:4" x14ac:dyDescent="0.25">
      <c r="A172" s="123"/>
      <c r="B172" s="123"/>
      <c r="C172" s="123"/>
      <c r="D172" s="123"/>
    </row>
    <row r="173" spans="1:4" x14ac:dyDescent="0.25">
      <c r="A173" s="123"/>
      <c r="B173" s="123"/>
      <c r="C173" s="123"/>
      <c r="D173" s="123"/>
    </row>
    <row r="174" spans="1:4" x14ac:dyDescent="0.25">
      <c r="A174" s="123"/>
      <c r="B174" s="123"/>
      <c r="C174" s="123"/>
      <c r="D174" s="123"/>
    </row>
    <row r="175" spans="1:4" x14ac:dyDescent="0.25">
      <c r="A175" s="123"/>
      <c r="B175" s="123"/>
      <c r="C175" s="123"/>
      <c r="D175" s="123"/>
    </row>
    <row r="176" spans="1:4" x14ac:dyDescent="0.25">
      <c r="A176" s="123"/>
      <c r="B176" s="123"/>
      <c r="C176" s="123"/>
      <c r="D176" s="123"/>
    </row>
    <row r="177" spans="1:4" x14ac:dyDescent="0.25">
      <c r="A177" s="123"/>
      <c r="B177" s="123"/>
      <c r="C177" s="123"/>
      <c r="D177" s="123"/>
    </row>
    <row r="178" spans="1:4" x14ac:dyDescent="0.25">
      <c r="A178" s="123"/>
      <c r="B178" s="123"/>
      <c r="C178" s="123"/>
      <c r="D178" s="123"/>
    </row>
    <row r="179" spans="1:4" x14ac:dyDescent="0.25">
      <c r="A179" s="123"/>
      <c r="B179" s="123"/>
      <c r="C179" s="123"/>
      <c r="D179" s="123"/>
    </row>
    <row r="180" spans="1:4" x14ac:dyDescent="0.25">
      <c r="A180" s="123"/>
      <c r="B180" s="123"/>
      <c r="C180" s="123"/>
      <c r="D180" s="123"/>
    </row>
    <row r="181" spans="1:4" x14ac:dyDescent="0.25">
      <c r="A181" s="123"/>
      <c r="B181" s="123"/>
      <c r="C181" s="123"/>
      <c r="D181" s="123"/>
    </row>
    <row r="182" spans="1:4" x14ac:dyDescent="0.25">
      <c r="A182" s="123"/>
      <c r="B182" s="123"/>
      <c r="C182" s="123"/>
      <c r="D182" s="123"/>
    </row>
    <row r="183" spans="1:4" x14ac:dyDescent="0.25">
      <c r="A183" s="123"/>
      <c r="B183" s="123"/>
      <c r="C183" s="123"/>
      <c r="D183" s="123"/>
    </row>
    <row r="184" spans="1:4" x14ac:dyDescent="0.25">
      <c r="A184" s="123"/>
      <c r="B184" s="123"/>
      <c r="C184" s="123"/>
      <c r="D184" s="123"/>
    </row>
    <row r="185" spans="1:4" x14ac:dyDescent="0.25">
      <c r="A185" s="123"/>
      <c r="B185" s="123"/>
      <c r="C185" s="123"/>
      <c r="D185" s="123"/>
    </row>
    <row r="186" spans="1:4" x14ac:dyDescent="0.25">
      <c r="A186" s="123"/>
      <c r="B186" s="123"/>
      <c r="C186" s="123"/>
      <c r="D186" s="123"/>
    </row>
    <row r="187" spans="1:4" x14ac:dyDescent="0.25">
      <c r="A187" s="123"/>
      <c r="B187" s="123"/>
      <c r="C187" s="123"/>
      <c r="D187" s="123"/>
    </row>
    <row r="188" spans="1:4" x14ac:dyDescent="0.25">
      <c r="A188" s="123"/>
      <c r="B188" s="123"/>
      <c r="C188" s="123"/>
      <c r="D188" s="123"/>
    </row>
    <row r="189" spans="1:4" x14ac:dyDescent="0.25">
      <c r="A189" s="123"/>
      <c r="B189" s="123"/>
      <c r="C189" s="123"/>
      <c r="D189" s="123"/>
    </row>
    <row r="190" spans="1:4" x14ac:dyDescent="0.25">
      <c r="A190" s="123"/>
      <c r="B190" s="123"/>
      <c r="C190" s="123"/>
      <c r="D190" s="123"/>
    </row>
    <row r="191" spans="1:4" x14ac:dyDescent="0.25">
      <c r="A191" s="123"/>
      <c r="B191" s="123"/>
      <c r="C191" s="123"/>
      <c r="D191" s="123"/>
    </row>
    <row r="192" spans="1:4" x14ac:dyDescent="0.25">
      <c r="A192" s="123"/>
      <c r="B192" s="123"/>
      <c r="C192" s="123"/>
      <c r="D192" s="123"/>
    </row>
    <row r="193" spans="1:4" x14ac:dyDescent="0.25">
      <c r="A193" s="123"/>
      <c r="B193" s="123"/>
      <c r="C193" s="123"/>
      <c r="D193" s="123"/>
    </row>
    <row r="194" spans="1:4" x14ac:dyDescent="0.25">
      <c r="A194" s="123"/>
      <c r="B194" s="123"/>
      <c r="C194" s="123"/>
      <c r="D194" s="123"/>
    </row>
    <row r="195" spans="1:4" x14ac:dyDescent="0.25">
      <c r="A195" s="123"/>
      <c r="B195" s="123"/>
      <c r="C195" s="123"/>
      <c r="D195" s="123"/>
    </row>
    <row r="196" spans="1:4" x14ac:dyDescent="0.25">
      <c r="A196" s="123"/>
      <c r="B196" s="123"/>
      <c r="C196" s="123"/>
      <c r="D196" s="123"/>
    </row>
    <row r="197" spans="1:4" x14ac:dyDescent="0.25">
      <c r="A197" s="123"/>
      <c r="B197" s="123"/>
      <c r="C197" s="123"/>
      <c r="D197" s="123"/>
    </row>
    <row r="198" spans="1:4" x14ac:dyDescent="0.25">
      <c r="A198" s="123"/>
      <c r="B198" s="123"/>
      <c r="C198" s="123"/>
      <c r="D198" s="123"/>
    </row>
    <row r="199" spans="1:4" x14ac:dyDescent="0.25">
      <c r="A199" s="123"/>
      <c r="B199" s="123"/>
      <c r="C199" s="123"/>
      <c r="D199" s="123"/>
    </row>
    <row r="200" spans="1:4" x14ac:dyDescent="0.25">
      <c r="A200" s="123"/>
      <c r="B200" s="123"/>
      <c r="C200" s="123"/>
      <c r="D200" s="123"/>
    </row>
    <row r="201" spans="1:4" x14ac:dyDescent="0.25">
      <c r="A201" s="123"/>
      <c r="B201" s="123"/>
      <c r="C201" s="123"/>
      <c r="D201" s="123"/>
    </row>
    <row r="202" spans="1:4" x14ac:dyDescent="0.25">
      <c r="A202" s="123"/>
      <c r="B202" s="123"/>
      <c r="C202" s="123"/>
      <c r="D202" s="123"/>
    </row>
    <row r="203" spans="1:4" x14ac:dyDescent="0.25">
      <c r="A203" s="123"/>
      <c r="B203" s="123"/>
      <c r="C203" s="123"/>
      <c r="D203" s="123"/>
    </row>
    <row r="204" spans="1:4" x14ac:dyDescent="0.25">
      <c r="A204" s="123"/>
      <c r="B204" s="123"/>
      <c r="C204" s="123"/>
      <c r="D204" s="123"/>
    </row>
    <row r="205" spans="1:4" x14ac:dyDescent="0.25">
      <c r="A205" s="123"/>
      <c r="B205" s="123"/>
      <c r="C205" s="123"/>
      <c r="D205" s="123"/>
    </row>
    <row r="206" spans="1:4" x14ac:dyDescent="0.25">
      <c r="A206" s="123"/>
      <c r="B206" s="123"/>
      <c r="C206" s="123"/>
      <c r="D206" s="123"/>
    </row>
    <row r="207" spans="1:4" x14ac:dyDescent="0.25">
      <c r="A207" s="123"/>
      <c r="B207" s="123"/>
      <c r="C207" s="123"/>
      <c r="D207" s="123"/>
    </row>
    <row r="208" spans="1:4" x14ac:dyDescent="0.25">
      <c r="A208" s="123"/>
      <c r="B208" s="123"/>
      <c r="C208" s="123"/>
      <c r="D208" s="123"/>
    </row>
    <row r="209" spans="1:4" x14ac:dyDescent="0.25">
      <c r="A209" s="123"/>
      <c r="B209" s="123"/>
      <c r="C209" s="123"/>
      <c r="D209" s="123"/>
    </row>
    <row r="210" spans="1:4" x14ac:dyDescent="0.25">
      <c r="A210" s="123"/>
      <c r="B210" s="123"/>
      <c r="C210" s="123"/>
      <c r="D210" s="123"/>
    </row>
    <row r="211" spans="1:4" x14ac:dyDescent="0.25">
      <c r="A211" s="123"/>
      <c r="B211" s="123"/>
      <c r="C211" s="123"/>
      <c r="D211" s="123"/>
    </row>
    <row r="212" spans="1:4" x14ac:dyDescent="0.25">
      <c r="A212" s="123"/>
      <c r="B212" s="123"/>
      <c r="C212" s="123"/>
      <c r="D212" s="123"/>
    </row>
    <row r="213" spans="1:4" x14ac:dyDescent="0.25">
      <c r="A213" s="123"/>
      <c r="B213" s="123"/>
      <c r="C213" s="123"/>
      <c r="D213" s="123"/>
    </row>
    <row r="214" spans="1:4" x14ac:dyDescent="0.25">
      <c r="A214" s="123"/>
      <c r="B214" s="123"/>
      <c r="C214" s="123"/>
      <c r="D214" s="123"/>
    </row>
    <row r="215" spans="1:4" x14ac:dyDescent="0.25">
      <c r="A215" s="123"/>
      <c r="B215" s="123"/>
      <c r="C215" s="123"/>
      <c r="D215" s="123"/>
    </row>
    <row r="216" spans="1:4" x14ac:dyDescent="0.25">
      <c r="A216" s="123"/>
      <c r="B216" s="123"/>
      <c r="C216" s="123"/>
      <c r="D216" s="123"/>
    </row>
    <row r="217" spans="1:4" x14ac:dyDescent="0.25">
      <c r="A217" s="123"/>
      <c r="B217" s="123"/>
      <c r="C217" s="123"/>
      <c r="D217" s="123"/>
    </row>
    <row r="218" spans="1:4" x14ac:dyDescent="0.25">
      <c r="A218" s="123"/>
      <c r="B218" s="123"/>
      <c r="C218" s="123"/>
      <c r="D218" s="123"/>
    </row>
    <row r="219" spans="1:4" x14ac:dyDescent="0.25">
      <c r="A219" s="123"/>
      <c r="B219" s="123"/>
      <c r="C219" s="123"/>
      <c r="D219" s="123"/>
    </row>
    <row r="220" spans="1:4" x14ac:dyDescent="0.25">
      <c r="A220" s="123"/>
      <c r="B220" s="123"/>
      <c r="C220" s="123"/>
      <c r="D220" s="123"/>
    </row>
    <row r="221" spans="1:4" x14ac:dyDescent="0.25">
      <c r="A221" s="123"/>
      <c r="B221" s="123"/>
      <c r="C221" s="123"/>
      <c r="D221" s="123"/>
    </row>
    <row r="222" spans="1:4" x14ac:dyDescent="0.25">
      <c r="A222" s="123"/>
      <c r="B222" s="123"/>
      <c r="C222" s="123"/>
      <c r="D222" s="123"/>
    </row>
    <row r="223" spans="1:4" x14ac:dyDescent="0.25">
      <c r="A223" s="123"/>
      <c r="B223" s="123"/>
      <c r="C223" s="123"/>
      <c r="D223" s="123"/>
    </row>
    <row r="224" spans="1:4" x14ac:dyDescent="0.25">
      <c r="A224" s="123"/>
      <c r="B224" s="123"/>
      <c r="C224" s="123"/>
      <c r="D224" s="123"/>
    </row>
    <row r="225" spans="1:4" x14ac:dyDescent="0.25">
      <c r="A225" s="123"/>
      <c r="B225" s="123"/>
      <c r="C225" s="123"/>
      <c r="D225" s="123"/>
    </row>
    <row r="226" spans="1:4" x14ac:dyDescent="0.25">
      <c r="A226" s="123"/>
      <c r="B226" s="123"/>
      <c r="C226" s="123"/>
      <c r="D226" s="123"/>
    </row>
    <row r="227" spans="1:4" x14ac:dyDescent="0.25">
      <c r="A227" s="123"/>
      <c r="B227" s="123"/>
      <c r="C227" s="123"/>
      <c r="D227" s="123"/>
    </row>
    <row r="228" spans="1:4" x14ac:dyDescent="0.25">
      <c r="A228" s="123"/>
      <c r="B228" s="123"/>
      <c r="C228" s="123"/>
      <c r="D228" s="123"/>
    </row>
    <row r="229" spans="1:4" x14ac:dyDescent="0.25">
      <c r="A229" s="123"/>
      <c r="B229" s="123"/>
      <c r="C229" s="123"/>
      <c r="D229" s="123"/>
    </row>
    <row r="230" spans="1:4" x14ac:dyDescent="0.25">
      <c r="A230" s="123"/>
      <c r="B230" s="123"/>
      <c r="C230" s="123"/>
      <c r="D230" s="123"/>
    </row>
    <row r="231" spans="1:4" x14ac:dyDescent="0.25">
      <c r="A231" s="123"/>
      <c r="B231" s="123"/>
      <c r="C231" s="123"/>
      <c r="D231" s="123"/>
    </row>
    <row r="232" spans="1:4" x14ac:dyDescent="0.25">
      <c r="A232" s="123"/>
      <c r="B232" s="123"/>
      <c r="C232" s="123"/>
      <c r="D232" s="123"/>
    </row>
    <row r="233" spans="1:4" x14ac:dyDescent="0.25">
      <c r="A233" s="123"/>
      <c r="B233" s="123"/>
      <c r="C233" s="123"/>
      <c r="D233" s="123"/>
    </row>
    <row r="234" spans="1:4" x14ac:dyDescent="0.25">
      <c r="A234" s="123"/>
      <c r="B234" s="123"/>
      <c r="C234" s="123"/>
      <c r="D234" s="123"/>
    </row>
    <row r="235" spans="1:4" x14ac:dyDescent="0.25">
      <c r="A235" s="123"/>
      <c r="B235" s="123"/>
      <c r="C235" s="123"/>
      <c r="D235" s="123"/>
    </row>
    <row r="236" spans="1:4" x14ac:dyDescent="0.25">
      <c r="A236" s="123"/>
      <c r="B236" s="123"/>
      <c r="C236" s="123"/>
      <c r="D236" s="123"/>
    </row>
    <row r="237" spans="1:4" x14ac:dyDescent="0.25">
      <c r="A237" s="123"/>
      <c r="B237" s="123"/>
      <c r="C237" s="123"/>
      <c r="D237" s="123"/>
    </row>
    <row r="238" spans="1:4" x14ac:dyDescent="0.25">
      <c r="A238" s="123"/>
      <c r="B238" s="123"/>
      <c r="C238" s="123"/>
      <c r="D238" s="123"/>
    </row>
    <row r="239" spans="1:4" x14ac:dyDescent="0.25">
      <c r="A239" s="123"/>
      <c r="B239" s="123"/>
      <c r="C239" s="123"/>
      <c r="D239" s="123"/>
    </row>
    <row r="240" spans="1:4" x14ac:dyDescent="0.25">
      <c r="A240" s="123"/>
      <c r="B240" s="123"/>
      <c r="C240" s="123"/>
      <c r="D240" s="123"/>
    </row>
    <row r="241" spans="1:4" x14ac:dyDescent="0.25">
      <c r="A241" s="123"/>
      <c r="B241" s="123"/>
      <c r="C241" s="123"/>
      <c r="D241" s="123"/>
    </row>
    <row r="242" spans="1:4" x14ac:dyDescent="0.25">
      <c r="A242" s="123"/>
      <c r="B242" s="123"/>
      <c r="C242" s="123"/>
      <c r="D242" s="123"/>
    </row>
    <row r="243" spans="1:4" x14ac:dyDescent="0.25">
      <c r="A243" s="123"/>
      <c r="B243" s="123"/>
      <c r="C243" s="123"/>
      <c r="D243" s="123"/>
    </row>
    <row r="244" spans="1:4" x14ac:dyDescent="0.25">
      <c r="A244" s="123"/>
      <c r="B244" s="123"/>
      <c r="C244" s="123"/>
      <c r="D244" s="123"/>
    </row>
    <row r="245" spans="1:4" x14ac:dyDescent="0.25">
      <c r="A245" s="123"/>
      <c r="B245" s="123"/>
      <c r="C245" s="123"/>
      <c r="D245" s="123"/>
    </row>
    <row r="246" spans="1:4" x14ac:dyDescent="0.25">
      <c r="A246" s="123"/>
      <c r="B246" s="123"/>
      <c r="C246" s="123"/>
      <c r="D246" s="123"/>
    </row>
    <row r="247" spans="1:4" x14ac:dyDescent="0.25">
      <c r="A247" s="123"/>
      <c r="B247" s="123"/>
      <c r="C247" s="123"/>
      <c r="D247" s="123"/>
    </row>
    <row r="248" spans="1:4" x14ac:dyDescent="0.25">
      <c r="A248" s="123"/>
      <c r="B248" s="123"/>
      <c r="C248" s="123"/>
      <c r="D248" s="123"/>
    </row>
    <row r="249" spans="1:4" x14ac:dyDescent="0.25">
      <c r="A249" s="123"/>
      <c r="B249" s="123"/>
      <c r="C249" s="123"/>
      <c r="D249" s="123"/>
    </row>
    <row r="250" spans="1:4" x14ac:dyDescent="0.25">
      <c r="A250" s="123"/>
      <c r="B250" s="123"/>
      <c r="C250" s="123"/>
      <c r="D250" s="123"/>
    </row>
    <row r="251" spans="1:4" x14ac:dyDescent="0.25">
      <c r="A251" s="123"/>
      <c r="B251" s="123"/>
      <c r="C251" s="123"/>
      <c r="D251" s="123"/>
    </row>
    <row r="252" spans="1:4" x14ac:dyDescent="0.25">
      <c r="A252" s="123"/>
      <c r="B252" s="123"/>
      <c r="C252" s="123"/>
      <c r="D252" s="123"/>
    </row>
    <row r="253" spans="1:4" x14ac:dyDescent="0.25">
      <c r="A253" s="123"/>
      <c r="B253" s="123"/>
      <c r="C253" s="123"/>
      <c r="D253" s="123"/>
    </row>
    <row r="254" spans="1:4" x14ac:dyDescent="0.25">
      <c r="A254" s="123"/>
      <c r="B254" s="123"/>
      <c r="C254" s="123"/>
      <c r="D254" s="123"/>
    </row>
    <row r="255" spans="1:4" x14ac:dyDescent="0.25">
      <c r="A255" s="123"/>
      <c r="B255" s="123"/>
      <c r="C255" s="123"/>
      <c r="D255" s="123"/>
    </row>
    <row r="256" spans="1:4" x14ac:dyDescent="0.25">
      <c r="A256" s="123"/>
      <c r="B256" s="123"/>
      <c r="C256" s="123"/>
      <c r="D256" s="123"/>
    </row>
    <row r="257" spans="1:4" x14ac:dyDescent="0.25">
      <c r="A257" s="123"/>
      <c r="B257" s="123"/>
      <c r="C257" s="123"/>
      <c r="D257" s="123"/>
    </row>
    <row r="258" spans="1:4" x14ac:dyDescent="0.25">
      <c r="A258" s="123"/>
      <c r="B258" s="123"/>
      <c r="C258" s="123"/>
      <c r="D258" s="123"/>
    </row>
    <row r="259" spans="1:4" x14ac:dyDescent="0.25">
      <c r="A259" s="123"/>
      <c r="B259" s="123"/>
      <c r="C259" s="123"/>
      <c r="D259" s="123"/>
    </row>
    <row r="260" spans="1:4" x14ac:dyDescent="0.25">
      <c r="A260" s="123"/>
      <c r="B260" s="123"/>
      <c r="C260" s="123"/>
      <c r="D260" s="123"/>
    </row>
    <row r="261" spans="1:4" x14ac:dyDescent="0.25">
      <c r="A261" s="123"/>
      <c r="B261" s="123"/>
      <c r="C261" s="123"/>
      <c r="D261" s="123"/>
    </row>
    <row r="262" spans="1:4" x14ac:dyDescent="0.25">
      <c r="A262" s="123"/>
      <c r="B262" s="123"/>
      <c r="C262" s="123"/>
      <c r="D262" s="123"/>
    </row>
    <row r="263" spans="1:4" x14ac:dyDescent="0.25">
      <c r="A263" s="123"/>
      <c r="B263" s="123"/>
      <c r="C263" s="123"/>
      <c r="D263" s="123"/>
    </row>
    <row r="264" spans="1:4" x14ac:dyDescent="0.25">
      <c r="A264" s="123"/>
      <c r="B264" s="123"/>
      <c r="C264" s="123"/>
      <c r="D264" s="123"/>
    </row>
    <row r="265" spans="1:4" x14ac:dyDescent="0.25">
      <c r="A265" s="123"/>
      <c r="B265" s="123"/>
      <c r="C265" s="123"/>
      <c r="D265" s="123"/>
    </row>
  </sheetData>
  <printOptions horizontalCentered="1"/>
  <pageMargins left="0" right="0" top="0" bottom="0" header="0.3" footer="0.3"/>
  <pageSetup paperSize="9" scale="76" fitToWidth="0" orientation="portrait" r:id="rId7"/>
  <drawing r:id="rId8"/>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theme="3" tint="0.59999389629810485"/>
  </sheetPr>
  <dimension ref="A1:K358"/>
  <sheetViews>
    <sheetView zoomScale="90" zoomScaleNormal="90" workbookViewId="0">
      <selection activeCell="A3" sqref="A3:B3"/>
    </sheetView>
  </sheetViews>
  <sheetFormatPr defaultRowHeight="15" x14ac:dyDescent="0.25"/>
  <cols>
    <col min="1" max="1" width="11.28515625" style="123" customWidth="1"/>
    <col min="2" max="2" width="12.7109375" style="123" customWidth="1"/>
    <col min="3" max="3" width="47" style="123" bestFit="1" customWidth="1"/>
    <col min="4" max="4" width="19.140625" style="123" customWidth="1"/>
    <col min="5" max="5" width="15" style="123" customWidth="1"/>
    <col min="6" max="6" width="12" style="123" customWidth="1"/>
    <col min="7" max="7" width="10.7109375" style="25" customWidth="1"/>
    <col min="8" max="8" width="11.28515625" style="25" customWidth="1"/>
    <col min="9" max="9" width="9.7109375" style="123" customWidth="1"/>
    <col min="10" max="11" width="9.140625" style="123"/>
  </cols>
  <sheetData>
    <row r="1" spans="1:11" x14ac:dyDescent="0.25">
      <c r="A1" s="321"/>
      <c r="B1" s="241"/>
      <c r="C1" s="241"/>
      <c r="D1" s="241"/>
      <c r="E1" s="241"/>
      <c r="F1" s="241"/>
      <c r="G1" s="241"/>
      <c r="H1" s="242"/>
      <c r="I1" s="4"/>
      <c r="J1" s="4"/>
      <c r="K1" s="4"/>
    </row>
    <row r="2" spans="1:11" ht="28.5" x14ac:dyDescent="0.45">
      <c r="A2" s="327" t="s">
        <v>860</v>
      </c>
      <c r="B2" s="225"/>
      <c r="C2" s="225"/>
      <c r="D2" s="225"/>
      <c r="E2" s="225"/>
      <c r="F2" s="225"/>
      <c r="G2" s="225"/>
      <c r="H2" s="328"/>
      <c r="I2" s="122"/>
      <c r="J2" s="134"/>
      <c r="K2" s="134"/>
    </row>
    <row r="3" spans="1:11" ht="28.5" x14ac:dyDescent="0.45">
      <c r="A3" s="1008">
        <f>Definition!B23</f>
        <v>42522</v>
      </c>
      <c r="B3" s="1009"/>
      <c r="C3" s="329"/>
      <c r="D3" s="329"/>
      <c r="E3" s="329"/>
      <c r="F3" s="329"/>
      <c r="G3" s="329"/>
      <c r="H3" s="330"/>
      <c r="I3" s="122"/>
      <c r="J3" s="135"/>
      <c r="K3" s="122"/>
    </row>
    <row r="4" spans="1:11" ht="17.25" customHeight="1" x14ac:dyDescent="0.45">
      <c r="A4" s="467" t="s">
        <v>500</v>
      </c>
      <c r="B4" s="468" t="s">
        <v>502</v>
      </c>
      <c r="C4" s="122"/>
      <c r="D4" s="122"/>
      <c r="E4" s="122"/>
      <c r="F4" s="122"/>
      <c r="G4" s="122"/>
      <c r="H4" s="122"/>
      <c r="I4" s="122"/>
      <c r="J4" s="135"/>
      <c r="K4" s="122"/>
    </row>
    <row r="5" spans="1:11" x14ac:dyDescent="0.25">
      <c r="A5" s="467" t="s">
        <v>1253</v>
      </c>
      <c r="B5" s="468" t="s">
        <v>1194</v>
      </c>
    </row>
    <row r="7" spans="1:11" ht="45" x14ac:dyDescent="0.25">
      <c r="A7" s="498" t="s">
        <v>396</v>
      </c>
      <c r="B7" s="499" t="s">
        <v>0</v>
      </c>
      <c r="C7" s="499" t="s">
        <v>556</v>
      </c>
      <c r="D7" s="499" t="s">
        <v>928</v>
      </c>
      <c r="E7" s="499" t="s">
        <v>1297</v>
      </c>
      <c r="F7" s="534" t="s">
        <v>929</v>
      </c>
      <c r="G7" s="500" t="s">
        <v>499</v>
      </c>
      <c r="H7" s="501" t="s">
        <v>862</v>
      </c>
      <c r="I7" s="501" t="s">
        <v>863</v>
      </c>
      <c r="J7" s="457" t="s">
        <v>1296</v>
      </c>
      <c r="K7" s="177"/>
    </row>
    <row r="8" spans="1:11" ht="11.25" customHeight="1" x14ac:dyDescent="0.25">
      <c r="A8" s="453" t="s">
        <v>380</v>
      </c>
      <c r="B8" s="422" t="s">
        <v>5</v>
      </c>
      <c r="C8" s="422" t="s">
        <v>6</v>
      </c>
      <c r="D8" s="422" t="s">
        <v>4</v>
      </c>
      <c r="E8" s="422" t="s">
        <v>556</v>
      </c>
      <c r="F8" s="422" t="s">
        <v>1092</v>
      </c>
      <c r="G8" s="422" t="s">
        <v>513</v>
      </c>
      <c r="H8" s="439">
        <v>274</v>
      </c>
      <c r="I8" s="439">
        <v>1349</v>
      </c>
      <c r="J8" s="494">
        <v>1</v>
      </c>
    </row>
    <row r="9" spans="1:11" ht="11.25" customHeight="1" x14ac:dyDescent="0.25">
      <c r="A9" s="453"/>
      <c r="B9" s="422"/>
      <c r="C9" s="422" t="s">
        <v>514</v>
      </c>
      <c r="D9" s="422" t="s">
        <v>377</v>
      </c>
      <c r="E9" s="422" t="s">
        <v>556</v>
      </c>
      <c r="F9" s="422" t="s">
        <v>462</v>
      </c>
      <c r="G9" s="422" t="s">
        <v>513</v>
      </c>
      <c r="H9" s="439">
        <v>12</v>
      </c>
      <c r="I9" s="439">
        <v>54</v>
      </c>
      <c r="J9" s="494">
        <v>1</v>
      </c>
    </row>
    <row r="10" spans="1:11" ht="11.25" customHeight="1" x14ac:dyDescent="0.25">
      <c r="A10" s="453"/>
      <c r="B10" s="422"/>
      <c r="C10" s="422" t="s">
        <v>14</v>
      </c>
      <c r="D10" s="422" t="s">
        <v>13</v>
      </c>
      <c r="E10" s="422" t="s">
        <v>556</v>
      </c>
      <c r="F10" s="422" t="s">
        <v>462</v>
      </c>
      <c r="G10" s="422" t="s">
        <v>513</v>
      </c>
      <c r="H10" s="439">
        <v>39</v>
      </c>
      <c r="I10" s="439">
        <v>227</v>
      </c>
      <c r="J10" s="494">
        <v>1</v>
      </c>
    </row>
    <row r="11" spans="1:11" x14ac:dyDescent="0.25">
      <c r="A11" s="453"/>
      <c r="B11" s="422"/>
      <c r="C11" s="428" t="s">
        <v>18</v>
      </c>
      <c r="D11" s="422" t="s">
        <v>17</v>
      </c>
      <c r="E11" s="422" t="s">
        <v>556</v>
      </c>
      <c r="F11" s="422" t="s">
        <v>507</v>
      </c>
      <c r="G11" s="422" t="s">
        <v>513</v>
      </c>
      <c r="H11" s="439">
        <v>116</v>
      </c>
      <c r="I11" s="439">
        <v>659</v>
      </c>
      <c r="J11" s="494">
        <v>1</v>
      </c>
    </row>
    <row r="12" spans="1:11" ht="11.25" customHeight="1" x14ac:dyDescent="0.25">
      <c r="A12" s="453"/>
      <c r="B12" s="422"/>
      <c r="C12" s="428" t="s">
        <v>8</v>
      </c>
      <c r="D12" s="422" t="s">
        <v>7</v>
      </c>
      <c r="E12" s="422" t="s">
        <v>556</v>
      </c>
      <c r="F12" s="422" t="s">
        <v>507</v>
      </c>
      <c r="G12" s="422" t="s">
        <v>513</v>
      </c>
      <c r="H12" s="439">
        <v>14</v>
      </c>
      <c r="I12" s="439">
        <v>65</v>
      </c>
      <c r="J12" s="494">
        <v>1</v>
      </c>
    </row>
    <row r="13" spans="1:11" ht="11.25" customHeight="1" x14ac:dyDescent="0.25">
      <c r="A13" s="453"/>
      <c r="B13" s="422"/>
      <c r="C13" s="428" t="s">
        <v>20</v>
      </c>
      <c r="D13" s="422" t="s">
        <v>19</v>
      </c>
      <c r="E13" s="422" t="s">
        <v>556</v>
      </c>
      <c r="F13" s="422" t="s">
        <v>1092</v>
      </c>
      <c r="G13" s="422" t="s">
        <v>513</v>
      </c>
      <c r="H13" s="439">
        <v>20</v>
      </c>
      <c r="I13" s="439">
        <v>103</v>
      </c>
      <c r="J13" s="494">
        <v>1</v>
      </c>
    </row>
    <row r="14" spans="1:11" ht="11.25" customHeight="1" x14ac:dyDescent="0.25">
      <c r="A14" s="453"/>
      <c r="B14" s="422"/>
      <c r="C14" s="428" t="s">
        <v>366</v>
      </c>
      <c r="D14" s="422" t="s">
        <v>376</v>
      </c>
      <c r="E14" s="422" t="s">
        <v>556</v>
      </c>
      <c r="F14" s="422" t="s">
        <v>462</v>
      </c>
      <c r="G14" s="422" t="s">
        <v>513</v>
      </c>
      <c r="H14" s="439">
        <v>150</v>
      </c>
      <c r="I14" s="439">
        <v>766</v>
      </c>
      <c r="J14" s="494">
        <v>1</v>
      </c>
    </row>
    <row r="15" spans="1:11" ht="11.25" customHeight="1" x14ac:dyDescent="0.25">
      <c r="A15" s="453"/>
      <c r="B15" s="422"/>
      <c r="C15" s="428" t="s">
        <v>22</v>
      </c>
      <c r="D15" s="422" t="s">
        <v>21</v>
      </c>
      <c r="E15" s="422" t="s">
        <v>556</v>
      </c>
      <c r="F15" s="422" t="s">
        <v>462</v>
      </c>
      <c r="G15" s="422" t="s">
        <v>513</v>
      </c>
      <c r="H15" s="439">
        <v>629</v>
      </c>
      <c r="I15" s="439">
        <v>3798</v>
      </c>
      <c r="J15" s="494">
        <v>1</v>
      </c>
    </row>
    <row r="16" spans="1:11" ht="11.25" customHeight="1" x14ac:dyDescent="0.25">
      <c r="A16" s="453"/>
      <c r="B16" s="422"/>
      <c r="C16" s="428" t="s">
        <v>24</v>
      </c>
      <c r="D16" s="422" t="s">
        <v>23</v>
      </c>
      <c r="E16" s="422" t="s">
        <v>556</v>
      </c>
      <c r="F16" s="422" t="s">
        <v>507</v>
      </c>
      <c r="G16" s="422" t="s">
        <v>513</v>
      </c>
      <c r="H16" s="439">
        <v>21</v>
      </c>
      <c r="I16" s="439">
        <v>97</v>
      </c>
      <c r="J16" s="494">
        <v>1</v>
      </c>
    </row>
    <row r="17" spans="1:10" ht="11.25" customHeight="1" x14ac:dyDescent="0.25">
      <c r="A17" s="453"/>
      <c r="B17" s="422"/>
      <c r="C17" s="422" t="s">
        <v>26</v>
      </c>
      <c r="D17" s="422" t="s">
        <v>25</v>
      </c>
      <c r="E17" s="422" t="s">
        <v>556</v>
      </c>
      <c r="F17" s="422" t="s">
        <v>507</v>
      </c>
      <c r="G17" s="422" t="s">
        <v>513</v>
      </c>
      <c r="H17" s="439">
        <v>15</v>
      </c>
      <c r="I17" s="439">
        <v>73</v>
      </c>
      <c r="J17" s="494">
        <v>1</v>
      </c>
    </row>
    <row r="18" spans="1:10" ht="11.25" customHeight="1" x14ac:dyDescent="0.25">
      <c r="A18" s="453"/>
      <c r="B18" s="422" t="s">
        <v>1167</v>
      </c>
      <c r="C18" s="422"/>
      <c r="D18" s="422"/>
      <c r="E18" s="422"/>
      <c r="F18" s="422"/>
      <c r="G18" s="422"/>
      <c r="H18" s="439">
        <v>1290</v>
      </c>
      <c r="I18" s="439">
        <v>7191</v>
      </c>
      <c r="J18" s="494">
        <v>10</v>
      </c>
    </row>
    <row r="19" spans="1:10" ht="11.25" customHeight="1" x14ac:dyDescent="0.25">
      <c r="A19" s="453"/>
      <c r="B19" s="422" t="s">
        <v>27</v>
      </c>
      <c r="C19" s="422" t="s">
        <v>28</v>
      </c>
      <c r="D19" s="422" t="s">
        <v>30</v>
      </c>
      <c r="E19" s="422" t="s">
        <v>556</v>
      </c>
      <c r="F19" s="422" t="s">
        <v>507</v>
      </c>
      <c r="G19" s="422" t="s">
        <v>513</v>
      </c>
      <c r="H19" s="439">
        <v>109</v>
      </c>
      <c r="I19" s="439">
        <v>504</v>
      </c>
      <c r="J19" s="494">
        <v>1</v>
      </c>
    </row>
    <row r="20" spans="1:10" ht="11.25" customHeight="1" x14ac:dyDescent="0.25">
      <c r="A20" s="453"/>
      <c r="B20" s="422"/>
      <c r="C20" s="422" t="s">
        <v>364</v>
      </c>
      <c r="D20" s="422" t="s">
        <v>29</v>
      </c>
      <c r="E20" s="422" t="s">
        <v>556</v>
      </c>
      <c r="F20" s="422" t="s">
        <v>462</v>
      </c>
      <c r="G20" s="422" t="s">
        <v>515</v>
      </c>
      <c r="H20" s="439">
        <v>154</v>
      </c>
      <c r="I20" s="439">
        <v>920</v>
      </c>
      <c r="J20" s="494">
        <v>1</v>
      </c>
    </row>
    <row r="21" spans="1:10" ht="11.25" customHeight="1" x14ac:dyDescent="0.25">
      <c r="A21" s="453"/>
      <c r="B21" s="422"/>
      <c r="C21" s="422" t="s">
        <v>365</v>
      </c>
      <c r="D21" s="422" t="s">
        <v>378</v>
      </c>
      <c r="E21" s="422" t="s">
        <v>556</v>
      </c>
      <c r="F21" s="422" t="s">
        <v>507</v>
      </c>
      <c r="G21" s="422" t="s">
        <v>513</v>
      </c>
      <c r="H21" s="439">
        <v>143</v>
      </c>
      <c r="I21" s="439">
        <v>638</v>
      </c>
      <c r="J21" s="494">
        <v>1</v>
      </c>
    </row>
    <row r="22" spans="1:10" ht="11.25" customHeight="1" x14ac:dyDescent="0.25">
      <c r="A22" s="453"/>
      <c r="B22" s="422"/>
      <c r="C22" s="422" t="s">
        <v>866</v>
      </c>
      <c r="D22" s="422" t="s">
        <v>865</v>
      </c>
      <c r="E22" s="422" t="s">
        <v>556</v>
      </c>
      <c r="F22" s="422" t="s">
        <v>1093</v>
      </c>
      <c r="G22" s="422" t="s">
        <v>513</v>
      </c>
      <c r="H22" s="439">
        <v>60</v>
      </c>
      <c r="I22" s="439">
        <v>275</v>
      </c>
      <c r="J22" s="494">
        <v>1</v>
      </c>
    </row>
    <row r="23" spans="1:10" ht="11.25" customHeight="1" x14ac:dyDescent="0.25">
      <c r="A23" s="453"/>
      <c r="B23" s="422"/>
      <c r="C23" s="422" t="s">
        <v>1022</v>
      </c>
      <c r="D23" s="422" t="s">
        <v>1023</v>
      </c>
      <c r="E23" s="422" t="s">
        <v>556</v>
      </c>
      <c r="F23" s="422" t="s">
        <v>1093</v>
      </c>
      <c r="G23" s="422" t="s">
        <v>513</v>
      </c>
      <c r="H23" s="439">
        <v>30</v>
      </c>
      <c r="I23" s="439">
        <v>174</v>
      </c>
      <c r="J23" s="494">
        <v>1</v>
      </c>
    </row>
    <row r="24" spans="1:10" ht="11.25" customHeight="1" x14ac:dyDescent="0.25">
      <c r="A24" s="453"/>
      <c r="B24" s="422" t="s">
        <v>1120</v>
      </c>
      <c r="C24" s="422"/>
      <c r="D24" s="422"/>
      <c r="E24" s="422"/>
      <c r="F24" s="422"/>
      <c r="G24" s="422"/>
      <c r="H24" s="439">
        <v>496</v>
      </c>
      <c r="I24" s="439">
        <v>2511</v>
      </c>
      <c r="J24" s="494">
        <v>5</v>
      </c>
    </row>
    <row r="25" spans="1:10" ht="11.25" customHeight="1" x14ac:dyDescent="0.25">
      <c r="A25" s="453"/>
      <c r="B25" s="422" t="s">
        <v>529</v>
      </c>
      <c r="C25" s="422" t="s">
        <v>62</v>
      </c>
      <c r="D25" s="422" t="s">
        <v>61</v>
      </c>
      <c r="E25" s="422" t="s">
        <v>556</v>
      </c>
      <c r="F25" s="422" t="s">
        <v>462</v>
      </c>
      <c r="G25" s="422" t="s">
        <v>513</v>
      </c>
      <c r="H25" s="439">
        <v>77</v>
      </c>
      <c r="I25" s="439">
        <v>393</v>
      </c>
      <c r="J25" s="494">
        <v>1</v>
      </c>
    </row>
    <row r="26" spans="1:10" ht="11.25" customHeight="1" x14ac:dyDescent="0.25">
      <c r="A26" s="453"/>
      <c r="B26" s="422"/>
      <c r="C26" s="422" t="s">
        <v>120</v>
      </c>
      <c r="D26" s="422" t="s">
        <v>119</v>
      </c>
      <c r="E26" s="422" t="s">
        <v>556</v>
      </c>
      <c r="F26" s="422" t="s">
        <v>1093</v>
      </c>
      <c r="G26" s="422" t="s">
        <v>513</v>
      </c>
      <c r="H26" s="439">
        <v>66</v>
      </c>
      <c r="I26" s="439">
        <v>367</v>
      </c>
      <c r="J26" s="494">
        <v>1</v>
      </c>
    </row>
    <row r="27" spans="1:10" ht="11.25" customHeight="1" x14ac:dyDescent="0.25">
      <c r="A27" s="453"/>
      <c r="B27" s="422"/>
      <c r="C27" s="422" t="s">
        <v>41</v>
      </c>
      <c r="D27" s="422" t="s">
        <v>40</v>
      </c>
      <c r="E27" s="422" t="s">
        <v>556</v>
      </c>
      <c r="F27" s="422" t="s">
        <v>507</v>
      </c>
      <c r="G27" s="422" t="s">
        <v>513</v>
      </c>
      <c r="H27" s="439">
        <v>67</v>
      </c>
      <c r="I27" s="439">
        <v>350</v>
      </c>
      <c r="J27" s="494">
        <v>1</v>
      </c>
    </row>
    <row r="28" spans="1:10" ht="11.25" customHeight="1" x14ac:dyDescent="0.25">
      <c r="A28" s="453"/>
      <c r="B28" s="422"/>
      <c r="C28" s="422" t="s">
        <v>43</v>
      </c>
      <c r="D28" s="422" t="s">
        <v>42</v>
      </c>
      <c r="E28" s="422" t="s">
        <v>556</v>
      </c>
      <c r="F28" s="422" t="s">
        <v>507</v>
      </c>
      <c r="G28" s="422" t="s">
        <v>513</v>
      </c>
      <c r="H28" s="439">
        <v>14</v>
      </c>
      <c r="I28" s="439">
        <v>83</v>
      </c>
      <c r="J28" s="494">
        <v>1</v>
      </c>
    </row>
    <row r="29" spans="1:10" ht="11.25" customHeight="1" x14ac:dyDescent="0.25">
      <c r="A29" s="453"/>
      <c r="B29" s="422"/>
      <c r="C29" s="422" t="s">
        <v>52</v>
      </c>
      <c r="D29" s="422" t="s">
        <v>51</v>
      </c>
      <c r="E29" s="422" t="s">
        <v>556</v>
      </c>
      <c r="F29" s="422" t="s">
        <v>462</v>
      </c>
      <c r="G29" s="422" t="s">
        <v>513</v>
      </c>
      <c r="H29" s="439">
        <v>36</v>
      </c>
      <c r="I29" s="439">
        <v>220</v>
      </c>
      <c r="J29" s="494">
        <v>1</v>
      </c>
    </row>
    <row r="30" spans="1:10" ht="11.25" customHeight="1" x14ac:dyDescent="0.25">
      <c r="A30" s="453"/>
      <c r="B30" s="422"/>
      <c r="C30" s="422" t="s">
        <v>72</v>
      </c>
      <c r="D30" s="422" t="s">
        <v>71</v>
      </c>
      <c r="E30" s="422" t="s">
        <v>556</v>
      </c>
      <c r="F30" s="422" t="s">
        <v>507</v>
      </c>
      <c r="G30" s="422" t="s">
        <v>513</v>
      </c>
      <c r="H30" s="439">
        <v>6</v>
      </c>
      <c r="I30" s="439">
        <v>30</v>
      </c>
      <c r="J30" s="494">
        <v>1</v>
      </c>
    </row>
    <row r="31" spans="1:10" ht="11.25" customHeight="1" x14ac:dyDescent="0.25">
      <c r="A31" s="453"/>
      <c r="B31" s="422"/>
      <c r="C31" s="422" t="s">
        <v>76</v>
      </c>
      <c r="D31" s="422" t="s">
        <v>75</v>
      </c>
      <c r="E31" s="422" t="s">
        <v>556</v>
      </c>
      <c r="F31" s="422" t="s">
        <v>507</v>
      </c>
      <c r="G31" s="422" t="s">
        <v>513</v>
      </c>
      <c r="H31" s="439">
        <v>66</v>
      </c>
      <c r="I31" s="439">
        <v>356</v>
      </c>
      <c r="J31" s="494">
        <v>1</v>
      </c>
    </row>
    <row r="32" spans="1:10" ht="11.25" customHeight="1" x14ac:dyDescent="0.25">
      <c r="A32" s="453"/>
      <c r="B32" s="422"/>
      <c r="C32" s="422" t="s">
        <v>88</v>
      </c>
      <c r="D32" s="422" t="s">
        <v>87</v>
      </c>
      <c r="E32" s="422" t="s">
        <v>556</v>
      </c>
      <c r="F32" s="422" t="s">
        <v>462</v>
      </c>
      <c r="G32" s="422" t="s">
        <v>513</v>
      </c>
      <c r="H32" s="439">
        <v>14</v>
      </c>
      <c r="I32" s="439">
        <v>47</v>
      </c>
      <c r="J32" s="494">
        <v>1</v>
      </c>
    </row>
    <row r="33" spans="1:10" ht="11.25" customHeight="1" x14ac:dyDescent="0.25">
      <c r="A33" s="453"/>
      <c r="B33" s="422"/>
      <c r="C33" s="422" t="s">
        <v>44</v>
      </c>
      <c r="D33" s="422" t="s">
        <v>45</v>
      </c>
      <c r="E33" s="422" t="s">
        <v>556</v>
      </c>
      <c r="F33" s="422" t="s">
        <v>507</v>
      </c>
      <c r="G33" s="422" t="s">
        <v>513</v>
      </c>
      <c r="H33" s="439">
        <v>8</v>
      </c>
      <c r="I33" s="439">
        <v>46</v>
      </c>
      <c r="J33" s="494">
        <v>1</v>
      </c>
    </row>
    <row r="34" spans="1:10" ht="11.25" customHeight="1" x14ac:dyDescent="0.25">
      <c r="A34" s="453"/>
      <c r="B34" s="422"/>
      <c r="C34" s="422" t="s">
        <v>90</v>
      </c>
      <c r="D34" s="422" t="s">
        <v>89</v>
      </c>
      <c r="E34" s="422" t="s">
        <v>556</v>
      </c>
      <c r="F34" s="422" t="s">
        <v>507</v>
      </c>
      <c r="G34" s="422" t="s">
        <v>513</v>
      </c>
      <c r="H34" s="439">
        <v>25</v>
      </c>
      <c r="I34" s="439">
        <v>133</v>
      </c>
      <c r="J34" s="494">
        <v>1</v>
      </c>
    </row>
    <row r="35" spans="1:10" ht="11.25" customHeight="1" x14ac:dyDescent="0.25">
      <c r="A35" s="453"/>
      <c r="B35" s="422"/>
      <c r="C35" s="422" t="s">
        <v>92</v>
      </c>
      <c r="D35" s="422" t="s">
        <v>91</v>
      </c>
      <c r="E35" s="422" t="s">
        <v>556</v>
      </c>
      <c r="F35" s="422" t="s">
        <v>507</v>
      </c>
      <c r="G35" s="422" t="s">
        <v>513</v>
      </c>
      <c r="H35" s="439">
        <v>15</v>
      </c>
      <c r="I35" s="439">
        <v>74</v>
      </c>
      <c r="J35" s="494">
        <v>1</v>
      </c>
    </row>
    <row r="36" spans="1:10" ht="11.25" customHeight="1" x14ac:dyDescent="0.25">
      <c r="A36" s="453"/>
      <c r="B36" s="422"/>
      <c r="C36" s="422" t="s">
        <v>100</v>
      </c>
      <c r="D36" s="422" t="s">
        <v>99</v>
      </c>
      <c r="E36" s="422" t="s">
        <v>556</v>
      </c>
      <c r="F36" s="422" t="s">
        <v>507</v>
      </c>
      <c r="G36" s="422" t="s">
        <v>513</v>
      </c>
      <c r="H36" s="439">
        <v>5</v>
      </c>
      <c r="I36" s="439">
        <v>26</v>
      </c>
      <c r="J36" s="494">
        <v>1</v>
      </c>
    </row>
    <row r="37" spans="1:10" ht="11.25" customHeight="1" x14ac:dyDescent="0.25">
      <c r="A37" s="453"/>
      <c r="B37" s="422"/>
      <c r="C37" s="422" t="s">
        <v>613</v>
      </c>
      <c r="D37" s="422" t="s">
        <v>46</v>
      </c>
      <c r="E37" s="422" t="s">
        <v>556</v>
      </c>
      <c r="F37" s="422" t="s">
        <v>507</v>
      </c>
      <c r="G37" s="422" t="s">
        <v>513</v>
      </c>
      <c r="H37" s="439">
        <v>17</v>
      </c>
      <c r="I37" s="439">
        <v>64</v>
      </c>
      <c r="J37" s="494">
        <v>1</v>
      </c>
    </row>
    <row r="38" spans="1:10" ht="11.25" customHeight="1" x14ac:dyDescent="0.25">
      <c r="A38" s="453"/>
      <c r="B38" s="422"/>
      <c r="C38" s="422" t="s">
        <v>108</v>
      </c>
      <c r="D38" s="422" t="s">
        <v>107</v>
      </c>
      <c r="E38" s="422" t="s">
        <v>556</v>
      </c>
      <c r="F38" s="422" t="s">
        <v>1093</v>
      </c>
      <c r="G38" s="422" t="s">
        <v>513</v>
      </c>
      <c r="H38" s="439">
        <v>53</v>
      </c>
      <c r="I38" s="439">
        <v>241</v>
      </c>
      <c r="J38" s="494">
        <v>1</v>
      </c>
    </row>
    <row r="39" spans="1:10" ht="11.25" customHeight="1" x14ac:dyDescent="0.25">
      <c r="A39" s="453"/>
      <c r="B39" s="422"/>
      <c r="C39" s="422" t="s">
        <v>118</v>
      </c>
      <c r="D39" s="422" t="s">
        <v>117</v>
      </c>
      <c r="E39" s="422" t="s">
        <v>556</v>
      </c>
      <c r="F39" s="422" t="s">
        <v>507</v>
      </c>
      <c r="G39" s="422" t="s">
        <v>513</v>
      </c>
      <c r="H39" s="439">
        <v>10</v>
      </c>
      <c r="I39" s="439">
        <v>39</v>
      </c>
      <c r="J39" s="494">
        <v>1</v>
      </c>
    </row>
    <row r="40" spans="1:10" ht="11.25" customHeight="1" x14ac:dyDescent="0.25">
      <c r="A40" s="453"/>
      <c r="B40" s="422"/>
      <c r="C40" s="422" t="s">
        <v>124</v>
      </c>
      <c r="D40" s="422" t="s">
        <v>123</v>
      </c>
      <c r="E40" s="422" t="s">
        <v>556</v>
      </c>
      <c r="F40" s="422" t="s">
        <v>462</v>
      </c>
      <c r="G40" s="422" t="s">
        <v>513</v>
      </c>
      <c r="H40" s="439">
        <v>8</v>
      </c>
      <c r="I40" s="439">
        <v>40</v>
      </c>
      <c r="J40" s="494">
        <v>1</v>
      </c>
    </row>
    <row r="41" spans="1:10" ht="11.25" customHeight="1" x14ac:dyDescent="0.25">
      <c r="A41" s="453"/>
      <c r="B41" s="422"/>
      <c r="C41" s="422" t="s">
        <v>126</v>
      </c>
      <c r="D41" s="422" t="s">
        <v>125</v>
      </c>
      <c r="E41" s="422" t="s">
        <v>556</v>
      </c>
      <c r="F41" s="422" t="s">
        <v>462</v>
      </c>
      <c r="G41" s="422" t="s">
        <v>513</v>
      </c>
      <c r="H41" s="439">
        <v>35</v>
      </c>
      <c r="I41" s="439">
        <v>173</v>
      </c>
      <c r="J41" s="494">
        <v>1</v>
      </c>
    </row>
    <row r="42" spans="1:10" ht="11.25" customHeight="1" x14ac:dyDescent="0.25">
      <c r="A42" s="453"/>
      <c r="B42" s="422"/>
      <c r="C42" s="422" t="s">
        <v>140</v>
      </c>
      <c r="D42" s="422" t="s">
        <v>139</v>
      </c>
      <c r="E42" s="422" t="s">
        <v>556</v>
      </c>
      <c r="F42" s="422" t="s">
        <v>462</v>
      </c>
      <c r="G42" s="422" t="s">
        <v>513</v>
      </c>
      <c r="H42" s="439">
        <v>19</v>
      </c>
      <c r="I42" s="439">
        <v>72</v>
      </c>
      <c r="J42" s="494">
        <v>1</v>
      </c>
    </row>
    <row r="43" spans="1:10" ht="11.25" customHeight="1" x14ac:dyDescent="0.25">
      <c r="A43" s="453"/>
      <c r="B43" s="422"/>
      <c r="C43" s="422" t="s">
        <v>1068</v>
      </c>
      <c r="D43" s="422" t="s">
        <v>1069</v>
      </c>
      <c r="E43" s="422" t="s">
        <v>556</v>
      </c>
      <c r="F43" s="422" t="s">
        <v>462</v>
      </c>
      <c r="G43" s="422" t="s">
        <v>513</v>
      </c>
      <c r="H43" s="439">
        <v>116</v>
      </c>
      <c r="I43" s="439">
        <v>530</v>
      </c>
      <c r="J43" s="494">
        <v>1</v>
      </c>
    </row>
    <row r="44" spans="1:10" ht="11.25" customHeight="1" x14ac:dyDescent="0.25">
      <c r="A44" s="453"/>
      <c r="B44" s="422"/>
      <c r="C44" s="422" t="s">
        <v>1123</v>
      </c>
      <c r="D44" s="422" t="s">
        <v>1124</v>
      </c>
      <c r="E44" s="422" t="s">
        <v>556</v>
      </c>
      <c r="F44" s="422" t="s">
        <v>462</v>
      </c>
      <c r="G44" s="422" t="s">
        <v>513</v>
      </c>
      <c r="H44" s="439">
        <v>50</v>
      </c>
      <c r="I44" s="439">
        <v>242</v>
      </c>
      <c r="J44" s="494">
        <v>1</v>
      </c>
    </row>
    <row r="45" spans="1:10" ht="11.25" customHeight="1" x14ac:dyDescent="0.25">
      <c r="A45" s="453"/>
      <c r="B45" s="422" t="s">
        <v>1168</v>
      </c>
      <c r="C45" s="422"/>
      <c r="D45" s="422"/>
      <c r="E45" s="422"/>
      <c r="F45" s="422"/>
      <c r="G45" s="422"/>
      <c r="H45" s="439">
        <v>707</v>
      </c>
      <c r="I45" s="439">
        <v>3526</v>
      </c>
      <c r="J45" s="494">
        <v>20</v>
      </c>
    </row>
    <row r="46" spans="1:10" ht="11.25" customHeight="1" x14ac:dyDescent="0.25">
      <c r="A46" s="453"/>
      <c r="B46" s="422" t="s">
        <v>144</v>
      </c>
      <c r="C46" s="422" t="s">
        <v>145</v>
      </c>
      <c r="D46" s="422" t="s">
        <v>143</v>
      </c>
      <c r="E46" s="422" t="s">
        <v>556</v>
      </c>
      <c r="F46" s="422" t="s">
        <v>603</v>
      </c>
      <c r="G46" s="422" t="s">
        <v>513</v>
      </c>
      <c r="H46" s="439">
        <v>11</v>
      </c>
      <c r="I46" s="439">
        <v>17</v>
      </c>
      <c r="J46" s="494">
        <v>1</v>
      </c>
    </row>
    <row r="47" spans="1:10" ht="11.25" customHeight="1" x14ac:dyDescent="0.25">
      <c r="A47" s="453"/>
      <c r="B47" s="422" t="s">
        <v>1380</v>
      </c>
      <c r="C47" s="422"/>
      <c r="D47" s="422"/>
      <c r="E47" s="422"/>
      <c r="F47" s="422"/>
      <c r="G47" s="422"/>
      <c r="H47" s="439">
        <v>11</v>
      </c>
      <c r="I47" s="439">
        <v>17</v>
      </c>
      <c r="J47" s="494">
        <v>1</v>
      </c>
    </row>
    <row r="48" spans="1:10" ht="11.25" customHeight="1" x14ac:dyDescent="0.25">
      <c r="A48" s="453"/>
      <c r="B48" s="422" t="s">
        <v>151</v>
      </c>
      <c r="C48" s="422" t="s">
        <v>188</v>
      </c>
      <c r="D48" s="422" t="s">
        <v>187</v>
      </c>
      <c r="E48" s="422" t="s">
        <v>556</v>
      </c>
      <c r="F48" s="422" t="s">
        <v>1092</v>
      </c>
      <c r="G48" s="422" t="s">
        <v>515</v>
      </c>
      <c r="H48" s="439">
        <v>245</v>
      </c>
      <c r="I48" s="439">
        <v>1232</v>
      </c>
      <c r="J48" s="494">
        <v>1</v>
      </c>
    </row>
    <row r="49" spans="1:10" ht="11.25" customHeight="1" x14ac:dyDescent="0.25">
      <c r="A49" s="453"/>
      <c r="B49" s="422"/>
      <c r="C49" s="422" t="s">
        <v>198</v>
      </c>
      <c r="D49" s="422" t="s">
        <v>197</v>
      </c>
      <c r="E49" s="422" t="s">
        <v>556</v>
      </c>
      <c r="F49" s="422" t="s">
        <v>1092</v>
      </c>
      <c r="G49" s="422" t="s">
        <v>515</v>
      </c>
      <c r="H49" s="439">
        <v>545</v>
      </c>
      <c r="I49" s="439">
        <v>2560</v>
      </c>
      <c r="J49" s="494">
        <v>1</v>
      </c>
    </row>
    <row r="50" spans="1:10" ht="11.25" customHeight="1" x14ac:dyDescent="0.25">
      <c r="A50" s="453"/>
      <c r="B50" s="422"/>
      <c r="C50" s="422" t="s">
        <v>887</v>
      </c>
      <c r="D50" s="422" t="s">
        <v>888</v>
      </c>
      <c r="E50" s="422" t="s">
        <v>556</v>
      </c>
      <c r="F50" s="422" t="s">
        <v>462</v>
      </c>
      <c r="G50" s="422" t="s">
        <v>513</v>
      </c>
      <c r="H50" s="439">
        <v>365</v>
      </c>
      <c r="I50" s="439">
        <v>1672</v>
      </c>
      <c r="J50" s="494">
        <v>1</v>
      </c>
    </row>
    <row r="51" spans="1:10" ht="11.25" customHeight="1" x14ac:dyDescent="0.25">
      <c r="A51" s="453"/>
      <c r="B51" s="422"/>
      <c r="C51" s="422" t="s">
        <v>160</v>
      </c>
      <c r="D51" s="422" t="s">
        <v>159</v>
      </c>
      <c r="E51" s="422" t="s">
        <v>556</v>
      </c>
      <c r="F51" s="422" t="s">
        <v>462</v>
      </c>
      <c r="G51" s="422" t="s">
        <v>513</v>
      </c>
      <c r="H51" s="439">
        <v>107</v>
      </c>
      <c r="I51" s="439">
        <v>527</v>
      </c>
      <c r="J51" s="494">
        <v>1</v>
      </c>
    </row>
    <row r="52" spans="1:10" ht="11.25" customHeight="1" x14ac:dyDescent="0.25">
      <c r="A52" s="453"/>
      <c r="B52" s="422"/>
      <c r="C52" s="422" t="s">
        <v>154</v>
      </c>
      <c r="D52" s="422" t="s">
        <v>153</v>
      </c>
      <c r="E52" s="422" t="s">
        <v>556</v>
      </c>
      <c r="F52" s="422" t="s">
        <v>1092</v>
      </c>
      <c r="G52" s="422" t="s">
        <v>513</v>
      </c>
      <c r="H52" s="439">
        <v>458</v>
      </c>
      <c r="I52" s="439">
        <v>2139</v>
      </c>
      <c r="J52" s="494">
        <v>1</v>
      </c>
    </row>
    <row r="53" spans="1:10" ht="11.25" customHeight="1" x14ac:dyDescent="0.25">
      <c r="A53" s="453"/>
      <c r="B53" s="422"/>
      <c r="C53" s="422" t="s">
        <v>152</v>
      </c>
      <c r="D53" s="422" t="s">
        <v>150</v>
      </c>
      <c r="E53" s="422" t="s">
        <v>556</v>
      </c>
      <c r="F53" s="422" t="s">
        <v>462</v>
      </c>
      <c r="G53" s="422" t="s">
        <v>513</v>
      </c>
      <c r="H53" s="439">
        <v>221</v>
      </c>
      <c r="I53" s="439">
        <v>1003</v>
      </c>
      <c r="J53" s="494">
        <v>1</v>
      </c>
    </row>
    <row r="54" spans="1:10" ht="11.25" customHeight="1" x14ac:dyDescent="0.25">
      <c r="A54" s="453"/>
      <c r="B54" s="422"/>
      <c r="C54" s="422" t="s">
        <v>945</v>
      </c>
      <c r="D54" s="422" t="s">
        <v>944</v>
      </c>
      <c r="E54" s="422" t="s">
        <v>556</v>
      </c>
      <c r="F54" s="422" t="s">
        <v>1092</v>
      </c>
      <c r="G54" s="422" t="s">
        <v>513</v>
      </c>
      <c r="H54" s="439">
        <v>123</v>
      </c>
      <c r="I54" s="439">
        <v>582</v>
      </c>
      <c r="J54" s="494">
        <v>1</v>
      </c>
    </row>
    <row r="55" spans="1:10" ht="11.25" customHeight="1" x14ac:dyDescent="0.25">
      <c r="A55" s="453"/>
      <c r="B55" s="422"/>
      <c r="C55" s="422" t="s">
        <v>1037</v>
      </c>
      <c r="D55" s="422" t="s">
        <v>1038</v>
      </c>
      <c r="E55" s="422" t="s">
        <v>556</v>
      </c>
      <c r="F55" s="422" t="s">
        <v>1092</v>
      </c>
      <c r="G55" s="422" t="s">
        <v>515</v>
      </c>
      <c r="H55" s="439">
        <v>219</v>
      </c>
      <c r="I55" s="439">
        <v>891</v>
      </c>
      <c r="J55" s="494">
        <v>1</v>
      </c>
    </row>
    <row r="56" spans="1:10" ht="11.25" customHeight="1" x14ac:dyDescent="0.25">
      <c r="A56" s="453"/>
      <c r="B56" s="422"/>
      <c r="C56" s="422" t="s">
        <v>1064</v>
      </c>
      <c r="D56" s="422" t="s">
        <v>1065</v>
      </c>
      <c r="E56" s="422" t="s">
        <v>556</v>
      </c>
      <c r="F56" s="422" t="s">
        <v>1092</v>
      </c>
      <c r="G56" s="422" t="s">
        <v>513</v>
      </c>
      <c r="H56" s="439">
        <v>123</v>
      </c>
      <c r="I56" s="439">
        <v>555</v>
      </c>
      <c r="J56" s="494">
        <v>1</v>
      </c>
    </row>
    <row r="57" spans="1:10" ht="11.25" customHeight="1" x14ac:dyDescent="0.25">
      <c r="A57" s="453"/>
      <c r="B57" s="422"/>
      <c r="C57" s="422" t="s">
        <v>1098</v>
      </c>
      <c r="D57" s="422" t="s">
        <v>1099</v>
      </c>
      <c r="E57" s="422" t="s">
        <v>556</v>
      </c>
      <c r="F57" s="422" t="s">
        <v>462</v>
      </c>
      <c r="G57" s="422" t="s">
        <v>513</v>
      </c>
      <c r="H57" s="439">
        <v>113</v>
      </c>
      <c r="I57" s="439">
        <v>476</v>
      </c>
      <c r="J57" s="494">
        <v>1</v>
      </c>
    </row>
    <row r="58" spans="1:10" ht="11.25" customHeight="1" x14ac:dyDescent="0.25">
      <c r="A58" s="453"/>
      <c r="B58" s="422" t="s">
        <v>1169</v>
      </c>
      <c r="C58" s="422"/>
      <c r="D58" s="422"/>
      <c r="E58" s="422"/>
      <c r="F58" s="422"/>
      <c r="G58" s="422"/>
      <c r="H58" s="439">
        <v>2519</v>
      </c>
      <c r="I58" s="439">
        <v>11637</v>
      </c>
      <c r="J58" s="494">
        <v>10</v>
      </c>
    </row>
    <row r="59" spans="1:10" ht="11.25" customHeight="1" x14ac:dyDescent="0.25">
      <c r="A59" s="453"/>
      <c r="B59" s="422" t="s">
        <v>173</v>
      </c>
      <c r="C59" s="422" t="s">
        <v>174</v>
      </c>
      <c r="D59" s="422" t="s">
        <v>172</v>
      </c>
      <c r="E59" s="422" t="s">
        <v>556</v>
      </c>
      <c r="F59" s="422" t="s">
        <v>462</v>
      </c>
      <c r="G59" s="422" t="s">
        <v>513</v>
      </c>
      <c r="H59" s="439">
        <v>13</v>
      </c>
      <c r="I59" s="439">
        <v>64</v>
      </c>
      <c r="J59" s="494">
        <v>1</v>
      </c>
    </row>
    <row r="60" spans="1:10" ht="11.25" customHeight="1" x14ac:dyDescent="0.25">
      <c r="A60" s="453"/>
      <c r="B60" s="422"/>
      <c r="C60" s="422" t="s">
        <v>176</v>
      </c>
      <c r="D60" s="422" t="s">
        <v>175</v>
      </c>
      <c r="E60" s="422" t="s">
        <v>556</v>
      </c>
      <c r="F60" s="422" t="s">
        <v>462</v>
      </c>
      <c r="G60" s="422" t="s">
        <v>513</v>
      </c>
      <c r="H60" s="439">
        <v>17</v>
      </c>
      <c r="I60" s="439">
        <v>77</v>
      </c>
      <c r="J60" s="494">
        <v>1</v>
      </c>
    </row>
    <row r="61" spans="1:10" ht="11.25" customHeight="1" x14ac:dyDescent="0.25">
      <c r="A61" s="453"/>
      <c r="B61" s="422"/>
      <c r="C61" s="422" t="s">
        <v>178</v>
      </c>
      <c r="D61" s="422" t="s">
        <v>177</v>
      </c>
      <c r="E61" s="422" t="s">
        <v>556</v>
      </c>
      <c r="F61" s="422" t="s">
        <v>462</v>
      </c>
      <c r="G61" s="422" t="s">
        <v>513</v>
      </c>
      <c r="H61" s="439">
        <v>12</v>
      </c>
      <c r="I61" s="439">
        <v>42</v>
      </c>
      <c r="J61" s="494">
        <v>1</v>
      </c>
    </row>
    <row r="62" spans="1:10" ht="11.25" customHeight="1" x14ac:dyDescent="0.25">
      <c r="A62" s="453"/>
      <c r="B62" s="422"/>
      <c r="C62" s="422" t="s">
        <v>1281</v>
      </c>
      <c r="D62" s="422" t="s">
        <v>1274</v>
      </c>
      <c r="E62" s="422" t="s">
        <v>556</v>
      </c>
      <c r="F62" s="422" t="s">
        <v>462</v>
      </c>
      <c r="G62" s="422" t="s">
        <v>513</v>
      </c>
      <c r="H62" s="439">
        <v>30</v>
      </c>
      <c r="I62" s="439">
        <v>137</v>
      </c>
      <c r="J62" s="494">
        <v>1</v>
      </c>
    </row>
    <row r="63" spans="1:10" ht="11.25" customHeight="1" x14ac:dyDescent="0.25">
      <c r="A63" s="453"/>
      <c r="B63" s="422"/>
      <c r="C63" s="422" t="s">
        <v>1272</v>
      </c>
      <c r="D63" s="422" t="s">
        <v>1275</v>
      </c>
      <c r="E63" s="422" t="s">
        <v>556</v>
      </c>
      <c r="F63" s="422" t="s">
        <v>1093</v>
      </c>
      <c r="G63" s="422" t="s">
        <v>513</v>
      </c>
      <c r="H63" s="439">
        <v>9</v>
      </c>
      <c r="I63" s="439">
        <v>39</v>
      </c>
      <c r="J63" s="494">
        <v>1</v>
      </c>
    </row>
    <row r="64" spans="1:10" ht="11.25" customHeight="1" x14ac:dyDescent="0.25">
      <c r="A64" s="453"/>
      <c r="B64" s="422" t="s">
        <v>1381</v>
      </c>
      <c r="C64" s="422"/>
      <c r="D64" s="422"/>
      <c r="E64" s="422"/>
      <c r="F64" s="422"/>
      <c r="G64" s="422"/>
      <c r="H64" s="439">
        <v>81</v>
      </c>
      <c r="I64" s="439">
        <v>359</v>
      </c>
      <c r="J64" s="494">
        <v>5</v>
      </c>
    </row>
    <row r="65" spans="1:10" ht="11.25" customHeight="1" x14ac:dyDescent="0.25">
      <c r="A65" s="453"/>
      <c r="B65" s="422" t="s">
        <v>180</v>
      </c>
      <c r="C65" s="422" t="s">
        <v>287</v>
      </c>
      <c r="D65" s="422" t="s">
        <v>286</v>
      </c>
      <c r="E65" s="422" t="s">
        <v>556</v>
      </c>
      <c r="F65" s="422" t="s">
        <v>462</v>
      </c>
      <c r="G65" s="422" t="s">
        <v>513</v>
      </c>
      <c r="H65" s="439">
        <v>19</v>
      </c>
      <c r="I65" s="439">
        <v>100</v>
      </c>
      <c r="J65" s="494">
        <v>1</v>
      </c>
    </row>
    <row r="66" spans="1:10" ht="11.25" customHeight="1" x14ac:dyDescent="0.25">
      <c r="A66" s="453"/>
      <c r="B66" s="422"/>
      <c r="C66" s="422" t="s">
        <v>181</v>
      </c>
      <c r="D66" s="422" t="s">
        <v>179</v>
      </c>
      <c r="E66" s="422" t="s">
        <v>556</v>
      </c>
      <c r="F66" s="422" t="s">
        <v>1093</v>
      </c>
      <c r="G66" s="422" t="s">
        <v>513</v>
      </c>
      <c r="H66" s="439">
        <v>12</v>
      </c>
      <c r="I66" s="439">
        <v>55</v>
      </c>
      <c r="J66" s="494">
        <v>1</v>
      </c>
    </row>
    <row r="67" spans="1:10" ht="11.25" customHeight="1" x14ac:dyDescent="0.25">
      <c r="A67" s="453"/>
      <c r="B67" s="422" t="s">
        <v>1170</v>
      </c>
      <c r="C67" s="422"/>
      <c r="D67" s="422"/>
      <c r="E67" s="422"/>
      <c r="F67" s="422"/>
      <c r="G67" s="422"/>
      <c r="H67" s="439">
        <v>31</v>
      </c>
      <c r="I67" s="439">
        <v>155</v>
      </c>
      <c r="J67" s="494">
        <v>2</v>
      </c>
    </row>
    <row r="68" spans="1:10" ht="11.25" customHeight="1" x14ac:dyDescent="0.25">
      <c r="A68" s="453"/>
      <c r="B68" s="422" t="s">
        <v>185</v>
      </c>
      <c r="C68" s="422" t="s">
        <v>192</v>
      </c>
      <c r="D68" s="422" t="s">
        <v>191</v>
      </c>
      <c r="E68" s="422" t="s">
        <v>556</v>
      </c>
      <c r="F68" s="422" t="s">
        <v>1093</v>
      </c>
      <c r="G68" s="422" t="s">
        <v>515</v>
      </c>
      <c r="H68" s="439">
        <v>111</v>
      </c>
      <c r="I68" s="439">
        <v>516</v>
      </c>
      <c r="J68" s="494">
        <v>1</v>
      </c>
    </row>
    <row r="69" spans="1:10" ht="11.25" customHeight="1" x14ac:dyDescent="0.25">
      <c r="A69" s="453"/>
      <c r="B69" s="422"/>
      <c r="C69" s="422" t="s">
        <v>194</v>
      </c>
      <c r="D69" s="422" t="s">
        <v>193</v>
      </c>
      <c r="E69" s="422" t="s">
        <v>556</v>
      </c>
      <c r="F69" s="422" t="s">
        <v>1093</v>
      </c>
      <c r="G69" s="422" t="s">
        <v>515</v>
      </c>
      <c r="H69" s="439">
        <v>586</v>
      </c>
      <c r="I69" s="439">
        <v>2829</v>
      </c>
      <c r="J69" s="494">
        <v>1</v>
      </c>
    </row>
    <row r="70" spans="1:10" ht="11.25" customHeight="1" x14ac:dyDescent="0.25">
      <c r="A70" s="453"/>
      <c r="B70" s="422"/>
      <c r="C70" s="422" t="s">
        <v>186</v>
      </c>
      <c r="D70" s="422" t="s">
        <v>184</v>
      </c>
      <c r="E70" s="422" t="s">
        <v>556</v>
      </c>
      <c r="F70" s="422" t="s">
        <v>462</v>
      </c>
      <c r="G70" s="422" t="s">
        <v>513</v>
      </c>
      <c r="H70" s="439">
        <v>36</v>
      </c>
      <c r="I70" s="439">
        <v>214</v>
      </c>
      <c r="J70" s="494">
        <v>1</v>
      </c>
    </row>
    <row r="71" spans="1:10" ht="11.25" customHeight="1" x14ac:dyDescent="0.25">
      <c r="A71" s="453"/>
      <c r="B71" s="422"/>
      <c r="C71" s="422" t="s">
        <v>223</v>
      </c>
      <c r="D71" s="422" t="s">
        <v>222</v>
      </c>
      <c r="E71" s="422" t="s">
        <v>556</v>
      </c>
      <c r="F71" s="422" t="s">
        <v>1092</v>
      </c>
      <c r="G71" s="422" t="s">
        <v>513</v>
      </c>
      <c r="H71" s="439">
        <v>124</v>
      </c>
      <c r="I71" s="439">
        <v>544</v>
      </c>
      <c r="J71" s="494">
        <v>1</v>
      </c>
    </row>
    <row r="72" spans="1:10" ht="11.25" customHeight="1" x14ac:dyDescent="0.25">
      <c r="A72" s="453"/>
      <c r="B72" s="422"/>
      <c r="C72" s="422" t="s">
        <v>190</v>
      </c>
      <c r="D72" s="422" t="s">
        <v>189</v>
      </c>
      <c r="E72" s="422" t="s">
        <v>556</v>
      </c>
      <c r="F72" s="422" t="s">
        <v>462</v>
      </c>
      <c r="G72" s="422" t="s">
        <v>513</v>
      </c>
      <c r="H72" s="439">
        <v>190</v>
      </c>
      <c r="I72" s="439">
        <v>1021</v>
      </c>
      <c r="J72" s="494">
        <v>1</v>
      </c>
    </row>
    <row r="73" spans="1:10" ht="11.25" customHeight="1" x14ac:dyDescent="0.25">
      <c r="A73" s="453"/>
      <c r="B73" s="422"/>
      <c r="C73" s="422" t="s">
        <v>202</v>
      </c>
      <c r="D73" s="422" t="s">
        <v>201</v>
      </c>
      <c r="E73" s="422" t="s">
        <v>556</v>
      </c>
      <c r="F73" s="422" t="s">
        <v>1092</v>
      </c>
      <c r="G73" s="422" t="s">
        <v>513</v>
      </c>
      <c r="H73" s="439">
        <v>261</v>
      </c>
      <c r="I73" s="439">
        <v>1155</v>
      </c>
      <c r="J73" s="494">
        <v>1</v>
      </c>
    </row>
    <row r="74" spans="1:10" ht="11.25" customHeight="1" x14ac:dyDescent="0.25">
      <c r="A74" s="453"/>
      <c r="B74" s="422"/>
      <c r="C74" s="422" t="s">
        <v>209</v>
      </c>
      <c r="D74" s="422" t="s">
        <v>208</v>
      </c>
      <c r="E74" s="422" t="s">
        <v>556</v>
      </c>
      <c r="F74" s="422" t="s">
        <v>462</v>
      </c>
      <c r="G74" s="422" t="s">
        <v>513</v>
      </c>
      <c r="H74" s="439">
        <v>226</v>
      </c>
      <c r="I74" s="439">
        <v>1824</v>
      </c>
      <c r="J74" s="494">
        <v>1</v>
      </c>
    </row>
    <row r="75" spans="1:10" ht="11.25" customHeight="1" x14ac:dyDescent="0.25">
      <c r="A75" s="453"/>
      <c r="B75" s="422"/>
      <c r="C75" s="422" t="s">
        <v>215</v>
      </c>
      <c r="D75" s="422" t="s">
        <v>214</v>
      </c>
      <c r="E75" s="422" t="s">
        <v>556</v>
      </c>
      <c r="F75" s="422" t="s">
        <v>1092</v>
      </c>
      <c r="G75" s="422" t="s">
        <v>515</v>
      </c>
      <c r="H75" s="439">
        <v>375</v>
      </c>
      <c r="I75" s="439">
        <v>1598</v>
      </c>
      <c r="J75" s="494">
        <v>1</v>
      </c>
    </row>
    <row r="76" spans="1:10" ht="11.25" customHeight="1" x14ac:dyDescent="0.25">
      <c r="A76" s="453"/>
      <c r="B76" s="422"/>
      <c r="C76" s="422" t="s">
        <v>229</v>
      </c>
      <c r="D76" s="422" t="s">
        <v>228</v>
      </c>
      <c r="E76" s="422" t="s">
        <v>556</v>
      </c>
      <c r="F76" s="422" t="s">
        <v>462</v>
      </c>
      <c r="G76" s="422" t="s">
        <v>513</v>
      </c>
      <c r="H76" s="439">
        <v>50</v>
      </c>
      <c r="I76" s="439">
        <v>308</v>
      </c>
      <c r="J76" s="494">
        <v>1</v>
      </c>
    </row>
    <row r="77" spans="1:10" ht="11.25" customHeight="1" x14ac:dyDescent="0.25">
      <c r="A77" s="453"/>
      <c r="B77" s="422"/>
      <c r="C77" s="422" t="s">
        <v>219</v>
      </c>
      <c r="D77" s="422" t="s">
        <v>218</v>
      </c>
      <c r="E77" s="422" t="s">
        <v>556</v>
      </c>
      <c r="F77" s="422" t="s">
        <v>1092</v>
      </c>
      <c r="G77" s="422" t="s">
        <v>515</v>
      </c>
      <c r="H77" s="439">
        <v>677</v>
      </c>
      <c r="I77" s="439">
        <v>3622</v>
      </c>
      <c r="J77" s="494">
        <v>1</v>
      </c>
    </row>
    <row r="78" spans="1:10" ht="11.25" customHeight="1" x14ac:dyDescent="0.25">
      <c r="A78" s="453"/>
      <c r="B78" s="422"/>
      <c r="C78" s="422" t="s">
        <v>225</v>
      </c>
      <c r="D78" s="422" t="s">
        <v>224</v>
      </c>
      <c r="E78" s="422" t="s">
        <v>556</v>
      </c>
      <c r="F78" s="422" t="s">
        <v>462</v>
      </c>
      <c r="G78" s="422" t="s">
        <v>513</v>
      </c>
      <c r="H78" s="439">
        <v>39</v>
      </c>
      <c r="I78" s="439">
        <v>249</v>
      </c>
      <c r="J78" s="494">
        <v>1</v>
      </c>
    </row>
    <row r="79" spans="1:10" ht="11.25" customHeight="1" x14ac:dyDescent="0.25">
      <c r="A79" s="453"/>
      <c r="B79" s="422" t="s">
        <v>1171</v>
      </c>
      <c r="C79" s="422"/>
      <c r="D79" s="422"/>
      <c r="E79" s="422"/>
      <c r="F79" s="422"/>
      <c r="G79" s="422"/>
      <c r="H79" s="439">
        <v>2675</v>
      </c>
      <c r="I79" s="439">
        <v>13880</v>
      </c>
      <c r="J79" s="494">
        <v>11</v>
      </c>
    </row>
    <row r="80" spans="1:10" ht="11.25" customHeight="1" x14ac:dyDescent="0.25">
      <c r="A80" s="453"/>
      <c r="B80" s="422" t="s">
        <v>237</v>
      </c>
      <c r="C80" s="422" t="s">
        <v>243</v>
      </c>
      <c r="D80" s="422" t="s">
        <v>242</v>
      </c>
      <c r="E80" s="422" t="s">
        <v>556</v>
      </c>
      <c r="F80" s="422" t="s">
        <v>462</v>
      </c>
      <c r="G80" s="422" t="s">
        <v>513</v>
      </c>
      <c r="H80" s="439">
        <v>6</v>
      </c>
      <c r="I80" s="439">
        <v>28</v>
      </c>
      <c r="J80" s="494">
        <v>1</v>
      </c>
    </row>
    <row r="81" spans="1:10" ht="11.25" customHeight="1" x14ac:dyDescent="0.25">
      <c r="A81" s="453"/>
      <c r="B81" s="422"/>
      <c r="C81" s="428" t="s">
        <v>245</v>
      </c>
      <c r="D81" s="422" t="s">
        <v>244</v>
      </c>
      <c r="E81" s="422" t="s">
        <v>556</v>
      </c>
      <c r="F81" s="422" t="s">
        <v>462</v>
      </c>
      <c r="G81" s="422" t="s">
        <v>513</v>
      </c>
      <c r="H81" s="439">
        <v>6</v>
      </c>
      <c r="I81" s="439">
        <v>39</v>
      </c>
      <c r="J81" s="494">
        <v>1</v>
      </c>
    </row>
    <row r="82" spans="1:10" ht="11.25" customHeight="1" x14ac:dyDescent="0.25">
      <c r="A82" s="453"/>
      <c r="B82" s="422"/>
      <c r="C82" s="428" t="s">
        <v>247</v>
      </c>
      <c r="D82" s="422" t="s">
        <v>246</v>
      </c>
      <c r="E82" s="422" t="s">
        <v>556</v>
      </c>
      <c r="F82" s="422" t="s">
        <v>462</v>
      </c>
      <c r="G82" s="422" t="s">
        <v>513</v>
      </c>
      <c r="H82" s="439">
        <v>42</v>
      </c>
      <c r="I82" s="439">
        <v>211</v>
      </c>
      <c r="J82" s="494">
        <v>1</v>
      </c>
    </row>
    <row r="83" spans="1:10" ht="11.25" customHeight="1" x14ac:dyDescent="0.25">
      <c r="A83" s="453"/>
      <c r="B83" s="422"/>
      <c r="C83" s="428" t="s">
        <v>253</v>
      </c>
      <c r="D83" s="422" t="s">
        <v>252</v>
      </c>
      <c r="E83" s="422" t="s">
        <v>556</v>
      </c>
      <c r="F83" s="422" t="s">
        <v>462</v>
      </c>
      <c r="G83" s="422" t="s">
        <v>513</v>
      </c>
      <c r="H83" s="439">
        <v>204</v>
      </c>
      <c r="I83" s="439">
        <v>1104</v>
      </c>
      <c r="J83" s="494">
        <v>1</v>
      </c>
    </row>
    <row r="84" spans="1:10" ht="11.25" customHeight="1" x14ac:dyDescent="0.25">
      <c r="A84" s="453"/>
      <c r="B84" s="422"/>
      <c r="C84" s="428" t="s">
        <v>255</v>
      </c>
      <c r="D84" s="422" t="s">
        <v>254</v>
      </c>
      <c r="E84" s="422" t="s">
        <v>556</v>
      </c>
      <c r="F84" s="422" t="s">
        <v>1093</v>
      </c>
      <c r="G84" s="422" t="s">
        <v>513</v>
      </c>
      <c r="H84" s="439">
        <v>103</v>
      </c>
      <c r="I84" s="439">
        <v>462</v>
      </c>
      <c r="J84" s="494">
        <v>1</v>
      </c>
    </row>
    <row r="85" spans="1:10" ht="11.25" customHeight="1" x14ac:dyDescent="0.25">
      <c r="A85" s="453"/>
      <c r="B85" s="422"/>
      <c r="C85" s="428" t="s">
        <v>257</v>
      </c>
      <c r="D85" s="422" t="s">
        <v>256</v>
      </c>
      <c r="E85" s="422" t="s">
        <v>556</v>
      </c>
      <c r="F85" s="422" t="s">
        <v>462</v>
      </c>
      <c r="G85" s="422" t="s">
        <v>513</v>
      </c>
      <c r="H85" s="439">
        <v>44</v>
      </c>
      <c r="I85" s="439">
        <v>191</v>
      </c>
      <c r="J85" s="494">
        <v>1</v>
      </c>
    </row>
    <row r="86" spans="1:10" ht="11.25" customHeight="1" x14ac:dyDescent="0.25">
      <c r="A86" s="453"/>
      <c r="B86" s="422"/>
      <c r="C86" s="428" t="s">
        <v>240</v>
      </c>
      <c r="D86" s="422" t="s">
        <v>239</v>
      </c>
      <c r="E86" s="422" t="s">
        <v>556</v>
      </c>
      <c r="F86" s="422" t="s">
        <v>462</v>
      </c>
      <c r="G86" s="422" t="s">
        <v>513</v>
      </c>
      <c r="H86" s="439">
        <v>96</v>
      </c>
      <c r="I86" s="439">
        <v>544</v>
      </c>
      <c r="J86" s="494">
        <v>1</v>
      </c>
    </row>
    <row r="87" spans="1:10" ht="11.25" customHeight="1" x14ac:dyDescent="0.25">
      <c r="A87" s="453"/>
      <c r="B87" s="422"/>
      <c r="C87" s="428" t="s">
        <v>285</v>
      </c>
      <c r="D87" s="422" t="s">
        <v>284</v>
      </c>
      <c r="E87" s="422" t="s">
        <v>556</v>
      </c>
      <c r="F87" s="422" t="s">
        <v>462</v>
      </c>
      <c r="G87" s="422" t="s">
        <v>513</v>
      </c>
      <c r="H87" s="439">
        <v>138</v>
      </c>
      <c r="I87" s="439">
        <v>697</v>
      </c>
      <c r="J87" s="494">
        <v>1</v>
      </c>
    </row>
    <row r="88" spans="1:10" ht="11.25" customHeight="1" x14ac:dyDescent="0.25">
      <c r="A88" s="453"/>
      <c r="B88" s="422"/>
      <c r="C88" s="422" t="s">
        <v>259</v>
      </c>
      <c r="D88" s="422" t="s">
        <v>258</v>
      </c>
      <c r="E88" s="422" t="s">
        <v>556</v>
      </c>
      <c r="F88" s="422" t="s">
        <v>462</v>
      </c>
      <c r="G88" s="422" t="s">
        <v>513</v>
      </c>
      <c r="H88" s="439">
        <v>60</v>
      </c>
      <c r="I88" s="439">
        <v>293</v>
      </c>
      <c r="J88" s="494">
        <v>1</v>
      </c>
    </row>
    <row r="89" spans="1:10" ht="11.25" customHeight="1" x14ac:dyDescent="0.25">
      <c r="A89" s="453"/>
      <c r="B89" s="422"/>
      <c r="C89" s="422" t="s">
        <v>261</v>
      </c>
      <c r="D89" s="422" t="s">
        <v>260</v>
      </c>
      <c r="E89" s="422" t="s">
        <v>556</v>
      </c>
      <c r="F89" s="422" t="s">
        <v>462</v>
      </c>
      <c r="G89" s="422" t="s">
        <v>513</v>
      </c>
      <c r="H89" s="439">
        <v>101</v>
      </c>
      <c r="I89" s="439">
        <v>544</v>
      </c>
      <c r="J89" s="494">
        <v>1</v>
      </c>
    </row>
    <row r="90" spans="1:10" ht="11.25" customHeight="1" x14ac:dyDescent="0.25">
      <c r="A90" s="453"/>
      <c r="B90" s="422"/>
      <c r="C90" s="422" t="s">
        <v>263</v>
      </c>
      <c r="D90" s="422" t="s">
        <v>262</v>
      </c>
      <c r="E90" s="422" t="s">
        <v>556</v>
      </c>
      <c r="F90" s="422" t="s">
        <v>507</v>
      </c>
      <c r="G90" s="422" t="s">
        <v>513</v>
      </c>
      <c r="H90" s="439">
        <v>21</v>
      </c>
      <c r="I90" s="439">
        <v>97</v>
      </c>
      <c r="J90" s="494">
        <v>1</v>
      </c>
    </row>
    <row r="91" spans="1:10" ht="11.25" customHeight="1" x14ac:dyDescent="0.25">
      <c r="A91" s="453"/>
      <c r="B91" s="422"/>
      <c r="C91" s="422" t="s">
        <v>265</v>
      </c>
      <c r="D91" s="422" t="s">
        <v>264</v>
      </c>
      <c r="E91" s="422" t="s">
        <v>556</v>
      </c>
      <c r="F91" s="422" t="s">
        <v>507</v>
      </c>
      <c r="G91" s="422" t="s">
        <v>513</v>
      </c>
      <c r="H91" s="439">
        <v>14</v>
      </c>
      <c r="I91" s="439">
        <v>71</v>
      </c>
      <c r="J91" s="494">
        <v>1</v>
      </c>
    </row>
    <row r="92" spans="1:10" ht="11.25" customHeight="1" x14ac:dyDescent="0.25">
      <c r="A92" s="453"/>
      <c r="B92" s="422"/>
      <c r="C92" s="422" t="s">
        <v>271</v>
      </c>
      <c r="D92" s="422" t="s">
        <v>270</v>
      </c>
      <c r="E92" s="422" t="s">
        <v>556</v>
      </c>
      <c r="F92" s="422" t="s">
        <v>1093</v>
      </c>
      <c r="G92" s="422" t="s">
        <v>513</v>
      </c>
      <c r="H92" s="439">
        <v>66</v>
      </c>
      <c r="I92" s="439">
        <v>323</v>
      </c>
      <c r="J92" s="494">
        <v>1</v>
      </c>
    </row>
    <row r="93" spans="1:10" ht="11.25" customHeight="1" x14ac:dyDescent="0.25">
      <c r="A93" s="453"/>
      <c r="B93" s="422"/>
      <c r="C93" s="422" t="s">
        <v>269</v>
      </c>
      <c r="D93" s="422" t="s">
        <v>268</v>
      </c>
      <c r="E93" s="422" t="s">
        <v>556</v>
      </c>
      <c r="F93" s="422" t="s">
        <v>462</v>
      </c>
      <c r="G93" s="422" t="s">
        <v>513</v>
      </c>
      <c r="H93" s="439">
        <v>58</v>
      </c>
      <c r="I93" s="439">
        <v>241</v>
      </c>
      <c r="J93" s="494">
        <v>1</v>
      </c>
    </row>
    <row r="94" spans="1:10" ht="11.25" customHeight="1" x14ac:dyDescent="0.25">
      <c r="A94" s="453"/>
      <c r="B94" s="422"/>
      <c r="C94" s="422" t="s">
        <v>273</v>
      </c>
      <c r="D94" s="422" t="s">
        <v>272</v>
      </c>
      <c r="E94" s="422" t="s">
        <v>556</v>
      </c>
      <c r="F94" s="422" t="s">
        <v>1093</v>
      </c>
      <c r="G94" s="422" t="s">
        <v>513</v>
      </c>
      <c r="H94" s="439">
        <v>43</v>
      </c>
      <c r="I94" s="439">
        <v>271</v>
      </c>
      <c r="J94" s="494">
        <v>1</v>
      </c>
    </row>
    <row r="95" spans="1:10" ht="11.25" customHeight="1" x14ac:dyDescent="0.25">
      <c r="A95" s="453"/>
      <c r="B95" s="422"/>
      <c r="C95" s="422" t="s">
        <v>277</v>
      </c>
      <c r="D95" s="422" t="s">
        <v>276</v>
      </c>
      <c r="E95" s="422" t="s">
        <v>556</v>
      </c>
      <c r="F95" s="422" t="s">
        <v>462</v>
      </c>
      <c r="G95" s="422" t="s">
        <v>513</v>
      </c>
      <c r="H95" s="439">
        <v>90</v>
      </c>
      <c r="I95" s="439">
        <v>395</v>
      </c>
      <c r="J95" s="494">
        <v>1</v>
      </c>
    </row>
    <row r="96" spans="1:10" ht="11.25" customHeight="1" x14ac:dyDescent="0.25">
      <c r="A96" s="453"/>
      <c r="B96" s="422"/>
      <c r="C96" s="422" t="s">
        <v>279</v>
      </c>
      <c r="D96" s="422" t="s">
        <v>278</v>
      </c>
      <c r="E96" s="422" t="s">
        <v>556</v>
      </c>
      <c r="F96" s="422" t="s">
        <v>507</v>
      </c>
      <c r="G96" s="422" t="s">
        <v>513</v>
      </c>
      <c r="H96" s="439">
        <v>22</v>
      </c>
      <c r="I96" s="439">
        <v>111</v>
      </c>
      <c r="J96" s="494">
        <v>1</v>
      </c>
    </row>
    <row r="97" spans="1:10" ht="11.25" customHeight="1" x14ac:dyDescent="0.25">
      <c r="A97" s="453"/>
      <c r="B97" s="422"/>
      <c r="C97" s="422" t="s">
        <v>281</v>
      </c>
      <c r="D97" s="422" t="s">
        <v>280</v>
      </c>
      <c r="E97" s="422" t="s">
        <v>556</v>
      </c>
      <c r="F97" s="422" t="s">
        <v>462</v>
      </c>
      <c r="G97" s="422" t="s">
        <v>513</v>
      </c>
      <c r="H97" s="439">
        <v>91</v>
      </c>
      <c r="I97" s="439">
        <v>491</v>
      </c>
      <c r="J97" s="494">
        <v>1</v>
      </c>
    </row>
    <row r="98" spans="1:10" x14ac:dyDescent="0.25">
      <c r="A98" s="453"/>
      <c r="B98" s="422"/>
      <c r="C98" s="422" t="s">
        <v>238</v>
      </c>
      <c r="D98" s="422" t="s">
        <v>236</v>
      </c>
      <c r="E98" s="422" t="s">
        <v>556</v>
      </c>
      <c r="F98" s="422" t="s">
        <v>462</v>
      </c>
      <c r="G98" s="422" t="s">
        <v>513</v>
      </c>
      <c r="H98" s="439">
        <v>67</v>
      </c>
      <c r="I98" s="439">
        <v>365</v>
      </c>
      <c r="J98" s="494">
        <v>1</v>
      </c>
    </row>
    <row r="99" spans="1:10" ht="11.25" customHeight="1" x14ac:dyDescent="0.25">
      <c r="A99" s="453"/>
      <c r="B99" s="422"/>
      <c r="C99" s="422" t="s">
        <v>249</v>
      </c>
      <c r="D99" s="422" t="s">
        <v>248</v>
      </c>
      <c r="E99" s="422" t="s">
        <v>556</v>
      </c>
      <c r="F99" s="422" t="s">
        <v>507</v>
      </c>
      <c r="G99" s="422" t="s">
        <v>513</v>
      </c>
      <c r="H99" s="439">
        <v>6</v>
      </c>
      <c r="I99" s="439">
        <v>29</v>
      </c>
      <c r="J99" s="494">
        <v>1</v>
      </c>
    </row>
    <row r="100" spans="1:10" ht="11.25" customHeight="1" x14ac:dyDescent="0.25">
      <c r="A100" s="453"/>
      <c r="B100" s="422"/>
      <c r="C100" s="422" t="s">
        <v>251</v>
      </c>
      <c r="D100" s="422" t="s">
        <v>250</v>
      </c>
      <c r="E100" s="422" t="s">
        <v>556</v>
      </c>
      <c r="F100" s="422" t="s">
        <v>462</v>
      </c>
      <c r="G100" s="422" t="s">
        <v>513</v>
      </c>
      <c r="H100" s="439">
        <v>32</v>
      </c>
      <c r="I100" s="439">
        <v>161</v>
      </c>
      <c r="J100" s="494">
        <v>1</v>
      </c>
    </row>
    <row r="101" spans="1:10" x14ac:dyDescent="0.25">
      <c r="A101" s="453"/>
      <c r="B101" s="422"/>
      <c r="C101" s="422" t="s">
        <v>275</v>
      </c>
      <c r="D101" s="422" t="s">
        <v>274</v>
      </c>
      <c r="E101" s="422" t="s">
        <v>556</v>
      </c>
      <c r="F101" s="422" t="s">
        <v>462</v>
      </c>
      <c r="G101" s="422" t="s">
        <v>513</v>
      </c>
      <c r="H101" s="439">
        <v>43</v>
      </c>
      <c r="I101" s="439">
        <v>216</v>
      </c>
      <c r="J101" s="494">
        <v>1</v>
      </c>
    </row>
    <row r="102" spans="1:10" ht="11.25" customHeight="1" x14ac:dyDescent="0.25">
      <c r="A102" s="453"/>
      <c r="B102" s="422"/>
      <c r="C102" s="422" t="s">
        <v>283</v>
      </c>
      <c r="D102" s="422" t="s">
        <v>282</v>
      </c>
      <c r="E102" s="422" t="s">
        <v>556</v>
      </c>
      <c r="F102" s="422" t="s">
        <v>507</v>
      </c>
      <c r="G102" s="422" t="s">
        <v>513</v>
      </c>
      <c r="H102" s="439">
        <v>7</v>
      </c>
      <c r="I102" s="439">
        <v>37</v>
      </c>
      <c r="J102" s="494">
        <v>1</v>
      </c>
    </row>
    <row r="103" spans="1:10" ht="11.25" customHeight="1" x14ac:dyDescent="0.25">
      <c r="A103" s="453"/>
      <c r="B103" s="422"/>
      <c r="C103" s="422" t="s">
        <v>1248</v>
      </c>
      <c r="D103" s="422" t="s">
        <v>241</v>
      </c>
      <c r="E103" s="422" t="s">
        <v>556</v>
      </c>
      <c r="F103" s="422" t="s">
        <v>507</v>
      </c>
      <c r="G103" s="422" t="s">
        <v>513</v>
      </c>
      <c r="H103" s="439">
        <v>54</v>
      </c>
      <c r="I103" s="439">
        <v>258</v>
      </c>
      <c r="J103" s="494">
        <v>1</v>
      </c>
    </row>
    <row r="104" spans="1:10" ht="11.25" customHeight="1" x14ac:dyDescent="0.25">
      <c r="A104" s="453"/>
      <c r="B104" s="422" t="s">
        <v>1172</v>
      </c>
      <c r="C104" s="422"/>
      <c r="D104" s="422"/>
      <c r="E104" s="422"/>
      <c r="F104" s="422"/>
      <c r="G104" s="422"/>
      <c r="H104" s="439">
        <v>1414</v>
      </c>
      <c r="I104" s="439">
        <v>7179</v>
      </c>
      <c r="J104" s="494">
        <v>24</v>
      </c>
    </row>
    <row r="105" spans="1:10" ht="11.25" customHeight="1" x14ac:dyDescent="0.25">
      <c r="A105" s="453"/>
      <c r="B105" s="422" t="s">
        <v>300</v>
      </c>
      <c r="C105" s="422" t="s">
        <v>1264</v>
      </c>
      <c r="D105" s="422" t="s">
        <v>1263</v>
      </c>
      <c r="E105" s="422" t="s">
        <v>556</v>
      </c>
      <c r="F105" s="422" t="s">
        <v>462</v>
      </c>
      <c r="G105" s="422" t="s">
        <v>513</v>
      </c>
      <c r="H105" s="439">
        <v>59</v>
      </c>
      <c r="I105" s="439">
        <v>235</v>
      </c>
      <c r="J105" s="494">
        <v>1</v>
      </c>
    </row>
    <row r="106" spans="1:10" ht="11.25" customHeight="1" x14ac:dyDescent="0.25">
      <c r="A106" s="453"/>
      <c r="B106" s="422" t="s">
        <v>1173</v>
      </c>
      <c r="C106" s="422"/>
      <c r="D106" s="422"/>
      <c r="E106" s="422"/>
      <c r="F106" s="422"/>
      <c r="G106" s="422"/>
      <c r="H106" s="439">
        <v>59</v>
      </c>
      <c r="I106" s="439">
        <v>235</v>
      </c>
      <c r="J106" s="494">
        <v>1</v>
      </c>
    </row>
    <row r="107" spans="1:10" ht="11.25" customHeight="1" x14ac:dyDescent="0.25">
      <c r="A107" s="453"/>
      <c r="B107" s="422" t="s">
        <v>302</v>
      </c>
      <c r="C107" s="422" t="s">
        <v>306</v>
      </c>
      <c r="D107" s="422" t="s">
        <v>305</v>
      </c>
      <c r="E107" s="422" t="s">
        <v>556</v>
      </c>
      <c r="F107" s="422" t="s">
        <v>462</v>
      </c>
      <c r="G107" s="422" t="s">
        <v>513</v>
      </c>
      <c r="H107" s="439">
        <v>86</v>
      </c>
      <c r="I107" s="439">
        <v>309</v>
      </c>
      <c r="J107" s="494">
        <v>1</v>
      </c>
    </row>
    <row r="108" spans="1:10" ht="11.25" customHeight="1" x14ac:dyDescent="0.25">
      <c r="A108" s="453"/>
      <c r="B108" s="422"/>
      <c r="C108" s="422" t="s">
        <v>308</v>
      </c>
      <c r="D108" s="422" t="s">
        <v>307</v>
      </c>
      <c r="E108" s="422" t="s">
        <v>556</v>
      </c>
      <c r="F108" s="422" t="s">
        <v>1092</v>
      </c>
      <c r="G108" s="422" t="s">
        <v>513</v>
      </c>
      <c r="H108" s="439">
        <v>41</v>
      </c>
      <c r="I108" s="439">
        <v>152</v>
      </c>
      <c r="J108" s="494">
        <v>1</v>
      </c>
    </row>
    <row r="109" spans="1:10" ht="11.25" customHeight="1" x14ac:dyDescent="0.25">
      <c r="A109" s="453"/>
      <c r="B109" s="422" t="s">
        <v>1382</v>
      </c>
      <c r="C109" s="422"/>
      <c r="D109" s="422"/>
      <c r="E109" s="422"/>
      <c r="F109" s="422"/>
      <c r="G109" s="422"/>
      <c r="H109" s="439">
        <v>127</v>
      </c>
      <c r="I109" s="439">
        <v>461</v>
      </c>
      <c r="J109" s="494">
        <v>2</v>
      </c>
    </row>
    <row r="110" spans="1:10" ht="11.25" customHeight="1" x14ac:dyDescent="0.25">
      <c r="A110" s="453"/>
      <c r="B110" s="422" t="s">
        <v>810</v>
      </c>
      <c r="C110" s="422" t="s">
        <v>810</v>
      </c>
      <c r="D110" s="422" t="s">
        <v>814</v>
      </c>
      <c r="E110" s="422" t="s">
        <v>556</v>
      </c>
      <c r="F110" s="422" t="s">
        <v>603</v>
      </c>
      <c r="G110" s="422" t="s">
        <v>513</v>
      </c>
      <c r="H110" s="439">
        <v>5</v>
      </c>
      <c r="I110" s="439">
        <v>32</v>
      </c>
      <c r="J110" s="494">
        <v>1</v>
      </c>
    </row>
    <row r="111" spans="1:10" ht="11.25" customHeight="1" x14ac:dyDescent="0.25">
      <c r="A111" s="453"/>
      <c r="B111" s="422"/>
      <c r="C111" s="422" t="s">
        <v>1302</v>
      </c>
      <c r="D111" s="422" t="s">
        <v>1303</v>
      </c>
      <c r="E111" s="422" t="s">
        <v>556</v>
      </c>
      <c r="F111" s="422" t="s">
        <v>603</v>
      </c>
      <c r="G111" s="422" t="s">
        <v>513</v>
      </c>
      <c r="H111" s="439">
        <v>161</v>
      </c>
      <c r="I111" s="439">
        <v>711</v>
      </c>
      <c r="J111" s="494">
        <v>1</v>
      </c>
    </row>
    <row r="112" spans="1:10" ht="11.25" customHeight="1" x14ac:dyDescent="0.25">
      <c r="A112" s="453"/>
      <c r="B112" s="422"/>
      <c r="C112" s="422" t="s">
        <v>1305</v>
      </c>
      <c r="D112" s="422" t="s">
        <v>1306</v>
      </c>
      <c r="E112" s="422" t="s">
        <v>556</v>
      </c>
      <c r="F112" s="422" t="s">
        <v>603</v>
      </c>
      <c r="G112" s="422" t="s">
        <v>513</v>
      </c>
      <c r="H112" s="439"/>
      <c r="I112" s="439">
        <v>489</v>
      </c>
      <c r="J112" s="494">
        <v>1</v>
      </c>
    </row>
    <row r="113" spans="1:10" ht="11.25" customHeight="1" x14ac:dyDescent="0.25">
      <c r="A113" s="453"/>
      <c r="B113" s="422" t="s">
        <v>1383</v>
      </c>
      <c r="C113" s="422"/>
      <c r="D113" s="422"/>
      <c r="E113" s="422"/>
      <c r="F113" s="422"/>
      <c r="G113" s="422"/>
      <c r="H113" s="439">
        <v>166</v>
      </c>
      <c r="I113" s="439">
        <v>1232</v>
      </c>
      <c r="J113" s="494">
        <v>3</v>
      </c>
    </row>
    <row r="114" spans="1:10" ht="11.25" customHeight="1" x14ac:dyDescent="0.25">
      <c r="A114" s="453"/>
      <c r="B114" s="422" t="s">
        <v>310</v>
      </c>
      <c r="C114" s="422" t="s">
        <v>334</v>
      </c>
      <c r="D114" s="422" t="s">
        <v>333</v>
      </c>
      <c r="E114" s="422" t="s">
        <v>556</v>
      </c>
      <c r="F114" s="422" t="s">
        <v>1093</v>
      </c>
      <c r="G114" s="422" t="s">
        <v>515</v>
      </c>
      <c r="H114" s="439">
        <v>155</v>
      </c>
      <c r="I114" s="439">
        <v>665</v>
      </c>
      <c r="J114" s="494">
        <v>1</v>
      </c>
    </row>
    <row r="115" spans="1:10" ht="11.25" customHeight="1" x14ac:dyDescent="0.25">
      <c r="A115" s="453"/>
      <c r="B115" s="422"/>
      <c r="C115" s="422" t="s">
        <v>313</v>
      </c>
      <c r="D115" s="422" t="s">
        <v>312</v>
      </c>
      <c r="E115" s="422" t="s">
        <v>556</v>
      </c>
      <c r="F115" s="422" t="s">
        <v>507</v>
      </c>
      <c r="G115" s="422" t="s">
        <v>513</v>
      </c>
      <c r="H115" s="439">
        <v>99</v>
      </c>
      <c r="I115" s="439">
        <v>480</v>
      </c>
      <c r="J115" s="494">
        <v>1</v>
      </c>
    </row>
    <row r="116" spans="1:10" ht="11.25" customHeight="1" x14ac:dyDescent="0.25">
      <c r="A116" s="453"/>
      <c r="B116" s="422"/>
      <c r="C116" s="422" t="s">
        <v>336</v>
      </c>
      <c r="D116" s="422" t="s">
        <v>335</v>
      </c>
      <c r="E116" s="422" t="s">
        <v>556</v>
      </c>
      <c r="F116" s="422" t="s">
        <v>462</v>
      </c>
      <c r="G116" s="422" t="s">
        <v>515</v>
      </c>
      <c r="H116" s="439">
        <v>146</v>
      </c>
      <c r="I116" s="439">
        <v>1072</v>
      </c>
      <c r="J116" s="494">
        <v>1</v>
      </c>
    </row>
    <row r="117" spans="1:10" ht="11.25" customHeight="1" x14ac:dyDescent="0.25">
      <c r="A117" s="453"/>
      <c r="B117" s="422"/>
      <c r="C117" s="422" t="s">
        <v>196</v>
      </c>
      <c r="D117" s="422" t="s">
        <v>195</v>
      </c>
      <c r="E117" s="422" t="s">
        <v>556</v>
      </c>
      <c r="F117" s="422" t="s">
        <v>1093</v>
      </c>
      <c r="G117" s="422" t="s">
        <v>515</v>
      </c>
      <c r="H117" s="439">
        <v>1643</v>
      </c>
      <c r="I117" s="439">
        <v>8780</v>
      </c>
      <c r="J117" s="494">
        <v>1</v>
      </c>
    </row>
    <row r="118" spans="1:10" ht="11.25" customHeight="1" x14ac:dyDescent="0.25">
      <c r="A118" s="453"/>
      <c r="B118" s="422"/>
      <c r="C118" s="428" t="s">
        <v>320</v>
      </c>
      <c r="D118" s="422" t="s">
        <v>319</v>
      </c>
      <c r="E118" s="422" t="s">
        <v>556</v>
      </c>
      <c r="F118" s="422" t="s">
        <v>462</v>
      </c>
      <c r="G118" s="422" t="s">
        <v>513</v>
      </c>
      <c r="H118" s="439">
        <v>22</v>
      </c>
      <c r="I118" s="439">
        <v>128</v>
      </c>
      <c r="J118" s="494">
        <v>1</v>
      </c>
    </row>
    <row r="119" spans="1:10" ht="11.25" customHeight="1" x14ac:dyDescent="0.25">
      <c r="A119" s="453"/>
      <c r="B119" s="422"/>
      <c r="C119" s="428" t="s">
        <v>322</v>
      </c>
      <c r="D119" s="422" t="s">
        <v>321</v>
      </c>
      <c r="E119" s="422" t="s">
        <v>556</v>
      </c>
      <c r="F119" s="422" t="s">
        <v>1093</v>
      </c>
      <c r="G119" s="422" t="s">
        <v>515</v>
      </c>
      <c r="H119" s="439">
        <v>586</v>
      </c>
      <c r="I119" s="439">
        <v>2595</v>
      </c>
      <c r="J119" s="494">
        <v>1</v>
      </c>
    </row>
    <row r="120" spans="1:10" ht="11.25" customHeight="1" x14ac:dyDescent="0.25">
      <c r="A120" s="453"/>
      <c r="B120" s="422"/>
      <c r="C120" s="428" t="s">
        <v>328</v>
      </c>
      <c r="D120" s="422" t="s">
        <v>327</v>
      </c>
      <c r="E120" s="422" t="s">
        <v>556</v>
      </c>
      <c r="F120" s="422" t="s">
        <v>507</v>
      </c>
      <c r="G120" s="422" t="s">
        <v>513</v>
      </c>
      <c r="H120" s="439">
        <v>143</v>
      </c>
      <c r="I120" s="439">
        <v>800</v>
      </c>
      <c r="J120" s="494">
        <v>1</v>
      </c>
    </row>
    <row r="121" spans="1:10" ht="11.25" customHeight="1" x14ac:dyDescent="0.25">
      <c r="A121" s="453"/>
      <c r="B121" s="422"/>
      <c r="C121" s="428" t="s">
        <v>330</v>
      </c>
      <c r="D121" s="422" t="s">
        <v>329</v>
      </c>
      <c r="E121" s="422" t="s">
        <v>556</v>
      </c>
      <c r="F121" s="422" t="s">
        <v>1093</v>
      </c>
      <c r="G121" s="422" t="s">
        <v>513</v>
      </c>
      <c r="H121" s="439">
        <v>222</v>
      </c>
      <c r="I121" s="439">
        <v>1210</v>
      </c>
      <c r="J121" s="494">
        <v>1</v>
      </c>
    </row>
    <row r="122" spans="1:10" ht="11.25" customHeight="1" x14ac:dyDescent="0.25">
      <c r="A122" s="453"/>
      <c r="B122" s="422"/>
      <c r="C122" s="428" t="s">
        <v>324</v>
      </c>
      <c r="D122" s="422" t="s">
        <v>323</v>
      </c>
      <c r="E122" s="422" t="s">
        <v>556</v>
      </c>
      <c r="F122" s="422" t="s">
        <v>462</v>
      </c>
      <c r="G122" s="422" t="s">
        <v>513</v>
      </c>
      <c r="H122" s="439">
        <v>396</v>
      </c>
      <c r="I122" s="439">
        <v>2120</v>
      </c>
      <c r="J122" s="494">
        <v>1</v>
      </c>
    </row>
    <row r="123" spans="1:10" ht="11.25" customHeight="1" x14ac:dyDescent="0.25">
      <c r="A123" s="453"/>
      <c r="B123" s="422"/>
      <c r="C123" s="428" t="s">
        <v>326</v>
      </c>
      <c r="D123" s="422" t="s">
        <v>325</v>
      </c>
      <c r="E123" s="422" t="s">
        <v>556</v>
      </c>
      <c r="F123" s="422" t="s">
        <v>462</v>
      </c>
      <c r="G123" s="422" t="s">
        <v>513</v>
      </c>
      <c r="H123" s="439">
        <v>46</v>
      </c>
      <c r="I123" s="439">
        <v>192</v>
      </c>
      <c r="J123" s="494">
        <v>1</v>
      </c>
    </row>
    <row r="124" spans="1:10" ht="11.25" customHeight="1" x14ac:dyDescent="0.25">
      <c r="A124" s="453"/>
      <c r="B124" s="422"/>
      <c r="C124" s="428" t="s">
        <v>344</v>
      </c>
      <c r="D124" s="422" t="s">
        <v>343</v>
      </c>
      <c r="E124" s="422" t="s">
        <v>556</v>
      </c>
      <c r="F124" s="422" t="s">
        <v>507</v>
      </c>
      <c r="G124" s="422" t="s">
        <v>513</v>
      </c>
      <c r="H124" s="439">
        <v>18</v>
      </c>
      <c r="I124" s="439">
        <v>82</v>
      </c>
      <c r="J124" s="494">
        <v>1</v>
      </c>
    </row>
    <row r="125" spans="1:10" ht="11.25" customHeight="1" x14ac:dyDescent="0.25">
      <c r="A125" s="453"/>
      <c r="B125" s="422"/>
      <c r="C125" s="428" t="s">
        <v>355</v>
      </c>
      <c r="D125" s="422" t="s">
        <v>354</v>
      </c>
      <c r="E125" s="422" t="s">
        <v>556</v>
      </c>
      <c r="F125" s="422" t="s">
        <v>1093</v>
      </c>
      <c r="G125" s="422" t="s">
        <v>515</v>
      </c>
      <c r="H125" s="439">
        <v>98</v>
      </c>
      <c r="I125" s="439">
        <v>554</v>
      </c>
      <c r="J125" s="494">
        <v>1</v>
      </c>
    </row>
    <row r="126" spans="1:10" ht="11.25" customHeight="1" x14ac:dyDescent="0.25">
      <c r="A126" s="453"/>
      <c r="B126" s="422"/>
      <c r="C126" s="428" t="s">
        <v>318</v>
      </c>
      <c r="D126" s="422" t="s">
        <v>317</v>
      </c>
      <c r="E126" s="422" t="s">
        <v>556</v>
      </c>
      <c r="F126" s="422" t="s">
        <v>507</v>
      </c>
      <c r="G126" s="422" t="s">
        <v>513</v>
      </c>
      <c r="H126" s="439">
        <v>91</v>
      </c>
      <c r="I126" s="439">
        <v>329</v>
      </c>
      <c r="J126" s="494">
        <v>1</v>
      </c>
    </row>
    <row r="127" spans="1:10" ht="11.25" customHeight="1" x14ac:dyDescent="0.25">
      <c r="A127" s="453"/>
      <c r="B127" s="422"/>
      <c r="C127" s="428" t="s">
        <v>342</v>
      </c>
      <c r="D127" s="422" t="s">
        <v>341</v>
      </c>
      <c r="E127" s="422" t="s">
        <v>556</v>
      </c>
      <c r="F127" s="422" t="s">
        <v>462</v>
      </c>
      <c r="G127" s="422" t="s">
        <v>513</v>
      </c>
      <c r="H127" s="439">
        <v>65</v>
      </c>
      <c r="I127" s="439">
        <v>328</v>
      </c>
      <c r="J127" s="494">
        <v>1</v>
      </c>
    </row>
    <row r="128" spans="1:10" ht="11.25" customHeight="1" x14ac:dyDescent="0.25">
      <c r="A128" s="453"/>
      <c r="B128" s="422"/>
      <c r="C128" s="428" t="s">
        <v>338</v>
      </c>
      <c r="D128" s="422" t="s">
        <v>337</v>
      </c>
      <c r="E128" s="422" t="s">
        <v>556</v>
      </c>
      <c r="F128" s="422" t="s">
        <v>507</v>
      </c>
      <c r="G128" s="422" t="s">
        <v>513</v>
      </c>
      <c r="H128" s="439">
        <v>31</v>
      </c>
      <c r="I128" s="439">
        <v>171</v>
      </c>
      <c r="J128" s="494">
        <v>1</v>
      </c>
    </row>
    <row r="129" spans="1:10" ht="11.25" customHeight="1" x14ac:dyDescent="0.25">
      <c r="A129" s="453"/>
      <c r="B129" s="422"/>
      <c r="C129" s="428" t="s">
        <v>351</v>
      </c>
      <c r="D129" s="422" t="s">
        <v>350</v>
      </c>
      <c r="E129" s="422" t="s">
        <v>556</v>
      </c>
      <c r="F129" s="422" t="s">
        <v>507</v>
      </c>
      <c r="G129" s="422" t="s">
        <v>513</v>
      </c>
      <c r="H129" s="439">
        <v>88</v>
      </c>
      <c r="I129" s="439">
        <v>482</v>
      </c>
      <c r="J129" s="494">
        <v>1</v>
      </c>
    </row>
    <row r="130" spans="1:10" ht="11.25" customHeight="1" x14ac:dyDescent="0.25">
      <c r="A130" s="453"/>
      <c r="B130" s="422"/>
      <c r="C130" s="428" t="s">
        <v>347</v>
      </c>
      <c r="D130" s="422" t="s">
        <v>346</v>
      </c>
      <c r="E130" s="422" t="s">
        <v>556</v>
      </c>
      <c r="F130" s="422" t="s">
        <v>462</v>
      </c>
      <c r="G130" s="422" t="s">
        <v>513</v>
      </c>
      <c r="H130" s="439">
        <v>179</v>
      </c>
      <c r="I130" s="439">
        <v>940</v>
      </c>
      <c r="J130" s="494">
        <v>1</v>
      </c>
    </row>
    <row r="131" spans="1:10" ht="11.25" customHeight="1" x14ac:dyDescent="0.25">
      <c r="A131" s="453"/>
      <c r="B131" s="422"/>
      <c r="C131" s="428" t="s">
        <v>349</v>
      </c>
      <c r="D131" s="422" t="s">
        <v>348</v>
      </c>
      <c r="E131" s="422" t="s">
        <v>556</v>
      </c>
      <c r="F131" s="422" t="s">
        <v>507</v>
      </c>
      <c r="G131" s="422" t="s">
        <v>513</v>
      </c>
      <c r="H131" s="439">
        <v>44</v>
      </c>
      <c r="I131" s="439">
        <v>182</v>
      </c>
      <c r="J131" s="494">
        <v>1</v>
      </c>
    </row>
    <row r="132" spans="1:10" ht="11.25" customHeight="1" x14ac:dyDescent="0.25">
      <c r="A132" s="453"/>
      <c r="B132" s="422"/>
      <c r="C132" s="428" t="s">
        <v>316</v>
      </c>
      <c r="D132" s="422" t="s">
        <v>315</v>
      </c>
      <c r="E132" s="422" t="s">
        <v>556</v>
      </c>
      <c r="F132" s="422" t="s">
        <v>507</v>
      </c>
      <c r="G132" s="422" t="s">
        <v>513</v>
      </c>
      <c r="H132" s="439">
        <v>70</v>
      </c>
      <c r="I132" s="439">
        <v>278</v>
      </c>
      <c r="J132" s="494">
        <v>1</v>
      </c>
    </row>
    <row r="133" spans="1:10" ht="11.25" customHeight="1" x14ac:dyDescent="0.25">
      <c r="A133" s="453"/>
      <c r="B133" s="422"/>
      <c r="C133" s="422" t="s">
        <v>353</v>
      </c>
      <c r="D133" s="422" t="s">
        <v>352</v>
      </c>
      <c r="E133" s="422" t="s">
        <v>556</v>
      </c>
      <c r="F133" s="422" t="s">
        <v>1093</v>
      </c>
      <c r="G133" s="422" t="s">
        <v>515</v>
      </c>
      <c r="H133" s="439">
        <v>1354</v>
      </c>
      <c r="I133" s="439">
        <v>6602</v>
      </c>
      <c r="J133" s="494">
        <v>1</v>
      </c>
    </row>
    <row r="134" spans="1:10" ht="11.25" customHeight="1" x14ac:dyDescent="0.25">
      <c r="A134" s="453"/>
      <c r="B134" s="422"/>
      <c r="C134" s="422" t="s">
        <v>1247</v>
      </c>
      <c r="D134" s="422" t="s">
        <v>345</v>
      </c>
      <c r="E134" s="422" t="s">
        <v>556</v>
      </c>
      <c r="F134" s="422" t="s">
        <v>462</v>
      </c>
      <c r="G134" s="422" t="s">
        <v>515</v>
      </c>
      <c r="H134" s="439">
        <v>178</v>
      </c>
      <c r="I134" s="439">
        <v>850</v>
      </c>
      <c r="J134" s="494">
        <v>1</v>
      </c>
    </row>
    <row r="135" spans="1:10" ht="11.25" customHeight="1" x14ac:dyDescent="0.25">
      <c r="A135" s="453"/>
      <c r="B135" s="422"/>
      <c r="C135" s="422" t="s">
        <v>1249</v>
      </c>
      <c r="D135" s="422" t="s">
        <v>356</v>
      </c>
      <c r="E135" s="422" t="s">
        <v>556</v>
      </c>
      <c r="F135" s="422" t="s">
        <v>462</v>
      </c>
      <c r="G135" s="422" t="s">
        <v>515</v>
      </c>
      <c r="H135" s="439">
        <v>612</v>
      </c>
      <c r="I135" s="439">
        <v>2806</v>
      </c>
      <c r="J135" s="494">
        <v>1</v>
      </c>
    </row>
    <row r="136" spans="1:10" ht="11.25" customHeight="1" x14ac:dyDescent="0.25">
      <c r="A136" s="453"/>
      <c r="B136" s="422" t="s">
        <v>1121</v>
      </c>
      <c r="C136" s="422"/>
      <c r="D136" s="422"/>
      <c r="E136" s="422"/>
      <c r="F136" s="422"/>
      <c r="G136" s="422"/>
      <c r="H136" s="439">
        <v>6286</v>
      </c>
      <c r="I136" s="439">
        <v>31646</v>
      </c>
      <c r="J136" s="494">
        <v>22</v>
      </c>
    </row>
    <row r="137" spans="1:10" ht="11.25" customHeight="1" x14ac:dyDescent="0.25">
      <c r="A137" s="453" t="s">
        <v>853</v>
      </c>
      <c r="B137" s="422"/>
      <c r="C137" s="422"/>
      <c r="D137" s="422"/>
      <c r="E137" s="422"/>
      <c r="F137" s="422"/>
      <c r="G137" s="422"/>
      <c r="H137" s="439">
        <v>15862</v>
      </c>
      <c r="I137" s="439">
        <v>80029</v>
      </c>
      <c r="J137" s="494">
        <v>116</v>
      </c>
    </row>
    <row r="138" spans="1:10" ht="11.25" customHeight="1" x14ac:dyDescent="0.25">
      <c r="A138" s="453" t="s">
        <v>555</v>
      </c>
      <c r="B138" s="422" t="s">
        <v>781</v>
      </c>
      <c r="C138" s="422" t="s">
        <v>1279</v>
      </c>
      <c r="D138" s="422" t="s">
        <v>1262</v>
      </c>
      <c r="E138" s="422" t="s">
        <v>556</v>
      </c>
      <c r="F138" s="422" t="s">
        <v>462</v>
      </c>
      <c r="G138" s="422" t="s">
        <v>513</v>
      </c>
      <c r="H138" s="439">
        <v>38</v>
      </c>
      <c r="I138" s="439">
        <v>172</v>
      </c>
      <c r="J138" s="494">
        <v>1</v>
      </c>
    </row>
    <row r="139" spans="1:10" ht="11.25" customHeight="1" x14ac:dyDescent="0.25">
      <c r="A139" s="453"/>
      <c r="B139" s="422" t="s">
        <v>1384</v>
      </c>
      <c r="C139" s="422"/>
      <c r="D139" s="422"/>
      <c r="E139" s="422"/>
      <c r="F139" s="422"/>
      <c r="G139" s="422"/>
      <c r="H139" s="439">
        <v>38</v>
      </c>
      <c r="I139" s="439">
        <v>172</v>
      </c>
      <c r="J139" s="494">
        <v>1</v>
      </c>
    </row>
    <row r="140" spans="1:10" ht="11.25" customHeight="1" x14ac:dyDescent="0.25">
      <c r="A140" s="453"/>
      <c r="B140" s="422" t="s">
        <v>146</v>
      </c>
      <c r="C140" s="422" t="s">
        <v>372</v>
      </c>
      <c r="D140" s="422" t="s">
        <v>382</v>
      </c>
      <c r="E140" s="422" t="s">
        <v>556</v>
      </c>
      <c r="F140" s="422" t="s">
        <v>462</v>
      </c>
      <c r="G140" s="422" t="s">
        <v>513</v>
      </c>
      <c r="H140" s="439">
        <v>88</v>
      </c>
      <c r="I140" s="439">
        <v>505</v>
      </c>
      <c r="J140" s="494">
        <v>1</v>
      </c>
    </row>
    <row r="141" spans="1:10" ht="11.25" customHeight="1" x14ac:dyDescent="0.25">
      <c r="A141" s="453"/>
      <c r="B141" s="422"/>
      <c r="C141" s="422" t="s">
        <v>369</v>
      </c>
      <c r="D141" s="422" t="s">
        <v>383</v>
      </c>
      <c r="E141" s="422" t="s">
        <v>556</v>
      </c>
      <c r="F141" s="422" t="s">
        <v>462</v>
      </c>
      <c r="G141" s="422" t="s">
        <v>513</v>
      </c>
      <c r="H141" s="439">
        <v>63</v>
      </c>
      <c r="I141" s="439">
        <v>295</v>
      </c>
      <c r="J141" s="494">
        <v>1</v>
      </c>
    </row>
    <row r="142" spans="1:10" ht="11.25" customHeight="1" x14ac:dyDescent="0.25">
      <c r="A142" s="453"/>
      <c r="B142" s="422"/>
      <c r="C142" s="422" t="s">
        <v>370</v>
      </c>
      <c r="D142" s="422" t="s">
        <v>384</v>
      </c>
      <c r="E142" s="422" t="s">
        <v>556</v>
      </c>
      <c r="F142" s="422" t="s">
        <v>1266</v>
      </c>
      <c r="G142" s="422" t="s">
        <v>513</v>
      </c>
      <c r="H142" s="439">
        <v>31</v>
      </c>
      <c r="I142" s="439">
        <v>144</v>
      </c>
      <c r="J142" s="494">
        <v>1</v>
      </c>
    </row>
    <row r="143" spans="1:10" ht="11.25" customHeight="1" x14ac:dyDescent="0.25">
      <c r="A143" s="453"/>
      <c r="B143" s="422"/>
      <c r="C143" s="422" t="s">
        <v>368</v>
      </c>
      <c r="D143" s="422" t="s">
        <v>385</v>
      </c>
      <c r="E143" s="422" t="s">
        <v>556</v>
      </c>
      <c r="F143" s="422" t="s">
        <v>462</v>
      </c>
      <c r="G143" s="422" t="s">
        <v>513</v>
      </c>
      <c r="H143" s="439">
        <v>63</v>
      </c>
      <c r="I143" s="439">
        <v>305</v>
      </c>
      <c r="J143" s="494">
        <v>1</v>
      </c>
    </row>
    <row r="144" spans="1:10" ht="11.25" customHeight="1" x14ac:dyDescent="0.25">
      <c r="A144" s="453"/>
      <c r="B144" s="422"/>
      <c r="C144" s="422" t="s">
        <v>371</v>
      </c>
      <c r="D144" s="422" t="s">
        <v>147</v>
      </c>
      <c r="E144" s="422" t="s">
        <v>556</v>
      </c>
      <c r="F144" s="422" t="s">
        <v>462</v>
      </c>
      <c r="G144" s="422" t="s">
        <v>513</v>
      </c>
      <c r="H144" s="439">
        <v>49</v>
      </c>
      <c r="I144" s="439">
        <v>261</v>
      </c>
      <c r="J144" s="494">
        <v>1</v>
      </c>
    </row>
    <row r="145" spans="1:10" ht="11.25" customHeight="1" x14ac:dyDescent="0.25">
      <c r="A145" s="453"/>
      <c r="B145" s="422"/>
      <c r="C145" s="422" t="s">
        <v>149</v>
      </c>
      <c r="D145" s="422" t="s">
        <v>148</v>
      </c>
      <c r="E145" s="422" t="s">
        <v>556</v>
      </c>
      <c r="F145" s="422" t="s">
        <v>462</v>
      </c>
      <c r="G145" s="422" t="s">
        <v>513</v>
      </c>
      <c r="H145" s="439">
        <v>62</v>
      </c>
      <c r="I145" s="439">
        <v>281</v>
      </c>
      <c r="J145" s="494">
        <v>1</v>
      </c>
    </row>
    <row r="146" spans="1:10" ht="11.25" customHeight="1" x14ac:dyDescent="0.25">
      <c r="A146" s="453"/>
      <c r="B146" s="422"/>
      <c r="C146" s="422" t="s">
        <v>373</v>
      </c>
      <c r="D146" s="422" t="s">
        <v>387</v>
      </c>
      <c r="E146" s="422" t="s">
        <v>556</v>
      </c>
      <c r="F146" s="422" t="s">
        <v>462</v>
      </c>
      <c r="G146" s="422" t="s">
        <v>513</v>
      </c>
      <c r="H146" s="439">
        <v>202</v>
      </c>
      <c r="I146" s="439">
        <v>906</v>
      </c>
      <c r="J146" s="494">
        <v>1</v>
      </c>
    </row>
    <row r="147" spans="1:10" ht="11.25" customHeight="1" x14ac:dyDescent="0.25">
      <c r="A147" s="453"/>
      <c r="B147" s="422"/>
      <c r="C147" s="422" t="s">
        <v>1105</v>
      </c>
      <c r="D147" s="422" t="s">
        <v>1104</v>
      </c>
      <c r="E147" s="422" t="s">
        <v>556</v>
      </c>
      <c r="F147" s="422" t="s">
        <v>1266</v>
      </c>
      <c r="G147" s="422" t="s">
        <v>513</v>
      </c>
      <c r="H147" s="439">
        <v>23</v>
      </c>
      <c r="I147" s="439">
        <v>112</v>
      </c>
      <c r="J147" s="494">
        <v>1</v>
      </c>
    </row>
    <row r="148" spans="1:10" ht="11.25" customHeight="1" x14ac:dyDescent="0.25">
      <c r="A148" s="453"/>
      <c r="B148" s="422"/>
      <c r="C148" s="422" t="s">
        <v>1322</v>
      </c>
      <c r="D148" s="422" t="s">
        <v>1323</v>
      </c>
      <c r="E148" s="422" t="s">
        <v>556</v>
      </c>
      <c r="F148" s="422" t="s">
        <v>603</v>
      </c>
      <c r="G148" s="422" t="s">
        <v>513</v>
      </c>
      <c r="H148" s="439">
        <v>105</v>
      </c>
      <c r="I148" s="439">
        <v>568</v>
      </c>
      <c r="J148" s="494">
        <v>1</v>
      </c>
    </row>
    <row r="149" spans="1:10" ht="11.25" customHeight="1" x14ac:dyDescent="0.25">
      <c r="A149" s="453"/>
      <c r="B149" s="422" t="s">
        <v>1174</v>
      </c>
      <c r="C149" s="422"/>
      <c r="D149" s="422"/>
      <c r="E149" s="422"/>
      <c r="F149" s="422"/>
      <c r="G149" s="422"/>
      <c r="H149" s="439">
        <v>686</v>
      </c>
      <c r="I149" s="439">
        <v>3377</v>
      </c>
      <c r="J149" s="494">
        <v>9</v>
      </c>
    </row>
    <row r="150" spans="1:10" ht="11.25" customHeight="1" x14ac:dyDescent="0.25">
      <c r="A150" s="453"/>
      <c r="B150" s="422" t="s">
        <v>166</v>
      </c>
      <c r="C150" s="422" t="s">
        <v>167</v>
      </c>
      <c r="D150" s="422" t="s">
        <v>165</v>
      </c>
      <c r="E150" s="422" t="s">
        <v>556</v>
      </c>
      <c r="F150" s="422" t="s">
        <v>462</v>
      </c>
      <c r="G150" s="422" t="s">
        <v>513</v>
      </c>
      <c r="H150" s="439">
        <v>37</v>
      </c>
      <c r="I150" s="439">
        <v>159</v>
      </c>
      <c r="J150" s="494">
        <v>1</v>
      </c>
    </row>
    <row r="151" spans="1:10" ht="11.25" customHeight="1" x14ac:dyDescent="0.25">
      <c r="A151" s="453"/>
      <c r="B151" s="422"/>
      <c r="C151" s="422" t="s">
        <v>824</v>
      </c>
      <c r="D151" s="422" t="s">
        <v>825</v>
      </c>
      <c r="E151" s="422" t="s">
        <v>556</v>
      </c>
      <c r="F151" s="422" t="s">
        <v>1266</v>
      </c>
      <c r="G151" s="422" t="s">
        <v>513</v>
      </c>
      <c r="H151" s="439">
        <v>31</v>
      </c>
      <c r="I151" s="439">
        <v>183</v>
      </c>
      <c r="J151" s="494">
        <v>1</v>
      </c>
    </row>
    <row r="152" spans="1:10" ht="11.25" customHeight="1" x14ac:dyDescent="0.25">
      <c r="A152" s="453"/>
      <c r="B152" s="422" t="s">
        <v>1385</v>
      </c>
      <c r="C152" s="422"/>
      <c r="D152" s="422"/>
      <c r="E152" s="422"/>
      <c r="F152" s="422"/>
      <c r="G152" s="422"/>
      <c r="H152" s="439">
        <v>68</v>
      </c>
      <c r="I152" s="439">
        <v>342</v>
      </c>
      <c r="J152" s="494">
        <v>2</v>
      </c>
    </row>
    <row r="153" spans="1:10" ht="11.25" customHeight="1" x14ac:dyDescent="0.25">
      <c r="A153" s="453"/>
      <c r="B153" s="422" t="s">
        <v>230</v>
      </c>
      <c r="C153" s="422" t="s">
        <v>1056</v>
      </c>
      <c r="D153" s="422" t="s">
        <v>1057</v>
      </c>
      <c r="E153" s="422" t="s">
        <v>556</v>
      </c>
      <c r="F153" s="422" t="s">
        <v>462</v>
      </c>
      <c r="G153" s="422" t="s">
        <v>513</v>
      </c>
      <c r="H153" s="439">
        <v>52</v>
      </c>
      <c r="I153" s="439">
        <v>212</v>
      </c>
      <c r="J153" s="494">
        <v>1</v>
      </c>
    </row>
    <row r="154" spans="1:10" ht="11.25" customHeight="1" x14ac:dyDescent="0.25">
      <c r="A154" s="453"/>
      <c r="B154" s="422"/>
      <c r="C154" s="422" t="s">
        <v>1066</v>
      </c>
      <c r="D154" s="422" t="s">
        <v>1067</v>
      </c>
      <c r="E154" s="422" t="s">
        <v>556</v>
      </c>
      <c r="F154" s="422" t="s">
        <v>1266</v>
      </c>
      <c r="G154" s="422" t="s">
        <v>513</v>
      </c>
      <c r="H154" s="439">
        <v>26</v>
      </c>
      <c r="I154" s="439">
        <v>111</v>
      </c>
      <c r="J154" s="494">
        <v>1</v>
      </c>
    </row>
    <row r="155" spans="1:10" ht="11.25" customHeight="1" x14ac:dyDescent="0.25">
      <c r="A155" s="453"/>
      <c r="B155" s="422" t="s">
        <v>1175</v>
      </c>
      <c r="C155" s="422"/>
      <c r="D155" s="422"/>
      <c r="E155" s="422"/>
      <c r="F155" s="422"/>
      <c r="G155" s="422"/>
      <c r="H155" s="439">
        <v>78</v>
      </c>
      <c r="I155" s="439">
        <v>323</v>
      </c>
      <c r="J155" s="494">
        <v>2</v>
      </c>
    </row>
    <row r="156" spans="1:10" ht="11.25" customHeight="1" x14ac:dyDescent="0.25">
      <c r="A156" s="453"/>
      <c r="B156" s="422" t="s">
        <v>289</v>
      </c>
      <c r="C156" s="422" t="s">
        <v>292</v>
      </c>
      <c r="D156" s="422" t="s">
        <v>291</v>
      </c>
      <c r="E156" s="422" t="s">
        <v>556</v>
      </c>
      <c r="F156" s="422" t="s">
        <v>462</v>
      </c>
      <c r="G156" s="422" t="s">
        <v>513</v>
      </c>
      <c r="H156" s="439">
        <v>70</v>
      </c>
      <c r="I156" s="439">
        <v>368</v>
      </c>
      <c r="J156" s="494">
        <v>1</v>
      </c>
    </row>
    <row r="157" spans="1:10" ht="11.25" customHeight="1" x14ac:dyDescent="0.25">
      <c r="A157" s="453"/>
      <c r="B157" s="422"/>
      <c r="C157" s="422" t="s">
        <v>290</v>
      </c>
      <c r="D157" s="422" t="s">
        <v>288</v>
      </c>
      <c r="E157" s="422" t="s">
        <v>556</v>
      </c>
      <c r="F157" s="422" t="s">
        <v>462</v>
      </c>
      <c r="G157" s="422" t="s">
        <v>513</v>
      </c>
      <c r="H157" s="439">
        <v>73</v>
      </c>
      <c r="I157" s="439">
        <v>380</v>
      </c>
      <c r="J157" s="494">
        <v>1</v>
      </c>
    </row>
    <row r="158" spans="1:10" ht="11.25" customHeight="1" x14ac:dyDescent="0.25">
      <c r="A158" s="453"/>
      <c r="B158" s="422"/>
      <c r="C158" s="422" t="s">
        <v>374</v>
      </c>
      <c r="D158" s="422" t="s">
        <v>295</v>
      </c>
      <c r="E158" s="422" t="s">
        <v>556</v>
      </c>
      <c r="F158" s="422" t="s">
        <v>1266</v>
      </c>
      <c r="G158" s="422" t="s">
        <v>513</v>
      </c>
      <c r="H158" s="439">
        <v>48</v>
      </c>
      <c r="I158" s="439">
        <v>218</v>
      </c>
      <c r="J158" s="494">
        <v>1</v>
      </c>
    </row>
    <row r="159" spans="1:10" ht="11.25" customHeight="1" x14ac:dyDescent="0.25">
      <c r="A159" s="453"/>
      <c r="B159" s="422"/>
      <c r="C159" s="422" t="s">
        <v>1058</v>
      </c>
      <c r="D159" s="422" t="s">
        <v>1059</v>
      </c>
      <c r="E159" s="422" t="s">
        <v>556</v>
      </c>
      <c r="F159" s="422" t="s">
        <v>462</v>
      </c>
      <c r="G159" s="422" t="s">
        <v>513</v>
      </c>
      <c r="H159" s="439">
        <v>37</v>
      </c>
      <c r="I159" s="439">
        <v>198</v>
      </c>
      <c r="J159" s="494">
        <v>1</v>
      </c>
    </row>
    <row r="160" spans="1:10" ht="11.25" customHeight="1" x14ac:dyDescent="0.25">
      <c r="A160" s="453"/>
      <c r="B160" s="422"/>
      <c r="C160" s="422" t="s">
        <v>1070</v>
      </c>
      <c r="D160" s="422" t="s">
        <v>1063</v>
      </c>
      <c r="E160" s="422" t="s">
        <v>556</v>
      </c>
      <c r="F160" s="422" t="s">
        <v>462</v>
      </c>
      <c r="G160" s="422" t="s">
        <v>513</v>
      </c>
      <c r="H160" s="439">
        <v>123</v>
      </c>
      <c r="I160" s="439">
        <v>575</v>
      </c>
      <c r="J160" s="494">
        <v>1</v>
      </c>
    </row>
    <row r="161" spans="1:10" ht="11.25" customHeight="1" x14ac:dyDescent="0.25">
      <c r="A161" s="453"/>
      <c r="B161" s="422" t="s">
        <v>1176</v>
      </c>
      <c r="C161" s="422"/>
      <c r="D161" s="422"/>
      <c r="E161" s="422"/>
      <c r="F161" s="422"/>
      <c r="G161" s="422"/>
      <c r="H161" s="439">
        <v>351</v>
      </c>
      <c r="I161" s="439">
        <v>1739</v>
      </c>
      <c r="J161" s="494">
        <v>5</v>
      </c>
    </row>
    <row r="162" spans="1:10" ht="11.25" customHeight="1" x14ac:dyDescent="0.25">
      <c r="A162" s="453"/>
      <c r="B162" s="422" t="s">
        <v>298</v>
      </c>
      <c r="C162" s="422" t="s">
        <v>823</v>
      </c>
      <c r="D162" s="422" t="s">
        <v>297</v>
      </c>
      <c r="E162" s="422" t="s">
        <v>556</v>
      </c>
      <c r="F162" s="422" t="s">
        <v>462</v>
      </c>
      <c r="G162" s="422" t="s">
        <v>513</v>
      </c>
      <c r="H162" s="439">
        <v>9</v>
      </c>
      <c r="I162" s="439">
        <v>37</v>
      </c>
      <c r="J162" s="494">
        <v>1</v>
      </c>
    </row>
    <row r="163" spans="1:10" ht="11.25" customHeight="1" x14ac:dyDescent="0.25">
      <c r="A163" s="453"/>
      <c r="B163" s="422" t="s">
        <v>1386</v>
      </c>
      <c r="C163" s="422"/>
      <c r="D163" s="422"/>
      <c r="E163" s="422"/>
      <c r="F163" s="422"/>
      <c r="G163" s="422"/>
      <c r="H163" s="439">
        <v>9</v>
      </c>
      <c r="I163" s="439">
        <v>37</v>
      </c>
      <c r="J163" s="494">
        <v>1</v>
      </c>
    </row>
    <row r="164" spans="1:10" ht="11.25" customHeight="1" x14ac:dyDescent="0.25">
      <c r="A164" s="453" t="s">
        <v>1177</v>
      </c>
      <c r="B164" s="422"/>
      <c r="C164" s="422"/>
      <c r="D164" s="422"/>
      <c r="E164" s="422"/>
      <c r="F164" s="422"/>
      <c r="G164" s="422"/>
      <c r="H164" s="439">
        <v>1230</v>
      </c>
      <c r="I164" s="439">
        <v>5990</v>
      </c>
      <c r="J164" s="494">
        <v>20</v>
      </c>
    </row>
    <row r="165" spans="1:10" x14ac:dyDescent="0.25">
      <c r="A165" s="502" t="s">
        <v>416</v>
      </c>
      <c r="B165" s="503"/>
      <c r="C165" s="503"/>
      <c r="D165" s="503"/>
      <c r="E165" s="503"/>
      <c r="F165" s="503"/>
      <c r="G165" s="503"/>
      <c r="H165" s="504">
        <v>17092</v>
      </c>
      <c r="I165" s="504">
        <v>86019</v>
      </c>
      <c r="J165" s="505">
        <v>136</v>
      </c>
    </row>
    <row r="166" spans="1:10" ht="11.25" customHeight="1" x14ac:dyDescent="0.25">
      <c r="A166"/>
      <c r="B166"/>
      <c r="C166"/>
      <c r="D166"/>
      <c r="E166"/>
      <c r="F166"/>
      <c r="G166"/>
      <c r="H166"/>
      <c r="I166"/>
      <c r="J166"/>
    </row>
    <row r="167" spans="1:10" ht="11.25" customHeight="1" x14ac:dyDescent="0.25">
      <c r="A167"/>
      <c r="B167"/>
      <c r="C167"/>
      <c r="D167"/>
      <c r="E167"/>
      <c r="F167"/>
      <c r="G167"/>
      <c r="H167"/>
      <c r="I167"/>
      <c r="J167"/>
    </row>
    <row r="168" spans="1:10" ht="11.25" customHeight="1" x14ac:dyDescent="0.25">
      <c r="A168"/>
      <c r="B168"/>
      <c r="C168"/>
      <c r="D168"/>
      <c r="E168"/>
      <c r="F168"/>
      <c r="G168"/>
      <c r="H168"/>
      <c r="I168"/>
      <c r="J168"/>
    </row>
    <row r="169" spans="1:10" ht="11.25" customHeight="1" x14ac:dyDescent="0.25">
      <c r="A169"/>
      <c r="B169"/>
      <c r="C169"/>
      <c r="D169"/>
      <c r="E169"/>
      <c r="F169"/>
      <c r="G169"/>
      <c r="H169"/>
      <c r="I169"/>
      <c r="J169"/>
    </row>
    <row r="170" spans="1:10" ht="11.25" customHeight="1" x14ac:dyDescent="0.25">
      <c r="A170"/>
      <c r="B170"/>
      <c r="C170"/>
      <c r="D170"/>
      <c r="E170"/>
      <c r="F170"/>
      <c r="G170"/>
      <c r="H170"/>
      <c r="I170"/>
      <c r="J170"/>
    </row>
    <row r="171" spans="1:10" ht="11.25" customHeight="1" x14ac:dyDescent="0.25">
      <c r="A171"/>
      <c r="B171"/>
      <c r="C171"/>
      <c r="D171"/>
      <c r="E171"/>
      <c r="F171"/>
      <c r="G171"/>
      <c r="H171"/>
      <c r="I171"/>
      <c r="J171"/>
    </row>
    <row r="172" spans="1:10" ht="11.25" customHeight="1" x14ac:dyDescent="0.25">
      <c r="A172"/>
      <c r="B172"/>
      <c r="C172"/>
      <c r="D172"/>
      <c r="E172"/>
      <c r="F172"/>
      <c r="G172"/>
      <c r="H172"/>
      <c r="I172"/>
      <c r="J172"/>
    </row>
    <row r="173" spans="1:10" ht="11.25" customHeight="1" x14ac:dyDescent="0.25">
      <c r="A173"/>
      <c r="B173"/>
      <c r="C173"/>
      <c r="D173"/>
      <c r="E173"/>
      <c r="F173"/>
      <c r="G173"/>
      <c r="H173"/>
      <c r="I173"/>
      <c r="J173"/>
    </row>
    <row r="174" spans="1:10" ht="11.25" customHeight="1" x14ac:dyDescent="0.25">
      <c r="A174"/>
      <c r="B174"/>
      <c r="C174"/>
      <c r="D174"/>
      <c r="E174"/>
      <c r="F174"/>
      <c r="G174"/>
      <c r="H174"/>
      <c r="I174"/>
      <c r="J174"/>
    </row>
    <row r="175" spans="1:10" ht="11.25" customHeight="1" x14ac:dyDescent="0.25">
      <c r="A175"/>
      <c r="B175"/>
      <c r="C175"/>
      <c r="D175"/>
      <c r="E175"/>
      <c r="F175"/>
      <c r="G175"/>
      <c r="H175"/>
      <c r="I175"/>
      <c r="J175"/>
    </row>
    <row r="176" spans="1:10" ht="11.25" customHeight="1" x14ac:dyDescent="0.25">
      <c r="A176"/>
      <c r="B176"/>
      <c r="C176"/>
      <c r="D176"/>
      <c r="E176"/>
      <c r="F176"/>
      <c r="G176"/>
      <c r="H176"/>
      <c r="I176"/>
      <c r="J176"/>
    </row>
    <row r="177" spans="1:10" ht="11.25" customHeight="1" x14ac:dyDescent="0.25">
      <c r="A177"/>
      <c r="B177"/>
      <c r="C177"/>
      <c r="D177"/>
      <c r="E177"/>
      <c r="F177"/>
      <c r="G177"/>
      <c r="H177"/>
      <c r="I177"/>
      <c r="J177"/>
    </row>
    <row r="178" spans="1:10" ht="11.25" customHeight="1" x14ac:dyDescent="0.25">
      <c r="A178"/>
      <c r="B178"/>
      <c r="C178"/>
      <c r="D178"/>
      <c r="E178"/>
      <c r="F178"/>
      <c r="G178"/>
      <c r="H178"/>
      <c r="I178"/>
      <c r="J178"/>
    </row>
    <row r="179" spans="1:10" ht="11.25" customHeight="1" x14ac:dyDescent="0.25">
      <c r="A179"/>
      <c r="B179"/>
      <c r="C179"/>
      <c r="D179"/>
      <c r="E179"/>
      <c r="F179"/>
      <c r="G179"/>
      <c r="H179"/>
      <c r="I179"/>
      <c r="J179"/>
    </row>
    <row r="180" spans="1:10" ht="11.25" customHeight="1" x14ac:dyDescent="0.25">
      <c r="A180"/>
      <c r="B180"/>
      <c r="C180"/>
      <c r="D180"/>
      <c r="E180"/>
      <c r="F180"/>
      <c r="G180"/>
      <c r="H180"/>
      <c r="I180"/>
      <c r="J180"/>
    </row>
    <row r="181" spans="1:10" ht="11.25" customHeight="1" x14ac:dyDescent="0.25">
      <c r="A181"/>
      <c r="B181"/>
      <c r="C181"/>
      <c r="D181"/>
      <c r="E181"/>
      <c r="F181"/>
      <c r="G181"/>
      <c r="H181"/>
      <c r="I181"/>
      <c r="J181"/>
    </row>
    <row r="182" spans="1:10" ht="11.25" customHeight="1" x14ac:dyDescent="0.25">
      <c r="A182"/>
      <c r="B182"/>
      <c r="C182"/>
      <c r="D182"/>
      <c r="E182"/>
      <c r="F182"/>
      <c r="G182"/>
      <c r="H182"/>
      <c r="I182"/>
      <c r="J182"/>
    </row>
    <row r="183" spans="1:10" ht="11.25" customHeight="1" x14ac:dyDescent="0.25">
      <c r="A183"/>
      <c r="B183"/>
      <c r="C183"/>
      <c r="D183"/>
      <c r="E183"/>
      <c r="F183"/>
      <c r="G183"/>
      <c r="H183"/>
      <c r="I183"/>
      <c r="J183"/>
    </row>
    <row r="184" spans="1:10" ht="11.25" customHeight="1" x14ac:dyDescent="0.25">
      <c r="A184"/>
      <c r="B184"/>
      <c r="C184"/>
      <c r="D184"/>
      <c r="E184"/>
      <c r="F184"/>
      <c r="G184"/>
      <c r="H184"/>
      <c r="I184"/>
      <c r="J184"/>
    </row>
    <row r="185" spans="1:10" ht="11.25" customHeight="1" x14ac:dyDescent="0.25">
      <c r="A185"/>
      <c r="B185"/>
      <c r="C185"/>
      <c r="D185"/>
      <c r="E185"/>
      <c r="F185"/>
      <c r="G185"/>
      <c r="H185"/>
      <c r="I185"/>
      <c r="J185"/>
    </row>
    <row r="186" spans="1:10" ht="11.25" customHeight="1" x14ac:dyDescent="0.25">
      <c r="A186"/>
      <c r="B186"/>
      <c r="C186"/>
      <c r="D186"/>
      <c r="E186"/>
      <c r="F186"/>
      <c r="G186"/>
      <c r="H186"/>
      <c r="I186"/>
      <c r="J186"/>
    </row>
    <row r="187" spans="1:10" ht="11.25" customHeight="1" x14ac:dyDescent="0.25">
      <c r="A187"/>
      <c r="B187"/>
      <c r="C187"/>
      <c r="D187"/>
      <c r="E187"/>
      <c r="F187"/>
      <c r="G187"/>
      <c r="H187"/>
      <c r="I187"/>
      <c r="J187"/>
    </row>
    <row r="188" spans="1:10" ht="11.25" customHeight="1" x14ac:dyDescent="0.25">
      <c r="A188"/>
      <c r="B188"/>
      <c r="C188"/>
      <c r="D188"/>
      <c r="E188"/>
      <c r="F188"/>
      <c r="G188"/>
      <c r="H188"/>
      <c r="I188"/>
      <c r="J188"/>
    </row>
    <row r="189" spans="1:10" ht="11.25" customHeight="1" x14ac:dyDescent="0.25">
      <c r="A189"/>
      <c r="B189"/>
      <c r="C189"/>
      <c r="D189"/>
      <c r="E189"/>
      <c r="F189"/>
      <c r="G189"/>
      <c r="H189"/>
      <c r="I189"/>
      <c r="J189"/>
    </row>
    <row r="190" spans="1:10" ht="11.25" customHeight="1" x14ac:dyDescent="0.25">
      <c r="A190"/>
      <c r="B190"/>
      <c r="C190"/>
      <c r="D190"/>
      <c r="E190"/>
      <c r="F190"/>
      <c r="G190"/>
      <c r="H190"/>
      <c r="I190"/>
      <c r="J190"/>
    </row>
    <row r="191" spans="1:10" ht="11.25" customHeight="1" x14ac:dyDescent="0.25">
      <c r="A191"/>
      <c r="B191"/>
      <c r="C191"/>
      <c r="D191"/>
      <c r="E191"/>
      <c r="F191"/>
      <c r="G191"/>
      <c r="H191"/>
      <c r="I191"/>
      <c r="J191"/>
    </row>
    <row r="192" spans="1:10" ht="11.25" customHeight="1" x14ac:dyDescent="0.25">
      <c r="A192"/>
      <c r="B192"/>
      <c r="C192"/>
      <c r="D192"/>
      <c r="E192"/>
      <c r="F192"/>
      <c r="G192"/>
      <c r="H192"/>
      <c r="I192"/>
      <c r="J192"/>
    </row>
    <row r="193" spans="1:10" x14ac:dyDescent="0.25">
      <c r="A193"/>
      <c r="B193"/>
      <c r="C193"/>
      <c r="D193"/>
      <c r="E193"/>
      <c r="F193"/>
      <c r="G193"/>
      <c r="H193"/>
      <c r="I193"/>
      <c r="J193"/>
    </row>
    <row r="194" spans="1:10" x14ac:dyDescent="0.25">
      <c r="A194"/>
      <c r="B194"/>
      <c r="C194"/>
      <c r="D194"/>
      <c r="E194"/>
      <c r="F194"/>
      <c r="G194"/>
      <c r="H194"/>
      <c r="I194"/>
      <c r="J194"/>
    </row>
    <row r="195" spans="1:10" x14ac:dyDescent="0.25">
      <c r="A195"/>
      <c r="B195"/>
      <c r="C195"/>
      <c r="D195"/>
      <c r="E195"/>
      <c r="F195"/>
      <c r="G195"/>
      <c r="H195"/>
      <c r="I195"/>
      <c r="J195"/>
    </row>
    <row r="196" spans="1:10" x14ac:dyDescent="0.25">
      <c r="A196"/>
      <c r="B196"/>
      <c r="C196"/>
      <c r="D196"/>
      <c r="E196"/>
      <c r="F196"/>
      <c r="G196"/>
      <c r="H196"/>
      <c r="I196"/>
      <c r="J196"/>
    </row>
    <row r="197" spans="1:10" x14ac:dyDescent="0.25">
      <c r="A197"/>
      <c r="B197"/>
      <c r="C197"/>
      <c r="D197"/>
      <c r="E197"/>
      <c r="F197"/>
      <c r="G197"/>
      <c r="H197"/>
      <c r="I197"/>
      <c r="J197"/>
    </row>
    <row r="198" spans="1:10" x14ac:dyDescent="0.25">
      <c r="A198"/>
      <c r="B198"/>
      <c r="C198"/>
      <c r="D198"/>
      <c r="E198"/>
      <c r="F198"/>
      <c r="G198"/>
      <c r="H198"/>
      <c r="I198"/>
      <c r="J198"/>
    </row>
    <row r="199" spans="1:10" x14ac:dyDescent="0.25">
      <c r="A199"/>
      <c r="B199"/>
      <c r="C199"/>
      <c r="D199"/>
      <c r="E199"/>
      <c r="F199"/>
      <c r="G199"/>
      <c r="H199"/>
      <c r="I199"/>
      <c r="J199"/>
    </row>
    <row r="200" spans="1:10" x14ac:dyDescent="0.25">
      <c r="A200"/>
      <c r="B200"/>
      <c r="C200"/>
      <c r="D200"/>
      <c r="E200"/>
      <c r="F200"/>
      <c r="G200"/>
      <c r="H200"/>
      <c r="I200"/>
      <c r="J200"/>
    </row>
    <row r="201" spans="1:10" x14ac:dyDescent="0.25">
      <c r="A201"/>
      <c r="B201"/>
      <c r="C201"/>
      <c r="D201"/>
      <c r="E201"/>
      <c r="F201"/>
      <c r="G201"/>
      <c r="H201"/>
      <c r="I201"/>
      <c r="J201"/>
    </row>
    <row r="202" spans="1:10" x14ac:dyDescent="0.25">
      <c r="A202"/>
      <c r="B202"/>
      <c r="C202"/>
      <c r="D202"/>
      <c r="E202"/>
      <c r="F202"/>
      <c r="G202"/>
      <c r="H202"/>
      <c r="I202"/>
      <c r="J202"/>
    </row>
    <row r="203" spans="1:10" x14ac:dyDescent="0.25">
      <c r="A203"/>
      <c r="B203"/>
      <c r="C203"/>
      <c r="D203"/>
      <c r="E203"/>
      <c r="F203"/>
      <c r="G203"/>
      <c r="H203"/>
      <c r="I203"/>
      <c r="J203"/>
    </row>
    <row r="204" spans="1:10" x14ac:dyDescent="0.25">
      <c r="A204"/>
      <c r="B204"/>
      <c r="C204"/>
      <c r="D204"/>
      <c r="E204"/>
      <c r="F204"/>
      <c r="G204"/>
      <c r="H204"/>
      <c r="I204"/>
      <c r="J204"/>
    </row>
    <row r="205" spans="1:10" x14ac:dyDescent="0.25">
      <c r="A205"/>
      <c r="B205"/>
      <c r="C205"/>
      <c r="D205"/>
      <c r="E205"/>
      <c r="F205"/>
      <c r="G205"/>
      <c r="H205"/>
      <c r="I205"/>
      <c r="J205"/>
    </row>
    <row r="206" spans="1:10" x14ac:dyDescent="0.25">
      <c r="A206"/>
      <c r="B206"/>
      <c r="C206"/>
      <c r="D206"/>
      <c r="E206"/>
      <c r="F206"/>
      <c r="G206"/>
      <c r="H206"/>
      <c r="I206"/>
      <c r="J206"/>
    </row>
    <row r="207" spans="1:10" x14ac:dyDescent="0.25">
      <c r="A207"/>
      <c r="B207"/>
      <c r="C207"/>
      <c r="D207"/>
      <c r="E207"/>
      <c r="F207"/>
      <c r="G207"/>
      <c r="H207"/>
      <c r="I207"/>
      <c r="J207"/>
    </row>
    <row r="208" spans="1:10" x14ac:dyDescent="0.25">
      <c r="A208"/>
      <c r="B208"/>
      <c r="C208"/>
      <c r="D208"/>
      <c r="E208"/>
      <c r="F208"/>
      <c r="G208"/>
      <c r="H208"/>
      <c r="I208"/>
      <c r="J208"/>
    </row>
    <row r="209" spans="1:10" x14ac:dyDescent="0.25">
      <c r="A209"/>
      <c r="B209"/>
      <c r="C209"/>
      <c r="D209"/>
      <c r="E209"/>
      <c r="F209"/>
      <c r="G209"/>
      <c r="H209"/>
      <c r="I209"/>
      <c r="J209"/>
    </row>
    <row r="210" spans="1:10" x14ac:dyDescent="0.25">
      <c r="A210"/>
      <c r="B210"/>
      <c r="C210"/>
      <c r="D210"/>
      <c r="E210"/>
      <c r="F210"/>
      <c r="G210"/>
      <c r="H210"/>
      <c r="I210"/>
      <c r="J210"/>
    </row>
    <row r="211" spans="1:10" x14ac:dyDescent="0.25">
      <c r="A211"/>
      <c r="B211"/>
      <c r="C211"/>
      <c r="D211"/>
      <c r="E211"/>
      <c r="F211"/>
      <c r="G211"/>
      <c r="H211"/>
      <c r="I211"/>
      <c r="J211"/>
    </row>
    <row r="212" spans="1:10" x14ac:dyDescent="0.25">
      <c r="A212"/>
      <c r="B212"/>
      <c r="C212"/>
      <c r="D212"/>
      <c r="E212"/>
      <c r="F212"/>
      <c r="G212"/>
      <c r="H212"/>
      <c r="I212"/>
      <c r="J212"/>
    </row>
    <row r="213" spans="1:10" x14ac:dyDescent="0.25">
      <c r="A213"/>
      <c r="B213"/>
      <c r="C213"/>
      <c r="D213"/>
      <c r="E213"/>
      <c r="F213"/>
      <c r="G213"/>
      <c r="H213"/>
      <c r="I213"/>
      <c r="J213"/>
    </row>
    <row r="214" spans="1:10" x14ac:dyDescent="0.25">
      <c r="A214"/>
      <c r="B214"/>
      <c r="C214"/>
      <c r="D214"/>
      <c r="E214"/>
      <c r="F214"/>
      <c r="G214"/>
      <c r="H214"/>
      <c r="I214"/>
      <c r="J214"/>
    </row>
    <row r="215" spans="1:10" x14ac:dyDescent="0.25">
      <c r="A215"/>
      <c r="B215"/>
      <c r="C215"/>
      <c r="D215"/>
      <c r="E215"/>
      <c r="F215"/>
      <c r="G215"/>
      <c r="H215"/>
      <c r="I215"/>
      <c r="J215"/>
    </row>
    <row r="216" spans="1:10" x14ac:dyDescent="0.25">
      <c r="A216"/>
      <c r="B216"/>
      <c r="C216"/>
      <c r="D216"/>
      <c r="E216"/>
      <c r="F216"/>
      <c r="G216"/>
      <c r="H216"/>
      <c r="I216"/>
      <c r="J216"/>
    </row>
    <row r="217" spans="1:10" x14ac:dyDescent="0.25">
      <c r="A217"/>
      <c r="B217"/>
      <c r="C217"/>
      <c r="D217"/>
      <c r="E217"/>
      <c r="F217"/>
      <c r="G217"/>
      <c r="H217"/>
      <c r="I217"/>
      <c r="J217"/>
    </row>
    <row r="218" spans="1:10" x14ac:dyDescent="0.25">
      <c r="A218"/>
      <c r="B218"/>
      <c r="C218"/>
      <c r="D218"/>
      <c r="E218"/>
      <c r="F218"/>
      <c r="G218"/>
      <c r="H218"/>
      <c r="I218"/>
      <c r="J218"/>
    </row>
    <row r="219" spans="1:10" x14ac:dyDescent="0.25">
      <c r="A219"/>
      <c r="B219"/>
      <c r="C219"/>
      <c r="D219"/>
      <c r="E219"/>
      <c r="F219"/>
      <c r="G219"/>
      <c r="H219"/>
      <c r="I219"/>
      <c r="J219"/>
    </row>
    <row r="220" spans="1:10" x14ac:dyDescent="0.25">
      <c r="A220"/>
      <c r="B220"/>
      <c r="C220"/>
      <c r="D220"/>
      <c r="E220"/>
      <c r="F220"/>
      <c r="G220"/>
      <c r="H220"/>
      <c r="I220"/>
      <c r="J220"/>
    </row>
    <row r="221" spans="1:10" x14ac:dyDescent="0.25">
      <c r="A221"/>
      <c r="B221"/>
      <c r="C221"/>
      <c r="D221"/>
      <c r="E221"/>
      <c r="F221"/>
      <c r="G221"/>
      <c r="H221"/>
      <c r="I221"/>
      <c r="J221"/>
    </row>
    <row r="222" spans="1:10" x14ac:dyDescent="0.25">
      <c r="A222"/>
      <c r="B222"/>
      <c r="C222"/>
      <c r="D222"/>
      <c r="E222"/>
      <c r="F222"/>
      <c r="G222"/>
      <c r="H222"/>
      <c r="I222"/>
      <c r="J222"/>
    </row>
    <row r="223" spans="1:10" x14ac:dyDescent="0.25">
      <c r="A223"/>
      <c r="B223"/>
      <c r="C223"/>
      <c r="D223"/>
      <c r="E223"/>
      <c r="F223"/>
      <c r="G223"/>
      <c r="H223"/>
      <c r="I223"/>
      <c r="J223"/>
    </row>
    <row r="224" spans="1:10" x14ac:dyDescent="0.25">
      <c r="A224"/>
      <c r="B224"/>
      <c r="C224"/>
      <c r="D224"/>
      <c r="E224"/>
      <c r="F224"/>
      <c r="G224"/>
      <c r="H224"/>
      <c r="I224"/>
      <c r="J224"/>
    </row>
    <row r="225" spans="1:10" x14ac:dyDescent="0.25">
      <c r="A225"/>
      <c r="B225"/>
      <c r="C225"/>
      <c r="D225"/>
      <c r="E225"/>
      <c r="F225"/>
      <c r="G225"/>
      <c r="H225"/>
      <c r="I225"/>
      <c r="J225"/>
    </row>
    <row r="226" spans="1:10" x14ac:dyDescent="0.25">
      <c r="A226"/>
      <c r="B226"/>
      <c r="C226"/>
      <c r="D226"/>
      <c r="E226"/>
      <c r="F226"/>
      <c r="G226"/>
      <c r="H226"/>
      <c r="I226"/>
      <c r="J226"/>
    </row>
    <row r="227" spans="1:10" x14ac:dyDescent="0.25">
      <c r="A227"/>
      <c r="B227"/>
      <c r="C227"/>
      <c r="D227"/>
      <c r="E227"/>
      <c r="F227"/>
      <c r="G227"/>
      <c r="H227"/>
      <c r="I227"/>
      <c r="J227"/>
    </row>
    <row r="228" spans="1:10" x14ac:dyDescent="0.25">
      <c r="A228"/>
      <c r="B228"/>
      <c r="C228"/>
      <c r="D228"/>
      <c r="E228"/>
      <c r="F228"/>
      <c r="G228"/>
      <c r="H228"/>
      <c r="I228"/>
      <c r="J228"/>
    </row>
    <row r="229" spans="1:10" x14ac:dyDescent="0.25">
      <c r="A229"/>
      <c r="B229"/>
      <c r="C229"/>
      <c r="D229"/>
      <c r="E229"/>
      <c r="F229"/>
      <c r="G229"/>
      <c r="H229"/>
      <c r="I229"/>
      <c r="J229"/>
    </row>
    <row r="230" spans="1:10" x14ac:dyDescent="0.25">
      <c r="A230"/>
      <c r="B230"/>
      <c r="C230"/>
      <c r="D230"/>
      <c r="E230"/>
      <c r="F230"/>
      <c r="G230"/>
      <c r="H230"/>
      <c r="I230"/>
      <c r="J230"/>
    </row>
    <row r="231" spans="1:10" x14ac:dyDescent="0.25">
      <c r="A231"/>
      <c r="B231"/>
      <c r="C231"/>
      <c r="D231"/>
      <c r="E231"/>
      <c r="F231"/>
      <c r="G231"/>
      <c r="H231"/>
      <c r="I231"/>
      <c r="J231"/>
    </row>
    <row r="232" spans="1:10" x14ac:dyDescent="0.25">
      <c r="A232"/>
      <c r="B232"/>
      <c r="C232"/>
      <c r="D232"/>
      <c r="E232"/>
      <c r="F232"/>
      <c r="G232"/>
      <c r="H232"/>
      <c r="I232"/>
      <c r="J232"/>
    </row>
    <row r="233" spans="1:10" x14ac:dyDescent="0.25">
      <c r="A233"/>
      <c r="B233"/>
      <c r="C233"/>
      <c r="D233"/>
      <c r="E233"/>
      <c r="F233"/>
      <c r="G233"/>
      <c r="H233"/>
      <c r="I233"/>
      <c r="J233"/>
    </row>
    <row r="234" spans="1:10" x14ac:dyDescent="0.25">
      <c r="A234"/>
      <c r="B234"/>
      <c r="C234"/>
      <c r="D234"/>
      <c r="E234"/>
      <c r="F234"/>
      <c r="G234"/>
      <c r="H234"/>
      <c r="I234"/>
      <c r="J234"/>
    </row>
    <row r="235" spans="1:10" x14ac:dyDescent="0.25">
      <c r="A235"/>
      <c r="B235"/>
      <c r="C235"/>
      <c r="D235"/>
      <c r="E235"/>
      <c r="F235"/>
      <c r="G235"/>
      <c r="H235"/>
      <c r="I235"/>
      <c r="J235"/>
    </row>
    <row r="236" spans="1:10" x14ac:dyDescent="0.25">
      <c r="A236"/>
      <c r="B236"/>
      <c r="C236"/>
      <c r="D236"/>
      <c r="E236"/>
      <c r="F236"/>
      <c r="G236"/>
      <c r="H236"/>
      <c r="I236"/>
      <c r="J236"/>
    </row>
    <row r="237" spans="1:10" x14ac:dyDescent="0.25">
      <c r="A237"/>
      <c r="B237"/>
      <c r="C237"/>
      <c r="D237"/>
      <c r="E237"/>
      <c r="F237"/>
      <c r="G237"/>
      <c r="H237"/>
      <c r="I237"/>
      <c r="J237"/>
    </row>
    <row r="238" spans="1:10" x14ac:dyDescent="0.25">
      <c r="A238"/>
      <c r="B238"/>
      <c r="C238"/>
      <c r="D238"/>
      <c r="E238"/>
      <c r="F238"/>
      <c r="G238"/>
      <c r="H238"/>
      <c r="I238"/>
      <c r="J238"/>
    </row>
    <row r="239" spans="1:10" x14ac:dyDescent="0.25">
      <c r="A239"/>
      <c r="B239"/>
      <c r="C239"/>
      <c r="D239"/>
      <c r="E239"/>
      <c r="F239"/>
      <c r="G239"/>
      <c r="H239"/>
      <c r="I239"/>
      <c r="J239"/>
    </row>
    <row r="240" spans="1:10" x14ac:dyDescent="0.25">
      <c r="A240"/>
      <c r="B240"/>
      <c r="C240"/>
      <c r="D240"/>
      <c r="E240"/>
      <c r="F240"/>
      <c r="G240"/>
      <c r="H240"/>
      <c r="I240"/>
      <c r="J240"/>
    </row>
    <row r="241" spans="1:10" x14ac:dyDescent="0.25">
      <c r="A241"/>
      <c r="B241"/>
      <c r="C241"/>
      <c r="D241"/>
      <c r="E241"/>
      <c r="F241"/>
      <c r="G241"/>
      <c r="H241"/>
      <c r="I241"/>
      <c r="J241"/>
    </row>
    <row r="242" spans="1:10" x14ac:dyDescent="0.25">
      <c r="A242"/>
      <c r="B242"/>
      <c r="C242"/>
      <c r="D242"/>
      <c r="E242"/>
      <c r="F242"/>
      <c r="G242"/>
      <c r="H242"/>
      <c r="I242"/>
      <c r="J242"/>
    </row>
    <row r="243" spans="1:10" x14ac:dyDescent="0.25">
      <c r="A243"/>
      <c r="B243"/>
      <c r="C243"/>
      <c r="D243"/>
      <c r="E243"/>
      <c r="F243"/>
      <c r="G243"/>
      <c r="H243"/>
      <c r="I243"/>
      <c r="J243"/>
    </row>
    <row r="244" spans="1:10" x14ac:dyDescent="0.25">
      <c r="A244"/>
      <c r="B244"/>
      <c r="C244"/>
      <c r="D244"/>
      <c r="E244"/>
      <c r="F244"/>
      <c r="G244"/>
      <c r="H244"/>
      <c r="I244"/>
      <c r="J244"/>
    </row>
    <row r="245" spans="1:10" x14ac:dyDescent="0.25">
      <c r="A245"/>
      <c r="B245"/>
      <c r="C245"/>
      <c r="D245"/>
      <c r="E245"/>
      <c r="F245"/>
      <c r="G245"/>
      <c r="H245"/>
      <c r="I245"/>
      <c r="J245"/>
    </row>
    <row r="246" spans="1:10" x14ac:dyDescent="0.25">
      <c r="A246"/>
      <c r="B246"/>
      <c r="C246"/>
      <c r="D246"/>
      <c r="E246"/>
      <c r="F246"/>
      <c r="G246"/>
      <c r="H246"/>
      <c r="I246"/>
      <c r="J246"/>
    </row>
    <row r="247" spans="1:10" x14ac:dyDescent="0.25">
      <c r="A247"/>
      <c r="B247"/>
      <c r="C247"/>
      <c r="D247"/>
      <c r="E247"/>
      <c r="F247"/>
      <c r="G247"/>
      <c r="H247"/>
      <c r="I247"/>
      <c r="J247"/>
    </row>
    <row r="248" spans="1:10" x14ac:dyDescent="0.25">
      <c r="A248"/>
      <c r="B248"/>
      <c r="C248"/>
      <c r="D248"/>
      <c r="E248"/>
      <c r="F248"/>
      <c r="G248"/>
      <c r="H248"/>
      <c r="I248"/>
      <c r="J248"/>
    </row>
    <row r="249" spans="1:10" x14ac:dyDescent="0.25">
      <c r="A249"/>
      <c r="B249"/>
      <c r="C249"/>
      <c r="D249"/>
      <c r="E249"/>
      <c r="F249"/>
      <c r="G249"/>
      <c r="H249"/>
      <c r="I249"/>
      <c r="J249"/>
    </row>
    <row r="250" spans="1:10" x14ac:dyDescent="0.25">
      <c r="A250"/>
      <c r="B250"/>
      <c r="C250"/>
      <c r="D250"/>
      <c r="E250"/>
      <c r="F250"/>
      <c r="G250"/>
      <c r="H250"/>
      <c r="I250"/>
      <c r="J250"/>
    </row>
    <row r="251" spans="1:10" x14ac:dyDescent="0.25">
      <c r="A251"/>
      <c r="B251"/>
      <c r="C251"/>
      <c r="D251"/>
      <c r="E251"/>
      <c r="F251"/>
      <c r="G251"/>
      <c r="H251"/>
      <c r="I251"/>
      <c r="J251"/>
    </row>
    <row r="252" spans="1:10" x14ac:dyDescent="0.25">
      <c r="A252"/>
      <c r="B252"/>
      <c r="C252"/>
      <c r="D252"/>
      <c r="E252"/>
      <c r="F252"/>
      <c r="G252"/>
      <c r="H252"/>
      <c r="I252"/>
      <c r="J252"/>
    </row>
    <row r="253" spans="1:10" x14ac:dyDescent="0.25">
      <c r="A253"/>
      <c r="B253"/>
      <c r="C253"/>
      <c r="D253"/>
      <c r="E253"/>
      <c r="F253"/>
      <c r="G253"/>
      <c r="H253"/>
      <c r="I253"/>
      <c r="J253"/>
    </row>
    <row r="254" spans="1:10" x14ac:dyDescent="0.25">
      <c r="A254"/>
      <c r="B254"/>
      <c r="C254"/>
      <c r="D254"/>
      <c r="E254"/>
      <c r="F254"/>
      <c r="G254"/>
      <c r="H254"/>
      <c r="I254"/>
      <c r="J254"/>
    </row>
    <row r="255" spans="1:10" x14ac:dyDescent="0.25">
      <c r="A255"/>
      <c r="B255"/>
      <c r="C255"/>
      <c r="D255"/>
      <c r="E255"/>
      <c r="F255"/>
      <c r="G255"/>
      <c r="H255"/>
      <c r="I255"/>
      <c r="J255"/>
    </row>
    <row r="256" spans="1:10" x14ac:dyDescent="0.25">
      <c r="A256"/>
      <c r="B256"/>
      <c r="C256"/>
      <c r="D256"/>
      <c r="E256"/>
      <c r="F256"/>
      <c r="G256"/>
      <c r="H256"/>
      <c r="I256"/>
      <c r="J256"/>
    </row>
    <row r="257" spans="1:10" x14ac:dyDescent="0.25">
      <c r="A257"/>
      <c r="B257"/>
      <c r="C257"/>
      <c r="D257"/>
      <c r="E257"/>
      <c r="F257"/>
      <c r="G257"/>
      <c r="H257"/>
      <c r="I257"/>
      <c r="J257"/>
    </row>
    <row r="258" spans="1:10" x14ac:dyDescent="0.25">
      <c r="A258"/>
      <c r="B258"/>
      <c r="C258"/>
      <c r="D258"/>
      <c r="E258"/>
      <c r="F258"/>
      <c r="G258"/>
      <c r="H258"/>
      <c r="I258"/>
      <c r="J258"/>
    </row>
    <row r="259" spans="1:10" x14ac:dyDescent="0.25">
      <c r="A259"/>
      <c r="B259"/>
      <c r="C259"/>
      <c r="D259"/>
      <c r="E259"/>
      <c r="F259"/>
      <c r="G259"/>
      <c r="H259"/>
      <c r="I259"/>
      <c r="J259"/>
    </row>
    <row r="260" spans="1:10" x14ac:dyDescent="0.25">
      <c r="A260"/>
      <c r="B260"/>
      <c r="C260"/>
      <c r="D260"/>
      <c r="E260"/>
      <c r="F260"/>
      <c r="G260"/>
      <c r="H260"/>
      <c r="I260"/>
      <c r="J260"/>
    </row>
    <row r="261" spans="1:10" x14ac:dyDescent="0.25">
      <c r="A261"/>
      <c r="B261"/>
      <c r="C261"/>
      <c r="D261"/>
      <c r="E261"/>
      <c r="F261"/>
      <c r="G261"/>
      <c r="H261"/>
      <c r="I261"/>
      <c r="J261"/>
    </row>
    <row r="262" spans="1:10" x14ac:dyDescent="0.25">
      <c r="A262"/>
      <c r="B262"/>
      <c r="C262"/>
      <c r="D262"/>
      <c r="E262"/>
      <c r="F262"/>
      <c r="G262"/>
      <c r="H262"/>
      <c r="I262"/>
      <c r="J262"/>
    </row>
    <row r="263" spans="1:10" x14ac:dyDescent="0.25">
      <c r="A263"/>
      <c r="B263"/>
      <c r="C263"/>
      <c r="D263"/>
      <c r="E263"/>
      <c r="F263"/>
      <c r="G263"/>
      <c r="H263"/>
      <c r="I263"/>
      <c r="J263"/>
    </row>
    <row r="264" spans="1:10" x14ac:dyDescent="0.25">
      <c r="A264"/>
      <c r="B264"/>
      <c r="C264"/>
      <c r="D264"/>
      <c r="E264"/>
      <c r="F264"/>
      <c r="G264"/>
      <c r="H264"/>
      <c r="I264"/>
      <c r="J264"/>
    </row>
    <row r="265" spans="1:10" x14ac:dyDescent="0.25">
      <c r="A265"/>
      <c r="B265"/>
      <c r="C265"/>
      <c r="D265"/>
      <c r="E265"/>
      <c r="F265"/>
      <c r="G265"/>
      <c r="H265"/>
      <c r="I265"/>
      <c r="J265"/>
    </row>
    <row r="266" spans="1:10" x14ac:dyDescent="0.25">
      <c r="A266"/>
      <c r="B266"/>
      <c r="C266"/>
      <c r="D266"/>
      <c r="E266"/>
      <c r="F266"/>
      <c r="G266"/>
      <c r="H266"/>
      <c r="I266"/>
      <c r="J266"/>
    </row>
    <row r="267" spans="1:10" x14ac:dyDescent="0.25">
      <c r="A267"/>
      <c r="B267"/>
      <c r="C267"/>
      <c r="D267"/>
      <c r="E267"/>
      <c r="F267"/>
      <c r="G267"/>
      <c r="H267"/>
      <c r="I267"/>
      <c r="J267"/>
    </row>
    <row r="268" spans="1:10" x14ac:dyDescent="0.25">
      <c r="A268"/>
      <c r="B268"/>
      <c r="C268"/>
      <c r="D268"/>
      <c r="E268"/>
      <c r="F268"/>
      <c r="G268"/>
      <c r="H268"/>
      <c r="I268"/>
      <c r="J268"/>
    </row>
    <row r="269" spans="1:10" x14ac:dyDescent="0.25">
      <c r="A269"/>
      <c r="B269"/>
      <c r="C269"/>
      <c r="D269"/>
      <c r="E269"/>
      <c r="F269"/>
      <c r="G269"/>
      <c r="H269"/>
      <c r="I269"/>
      <c r="J269"/>
    </row>
    <row r="270" spans="1:10" x14ac:dyDescent="0.25">
      <c r="A270"/>
      <c r="B270"/>
      <c r="C270"/>
      <c r="D270"/>
      <c r="E270"/>
      <c r="F270"/>
      <c r="G270"/>
      <c r="H270"/>
      <c r="I270"/>
      <c r="J270"/>
    </row>
    <row r="271" spans="1:10" x14ac:dyDescent="0.25">
      <c r="G271" s="123"/>
      <c r="H271" s="123"/>
    </row>
    <row r="272" spans="1:10" x14ac:dyDescent="0.25">
      <c r="G272" s="123"/>
      <c r="H272" s="123"/>
    </row>
    <row r="273" spans="7:8" x14ac:dyDescent="0.25">
      <c r="G273" s="123"/>
      <c r="H273" s="123"/>
    </row>
    <row r="274" spans="7:8" x14ac:dyDescent="0.25">
      <c r="G274" s="123"/>
      <c r="H274" s="123"/>
    </row>
    <row r="275" spans="7:8" x14ac:dyDescent="0.25">
      <c r="G275" s="123"/>
      <c r="H275" s="123"/>
    </row>
    <row r="276" spans="7:8" x14ac:dyDescent="0.25">
      <c r="G276" s="123"/>
      <c r="H276" s="123"/>
    </row>
    <row r="277" spans="7:8" x14ac:dyDescent="0.25">
      <c r="G277" s="123"/>
      <c r="H277" s="123"/>
    </row>
    <row r="278" spans="7:8" x14ac:dyDescent="0.25">
      <c r="G278" s="123"/>
      <c r="H278" s="123"/>
    </row>
    <row r="279" spans="7:8" x14ac:dyDescent="0.25">
      <c r="G279" s="123"/>
      <c r="H279" s="123"/>
    </row>
    <row r="280" spans="7:8" x14ac:dyDescent="0.25">
      <c r="G280" s="123"/>
      <c r="H280" s="123"/>
    </row>
    <row r="281" spans="7:8" x14ac:dyDescent="0.25">
      <c r="G281" s="123"/>
      <c r="H281" s="123"/>
    </row>
    <row r="282" spans="7:8" x14ac:dyDescent="0.25">
      <c r="G282" s="123"/>
      <c r="H282" s="123"/>
    </row>
    <row r="283" spans="7:8" x14ac:dyDescent="0.25">
      <c r="G283" s="123"/>
      <c r="H283" s="123"/>
    </row>
    <row r="284" spans="7:8" x14ac:dyDescent="0.25">
      <c r="G284" s="123"/>
      <c r="H284" s="123"/>
    </row>
    <row r="285" spans="7:8" x14ac:dyDescent="0.25">
      <c r="G285" s="123"/>
      <c r="H285" s="123"/>
    </row>
    <row r="286" spans="7:8" x14ac:dyDescent="0.25">
      <c r="G286" s="123"/>
      <c r="H286" s="123"/>
    </row>
    <row r="287" spans="7:8" x14ac:dyDescent="0.25">
      <c r="G287" s="123"/>
      <c r="H287" s="123"/>
    </row>
    <row r="288" spans="7:8" x14ac:dyDescent="0.25">
      <c r="G288" s="123"/>
      <c r="H288" s="123"/>
    </row>
    <row r="289" spans="7:8" x14ac:dyDescent="0.25">
      <c r="G289" s="123"/>
      <c r="H289" s="123"/>
    </row>
    <row r="290" spans="7:8" x14ac:dyDescent="0.25">
      <c r="G290" s="123"/>
      <c r="H290" s="123"/>
    </row>
    <row r="291" spans="7:8" x14ac:dyDescent="0.25">
      <c r="G291" s="123"/>
      <c r="H291" s="123"/>
    </row>
    <row r="292" spans="7:8" x14ac:dyDescent="0.25">
      <c r="G292" s="123"/>
      <c r="H292" s="123"/>
    </row>
    <row r="293" spans="7:8" x14ac:dyDescent="0.25">
      <c r="G293" s="123"/>
      <c r="H293" s="123"/>
    </row>
    <row r="294" spans="7:8" x14ac:dyDescent="0.25">
      <c r="G294" s="123"/>
      <c r="H294" s="123"/>
    </row>
    <row r="295" spans="7:8" x14ac:dyDescent="0.25">
      <c r="G295" s="123"/>
      <c r="H295" s="123"/>
    </row>
    <row r="296" spans="7:8" x14ac:dyDescent="0.25">
      <c r="G296" s="123"/>
      <c r="H296" s="123"/>
    </row>
    <row r="297" spans="7:8" x14ac:dyDescent="0.25">
      <c r="G297" s="123"/>
      <c r="H297" s="123"/>
    </row>
    <row r="298" spans="7:8" x14ac:dyDescent="0.25">
      <c r="G298" s="123"/>
      <c r="H298" s="123"/>
    </row>
    <row r="299" spans="7:8" x14ac:dyDescent="0.25">
      <c r="G299" s="123"/>
      <c r="H299" s="123"/>
    </row>
    <row r="300" spans="7:8" x14ac:dyDescent="0.25">
      <c r="G300" s="123"/>
      <c r="H300" s="123"/>
    </row>
    <row r="301" spans="7:8" x14ac:dyDescent="0.25">
      <c r="G301" s="123"/>
      <c r="H301" s="123"/>
    </row>
    <row r="302" spans="7:8" x14ac:dyDescent="0.25">
      <c r="G302" s="123"/>
      <c r="H302" s="123"/>
    </row>
    <row r="303" spans="7:8" x14ac:dyDescent="0.25">
      <c r="G303" s="123"/>
      <c r="H303" s="123"/>
    </row>
    <row r="304" spans="7:8" x14ac:dyDescent="0.25">
      <c r="G304" s="123"/>
      <c r="H304" s="123"/>
    </row>
    <row r="305" spans="7:8" x14ac:dyDescent="0.25">
      <c r="G305" s="123"/>
      <c r="H305" s="123"/>
    </row>
    <row r="306" spans="7:8" x14ac:dyDescent="0.25">
      <c r="G306" s="123"/>
      <c r="H306" s="123"/>
    </row>
    <row r="307" spans="7:8" x14ac:dyDescent="0.25">
      <c r="G307" s="123"/>
      <c r="H307" s="123"/>
    </row>
    <row r="308" spans="7:8" x14ac:dyDescent="0.25">
      <c r="G308" s="123"/>
      <c r="H308" s="123"/>
    </row>
    <row r="309" spans="7:8" x14ac:dyDescent="0.25">
      <c r="G309" s="123"/>
      <c r="H309" s="123"/>
    </row>
    <row r="310" spans="7:8" x14ac:dyDescent="0.25">
      <c r="G310" s="123"/>
      <c r="H310" s="123"/>
    </row>
    <row r="311" spans="7:8" x14ac:dyDescent="0.25">
      <c r="G311" s="123"/>
      <c r="H311" s="123"/>
    </row>
    <row r="312" spans="7:8" x14ac:dyDescent="0.25">
      <c r="G312" s="123"/>
      <c r="H312" s="123"/>
    </row>
    <row r="313" spans="7:8" x14ac:dyDescent="0.25">
      <c r="G313" s="123"/>
      <c r="H313" s="123"/>
    </row>
    <row r="314" spans="7:8" x14ac:dyDescent="0.25">
      <c r="G314" s="123"/>
      <c r="H314" s="123"/>
    </row>
    <row r="315" spans="7:8" x14ac:dyDescent="0.25">
      <c r="G315" s="123"/>
      <c r="H315" s="123"/>
    </row>
    <row r="316" spans="7:8" x14ac:dyDescent="0.25">
      <c r="G316" s="123"/>
      <c r="H316" s="123"/>
    </row>
    <row r="317" spans="7:8" x14ac:dyDescent="0.25">
      <c r="G317" s="123"/>
      <c r="H317" s="123"/>
    </row>
    <row r="318" spans="7:8" x14ac:dyDescent="0.25">
      <c r="G318" s="123"/>
      <c r="H318" s="123"/>
    </row>
    <row r="319" spans="7:8" x14ac:dyDescent="0.25">
      <c r="G319" s="123"/>
      <c r="H319" s="123"/>
    </row>
    <row r="320" spans="7:8" x14ac:dyDescent="0.25">
      <c r="G320" s="123"/>
      <c r="H320" s="123"/>
    </row>
    <row r="321" spans="7:8" x14ac:dyDescent="0.25">
      <c r="G321" s="123"/>
      <c r="H321" s="123"/>
    </row>
    <row r="322" spans="7:8" x14ac:dyDescent="0.25">
      <c r="G322" s="123"/>
      <c r="H322" s="123"/>
    </row>
    <row r="323" spans="7:8" x14ac:dyDescent="0.25">
      <c r="G323" s="123"/>
      <c r="H323" s="123"/>
    </row>
    <row r="324" spans="7:8" x14ac:dyDescent="0.25">
      <c r="G324" s="123"/>
      <c r="H324" s="123"/>
    </row>
    <row r="325" spans="7:8" x14ac:dyDescent="0.25">
      <c r="G325" s="123"/>
      <c r="H325" s="123"/>
    </row>
    <row r="326" spans="7:8" x14ac:dyDescent="0.25">
      <c r="G326" s="123"/>
      <c r="H326" s="123"/>
    </row>
    <row r="327" spans="7:8" x14ac:dyDescent="0.25">
      <c r="G327" s="123"/>
      <c r="H327" s="123"/>
    </row>
    <row r="328" spans="7:8" x14ac:dyDescent="0.25">
      <c r="G328" s="123"/>
      <c r="H328" s="123"/>
    </row>
    <row r="329" spans="7:8" x14ac:dyDescent="0.25">
      <c r="G329" s="123"/>
      <c r="H329" s="123"/>
    </row>
    <row r="330" spans="7:8" x14ac:dyDescent="0.25">
      <c r="G330" s="123"/>
      <c r="H330" s="123"/>
    </row>
    <row r="331" spans="7:8" x14ac:dyDescent="0.25">
      <c r="G331" s="123"/>
      <c r="H331" s="123"/>
    </row>
    <row r="332" spans="7:8" x14ac:dyDescent="0.25">
      <c r="G332" s="123"/>
      <c r="H332" s="123"/>
    </row>
    <row r="333" spans="7:8" x14ac:dyDescent="0.25">
      <c r="G333" s="123"/>
      <c r="H333" s="123"/>
    </row>
    <row r="334" spans="7:8" x14ac:dyDescent="0.25">
      <c r="G334" s="123"/>
      <c r="H334" s="123"/>
    </row>
    <row r="335" spans="7:8" x14ac:dyDescent="0.25">
      <c r="G335" s="123"/>
      <c r="H335" s="123"/>
    </row>
    <row r="336" spans="7:8" x14ac:dyDescent="0.25">
      <c r="G336" s="123"/>
      <c r="H336" s="123"/>
    </row>
    <row r="337" spans="7:8" x14ac:dyDescent="0.25">
      <c r="G337" s="123"/>
      <c r="H337" s="123"/>
    </row>
    <row r="338" spans="7:8" x14ac:dyDescent="0.25">
      <c r="G338" s="123"/>
      <c r="H338" s="123"/>
    </row>
    <row r="339" spans="7:8" x14ac:dyDescent="0.25">
      <c r="G339" s="123"/>
      <c r="H339" s="123"/>
    </row>
    <row r="340" spans="7:8" x14ac:dyDescent="0.25">
      <c r="G340" s="123"/>
      <c r="H340" s="123"/>
    </row>
    <row r="341" spans="7:8" x14ac:dyDescent="0.25">
      <c r="G341" s="123"/>
      <c r="H341" s="123"/>
    </row>
    <row r="342" spans="7:8" x14ac:dyDescent="0.25">
      <c r="G342" s="123"/>
      <c r="H342" s="123"/>
    </row>
    <row r="343" spans="7:8" x14ac:dyDescent="0.25">
      <c r="G343" s="123"/>
      <c r="H343" s="123"/>
    </row>
    <row r="344" spans="7:8" x14ac:dyDescent="0.25">
      <c r="G344" s="123"/>
      <c r="H344" s="123"/>
    </row>
    <row r="345" spans="7:8" x14ac:dyDescent="0.25">
      <c r="G345" s="123"/>
      <c r="H345" s="123"/>
    </row>
    <row r="346" spans="7:8" x14ac:dyDescent="0.25">
      <c r="G346" s="123"/>
      <c r="H346" s="123"/>
    </row>
    <row r="347" spans="7:8" x14ac:dyDescent="0.25">
      <c r="G347" s="123"/>
      <c r="H347" s="123"/>
    </row>
    <row r="348" spans="7:8" x14ac:dyDescent="0.25">
      <c r="G348" s="123"/>
      <c r="H348" s="123"/>
    </row>
    <row r="349" spans="7:8" x14ac:dyDescent="0.25">
      <c r="G349" s="123"/>
      <c r="H349" s="123"/>
    </row>
    <row r="350" spans="7:8" x14ac:dyDescent="0.25">
      <c r="G350" s="123"/>
      <c r="H350" s="123"/>
    </row>
    <row r="351" spans="7:8" x14ac:dyDescent="0.25">
      <c r="G351" s="123"/>
      <c r="H351" s="123"/>
    </row>
    <row r="352" spans="7:8" x14ac:dyDescent="0.25">
      <c r="G352" s="123"/>
      <c r="H352" s="123"/>
    </row>
    <row r="353" spans="7:8" x14ac:dyDescent="0.25">
      <c r="G353" s="123"/>
      <c r="H353" s="123"/>
    </row>
    <row r="354" spans="7:8" x14ac:dyDescent="0.25">
      <c r="G354" s="123"/>
      <c r="H354" s="123"/>
    </row>
    <row r="355" spans="7:8" x14ac:dyDescent="0.25">
      <c r="G355" s="123"/>
      <c r="H355" s="123"/>
    </row>
    <row r="356" spans="7:8" x14ac:dyDescent="0.25">
      <c r="G356" s="123"/>
      <c r="H356" s="123"/>
    </row>
    <row r="357" spans="7:8" x14ac:dyDescent="0.25">
      <c r="G357" s="123"/>
      <c r="H357" s="123"/>
    </row>
    <row r="358" spans="7:8" x14ac:dyDescent="0.25">
      <c r="G358" s="123"/>
      <c r="H358" s="123"/>
    </row>
  </sheetData>
  <mergeCells count="1">
    <mergeCell ref="A3:B3"/>
  </mergeCells>
  <printOptions horizontalCentered="1"/>
  <pageMargins left="0.25" right="0.25" top="0.25" bottom="0.25" header="0.3" footer="0.3"/>
  <pageSetup paperSize="9" scale="90" fitToHeight="0" orientation="landscape" r:id="rId2"/>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3" tint="0.59999389629810485"/>
  </sheetPr>
  <dimension ref="A1:BC331"/>
  <sheetViews>
    <sheetView showZeros="0" tabSelected="1" zoomScale="90" zoomScaleNormal="90" zoomScaleSheetLayoutView="100" workbookViewId="0">
      <selection activeCell="Y11" sqref="Y11"/>
    </sheetView>
  </sheetViews>
  <sheetFormatPr defaultColWidth="9.140625" defaultRowHeight="15" x14ac:dyDescent="0.25"/>
  <cols>
    <col min="1" max="1" width="1.85546875" style="123" customWidth="1"/>
    <col min="2" max="2" width="1.7109375" style="123" customWidth="1"/>
    <col min="3" max="3" width="25.85546875" style="33" customWidth="1"/>
    <col min="4" max="6" width="9.7109375" style="33" customWidth="1"/>
    <col min="7" max="7" width="0.85546875" style="106" customWidth="1"/>
    <col min="8" max="8" width="11.42578125" style="33" customWidth="1"/>
    <col min="9" max="9" width="7.7109375" style="33" customWidth="1"/>
    <col min="10" max="10" width="7.85546875" style="33" customWidth="1"/>
    <col min="11" max="13" width="7.7109375" style="33" customWidth="1"/>
    <col min="14" max="17" width="9.7109375" style="33" customWidth="1"/>
    <col min="18" max="18" width="9" style="33" customWidth="1"/>
    <col min="19" max="19" width="0.7109375" style="33" customWidth="1"/>
    <col min="20" max="21" width="7.140625" style="33" customWidth="1"/>
    <col min="22" max="22" width="2.85546875" style="33" customWidth="1"/>
    <col min="23" max="23" width="7.140625" style="33" customWidth="1"/>
    <col min="24" max="24" width="16.7109375" style="65" customWidth="1"/>
    <col min="25" max="27" width="7.140625" style="65" customWidth="1"/>
    <col min="28" max="28" width="13" style="65" customWidth="1"/>
    <col min="29" max="29" width="12" style="65" customWidth="1"/>
    <col min="30" max="30" width="14.140625" style="65" customWidth="1"/>
    <col min="31" max="35" width="7.140625" style="65" customWidth="1"/>
    <col min="36" max="36" width="0.7109375" style="65" customWidth="1"/>
    <col min="37" max="37" width="21.5703125" style="65" customWidth="1"/>
    <col min="38" max="47" width="9.140625" style="65"/>
    <col min="48" max="16384" width="9.140625" style="33"/>
  </cols>
  <sheetData>
    <row r="1" spans="2:55" s="123" customFormat="1" ht="15.75" thickBot="1" x14ac:dyDescent="0.3"/>
    <row r="2" spans="2:55" s="123" customFormat="1" ht="6" customHeight="1" x14ac:dyDescent="0.25">
      <c r="B2" s="247"/>
      <c r="C2" s="248"/>
      <c r="D2" s="248"/>
      <c r="E2" s="248"/>
      <c r="F2" s="248"/>
      <c r="G2" s="248"/>
      <c r="H2" s="248"/>
      <c r="I2" s="248"/>
      <c r="J2" s="248"/>
      <c r="K2" s="248"/>
      <c r="L2" s="248"/>
      <c r="M2" s="248"/>
      <c r="N2" s="248"/>
      <c r="O2" s="248"/>
      <c r="P2" s="248"/>
      <c r="Q2" s="248"/>
      <c r="R2" s="248"/>
      <c r="S2" s="248"/>
      <c r="T2" s="248"/>
      <c r="U2" s="249"/>
    </row>
    <row r="3" spans="2:55" s="1" customFormat="1" ht="36" x14ac:dyDescent="0.25">
      <c r="B3" s="250"/>
      <c r="C3" s="1012"/>
      <c r="D3" s="1012"/>
      <c r="E3" s="1012"/>
      <c r="F3" s="1012"/>
      <c r="G3" s="1012"/>
      <c r="H3" s="1012"/>
      <c r="I3" s="1012"/>
      <c r="J3" s="1012"/>
      <c r="K3" s="1012"/>
      <c r="L3" s="1012"/>
      <c r="M3" s="1012"/>
      <c r="N3" s="1012"/>
      <c r="O3" s="1012"/>
      <c r="P3" s="1012"/>
      <c r="Q3" s="1012"/>
      <c r="R3" s="1012"/>
      <c r="S3" s="209"/>
      <c r="T3" s="209"/>
      <c r="U3" s="251"/>
      <c r="BB3" s="56"/>
      <c r="BC3" s="56"/>
    </row>
    <row r="4" spans="2:55" s="1" customFormat="1" ht="25.9" customHeight="1" x14ac:dyDescent="0.25">
      <c r="B4" s="250"/>
      <c r="C4" s="1010" t="s">
        <v>588</v>
      </c>
      <c r="D4" s="1010"/>
      <c r="E4" s="1010"/>
      <c r="F4" s="1010"/>
      <c r="G4" s="1010"/>
      <c r="H4" s="1010"/>
      <c r="I4" s="1010"/>
      <c r="J4" s="1010"/>
      <c r="K4" s="1010"/>
      <c r="L4" s="240"/>
      <c r="M4" s="240"/>
      <c r="N4" s="240"/>
      <c r="O4" s="240"/>
      <c r="P4" s="240"/>
      <c r="Q4" s="240"/>
      <c r="R4" s="240"/>
      <c r="S4" s="209"/>
      <c r="T4" s="209"/>
      <c r="U4" s="251"/>
      <c r="X4" s="65"/>
      <c r="Y4" s="65"/>
      <c r="Z4" s="65"/>
      <c r="AA4" s="65"/>
      <c r="AB4" s="65"/>
      <c r="AC4" s="65"/>
      <c r="AD4" s="65"/>
      <c r="AE4" s="65"/>
      <c r="AF4" s="65"/>
      <c r="AG4" s="65"/>
      <c r="AH4" s="65"/>
      <c r="AI4" s="65"/>
      <c r="AJ4" s="65"/>
      <c r="AK4" s="65"/>
      <c r="AL4" s="65"/>
      <c r="AM4" s="65"/>
      <c r="AN4" s="65"/>
      <c r="AO4" s="65"/>
      <c r="AP4" s="65"/>
      <c r="AQ4" s="65"/>
      <c r="AR4" s="65"/>
      <c r="BB4" s="56"/>
      <c r="BC4" s="56"/>
    </row>
    <row r="5" spans="2:55" s="18" customFormat="1" ht="13.9" customHeight="1" x14ac:dyDescent="0.25">
      <c r="B5" s="252"/>
      <c r="C5" s="1011">
        <f>Definition!B23</f>
        <v>42522</v>
      </c>
      <c r="D5" s="1011"/>
      <c r="E5" s="1011"/>
      <c r="F5" s="1011"/>
      <c r="G5" s="1011"/>
      <c r="H5" s="1011"/>
      <c r="I5" s="1011"/>
      <c r="J5" s="1011"/>
      <c r="K5" s="1011"/>
      <c r="L5" s="244"/>
      <c r="M5" s="244"/>
      <c r="N5" s="244"/>
      <c r="O5" s="244"/>
      <c r="P5" s="244"/>
      <c r="Q5" s="244"/>
      <c r="R5" s="244"/>
      <c r="S5" s="245"/>
      <c r="T5" s="245"/>
      <c r="U5" s="253"/>
      <c r="Y5" s="65"/>
      <c r="Z5" s="65"/>
      <c r="AA5" s="65"/>
      <c r="AB5" s="65"/>
      <c r="AC5" s="65"/>
      <c r="AD5" s="65"/>
      <c r="AE5" s="65"/>
      <c r="AF5" s="65"/>
      <c r="AG5" s="65"/>
      <c r="AH5" s="65"/>
      <c r="AI5" s="65"/>
      <c r="AJ5" s="65"/>
      <c r="AK5" s="65"/>
      <c r="AL5" s="65"/>
      <c r="AM5" s="65"/>
      <c r="AN5" s="65"/>
      <c r="AO5" s="65"/>
      <c r="AP5" s="65"/>
      <c r="AQ5" s="65"/>
      <c r="AR5" s="65"/>
      <c r="BB5" s="57"/>
      <c r="BC5" s="57"/>
    </row>
    <row r="6" spans="2:55" ht="36" x14ac:dyDescent="0.25">
      <c r="B6" s="260"/>
      <c r="C6" s="239"/>
      <c r="D6" s="239"/>
      <c r="E6" s="239"/>
      <c r="F6" s="239"/>
      <c r="G6" s="239"/>
      <c r="H6" s="239"/>
      <c r="I6" s="239"/>
      <c r="J6" s="239"/>
      <c r="K6" s="239"/>
      <c r="L6" s="239"/>
      <c r="M6" s="239"/>
      <c r="N6" s="239"/>
      <c r="O6" s="39"/>
      <c r="P6" s="39"/>
      <c r="Q6" s="39"/>
      <c r="R6" s="39"/>
      <c r="S6" s="39"/>
      <c r="T6" s="39"/>
      <c r="U6" s="257"/>
      <c r="V6" s="81"/>
      <c r="W6" s="81"/>
      <c r="X6" s="81"/>
      <c r="Y6" s="81"/>
      <c r="Z6" s="81"/>
      <c r="AA6" s="81"/>
      <c r="AB6" s="81"/>
      <c r="AC6" s="81"/>
      <c r="AD6" s="81"/>
      <c r="AE6" s="81"/>
      <c r="AF6" s="81"/>
      <c r="AG6" s="81"/>
      <c r="AH6" s="81"/>
      <c r="AK6" s="20" t="s">
        <v>0</v>
      </c>
      <c r="AL6" s="26" t="s">
        <v>1011</v>
      </c>
      <c r="AM6" s="26" t="s">
        <v>1012</v>
      </c>
      <c r="AN6" s="26" t="s">
        <v>591</v>
      </c>
      <c r="AO6" s="26" t="s">
        <v>590</v>
      </c>
      <c r="AU6" s="33"/>
    </row>
    <row r="7" spans="2:55" ht="10.9" customHeight="1" x14ac:dyDescent="0.25">
      <c r="B7" s="260"/>
      <c r="C7" s="239"/>
      <c r="D7" s="239"/>
      <c r="E7" s="239"/>
      <c r="F7" s="239"/>
      <c r="G7" s="239"/>
      <c r="H7" s="239"/>
      <c r="I7" s="239"/>
      <c r="J7" s="239"/>
      <c r="K7" s="239"/>
      <c r="L7" s="239"/>
      <c r="M7" s="239"/>
      <c r="N7" s="239"/>
      <c r="O7" s="39"/>
      <c r="P7" s="39"/>
      <c r="Q7" s="39"/>
      <c r="R7" s="39"/>
      <c r="S7" s="39"/>
      <c r="T7" s="39"/>
      <c r="U7" s="258"/>
      <c r="AK7" s="20" t="s">
        <v>5</v>
      </c>
      <c r="AL7" s="34">
        <f>SUMIFS(CampList[Total],CampList[Township],$AK7,CampList[Status],"open",CampList[Total],"&lt;=100",CampList[Affected Population],"IDP")</f>
        <v>289</v>
      </c>
      <c r="AM7" s="34">
        <f>SUMIFS(CampList[Total],CampList[Township],$AK7,CampList[Status],"open",CampList[Total],"&gt;100",CampList[Total],"&lt;=1000",CampList[Affected Population],"IDP")</f>
        <v>2744</v>
      </c>
      <c r="AN7" s="34">
        <f>SUMIFS(CampList[Total],CampList[Township],$AK7,CampList[Status],"open",CampList[Total],"&gt;1000",CampList[Total],"&lt;=5000",CampList[Affected Population],"IDP")</f>
        <v>5147</v>
      </c>
      <c r="AO7" s="34">
        <f>SUMIFS(CampList[Total],CampList[Township],$AK7,CampList[Status],"open",CampList[Total],"&gt;5000",CampList[Total],"&lt;=100000",CampList[Affected Population],"IDP")</f>
        <v>0</v>
      </c>
      <c r="AU7" s="33"/>
    </row>
    <row r="8" spans="2:55" ht="9.75" customHeight="1" x14ac:dyDescent="0.25">
      <c r="B8" s="260"/>
      <c r="C8" s="239"/>
      <c r="D8" s="239"/>
      <c r="E8" s="239"/>
      <c r="F8" s="239"/>
      <c r="G8" s="239"/>
      <c r="H8" s="239"/>
      <c r="I8" s="239"/>
      <c r="J8" s="239"/>
      <c r="K8" s="239"/>
      <c r="L8" s="239"/>
      <c r="M8" s="239"/>
      <c r="N8" s="239"/>
      <c r="O8" s="39"/>
      <c r="P8" s="39"/>
      <c r="Q8" s="39"/>
      <c r="R8" s="39"/>
      <c r="S8" s="39"/>
      <c r="T8" s="39"/>
      <c r="U8" s="258"/>
      <c r="AK8" s="20" t="s">
        <v>27</v>
      </c>
      <c r="AL8" s="34">
        <f>SUMIFS(CampList[Total],CampList[Township],$AK8,CampList[Status],"open",CampList[Total],"&lt;=100",CampList[Affected Population],"IDP")</f>
        <v>0</v>
      </c>
      <c r="AM8" s="34">
        <f>SUMIFS(CampList[Total],CampList[Township],$AK8,CampList[Status],"open",CampList[Total],"&gt;100",CampList[Total],"&lt;=1000",CampList[Affected Population],"IDP")</f>
        <v>2511</v>
      </c>
      <c r="AN8" s="34">
        <f>SUMIFS(CampList[Total],CampList[Township],$AK8,CampList[Status],"open",CampList[Total],"&gt;1000",CampList[Total],"&lt;=5000",CampList[Affected Population],"IDP")</f>
        <v>0</v>
      </c>
      <c r="AO8" s="34">
        <f>SUMIFS(CampList[Total],CampList[Township],$AK8,CampList[Status],"open",CampList[Total],"&gt;5000",CampList[Total],"&lt;=100000",CampList[Affected Population],"IDP")</f>
        <v>0</v>
      </c>
      <c r="AP8" s="18"/>
      <c r="AU8" s="33"/>
    </row>
    <row r="9" spans="2:55" ht="12.75" customHeight="1" x14ac:dyDescent="0.25">
      <c r="B9" s="260"/>
      <c r="C9" s="239"/>
      <c r="D9" s="239"/>
      <c r="E9" s="239"/>
      <c r="F9" s="239"/>
      <c r="G9" s="239"/>
      <c r="H9" s="239"/>
      <c r="I9" s="239"/>
      <c r="J9" s="239"/>
      <c r="K9" s="239"/>
      <c r="L9" s="239"/>
      <c r="M9" s="239"/>
      <c r="N9" s="239"/>
      <c r="O9" s="39"/>
      <c r="P9" s="39"/>
      <c r="Q9" s="39"/>
      <c r="R9" s="39"/>
      <c r="S9" s="39"/>
      <c r="T9" s="39"/>
      <c r="U9" s="258"/>
      <c r="AK9" s="20" t="s">
        <v>529</v>
      </c>
      <c r="AL9" s="34">
        <f>SUMIFS(CampList[Total],CampList[Township],$AK9,CampList[Status],"open",CampList[Total],"&lt;=100",CampList[Affected Population],"IDP")</f>
        <v>521</v>
      </c>
      <c r="AM9" s="34">
        <f>SUMIFS(CampList[Total],CampList[Township],$AK9,CampList[Status],"open",CampList[Total],"&gt;100",CampList[Total],"&lt;=1000",CampList[Affected Population],"IDP")</f>
        <v>3005</v>
      </c>
      <c r="AN9" s="34">
        <f>SUMIFS(CampList[Total],CampList[Township],$AK9,CampList[Status],"open",CampList[Total],"&gt;1000",CampList[Total],"&lt;=5000",CampList[Affected Population],"IDP")</f>
        <v>0</v>
      </c>
      <c r="AO9" s="34">
        <f>SUMIFS(CampList[Total],CampList[Township],$AK9,CampList[Status],"open",CampList[Total],"&gt;5000",CampList[Total],"&lt;=100000",CampList[Affected Population],"IDP")</f>
        <v>0</v>
      </c>
      <c r="AP9" s="18"/>
      <c r="AU9" s="33"/>
    </row>
    <row r="10" spans="2:55" x14ac:dyDescent="0.25">
      <c r="B10" s="260"/>
      <c r="C10" s="239"/>
      <c r="D10" s="239"/>
      <c r="E10" s="239"/>
      <c r="F10" s="239"/>
      <c r="G10" s="239"/>
      <c r="H10" s="239"/>
      <c r="I10" s="239"/>
      <c r="J10" s="239"/>
      <c r="K10" s="239"/>
      <c r="L10" s="239"/>
      <c r="M10" s="239"/>
      <c r="N10" s="239"/>
      <c r="O10" s="39"/>
      <c r="P10" s="39"/>
      <c r="Q10" s="39"/>
      <c r="R10" s="39"/>
      <c r="S10" s="39"/>
      <c r="T10" s="39"/>
      <c r="U10" s="258"/>
      <c r="AK10" s="20" t="s">
        <v>781</v>
      </c>
      <c r="AL10" s="34">
        <f>SUMIFS(CampList[Total],CampList[Township],$AK10,CampList[Status],"open",CampList[Total],"&lt;=100",CampList[Affected Population],"IDP")</f>
        <v>0</v>
      </c>
      <c r="AM10" s="34">
        <f>SUMIFS(CampList[Total],CampList[Township],$AK10,CampList[Status],"open",CampList[Total],"&gt;100",CampList[Total],"&lt;=1000",CampList[Affected Population],"IDP")</f>
        <v>564</v>
      </c>
      <c r="AN10" s="34">
        <f>SUMIFS(CampList[Total],CampList[Township],$AK10,CampList[Status],"open",CampList[Total],"&gt;1000",CampList[Total],"&lt;=5000",CampList[Affected Population],"IDP")</f>
        <v>0</v>
      </c>
      <c r="AO10" s="34">
        <f>SUMIFS(CampList[Total],CampList[Township],$AK10,CampList[Status],"open",CampList[Total],"&gt;5000",CampList[Total],"&lt;=100000",CampList[Affected Population],"IDP")</f>
        <v>0</v>
      </c>
      <c r="AP10" s="18"/>
      <c r="AU10" s="33"/>
    </row>
    <row r="11" spans="2:55" ht="18" customHeight="1" x14ac:dyDescent="0.25">
      <c r="B11" s="260"/>
      <c r="C11" s="115" t="s">
        <v>0</v>
      </c>
      <c r="D11" s="115" t="s">
        <v>573</v>
      </c>
      <c r="E11" s="115" t="s">
        <v>578</v>
      </c>
      <c r="F11" s="116" t="s">
        <v>1245</v>
      </c>
      <c r="G11" s="113"/>
      <c r="H11" s="39"/>
      <c r="I11" s="39"/>
      <c r="J11" s="39"/>
      <c r="K11" s="39"/>
      <c r="L11" s="39"/>
      <c r="M11" s="39"/>
      <c r="N11" s="39"/>
      <c r="O11" s="39"/>
      <c r="P11" s="39"/>
      <c r="Q11" s="39"/>
      <c r="R11" s="39"/>
      <c r="S11" s="236"/>
      <c r="T11" s="39"/>
      <c r="U11" s="258"/>
      <c r="AK11" s="117" t="s">
        <v>363</v>
      </c>
      <c r="AL11" s="34">
        <f>SUMIFS(CampList[Total],CampList[Township],$AK11,CampList[Status],"open",CampList[Total],"&lt;=100",CampList[Affected Population],"IDP")</f>
        <v>0</v>
      </c>
      <c r="AM11" s="34">
        <f>SUMIFS(CampList[Total],CampList[Township],$AK11,CampList[Status],"open",CampList[Total],"&gt;100",CampList[Total],"&lt;=1000",CampList[Affected Population],"IDP")</f>
        <v>0</v>
      </c>
      <c r="AN11" s="34">
        <f>SUMIFS(CampList[Total],CampList[Township],$AK11,CampList[Status],"open",CampList[Total],"&gt;1000",CampList[Total],"&lt;=5000",CampList[Affected Population],"IDP")</f>
        <v>0</v>
      </c>
      <c r="AO11" s="34">
        <f>SUMIFS(CampList[Total],CampList[Township],$AK11,CampList[Status],"open",CampList[Total],"&gt;5000",CampList[Total],"&lt;=100000",CampList[Affected Population],"IDP")</f>
        <v>0</v>
      </c>
      <c r="AP11" s="18"/>
      <c r="AU11" s="33"/>
    </row>
    <row r="12" spans="2:55" ht="18" customHeight="1" x14ac:dyDescent="0.25">
      <c r="B12" s="260"/>
      <c r="C12" s="117" t="s">
        <v>5</v>
      </c>
      <c r="D12" s="118">
        <f>SUMIFS(CampList[HH],CampList[Township],$C12,CampList[Status],"open",CampList[Affected Population],"IDP")</f>
        <v>1501</v>
      </c>
      <c r="E12" s="118">
        <f>SUMIFS(CampList[Total],CampList[Township],$C12,CampList[Status],"open",CampList[Affected Population],"IDP")</f>
        <v>8180</v>
      </c>
      <c r="F12" s="114">
        <f>COUNTIFS(CampList[Township],$C12,CampList[Status],"open",CampList[Affected Population],"IDP")</f>
        <v>11</v>
      </c>
      <c r="G12" s="108"/>
      <c r="H12" s="39"/>
      <c r="I12" s="237"/>
      <c r="J12" s="39"/>
      <c r="K12" s="39"/>
      <c r="L12" s="39"/>
      <c r="M12" s="39"/>
      <c r="N12" s="39"/>
      <c r="O12" s="39"/>
      <c r="P12" s="39"/>
      <c r="Q12" s="39"/>
      <c r="R12" s="39"/>
      <c r="S12" s="236"/>
      <c r="T12" s="39"/>
      <c r="U12" s="258"/>
      <c r="X12" s="77"/>
      <c r="AK12" s="20" t="s">
        <v>144</v>
      </c>
      <c r="AL12" s="34">
        <f>SUMIFS(CampList[Total],CampList[Township],$AK12,CampList[Status],"open",CampList[Total],"&lt;=100",CampList[Affected Population],"IDP")</f>
        <v>17</v>
      </c>
      <c r="AM12" s="34">
        <f>SUMIFS(CampList[Total],CampList[Township],$AK12,CampList[Status],"open",CampList[Total],"&gt;100",CampList[Total],"&lt;=1000",CampList[Affected Population],"IDP")</f>
        <v>0</v>
      </c>
      <c r="AN12" s="34">
        <f>SUMIFS(CampList[Total],CampList[Township],$AK12,CampList[Status],"open",CampList[Total],"&gt;1000",CampList[Total],"&lt;=5000",CampList[Affected Population],"IDP")</f>
        <v>0</v>
      </c>
      <c r="AO12" s="34">
        <f>SUMIFS(CampList[Total],CampList[Township],$AK12,CampList[Status],"open",CampList[Total],"&gt;5000",CampList[Total],"&lt;=100000",CampList[Affected Population],"IDP")</f>
        <v>0</v>
      </c>
      <c r="AP12" s="18"/>
      <c r="AU12" s="33"/>
    </row>
    <row r="13" spans="2:55" ht="18" customHeight="1" x14ac:dyDescent="0.25">
      <c r="B13" s="260"/>
      <c r="C13" s="117" t="s">
        <v>27</v>
      </c>
      <c r="D13" s="118">
        <f>SUMIFS(CampList[HH],CampList[Township],$C13,CampList[Status],"open",CampList[Affected Population],"IDP")</f>
        <v>496</v>
      </c>
      <c r="E13" s="118">
        <f>SUMIFS(CampList[Total],CampList[Township],$C13,CampList[Status],"open",CampList[Affected Population],"IDP")</f>
        <v>2511</v>
      </c>
      <c r="F13" s="114">
        <f>COUNTIFS(CampList[Township],$C13,CampList[Status],"open",CampList[Affected Population],"IDP")</f>
        <v>6</v>
      </c>
      <c r="G13" s="108"/>
      <c r="H13" s="238"/>
      <c r="I13" s="237"/>
      <c r="J13" s="39"/>
      <c r="K13" s="39"/>
      <c r="L13" s="39"/>
      <c r="M13" s="39"/>
      <c r="N13" s="39"/>
      <c r="O13" s="39"/>
      <c r="P13" s="39"/>
      <c r="Q13" s="39"/>
      <c r="R13" s="39"/>
      <c r="S13" s="39"/>
      <c r="T13" s="39"/>
      <c r="U13" s="258"/>
      <c r="X13" s="77"/>
      <c r="AK13" s="20" t="s">
        <v>146</v>
      </c>
      <c r="AL13" s="34">
        <f>SUMIFS(CampList[Total],CampList[Township],$AK13,CampList[Status],"open",CampList[Total],"&lt;=100",CampList[Affected Population],"IDP")</f>
        <v>0</v>
      </c>
      <c r="AM13" s="34">
        <f>SUMIFS(CampList[Total],CampList[Township],$AK13,CampList[Status],"open",CampList[Total],"&gt;100",CampList[Total],"&lt;=1000",CampList[Affected Population],"IDP")</f>
        <v>3377</v>
      </c>
      <c r="AN13" s="34">
        <f>SUMIFS(CampList[Total],CampList[Township],$AK13,CampList[Status],"open",CampList[Total],"&gt;1000",CampList[Total],"&lt;=5000",CampList[Affected Population],"IDP")</f>
        <v>0</v>
      </c>
      <c r="AO13" s="34">
        <f>SUMIFS(CampList[Total],CampList[Township],$AK13,CampList[Status],"open",CampList[Total],"&gt;5000",CampList[Total],"&lt;=100000",CampList[Affected Population],"IDP")</f>
        <v>0</v>
      </c>
      <c r="AP13" s="18"/>
      <c r="AU13" s="33"/>
    </row>
    <row r="14" spans="2:55" ht="18" customHeight="1" x14ac:dyDescent="0.25">
      <c r="B14" s="260"/>
      <c r="C14" s="117" t="s">
        <v>529</v>
      </c>
      <c r="D14" s="118">
        <f>SUMIFS(CampList[HH],CampList[Township],$C14,CampList[Status],"open",CampList[Affected Population],"IDP")</f>
        <v>707</v>
      </c>
      <c r="E14" s="118">
        <f>SUMIFS(CampList[Total],CampList[Township],$C14,CampList[Status],"open",CampList[Affected Population],"IDP")</f>
        <v>3526</v>
      </c>
      <c r="F14" s="114">
        <f>COUNTIFS(CampList[Township],$C14,CampList[Status],"open",CampList[Affected Population],"IDP")</f>
        <v>20</v>
      </c>
      <c r="G14" s="108"/>
      <c r="H14" s="238"/>
      <c r="I14" s="237"/>
      <c r="J14" s="39"/>
      <c r="K14" s="39"/>
      <c r="L14" s="39"/>
      <c r="M14" s="39"/>
      <c r="N14" s="39"/>
      <c r="O14" s="39"/>
      <c r="P14" s="39"/>
      <c r="Q14" s="39"/>
      <c r="R14" s="39"/>
      <c r="S14" s="39"/>
      <c r="T14" s="39"/>
      <c r="U14" s="258"/>
      <c r="X14" s="77"/>
      <c r="AK14" s="20" t="s">
        <v>895</v>
      </c>
      <c r="AL14" s="34">
        <f>SUMIFS(CampList[Total],CampList[Township],$AK14,CampList[Status],"open",CampList[Total],"&lt;=100",CampList[Affected Population],"IDP")</f>
        <v>0</v>
      </c>
      <c r="AM14" s="34">
        <f>SUMIFS(CampList[Total],CampList[Township],$AK14,CampList[Status],"open",CampList[Total],"&gt;100",CampList[Total],"&lt;=1000",CampList[Affected Population],"IDP")</f>
        <v>0</v>
      </c>
      <c r="AN14" s="34">
        <f>SUMIFS(CampList[Total],CampList[Township],$AK14,CampList[Status],"open",CampList[Total],"&gt;1000",CampList[Total],"&lt;=5000",CampList[Affected Population],"IDP")</f>
        <v>0</v>
      </c>
      <c r="AO14" s="34">
        <f>SUMIFS(CampList[Total],CampList[Township],$AK14,CampList[Status],"open",CampList[Total],"&gt;5000",CampList[Total],"&lt;=100000",CampList[Affected Population],"IDP")</f>
        <v>0</v>
      </c>
      <c r="AP14" s="18"/>
      <c r="AU14" s="33"/>
    </row>
    <row r="15" spans="2:55" ht="18" customHeight="1" x14ac:dyDescent="0.25">
      <c r="B15" s="260"/>
      <c r="C15" s="117" t="s">
        <v>781</v>
      </c>
      <c r="D15" s="118">
        <f>SUMIFS(CampList[HH],CampList[Township],$C15,CampList[Status],"open",CampList[Affected Population],"IDP")</f>
        <v>105</v>
      </c>
      <c r="E15" s="118">
        <f>SUMIFS(CampList[Total],CampList[Township],$C15,CampList[Status],"open",CampList[Affected Population],"IDP")</f>
        <v>564</v>
      </c>
      <c r="F15" s="114">
        <f>COUNTIFS(CampList[Township],$C15,CampList[Status],"open",CampList[Affected Population],"IDP")</f>
        <v>2</v>
      </c>
      <c r="G15" s="108"/>
      <c r="H15" s="238"/>
      <c r="I15" s="39"/>
      <c r="J15" s="39"/>
      <c r="K15" s="39"/>
      <c r="L15" s="39"/>
      <c r="M15" s="39"/>
      <c r="N15" s="39"/>
      <c r="O15" s="39"/>
      <c r="P15" s="39"/>
      <c r="Q15" s="39"/>
      <c r="R15" s="39"/>
      <c r="S15" s="39"/>
      <c r="T15" s="39"/>
      <c r="U15" s="258"/>
      <c r="X15" s="77"/>
      <c r="AK15" s="20" t="s">
        <v>151</v>
      </c>
      <c r="AL15" s="34">
        <f>SUMIFS(CampList[Total],CampList[Township],$AK15,CampList[Status],"open",CampList[Total],"&lt;=100",CampList[Affected Population],"IDP")</f>
        <v>0</v>
      </c>
      <c r="AM15" s="34">
        <f>SUMIFS(CampList[Total],CampList[Township],$AK15,CampList[Status],"open",CampList[Total],"&gt;100",CampList[Total],"&lt;=1000",CampList[Affected Population],"IDP")</f>
        <v>4121</v>
      </c>
      <c r="AN15" s="34">
        <f>SUMIFS(CampList[Total],CampList[Township],$AK15,CampList[Status],"open",CampList[Total],"&gt;1000",CampList[Total],"&lt;=5000",CampList[Affected Population],"IDP")</f>
        <v>8606</v>
      </c>
      <c r="AO15" s="34">
        <f>SUMIFS(CampList[Total],CampList[Township],$AK15,CampList[Status],"open",CampList[Total],"&gt;5000",CampList[Total],"&lt;=100000",CampList[Affected Population],"IDP")</f>
        <v>0</v>
      </c>
      <c r="AP15" s="18"/>
      <c r="AU15" s="33"/>
    </row>
    <row r="16" spans="2:55" ht="18" customHeight="1" x14ac:dyDescent="0.25">
      <c r="B16" s="260"/>
      <c r="C16" s="117" t="s">
        <v>363</v>
      </c>
      <c r="D16" s="118">
        <f>SUMIFS(CampList[HH],CampList[Township],$C16,CampList[Status],"open",CampList[Affected Population],"IDP")</f>
        <v>0</v>
      </c>
      <c r="E16" s="118">
        <f>SUMIFS(CampList[Total],CampList[Township],$C16,CampList[Status],"open",CampList[Affected Population],"IDP")</f>
        <v>0</v>
      </c>
      <c r="F16" s="114">
        <f>COUNTIFS(CampList[Township],$C16,CampList[Status],"open",CampList[Affected Population],"IDP")</f>
        <v>0</v>
      </c>
      <c r="G16" s="108"/>
      <c r="H16" s="238"/>
      <c r="I16" s="39"/>
      <c r="J16" s="39"/>
      <c r="K16" s="39"/>
      <c r="L16" s="39"/>
      <c r="M16" s="39"/>
      <c r="N16" s="39"/>
      <c r="O16" s="39"/>
      <c r="P16" s="39"/>
      <c r="Q16" s="39"/>
      <c r="R16" s="39"/>
      <c r="S16" s="39"/>
      <c r="T16" s="39"/>
      <c r="U16" s="258"/>
      <c r="V16" s="33">
        <f>X22</f>
        <v>0</v>
      </c>
      <c r="AK16" s="20" t="s">
        <v>166</v>
      </c>
      <c r="AL16" s="34">
        <f>SUMIFS(CampList[Total],CampList[Township],$AK16,CampList[Status],"open",CampList[Total],"&lt;=100",CampList[Affected Population],"IDP")</f>
        <v>0</v>
      </c>
      <c r="AM16" s="34">
        <f>SUMIFS(CampList[Total],CampList[Township],$AK16,CampList[Status],"open",CampList[Total],"&gt;100",CampList[Total],"&lt;=1000",CampList[Affected Population],"IDP")</f>
        <v>342</v>
      </c>
      <c r="AN16" s="34">
        <f>SUMIFS(CampList[Total],CampList[Township],$AK16,CampList[Status],"open",CampList[Total],"&gt;1000",CampList[Total],"&lt;=5000",CampList[Affected Population],"IDP")</f>
        <v>0</v>
      </c>
      <c r="AO16" s="34">
        <f>SUMIFS(CampList[Total],CampList[Township],$AK16,CampList[Status],"open",CampList[Total],"&gt;5000",CampList[Total],"&lt;=100000",CampList[Affected Population],"IDP")</f>
        <v>0</v>
      </c>
      <c r="AP16" s="18"/>
      <c r="AU16" s="33"/>
    </row>
    <row r="17" spans="1:47" ht="18" customHeight="1" x14ac:dyDescent="0.25">
      <c r="B17" s="260"/>
      <c r="C17" s="117" t="s">
        <v>144</v>
      </c>
      <c r="D17" s="118">
        <f>SUMIFS(CampList[HH],CampList[Township],$C17,CampList[Status],"open",CampList[Affected Population],"IDP")</f>
        <v>11</v>
      </c>
      <c r="E17" s="118">
        <f>SUMIFS(CampList[Total],CampList[Township],$C17,CampList[Status],"open",CampList[Affected Population],"IDP")</f>
        <v>17</v>
      </c>
      <c r="F17" s="114">
        <f>COUNTIFS(CampList[Township],$C17,CampList[Status],"open",CampList[Affected Population],"IDP")</f>
        <v>1</v>
      </c>
      <c r="G17" s="108"/>
      <c r="H17" s="238"/>
      <c r="I17" s="39"/>
      <c r="J17" s="39"/>
      <c r="K17" s="39"/>
      <c r="L17" s="39"/>
      <c r="M17" s="39"/>
      <c r="N17" s="39"/>
      <c r="O17" s="39"/>
      <c r="P17" s="39"/>
      <c r="Q17" s="39"/>
      <c r="R17" s="39"/>
      <c r="S17" s="39"/>
      <c r="T17" s="39"/>
      <c r="U17" s="258"/>
      <c r="W17" s="206"/>
      <c r="AB17"/>
      <c r="AK17" s="20" t="s">
        <v>173</v>
      </c>
      <c r="AL17" s="34">
        <f>SUMIFS(CampList[Total],CampList[Township],$AK17,CampList[Status],"open",CampList[Total],"&lt;=100",CampList[Affected Population],"IDP")</f>
        <v>305</v>
      </c>
      <c r="AM17" s="34">
        <f>SUMIFS(CampList[Total],CampList[Township],$AK17,CampList[Status],"open",CampList[Total],"&gt;100",CampList[Total],"&lt;=1000",CampList[Affected Population],"IDP")</f>
        <v>137</v>
      </c>
      <c r="AN17" s="34">
        <f>SUMIFS(CampList[Total],CampList[Township],$AK17,CampList[Status],"open",CampList[Total],"&gt;1000",CampList[Total],"&lt;=5000",CampList[Affected Population],"IDP")</f>
        <v>0</v>
      </c>
      <c r="AO17" s="34">
        <f>SUMIFS(CampList[Total],CampList[Township],$AK17,CampList[Status],"open",CampList[Total],"&gt;5000",CampList[Total],"&lt;=100000",CampList[Affected Population],"IDP")</f>
        <v>0</v>
      </c>
      <c r="AP17" s="18"/>
      <c r="AU17" s="33"/>
    </row>
    <row r="18" spans="1:47" ht="18" customHeight="1" x14ac:dyDescent="0.25">
      <c r="B18" s="260"/>
      <c r="C18" s="117" t="s">
        <v>146</v>
      </c>
      <c r="D18" s="118">
        <f>SUMIFS(CampList[HH],CampList[Township],$C18,CampList[Status],"open",CampList[Affected Population],"IDP")</f>
        <v>686</v>
      </c>
      <c r="E18" s="118">
        <f>SUMIFS(CampList[Total],CampList[Township],$C18,CampList[Status],"open",CampList[Affected Population],"IDP")</f>
        <v>3377</v>
      </c>
      <c r="F18" s="114">
        <f>COUNTIFS(CampList[Township],$C18,CampList[Status],"open",CampList[Affected Population],"IDP")</f>
        <v>9</v>
      </c>
      <c r="G18" s="108"/>
      <c r="H18" s="238"/>
      <c r="I18" s="39"/>
      <c r="J18" s="39"/>
      <c r="K18" s="39"/>
      <c r="L18" s="39"/>
      <c r="M18" s="39"/>
      <c r="N18" s="39"/>
      <c r="O18" s="39"/>
      <c r="P18" s="39"/>
      <c r="Q18" s="39"/>
      <c r="R18" s="39"/>
      <c r="S18" s="39"/>
      <c r="T18" s="39"/>
      <c r="U18" s="258"/>
      <c r="AB18"/>
      <c r="AK18" s="20" t="s">
        <v>180</v>
      </c>
      <c r="AL18" s="34">
        <f>SUMIFS(CampList[Total],CampList[Township],$AK18,CampList[Status],"open",CampList[Total],"&lt;=100",CampList[Affected Population],"IDP")</f>
        <v>219</v>
      </c>
      <c r="AM18" s="34">
        <f>SUMIFS(CampList[Total],CampList[Township],$AK18,CampList[Status],"open",CampList[Total],"&gt;100",CampList[Total],"&lt;=1000",CampList[Affected Population],"IDP")</f>
        <v>153</v>
      </c>
      <c r="AN18" s="34">
        <f>SUMIFS(CampList[Total],CampList[Township],$AK18,CampList[Status],"open",CampList[Total],"&gt;1000",CampList[Total],"&lt;=5000",CampList[Affected Population],"IDP")</f>
        <v>0</v>
      </c>
      <c r="AO18" s="34">
        <f>SUMIFS(CampList[Total],CampList[Township],$AK18,CampList[Status],"open",CampList[Total],"&gt;5000",CampList[Total],"&lt;=100000",CampList[Affected Population],"IDP")</f>
        <v>0</v>
      </c>
      <c r="AP18" s="18"/>
      <c r="AU18" s="33"/>
    </row>
    <row r="19" spans="1:47" ht="18" customHeight="1" x14ac:dyDescent="0.25">
      <c r="B19" s="260"/>
      <c r="C19" s="117" t="s">
        <v>895</v>
      </c>
      <c r="D19" s="118">
        <f>SUMIFS(CampList[HH],CampList[Township],$C19,CampList[Status],"open",CampList[Affected Population],"IDP")</f>
        <v>0</v>
      </c>
      <c r="E19" s="118">
        <f>SUMIFS(CampList[Total],CampList[Township],$C19,CampList[Status],"open",CampList[Affected Population],"IDP")</f>
        <v>0</v>
      </c>
      <c r="F19" s="114">
        <f>COUNTIFS(CampList[Township],$C19,CampList[Status],"open",CampList[Affected Population],"IDP")</f>
        <v>0</v>
      </c>
      <c r="G19" s="108"/>
      <c r="H19" s="238"/>
      <c r="I19" s="39"/>
      <c r="J19" s="39"/>
      <c r="K19" s="39"/>
      <c r="L19" s="39"/>
      <c r="M19" s="39"/>
      <c r="N19" s="39"/>
      <c r="O19" s="39"/>
      <c r="P19" s="39"/>
      <c r="Q19" s="39"/>
      <c r="R19" s="39"/>
      <c r="S19" s="39"/>
      <c r="T19" s="39"/>
      <c r="U19" s="258"/>
      <c r="AB19"/>
      <c r="AK19" s="20" t="s">
        <v>185</v>
      </c>
      <c r="AL19" s="34">
        <f>SUMIFS(CampList[Total],CampList[Township],$AK19,CampList[Status],"open",CampList[Total],"&lt;=100",CampList[Affected Population],"IDP")</f>
        <v>175</v>
      </c>
      <c r="AM19" s="34">
        <f>SUMIFS(CampList[Total],CampList[Township],$AK19,CampList[Status],"open",CampList[Total],"&gt;100",CampList[Total],"&lt;=1000",CampList[Affected Population],"IDP")</f>
        <v>2143</v>
      </c>
      <c r="AN19" s="34">
        <f>SUMIFS(CampList[Total],CampList[Township],$AK19,CampList[Status],"open",CampList[Total],"&gt;1000",CampList[Total],"&lt;=5000",CampList[Affected Population],"IDP")</f>
        <v>13174</v>
      </c>
      <c r="AO19" s="34">
        <f>SUMIFS(CampList[Total],CampList[Township],$AK19,CampList[Status],"open",CampList[Total],"&gt;5000",CampList[Total],"&lt;=100000",CampList[Affected Population],"IDP")</f>
        <v>0</v>
      </c>
      <c r="AP19" s="18"/>
      <c r="AU19" s="33"/>
    </row>
    <row r="20" spans="1:47" ht="18" customHeight="1" x14ac:dyDescent="0.25">
      <c r="B20" s="260"/>
      <c r="C20" s="117" t="s">
        <v>151</v>
      </c>
      <c r="D20" s="118">
        <f>SUMIFS(CampList[HH],CampList[Township],$C20,CampList[Status],"open",CampList[Affected Population],"IDP")</f>
        <v>2770</v>
      </c>
      <c r="E20" s="118">
        <f>SUMIFS(CampList[Total],CampList[Township],$C20,CampList[Status],"open",CampList[Affected Population],"IDP")</f>
        <v>12727</v>
      </c>
      <c r="F20" s="114">
        <f>COUNTIFS(CampList[Township],$C20,CampList[Status],"open",CampList[Affected Population],"IDP")</f>
        <v>12</v>
      </c>
      <c r="G20" s="108"/>
      <c r="H20" s="238"/>
      <c r="I20" s="39"/>
      <c r="J20" s="39"/>
      <c r="K20" s="39"/>
      <c r="L20" s="39"/>
      <c r="M20" s="39"/>
      <c r="N20" s="39"/>
      <c r="O20" s="39"/>
      <c r="P20" s="39"/>
      <c r="Q20" s="39"/>
      <c r="R20" s="39"/>
      <c r="S20" s="39"/>
      <c r="T20" s="39"/>
      <c r="U20" s="258"/>
      <c r="AB20"/>
      <c r="AK20" s="20" t="s">
        <v>230</v>
      </c>
      <c r="AL20" s="34">
        <f>SUMIFS(CampList[Total],CampList[Township],$AK20,CampList[Status],"open",CampList[Total],"&lt;=100",CampList[Affected Population],"IDP")</f>
        <v>0</v>
      </c>
      <c r="AM20" s="34">
        <f>SUMIFS(CampList[Total],CampList[Township],$AK20,CampList[Status],"open",CampList[Total],"&gt;100",CampList[Total],"&lt;=1000",CampList[Affected Population],"IDP")</f>
        <v>1013</v>
      </c>
      <c r="AN20" s="34">
        <f>SUMIFS(CampList[Total],CampList[Township],$AK20,CampList[Status],"open",CampList[Total],"&gt;1000",CampList[Total],"&lt;=5000",CampList[Affected Population],"IDP")</f>
        <v>0</v>
      </c>
      <c r="AO20" s="34">
        <f>SUMIFS(CampList[Total],CampList[Township],$AK20,CampList[Status],"open",CampList[Total],"&gt;5000",CampList[Total],"&lt;=100000",CampList[Affected Population],"IDP")</f>
        <v>0</v>
      </c>
      <c r="AP20" s="18"/>
      <c r="AU20" s="33"/>
    </row>
    <row r="21" spans="1:47" ht="18" customHeight="1" x14ac:dyDescent="0.25">
      <c r="B21" s="260"/>
      <c r="C21" s="117" t="s">
        <v>166</v>
      </c>
      <c r="D21" s="118">
        <f>SUMIFS(CampList[HH],CampList[Township],$C21,CampList[Status],"open",CampList[Affected Population],"IDP")</f>
        <v>68</v>
      </c>
      <c r="E21" s="118">
        <f>SUMIFS(CampList[Total],CampList[Township],$C21,CampList[Status],"open",CampList[Affected Population],"IDP")</f>
        <v>342</v>
      </c>
      <c r="F21" s="114">
        <f>COUNTIFS(CampList[Township],$C21,CampList[Status],"open",CampList[Affected Population],"IDP")</f>
        <v>2</v>
      </c>
      <c r="G21" s="108"/>
      <c r="H21" s="39"/>
      <c r="I21" s="39"/>
      <c r="J21" s="39"/>
      <c r="K21" s="39"/>
      <c r="L21" s="39"/>
      <c r="M21" s="39"/>
      <c r="N21" s="39"/>
      <c r="O21" s="39"/>
      <c r="P21" s="39"/>
      <c r="Q21" s="39"/>
      <c r="R21" s="39"/>
      <c r="S21" s="39"/>
      <c r="T21" s="39"/>
      <c r="U21" s="258"/>
      <c r="AB21"/>
      <c r="AK21" s="20" t="s">
        <v>237</v>
      </c>
      <c r="AL21" s="34">
        <f>SUMIFS(CampList[Total],CampList[Township],$AK21,CampList[Status],"open",CampList[Total],"&lt;=100",CampList[Affected Population],"IDP")</f>
        <v>301</v>
      </c>
      <c r="AM21" s="34">
        <f>SUMIFS(CampList[Total],CampList[Township],$AK21,CampList[Status],"open",CampList[Total],"&gt;100",CampList[Total],"&lt;=1000",CampList[Affected Population],"IDP")</f>
        <v>5774</v>
      </c>
      <c r="AN21" s="34">
        <f>SUMIFS(CampList[Total],CampList[Township],$AK21,CampList[Status],"open",CampList[Total],"&gt;1000",CampList[Total],"&lt;=5000",CampList[Affected Population],"IDP")</f>
        <v>1104</v>
      </c>
      <c r="AO21" s="34">
        <f>SUMIFS(CampList[Total],CampList[Township],$AK21,CampList[Status],"open",CampList[Total],"&gt;5000",CampList[Total],"&lt;=100000",CampList[Affected Population],"IDP")</f>
        <v>0</v>
      </c>
      <c r="AP21" s="18"/>
      <c r="AU21" s="33"/>
    </row>
    <row r="22" spans="1:47" ht="18" customHeight="1" x14ac:dyDescent="0.25">
      <c r="B22" s="260"/>
      <c r="C22" s="117" t="s">
        <v>173</v>
      </c>
      <c r="D22" s="118">
        <f>SUMIFS(CampList[HH],CampList[Township],$C22,CampList[Status],"open",CampList[Affected Population],"IDP")</f>
        <v>105</v>
      </c>
      <c r="E22" s="118">
        <f>SUMIFS(CampList[Total],CampList[Township],$C22,CampList[Status],"open",CampList[Affected Population],"IDP")</f>
        <v>442</v>
      </c>
      <c r="F22" s="114">
        <f>COUNTIFS(CampList[Township],$C22,CampList[Status],"open",CampList[Affected Population],"IDP")</f>
        <v>6</v>
      </c>
      <c r="G22" s="108"/>
      <c r="H22" s="39"/>
      <c r="I22" s="39"/>
      <c r="J22" s="39"/>
      <c r="K22" s="39"/>
      <c r="L22" s="39"/>
      <c r="M22" s="39"/>
      <c r="N22" s="39"/>
      <c r="O22" s="39"/>
      <c r="P22" s="39"/>
      <c r="Q22" s="39"/>
      <c r="R22" s="39"/>
      <c r="S22" s="39"/>
      <c r="T22" s="39"/>
      <c r="U22" s="258"/>
      <c r="AB22"/>
      <c r="AK22" s="20" t="s">
        <v>289</v>
      </c>
      <c r="AL22" s="34">
        <f>SUMIFS(CampList[Total],CampList[Township],$AK22,CampList[Status],"open",CampList[Total],"&lt;=100",CampList[Affected Population],"IDP")</f>
        <v>0</v>
      </c>
      <c r="AM22" s="34">
        <f>SUMIFS(CampList[Total],CampList[Township],$AK22,CampList[Status],"open",CampList[Total],"&gt;100",CampList[Total],"&lt;=1000",CampList[Affected Population],"IDP")</f>
        <v>1739</v>
      </c>
      <c r="AN22" s="34">
        <f>SUMIFS(CampList[Total],CampList[Township],$AK22,CampList[Status],"open",CampList[Total],"&gt;1000",CampList[Total],"&lt;=5000",CampList[Affected Population],"IDP")</f>
        <v>0</v>
      </c>
      <c r="AO22" s="34">
        <f>SUMIFS(CampList[Total],CampList[Township],$AK22,CampList[Status],"open",CampList[Total],"&gt;5000",CampList[Total],"&lt;=100000",CampList[Affected Population],"IDP")</f>
        <v>0</v>
      </c>
      <c r="AP22" s="18"/>
      <c r="AU22" s="33"/>
    </row>
    <row r="23" spans="1:47" ht="18" customHeight="1" x14ac:dyDescent="0.25">
      <c r="B23" s="260"/>
      <c r="C23" s="117" t="s">
        <v>180</v>
      </c>
      <c r="D23" s="118">
        <f>SUMIFS(CampList[HH],CampList[Township],$C23,CampList[Status],"open",CampList[Affected Population],"IDP")</f>
        <v>82</v>
      </c>
      <c r="E23" s="118">
        <f>SUMIFS(CampList[Total],CampList[Township],$C23,CampList[Status],"open",CampList[Affected Population],"IDP")</f>
        <v>372</v>
      </c>
      <c r="F23" s="114">
        <f>COUNTIFS(CampList[Township],$C23,CampList[Status],"open",CampList[Affected Population],"IDP")</f>
        <v>4</v>
      </c>
      <c r="G23" s="108"/>
      <c r="H23" s="39"/>
      <c r="I23" s="39"/>
      <c r="J23" s="39"/>
      <c r="K23" s="39"/>
      <c r="L23" s="39"/>
      <c r="M23" s="39"/>
      <c r="N23" s="39"/>
      <c r="O23" s="39"/>
      <c r="P23" s="39"/>
      <c r="Q23" s="39"/>
      <c r="R23" s="39"/>
      <c r="S23" s="39"/>
      <c r="T23" s="39"/>
      <c r="U23" s="258"/>
      <c r="AB23"/>
      <c r="AK23" s="20" t="s">
        <v>298</v>
      </c>
      <c r="AL23" s="34">
        <f>SUMIFS(CampList[Total],CampList[Township],$AK23,CampList[Status],"open",CampList[Total],"&lt;=100",CampList[Affected Population],"IDP")</f>
        <v>37</v>
      </c>
      <c r="AM23" s="34">
        <f>SUMIFS(CampList[Total],CampList[Township],$AK23,CampList[Status],"open",CampList[Total],"&gt;100",CampList[Total],"&lt;=1000",CampList[Affected Population],"IDP")</f>
        <v>520</v>
      </c>
      <c r="AN23" s="34">
        <f>SUMIFS(CampList[Total],CampList[Township],$AK23,CampList[Status],"open",CampList[Total],"&gt;1000",CampList[Total],"&lt;=5000",CampList[Affected Population],"IDP")</f>
        <v>0</v>
      </c>
      <c r="AO23" s="34">
        <f>SUMIFS(CampList[Total],CampList[Township],$AK23,CampList[Status],"open",CampList[Total],"&gt;5000",CampList[Total],"&lt;=100000",CampList[Affected Population],"IDP")</f>
        <v>0</v>
      </c>
      <c r="AP23" s="18"/>
      <c r="AU23" s="33"/>
    </row>
    <row r="24" spans="1:47" ht="18" customHeight="1" x14ac:dyDescent="0.25">
      <c r="B24" s="260"/>
      <c r="C24" s="117" t="s">
        <v>185</v>
      </c>
      <c r="D24" s="118">
        <f>SUMIFS(CampList[HH],CampList[Township],$C24,CampList[Status],"open",CampList[Affected Population],"IDP")</f>
        <v>3091</v>
      </c>
      <c r="E24" s="118">
        <f>SUMIFS(CampList[Total],CampList[Township],$C24,CampList[Status],"open",CampList[Affected Population],"IDP")</f>
        <v>15492</v>
      </c>
      <c r="F24" s="114">
        <f>COUNTIFS(CampList[Township],$C24,CampList[Status],"open",CampList[Affected Population],"IDP")</f>
        <v>20</v>
      </c>
      <c r="G24" s="108"/>
      <c r="H24" s="39"/>
      <c r="I24" s="39"/>
      <c r="J24" s="39"/>
      <c r="K24" s="39"/>
      <c r="L24" s="39"/>
      <c r="M24" s="39"/>
      <c r="N24" s="39"/>
      <c r="O24" s="39"/>
      <c r="P24" s="39"/>
      <c r="Q24" s="39"/>
      <c r="R24" s="39"/>
      <c r="S24" s="39"/>
      <c r="T24" s="39"/>
      <c r="U24" s="258"/>
      <c r="AB24"/>
      <c r="AK24" s="20" t="s">
        <v>300</v>
      </c>
      <c r="AL24" s="34">
        <f>SUMIFS(CampList[Total],CampList[Township],$AK24,CampList[Status],"open",CampList[Total],"&lt;=100",CampList[Affected Population],"IDP")</f>
        <v>120</v>
      </c>
      <c r="AM24" s="34">
        <f>SUMIFS(CampList[Total],CampList[Township],$AK24,CampList[Status],"open",CampList[Total],"&gt;100",CampList[Total],"&lt;=1000",CampList[Affected Population],"IDP")</f>
        <v>235</v>
      </c>
      <c r="AN24" s="34">
        <f>SUMIFS(CampList[Total],CampList[Township],$AK24,CampList[Status],"open",CampList[Total],"&gt;1000",CampList[Total],"&lt;=5000",CampList[Affected Population],"IDP")</f>
        <v>0</v>
      </c>
      <c r="AO24" s="34">
        <f>SUMIFS(CampList[Total],CampList[Township],$AK24,CampList[Status],"open",CampList[Total],"&gt;5000",CampList[Total],"&lt;=100000",CampList[Affected Population],"IDP")</f>
        <v>0</v>
      </c>
      <c r="AP24" s="18"/>
      <c r="AQ24" s="77"/>
      <c r="AR24" s="77"/>
      <c r="AU24" s="33"/>
    </row>
    <row r="25" spans="1:47" ht="18" customHeight="1" x14ac:dyDescent="0.25">
      <c r="B25" s="260"/>
      <c r="C25" s="117" t="s">
        <v>230</v>
      </c>
      <c r="D25" s="118">
        <f>SUMIFS(CampList[HH],CampList[Township],$C25,CampList[Status],"open",CampList[Affected Population],"IDP")</f>
        <v>271</v>
      </c>
      <c r="E25" s="118">
        <f>SUMIFS(CampList[Total],CampList[Township],$C25,CampList[Status],"open",CampList[Affected Population],"IDP")</f>
        <v>1013</v>
      </c>
      <c r="F25" s="114">
        <f>COUNTIFS(CampList[Township],$C25,CampList[Status],"open",CampList[Affected Population],"IDP")</f>
        <v>6</v>
      </c>
      <c r="G25" s="108"/>
      <c r="H25" s="1013"/>
      <c r="I25" s="1014"/>
      <c r="J25" s="1014"/>
      <c r="K25" s="1014"/>
      <c r="L25" s="1014"/>
      <c r="M25" s="1015"/>
      <c r="N25" s="39"/>
      <c r="O25" s="39"/>
      <c r="P25" s="39"/>
      <c r="Q25" s="39"/>
      <c r="R25" s="39"/>
      <c r="S25" s="39"/>
      <c r="T25" s="39"/>
      <c r="U25" s="258"/>
      <c r="AB25"/>
      <c r="AK25" s="20" t="s">
        <v>302</v>
      </c>
      <c r="AL25" s="34">
        <f>SUMIFS(CampList[Total],CampList[Township],$AK25,CampList[Status],"open",CampList[Total],"&lt;=100",CampList[Affected Population],"IDP")</f>
        <v>30</v>
      </c>
      <c r="AM25" s="34">
        <f>SUMIFS(CampList[Total],CampList[Township],$AK25,CampList[Status],"open",CampList[Total],"&gt;100",CampList[Total],"&lt;=1000",CampList[Affected Population],"IDP")</f>
        <v>461</v>
      </c>
      <c r="AN25" s="34">
        <f>SUMIFS(CampList[Total],CampList[Township],$AK25,CampList[Status],"open",CampList[Total],"&gt;1000",CampList[Total],"&lt;=5000",CampList[Affected Population],"IDP")</f>
        <v>1691</v>
      </c>
      <c r="AO25" s="34">
        <f>SUMIFS(CampList[Total],CampList[Township],$AK25,CampList[Status],"open",CampList[Total],"&gt;5000",CampList[Total],"&lt;=100000",CampList[Affected Population],"IDP")</f>
        <v>0</v>
      </c>
      <c r="AP25" s="18"/>
      <c r="AQ25" s="77"/>
      <c r="AR25" s="77"/>
      <c r="AU25" s="33"/>
    </row>
    <row r="26" spans="1:47" ht="18" customHeight="1" x14ac:dyDescent="0.25">
      <c r="B26" s="260"/>
      <c r="C26" s="117" t="s">
        <v>237</v>
      </c>
      <c r="D26" s="118">
        <f>SUMIFS(CampList[HH],CampList[Township],$C26,CampList[Status],"open",CampList[Affected Population],"IDP")</f>
        <v>1414</v>
      </c>
      <c r="E26" s="118">
        <f>SUMIFS(CampList[Total],CampList[Township],$C26,CampList[Status],"open",CampList[Affected Population],"IDP")</f>
        <v>7179</v>
      </c>
      <c r="F26" s="114">
        <f>COUNTIFS(CampList[Township],$C26,CampList[Status],"open",CampList[Affected Population],"IDP")</f>
        <v>24</v>
      </c>
      <c r="G26" s="108"/>
      <c r="H26" s="78"/>
      <c r="I26" s="109" t="s">
        <v>1011</v>
      </c>
      <c r="J26" s="110" t="s">
        <v>1012</v>
      </c>
      <c r="K26" s="111" t="s">
        <v>591</v>
      </c>
      <c r="L26" s="112" t="s">
        <v>590</v>
      </c>
      <c r="M26" s="121" t="s">
        <v>599</v>
      </c>
      <c r="N26" s="39"/>
      <c r="O26" s="39"/>
      <c r="P26" s="39"/>
      <c r="Q26" s="39"/>
      <c r="R26" s="39"/>
      <c r="S26" s="39"/>
      <c r="T26" s="39"/>
      <c r="U26" s="258"/>
      <c r="Y26"/>
      <c r="Z26"/>
      <c r="AB26"/>
      <c r="AK26" s="20" t="s">
        <v>810</v>
      </c>
      <c r="AL26" s="34">
        <f>SUMIFS(CampList[Total],CampList[Township],$AK26,CampList[Status],"open",CampList[Total],"&lt;=100",CampList[Affected Population],"IDP")</f>
        <v>32</v>
      </c>
      <c r="AM26" s="34">
        <f>SUMIFS(CampList[Total],CampList[Township],$AK26,CampList[Status],"open",CampList[Total],"&gt;100",CampList[Total],"&lt;=1000",CampList[Affected Population],"IDP")</f>
        <v>1200</v>
      </c>
      <c r="AN26" s="34">
        <f>SUMIFS(CampList[Total],CampList[Township],$AK26,CampList[Status],"open",CampList[Total],"&gt;1000",CampList[Total],"&lt;=5000",CampList[Affected Population],"IDP")</f>
        <v>0</v>
      </c>
      <c r="AO26" s="34">
        <f>SUMIFS(CampList[Total],CampList[Township],$AK26,CampList[Status],"open",CampList[Total],"&gt;5000",CampList[Total],"&lt;=100000",CampList[Affected Population],"IDP")</f>
        <v>0</v>
      </c>
      <c r="AP26" s="21">
        <f>AO28+AL28+AM28+AN28</f>
        <v>94500</v>
      </c>
    </row>
    <row r="27" spans="1:47" ht="18" customHeight="1" x14ac:dyDescent="0.25">
      <c r="B27" s="260"/>
      <c r="C27" s="117" t="s">
        <v>289</v>
      </c>
      <c r="D27" s="118">
        <f>SUMIFS(CampList[HH],CampList[Township],$C27,CampList[Status],"open",CampList[Affected Population],"IDP")</f>
        <v>351</v>
      </c>
      <c r="E27" s="118">
        <f>SUMIFS(CampList[Total],CampList[Township],$C27,CampList[Status],"open",CampList[Affected Population],"IDP")</f>
        <v>1739</v>
      </c>
      <c r="F27" s="114">
        <f>COUNTIFS(CampList[Township],$C27,CampList[Status],"open",CampList[Affected Population],"IDP")</f>
        <v>5</v>
      </c>
      <c r="G27" s="108"/>
      <c r="H27" s="78" t="s">
        <v>1006</v>
      </c>
      <c r="I27" s="79">
        <f>AL57</f>
        <v>40</v>
      </c>
      <c r="J27" s="79">
        <f>AM57</f>
        <v>95</v>
      </c>
      <c r="K27" s="79">
        <f>AN57</f>
        <v>22</v>
      </c>
      <c r="L27" s="79">
        <f>AO57</f>
        <v>2</v>
      </c>
      <c r="M27" s="79">
        <f>AP57</f>
        <v>4</v>
      </c>
      <c r="N27" s="239"/>
      <c r="O27" s="1"/>
      <c r="P27" s="1"/>
      <c r="Q27" s="1"/>
      <c r="R27" s="1"/>
      <c r="S27" s="1"/>
      <c r="T27" s="1"/>
      <c r="U27" s="258"/>
      <c r="Y27"/>
      <c r="Z27"/>
      <c r="AB27"/>
      <c r="AK27" s="20" t="s">
        <v>310</v>
      </c>
      <c r="AL27" s="34">
        <f>SUMIFS(CampList[Total],CampList[Township],$AK27,CampList[Status],"open",CampList[Total],"&lt;=100",CampList[Affected Population],"IDP")</f>
        <v>82</v>
      </c>
      <c r="AM27" s="34">
        <f>SUMIFS(CampList[Total],CampList[Township],$AK27,CampList[Status],"open",CampList[Total],"&gt;100",CampList[Total],"&lt;=1000",CampList[Affected Population],"IDP")</f>
        <v>6379</v>
      </c>
      <c r="AN27" s="34">
        <f>SUMIFS(CampList[Total],CampList[Township],$AK27,CampList[Status],"open",CampList[Total],"&gt;1000",CampList[Total],"&lt;=5000",CampList[Affected Population],"IDP")</f>
        <v>10850</v>
      </c>
      <c r="AO27" s="34">
        <f>SUMIFS(CampList[Total],CampList[Township],$AK27,CampList[Status],"open",CampList[Total],"&gt;5000",CampList[Total],"&lt;=100000",CampList[Affected Population],"IDP")</f>
        <v>15382</v>
      </c>
      <c r="AP27" s="24"/>
    </row>
    <row r="28" spans="1:47" ht="18" customHeight="1" x14ac:dyDescent="0.25">
      <c r="B28" s="260"/>
      <c r="C28" s="117" t="s">
        <v>298</v>
      </c>
      <c r="D28" s="118">
        <f>SUMIFS(CampList[HH],CampList[Township],$C28,CampList[Status],"open",CampList[Affected Population],"IDP")</f>
        <v>127</v>
      </c>
      <c r="E28" s="118">
        <f>SUMIFS(CampList[Total],CampList[Township],$C28,CampList[Status],"open",CampList[Affected Population],"IDP")</f>
        <v>557</v>
      </c>
      <c r="F28" s="114">
        <f>COUNTIFS(CampList[Township],$C28,CampList[Status],"open",CampList[Affected Population],"IDP")</f>
        <v>2</v>
      </c>
      <c r="G28" s="108"/>
      <c r="H28" s="78" t="s">
        <v>443</v>
      </c>
      <c r="I28" s="79">
        <f>AL28</f>
        <v>2128</v>
      </c>
      <c r="J28" s="79">
        <f>AM28</f>
        <v>36418</v>
      </c>
      <c r="K28" s="79">
        <f>AN28</f>
        <v>40572</v>
      </c>
      <c r="L28" s="79">
        <f>AO28</f>
        <v>15382</v>
      </c>
      <c r="M28" s="79">
        <f>AP28</f>
        <v>0</v>
      </c>
      <c r="N28" s="239"/>
      <c r="O28" s="1"/>
      <c r="P28" s="1"/>
      <c r="Q28" s="1"/>
      <c r="R28" s="1"/>
      <c r="S28" s="1"/>
      <c r="T28" s="1"/>
      <c r="U28" s="258"/>
      <c r="X28"/>
      <c r="Y28"/>
      <c r="Z28"/>
      <c r="AB28"/>
      <c r="AK28" s="26" t="s">
        <v>3</v>
      </c>
      <c r="AL28" s="50">
        <f>SUM(AL7:AL27)</f>
        <v>2128</v>
      </c>
      <c r="AM28" s="50">
        <f>SUM(AM7:AM27)</f>
        <v>36418</v>
      </c>
      <c r="AN28" s="50">
        <f>SUM(AN7:AN27)</f>
        <v>40572</v>
      </c>
      <c r="AO28" s="50">
        <f>SUM(AO7:AO27)</f>
        <v>15382</v>
      </c>
      <c r="AP28" s="19"/>
      <c r="AQ28" s="24"/>
    </row>
    <row r="29" spans="1:47" ht="18" customHeight="1" x14ac:dyDescent="0.25">
      <c r="B29" s="260"/>
      <c r="C29" s="117" t="s">
        <v>300</v>
      </c>
      <c r="D29" s="118">
        <f>SUMIFS(CampList[HH],CampList[Township],$C29,CampList[Status],"open",CampList[Affected Population],"IDP")</f>
        <v>83</v>
      </c>
      <c r="E29" s="118">
        <f>SUMIFS(CampList[Total],CampList[Township],$C29,CampList[Status],"open",CampList[Affected Population],"IDP")</f>
        <v>355</v>
      </c>
      <c r="F29" s="114">
        <f>COUNTIFS(CampList[Township],$C29,CampList[Status],"open",CampList[Affected Population],"IDP")</f>
        <v>3</v>
      </c>
      <c r="G29" s="108"/>
      <c r="N29" s="239"/>
      <c r="O29" s="1"/>
      <c r="P29" s="1"/>
      <c r="Q29" s="1"/>
      <c r="R29" s="1"/>
      <c r="S29" s="1"/>
      <c r="T29" s="1"/>
      <c r="U29" s="258"/>
      <c r="X29"/>
      <c r="Y29"/>
      <c r="Z29"/>
      <c r="AB29"/>
      <c r="AK29" s="20" t="s">
        <v>445</v>
      </c>
      <c r="AL29" s="27">
        <f>AL28/$AP$26</f>
        <v>2.2518518518518518E-2</v>
      </c>
      <c r="AM29" s="27">
        <f>AM28/$AP$26</f>
        <v>0.38537566137566137</v>
      </c>
      <c r="AN29" s="27">
        <f>AN28/$AP$26</f>
        <v>0.42933333333333334</v>
      </c>
      <c r="AO29" s="27">
        <f>AO28/$AP$26</f>
        <v>0.16277248677248676</v>
      </c>
      <c r="AP29" s="23"/>
      <c r="AQ29" s="24"/>
    </row>
    <row r="30" spans="1:47" ht="18" customHeight="1" thickBot="1" x14ac:dyDescent="0.3">
      <c r="B30" s="260"/>
      <c r="C30" s="117" t="s">
        <v>302</v>
      </c>
      <c r="D30" s="118">
        <f>SUMIFS(CampList[HH],CampList[Township],$C30,CampList[Status],"open",CampList[Affected Population],"IDP")</f>
        <v>511</v>
      </c>
      <c r="E30" s="118">
        <f>SUMIFS(CampList[Total],CampList[Township],$C30,CampList[Status],"open",CampList[Affected Population],"IDP")</f>
        <v>2182</v>
      </c>
      <c r="F30" s="114">
        <f>COUNTIFS(CampList[Township],$C30,CampList[Status],"open",CampList[Affected Population],"IDP")</f>
        <v>4</v>
      </c>
      <c r="G30" s="108"/>
      <c r="H30" s="226"/>
      <c r="I30" s="39"/>
      <c r="J30" s="39"/>
      <c r="K30" s="39"/>
      <c r="L30" s="39"/>
      <c r="M30" s="39"/>
      <c r="N30" s="239"/>
      <c r="O30" s="39"/>
      <c r="P30" s="39"/>
      <c r="Q30" s="39"/>
      <c r="R30" s="39"/>
      <c r="S30" s="39"/>
      <c r="T30" s="39"/>
      <c r="U30" s="258"/>
      <c r="X30"/>
      <c r="Y30"/>
      <c r="Z30"/>
      <c r="AB30"/>
      <c r="AO30" s="33"/>
      <c r="AP30" s="23"/>
      <c r="AQ30" s="24"/>
    </row>
    <row r="31" spans="1:47" ht="18" customHeight="1" x14ac:dyDescent="0.25">
      <c r="B31" s="260"/>
      <c r="C31" s="117" t="s">
        <v>810</v>
      </c>
      <c r="D31" s="118">
        <f>SUMIFS(CampList[HH],CampList[Township],$C31,CampList[Status],"open",CampList[Affected Population],"IDP")</f>
        <v>166</v>
      </c>
      <c r="E31" s="118">
        <f>SUMIFS(CampList[Total],CampList[Township],$C31,CampList[Status],"open",CampList[Affected Population],"IDP")</f>
        <v>1232</v>
      </c>
      <c r="F31" s="114">
        <f>COUNTIFS(CampList[Township],$C31,CampList[Status],"open",CampList[Affected Population],"IDP")</f>
        <v>3</v>
      </c>
      <c r="G31" s="108"/>
      <c r="H31" s="227"/>
      <c r="I31" s="228" t="s">
        <v>1181</v>
      </c>
      <c r="J31" s="229" t="s">
        <v>1221</v>
      </c>
      <c r="K31" s="39"/>
      <c r="L31" s="39"/>
      <c r="M31" s="39"/>
      <c r="N31" s="39"/>
      <c r="O31" s="39"/>
      <c r="P31" s="39"/>
      <c r="Q31" s="39"/>
      <c r="R31" s="39"/>
      <c r="S31" s="39"/>
      <c r="T31" s="39"/>
      <c r="U31" s="258"/>
      <c r="X31"/>
      <c r="Y31"/>
      <c r="Z31"/>
      <c r="AB31"/>
      <c r="AK31" s="33"/>
      <c r="AL31" s="33"/>
      <c r="AM31" s="33"/>
      <c r="AN31" s="33"/>
      <c r="AO31" s="33"/>
      <c r="AP31" s="23"/>
      <c r="AQ31" s="24"/>
    </row>
    <row r="32" spans="1:47" s="77" customFormat="1" ht="18" customHeight="1" x14ac:dyDescent="0.25">
      <c r="A32" s="123"/>
      <c r="B32" s="260"/>
      <c r="C32" s="117" t="s">
        <v>310</v>
      </c>
      <c r="D32" s="118">
        <f>SUMIFS(CampList[HH],CampList[Township],$C32,CampList[Status],"open",CampList[Affected Population],"IDP")</f>
        <v>6286</v>
      </c>
      <c r="E32" s="118">
        <f>SUMIFS(CampList[Total],CampList[Township],$C32,CampList[Status],"open",CampList[Affected Population],"IDP")</f>
        <v>32693</v>
      </c>
      <c r="F32" s="114">
        <f>COUNTIFS(CampList[Township],$C32,CampList[Status],"open",CampList[Affected Population],"IDP")</f>
        <v>23</v>
      </c>
      <c r="G32" s="108"/>
      <c r="H32" s="230" t="s">
        <v>1215</v>
      </c>
      <c r="I32" s="231">
        <f ca="1">SUMIFS(CampList[Total],CampList[Status],"open",CampList[Affected Population],"IDP",CampList[Distance_Cat],1)</f>
        <v>38722</v>
      </c>
      <c r="J32" s="232">
        <f ca="1">COUNTIFS(CampList[Status],"open",CampList[Affected Population],"IDP",CampList[Distance_Cat],1)</f>
        <v>89</v>
      </c>
      <c r="K32" s="39"/>
      <c r="L32" s="39"/>
      <c r="M32" s="39"/>
      <c r="N32" s="39"/>
      <c r="O32" s="39"/>
      <c r="P32" s="39"/>
      <c r="Q32" s="39"/>
      <c r="R32" s="39"/>
      <c r="S32" s="39"/>
      <c r="T32" s="39"/>
      <c r="U32" s="258"/>
      <c r="X32"/>
      <c r="Y32"/>
      <c r="Z32"/>
      <c r="AB32"/>
      <c r="AK32" s="33"/>
      <c r="AL32" s="33"/>
      <c r="AM32" s="33"/>
      <c r="AN32" s="33"/>
      <c r="AO32" s="33"/>
      <c r="AP32" s="23"/>
      <c r="AQ32" s="24"/>
      <c r="AR32" s="123"/>
      <c r="AS32" s="123"/>
      <c r="AT32" s="123"/>
      <c r="AU32" s="123"/>
    </row>
    <row r="33" spans="1:47" ht="18" customHeight="1" x14ac:dyDescent="0.25">
      <c r="B33" s="260"/>
      <c r="C33" s="119" t="s">
        <v>3</v>
      </c>
      <c r="D33" s="120">
        <f>SUM(D11:D32)</f>
        <v>18831</v>
      </c>
      <c r="E33" s="120">
        <f>SUM(E11:E32)</f>
        <v>94500</v>
      </c>
      <c r="F33" s="76">
        <f>SUM(F11:F32)</f>
        <v>163</v>
      </c>
      <c r="G33" s="108"/>
      <c r="H33" s="230" t="s">
        <v>1216</v>
      </c>
      <c r="I33" s="231">
        <f ca="1">SUMIFS(CampList[Total],CampList[Status],"open",CampList[Affected Population],"IDP",CampList[Distance_Cat],2)</f>
        <v>22891</v>
      </c>
      <c r="J33" s="232">
        <f ca="1">COUNTIFS(CampList[Status],"open",CampList[Affected Population],"IDP",CampList[Distance_Cat],2)</f>
        <v>22</v>
      </c>
      <c r="K33" s="39"/>
      <c r="L33" s="39"/>
      <c r="M33" s="39"/>
      <c r="N33" s="39"/>
      <c r="O33" s="39"/>
      <c r="P33" s="39"/>
      <c r="Q33" s="39"/>
      <c r="R33" s="39"/>
      <c r="S33" s="39"/>
      <c r="T33" s="39"/>
      <c r="U33" s="258"/>
      <c r="Z33"/>
      <c r="AB33"/>
      <c r="AK33" s="33"/>
      <c r="AL33" s="33"/>
      <c r="AM33" s="33"/>
      <c r="AN33" s="33"/>
      <c r="AO33" s="33"/>
      <c r="AP33" s="26"/>
      <c r="AQ33" s="24"/>
      <c r="AR33" s="123"/>
      <c r="AS33" s="123"/>
      <c r="AT33" s="123"/>
      <c r="AU33" s="123"/>
    </row>
    <row r="34" spans="1:47" ht="16.899999999999999" customHeight="1" x14ac:dyDescent="0.25">
      <c r="B34" s="260"/>
      <c r="C34" s="239"/>
      <c r="D34" s="239"/>
      <c r="E34" s="239"/>
      <c r="F34" s="239"/>
      <c r="G34" s="1"/>
      <c r="H34" s="230" t="s">
        <v>1217</v>
      </c>
      <c r="I34" s="231">
        <f ca="1">SUMIFS(CampList[Total],CampList[Status],"open",CampList[Affected Population],"IDP",CampList[Distance_Cat],3)</f>
        <v>8019</v>
      </c>
      <c r="J34" s="232">
        <f ca="1">COUNTIFS(CampList[Status],"open",CampList[Affected Population],"IDP",CampList[Distance_Cat],3)</f>
        <v>13</v>
      </c>
      <c r="K34" s="39"/>
      <c r="L34" s="39"/>
      <c r="M34" s="39"/>
      <c r="N34" s="39"/>
      <c r="O34" s="39"/>
      <c r="P34" s="39"/>
      <c r="Q34" s="39"/>
      <c r="R34" s="39"/>
      <c r="S34" s="39"/>
      <c r="T34" s="39"/>
      <c r="U34" s="258"/>
      <c r="Z34"/>
      <c r="AB34"/>
      <c r="AJ34" s="33"/>
      <c r="AK34" s="33"/>
      <c r="AL34" s="12" t="s">
        <v>444</v>
      </c>
      <c r="AM34" s="12"/>
      <c r="AN34" s="12"/>
      <c r="AO34" s="33"/>
      <c r="AP34" s="26" t="s">
        <v>599</v>
      </c>
      <c r="AQ34" s="24">
        <f>SUM(AM34:AP34)</f>
        <v>0</v>
      </c>
      <c r="AR34" s="123"/>
      <c r="AS34" s="123"/>
      <c r="AT34" s="123"/>
      <c r="AU34" s="123"/>
    </row>
    <row r="35" spans="1:47" ht="16.899999999999999" customHeight="1" x14ac:dyDescent="0.25">
      <c r="B35" s="260"/>
      <c r="C35" s="239"/>
      <c r="D35" s="239"/>
      <c r="E35" s="239"/>
      <c r="F35" s="239"/>
      <c r="G35" s="1"/>
      <c r="H35" s="230" t="s">
        <v>1218</v>
      </c>
      <c r="I35" s="231">
        <f ca="1">SUMIFS(CampList[Total],CampList[Status],"open",CampList[Affected Population],"IDP",CampList[Distance_Cat],4)</f>
        <v>9308</v>
      </c>
      <c r="J35" s="232">
        <f ca="1">COUNTIFS(CampList[Status],"open",CampList[Affected Population],"IDP",CampList[Distance_Cat],4)</f>
        <v>13</v>
      </c>
      <c r="K35" s="39"/>
      <c r="L35" s="39"/>
      <c r="M35" s="39"/>
      <c r="N35" s="39"/>
      <c r="O35" s="39"/>
      <c r="P35" s="39"/>
      <c r="Q35" s="39"/>
      <c r="R35" s="39"/>
      <c r="S35" s="39"/>
      <c r="T35" s="39"/>
      <c r="U35" s="258"/>
      <c r="Z35"/>
      <c r="AB35"/>
      <c r="AJ35" s="33"/>
      <c r="AK35" s="20" t="s">
        <v>0</v>
      </c>
      <c r="AL35" s="65" t="s">
        <v>1011</v>
      </c>
      <c r="AM35" s="26" t="s">
        <v>1012</v>
      </c>
      <c r="AN35" s="26" t="s">
        <v>589</v>
      </c>
      <c r="AO35" s="26" t="s">
        <v>590</v>
      </c>
      <c r="AP35" s="26" t="s">
        <v>599</v>
      </c>
      <c r="AQ35" s="24">
        <f>SUM(AL35:AP35)</f>
        <v>0</v>
      </c>
      <c r="AR35" s="123"/>
      <c r="AS35" s="123"/>
      <c r="AT35" s="123"/>
      <c r="AU35" s="123"/>
    </row>
    <row r="36" spans="1:47" s="77" customFormat="1" ht="17.25" customHeight="1" x14ac:dyDescent="0.25">
      <c r="A36" s="123"/>
      <c r="B36" s="260"/>
      <c r="C36" s="78"/>
      <c r="D36" s="78" t="s">
        <v>513</v>
      </c>
      <c r="E36" s="78" t="s">
        <v>515</v>
      </c>
      <c r="F36" s="78" t="s">
        <v>3</v>
      </c>
      <c r="G36" s="1"/>
      <c r="H36" s="230" t="s">
        <v>1219</v>
      </c>
      <c r="I36" s="231">
        <f ca="1">SUMIFS(CampList[Total],CampList[Status],"open",CampList[Affected Population],"IDP",CampList[Distance_Cat],5)</f>
        <v>4367</v>
      </c>
      <c r="J36" s="232">
        <f ca="1">COUNTIFS(CampList[Status],"open",CampList[Affected Population],"IDP",CampList[Distance_Cat],5)</f>
        <v>7</v>
      </c>
      <c r="K36" s="39"/>
      <c r="L36" s="39"/>
      <c r="M36" s="39"/>
      <c r="N36" s="39"/>
      <c r="O36" s="39"/>
      <c r="P36" s="39"/>
      <c r="Q36" s="39"/>
      <c r="R36" s="39"/>
      <c r="S36" s="39"/>
      <c r="T36" s="39"/>
      <c r="U36" s="258"/>
      <c r="Z36"/>
      <c r="AB36"/>
      <c r="AK36" s="20" t="s">
        <v>5</v>
      </c>
      <c r="AL36" s="34">
        <f>COUNTIFS(CampList[Township],$AK36,CampList[Status],"open",CampList[Total],"&lt;=100",CampList[Affected Population],"IDP")</f>
        <v>4</v>
      </c>
      <c r="AM36" s="34">
        <f>COUNTIFS(CampList[Township],$AK36,CampList[Status],"open",CampList[Total],"&gt;100",CampList[Total],"&lt;=1000",CampList[Affected Population],"IDP")</f>
        <v>5</v>
      </c>
      <c r="AN36" s="34">
        <f>COUNTIFS(CampList[Township],$AK36,CampList[Status],"open",CampList[Total],"&gt;1000",CampList[Total],"&lt;=5000",CampList[Affected Population],"IDP")</f>
        <v>2</v>
      </c>
      <c r="AO36" s="34">
        <f>COUNTIFS(CampList[Township],$AK36,CampList[Status],"open",CampList[Total],"&gt;5000",CampList[Total],"&lt;=100000",CampList[Affected Population],"IDP")</f>
        <v>0</v>
      </c>
      <c r="AP36" s="26">
        <f>COUNTIFS(CampList[Township],$AK37,CampList[Status],"open",CampList[Total],"",CampList[Affected Population],"IDP")</f>
        <v>1</v>
      </c>
      <c r="AQ36" s="208">
        <f>SUM(AL36:AP36)</f>
        <v>12</v>
      </c>
      <c r="AR36" s="123"/>
      <c r="AS36" s="123"/>
      <c r="AT36" s="123"/>
      <c r="AU36" s="123"/>
    </row>
    <row r="37" spans="1:47" ht="17.25" customHeight="1" x14ac:dyDescent="0.25">
      <c r="B37" s="260"/>
      <c r="C37" s="78" t="s">
        <v>556</v>
      </c>
      <c r="D37" s="107">
        <f t="shared" ref="D37:E39" si="0">GETPIVOTDATA("Total",Stat01,"Accessibility",D$36,"Type of Accomodation",$C37)</f>
        <v>47927</v>
      </c>
      <c r="E37" s="107">
        <f t="shared" si="0"/>
        <v>38092</v>
      </c>
      <c r="F37" s="107">
        <f>SUM(D37:E37)</f>
        <v>86019</v>
      </c>
      <c r="G37" s="1"/>
      <c r="H37" s="230" t="s">
        <v>1220</v>
      </c>
      <c r="I37" s="231">
        <f ca="1">SUMIFS(CampList[Total],CampList[Status],"open",CampList[Affected Population],"IDP",CampList[Distance_Cat],6)</f>
        <v>2612</v>
      </c>
      <c r="J37" s="232">
        <f ca="1">COUNTIFS(CampList[Status],"open",CampList[Affected Population],"IDP",CampList[Distance_Cat],6)</f>
        <v>2</v>
      </c>
      <c r="K37" s="39"/>
      <c r="L37" s="39"/>
      <c r="M37" s="39"/>
      <c r="N37" s="39"/>
      <c r="O37" s="39"/>
      <c r="P37" s="39"/>
      <c r="Q37" s="39"/>
      <c r="R37" s="39"/>
      <c r="S37" s="39"/>
      <c r="T37" s="39"/>
      <c r="U37" s="258"/>
      <c r="Z37"/>
      <c r="AB37"/>
      <c r="AJ37" s="33"/>
      <c r="AK37" s="20" t="s">
        <v>27</v>
      </c>
      <c r="AL37" s="34">
        <f>COUNTIFS(CampList[Township],$AK37,CampList[Status],"open",CampList[Total],"&lt;=100",CampList[Affected Population],"IDP")</f>
        <v>0</v>
      </c>
      <c r="AM37" s="34">
        <f>COUNTIFS(CampList[Township],$AK37,CampList[Status],"open",CampList[Total],"&gt;100",CampList[Total],"&lt;=1000",CampList[Affected Population],"IDP")</f>
        <v>5</v>
      </c>
      <c r="AN37" s="34">
        <f>COUNTIFS(CampList[Township],$AK37,CampList[Status],"open",CampList[Total],"&gt;1000",CampList[Total],"&lt;=5000",CampList[Affected Population],"IDP")</f>
        <v>0</v>
      </c>
      <c r="AO37" s="34">
        <f>COUNTIFS(CampList[Township],$AK37,CampList[Status],"open",CampList[Total],"&gt;5000",CampList[Total],"&lt;=100000",CampList[Affected Population],"IDP")</f>
        <v>0</v>
      </c>
      <c r="AP37" s="26">
        <f>COUNTIFS(CampList[Township],$AK38,CampList[Status],"open",CampList[Total],"",CampList[Affected Population],"IDP")</f>
        <v>0</v>
      </c>
      <c r="AQ37" s="208">
        <f t="shared" ref="AQ37:AQ41" si="1">SUM(AL37:AP37)</f>
        <v>5</v>
      </c>
      <c r="AR37" s="123"/>
      <c r="AS37" s="123"/>
      <c r="AT37" s="123"/>
      <c r="AU37" s="123"/>
    </row>
    <row r="38" spans="1:47" s="123" customFormat="1" ht="17.25" customHeight="1" x14ac:dyDescent="0.25">
      <c r="B38" s="260"/>
      <c r="C38" s="78" t="s">
        <v>12</v>
      </c>
      <c r="D38" s="107">
        <f t="shared" si="0"/>
        <v>4612</v>
      </c>
      <c r="E38" s="107">
        <f t="shared" si="0"/>
        <v>2773</v>
      </c>
      <c r="F38" s="107">
        <f>SUM(D38:E38)</f>
        <v>7385</v>
      </c>
      <c r="G38" s="1"/>
      <c r="H38" s="230" t="s">
        <v>1244</v>
      </c>
      <c r="I38" s="231">
        <f ca="1">SUMIFS(CampList[Total],CampList[Status],"open",CampList[Affected Population],"IDP",CampList[Distance_Cat],"&gt;6")</f>
        <v>3198</v>
      </c>
      <c r="J38" s="232">
        <f ca="1">COUNTIFS(CampList[Status],"open",CampList[Affected Population],"IDP",CampList[Distance_Cat],"&gt;6")</f>
        <v>2</v>
      </c>
      <c r="K38" s="39"/>
      <c r="L38" s="39"/>
      <c r="M38" s="39"/>
      <c r="N38" s="39"/>
      <c r="O38" s="39"/>
      <c r="P38" s="39"/>
      <c r="Q38" s="39"/>
      <c r="R38" s="39"/>
      <c r="S38" s="39"/>
      <c r="T38" s="39"/>
      <c r="U38" s="258"/>
      <c r="Z38"/>
      <c r="AB38"/>
      <c r="AK38" s="20" t="s">
        <v>529</v>
      </c>
      <c r="AL38" s="34">
        <f>COUNTIFS(CampList[Township],$AK38,CampList[Status],"open",CampList[Total],"&lt;=100",CampList[Affected Population],"IDP")</f>
        <v>10</v>
      </c>
      <c r="AM38" s="34">
        <f>COUNTIFS(CampList[Township],$AK38,CampList[Status],"open",CampList[Total],"&gt;100",CampList[Total],"&lt;=1000",CampList[Affected Population],"IDP")</f>
        <v>10</v>
      </c>
      <c r="AN38" s="34">
        <f>COUNTIFS(CampList[Township],$AK38,CampList[Status],"open",CampList[Total],"&gt;1000",CampList[Total],"&lt;=5000",CampList[Affected Population],"IDP")</f>
        <v>0</v>
      </c>
      <c r="AO38" s="34">
        <f>COUNTIFS(CampList[Township],$AK38,CampList[Status],"open",CampList[Total],"&gt;5000",CampList[Total],"&lt;=100000",CampList[Affected Population],"IDP")</f>
        <v>0</v>
      </c>
      <c r="AP38" s="26">
        <f>COUNTIFS(CampList[Township],$AK39,CampList[Status],"open",CampList[Total],"",CampList[Affected Population],"IDP")</f>
        <v>0</v>
      </c>
      <c r="AQ38" s="208">
        <f t="shared" si="1"/>
        <v>20</v>
      </c>
    </row>
    <row r="39" spans="1:47" s="77" customFormat="1" ht="17.25" customHeight="1" x14ac:dyDescent="0.25">
      <c r="A39" s="123"/>
      <c r="B39" s="260"/>
      <c r="C39" s="78" t="s">
        <v>989</v>
      </c>
      <c r="D39" s="107">
        <f t="shared" si="0"/>
        <v>49</v>
      </c>
      <c r="E39" s="107">
        <f t="shared" si="0"/>
        <v>1047</v>
      </c>
      <c r="F39" s="107">
        <f>SUM(D39:E39)</f>
        <v>1096</v>
      </c>
      <c r="G39" s="1"/>
      <c r="H39" s="651" t="s">
        <v>1402</v>
      </c>
      <c r="I39" s="231">
        <f ca="1">SUMIFS(CampList[Total],CampList[Status],"open",CampList[Affected Population],"IDP",CampList[Distance_Cat],"")</f>
        <v>5383</v>
      </c>
      <c r="J39" s="232">
        <f ca="1">COUNTIFS(CampList[Status],"open",CampList[Affected Population],"IDP",CampList[Distance_Cat],"")</f>
        <v>15</v>
      </c>
      <c r="K39" s="39"/>
      <c r="L39" s="39"/>
      <c r="M39" s="39"/>
      <c r="N39" s="39"/>
      <c r="O39" s="39"/>
      <c r="P39" s="39"/>
      <c r="Q39" s="39"/>
      <c r="R39" s="39"/>
      <c r="S39" s="39"/>
      <c r="T39" s="39"/>
      <c r="U39" s="258"/>
      <c r="Z39"/>
      <c r="AB39"/>
      <c r="AK39" s="20" t="s">
        <v>781</v>
      </c>
      <c r="AL39" s="34">
        <f>COUNTIFS(CampList[Township],$AK39,CampList[Status],"open",CampList[Total],"&lt;=100",CampList[Affected Population],"IDP")</f>
        <v>0</v>
      </c>
      <c r="AM39" s="34">
        <f>COUNTIFS(CampList[Township],$AK39,CampList[Status],"open",CampList[Total],"&gt;100",CampList[Total],"&lt;=1000",CampList[Affected Population],"IDP")</f>
        <v>2</v>
      </c>
      <c r="AN39" s="34">
        <f>COUNTIFS(CampList[Township],$AK39,CampList[Status],"open",CampList[Total],"&gt;1000",CampList[Total],"&lt;=5000",CampList[Affected Population],"IDP")</f>
        <v>0</v>
      </c>
      <c r="AO39" s="34">
        <f>COUNTIFS(CampList[Township],$AK39,CampList[Status],"open",CampList[Total],"&gt;5000",CampList[Total],"&lt;=100000",CampList[Affected Population],"IDP")</f>
        <v>0</v>
      </c>
      <c r="AP39" s="26">
        <f>COUNTIFS(CampList[Township],$AK40,CampList[Status],"open",CampList[Total],"",CampList[Affected Population],"IDP")</f>
        <v>0</v>
      </c>
      <c r="AQ39" s="208">
        <f t="shared" si="1"/>
        <v>2</v>
      </c>
      <c r="AR39" s="123"/>
      <c r="AS39" s="123"/>
      <c r="AT39" s="123"/>
      <c r="AU39" s="123"/>
    </row>
    <row r="40" spans="1:47" s="123" customFormat="1" ht="17.25" customHeight="1" thickBot="1" x14ac:dyDescent="0.3">
      <c r="B40" s="260"/>
      <c r="C40" s="78" t="s">
        <v>3</v>
      </c>
      <c r="D40" s="107">
        <f t="shared" ref="D40:E40" si="2">SUM(D37:D39)</f>
        <v>52588</v>
      </c>
      <c r="E40" s="107">
        <f t="shared" si="2"/>
        <v>41912</v>
      </c>
      <c r="F40" s="107">
        <f>SUM(F37:F39)</f>
        <v>94500</v>
      </c>
      <c r="G40" s="1"/>
      <c r="H40" s="233" t="s">
        <v>3</v>
      </c>
      <c r="I40" s="234">
        <f ca="1">SUM(I32:I39)</f>
        <v>94500</v>
      </c>
      <c r="J40" s="235">
        <f ca="1">SUM(J32:J39)</f>
        <v>163</v>
      </c>
      <c r="K40" s="39"/>
      <c r="L40" s="39"/>
      <c r="M40" s="39"/>
      <c r="N40" s="39"/>
      <c r="O40" s="39"/>
      <c r="P40" s="39"/>
      <c r="Q40" s="39"/>
      <c r="R40" s="39"/>
      <c r="S40" s="39"/>
      <c r="T40" s="39"/>
      <c r="U40" s="258"/>
      <c r="AK40" s="20" t="s">
        <v>363</v>
      </c>
      <c r="AL40" s="34">
        <f>COUNTIFS(CampList[Township],$AK40,CampList[Status],"open",CampList[Total],"&lt;=100",CampList[Affected Population],"IDP")</f>
        <v>0</v>
      </c>
      <c r="AM40" s="34">
        <f>COUNTIFS(CampList[Township],$AK40,CampList[Status],"open",CampList[Total],"&gt;100",CampList[Total],"&lt;=1000",CampList[Affected Population],"IDP")</f>
        <v>0</v>
      </c>
      <c r="AN40" s="34">
        <f>COUNTIFS(CampList[Township],$AK40,CampList[Status],"open",CampList[Total],"&gt;1000",CampList[Total],"&lt;=5000",CampList[Affected Population],"IDP")</f>
        <v>0</v>
      </c>
      <c r="AO40" s="34">
        <f>COUNTIFS(CampList[Township],$AK40,CampList[Status],"open",CampList[Total],"&gt;5000",CampList[Total],"&lt;=100000",CampList[Affected Population],"IDP")</f>
        <v>0</v>
      </c>
      <c r="AP40" s="26">
        <f>COUNTIFS(CampList[Township],$AK41,CampList[Status],"open",CampList[Total],"",CampList[Affected Population],"IDP")</f>
        <v>0</v>
      </c>
      <c r="AQ40" s="208">
        <f t="shared" si="1"/>
        <v>0</v>
      </c>
    </row>
    <row r="41" spans="1:47" ht="9" customHeight="1" x14ac:dyDescent="0.25">
      <c r="B41" s="260"/>
      <c r="C41" s="1"/>
      <c r="D41" s="1"/>
      <c r="E41" s="1"/>
      <c r="F41" s="1"/>
      <c r="G41" s="1"/>
      <c r="H41" s="39"/>
      <c r="I41" s="39"/>
      <c r="J41" s="39"/>
      <c r="K41" s="39"/>
      <c r="L41" s="39"/>
      <c r="M41" s="39"/>
      <c r="N41" s="39"/>
      <c r="O41" s="39"/>
      <c r="P41" s="39"/>
      <c r="Q41" s="39"/>
      <c r="R41" s="39"/>
      <c r="S41" s="39"/>
      <c r="T41" s="39"/>
      <c r="U41" s="258"/>
      <c r="Z41"/>
      <c r="AB41"/>
      <c r="AK41" s="20" t="s">
        <v>144</v>
      </c>
      <c r="AL41" s="34">
        <f>COUNTIFS(CampList[Township],$AK41,CampList[Status],"open",CampList[Total],"&lt;=100",CampList[Affected Population],"IDP")</f>
        <v>1</v>
      </c>
      <c r="AM41" s="34">
        <f>COUNTIFS(CampList[Township],$AK41,CampList[Status],"open",CampList[Total],"&gt;100",CampList[Total],"&lt;=1000",CampList[Affected Population],"IDP")</f>
        <v>0</v>
      </c>
      <c r="AN41" s="34">
        <f>COUNTIFS(CampList[Township],$AK41,CampList[Status],"open",CampList[Total],"&gt;1000",CampList[Total],"&lt;=5000",CampList[Affected Population],"IDP")</f>
        <v>0</v>
      </c>
      <c r="AO41" s="34">
        <f>COUNTIFS(CampList[Township],$AK41,CampList[Status],"open",CampList[Total],"&gt;5000",CampList[Total],"&lt;=100000",CampList[Affected Population],"IDP")</f>
        <v>0</v>
      </c>
      <c r="AP41" s="26">
        <f>COUNTIFS(CampList[Township],$AK42,CampList[Status],"open",CampList[Total],"",CampList[Affected Population],"IDP")</f>
        <v>0</v>
      </c>
      <c r="AQ41" s="208">
        <f t="shared" si="1"/>
        <v>1</v>
      </c>
      <c r="AR41" s="123"/>
      <c r="AS41" s="123"/>
      <c r="AT41" s="123"/>
      <c r="AU41" s="123"/>
    </row>
    <row r="42" spans="1:47" s="421" customFormat="1" ht="23.45" customHeight="1" x14ac:dyDescent="0.25">
      <c r="B42" s="260"/>
      <c r="C42" s="422"/>
      <c r="D42" s="422"/>
      <c r="E42" s="422"/>
      <c r="F42" s="422"/>
      <c r="G42" s="422"/>
      <c r="H42" s="39"/>
      <c r="I42" s="39"/>
      <c r="J42" s="39"/>
      <c r="K42" s="39"/>
      <c r="L42" s="39"/>
      <c r="M42" s="39"/>
      <c r="N42" s="39"/>
      <c r="O42" s="39"/>
      <c r="P42" s="39"/>
      <c r="Q42" s="39"/>
      <c r="R42" s="39"/>
      <c r="S42" s="39"/>
      <c r="T42" s="39"/>
      <c r="U42" s="258"/>
      <c r="AK42" s="20" t="s">
        <v>146</v>
      </c>
      <c r="AL42" s="34">
        <f>COUNTIFS(CampList[Township],$AK42,CampList[Status],"open",CampList[Total],"&lt;=100",CampList[Affected Population],"IDP")</f>
        <v>0</v>
      </c>
      <c r="AM42" s="34">
        <f>COUNTIFS(CampList[Township],$AK42,CampList[Status],"open",CampList[Total],"&gt;100",CampList[Total],"&lt;=1000",CampList[Affected Population],"IDP")</f>
        <v>9</v>
      </c>
      <c r="AN42" s="34">
        <f>COUNTIFS(CampList[Township],$AK42,CampList[Status],"open",CampList[Total],"&gt;1000",CampList[Total],"&lt;=5000",CampList[Affected Population],"IDP")</f>
        <v>0</v>
      </c>
      <c r="AO42" s="34">
        <f>COUNTIFS(CampList[Township],$AK42,CampList[Status],"open",CampList[Total],"&gt;5000",CampList[Total],"&lt;=100000",CampList[Affected Population],"IDP")</f>
        <v>0</v>
      </c>
      <c r="AP42" s="26">
        <f>COUNTIFS(CampList[Township],$AK43,CampList[Status],"open",CampList[Total],"",CampList[Affected Population],"IDP")</f>
        <v>0</v>
      </c>
      <c r="AQ42" s="208"/>
    </row>
    <row r="43" spans="1:47" ht="23.45" customHeight="1" x14ac:dyDescent="0.25">
      <c r="B43" s="260"/>
      <c r="C43" s="1"/>
      <c r="D43" s="1"/>
      <c r="E43" s="1"/>
      <c r="F43" s="1"/>
      <c r="G43" s="1"/>
      <c r="H43" s="39"/>
      <c r="I43" s="39"/>
      <c r="J43" s="39"/>
      <c r="K43" s="39"/>
      <c r="L43" s="39"/>
      <c r="M43" s="39"/>
      <c r="N43" s="39"/>
      <c r="O43" s="39"/>
      <c r="P43" s="39"/>
      <c r="Q43" s="39"/>
      <c r="R43" s="39"/>
      <c r="S43" s="39"/>
      <c r="T43" s="39"/>
      <c r="U43" s="258"/>
      <c r="X43"/>
      <c r="Y43"/>
      <c r="Z43"/>
      <c r="AB43"/>
      <c r="AK43" s="20" t="s">
        <v>895</v>
      </c>
      <c r="AL43" s="34">
        <f>COUNTIFS(CampList[Township],$AK43,CampList[Status],"open",CampList[Total],"&lt;=100",CampList[Affected Population],"IDP")</f>
        <v>0</v>
      </c>
      <c r="AM43" s="34">
        <f>COUNTIFS(CampList[Township],$AK43,CampList[Status],"open",CampList[Total],"&gt;100",CampList[Total],"&lt;=1000",CampList[Affected Population],"IDP")</f>
        <v>0</v>
      </c>
      <c r="AN43" s="34">
        <f>COUNTIFS(CampList[Township],$AK43,CampList[Status],"open",CampList[Total],"&gt;1000",CampList[Total],"&lt;=5000",CampList[Affected Population],"IDP")</f>
        <v>0</v>
      </c>
      <c r="AO43" s="34">
        <f>COUNTIFS(CampList[Township],$AK43,CampList[Status],"open",CampList[Total],"&gt;5000",CampList[Total],"&lt;=100000",CampList[Affected Population],"IDP")</f>
        <v>0</v>
      </c>
      <c r="AP43" s="26">
        <f>COUNTIFS(CampList[Township],$AK44,CampList[Status],"open",CampList[Total],"",CampList[Affected Population],"IDP")</f>
        <v>0</v>
      </c>
      <c r="AQ43" s="208">
        <f t="shared" ref="AQ43:AQ57" si="3">SUM(AL42:AP42)</f>
        <v>9</v>
      </c>
      <c r="AR43" s="123"/>
      <c r="AS43" s="123"/>
      <c r="AT43" s="123"/>
      <c r="AU43" s="123"/>
    </row>
    <row r="44" spans="1:47" ht="23.45" customHeight="1" thickBot="1" x14ac:dyDescent="0.3">
      <c r="B44" s="261"/>
      <c r="C44" s="262"/>
      <c r="D44" s="262"/>
      <c r="E44" s="262"/>
      <c r="F44" s="262"/>
      <c r="G44" s="262"/>
      <c r="H44" s="262"/>
      <c r="I44" s="262"/>
      <c r="J44" s="262"/>
      <c r="K44" s="262"/>
      <c r="L44" s="262"/>
      <c r="M44" s="262"/>
      <c r="N44" s="262"/>
      <c r="O44" s="262"/>
      <c r="P44" s="262"/>
      <c r="Q44" s="262"/>
      <c r="R44" s="262"/>
      <c r="S44" s="256"/>
      <c r="T44" s="256"/>
      <c r="U44" s="259"/>
      <c r="X44"/>
      <c r="Y44"/>
      <c r="Z44"/>
      <c r="AB44"/>
      <c r="AK44" s="20" t="s">
        <v>151</v>
      </c>
      <c r="AL44" s="34">
        <f>COUNTIFS(CampList[Township],$AK44,CampList[Status],"open",CampList[Total],"&lt;=100",CampList[Affected Population],"IDP")</f>
        <v>0</v>
      </c>
      <c r="AM44" s="34">
        <f>COUNTIFS(CampList[Township],$AK44,CampList[Status],"open",CampList[Total],"&gt;100",CampList[Total],"&lt;=1000",CampList[Affected Population],"IDP")</f>
        <v>7</v>
      </c>
      <c r="AN44" s="34">
        <f>COUNTIFS(CampList[Township],$AK44,CampList[Status],"open",CampList[Total],"&gt;1000",CampList[Total],"&lt;=5000",CampList[Affected Population],"IDP")</f>
        <v>5</v>
      </c>
      <c r="AO44" s="34">
        <f>COUNTIFS(CampList[Township],$AK44,CampList[Status],"open",CampList[Total],"&gt;5000",CampList[Total],"&lt;=100000",CampList[Affected Population],"IDP")</f>
        <v>0</v>
      </c>
      <c r="AP44" s="26">
        <f>COUNTIFS(CampList[Township],$AK45,CampList[Status],"open",CampList[Total],"",CampList[Affected Population],"IDP")</f>
        <v>0</v>
      </c>
      <c r="AQ44" s="208">
        <f t="shared" si="3"/>
        <v>0</v>
      </c>
      <c r="AR44" s="123"/>
      <c r="AS44" s="123"/>
      <c r="AT44" s="123"/>
      <c r="AU44" s="123"/>
    </row>
    <row r="45" spans="1:47" x14ac:dyDescent="0.25">
      <c r="X45"/>
      <c r="Y45"/>
      <c r="Z45"/>
      <c r="AB45"/>
      <c r="AK45" s="20" t="s">
        <v>166</v>
      </c>
      <c r="AL45" s="34">
        <f>COUNTIFS(CampList[Township],$AK45,CampList[Status],"open",CampList[Total],"&lt;=100",CampList[Affected Population],"IDP")</f>
        <v>0</v>
      </c>
      <c r="AM45" s="34">
        <f>COUNTIFS(CampList[Township],$AK45,CampList[Status],"open",CampList[Total],"&gt;100",CampList[Total],"&lt;=1000",CampList[Affected Population],"IDP")</f>
        <v>2</v>
      </c>
      <c r="AN45" s="34">
        <f>COUNTIFS(CampList[Township],$AK45,CampList[Status],"open",CampList[Total],"&gt;1000",CampList[Total],"&lt;=5000",CampList[Affected Population],"IDP")</f>
        <v>0</v>
      </c>
      <c r="AO45" s="34">
        <f>COUNTIFS(CampList[Township],$AK45,CampList[Status],"open",CampList[Total],"&gt;5000",CampList[Total],"&lt;=100000",CampList[Affected Population],"IDP")</f>
        <v>0</v>
      </c>
      <c r="AP45" s="26">
        <f>COUNTIFS(CampList[Township],$AK46,CampList[Status],"open",CampList[Total],"",CampList[Affected Population],"IDP")</f>
        <v>0</v>
      </c>
      <c r="AQ45" s="208">
        <f t="shared" si="3"/>
        <v>12</v>
      </c>
      <c r="AR45" s="123"/>
      <c r="AS45" s="123"/>
      <c r="AT45" s="123"/>
      <c r="AU45" s="123"/>
    </row>
    <row r="46" spans="1:47" x14ac:dyDescent="0.25">
      <c r="AB46"/>
      <c r="AK46" s="20" t="s">
        <v>173</v>
      </c>
      <c r="AL46" s="34">
        <f>COUNTIFS(CampList[Township],$AK46,CampList[Status],"open",CampList[Total],"&lt;=100",CampList[Affected Population],"IDP")</f>
        <v>5</v>
      </c>
      <c r="AM46" s="34">
        <f>COUNTIFS(CampList[Township],$AK46,CampList[Status],"open",CampList[Total],"&gt;100",CampList[Total],"&lt;=1000",CampList[Affected Population],"IDP")</f>
        <v>1</v>
      </c>
      <c r="AN46" s="34">
        <f>COUNTIFS(CampList[Township],$AK46,CampList[Status],"open",CampList[Total],"&gt;1000",CampList[Total],"&lt;=5000",CampList[Affected Population],"IDP")</f>
        <v>0</v>
      </c>
      <c r="AO46" s="34">
        <f>COUNTIFS(CampList[Township],$AK46,CampList[Status],"open",CampList[Total],"&gt;5000",CampList[Total],"&lt;=100000",CampList[Affected Population],"IDP")</f>
        <v>0</v>
      </c>
      <c r="AP46" s="26">
        <f>COUNTIFS(CampList[Township],$AK47,CampList[Status],"open",CampList[Total],"",CampList[Affected Population],"IDP")</f>
        <v>0</v>
      </c>
      <c r="AQ46" s="208">
        <f t="shared" si="3"/>
        <v>2</v>
      </c>
      <c r="AR46" s="123"/>
      <c r="AS46" s="123"/>
      <c r="AT46" s="123"/>
      <c r="AU46" s="123"/>
    </row>
    <row r="47" spans="1:47" x14ac:dyDescent="0.25">
      <c r="AB47"/>
      <c r="AK47" s="20" t="s">
        <v>180</v>
      </c>
      <c r="AL47" s="34">
        <f>COUNTIFS(CampList[Township],$AK47,CampList[Status],"open",CampList[Total],"&lt;=100",CampList[Affected Population],"IDP")</f>
        <v>3</v>
      </c>
      <c r="AM47" s="34">
        <f>COUNTIFS(CampList[Township],$AK47,CampList[Status],"open",CampList[Total],"&gt;100",CampList[Total],"&lt;=1000",CampList[Affected Population],"IDP")</f>
        <v>1</v>
      </c>
      <c r="AN47" s="34">
        <f>COUNTIFS(CampList[Township],$AK47,CampList[Status],"open",CampList[Total],"&gt;1000",CampList[Total],"&lt;=5000",CampList[Affected Population],"IDP")</f>
        <v>0</v>
      </c>
      <c r="AO47" s="34">
        <f>COUNTIFS(CampList[Township],$AK47,CampList[Status],"open",CampList[Total],"&gt;5000",CampList[Total],"&lt;=100000",CampList[Affected Population],"IDP")</f>
        <v>0</v>
      </c>
      <c r="AP47" s="26">
        <f>COUNTIFS(CampList[Township],$AK48,CampList[Status],"open",CampList[Total],"",CampList[Affected Population],"IDP")</f>
        <v>1</v>
      </c>
      <c r="AQ47" s="208">
        <f t="shared" si="3"/>
        <v>6</v>
      </c>
      <c r="AR47" s="123"/>
      <c r="AS47" s="123"/>
      <c r="AT47" s="123"/>
      <c r="AU47" s="123"/>
    </row>
    <row r="48" spans="1:47" x14ac:dyDescent="0.25">
      <c r="AB48"/>
      <c r="AK48" s="20" t="s">
        <v>185</v>
      </c>
      <c r="AL48" s="34">
        <f>COUNTIFS(CampList[Township],$AK48,CampList[Status],"open",CampList[Total],"&lt;=100",CampList[Affected Population],"IDP")</f>
        <v>5</v>
      </c>
      <c r="AM48" s="34">
        <f>COUNTIFS(CampList[Township],$AK48,CampList[Status],"open",CampList[Total],"&gt;100",CampList[Total],"&lt;=1000",CampList[Affected Population],"IDP")</f>
        <v>7</v>
      </c>
      <c r="AN48" s="34">
        <f>COUNTIFS(CampList[Township],$AK48,CampList[Status],"open",CampList[Total],"&gt;1000",CampList[Total],"&lt;=5000",CampList[Affected Population],"IDP")</f>
        <v>7</v>
      </c>
      <c r="AO48" s="34">
        <f>COUNTIFS(CampList[Township],$AK48,CampList[Status],"open",CampList[Total],"&gt;5000",CampList[Total],"&lt;=100000",CampList[Affected Population],"IDP")</f>
        <v>0</v>
      </c>
      <c r="AP48" s="26">
        <f>COUNTIFS(CampList[Township],$AK49,CampList[Status],"open",CampList[Total],"",CampList[Affected Population],"IDP")</f>
        <v>2</v>
      </c>
      <c r="AQ48" s="208">
        <f t="shared" si="3"/>
        <v>5</v>
      </c>
      <c r="AR48" s="123"/>
      <c r="AS48" s="123"/>
      <c r="AT48" s="123"/>
      <c r="AU48" s="123"/>
    </row>
    <row r="49" spans="9:47" x14ac:dyDescent="0.25">
      <c r="AB49"/>
      <c r="AK49" s="20" t="s">
        <v>230</v>
      </c>
      <c r="AL49" s="34">
        <f>COUNTIFS(CampList[Township],$AK49,CampList[Status],"open",CampList[Total],"&lt;=100",CampList[Affected Population],"IDP")</f>
        <v>0</v>
      </c>
      <c r="AM49" s="34">
        <f>COUNTIFS(CampList[Township],$AK49,CampList[Status],"open",CampList[Total],"&gt;100",CampList[Total],"&lt;=1000",CampList[Affected Population],"IDP")</f>
        <v>4</v>
      </c>
      <c r="AN49" s="34">
        <f>COUNTIFS(CampList[Township],$AK49,CampList[Status],"open",CampList[Total],"&gt;1000",CampList[Total],"&lt;=5000",CampList[Affected Population],"IDP")</f>
        <v>0</v>
      </c>
      <c r="AO49" s="34">
        <f>COUNTIFS(CampList[Township],$AK49,CampList[Status],"open",CampList[Total],"&gt;5000",CampList[Total],"&lt;=100000",CampList[Affected Population],"IDP")</f>
        <v>0</v>
      </c>
      <c r="AP49" s="26">
        <f>COUNTIFS(CampList[Township],$AK50,CampList[Status],"open",CampList[Total],"",CampList[Affected Population],"IDP")</f>
        <v>0</v>
      </c>
      <c r="AQ49" s="208">
        <f t="shared" si="3"/>
        <v>21</v>
      </c>
      <c r="AR49" s="123"/>
      <c r="AS49" s="123"/>
      <c r="AT49" s="123"/>
      <c r="AU49" s="123"/>
    </row>
    <row r="50" spans="9:47" x14ac:dyDescent="0.25">
      <c r="AB50"/>
      <c r="AK50" s="20" t="s">
        <v>237</v>
      </c>
      <c r="AL50" s="34">
        <f>COUNTIFS(CampList[Township],$AK50,CampList[Status],"open",CampList[Total],"&lt;=100",CampList[Affected Population],"IDP")</f>
        <v>6</v>
      </c>
      <c r="AM50" s="34">
        <f>COUNTIFS(CampList[Township],$AK50,CampList[Status],"open",CampList[Total],"&gt;100",CampList[Total],"&lt;=1000",CampList[Affected Population],"IDP")</f>
        <v>17</v>
      </c>
      <c r="AN50" s="34">
        <f>COUNTIFS(CampList[Township],$AK50,CampList[Status],"open",CampList[Total],"&gt;1000",CampList[Total],"&lt;=5000",CampList[Affected Population],"IDP")</f>
        <v>1</v>
      </c>
      <c r="AO50" s="34">
        <f>COUNTIFS(CampList[Township],$AK50,CampList[Status],"open",CampList[Total],"&gt;5000",CampList[Total],"&lt;=100000",CampList[Affected Population],"IDP")</f>
        <v>0</v>
      </c>
      <c r="AP50" s="26">
        <f>COUNTIFS(CampList[Township],$AK51,CampList[Status],"open",CampList[Total],"",CampList[Affected Population],"IDP")</f>
        <v>0</v>
      </c>
      <c r="AQ50" s="208">
        <f t="shared" si="3"/>
        <v>4</v>
      </c>
      <c r="AR50" s="123"/>
      <c r="AS50" s="123"/>
      <c r="AT50" s="123"/>
      <c r="AU50" s="123"/>
    </row>
    <row r="51" spans="9:47" x14ac:dyDescent="0.25">
      <c r="AB51"/>
      <c r="AK51" s="20" t="s">
        <v>289</v>
      </c>
      <c r="AL51" s="34">
        <f>COUNTIFS(CampList[Township],$AK51,CampList[Status],"open",CampList[Total],"&lt;=100",CampList[Affected Population],"IDP")</f>
        <v>0</v>
      </c>
      <c r="AM51" s="34">
        <f>COUNTIFS(CampList[Township],$AK51,CampList[Status],"open",CampList[Total],"&gt;100",CampList[Total],"&lt;=1000",CampList[Affected Population],"IDP")</f>
        <v>5</v>
      </c>
      <c r="AN51" s="34">
        <f>COUNTIFS(CampList[Township],$AK51,CampList[Status],"open",CampList[Total],"&gt;1000",CampList[Total],"&lt;=5000",CampList[Affected Population],"IDP")</f>
        <v>0</v>
      </c>
      <c r="AO51" s="34">
        <f>COUNTIFS(CampList[Township],$AK51,CampList[Status],"open",CampList[Total],"&gt;5000",CampList[Total],"&lt;=100000",CampList[Affected Population],"IDP")</f>
        <v>0</v>
      </c>
      <c r="AP51" s="26">
        <f>COUNTIFS(CampList[Township],$AK52,CampList[Status],"open",CampList[Total],"",CampList[Affected Population],"IDP")</f>
        <v>0</v>
      </c>
      <c r="AQ51" s="208">
        <f t="shared" si="3"/>
        <v>24</v>
      </c>
      <c r="AR51" s="123"/>
      <c r="AS51" s="123"/>
      <c r="AT51" s="123"/>
      <c r="AU51" s="123"/>
    </row>
    <row r="52" spans="9:47" x14ac:dyDescent="0.25">
      <c r="AB52"/>
      <c r="AK52" s="20" t="s">
        <v>298</v>
      </c>
      <c r="AL52" s="34">
        <f>COUNTIFS(CampList[Township],$AK52,CampList[Status],"open",CampList[Total],"&lt;=100",CampList[Affected Population],"IDP")</f>
        <v>1</v>
      </c>
      <c r="AM52" s="34">
        <f>COUNTIFS(CampList[Township],$AK52,CampList[Status],"open",CampList[Total],"&gt;100",CampList[Total],"&lt;=1000",CampList[Affected Population],"IDP")</f>
        <v>1</v>
      </c>
      <c r="AN52" s="34">
        <f>COUNTIFS(CampList[Township],$AK52,CampList[Status],"open",CampList[Total],"&gt;1000",CampList[Total],"&lt;=5000",CampList[Affected Population],"IDP")</f>
        <v>0</v>
      </c>
      <c r="AO52" s="34">
        <f>COUNTIFS(CampList[Township],$AK52,CampList[Status],"open",CampList[Total],"&gt;5000",CampList[Total],"&lt;=100000",CampList[Affected Population],"IDP")</f>
        <v>0</v>
      </c>
      <c r="AP52" s="26">
        <f>COUNTIFS(CampList[Township],$AK53,CampList[Status],"open",CampList[Total],"",CampList[Affected Population],"IDP")</f>
        <v>0</v>
      </c>
      <c r="AQ52" s="208">
        <f t="shared" si="3"/>
        <v>5</v>
      </c>
      <c r="AR52" s="123"/>
      <c r="AS52" s="123"/>
      <c r="AT52" s="123"/>
      <c r="AU52" s="123"/>
    </row>
    <row r="53" spans="9:47" x14ac:dyDescent="0.25">
      <c r="AB53"/>
      <c r="AK53" s="20" t="s">
        <v>300</v>
      </c>
      <c r="AL53" s="34">
        <f>COUNTIFS(CampList[Township],$AK53,CampList[Status],"open",CampList[Total],"&lt;=100",CampList[Affected Population],"IDP")</f>
        <v>2</v>
      </c>
      <c r="AM53" s="34">
        <f>COUNTIFS(CampList[Township],$AK53,CampList[Status],"open",CampList[Total],"&gt;100",CampList[Total],"&lt;=1000",CampList[Affected Population],"IDP")</f>
        <v>1</v>
      </c>
      <c r="AN53" s="34">
        <f>COUNTIFS(CampList[Township],$AK53,CampList[Status],"open",CampList[Total],"&gt;1000",CampList[Total],"&lt;=5000",CampList[Affected Population],"IDP")</f>
        <v>0</v>
      </c>
      <c r="AO53" s="34">
        <f>COUNTIFS(CampList[Township],$AK53,CampList[Status],"open",CampList[Total],"&gt;5000",CampList[Total],"&lt;=100000",CampList[Affected Population],"IDP")</f>
        <v>0</v>
      </c>
      <c r="AP53" s="26">
        <f>COUNTIFS(CampList[Township],$AK54,CampList[Status],"open",CampList[Total],"",CampList[Affected Population],"IDP")</f>
        <v>0</v>
      </c>
      <c r="AQ53" s="208">
        <f t="shared" si="3"/>
        <v>2</v>
      </c>
      <c r="AR53" s="123"/>
      <c r="AS53" s="123"/>
      <c r="AT53" s="123"/>
      <c r="AU53" s="123"/>
    </row>
    <row r="54" spans="9:47" x14ac:dyDescent="0.25">
      <c r="I54" s="123"/>
      <c r="J54" s="123"/>
      <c r="K54" s="123"/>
      <c r="AB54"/>
      <c r="AK54" s="20" t="s">
        <v>302</v>
      </c>
      <c r="AL54" s="34">
        <f>COUNTIFS(CampList[Township],$AK54,CampList[Status],"open",CampList[Total],"&lt;=100",CampList[Affected Population],"IDP")</f>
        <v>1</v>
      </c>
      <c r="AM54" s="34">
        <f>COUNTIFS(CampList[Township],$AK54,CampList[Status],"open",CampList[Total],"&gt;100",CampList[Total],"&lt;=1000",CampList[Affected Population],"IDP")</f>
        <v>2</v>
      </c>
      <c r="AN54" s="34">
        <f>COUNTIFS(CampList[Township],$AK54,CampList[Status],"open",CampList[Total],"&gt;1000",CampList[Total],"&lt;=5000",CampList[Affected Population],"IDP")</f>
        <v>1</v>
      </c>
      <c r="AO54" s="34">
        <f>COUNTIFS(CampList[Township],$AK54,CampList[Status],"open",CampList[Total],"&gt;5000",CampList[Total],"&lt;=100000",CampList[Affected Population],"IDP")</f>
        <v>0</v>
      </c>
      <c r="AP54" s="26">
        <f>COUNTIFS(CampList[Township],$AK55,CampList[Status],"open",CampList[Total],"",CampList[Affected Population],"IDP")</f>
        <v>0</v>
      </c>
      <c r="AQ54" s="208">
        <f t="shared" si="3"/>
        <v>3</v>
      </c>
      <c r="AR54" s="123"/>
      <c r="AS54" s="123"/>
      <c r="AT54" s="123"/>
      <c r="AU54" s="123"/>
    </row>
    <row r="55" spans="9:47" x14ac:dyDescent="0.25">
      <c r="I55" s="123"/>
      <c r="J55" s="123"/>
      <c r="K55" s="123"/>
      <c r="AB55"/>
      <c r="AK55" s="20" t="s">
        <v>810</v>
      </c>
      <c r="AL55" s="34">
        <f>COUNTIFS(CampList[Township],$AK55,CampList[Status],"open",CampList[Total],"&lt;=100",CampList[Affected Population],"IDP")</f>
        <v>1</v>
      </c>
      <c r="AM55" s="34">
        <f>COUNTIFS(CampList[Township],$AK55,CampList[Status],"open",CampList[Total],"&gt;100",CampList[Total],"&lt;=1000",CampList[Affected Population],"IDP")</f>
        <v>2</v>
      </c>
      <c r="AN55" s="34">
        <f>COUNTIFS(CampList[Township],$AK55,CampList[Status],"open",CampList[Total],"&gt;1000",CampList[Total],"&lt;=5000",CampList[Affected Population],"IDP")</f>
        <v>0</v>
      </c>
      <c r="AO55" s="34">
        <f>COUNTIFS(CampList[Township],$AK55,CampList[Status],"open",CampList[Total],"&gt;5000",CampList[Total],"&lt;=100000",CampList[Affected Population],"IDP")</f>
        <v>0</v>
      </c>
      <c r="AP55" s="26">
        <f>COUNTIFS(CampList[Township],$AK56,CampList[Status],"open",CampList[Total],"",CampList[Affected Population],"IDP")</f>
        <v>0</v>
      </c>
      <c r="AQ55" s="208">
        <f t="shared" si="3"/>
        <v>4</v>
      </c>
      <c r="AR55" s="123"/>
      <c r="AS55" s="123"/>
      <c r="AT55" s="123"/>
      <c r="AU55" s="123"/>
    </row>
    <row r="56" spans="9:47" x14ac:dyDescent="0.25">
      <c r="I56" s="123"/>
      <c r="J56" s="123"/>
      <c r="K56" s="123"/>
      <c r="AB56"/>
      <c r="AK56" s="20" t="s">
        <v>310</v>
      </c>
      <c r="AL56" s="34">
        <f>COUNTIFS(CampList[Township],$AK56,CampList[Status],"open",CampList[Total],"&lt;=100",CampList[Affected Population],"IDP")</f>
        <v>1</v>
      </c>
      <c r="AM56" s="34">
        <f>COUNTIFS(CampList[Township],$AK56,CampList[Status],"open",CampList[Total],"&gt;100",CampList[Total],"&lt;=1000",CampList[Affected Population],"IDP")</f>
        <v>14</v>
      </c>
      <c r="AN56" s="34">
        <f>COUNTIFS(CampList[Township],$AK56,CampList[Status],"open",CampList[Total],"&gt;1000",CampList[Total],"&lt;=5000",CampList[Affected Population],"IDP")</f>
        <v>6</v>
      </c>
      <c r="AO56" s="34">
        <f>COUNTIFS(CampList[Township],$AK56,CampList[Status],"open",CampList[Total],"&gt;5000",CampList[Total],"&lt;=100000",CampList[Affected Population],"IDP")</f>
        <v>2</v>
      </c>
      <c r="AP56" s="26">
        <f>COUNTIFS(CampList[Township],$AK57,CampList[Status],"open",CampList[Total],"",CampList[Affected Population],"IDP")</f>
        <v>0</v>
      </c>
      <c r="AQ56" s="208">
        <f t="shared" si="3"/>
        <v>3</v>
      </c>
      <c r="AR56" s="123"/>
      <c r="AS56" s="123"/>
      <c r="AT56" s="123"/>
      <c r="AU56" s="123"/>
    </row>
    <row r="57" spans="9:47" x14ac:dyDescent="0.25">
      <c r="I57" s="123"/>
      <c r="J57" s="123"/>
      <c r="K57" s="123"/>
      <c r="AB57"/>
      <c r="AK57" s="26" t="s">
        <v>3</v>
      </c>
      <c r="AL57" s="50">
        <f>SUM(AL36:AL56)</f>
        <v>40</v>
      </c>
      <c r="AM57" s="50">
        <f>SUM(AM36:AM56)</f>
        <v>95</v>
      </c>
      <c r="AN57" s="50">
        <f>SUM(AN36:AN56)</f>
        <v>22</v>
      </c>
      <c r="AO57" s="50">
        <f>SUM(AO36:AO56)</f>
        <v>2</v>
      </c>
      <c r="AP57" s="50">
        <f>SUM(AP36:AP56)</f>
        <v>4</v>
      </c>
      <c r="AQ57" s="208">
        <f t="shared" si="3"/>
        <v>23</v>
      </c>
      <c r="AR57" s="123"/>
      <c r="AS57" s="123"/>
      <c r="AT57" s="123"/>
      <c r="AU57" s="123"/>
    </row>
    <row r="58" spans="9:47" x14ac:dyDescent="0.25">
      <c r="I58" s="123"/>
      <c r="J58" s="123"/>
      <c r="K58" s="123"/>
      <c r="AB58"/>
      <c r="AK58" s="33"/>
      <c r="AL58" s="33"/>
      <c r="AM58" s="33"/>
      <c r="AN58" s="33"/>
      <c r="AO58" s="33"/>
      <c r="AQ58" s="50">
        <f t="shared" ref="AQ58" si="4">SUM(AQ36:AQ57)</f>
        <v>163</v>
      </c>
      <c r="AR58" s="123"/>
      <c r="AS58" s="123"/>
      <c r="AT58" s="123"/>
      <c r="AU58" s="123"/>
    </row>
    <row r="59" spans="9:47" x14ac:dyDescent="0.25">
      <c r="I59" s="123"/>
      <c r="J59" s="123"/>
      <c r="K59" s="123"/>
      <c r="AB59"/>
      <c r="AR59" s="123"/>
      <c r="AS59" s="123"/>
      <c r="AT59" s="123"/>
      <c r="AU59" s="123"/>
    </row>
    <row r="60" spans="9:47" x14ac:dyDescent="0.25">
      <c r="I60" s="123"/>
      <c r="J60" s="123"/>
      <c r="K60" s="123"/>
      <c r="AB60"/>
      <c r="AQ60" s="33"/>
      <c r="AR60" s="123"/>
      <c r="AS60" s="123"/>
      <c r="AT60" s="123"/>
      <c r="AU60" s="123"/>
    </row>
    <row r="61" spans="9:47" x14ac:dyDescent="0.25">
      <c r="I61" s="123"/>
      <c r="J61" s="123"/>
      <c r="K61" s="123"/>
      <c r="AB61"/>
      <c r="AQ61" s="33"/>
      <c r="AR61" s="123"/>
      <c r="AS61" s="123"/>
      <c r="AT61" s="123"/>
      <c r="AU61" s="123"/>
    </row>
    <row r="62" spans="9:47" x14ac:dyDescent="0.25">
      <c r="I62" s="123"/>
      <c r="J62" s="123"/>
      <c r="K62" s="123"/>
      <c r="AB62"/>
      <c r="AQ62" s="33"/>
      <c r="AR62" s="123"/>
      <c r="AS62" s="123"/>
      <c r="AT62" s="123"/>
      <c r="AU62" s="123"/>
    </row>
    <row r="63" spans="9:47" x14ac:dyDescent="0.25">
      <c r="I63" s="123"/>
      <c r="J63" s="123"/>
      <c r="K63" s="123"/>
      <c r="AB63"/>
      <c r="AQ63" s="33"/>
      <c r="AR63" s="123"/>
      <c r="AS63" s="123"/>
      <c r="AT63" s="123"/>
      <c r="AU63" s="123"/>
    </row>
    <row r="64" spans="9:47" x14ac:dyDescent="0.25">
      <c r="I64" s="123"/>
      <c r="J64" s="123"/>
      <c r="K64" s="123"/>
      <c r="AB64"/>
      <c r="AQ64" s="33"/>
      <c r="AR64" s="123"/>
      <c r="AS64" s="123"/>
      <c r="AT64" s="123"/>
      <c r="AU64" s="123"/>
    </row>
    <row r="65" spans="9:47" x14ac:dyDescent="0.25">
      <c r="I65" s="123"/>
      <c r="J65" s="123"/>
      <c r="K65" s="123"/>
      <c r="AB65"/>
      <c r="AQ65" s="33"/>
      <c r="AR65" s="123"/>
      <c r="AS65" s="123"/>
      <c r="AT65" s="123"/>
      <c r="AU65" s="123"/>
    </row>
    <row r="66" spans="9:47" x14ac:dyDescent="0.25">
      <c r="I66" s="123"/>
      <c r="J66" s="123"/>
      <c r="K66" s="123"/>
      <c r="AB66"/>
      <c r="AQ66" s="33"/>
      <c r="AR66" s="123"/>
      <c r="AS66" s="123"/>
      <c r="AT66" s="123"/>
      <c r="AU66" s="123"/>
    </row>
    <row r="67" spans="9:47" x14ac:dyDescent="0.25">
      <c r="I67" s="123"/>
      <c r="J67" s="123"/>
      <c r="K67" s="123"/>
      <c r="AB67"/>
      <c r="AQ67" s="33"/>
      <c r="AR67" s="123"/>
      <c r="AS67" s="123"/>
      <c r="AT67" s="123"/>
      <c r="AU67" s="123"/>
    </row>
    <row r="68" spans="9:47" x14ac:dyDescent="0.25">
      <c r="AB68"/>
    </row>
    <row r="69" spans="9:47" x14ac:dyDescent="0.25">
      <c r="AB69"/>
    </row>
    <row r="70" spans="9:47" x14ac:dyDescent="0.25">
      <c r="AB70"/>
    </row>
    <row r="71" spans="9:47" x14ac:dyDescent="0.25">
      <c r="AB71"/>
    </row>
    <row r="72" spans="9:47" x14ac:dyDescent="0.25">
      <c r="AB72"/>
    </row>
    <row r="73" spans="9:47" x14ac:dyDescent="0.25">
      <c r="AB73"/>
    </row>
    <row r="74" spans="9:47" x14ac:dyDescent="0.25">
      <c r="AB74"/>
    </row>
    <row r="75" spans="9:47" x14ac:dyDescent="0.25">
      <c r="AB75"/>
    </row>
    <row r="76" spans="9:47" x14ac:dyDescent="0.25">
      <c r="AB76"/>
    </row>
    <row r="77" spans="9:47" x14ac:dyDescent="0.25">
      <c r="AB77"/>
    </row>
    <row r="78" spans="9:47" x14ac:dyDescent="0.25">
      <c r="AB78"/>
    </row>
    <row r="79" spans="9:47" x14ac:dyDescent="0.25">
      <c r="AB79"/>
    </row>
    <row r="80" spans="9:47" x14ac:dyDescent="0.25">
      <c r="AB80"/>
    </row>
    <row r="81" spans="27:29" x14ac:dyDescent="0.25">
      <c r="AB81"/>
    </row>
    <row r="82" spans="27:29" x14ac:dyDescent="0.25">
      <c r="AB82"/>
    </row>
    <row r="83" spans="27:29" x14ac:dyDescent="0.25">
      <c r="AB83"/>
    </row>
    <row r="84" spans="27:29" x14ac:dyDescent="0.25">
      <c r="AB84"/>
    </row>
    <row r="85" spans="27:29" x14ac:dyDescent="0.25">
      <c r="AB85"/>
    </row>
    <row r="86" spans="27:29" x14ac:dyDescent="0.25">
      <c r="AB86"/>
    </row>
    <row r="87" spans="27:29" x14ac:dyDescent="0.25">
      <c r="AB87"/>
    </row>
    <row r="88" spans="27:29" x14ac:dyDescent="0.25">
      <c r="AA88" s="17"/>
      <c r="AB88"/>
      <c r="AC88" s="17"/>
    </row>
    <row r="89" spans="27:29" x14ac:dyDescent="0.25">
      <c r="AA89" s="17"/>
      <c r="AB89"/>
    </row>
    <row r="90" spans="27:29" x14ac:dyDescent="0.25">
      <c r="AA90" s="17"/>
      <c r="AB90"/>
    </row>
    <row r="91" spans="27:29" x14ac:dyDescent="0.25">
      <c r="AB91"/>
    </row>
    <row r="92" spans="27:29" x14ac:dyDescent="0.25">
      <c r="AB92"/>
    </row>
    <row r="93" spans="27:29" x14ac:dyDescent="0.25">
      <c r="AB93"/>
    </row>
    <row r="94" spans="27:29" x14ac:dyDescent="0.25">
      <c r="AB94"/>
    </row>
    <row r="95" spans="27:29" x14ac:dyDescent="0.25">
      <c r="AB95"/>
    </row>
    <row r="96" spans="27:29" x14ac:dyDescent="0.25">
      <c r="AB96"/>
    </row>
    <row r="97" spans="28:28" x14ac:dyDescent="0.25">
      <c r="AB97"/>
    </row>
    <row r="98" spans="28:28" x14ac:dyDescent="0.25">
      <c r="AB98"/>
    </row>
    <row r="99" spans="28:28" x14ac:dyDescent="0.25">
      <c r="AB99"/>
    </row>
    <row r="100" spans="28:28" x14ac:dyDescent="0.25">
      <c r="AB100"/>
    </row>
    <row r="101" spans="28:28" x14ac:dyDescent="0.25">
      <c r="AB101"/>
    </row>
    <row r="102" spans="28:28" x14ac:dyDescent="0.25">
      <c r="AB102"/>
    </row>
    <row r="103" spans="28:28" x14ac:dyDescent="0.25">
      <c r="AB103"/>
    </row>
    <row r="104" spans="28:28" x14ac:dyDescent="0.25">
      <c r="AB104"/>
    </row>
    <row r="105" spans="28:28" x14ac:dyDescent="0.25">
      <c r="AB105"/>
    </row>
    <row r="106" spans="28:28" x14ac:dyDescent="0.25">
      <c r="AB106"/>
    </row>
    <row r="107" spans="28:28" x14ac:dyDescent="0.25">
      <c r="AB107"/>
    </row>
    <row r="108" spans="28:28" x14ac:dyDescent="0.25">
      <c r="AB108"/>
    </row>
    <row r="109" spans="28:28" x14ac:dyDescent="0.25">
      <c r="AB109"/>
    </row>
    <row r="110" spans="28:28" x14ac:dyDescent="0.25">
      <c r="AB110"/>
    </row>
    <row r="111" spans="28:28" x14ac:dyDescent="0.25">
      <c r="AB111"/>
    </row>
    <row r="112" spans="28:28" x14ac:dyDescent="0.25">
      <c r="AB112"/>
    </row>
    <row r="113" spans="28:28" x14ac:dyDescent="0.25">
      <c r="AB113"/>
    </row>
    <row r="114" spans="28:28" x14ac:dyDescent="0.25">
      <c r="AB114"/>
    </row>
    <row r="115" spans="28:28" x14ac:dyDescent="0.25">
      <c r="AB115"/>
    </row>
    <row r="116" spans="28:28" x14ac:dyDescent="0.25">
      <c r="AB116"/>
    </row>
    <row r="117" spans="28:28" x14ac:dyDescent="0.25">
      <c r="AB117"/>
    </row>
    <row r="118" spans="28:28" x14ac:dyDescent="0.25">
      <c r="AB118"/>
    </row>
    <row r="119" spans="28:28" x14ac:dyDescent="0.25">
      <c r="AB119"/>
    </row>
    <row r="120" spans="28:28" x14ac:dyDescent="0.25">
      <c r="AB120"/>
    </row>
    <row r="121" spans="28:28" x14ac:dyDescent="0.25">
      <c r="AB121"/>
    </row>
    <row r="122" spans="28:28" x14ac:dyDescent="0.25">
      <c r="AB122"/>
    </row>
    <row r="123" spans="28:28" x14ac:dyDescent="0.25">
      <c r="AB123"/>
    </row>
    <row r="124" spans="28:28" x14ac:dyDescent="0.25">
      <c r="AB124"/>
    </row>
    <row r="125" spans="28:28" x14ac:dyDescent="0.25">
      <c r="AB125"/>
    </row>
    <row r="126" spans="28:28" x14ac:dyDescent="0.25">
      <c r="AB126"/>
    </row>
    <row r="127" spans="28:28" x14ac:dyDescent="0.25">
      <c r="AB127"/>
    </row>
    <row r="128" spans="28:28" x14ac:dyDescent="0.25">
      <c r="AB128"/>
    </row>
    <row r="129" spans="28:28" x14ac:dyDescent="0.25">
      <c r="AB129"/>
    </row>
    <row r="130" spans="28:28" x14ac:dyDescent="0.25">
      <c r="AB130"/>
    </row>
    <row r="131" spans="28:28" x14ac:dyDescent="0.25">
      <c r="AB131"/>
    </row>
    <row r="132" spans="28:28" x14ac:dyDescent="0.25">
      <c r="AB132"/>
    </row>
    <row r="133" spans="28:28" x14ac:dyDescent="0.25">
      <c r="AB133"/>
    </row>
    <row r="134" spans="28:28" x14ac:dyDescent="0.25">
      <c r="AB134"/>
    </row>
    <row r="135" spans="28:28" x14ac:dyDescent="0.25">
      <c r="AB135"/>
    </row>
    <row r="136" spans="28:28" x14ac:dyDescent="0.25">
      <c r="AB136"/>
    </row>
    <row r="137" spans="28:28" x14ac:dyDescent="0.25">
      <c r="AB137"/>
    </row>
    <row r="138" spans="28:28" x14ac:dyDescent="0.25">
      <c r="AB138"/>
    </row>
    <row r="139" spans="28:28" x14ac:dyDescent="0.25">
      <c r="AB139"/>
    </row>
    <row r="140" spans="28:28" x14ac:dyDescent="0.25">
      <c r="AB140"/>
    </row>
    <row r="141" spans="28:28" x14ac:dyDescent="0.25">
      <c r="AB141"/>
    </row>
    <row r="142" spans="28:28" x14ac:dyDescent="0.25">
      <c r="AB142"/>
    </row>
    <row r="143" spans="28:28" x14ac:dyDescent="0.25">
      <c r="AB143"/>
    </row>
    <row r="144" spans="28:28" x14ac:dyDescent="0.25">
      <c r="AB144"/>
    </row>
    <row r="145" spans="28:28" x14ac:dyDescent="0.25">
      <c r="AB145"/>
    </row>
    <row r="146" spans="28:28" x14ac:dyDescent="0.25">
      <c r="AB146"/>
    </row>
    <row r="147" spans="28:28" x14ac:dyDescent="0.25">
      <c r="AB147"/>
    </row>
    <row r="148" spans="28:28" x14ac:dyDescent="0.25">
      <c r="AB148"/>
    </row>
    <row r="149" spans="28:28" x14ac:dyDescent="0.25">
      <c r="AB149"/>
    </row>
    <row r="150" spans="28:28" x14ac:dyDescent="0.25">
      <c r="AB150"/>
    </row>
    <row r="151" spans="28:28" x14ac:dyDescent="0.25">
      <c r="AB151"/>
    </row>
    <row r="152" spans="28:28" x14ac:dyDescent="0.25">
      <c r="AB152"/>
    </row>
    <row r="153" spans="28:28" x14ac:dyDescent="0.25">
      <c r="AB153"/>
    </row>
    <row r="154" spans="28:28" x14ac:dyDescent="0.25">
      <c r="AB154"/>
    </row>
    <row r="155" spans="28:28" x14ac:dyDescent="0.25">
      <c r="AB155"/>
    </row>
    <row r="156" spans="28:28" x14ac:dyDescent="0.25">
      <c r="AB156"/>
    </row>
    <row r="157" spans="28:28" x14ac:dyDescent="0.25">
      <c r="AB157"/>
    </row>
    <row r="158" spans="28:28" x14ac:dyDescent="0.25">
      <c r="AB158"/>
    </row>
    <row r="159" spans="28:28" x14ac:dyDescent="0.25">
      <c r="AB159"/>
    </row>
    <row r="160" spans="28:28" x14ac:dyDescent="0.25">
      <c r="AB160"/>
    </row>
    <row r="161" spans="28:28" x14ac:dyDescent="0.25">
      <c r="AB161"/>
    </row>
    <row r="162" spans="28:28" x14ac:dyDescent="0.25">
      <c r="AB162"/>
    </row>
    <row r="163" spans="28:28" x14ac:dyDescent="0.25">
      <c r="AB163"/>
    </row>
    <row r="164" spans="28:28" x14ac:dyDescent="0.25">
      <c r="AB164"/>
    </row>
    <row r="165" spans="28:28" x14ac:dyDescent="0.25">
      <c r="AB165"/>
    </row>
    <row r="166" spans="28:28" x14ac:dyDescent="0.25">
      <c r="AB166"/>
    </row>
    <row r="167" spans="28:28" x14ac:dyDescent="0.25">
      <c r="AB167"/>
    </row>
    <row r="168" spans="28:28" x14ac:dyDescent="0.25">
      <c r="AB168"/>
    </row>
    <row r="169" spans="28:28" x14ac:dyDescent="0.25">
      <c r="AB169"/>
    </row>
    <row r="170" spans="28:28" x14ac:dyDescent="0.25">
      <c r="AB170"/>
    </row>
    <row r="171" spans="28:28" x14ac:dyDescent="0.25">
      <c r="AB171"/>
    </row>
    <row r="172" spans="28:28" x14ac:dyDescent="0.25">
      <c r="AB172"/>
    </row>
    <row r="173" spans="28:28" x14ac:dyDescent="0.25">
      <c r="AB173"/>
    </row>
    <row r="174" spans="28:28" x14ac:dyDescent="0.25">
      <c r="AB174"/>
    </row>
    <row r="175" spans="28:28" x14ac:dyDescent="0.25">
      <c r="AB175"/>
    </row>
    <row r="176" spans="28:28" x14ac:dyDescent="0.25">
      <c r="AB176"/>
    </row>
    <row r="177" spans="28:28" x14ac:dyDescent="0.25">
      <c r="AB177"/>
    </row>
    <row r="178" spans="28:28" x14ac:dyDescent="0.25">
      <c r="AB178"/>
    </row>
    <row r="179" spans="28:28" x14ac:dyDescent="0.25">
      <c r="AB179"/>
    </row>
    <row r="180" spans="28:28" x14ac:dyDescent="0.25">
      <c r="AB180"/>
    </row>
    <row r="181" spans="28:28" x14ac:dyDescent="0.25">
      <c r="AB181"/>
    </row>
    <row r="182" spans="28:28" x14ac:dyDescent="0.25">
      <c r="AB182"/>
    </row>
    <row r="183" spans="28:28" x14ac:dyDescent="0.25">
      <c r="AB183"/>
    </row>
    <row r="184" spans="28:28" x14ac:dyDescent="0.25">
      <c r="AB184"/>
    </row>
    <row r="185" spans="28:28" x14ac:dyDescent="0.25">
      <c r="AB185"/>
    </row>
    <row r="186" spans="28:28" x14ac:dyDescent="0.25">
      <c r="AB186"/>
    </row>
    <row r="187" spans="28:28" x14ac:dyDescent="0.25">
      <c r="AB187"/>
    </row>
    <row r="188" spans="28:28" x14ac:dyDescent="0.25">
      <c r="AB188"/>
    </row>
    <row r="189" spans="28:28" x14ac:dyDescent="0.25">
      <c r="AB189"/>
    </row>
    <row r="190" spans="28:28" x14ac:dyDescent="0.25">
      <c r="AB190"/>
    </row>
    <row r="191" spans="28:28" x14ac:dyDescent="0.25">
      <c r="AB191"/>
    </row>
    <row r="192" spans="28:28" x14ac:dyDescent="0.25">
      <c r="AB192"/>
    </row>
    <row r="193" spans="28:28" x14ac:dyDescent="0.25">
      <c r="AB193"/>
    </row>
    <row r="194" spans="28:28" x14ac:dyDescent="0.25">
      <c r="AB194"/>
    </row>
    <row r="195" spans="28:28" x14ac:dyDescent="0.25">
      <c r="AB195"/>
    </row>
    <row r="196" spans="28:28" x14ac:dyDescent="0.25">
      <c r="AB196"/>
    </row>
    <row r="197" spans="28:28" x14ac:dyDescent="0.25">
      <c r="AB197"/>
    </row>
    <row r="198" spans="28:28" x14ac:dyDescent="0.25">
      <c r="AB198"/>
    </row>
    <row r="199" spans="28:28" x14ac:dyDescent="0.25">
      <c r="AB199"/>
    </row>
    <row r="200" spans="28:28" x14ac:dyDescent="0.25">
      <c r="AB200"/>
    </row>
    <row r="201" spans="28:28" x14ac:dyDescent="0.25">
      <c r="AB201"/>
    </row>
    <row r="202" spans="28:28" x14ac:dyDescent="0.25">
      <c r="AB202"/>
    </row>
    <row r="203" spans="28:28" x14ac:dyDescent="0.25">
      <c r="AB203"/>
    </row>
    <row r="204" spans="28:28" x14ac:dyDescent="0.25">
      <c r="AB204"/>
    </row>
    <row r="205" spans="28:28" x14ac:dyDescent="0.25">
      <c r="AB205"/>
    </row>
    <row r="206" spans="28:28" x14ac:dyDescent="0.25">
      <c r="AB206"/>
    </row>
    <row r="207" spans="28:28" x14ac:dyDescent="0.25">
      <c r="AB207"/>
    </row>
    <row r="208" spans="28:28" x14ac:dyDescent="0.25">
      <c r="AB208"/>
    </row>
    <row r="209" spans="28:28" x14ac:dyDescent="0.25">
      <c r="AB209"/>
    </row>
    <row r="210" spans="28:28" x14ac:dyDescent="0.25">
      <c r="AB210"/>
    </row>
    <row r="211" spans="28:28" x14ac:dyDescent="0.25">
      <c r="AB211"/>
    </row>
    <row r="212" spans="28:28" x14ac:dyDescent="0.25">
      <c r="AB212"/>
    </row>
    <row r="213" spans="28:28" x14ac:dyDescent="0.25">
      <c r="AB213"/>
    </row>
    <row r="214" spans="28:28" x14ac:dyDescent="0.25">
      <c r="AB214"/>
    </row>
    <row r="215" spans="28:28" x14ac:dyDescent="0.25">
      <c r="AB215"/>
    </row>
    <row r="216" spans="28:28" x14ac:dyDescent="0.25">
      <c r="AB216"/>
    </row>
    <row r="217" spans="28:28" x14ac:dyDescent="0.25">
      <c r="AB217"/>
    </row>
    <row r="218" spans="28:28" x14ac:dyDescent="0.25">
      <c r="AB218"/>
    </row>
    <row r="219" spans="28:28" x14ac:dyDescent="0.25">
      <c r="AB219"/>
    </row>
    <row r="220" spans="28:28" x14ac:dyDescent="0.25">
      <c r="AB220"/>
    </row>
    <row r="221" spans="28:28" x14ac:dyDescent="0.25">
      <c r="AB221"/>
    </row>
    <row r="222" spans="28:28" x14ac:dyDescent="0.25">
      <c r="AB222"/>
    </row>
    <row r="223" spans="28:28" x14ac:dyDescent="0.25">
      <c r="AB223"/>
    </row>
    <row r="224" spans="28:28" x14ac:dyDescent="0.25">
      <c r="AB224"/>
    </row>
    <row r="225" spans="28:28" x14ac:dyDescent="0.25">
      <c r="AB225"/>
    </row>
    <row r="226" spans="28:28" x14ac:dyDescent="0.25">
      <c r="AB226"/>
    </row>
    <row r="227" spans="28:28" x14ac:dyDescent="0.25">
      <c r="AB227"/>
    </row>
    <row r="228" spans="28:28" x14ac:dyDescent="0.25">
      <c r="AB228"/>
    </row>
    <row r="229" spans="28:28" x14ac:dyDescent="0.25">
      <c r="AB229"/>
    </row>
    <row r="230" spans="28:28" x14ac:dyDescent="0.25">
      <c r="AB230"/>
    </row>
    <row r="231" spans="28:28" x14ac:dyDescent="0.25">
      <c r="AB231"/>
    </row>
    <row r="232" spans="28:28" x14ac:dyDescent="0.25">
      <c r="AB232"/>
    </row>
    <row r="233" spans="28:28" x14ac:dyDescent="0.25">
      <c r="AB233"/>
    </row>
    <row r="234" spans="28:28" x14ac:dyDescent="0.25">
      <c r="AB234"/>
    </row>
    <row r="235" spans="28:28" x14ac:dyDescent="0.25">
      <c r="AB235"/>
    </row>
    <row r="236" spans="28:28" x14ac:dyDescent="0.25">
      <c r="AB236"/>
    </row>
    <row r="237" spans="28:28" x14ac:dyDescent="0.25">
      <c r="AB237"/>
    </row>
    <row r="238" spans="28:28" x14ac:dyDescent="0.25">
      <c r="AB238"/>
    </row>
    <row r="239" spans="28:28" x14ac:dyDescent="0.25">
      <c r="AB239"/>
    </row>
    <row r="240" spans="28:28" x14ac:dyDescent="0.25">
      <c r="AB240"/>
    </row>
    <row r="241" spans="28:28" x14ac:dyDescent="0.25">
      <c r="AB241"/>
    </row>
    <row r="242" spans="28:28" x14ac:dyDescent="0.25">
      <c r="AB242"/>
    </row>
    <row r="243" spans="28:28" x14ac:dyDescent="0.25">
      <c r="AB243"/>
    </row>
    <row r="244" spans="28:28" x14ac:dyDescent="0.25">
      <c r="AB244"/>
    </row>
    <row r="245" spans="28:28" x14ac:dyDescent="0.25">
      <c r="AB245"/>
    </row>
    <row r="246" spans="28:28" x14ac:dyDescent="0.25">
      <c r="AB246"/>
    </row>
    <row r="247" spans="28:28" x14ac:dyDescent="0.25">
      <c r="AB247"/>
    </row>
    <row r="248" spans="28:28" x14ac:dyDescent="0.25">
      <c r="AB248"/>
    </row>
    <row r="249" spans="28:28" x14ac:dyDescent="0.25">
      <c r="AB249"/>
    </row>
    <row r="250" spans="28:28" x14ac:dyDescent="0.25">
      <c r="AB250"/>
    </row>
    <row r="251" spans="28:28" x14ac:dyDescent="0.25">
      <c r="AB251"/>
    </row>
    <row r="252" spans="28:28" x14ac:dyDescent="0.25">
      <c r="AB252"/>
    </row>
    <row r="253" spans="28:28" x14ac:dyDescent="0.25">
      <c r="AB253"/>
    </row>
    <row r="254" spans="28:28" x14ac:dyDescent="0.25">
      <c r="AB254"/>
    </row>
    <row r="255" spans="28:28" x14ac:dyDescent="0.25">
      <c r="AB255"/>
    </row>
    <row r="256" spans="28:28" x14ac:dyDescent="0.25">
      <c r="AB256"/>
    </row>
    <row r="257" spans="28:28" x14ac:dyDescent="0.25">
      <c r="AB257"/>
    </row>
    <row r="258" spans="28:28" x14ac:dyDescent="0.25">
      <c r="AB258"/>
    </row>
    <row r="259" spans="28:28" x14ac:dyDescent="0.25">
      <c r="AB259"/>
    </row>
    <row r="260" spans="28:28" x14ac:dyDescent="0.25">
      <c r="AB260"/>
    </row>
    <row r="261" spans="28:28" x14ac:dyDescent="0.25">
      <c r="AB261"/>
    </row>
    <row r="262" spans="28:28" x14ac:dyDescent="0.25">
      <c r="AB262"/>
    </row>
    <row r="263" spans="28:28" x14ac:dyDescent="0.25">
      <c r="AB263"/>
    </row>
    <row r="264" spans="28:28" x14ac:dyDescent="0.25">
      <c r="AB264"/>
    </row>
    <row r="265" spans="28:28" x14ac:dyDescent="0.25">
      <c r="AB265"/>
    </row>
    <row r="266" spans="28:28" x14ac:dyDescent="0.25">
      <c r="AB266"/>
    </row>
    <row r="267" spans="28:28" x14ac:dyDescent="0.25">
      <c r="AB267"/>
    </row>
    <row r="268" spans="28:28" x14ac:dyDescent="0.25">
      <c r="AB268"/>
    </row>
    <row r="269" spans="28:28" x14ac:dyDescent="0.25">
      <c r="AB269"/>
    </row>
    <row r="270" spans="28:28" x14ac:dyDescent="0.25">
      <c r="AB270"/>
    </row>
    <row r="271" spans="28:28" x14ac:dyDescent="0.25">
      <c r="AB271"/>
    </row>
    <row r="272" spans="28:28" x14ac:dyDescent="0.25">
      <c r="AB272"/>
    </row>
    <row r="273" spans="28:28" x14ac:dyDescent="0.25">
      <c r="AB273"/>
    </row>
    <row r="274" spans="28:28" x14ac:dyDescent="0.25">
      <c r="AB274"/>
    </row>
    <row r="275" spans="28:28" x14ac:dyDescent="0.25">
      <c r="AB275"/>
    </row>
    <row r="276" spans="28:28" x14ac:dyDescent="0.25">
      <c r="AB276"/>
    </row>
    <row r="277" spans="28:28" x14ac:dyDescent="0.25">
      <c r="AB277"/>
    </row>
    <row r="278" spans="28:28" x14ac:dyDescent="0.25">
      <c r="AB278"/>
    </row>
    <row r="279" spans="28:28" x14ac:dyDescent="0.25">
      <c r="AB279"/>
    </row>
    <row r="280" spans="28:28" x14ac:dyDescent="0.25">
      <c r="AB280"/>
    </row>
    <row r="281" spans="28:28" x14ac:dyDescent="0.25">
      <c r="AB281"/>
    </row>
    <row r="282" spans="28:28" x14ac:dyDescent="0.25">
      <c r="AB282"/>
    </row>
    <row r="283" spans="28:28" x14ac:dyDescent="0.25">
      <c r="AB283"/>
    </row>
    <row r="284" spans="28:28" x14ac:dyDescent="0.25">
      <c r="AB284"/>
    </row>
    <row r="285" spans="28:28" x14ac:dyDescent="0.25">
      <c r="AB285"/>
    </row>
    <row r="286" spans="28:28" x14ac:dyDescent="0.25">
      <c r="AB286"/>
    </row>
    <row r="287" spans="28:28" x14ac:dyDescent="0.25">
      <c r="AB287"/>
    </row>
    <row r="288" spans="28:28" x14ac:dyDescent="0.25">
      <c r="AB288"/>
    </row>
    <row r="289" spans="28:28" x14ac:dyDescent="0.25">
      <c r="AB289"/>
    </row>
    <row r="290" spans="28:28" x14ac:dyDescent="0.25">
      <c r="AB290"/>
    </row>
    <row r="291" spans="28:28" x14ac:dyDescent="0.25">
      <c r="AB291"/>
    </row>
    <row r="292" spans="28:28" x14ac:dyDescent="0.25">
      <c r="AB292"/>
    </row>
    <row r="293" spans="28:28" x14ac:dyDescent="0.25">
      <c r="AB293"/>
    </row>
    <row r="294" spans="28:28" x14ac:dyDescent="0.25">
      <c r="AB294"/>
    </row>
    <row r="295" spans="28:28" x14ac:dyDescent="0.25">
      <c r="AB295"/>
    </row>
    <row r="296" spans="28:28" x14ac:dyDescent="0.25">
      <c r="AB296"/>
    </row>
    <row r="297" spans="28:28" x14ac:dyDescent="0.25">
      <c r="AB297"/>
    </row>
    <row r="298" spans="28:28" x14ac:dyDescent="0.25">
      <c r="AB298"/>
    </row>
    <row r="299" spans="28:28" x14ac:dyDescent="0.25">
      <c r="AB299"/>
    </row>
    <row r="300" spans="28:28" x14ac:dyDescent="0.25">
      <c r="AB300"/>
    </row>
    <row r="301" spans="28:28" x14ac:dyDescent="0.25">
      <c r="AB301"/>
    </row>
    <row r="302" spans="28:28" x14ac:dyDescent="0.25">
      <c r="AB302"/>
    </row>
    <row r="303" spans="28:28" x14ac:dyDescent="0.25">
      <c r="AB303"/>
    </row>
    <row r="304" spans="28:28" x14ac:dyDescent="0.25">
      <c r="AB304"/>
    </row>
    <row r="305" spans="28:28" x14ac:dyDescent="0.25">
      <c r="AB305"/>
    </row>
    <row r="306" spans="28:28" x14ac:dyDescent="0.25">
      <c r="AB306"/>
    </row>
    <row r="307" spans="28:28" x14ac:dyDescent="0.25">
      <c r="AB307"/>
    </row>
    <row r="308" spans="28:28" x14ac:dyDescent="0.25">
      <c r="AB308"/>
    </row>
    <row r="309" spans="28:28" x14ac:dyDescent="0.25">
      <c r="AB309"/>
    </row>
    <row r="310" spans="28:28" x14ac:dyDescent="0.25">
      <c r="AB310"/>
    </row>
    <row r="311" spans="28:28" x14ac:dyDescent="0.25">
      <c r="AB311"/>
    </row>
    <row r="312" spans="28:28" x14ac:dyDescent="0.25">
      <c r="AB312"/>
    </row>
    <row r="313" spans="28:28" x14ac:dyDescent="0.25">
      <c r="AB313"/>
    </row>
    <row r="314" spans="28:28" x14ac:dyDescent="0.25">
      <c r="AB314"/>
    </row>
    <row r="315" spans="28:28" x14ac:dyDescent="0.25">
      <c r="AB315"/>
    </row>
    <row r="316" spans="28:28" x14ac:dyDescent="0.25">
      <c r="AB316"/>
    </row>
    <row r="317" spans="28:28" x14ac:dyDescent="0.25">
      <c r="AB317"/>
    </row>
    <row r="318" spans="28:28" x14ac:dyDescent="0.25">
      <c r="AB318"/>
    </row>
    <row r="319" spans="28:28" x14ac:dyDescent="0.25">
      <c r="AB319"/>
    </row>
    <row r="320" spans="28:28" x14ac:dyDescent="0.25">
      <c r="AB320"/>
    </row>
    <row r="321" spans="28:28" x14ac:dyDescent="0.25">
      <c r="AB321"/>
    </row>
    <row r="322" spans="28:28" x14ac:dyDescent="0.25">
      <c r="AB322"/>
    </row>
    <row r="323" spans="28:28" x14ac:dyDescent="0.25">
      <c r="AB323"/>
    </row>
    <row r="324" spans="28:28" x14ac:dyDescent="0.25">
      <c r="AB324"/>
    </row>
    <row r="325" spans="28:28" x14ac:dyDescent="0.25">
      <c r="AB325"/>
    </row>
    <row r="326" spans="28:28" x14ac:dyDescent="0.25">
      <c r="AB326"/>
    </row>
    <row r="327" spans="28:28" x14ac:dyDescent="0.25">
      <c r="AB327"/>
    </row>
    <row r="328" spans="28:28" x14ac:dyDescent="0.25">
      <c r="AB328"/>
    </row>
    <row r="329" spans="28:28" x14ac:dyDescent="0.25">
      <c r="AB329"/>
    </row>
    <row r="330" spans="28:28" x14ac:dyDescent="0.25">
      <c r="AB330"/>
    </row>
    <row r="331" spans="28:28" x14ac:dyDescent="0.25">
      <c r="AB331"/>
    </row>
  </sheetData>
  <sortState ref="AK34:AQ54">
    <sortCondition ref="AK34"/>
  </sortState>
  <mergeCells count="4">
    <mergeCell ref="C4:K4"/>
    <mergeCell ref="C5:K5"/>
    <mergeCell ref="C3:R3"/>
    <mergeCell ref="H25:M25"/>
  </mergeCells>
  <conditionalFormatting sqref="I28:M28">
    <cfRule type="dataBar" priority="9">
      <dataBar>
        <cfvo type="num" val="0"/>
        <cfvo type="num" val="$AP$26"/>
        <color rgb="FF638EC6"/>
      </dataBar>
      <extLst>
        <ext xmlns:x14="http://schemas.microsoft.com/office/spreadsheetml/2009/9/main" uri="{B025F937-C7B1-47D3-B67F-A62EFF666E3E}">
          <x14:id>{4729CA1C-9856-465B-A252-5D74BE4F6C00}</x14:id>
        </ext>
      </extLst>
    </cfRule>
    <cfRule type="dataBar" priority="10">
      <dataBar>
        <cfvo type="num" val="0"/>
        <cfvo type="num" val="$AP$26"/>
        <color rgb="FFFF555A"/>
      </dataBar>
      <extLst>
        <ext xmlns:x14="http://schemas.microsoft.com/office/spreadsheetml/2009/9/main" uri="{B025F937-C7B1-47D3-B67F-A62EFF666E3E}">
          <x14:id>{5DCED515-272B-4C05-BE24-8A126174C663}</x14:id>
        </ext>
      </extLst>
    </cfRule>
    <cfRule type="dataBar" priority="24">
      <dataBar>
        <cfvo type="min"/>
        <cfvo type="max"/>
        <color rgb="FFFF555A"/>
      </dataBar>
      <extLst>
        <ext xmlns:x14="http://schemas.microsoft.com/office/spreadsheetml/2009/9/main" uri="{B025F937-C7B1-47D3-B67F-A62EFF666E3E}">
          <x14:id>{83FF87DB-4AF0-4757-A50F-701789E158D8}</x14:id>
        </ext>
      </extLst>
    </cfRule>
  </conditionalFormatting>
  <conditionalFormatting sqref="I27:M27">
    <cfRule type="dataBar" priority="28">
      <dataBar>
        <cfvo type="min"/>
        <cfvo type="max"/>
        <color rgb="FF638EC6"/>
      </dataBar>
      <extLst>
        <ext xmlns:x14="http://schemas.microsoft.com/office/spreadsheetml/2009/9/main" uri="{B025F937-C7B1-47D3-B67F-A62EFF666E3E}">
          <x14:id>{74459D76-3CDD-4603-8F85-808736BAF087}</x14:id>
        </ext>
      </extLst>
    </cfRule>
  </conditionalFormatting>
  <conditionalFormatting sqref="I28:M28">
    <cfRule type="dataBar" priority="30">
      <dataBar>
        <cfvo type="min"/>
        <cfvo type="max"/>
        <color rgb="FF638EC6"/>
      </dataBar>
      <extLst>
        <ext xmlns:x14="http://schemas.microsoft.com/office/spreadsheetml/2009/9/main" uri="{B025F937-C7B1-47D3-B67F-A62EFF666E3E}">
          <x14:id>{077C6988-A8CC-4404-8A74-478FD55721B5}</x14:id>
        </ext>
      </extLst>
    </cfRule>
  </conditionalFormatting>
  <conditionalFormatting sqref="G12:G32">
    <cfRule type="dataBar" priority="36">
      <dataBar>
        <cfvo type="min"/>
        <cfvo type="max"/>
        <color rgb="FFFFB628"/>
      </dataBar>
      <extLst>
        <ext xmlns:x14="http://schemas.microsoft.com/office/spreadsheetml/2009/9/main" uri="{B025F937-C7B1-47D3-B67F-A62EFF666E3E}">
          <x14:id>{8F4E58BC-54BC-42B3-A2EF-4E04EA63C653}</x14:id>
        </ext>
      </extLst>
    </cfRule>
  </conditionalFormatting>
  <conditionalFormatting sqref="D37:F40">
    <cfRule type="dataBar" priority="8">
      <dataBar>
        <cfvo type="min"/>
        <cfvo type="max"/>
        <color rgb="FF63C384"/>
      </dataBar>
      <extLst>
        <ext xmlns:x14="http://schemas.microsoft.com/office/spreadsheetml/2009/9/main" uri="{B025F937-C7B1-47D3-B67F-A62EFF666E3E}">
          <x14:id>{898ED28B-BD84-48E1-B5FF-CD5004CB27E3}</x14:id>
        </ext>
      </extLst>
    </cfRule>
  </conditionalFormatting>
  <conditionalFormatting sqref="D37:F40">
    <cfRule type="dataBar" priority="7">
      <dataBar>
        <cfvo type="min"/>
        <cfvo type="max"/>
        <color rgb="FFD6007B"/>
      </dataBar>
      <extLst>
        <ext xmlns:x14="http://schemas.microsoft.com/office/spreadsheetml/2009/9/main" uri="{B025F937-C7B1-47D3-B67F-A62EFF666E3E}">
          <x14:id>{80C87FD2-BD07-4BB5-9C0D-A1D2BF363644}</x14:id>
        </ext>
      </extLst>
    </cfRule>
  </conditionalFormatting>
  <conditionalFormatting sqref="F12:F33">
    <cfRule type="dataBar" priority="1">
      <dataBar>
        <cfvo type="min"/>
        <cfvo type="max"/>
        <color rgb="FFFFB628"/>
      </dataBar>
      <extLst>
        <ext xmlns:x14="http://schemas.microsoft.com/office/spreadsheetml/2009/9/main" uri="{B025F937-C7B1-47D3-B67F-A62EFF666E3E}">
          <x14:id>{0054ED97-6B39-47EE-970F-3D7220F91D2F}</x14:id>
        </ext>
      </extLst>
    </cfRule>
  </conditionalFormatting>
  <conditionalFormatting sqref="E12:E33">
    <cfRule type="dataBar" priority="2">
      <dataBar>
        <cfvo type="min"/>
        <cfvo type="max"/>
        <color rgb="FF638EC6"/>
      </dataBar>
      <extLst>
        <ext xmlns:x14="http://schemas.microsoft.com/office/spreadsheetml/2009/9/main" uri="{B025F937-C7B1-47D3-B67F-A62EFF666E3E}">
          <x14:id>{3D310D00-BC55-40BE-9DF6-D90CF1C54F11}</x14:id>
        </ext>
      </extLst>
    </cfRule>
  </conditionalFormatting>
  <conditionalFormatting sqref="D12:D33">
    <cfRule type="dataBar" priority="3">
      <dataBar>
        <cfvo type="min"/>
        <cfvo type="max"/>
        <color rgb="FF63C384"/>
      </dataBar>
      <extLst>
        <ext xmlns:x14="http://schemas.microsoft.com/office/spreadsheetml/2009/9/main" uri="{B025F937-C7B1-47D3-B67F-A62EFF666E3E}">
          <x14:id>{3C54CAF3-E8DB-4E86-98B4-12A79F65AD85}</x14:id>
        </ext>
      </extLst>
    </cfRule>
  </conditionalFormatting>
  <conditionalFormatting sqref="I27:M27">
    <cfRule type="dataBar" priority="48">
      <dataBar>
        <cfvo type="num" val="0"/>
        <cfvo type="num" val="#REF!"/>
        <color rgb="FF638EC6"/>
      </dataBar>
      <extLst>
        <ext xmlns:x14="http://schemas.microsoft.com/office/spreadsheetml/2009/9/main" uri="{B025F937-C7B1-47D3-B67F-A62EFF666E3E}">
          <x14:id>{02A8E9F0-FDBA-452A-AB6A-F2E5CA3F88D3}</x14:id>
        </ext>
      </extLst>
    </cfRule>
    <cfRule type="dataBar" priority="49">
      <dataBar>
        <cfvo type="min"/>
        <cfvo type="max"/>
        <color rgb="FF008AEF"/>
      </dataBar>
      <extLst>
        <ext xmlns:x14="http://schemas.microsoft.com/office/spreadsheetml/2009/9/main" uri="{B025F937-C7B1-47D3-B67F-A62EFF666E3E}">
          <x14:id>{48264DF9-DDE3-4B92-9921-17F85D71C4D9}</x14:id>
        </ext>
      </extLst>
    </cfRule>
  </conditionalFormatting>
  <printOptions horizontalCentered="1"/>
  <pageMargins left="0.15" right="0.15" top="0.17" bottom="0.15" header="0.19" footer="0.19"/>
  <pageSetup paperSize="9" scale="81" orientation="landscape" r:id="rId1"/>
  <drawing r:id="rId2"/>
  <extLst>
    <ext xmlns:x14="http://schemas.microsoft.com/office/spreadsheetml/2009/9/main" uri="{78C0D931-6437-407d-A8EE-F0AAD7539E65}">
      <x14:conditionalFormattings>
        <x14:conditionalFormatting xmlns:xm="http://schemas.microsoft.com/office/excel/2006/main">
          <x14:cfRule type="dataBar" id="{4729CA1C-9856-465B-A252-5D74BE4F6C00}">
            <x14:dataBar minLength="0" maxLength="100" gradient="0">
              <x14:cfvo type="num">
                <xm:f>0</xm:f>
              </x14:cfvo>
              <x14:cfvo type="num">
                <xm:f>$AP$26</xm:f>
              </x14:cfvo>
              <x14:negativeFillColor rgb="FFFF0000"/>
              <x14:axisColor rgb="FF000000"/>
            </x14:dataBar>
          </x14:cfRule>
          <x14:cfRule type="dataBar" id="{5DCED515-272B-4C05-BE24-8A126174C663}">
            <x14:dataBar minLength="0" maxLength="100" border="1" negativeBarBorderColorSameAsPositive="0">
              <x14:cfvo type="num">
                <xm:f>0</xm:f>
              </x14:cfvo>
              <x14:cfvo type="num">
                <xm:f>$AP$26</xm:f>
              </x14:cfvo>
              <x14:borderColor rgb="FFFF555A"/>
              <x14:negativeFillColor rgb="FFFF0000"/>
              <x14:negativeBorderColor rgb="FFFF0000"/>
              <x14:axisColor rgb="FF000000"/>
            </x14:dataBar>
          </x14:cfRule>
          <x14:cfRule type="dataBar" id="{83FF87DB-4AF0-4757-A50F-701789E158D8}">
            <x14:dataBar minLength="0" maxLength="100" gradient="0">
              <x14:cfvo type="autoMin"/>
              <x14:cfvo type="autoMax"/>
              <x14:negativeFillColor rgb="FFFF0000"/>
              <x14:axisColor rgb="FF000000"/>
            </x14:dataBar>
          </x14:cfRule>
          <xm:sqref>I28:M28</xm:sqref>
        </x14:conditionalFormatting>
        <x14:conditionalFormatting xmlns:xm="http://schemas.microsoft.com/office/excel/2006/main">
          <x14:cfRule type="dataBar" id="{74459D76-3CDD-4603-8F85-808736BAF087}">
            <x14:dataBar minLength="0" maxLength="100" border="1" negativeBarBorderColorSameAsPositive="0">
              <x14:cfvo type="autoMin"/>
              <x14:cfvo type="autoMax"/>
              <x14:borderColor rgb="FF638EC6"/>
              <x14:negativeFillColor rgb="FFFF0000"/>
              <x14:negativeBorderColor rgb="FFFF0000"/>
              <x14:axisColor rgb="FF000000"/>
            </x14:dataBar>
          </x14:cfRule>
          <xm:sqref>I27:M27</xm:sqref>
        </x14:conditionalFormatting>
        <x14:conditionalFormatting xmlns:xm="http://schemas.microsoft.com/office/excel/2006/main">
          <x14:cfRule type="dataBar" id="{077C6988-A8CC-4404-8A74-478FD55721B5}">
            <x14:dataBar minLength="0" maxLength="100" border="1" negativeBarBorderColorSameAsPositive="0">
              <x14:cfvo type="autoMin"/>
              <x14:cfvo type="autoMax"/>
              <x14:borderColor rgb="FF638EC6"/>
              <x14:negativeFillColor rgb="FFFF0000"/>
              <x14:negativeBorderColor rgb="FFFF0000"/>
              <x14:axisColor rgb="FF000000"/>
            </x14:dataBar>
          </x14:cfRule>
          <xm:sqref>I28:M28</xm:sqref>
        </x14:conditionalFormatting>
        <x14:conditionalFormatting xmlns:xm="http://schemas.microsoft.com/office/excel/2006/main">
          <x14:cfRule type="dataBar" id="{8F4E58BC-54BC-42B3-A2EF-4E04EA63C653}">
            <x14:dataBar minLength="0" maxLength="100" border="1" negativeBarBorderColorSameAsPositive="0">
              <x14:cfvo type="autoMin"/>
              <x14:cfvo type="autoMax"/>
              <x14:borderColor rgb="FFFFB628"/>
              <x14:negativeFillColor rgb="FFFF0000"/>
              <x14:negativeBorderColor rgb="FFFF0000"/>
              <x14:axisColor rgb="FF000000"/>
            </x14:dataBar>
          </x14:cfRule>
          <xm:sqref>G12:G32</xm:sqref>
        </x14:conditionalFormatting>
        <x14:conditionalFormatting xmlns:xm="http://schemas.microsoft.com/office/excel/2006/main">
          <x14:cfRule type="dataBar" id="{898ED28B-BD84-48E1-B5FF-CD5004CB27E3}">
            <x14:dataBar minLength="0" maxLength="100" border="1" negativeBarBorderColorSameAsPositive="0">
              <x14:cfvo type="autoMin"/>
              <x14:cfvo type="autoMax"/>
              <x14:borderColor rgb="FF63C384"/>
              <x14:negativeFillColor rgb="FFFF0000"/>
              <x14:negativeBorderColor rgb="FFFF0000"/>
              <x14:axisColor rgb="FF000000"/>
            </x14:dataBar>
          </x14:cfRule>
          <xm:sqref>D37:F40</xm:sqref>
        </x14:conditionalFormatting>
        <x14:conditionalFormatting xmlns:xm="http://schemas.microsoft.com/office/excel/2006/main">
          <x14:cfRule type="dataBar" id="{80C87FD2-BD07-4BB5-9C0D-A1D2BF363644}">
            <x14:dataBar minLength="0" maxLength="100" border="1" negativeBarBorderColorSameAsPositive="0">
              <x14:cfvo type="autoMin"/>
              <x14:cfvo type="autoMax"/>
              <x14:borderColor rgb="FFD6007B"/>
              <x14:negativeFillColor rgb="FFFF0000"/>
              <x14:negativeBorderColor rgb="FFFF0000"/>
              <x14:axisColor rgb="FF000000"/>
            </x14:dataBar>
          </x14:cfRule>
          <xm:sqref>D37:F40</xm:sqref>
        </x14:conditionalFormatting>
        <x14:conditionalFormatting xmlns:xm="http://schemas.microsoft.com/office/excel/2006/main">
          <x14:cfRule type="dataBar" id="{0054ED97-6B39-47EE-970F-3D7220F91D2F}">
            <x14:dataBar minLength="0" maxLength="100" border="1" negativeBarBorderColorSameAsPositive="0">
              <x14:cfvo type="autoMin"/>
              <x14:cfvo type="autoMax"/>
              <x14:borderColor rgb="FFFFB628"/>
              <x14:negativeFillColor rgb="FFFF0000"/>
              <x14:negativeBorderColor rgb="FFFF0000"/>
              <x14:axisColor rgb="FF000000"/>
            </x14:dataBar>
          </x14:cfRule>
          <xm:sqref>F12:F33</xm:sqref>
        </x14:conditionalFormatting>
        <x14:conditionalFormatting xmlns:xm="http://schemas.microsoft.com/office/excel/2006/main">
          <x14:cfRule type="dataBar" id="{3D310D00-BC55-40BE-9DF6-D90CF1C54F11}">
            <x14:dataBar minLength="0" maxLength="100" border="1" negativeBarBorderColorSameAsPositive="0">
              <x14:cfvo type="autoMin"/>
              <x14:cfvo type="autoMax"/>
              <x14:borderColor rgb="FF638EC6"/>
              <x14:negativeFillColor rgb="FFFF0000"/>
              <x14:negativeBorderColor rgb="FFFF0000"/>
              <x14:axisColor rgb="FF000000"/>
            </x14:dataBar>
          </x14:cfRule>
          <xm:sqref>E12:E33</xm:sqref>
        </x14:conditionalFormatting>
        <x14:conditionalFormatting xmlns:xm="http://schemas.microsoft.com/office/excel/2006/main">
          <x14:cfRule type="dataBar" id="{3C54CAF3-E8DB-4E86-98B4-12A79F65AD85}">
            <x14:dataBar minLength="0" maxLength="100" border="1" negativeBarBorderColorSameAsPositive="0">
              <x14:cfvo type="autoMin"/>
              <x14:cfvo type="autoMax"/>
              <x14:borderColor rgb="FF63C384"/>
              <x14:negativeFillColor rgb="FFFF0000"/>
              <x14:negativeBorderColor rgb="FFFF0000"/>
              <x14:axisColor rgb="FF000000"/>
            </x14:dataBar>
          </x14:cfRule>
          <xm:sqref>D12:D33</xm:sqref>
        </x14:conditionalFormatting>
        <x14:conditionalFormatting xmlns:xm="http://schemas.microsoft.com/office/excel/2006/main">
          <x14:cfRule type="dataBar" id="{02A8E9F0-FDBA-452A-AB6A-F2E5CA3F88D3}">
            <x14:dataBar minLength="0" maxLength="100">
              <x14:cfvo type="num">
                <xm:f>0</xm:f>
              </x14:cfvo>
              <x14:cfvo type="num">
                <xm:f>#REF!</xm:f>
              </x14:cfvo>
              <x14:negativeFillColor rgb="FFFF0000"/>
              <x14:axisColor rgb="FF000000"/>
            </x14:dataBar>
          </x14:cfRule>
          <x14:cfRule type="dataBar" id="{48264DF9-DDE3-4B92-9921-17F85D71C4D9}">
            <x14:dataBar minLength="0" maxLength="100" gradient="0">
              <x14:cfvo type="autoMin"/>
              <x14:cfvo type="autoMax"/>
              <x14:negativeFillColor rgb="FFFF0000"/>
              <x14:axisColor rgb="FF000000"/>
            </x14:dataBar>
          </x14:cfRule>
          <xm:sqref>I27:M27</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C000"/>
  </sheetPr>
  <dimension ref="A1:H141"/>
  <sheetViews>
    <sheetView workbookViewId="0">
      <selection activeCell="D3" sqref="D3"/>
    </sheetView>
  </sheetViews>
  <sheetFormatPr defaultRowHeight="15" x14ac:dyDescent="0.25"/>
  <cols>
    <col min="1" max="1" width="47.28515625" customWidth="1"/>
    <col min="2" max="2" width="16.140625" bestFit="1" customWidth="1"/>
    <col min="3" max="4" width="12" bestFit="1" customWidth="1"/>
    <col min="5" max="5" width="14.140625" bestFit="1" customWidth="1"/>
    <col min="6" max="6" width="20.85546875" bestFit="1" customWidth="1"/>
    <col min="7" max="7" width="10.7109375" bestFit="1" customWidth="1"/>
    <col min="8" max="8" width="9.85546875" bestFit="1" customWidth="1"/>
    <col min="9" max="9" width="9.28515625" bestFit="1" customWidth="1"/>
  </cols>
  <sheetData>
    <row r="1" spans="1:8" x14ac:dyDescent="0.25">
      <c r="A1" s="429" t="s">
        <v>500</v>
      </c>
      <c r="B1" s="421" t="s">
        <v>502</v>
      </c>
    </row>
    <row r="3" spans="1:8" x14ac:dyDescent="0.25">
      <c r="A3" s="429" t="s">
        <v>556</v>
      </c>
      <c r="B3" s="429" t="s">
        <v>1108</v>
      </c>
      <c r="C3" s="429" t="s">
        <v>1</v>
      </c>
      <c r="D3" s="429" t="s">
        <v>499</v>
      </c>
      <c r="E3" s="429" t="s">
        <v>1109</v>
      </c>
      <c r="F3" s="429" t="s">
        <v>1110</v>
      </c>
      <c r="G3" s="421" t="s">
        <v>1111</v>
      </c>
      <c r="H3" s="421" t="s">
        <v>863</v>
      </c>
    </row>
    <row r="4" spans="1:8" x14ac:dyDescent="0.25">
      <c r="A4" s="421" t="s">
        <v>62</v>
      </c>
      <c r="B4" s="421" t="s">
        <v>61</v>
      </c>
      <c r="C4" s="421">
        <v>96.355270000000004</v>
      </c>
      <c r="D4" s="421" t="s">
        <v>513</v>
      </c>
      <c r="E4" s="421" t="s">
        <v>556</v>
      </c>
      <c r="F4" s="421" t="s">
        <v>462</v>
      </c>
      <c r="G4" s="423">
        <v>77</v>
      </c>
      <c r="H4" s="423">
        <v>393</v>
      </c>
    </row>
    <row r="5" spans="1:8" x14ac:dyDescent="0.25">
      <c r="A5" s="421" t="s">
        <v>120</v>
      </c>
      <c r="B5" s="421" t="s">
        <v>119</v>
      </c>
      <c r="C5" s="421">
        <v>96.353070000000002</v>
      </c>
      <c r="D5" s="421" t="s">
        <v>513</v>
      </c>
      <c r="E5" s="421" t="s">
        <v>556</v>
      </c>
      <c r="F5" s="421" t="s">
        <v>1093</v>
      </c>
      <c r="G5" s="423">
        <v>66</v>
      </c>
      <c r="H5" s="423">
        <v>367</v>
      </c>
    </row>
    <row r="6" spans="1:8" x14ac:dyDescent="0.25">
      <c r="A6" s="421" t="s">
        <v>6</v>
      </c>
      <c r="B6" s="421" t="s">
        <v>4</v>
      </c>
      <c r="C6" s="421">
        <v>97.238829999999993</v>
      </c>
      <c r="D6" s="421" t="s">
        <v>513</v>
      </c>
      <c r="E6" s="421" t="s">
        <v>556</v>
      </c>
      <c r="F6" s="421" t="s">
        <v>1092</v>
      </c>
      <c r="G6" s="423">
        <v>274</v>
      </c>
      <c r="H6" s="423">
        <v>1349</v>
      </c>
    </row>
    <row r="7" spans="1:8" x14ac:dyDescent="0.25">
      <c r="A7" s="421" t="s">
        <v>41</v>
      </c>
      <c r="B7" s="421" t="s">
        <v>40</v>
      </c>
      <c r="C7" s="421">
        <v>96.345569999999995</v>
      </c>
      <c r="D7" s="421" t="s">
        <v>513</v>
      </c>
      <c r="E7" s="421" t="s">
        <v>556</v>
      </c>
      <c r="F7" s="421" t="s">
        <v>507</v>
      </c>
      <c r="G7" s="423">
        <v>67</v>
      </c>
      <c r="H7" s="423">
        <v>350</v>
      </c>
    </row>
    <row r="8" spans="1:8" x14ac:dyDescent="0.25">
      <c r="A8" s="421" t="s">
        <v>43</v>
      </c>
      <c r="B8" s="421" t="s">
        <v>42</v>
      </c>
      <c r="C8" s="421">
        <v>96.317350000000005</v>
      </c>
      <c r="D8" s="421" t="s">
        <v>513</v>
      </c>
      <c r="E8" s="421" t="s">
        <v>556</v>
      </c>
      <c r="F8" s="421" t="s">
        <v>507</v>
      </c>
      <c r="G8" s="423">
        <v>14</v>
      </c>
      <c r="H8" s="423">
        <v>83</v>
      </c>
    </row>
    <row r="9" spans="1:8" x14ac:dyDescent="0.25">
      <c r="A9" s="421" t="s">
        <v>514</v>
      </c>
      <c r="B9" s="421" t="s">
        <v>377</v>
      </c>
      <c r="C9" s="421">
        <v>97.252650000000003</v>
      </c>
      <c r="D9" s="421" t="s">
        <v>513</v>
      </c>
      <c r="E9" s="421" t="s">
        <v>556</v>
      </c>
      <c r="F9" s="421" t="s">
        <v>462</v>
      </c>
      <c r="G9" s="423">
        <v>12</v>
      </c>
      <c r="H9" s="423">
        <v>54</v>
      </c>
    </row>
    <row r="10" spans="1:8" x14ac:dyDescent="0.25">
      <c r="A10" s="421" t="s">
        <v>52</v>
      </c>
      <c r="B10" s="421" t="s">
        <v>51</v>
      </c>
      <c r="C10" s="421">
        <v>96.346469999999997</v>
      </c>
      <c r="D10" s="421" t="s">
        <v>513</v>
      </c>
      <c r="E10" s="421" t="s">
        <v>556</v>
      </c>
      <c r="F10" s="421" t="s">
        <v>462</v>
      </c>
      <c r="G10" s="423">
        <v>36</v>
      </c>
      <c r="H10" s="423">
        <v>220</v>
      </c>
    </row>
    <row r="11" spans="1:8" x14ac:dyDescent="0.25">
      <c r="A11" s="421" t="s">
        <v>334</v>
      </c>
      <c r="B11" s="421" t="s">
        <v>333</v>
      </c>
      <c r="C11" s="421">
        <v>97.915833000000006</v>
      </c>
      <c r="D11" s="421" t="s">
        <v>515</v>
      </c>
      <c r="E11" s="421" t="s">
        <v>556</v>
      </c>
      <c r="F11" s="421" t="s">
        <v>1093</v>
      </c>
      <c r="G11" s="423">
        <v>155</v>
      </c>
      <c r="H11" s="423">
        <v>665</v>
      </c>
    </row>
    <row r="12" spans="1:8" x14ac:dyDescent="0.25">
      <c r="A12" s="421" t="s">
        <v>188</v>
      </c>
      <c r="B12" s="421" t="s">
        <v>187</v>
      </c>
      <c r="C12" s="421">
        <v>97.609832999999995</v>
      </c>
      <c r="D12" s="421" t="s">
        <v>515</v>
      </c>
      <c r="E12" s="421" t="s">
        <v>556</v>
      </c>
      <c r="F12" s="421" t="s">
        <v>1092</v>
      </c>
      <c r="G12" s="423">
        <v>245</v>
      </c>
      <c r="H12" s="423">
        <v>1232</v>
      </c>
    </row>
    <row r="13" spans="1:8" x14ac:dyDescent="0.25">
      <c r="A13" s="421" t="s">
        <v>1037</v>
      </c>
      <c r="B13" s="421" t="s">
        <v>1038</v>
      </c>
      <c r="C13" s="421">
        <v>97.608249999999998</v>
      </c>
      <c r="D13" s="421" t="s">
        <v>515</v>
      </c>
      <c r="E13" s="421" t="s">
        <v>556</v>
      </c>
      <c r="F13" s="421" t="s">
        <v>1092</v>
      </c>
      <c r="G13" s="423">
        <v>219</v>
      </c>
      <c r="H13" s="423">
        <v>891</v>
      </c>
    </row>
    <row r="14" spans="1:8" x14ac:dyDescent="0.25">
      <c r="A14" s="421" t="s">
        <v>72</v>
      </c>
      <c r="B14" s="421" t="s">
        <v>71</v>
      </c>
      <c r="C14" s="421">
        <v>96.283377000000002</v>
      </c>
      <c r="D14" s="421" t="s">
        <v>513</v>
      </c>
      <c r="E14" s="421" t="s">
        <v>556</v>
      </c>
      <c r="F14" s="421" t="s">
        <v>507</v>
      </c>
      <c r="G14" s="423">
        <v>6</v>
      </c>
      <c r="H14" s="423">
        <v>30</v>
      </c>
    </row>
    <row r="15" spans="1:8" x14ac:dyDescent="0.25">
      <c r="A15" s="421" t="s">
        <v>28</v>
      </c>
      <c r="B15" s="421" t="s">
        <v>30</v>
      </c>
      <c r="C15" s="421">
        <v>98.131550000000004</v>
      </c>
      <c r="D15" s="421" t="s">
        <v>513</v>
      </c>
      <c r="E15" s="421" t="s">
        <v>556</v>
      </c>
      <c r="F15" s="421" t="s">
        <v>507</v>
      </c>
      <c r="G15" s="423">
        <v>109</v>
      </c>
      <c r="H15" s="423">
        <v>504</v>
      </c>
    </row>
    <row r="16" spans="1:8" x14ac:dyDescent="0.25">
      <c r="A16" s="421" t="s">
        <v>76</v>
      </c>
      <c r="B16" s="421" t="s">
        <v>75</v>
      </c>
      <c r="C16" s="421">
        <v>96.35257</v>
      </c>
      <c r="D16" s="421" t="s">
        <v>513</v>
      </c>
      <c r="E16" s="421" t="s">
        <v>556</v>
      </c>
      <c r="F16" s="421" t="s">
        <v>507</v>
      </c>
      <c r="G16" s="423">
        <v>66</v>
      </c>
      <c r="H16" s="423">
        <v>356</v>
      </c>
    </row>
    <row r="17" spans="1:8" x14ac:dyDescent="0.25">
      <c r="A17" s="421" t="s">
        <v>243</v>
      </c>
      <c r="B17" s="421" t="s">
        <v>242</v>
      </c>
      <c r="C17" s="421">
        <v>97.384729629629604</v>
      </c>
      <c r="D17" s="421" t="s">
        <v>513</v>
      </c>
      <c r="E17" s="421" t="s">
        <v>556</v>
      </c>
      <c r="F17" s="421" t="s">
        <v>462</v>
      </c>
      <c r="G17" s="423">
        <v>6</v>
      </c>
      <c r="H17" s="423">
        <v>28</v>
      </c>
    </row>
    <row r="18" spans="1:8" x14ac:dyDescent="0.25">
      <c r="A18" s="421" t="s">
        <v>245</v>
      </c>
      <c r="B18" s="421" t="s">
        <v>244</v>
      </c>
      <c r="C18" s="421">
        <v>97.382997575757599</v>
      </c>
      <c r="D18" s="421" t="s">
        <v>513</v>
      </c>
      <c r="E18" s="421" t="s">
        <v>556</v>
      </c>
      <c r="F18" s="421" t="s">
        <v>462</v>
      </c>
      <c r="G18" s="423">
        <v>6</v>
      </c>
      <c r="H18" s="423">
        <v>39</v>
      </c>
    </row>
    <row r="19" spans="1:8" x14ac:dyDescent="0.25">
      <c r="A19" s="421" t="s">
        <v>247</v>
      </c>
      <c r="B19" s="421" t="s">
        <v>246</v>
      </c>
      <c r="C19" s="421">
        <v>97.381325000000004</v>
      </c>
      <c r="D19" s="421" t="s">
        <v>513</v>
      </c>
      <c r="E19" s="421" t="s">
        <v>556</v>
      </c>
      <c r="F19" s="421" t="s">
        <v>462</v>
      </c>
      <c r="G19" s="423">
        <v>42</v>
      </c>
      <c r="H19" s="423">
        <v>211</v>
      </c>
    </row>
    <row r="20" spans="1:8" x14ac:dyDescent="0.25">
      <c r="A20" s="421" t="s">
        <v>192</v>
      </c>
      <c r="B20" s="421" t="s">
        <v>191</v>
      </c>
      <c r="C20" s="421">
        <v>97.537099999999995</v>
      </c>
      <c r="D20" s="421" t="s">
        <v>515</v>
      </c>
      <c r="E20" s="421" t="s">
        <v>556</v>
      </c>
      <c r="F20" s="421" t="s">
        <v>1093</v>
      </c>
      <c r="G20" s="423">
        <v>111</v>
      </c>
      <c r="H20" s="423">
        <v>516</v>
      </c>
    </row>
    <row r="21" spans="1:8" x14ac:dyDescent="0.25">
      <c r="A21" s="421" t="s">
        <v>313</v>
      </c>
      <c r="B21" s="421" t="s">
        <v>312</v>
      </c>
      <c r="C21" s="421">
        <v>97.404195925926004</v>
      </c>
      <c r="D21" s="421" t="s">
        <v>513</v>
      </c>
      <c r="E21" s="421" t="s">
        <v>556</v>
      </c>
      <c r="F21" s="421" t="s">
        <v>507</v>
      </c>
      <c r="G21" s="423">
        <v>99</v>
      </c>
      <c r="H21" s="423">
        <v>480</v>
      </c>
    </row>
    <row r="22" spans="1:8" x14ac:dyDescent="0.25">
      <c r="A22" s="421" t="s">
        <v>336</v>
      </c>
      <c r="B22" s="421" t="s">
        <v>335</v>
      </c>
      <c r="C22" s="421">
        <v>97.807182999999995</v>
      </c>
      <c r="D22" s="421" t="s">
        <v>515</v>
      </c>
      <c r="E22" s="421" t="s">
        <v>556</v>
      </c>
      <c r="F22" s="421" t="s">
        <v>462</v>
      </c>
      <c r="G22" s="423">
        <v>146</v>
      </c>
      <c r="H22" s="423">
        <v>1072</v>
      </c>
    </row>
    <row r="23" spans="1:8" x14ac:dyDescent="0.25">
      <c r="A23" s="421" t="s">
        <v>88</v>
      </c>
      <c r="B23" s="421" t="s">
        <v>87</v>
      </c>
      <c r="C23" s="421">
        <v>96.705960000000005</v>
      </c>
      <c r="D23" s="421" t="s">
        <v>513</v>
      </c>
      <c r="E23" s="421" t="s">
        <v>556</v>
      </c>
      <c r="F23" s="421" t="s">
        <v>462</v>
      </c>
      <c r="G23" s="423">
        <v>14</v>
      </c>
      <c r="H23" s="423">
        <v>47</v>
      </c>
    </row>
    <row r="24" spans="1:8" x14ac:dyDescent="0.25">
      <c r="A24" s="421" t="s">
        <v>44</v>
      </c>
      <c r="B24" s="421" t="s">
        <v>45</v>
      </c>
      <c r="C24" s="421">
        <v>96.316564</v>
      </c>
      <c r="D24" s="421" t="s">
        <v>513</v>
      </c>
      <c r="E24" s="421" t="s">
        <v>556</v>
      </c>
      <c r="F24" s="421" t="s">
        <v>507</v>
      </c>
      <c r="G24" s="423">
        <v>8</v>
      </c>
      <c r="H24" s="423">
        <v>46</v>
      </c>
    </row>
    <row r="25" spans="1:8" x14ac:dyDescent="0.25">
      <c r="A25" s="421" t="s">
        <v>1068</v>
      </c>
      <c r="B25" s="421" t="s">
        <v>1069</v>
      </c>
      <c r="C25" s="421">
        <v>96.312790000000007</v>
      </c>
      <c r="D25" s="421" t="s">
        <v>513</v>
      </c>
      <c r="E25" s="421" t="s">
        <v>556</v>
      </c>
      <c r="F25" s="421" t="s">
        <v>462</v>
      </c>
      <c r="G25" s="423">
        <v>116</v>
      </c>
      <c r="H25" s="423">
        <v>530</v>
      </c>
    </row>
    <row r="26" spans="1:8" x14ac:dyDescent="0.25">
      <c r="A26" s="421" t="s">
        <v>364</v>
      </c>
      <c r="B26" s="421" t="s">
        <v>29</v>
      </c>
      <c r="C26" s="421">
        <v>98.475719999999995</v>
      </c>
      <c r="D26" s="421" t="s">
        <v>515</v>
      </c>
      <c r="E26" s="421" t="s">
        <v>556</v>
      </c>
      <c r="F26" s="421" t="s">
        <v>462</v>
      </c>
      <c r="G26" s="423">
        <v>154</v>
      </c>
      <c r="H26" s="423">
        <v>920</v>
      </c>
    </row>
    <row r="27" spans="1:8" x14ac:dyDescent="0.25">
      <c r="A27" s="421" t="s">
        <v>194</v>
      </c>
      <c r="B27" s="421" t="s">
        <v>193</v>
      </c>
      <c r="C27" s="421">
        <v>97.573126000000002</v>
      </c>
      <c r="D27" s="421" t="s">
        <v>515</v>
      </c>
      <c r="E27" s="421" t="s">
        <v>556</v>
      </c>
      <c r="F27" s="421" t="s">
        <v>1093</v>
      </c>
      <c r="G27" s="423">
        <v>586</v>
      </c>
      <c r="H27" s="423">
        <v>2829</v>
      </c>
    </row>
    <row r="28" spans="1:8" x14ac:dyDescent="0.25">
      <c r="A28" s="421" t="s">
        <v>14</v>
      </c>
      <c r="B28" s="421" t="s">
        <v>13</v>
      </c>
      <c r="C28" s="421">
        <v>97.236919999999998</v>
      </c>
      <c r="D28" s="421" t="s">
        <v>513</v>
      </c>
      <c r="E28" s="421" t="s">
        <v>556</v>
      </c>
      <c r="F28" s="421" t="s">
        <v>462</v>
      </c>
      <c r="G28" s="423">
        <v>39</v>
      </c>
      <c r="H28" s="423">
        <v>227</v>
      </c>
    </row>
    <row r="29" spans="1:8" x14ac:dyDescent="0.25">
      <c r="A29" s="421" t="s">
        <v>815</v>
      </c>
      <c r="B29" s="421" t="s">
        <v>816</v>
      </c>
      <c r="C29" s="421">
        <v>97.541793999999996</v>
      </c>
      <c r="D29" s="421" t="s">
        <v>515</v>
      </c>
      <c r="E29" s="421" t="s">
        <v>989</v>
      </c>
      <c r="F29" s="421" t="s">
        <v>861</v>
      </c>
      <c r="G29" s="423"/>
      <c r="H29" s="423">
        <v>1047</v>
      </c>
    </row>
    <row r="30" spans="1:8" x14ac:dyDescent="0.25">
      <c r="A30" s="421" t="s">
        <v>253</v>
      </c>
      <c r="B30" s="421" t="s">
        <v>252</v>
      </c>
      <c r="C30" s="421">
        <v>97.373361000000003</v>
      </c>
      <c r="D30" s="421" t="s">
        <v>513</v>
      </c>
      <c r="E30" s="421" t="s">
        <v>556</v>
      </c>
      <c r="F30" s="421" t="s">
        <v>462</v>
      </c>
      <c r="G30" s="423">
        <v>204</v>
      </c>
      <c r="H30" s="423">
        <v>1104</v>
      </c>
    </row>
    <row r="31" spans="1:8" x14ac:dyDescent="0.25">
      <c r="A31" s="421" t="s">
        <v>255</v>
      </c>
      <c r="B31" s="421" t="s">
        <v>254</v>
      </c>
      <c r="C31" s="421">
        <v>97.379594999999995</v>
      </c>
      <c r="D31" s="421" t="s">
        <v>513</v>
      </c>
      <c r="E31" s="421" t="s">
        <v>556</v>
      </c>
      <c r="F31" s="421" t="s">
        <v>1093</v>
      </c>
      <c r="G31" s="423">
        <v>103</v>
      </c>
      <c r="H31" s="423">
        <v>462</v>
      </c>
    </row>
    <row r="32" spans="1:8" x14ac:dyDescent="0.25">
      <c r="A32" s="421" t="s">
        <v>196</v>
      </c>
      <c r="B32" s="421" t="s">
        <v>195</v>
      </c>
      <c r="C32" s="421">
        <v>97.568331999999998</v>
      </c>
      <c r="D32" s="421" t="s">
        <v>515</v>
      </c>
      <c r="E32" s="421" t="s">
        <v>556</v>
      </c>
      <c r="F32" s="421" t="s">
        <v>1093</v>
      </c>
      <c r="G32" s="423">
        <v>1643</v>
      </c>
      <c r="H32" s="423">
        <v>8780</v>
      </c>
    </row>
    <row r="33" spans="1:8" x14ac:dyDescent="0.25">
      <c r="A33" s="421" t="s">
        <v>372</v>
      </c>
      <c r="B33" s="421" t="s">
        <v>382</v>
      </c>
      <c r="C33" s="421">
        <v>97.848529999999997</v>
      </c>
      <c r="D33" s="421" t="s">
        <v>513</v>
      </c>
      <c r="E33" s="421" t="s">
        <v>556</v>
      </c>
      <c r="F33" s="421" t="s">
        <v>462</v>
      </c>
      <c r="G33" s="423">
        <v>88</v>
      </c>
      <c r="H33" s="423">
        <v>505</v>
      </c>
    </row>
    <row r="34" spans="1:8" x14ac:dyDescent="0.25">
      <c r="A34" s="421" t="s">
        <v>369</v>
      </c>
      <c r="B34" s="421" t="s">
        <v>383</v>
      </c>
      <c r="C34" s="421">
        <v>97.926813999999993</v>
      </c>
      <c r="D34" s="421" t="s">
        <v>513</v>
      </c>
      <c r="E34" s="421" t="s">
        <v>556</v>
      </c>
      <c r="F34" s="421" t="s">
        <v>462</v>
      </c>
      <c r="G34" s="423">
        <v>63</v>
      </c>
      <c r="H34" s="423">
        <v>295</v>
      </c>
    </row>
    <row r="35" spans="1:8" x14ac:dyDescent="0.25">
      <c r="A35" s="421" t="s">
        <v>370</v>
      </c>
      <c r="B35" s="421" t="s">
        <v>384</v>
      </c>
      <c r="C35" s="421">
        <v>97.947360000000003</v>
      </c>
      <c r="D35" s="421" t="s">
        <v>513</v>
      </c>
      <c r="E35" s="421" t="s">
        <v>556</v>
      </c>
      <c r="F35" s="421" t="s">
        <v>1266</v>
      </c>
      <c r="G35" s="423">
        <v>31</v>
      </c>
      <c r="H35" s="423">
        <v>144</v>
      </c>
    </row>
    <row r="36" spans="1:8" x14ac:dyDescent="0.25">
      <c r="A36" s="421" t="s">
        <v>257</v>
      </c>
      <c r="B36" s="421" t="s">
        <v>256</v>
      </c>
      <c r="C36" s="421">
        <v>97.405202777777802</v>
      </c>
      <c r="D36" s="421" t="s">
        <v>513</v>
      </c>
      <c r="E36" s="421" t="s">
        <v>556</v>
      </c>
      <c r="F36" s="421" t="s">
        <v>462</v>
      </c>
      <c r="G36" s="423">
        <v>44</v>
      </c>
      <c r="H36" s="423">
        <v>191</v>
      </c>
    </row>
    <row r="37" spans="1:8" x14ac:dyDescent="0.25">
      <c r="A37" s="421" t="s">
        <v>174</v>
      </c>
      <c r="B37" s="421" t="s">
        <v>172</v>
      </c>
      <c r="C37" s="421">
        <v>96.922619999999995</v>
      </c>
      <c r="D37" s="421" t="s">
        <v>513</v>
      </c>
      <c r="E37" s="421" t="s">
        <v>556</v>
      </c>
      <c r="F37" s="421" t="s">
        <v>462</v>
      </c>
      <c r="G37" s="423">
        <v>13</v>
      </c>
      <c r="H37" s="423">
        <v>64</v>
      </c>
    </row>
    <row r="38" spans="1:8" x14ac:dyDescent="0.25">
      <c r="A38" s="421" t="s">
        <v>145</v>
      </c>
      <c r="B38" s="421" t="s">
        <v>143</v>
      </c>
      <c r="C38" s="421">
        <v>98.144502500000002</v>
      </c>
      <c r="D38" s="421" t="s">
        <v>513</v>
      </c>
      <c r="E38" s="421" t="s">
        <v>556</v>
      </c>
      <c r="F38" s="421" t="s">
        <v>861</v>
      </c>
      <c r="G38" s="423">
        <v>11</v>
      </c>
      <c r="H38" s="423">
        <v>17</v>
      </c>
    </row>
    <row r="39" spans="1:8" x14ac:dyDescent="0.25">
      <c r="A39" s="421" t="s">
        <v>198</v>
      </c>
      <c r="B39" s="421" t="s">
        <v>197</v>
      </c>
      <c r="C39" s="421">
        <v>97.625617000000005</v>
      </c>
      <c r="D39" s="421" t="s">
        <v>515</v>
      </c>
      <c r="E39" s="421" t="s">
        <v>556</v>
      </c>
      <c r="F39" s="421" t="s">
        <v>1092</v>
      </c>
      <c r="G39" s="423">
        <v>545</v>
      </c>
      <c r="H39" s="423">
        <v>2560</v>
      </c>
    </row>
    <row r="40" spans="1:8" x14ac:dyDescent="0.25">
      <c r="A40" s="421" t="s">
        <v>240</v>
      </c>
      <c r="B40" s="421" t="s">
        <v>239</v>
      </c>
      <c r="C40" s="421">
        <v>97.409035000000003</v>
      </c>
      <c r="D40" s="421" t="s">
        <v>513</v>
      </c>
      <c r="E40" s="421" t="s">
        <v>556</v>
      </c>
      <c r="F40" s="421" t="s">
        <v>462</v>
      </c>
      <c r="G40" s="423">
        <v>96</v>
      </c>
      <c r="H40" s="423">
        <v>544</v>
      </c>
    </row>
    <row r="41" spans="1:8" x14ac:dyDescent="0.25">
      <c r="A41" s="421" t="s">
        <v>285</v>
      </c>
      <c r="B41" s="421" t="s">
        <v>284</v>
      </c>
      <c r="C41" s="421">
        <v>97.403402307692303</v>
      </c>
      <c r="D41" s="421" t="s">
        <v>513</v>
      </c>
      <c r="E41" s="421" t="s">
        <v>556</v>
      </c>
      <c r="F41" s="421" t="s">
        <v>462</v>
      </c>
      <c r="G41" s="423">
        <v>138</v>
      </c>
      <c r="H41" s="423">
        <v>697</v>
      </c>
    </row>
    <row r="42" spans="1:8" x14ac:dyDescent="0.25">
      <c r="A42" s="421" t="s">
        <v>365</v>
      </c>
      <c r="B42" s="421" t="s">
        <v>378</v>
      </c>
      <c r="C42" s="421">
        <v>98.129990000000006</v>
      </c>
      <c r="D42" s="421" t="s">
        <v>513</v>
      </c>
      <c r="E42" s="421" t="s">
        <v>556</v>
      </c>
      <c r="F42" s="421" t="s">
        <v>507</v>
      </c>
      <c r="G42" s="423">
        <v>143</v>
      </c>
      <c r="H42" s="423">
        <v>638</v>
      </c>
    </row>
    <row r="43" spans="1:8" x14ac:dyDescent="0.25">
      <c r="A43" s="421" t="s">
        <v>90</v>
      </c>
      <c r="B43" s="421" t="s">
        <v>89</v>
      </c>
      <c r="C43" s="421">
        <v>96.269199999999998</v>
      </c>
      <c r="D43" s="421" t="s">
        <v>513</v>
      </c>
      <c r="E43" s="421" t="s">
        <v>556</v>
      </c>
      <c r="F43" s="421" t="s">
        <v>507</v>
      </c>
      <c r="G43" s="423">
        <v>25</v>
      </c>
      <c r="H43" s="423">
        <v>133</v>
      </c>
    </row>
    <row r="44" spans="1:8" x14ac:dyDescent="0.25">
      <c r="A44" s="421" t="s">
        <v>92</v>
      </c>
      <c r="B44" s="421" t="s">
        <v>91</v>
      </c>
      <c r="C44" s="421">
        <v>96.316400000000002</v>
      </c>
      <c r="D44" s="421" t="s">
        <v>513</v>
      </c>
      <c r="E44" s="421" t="s">
        <v>556</v>
      </c>
      <c r="F44" s="421" t="s">
        <v>507</v>
      </c>
      <c r="G44" s="423">
        <v>15</v>
      </c>
      <c r="H44" s="423">
        <v>74</v>
      </c>
    </row>
    <row r="45" spans="1:8" x14ac:dyDescent="0.25">
      <c r="A45" s="421" t="s">
        <v>18</v>
      </c>
      <c r="B45" s="421" t="s">
        <v>17</v>
      </c>
      <c r="C45" s="421">
        <v>97.240183461538507</v>
      </c>
      <c r="D45" s="421" t="s">
        <v>513</v>
      </c>
      <c r="E45" s="421" t="s">
        <v>556</v>
      </c>
      <c r="F45" s="421" t="s">
        <v>507</v>
      </c>
      <c r="G45" s="423">
        <v>116</v>
      </c>
      <c r="H45" s="423">
        <v>659</v>
      </c>
    </row>
    <row r="46" spans="1:8" x14ac:dyDescent="0.25">
      <c r="A46" s="421" t="s">
        <v>186</v>
      </c>
      <c r="B46" s="421" t="s">
        <v>184</v>
      </c>
      <c r="C46" s="421">
        <v>97.718582999999995</v>
      </c>
      <c r="D46" s="421" t="s">
        <v>513</v>
      </c>
      <c r="E46" s="421" t="s">
        <v>556</v>
      </c>
      <c r="F46" s="421" t="s">
        <v>462</v>
      </c>
      <c r="G46" s="423">
        <v>36</v>
      </c>
      <c r="H46" s="423">
        <v>214</v>
      </c>
    </row>
    <row r="47" spans="1:8" x14ac:dyDescent="0.25">
      <c r="A47" s="421" t="s">
        <v>223</v>
      </c>
      <c r="B47" s="421" t="s">
        <v>222</v>
      </c>
      <c r="C47" s="421">
        <v>97.724566999999993</v>
      </c>
      <c r="D47" s="421" t="s">
        <v>513</v>
      </c>
      <c r="E47" s="421" t="s">
        <v>556</v>
      </c>
      <c r="F47" s="421" t="s">
        <v>1092</v>
      </c>
      <c r="G47" s="423">
        <v>124</v>
      </c>
      <c r="H47" s="423">
        <v>544</v>
      </c>
    </row>
    <row r="48" spans="1:8" x14ac:dyDescent="0.25">
      <c r="A48" s="421" t="s">
        <v>190</v>
      </c>
      <c r="B48" s="421" t="s">
        <v>189</v>
      </c>
      <c r="C48" s="421">
        <v>97.717133000000004</v>
      </c>
      <c r="D48" s="421" t="s">
        <v>513</v>
      </c>
      <c r="E48" s="421" t="s">
        <v>556</v>
      </c>
      <c r="F48" s="421" t="s">
        <v>462</v>
      </c>
      <c r="G48" s="423">
        <v>190</v>
      </c>
      <c r="H48" s="423">
        <v>1021</v>
      </c>
    </row>
    <row r="49" spans="1:8" x14ac:dyDescent="0.25">
      <c r="A49" s="421" t="s">
        <v>320</v>
      </c>
      <c r="B49" s="421" t="s">
        <v>319</v>
      </c>
      <c r="C49" s="421">
        <v>97.451965000000001</v>
      </c>
      <c r="D49" s="421" t="s">
        <v>513</v>
      </c>
      <c r="E49" s="421" t="s">
        <v>556</v>
      </c>
      <c r="F49" s="421" t="s">
        <v>462</v>
      </c>
      <c r="G49" s="423">
        <v>22</v>
      </c>
      <c r="H49" s="423">
        <v>128</v>
      </c>
    </row>
    <row r="50" spans="1:8" x14ac:dyDescent="0.25">
      <c r="A50" s="421" t="s">
        <v>322</v>
      </c>
      <c r="B50" s="421" t="s">
        <v>321</v>
      </c>
      <c r="C50" s="421">
        <v>97.715230000000005</v>
      </c>
      <c r="D50" s="421" t="s">
        <v>515</v>
      </c>
      <c r="E50" s="421" t="s">
        <v>556</v>
      </c>
      <c r="F50" s="421" t="s">
        <v>1093</v>
      </c>
      <c r="G50" s="423">
        <v>586</v>
      </c>
      <c r="H50" s="423">
        <v>2595</v>
      </c>
    </row>
    <row r="51" spans="1:8" x14ac:dyDescent="0.25">
      <c r="A51" s="421" t="s">
        <v>328</v>
      </c>
      <c r="B51" s="421" t="s">
        <v>327</v>
      </c>
      <c r="C51" s="421">
        <v>97.433419259259296</v>
      </c>
      <c r="D51" s="421" t="s">
        <v>513</v>
      </c>
      <c r="E51" s="421" t="s">
        <v>556</v>
      </c>
      <c r="F51" s="421" t="s">
        <v>507</v>
      </c>
      <c r="G51" s="423">
        <v>143</v>
      </c>
      <c r="H51" s="423">
        <v>800</v>
      </c>
    </row>
    <row r="52" spans="1:8" x14ac:dyDescent="0.25">
      <c r="A52" s="421" t="s">
        <v>330</v>
      </c>
      <c r="B52" s="421" t="s">
        <v>329</v>
      </c>
      <c r="C52" s="421">
        <v>97.437782499999997</v>
      </c>
      <c r="D52" s="421" t="s">
        <v>513</v>
      </c>
      <c r="E52" s="421" t="s">
        <v>556</v>
      </c>
      <c r="F52" s="421" t="s">
        <v>1093</v>
      </c>
      <c r="G52" s="423">
        <v>222</v>
      </c>
      <c r="H52" s="423">
        <v>1210</v>
      </c>
    </row>
    <row r="53" spans="1:8" x14ac:dyDescent="0.25">
      <c r="A53" s="421" t="s">
        <v>324</v>
      </c>
      <c r="B53" s="421" t="s">
        <v>323</v>
      </c>
      <c r="C53" s="421">
        <v>97.434855869565197</v>
      </c>
      <c r="D53" s="421" t="s">
        <v>513</v>
      </c>
      <c r="E53" s="421" t="s">
        <v>556</v>
      </c>
      <c r="F53" s="421" t="s">
        <v>462</v>
      </c>
      <c r="G53" s="423">
        <v>396</v>
      </c>
      <c r="H53" s="423">
        <v>2120</v>
      </c>
    </row>
    <row r="54" spans="1:8" x14ac:dyDescent="0.25">
      <c r="A54" s="421" t="s">
        <v>326</v>
      </c>
      <c r="B54" s="421" t="s">
        <v>325</v>
      </c>
      <c r="C54" s="421">
        <v>97.426536944444507</v>
      </c>
      <c r="D54" s="421" t="s">
        <v>513</v>
      </c>
      <c r="E54" s="421" t="s">
        <v>556</v>
      </c>
      <c r="F54" s="421" t="s">
        <v>462</v>
      </c>
      <c r="G54" s="423">
        <v>46</v>
      </c>
      <c r="H54" s="423">
        <v>192</v>
      </c>
    </row>
    <row r="55" spans="1:8" x14ac:dyDescent="0.25">
      <c r="A55" s="421" t="s">
        <v>887</v>
      </c>
      <c r="B55" s="421" t="s">
        <v>888</v>
      </c>
      <c r="C55" s="421">
        <v>97.225881000000001</v>
      </c>
      <c r="D55" s="421" t="s">
        <v>513</v>
      </c>
      <c r="E55" s="421" t="s">
        <v>556</v>
      </c>
      <c r="F55" s="421" t="s">
        <v>462</v>
      </c>
      <c r="G55" s="423">
        <v>365</v>
      </c>
      <c r="H55" s="423">
        <v>1672</v>
      </c>
    </row>
    <row r="56" spans="1:8" x14ac:dyDescent="0.25">
      <c r="A56" s="421" t="s">
        <v>945</v>
      </c>
      <c r="B56" s="421" t="s">
        <v>944</v>
      </c>
      <c r="C56" s="421">
        <v>97.227057000000002</v>
      </c>
      <c r="D56" s="421" t="s">
        <v>513</v>
      </c>
      <c r="E56" s="421" t="s">
        <v>556</v>
      </c>
      <c r="F56" s="421" t="s">
        <v>1092</v>
      </c>
      <c r="G56" s="423">
        <v>123</v>
      </c>
      <c r="H56" s="423">
        <v>582</v>
      </c>
    </row>
    <row r="57" spans="1:8" x14ac:dyDescent="0.25">
      <c r="A57" s="421" t="s">
        <v>259</v>
      </c>
      <c r="B57" s="421" t="s">
        <v>258</v>
      </c>
      <c r="C57" s="421">
        <v>97.4113064583333</v>
      </c>
      <c r="D57" s="421" t="s">
        <v>513</v>
      </c>
      <c r="E57" s="421" t="s">
        <v>556</v>
      </c>
      <c r="F57" s="421" t="s">
        <v>462</v>
      </c>
      <c r="G57" s="423">
        <v>60</v>
      </c>
      <c r="H57" s="423">
        <v>293</v>
      </c>
    </row>
    <row r="58" spans="1:8" x14ac:dyDescent="0.25">
      <c r="A58" s="421" t="s">
        <v>202</v>
      </c>
      <c r="B58" s="421" t="s">
        <v>201</v>
      </c>
      <c r="C58" s="421">
        <v>97.325019999999995</v>
      </c>
      <c r="D58" s="421" t="s">
        <v>513</v>
      </c>
      <c r="E58" s="421" t="s">
        <v>556</v>
      </c>
      <c r="F58" s="421" t="s">
        <v>1092</v>
      </c>
      <c r="G58" s="423">
        <v>261</v>
      </c>
      <c r="H58" s="423">
        <v>1155</v>
      </c>
    </row>
    <row r="59" spans="1:8" x14ac:dyDescent="0.25">
      <c r="A59" s="421" t="s">
        <v>261</v>
      </c>
      <c r="B59" s="421" t="s">
        <v>260</v>
      </c>
      <c r="C59" s="421">
        <v>97.418694000000002</v>
      </c>
      <c r="D59" s="421" t="s">
        <v>513</v>
      </c>
      <c r="E59" s="421" t="s">
        <v>556</v>
      </c>
      <c r="F59" s="421" t="s">
        <v>462</v>
      </c>
      <c r="G59" s="423">
        <v>101</v>
      </c>
      <c r="H59" s="423">
        <v>544</v>
      </c>
    </row>
    <row r="60" spans="1:8" x14ac:dyDescent="0.25">
      <c r="A60" s="421" t="s">
        <v>160</v>
      </c>
      <c r="B60" s="421" t="s">
        <v>159</v>
      </c>
      <c r="C60" s="421">
        <v>97.589979999999997</v>
      </c>
      <c r="D60" s="421" t="s">
        <v>513</v>
      </c>
      <c r="E60" s="421" t="s">
        <v>556</v>
      </c>
      <c r="F60" s="421" t="s">
        <v>462</v>
      </c>
      <c r="G60" s="423">
        <v>107</v>
      </c>
      <c r="H60" s="423">
        <v>527</v>
      </c>
    </row>
    <row r="61" spans="1:8" x14ac:dyDescent="0.25">
      <c r="A61" s="421" t="s">
        <v>1098</v>
      </c>
      <c r="B61" s="421" t="s">
        <v>1099</v>
      </c>
      <c r="C61" s="421">
        <v>97.590767</v>
      </c>
      <c r="D61" s="421" t="s">
        <v>513</v>
      </c>
      <c r="E61" s="421" t="s">
        <v>556</v>
      </c>
      <c r="F61" s="421" t="s">
        <v>462</v>
      </c>
      <c r="G61" s="423">
        <v>113</v>
      </c>
      <c r="H61" s="423">
        <v>476</v>
      </c>
    </row>
    <row r="62" spans="1:8" x14ac:dyDescent="0.25">
      <c r="A62" s="421" t="s">
        <v>154</v>
      </c>
      <c r="B62" s="421" t="s">
        <v>153</v>
      </c>
      <c r="C62" s="421">
        <v>97.578490000000002</v>
      </c>
      <c r="D62" s="421" t="s">
        <v>513</v>
      </c>
      <c r="E62" s="421" t="s">
        <v>556</v>
      </c>
      <c r="F62" s="421" t="s">
        <v>1092</v>
      </c>
      <c r="G62" s="423">
        <v>458</v>
      </c>
      <c r="H62" s="423">
        <v>2139</v>
      </c>
    </row>
    <row r="63" spans="1:8" x14ac:dyDescent="0.25">
      <c r="A63" s="421" t="s">
        <v>1064</v>
      </c>
      <c r="B63" s="421" t="s">
        <v>1065</v>
      </c>
      <c r="C63" s="421">
        <v>97.578367</v>
      </c>
      <c r="D63" s="421" t="s">
        <v>513</v>
      </c>
      <c r="E63" s="421" t="s">
        <v>556</v>
      </c>
      <c r="F63" s="421" t="s">
        <v>1092</v>
      </c>
      <c r="G63" s="423">
        <v>123</v>
      </c>
      <c r="H63" s="423">
        <v>555</v>
      </c>
    </row>
    <row r="64" spans="1:8" x14ac:dyDescent="0.25">
      <c r="A64" s="421" t="s">
        <v>167</v>
      </c>
      <c r="B64" s="421" t="s">
        <v>165</v>
      </c>
      <c r="C64" s="421">
        <v>97.124403000000001</v>
      </c>
      <c r="D64" s="421" t="s">
        <v>513</v>
      </c>
      <c r="E64" s="421" t="s">
        <v>556</v>
      </c>
      <c r="F64" s="421" t="s">
        <v>462</v>
      </c>
      <c r="G64" s="423">
        <v>37</v>
      </c>
      <c r="H64" s="423">
        <v>159</v>
      </c>
    </row>
    <row r="65" spans="1:8" x14ac:dyDescent="0.25">
      <c r="A65" s="421" t="s">
        <v>824</v>
      </c>
      <c r="B65" s="421" t="s">
        <v>825</v>
      </c>
      <c r="C65" s="421">
        <v>97.116680000000002</v>
      </c>
      <c r="D65" s="421" t="s">
        <v>513</v>
      </c>
      <c r="E65" s="421" t="s">
        <v>556</v>
      </c>
      <c r="F65" s="421" t="s">
        <v>1266</v>
      </c>
      <c r="G65" s="423">
        <v>31</v>
      </c>
      <c r="H65" s="423">
        <v>183</v>
      </c>
    </row>
    <row r="66" spans="1:8" x14ac:dyDescent="0.25">
      <c r="A66" s="421" t="s">
        <v>176</v>
      </c>
      <c r="B66" s="421" t="s">
        <v>175</v>
      </c>
      <c r="C66" s="421">
        <v>96.942279999999997</v>
      </c>
      <c r="D66" s="421" t="s">
        <v>513</v>
      </c>
      <c r="E66" s="421" t="s">
        <v>556</v>
      </c>
      <c r="F66" s="421" t="s">
        <v>462</v>
      </c>
      <c r="G66" s="423">
        <v>17</v>
      </c>
      <c r="H66" s="423">
        <v>77</v>
      </c>
    </row>
    <row r="67" spans="1:8" x14ac:dyDescent="0.25">
      <c r="A67" s="421" t="s">
        <v>152</v>
      </c>
      <c r="B67" s="421" t="s">
        <v>150</v>
      </c>
      <c r="C67" s="421">
        <v>97.291820000000001</v>
      </c>
      <c r="D67" s="421" t="s">
        <v>513</v>
      </c>
      <c r="E67" s="421" t="s">
        <v>556</v>
      </c>
      <c r="F67" s="421" t="s">
        <v>462</v>
      </c>
      <c r="G67" s="423">
        <v>221</v>
      </c>
      <c r="H67" s="423">
        <v>1003</v>
      </c>
    </row>
    <row r="68" spans="1:8" x14ac:dyDescent="0.25">
      <c r="A68" s="421" t="s">
        <v>263</v>
      </c>
      <c r="B68" s="421" t="s">
        <v>262</v>
      </c>
      <c r="C68" s="421">
        <v>97.2843958974359</v>
      </c>
      <c r="D68" s="421" t="s">
        <v>513</v>
      </c>
      <c r="E68" s="421" t="s">
        <v>556</v>
      </c>
      <c r="F68" s="421" t="s">
        <v>507</v>
      </c>
      <c r="G68" s="423">
        <v>21</v>
      </c>
      <c r="H68" s="423">
        <v>97</v>
      </c>
    </row>
    <row r="69" spans="1:8" x14ac:dyDescent="0.25">
      <c r="A69" s="421" t="s">
        <v>265</v>
      </c>
      <c r="B69" s="421" t="s">
        <v>264</v>
      </c>
      <c r="C69" s="421">
        <v>97.290952037037002</v>
      </c>
      <c r="D69" s="421" t="s">
        <v>513</v>
      </c>
      <c r="E69" s="421" t="s">
        <v>556</v>
      </c>
      <c r="F69" s="421" t="s">
        <v>507</v>
      </c>
      <c r="G69" s="423">
        <v>14</v>
      </c>
      <c r="H69" s="423">
        <v>71</v>
      </c>
    </row>
    <row r="70" spans="1:8" x14ac:dyDescent="0.25">
      <c r="A70" s="421" t="s">
        <v>100</v>
      </c>
      <c r="B70" s="421" t="s">
        <v>99</v>
      </c>
      <c r="C70" s="421">
        <v>96.319829999999996</v>
      </c>
      <c r="D70" s="421" t="s">
        <v>513</v>
      </c>
      <c r="E70" s="421" t="s">
        <v>556</v>
      </c>
      <c r="F70" s="421" t="s">
        <v>507</v>
      </c>
      <c r="G70" s="423">
        <v>5</v>
      </c>
      <c r="H70" s="423">
        <v>26</v>
      </c>
    </row>
    <row r="71" spans="1:8" x14ac:dyDescent="0.25">
      <c r="A71" s="421" t="s">
        <v>368</v>
      </c>
      <c r="B71" s="421" t="s">
        <v>385</v>
      </c>
      <c r="C71" s="421">
        <v>97.793019999999999</v>
      </c>
      <c r="D71" s="421" t="s">
        <v>513</v>
      </c>
      <c r="E71" s="421" t="s">
        <v>556</v>
      </c>
      <c r="F71" s="421" t="s">
        <v>462</v>
      </c>
      <c r="G71" s="423">
        <v>63</v>
      </c>
      <c r="H71" s="423">
        <v>305</v>
      </c>
    </row>
    <row r="72" spans="1:8" x14ac:dyDescent="0.25">
      <c r="A72" s="421" t="s">
        <v>209</v>
      </c>
      <c r="B72" s="421" t="s">
        <v>208</v>
      </c>
      <c r="C72" s="421">
        <v>97.344359999999995</v>
      </c>
      <c r="D72" s="421" t="s">
        <v>513</v>
      </c>
      <c r="E72" s="421" t="s">
        <v>556</v>
      </c>
      <c r="F72" s="421" t="s">
        <v>462</v>
      </c>
      <c r="G72" s="423">
        <v>226</v>
      </c>
      <c r="H72" s="423">
        <v>1824</v>
      </c>
    </row>
    <row r="73" spans="1:8" x14ac:dyDescent="0.25">
      <c r="A73" s="421" t="s">
        <v>371</v>
      </c>
      <c r="B73" s="421" t="s">
        <v>147</v>
      </c>
      <c r="C73" s="421">
        <v>98.220614999999995</v>
      </c>
      <c r="D73" s="421" t="s">
        <v>513</v>
      </c>
      <c r="E73" s="421" t="s">
        <v>556</v>
      </c>
      <c r="F73" s="421" t="s">
        <v>462</v>
      </c>
      <c r="G73" s="423">
        <v>49</v>
      </c>
      <c r="H73" s="423">
        <v>261</v>
      </c>
    </row>
    <row r="74" spans="1:8" x14ac:dyDescent="0.25">
      <c r="A74" s="421" t="s">
        <v>1105</v>
      </c>
      <c r="B74" s="421" t="s">
        <v>1104</v>
      </c>
      <c r="C74" s="421" t="s">
        <v>861</v>
      </c>
      <c r="D74" s="421" t="s">
        <v>513</v>
      </c>
      <c r="E74" s="421" t="s">
        <v>556</v>
      </c>
      <c r="F74" s="421" t="s">
        <v>1266</v>
      </c>
      <c r="G74" s="423">
        <v>23</v>
      </c>
      <c r="H74" s="423">
        <v>112</v>
      </c>
    </row>
    <row r="75" spans="1:8" x14ac:dyDescent="0.25">
      <c r="A75" s="421" t="s">
        <v>1056</v>
      </c>
      <c r="B75" s="421" t="s">
        <v>1057</v>
      </c>
      <c r="C75" s="421">
        <v>97.909400000000005</v>
      </c>
      <c r="D75" s="421" t="s">
        <v>513</v>
      </c>
      <c r="E75" s="421" t="s">
        <v>556</v>
      </c>
      <c r="F75" s="421" t="s">
        <v>462</v>
      </c>
      <c r="G75" s="423">
        <v>52</v>
      </c>
      <c r="H75" s="423">
        <v>212</v>
      </c>
    </row>
    <row r="76" spans="1:8" x14ac:dyDescent="0.25">
      <c r="A76" s="421" t="s">
        <v>1066</v>
      </c>
      <c r="B76" s="421" t="s">
        <v>1067</v>
      </c>
      <c r="C76" s="421">
        <v>97.911647000000002</v>
      </c>
      <c r="D76" s="421" t="s">
        <v>513</v>
      </c>
      <c r="E76" s="421" t="s">
        <v>556</v>
      </c>
      <c r="F76" s="421" t="s">
        <v>1266</v>
      </c>
      <c r="G76" s="423">
        <v>26</v>
      </c>
      <c r="H76" s="423">
        <v>111</v>
      </c>
    </row>
    <row r="77" spans="1:8" x14ac:dyDescent="0.25">
      <c r="A77" s="421" t="s">
        <v>8</v>
      </c>
      <c r="B77" s="421" t="s">
        <v>7</v>
      </c>
      <c r="C77" s="421">
        <v>97.234200000000001</v>
      </c>
      <c r="D77" s="421" t="s">
        <v>513</v>
      </c>
      <c r="E77" s="421" t="s">
        <v>556</v>
      </c>
      <c r="F77" s="421" t="s">
        <v>507</v>
      </c>
      <c r="G77" s="423">
        <v>14</v>
      </c>
      <c r="H77" s="423">
        <v>65</v>
      </c>
    </row>
    <row r="78" spans="1:8" x14ac:dyDescent="0.25">
      <c r="A78" s="421" t="s">
        <v>292</v>
      </c>
      <c r="B78" s="421" t="s">
        <v>291</v>
      </c>
      <c r="C78" s="421">
        <v>97.681970000000007</v>
      </c>
      <c r="D78" s="421" t="s">
        <v>513</v>
      </c>
      <c r="E78" s="421" t="s">
        <v>556</v>
      </c>
      <c r="F78" s="421" t="s">
        <v>462</v>
      </c>
      <c r="G78" s="423">
        <v>70</v>
      </c>
      <c r="H78" s="423">
        <v>368</v>
      </c>
    </row>
    <row r="79" spans="1:8" x14ac:dyDescent="0.25">
      <c r="A79" s="421" t="s">
        <v>290</v>
      </c>
      <c r="B79" s="421" t="s">
        <v>288</v>
      </c>
      <c r="C79" s="421">
        <v>97.669557999999995</v>
      </c>
      <c r="D79" s="421" t="s">
        <v>513</v>
      </c>
      <c r="E79" s="421" t="s">
        <v>556</v>
      </c>
      <c r="F79" s="421" t="s">
        <v>462</v>
      </c>
      <c r="G79" s="423">
        <v>73</v>
      </c>
      <c r="H79" s="423">
        <v>380</v>
      </c>
    </row>
    <row r="80" spans="1:8" x14ac:dyDescent="0.25">
      <c r="A80" s="421" t="s">
        <v>1058</v>
      </c>
      <c r="B80" s="421" t="s">
        <v>1059</v>
      </c>
      <c r="C80" s="421">
        <v>97.700940000000003</v>
      </c>
      <c r="D80" s="421" t="s">
        <v>513</v>
      </c>
      <c r="E80" s="421" t="s">
        <v>556</v>
      </c>
      <c r="F80" s="421" t="s">
        <v>462</v>
      </c>
      <c r="G80" s="423">
        <v>37</v>
      </c>
      <c r="H80" s="423">
        <v>198</v>
      </c>
    </row>
    <row r="81" spans="1:8" x14ac:dyDescent="0.25">
      <c r="A81" s="421" t="s">
        <v>374</v>
      </c>
      <c r="B81" s="421" t="s">
        <v>295</v>
      </c>
      <c r="C81" s="421">
        <v>97.670360000000002</v>
      </c>
      <c r="D81" s="421" t="s">
        <v>513</v>
      </c>
      <c r="E81" s="421" t="s">
        <v>556</v>
      </c>
      <c r="F81" s="421" t="s">
        <v>1266</v>
      </c>
      <c r="G81" s="423">
        <v>48</v>
      </c>
      <c r="H81" s="423">
        <v>218</v>
      </c>
    </row>
    <row r="82" spans="1:8" x14ac:dyDescent="0.25">
      <c r="A82" s="421" t="s">
        <v>149</v>
      </c>
      <c r="B82" s="421" t="s">
        <v>148</v>
      </c>
      <c r="C82" s="421">
        <v>97.818979999999996</v>
      </c>
      <c r="D82" s="421" t="s">
        <v>513</v>
      </c>
      <c r="E82" s="421" t="s">
        <v>556</v>
      </c>
      <c r="F82" s="421" t="s">
        <v>462</v>
      </c>
      <c r="G82" s="423">
        <v>62</v>
      </c>
      <c r="H82" s="423">
        <v>281</v>
      </c>
    </row>
    <row r="83" spans="1:8" x14ac:dyDescent="0.25">
      <c r="A83" s="421" t="s">
        <v>613</v>
      </c>
      <c r="B83" s="421" t="s">
        <v>46</v>
      </c>
      <c r="C83" s="421">
        <v>96.339590000000001</v>
      </c>
      <c r="D83" s="421" t="s">
        <v>513</v>
      </c>
      <c r="E83" s="421" t="s">
        <v>556</v>
      </c>
      <c r="F83" s="421" t="s">
        <v>507</v>
      </c>
      <c r="G83" s="423">
        <v>17</v>
      </c>
      <c r="H83" s="423">
        <v>64</v>
      </c>
    </row>
    <row r="84" spans="1:8" x14ac:dyDescent="0.25">
      <c r="A84" s="421" t="s">
        <v>823</v>
      </c>
      <c r="B84" s="421" t="s">
        <v>297</v>
      </c>
      <c r="C84" s="421">
        <v>97.404089999999997</v>
      </c>
      <c r="D84" s="421" t="s">
        <v>513</v>
      </c>
      <c r="E84" s="421" t="s">
        <v>556</v>
      </c>
      <c r="F84" s="421" t="s">
        <v>462</v>
      </c>
      <c r="G84" s="423">
        <v>9</v>
      </c>
      <c r="H84" s="423">
        <v>37</v>
      </c>
    </row>
    <row r="85" spans="1:8" x14ac:dyDescent="0.25">
      <c r="A85" s="421" t="s">
        <v>1070</v>
      </c>
      <c r="B85" s="421" t="s">
        <v>1063</v>
      </c>
      <c r="C85" s="421">
        <v>97.709879999999998</v>
      </c>
      <c r="D85" s="421" t="s">
        <v>513</v>
      </c>
      <c r="E85" s="421" t="s">
        <v>556</v>
      </c>
      <c r="F85" s="421" t="s">
        <v>462</v>
      </c>
      <c r="G85" s="423">
        <v>123</v>
      </c>
      <c r="H85" s="423">
        <v>575</v>
      </c>
    </row>
    <row r="86" spans="1:8" x14ac:dyDescent="0.25">
      <c r="A86" s="421" t="s">
        <v>271</v>
      </c>
      <c r="B86" s="421" t="s">
        <v>270</v>
      </c>
      <c r="C86" s="421">
        <v>97.359320179999997</v>
      </c>
      <c r="D86" s="421" t="s">
        <v>513</v>
      </c>
      <c r="E86" s="421" t="s">
        <v>556</v>
      </c>
      <c r="F86" s="421" t="s">
        <v>1093</v>
      </c>
      <c r="G86" s="423">
        <v>66</v>
      </c>
      <c r="H86" s="423">
        <v>323</v>
      </c>
    </row>
    <row r="87" spans="1:8" x14ac:dyDescent="0.25">
      <c r="A87" s="421" t="s">
        <v>20</v>
      </c>
      <c r="B87" s="421" t="s">
        <v>19</v>
      </c>
      <c r="C87" s="421">
        <v>97.315860000000001</v>
      </c>
      <c r="D87" s="421" t="s">
        <v>513</v>
      </c>
      <c r="E87" s="421" t="s">
        <v>556</v>
      </c>
      <c r="F87" s="421" t="s">
        <v>1092</v>
      </c>
      <c r="G87" s="423">
        <v>20</v>
      </c>
      <c r="H87" s="423">
        <v>103</v>
      </c>
    </row>
    <row r="88" spans="1:8" x14ac:dyDescent="0.25">
      <c r="A88" s="421" t="s">
        <v>108</v>
      </c>
      <c r="B88" s="421" t="s">
        <v>107</v>
      </c>
      <c r="C88" s="421">
        <v>96.341352999999998</v>
      </c>
      <c r="D88" s="421" t="s">
        <v>513</v>
      </c>
      <c r="E88" s="421" t="s">
        <v>556</v>
      </c>
      <c r="F88" s="421" t="s">
        <v>1093</v>
      </c>
      <c r="G88" s="423">
        <v>53</v>
      </c>
      <c r="H88" s="423">
        <v>241</v>
      </c>
    </row>
    <row r="89" spans="1:8" x14ac:dyDescent="0.25">
      <c r="A89" s="421" t="s">
        <v>178</v>
      </c>
      <c r="B89" s="421" t="s">
        <v>177</v>
      </c>
      <c r="C89" s="421">
        <v>96.948740000000001</v>
      </c>
      <c r="D89" s="421" t="s">
        <v>513</v>
      </c>
      <c r="E89" s="421" t="s">
        <v>556</v>
      </c>
      <c r="F89" s="421" t="s">
        <v>462</v>
      </c>
      <c r="G89" s="423">
        <v>12</v>
      </c>
      <c r="H89" s="423">
        <v>42</v>
      </c>
    </row>
    <row r="90" spans="1:8" x14ac:dyDescent="0.25">
      <c r="A90" s="421" t="s">
        <v>344</v>
      </c>
      <c r="B90" s="421" t="s">
        <v>343</v>
      </c>
      <c r="C90" s="421">
        <v>97.345039</v>
      </c>
      <c r="D90" s="421" t="s">
        <v>513</v>
      </c>
      <c r="E90" s="421" t="s">
        <v>556</v>
      </c>
      <c r="F90" s="421" t="s">
        <v>507</v>
      </c>
      <c r="G90" s="423">
        <v>18</v>
      </c>
      <c r="H90" s="423">
        <v>82</v>
      </c>
    </row>
    <row r="91" spans="1:8" x14ac:dyDescent="0.25">
      <c r="A91" s="421" t="s">
        <v>287</v>
      </c>
      <c r="B91" s="421" t="s">
        <v>286</v>
      </c>
      <c r="C91" s="421">
        <v>96.364949999999993</v>
      </c>
      <c r="D91" s="421" t="s">
        <v>513</v>
      </c>
      <c r="E91" s="421" t="s">
        <v>556</v>
      </c>
      <c r="F91" s="421" t="s">
        <v>462</v>
      </c>
      <c r="G91" s="423">
        <v>19</v>
      </c>
      <c r="H91" s="423">
        <v>100</v>
      </c>
    </row>
    <row r="92" spans="1:8" x14ac:dyDescent="0.25">
      <c r="A92" s="421" t="s">
        <v>215</v>
      </c>
      <c r="B92" s="421" t="s">
        <v>214</v>
      </c>
      <c r="C92" s="421">
        <v>97.669366999999994</v>
      </c>
      <c r="D92" s="421" t="s">
        <v>515</v>
      </c>
      <c r="E92" s="421" t="s">
        <v>556</v>
      </c>
      <c r="F92" s="421" t="s">
        <v>1092</v>
      </c>
      <c r="G92" s="423">
        <v>375</v>
      </c>
      <c r="H92" s="423">
        <v>1598</v>
      </c>
    </row>
    <row r="93" spans="1:8" x14ac:dyDescent="0.25">
      <c r="A93" s="421" t="s">
        <v>269</v>
      </c>
      <c r="B93" s="421" t="s">
        <v>268</v>
      </c>
      <c r="C93" s="421">
        <v>97.394547000000003</v>
      </c>
      <c r="D93" s="421" t="s">
        <v>513</v>
      </c>
      <c r="E93" s="421" t="s">
        <v>556</v>
      </c>
      <c r="F93" s="421" t="s">
        <v>462</v>
      </c>
      <c r="G93" s="423">
        <v>58</v>
      </c>
      <c r="H93" s="423">
        <v>241</v>
      </c>
    </row>
    <row r="94" spans="1:8" x14ac:dyDescent="0.25">
      <c r="A94" s="421" t="s">
        <v>229</v>
      </c>
      <c r="B94" s="421" t="s">
        <v>228</v>
      </c>
      <c r="C94" s="421">
        <v>97.724483000000006</v>
      </c>
      <c r="D94" s="421" t="s">
        <v>513</v>
      </c>
      <c r="E94" s="421" t="s">
        <v>556</v>
      </c>
      <c r="F94" s="421" t="s">
        <v>462</v>
      </c>
      <c r="G94" s="423">
        <v>50</v>
      </c>
      <c r="H94" s="423">
        <v>308</v>
      </c>
    </row>
    <row r="95" spans="1:8" x14ac:dyDescent="0.25">
      <c r="A95" s="421" t="s">
        <v>273</v>
      </c>
      <c r="B95" s="421" t="s">
        <v>272</v>
      </c>
      <c r="C95" s="421">
        <v>97.4345</v>
      </c>
      <c r="D95" s="421" t="s">
        <v>513</v>
      </c>
      <c r="E95" s="421" t="s">
        <v>556</v>
      </c>
      <c r="F95" s="421" t="s">
        <v>1093</v>
      </c>
      <c r="G95" s="423">
        <v>43</v>
      </c>
      <c r="H95" s="423">
        <v>271</v>
      </c>
    </row>
    <row r="96" spans="1:8" x14ac:dyDescent="0.25">
      <c r="A96" s="421" t="s">
        <v>219</v>
      </c>
      <c r="B96" s="421" t="s">
        <v>218</v>
      </c>
      <c r="C96" s="421">
        <v>97.752667000000002</v>
      </c>
      <c r="D96" s="421" t="s">
        <v>515</v>
      </c>
      <c r="E96" s="421" t="s">
        <v>556</v>
      </c>
      <c r="F96" s="421" t="s">
        <v>1092</v>
      </c>
      <c r="G96" s="423">
        <v>677</v>
      </c>
      <c r="H96" s="423">
        <v>3622</v>
      </c>
    </row>
    <row r="97" spans="1:8" x14ac:dyDescent="0.25">
      <c r="A97" s="421" t="s">
        <v>866</v>
      </c>
      <c r="B97" s="421" t="s">
        <v>865</v>
      </c>
      <c r="C97" s="421">
        <v>98.377780000000001</v>
      </c>
      <c r="D97" s="421" t="s">
        <v>513</v>
      </c>
      <c r="E97" s="421" t="s">
        <v>556</v>
      </c>
      <c r="F97" s="421" t="s">
        <v>1093</v>
      </c>
      <c r="G97" s="423">
        <v>60</v>
      </c>
      <c r="H97" s="423">
        <v>275</v>
      </c>
    </row>
    <row r="98" spans="1:8" x14ac:dyDescent="0.25">
      <c r="A98" s="421" t="s">
        <v>366</v>
      </c>
      <c r="B98" s="421" t="s">
        <v>376</v>
      </c>
      <c r="C98" s="421">
        <v>97.252650000000003</v>
      </c>
      <c r="D98" s="421" t="s">
        <v>513</v>
      </c>
      <c r="E98" s="421" t="s">
        <v>556</v>
      </c>
      <c r="F98" s="421" t="s">
        <v>462</v>
      </c>
      <c r="G98" s="423">
        <v>150</v>
      </c>
      <c r="H98" s="423">
        <v>766</v>
      </c>
    </row>
    <row r="99" spans="1:8" x14ac:dyDescent="0.25">
      <c r="A99" s="421" t="s">
        <v>355</v>
      </c>
      <c r="B99" s="421" t="s">
        <v>354</v>
      </c>
      <c r="C99" s="421">
        <v>97.990555999999998</v>
      </c>
      <c r="D99" s="421" t="s">
        <v>515</v>
      </c>
      <c r="E99" s="421" t="s">
        <v>556</v>
      </c>
      <c r="F99" s="421" t="s">
        <v>1093</v>
      </c>
      <c r="G99" s="423">
        <v>98</v>
      </c>
      <c r="H99" s="423">
        <v>554</v>
      </c>
    </row>
    <row r="100" spans="1:8" x14ac:dyDescent="0.25">
      <c r="A100" s="421" t="s">
        <v>318</v>
      </c>
      <c r="B100" s="421" t="s">
        <v>317</v>
      </c>
      <c r="C100" s="421">
        <v>97.441166388888902</v>
      </c>
      <c r="D100" s="421" t="s">
        <v>513</v>
      </c>
      <c r="E100" s="421" t="s">
        <v>556</v>
      </c>
      <c r="F100" s="421" t="s">
        <v>507</v>
      </c>
      <c r="G100" s="423">
        <v>91</v>
      </c>
      <c r="H100" s="423">
        <v>329</v>
      </c>
    </row>
    <row r="101" spans="1:8" x14ac:dyDescent="0.25">
      <c r="A101" s="421" t="s">
        <v>342</v>
      </c>
      <c r="B101" s="421" t="s">
        <v>341</v>
      </c>
      <c r="C101" s="421">
        <v>97.438432380952406</v>
      </c>
      <c r="D101" s="421" t="s">
        <v>513</v>
      </c>
      <c r="E101" s="421" t="s">
        <v>556</v>
      </c>
      <c r="F101" s="421" t="s">
        <v>462</v>
      </c>
      <c r="G101" s="423">
        <v>65</v>
      </c>
      <c r="H101" s="423">
        <v>328</v>
      </c>
    </row>
    <row r="102" spans="1:8" x14ac:dyDescent="0.25">
      <c r="A102" s="421" t="s">
        <v>338</v>
      </c>
      <c r="B102" s="421" t="s">
        <v>337</v>
      </c>
      <c r="C102" s="421">
        <v>97.437472666666693</v>
      </c>
      <c r="D102" s="421" t="s">
        <v>513</v>
      </c>
      <c r="E102" s="421" t="s">
        <v>556</v>
      </c>
      <c r="F102" s="421" t="s">
        <v>507</v>
      </c>
      <c r="G102" s="423">
        <v>31</v>
      </c>
      <c r="H102" s="423">
        <v>171</v>
      </c>
    </row>
    <row r="103" spans="1:8" x14ac:dyDescent="0.25">
      <c r="A103" s="421" t="s">
        <v>351</v>
      </c>
      <c r="B103" s="421" t="s">
        <v>350</v>
      </c>
      <c r="C103" s="421">
        <v>97.432495000000003</v>
      </c>
      <c r="D103" s="421" t="s">
        <v>513</v>
      </c>
      <c r="E103" s="421" t="s">
        <v>556</v>
      </c>
      <c r="F103" s="421" t="s">
        <v>507</v>
      </c>
      <c r="G103" s="423">
        <v>88</v>
      </c>
      <c r="H103" s="423">
        <v>482</v>
      </c>
    </row>
    <row r="104" spans="1:8" x14ac:dyDescent="0.25">
      <c r="A104" s="421" t="s">
        <v>118</v>
      </c>
      <c r="B104" s="421" t="s">
        <v>117</v>
      </c>
      <c r="C104" s="421">
        <v>96.279200000000003</v>
      </c>
      <c r="D104" s="421" t="s">
        <v>513</v>
      </c>
      <c r="E104" s="421" t="s">
        <v>556</v>
      </c>
      <c r="F104" s="421" t="s">
        <v>507</v>
      </c>
      <c r="G104" s="423">
        <v>10</v>
      </c>
      <c r="H104" s="423">
        <v>39</v>
      </c>
    </row>
    <row r="105" spans="1:8" x14ac:dyDescent="0.25">
      <c r="A105" s="421" t="s">
        <v>22</v>
      </c>
      <c r="B105" s="421" t="s">
        <v>21</v>
      </c>
      <c r="C105" s="421">
        <v>97.229116811594196</v>
      </c>
      <c r="D105" s="421" t="s">
        <v>513</v>
      </c>
      <c r="E105" s="421" t="s">
        <v>556</v>
      </c>
      <c r="F105" s="421" t="s">
        <v>462</v>
      </c>
      <c r="G105" s="423">
        <v>629</v>
      </c>
      <c r="H105" s="423">
        <v>3798</v>
      </c>
    </row>
    <row r="106" spans="1:8" x14ac:dyDescent="0.25">
      <c r="A106" s="421" t="s">
        <v>124</v>
      </c>
      <c r="B106" s="421" t="s">
        <v>123</v>
      </c>
      <c r="C106" s="421">
        <v>96.353030000000004</v>
      </c>
      <c r="D106" s="421" t="s">
        <v>513</v>
      </c>
      <c r="E106" s="421" t="s">
        <v>556</v>
      </c>
      <c r="F106" s="421" t="s">
        <v>462</v>
      </c>
      <c r="G106" s="423">
        <v>8</v>
      </c>
      <c r="H106" s="423">
        <v>40</v>
      </c>
    </row>
    <row r="107" spans="1:8" x14ac:dyDescent="0.25">
      <c r="A107" s="421" t="s">
        <v>1022</v>
      </c>
      <c r="B107" s="421" t="s">
        <v>1023</v>
      </c>
      <c r="C107" s="421">
        <v>98.356260000000006</v>
      </c>
      <c r="D107" s="421" t="s">
        <v>513</v>
      </c>
      <c r="E107" s="421" t="s">
        <v>556</v>
      </c>
      <c r="F107" s="421" t="s">
        <v>1093</v>
      </c>
      <c r="G107" s="423">
        <v>30</v>
      </c>
      <c r="H107" s="423">
        <v>174</v>
      </c>
    </row>
    <row r="108" spans="1:8" x14ac:dyDescent="0.25">
      <c r="A108" s="421" t="s">
        <v>225</v>
      </c>
      <c r="B108" s="421" t="s">
        <v>224</v>
      </c>
      <c r="C108" s="421">
        <v>97.710864000000001</v>
      </c>
      <c r="D108" s="421" t="s">
        <v>513</v>
      </c>
      <c r="E108" s="421" t="s">
        <v>556</v>
      </c>
      <c r="F108" s="421" t="s">
        <v>462</v>
      </c>
      <c r="G108" s="423">
        <v>39</v>
      </c>
      <c r="H108" s="423">
        <v>249</v>
      </c>
    </row>
    <row r="109" spans="1:8" x14ac:dyDescent="0.25">
      <c r="A109" s="421" t="s">
        <v>277</v>
      </c>
      <c r="B109" s="421" t="s">
        <v>276</v>
      </c>
      <c r="C109" s="421">
        <v>97.399628000000007</v>
      </c>
      <c r="D109" s="421" t="s">
        <v>513</v>
      </c>
      <c r="E109" s="421" t="s">
        <v>556</v>
      </c>
      <c r="F109" s="421" t="s">
        <v>462</v>
      </c>
      <c r="G109" s="423">
        <v>90</v>
      </c>
      <c r="H109" s="423">
        <v>395</v>
      </c>
    </row>
    <row r="110" spans="1:8" x14ac:dyDescent="0.25">
      <c r="A110" s="421" t="s">
        <v>279</v>
      </c>
      <c r="B110" s="421" t="s">
        <v>278</v>
      </c>
      <c r="C110" s="421">
        <v>97.418004999999994</v>
      </c>
      <c r="D110" s="421" t="s">
        <v>513</v>
      </c>
      <c r="E110" s="421" t="s">
        <v>556</v>
      </c>
      <c r="F110" s="421" t="s">
        <v>507</v>
      </c>
      <c r="G110" s="423">
        <v>22</v>
      </c>
      <c r="H110" s="423">
        <v>111</v>
      </c>
    </row>
    <row r="111" spans="1:8" x14ac:dyDescent="0.25">
      <c r="A111" s="421" t="s">
        <v>347</v>
      </c>
      <c r="B111" s="421" t="s">
        <v>346</v>
      </c>
      <c r="C111" s="421">
        <v>98.025662999999994</v>
      </c>
      <c r="D111" s="421" t="s">
        <v>513</v>
      </c>
      <c r="E111" s="421" t="s">
        <v>556</v>
      </c>
      <c r="F111" s="421" t="s">
        <v>462</v>
      </c>
      <c r="G111" s="423">
        <v>179</v>
      </c>
      <c r="H111" s="423">
        <v>940</v>
      </c>
    </row>
    <row r="112" spans="1:8" x14ac:dyDescent="0.25">
      <c r="A112" s="421" t="s">
        <v>306</v>
      </c>
      <c r="B112" s="421" t="s">
        <v>305</v>
      </c>
      <c r="C112" s="421">
        <v>96.807353000000006</v>
      </c>
      <c r="D112" s="421" t="s">
        <v>513</v>
      </c>
      <c r="E112" s="421" t="s">
        <v>556</v>
      </c>
      <c r="F112" s="421" t="s">
        <v>462</v>
      </c>
      <c r="G112" s="423">
        <v>86</v>
      </c>
      <c r="H112" s="423">
        <v>309</v>
      </c>
    </row>
    <row r="113" spans="1:8" x14ac:dyDescent="0.25">
      <c r="A113" s="421" t="s">
        <v>308</v>
      </c>
      <c r="B113" s="421" t="s">
        <v>307</v>
      </c>
      <c r="C113" s="421">
        <v>96.807353000000006</v>
      </c>
      <c r="D113" s="421" t="s">
        <v>513</v>
      </c>
      <c r="E113" s="421" t="s">
        <v>556</v>
      </c>
      <c r="F113" s="421" t="s">
        <v>1092</v>
      </c>
      <c r="G113" s="423">
        <v>41</v>
      </c>
      <c r="H113" s="423">
        <v>152</v>
      </c>
    </row>
    <row r="114" spans="1:8" x14ac:dyDescent="0.25">
      <c r="A114" s="421" t="s">
        <v>281</v>
      </c>
      <c r="B114" s="421" t="s">
        <v>280</v>
      </c>
      <c r="C114" s="421">
        <v>97.419403000000003</v>
      </c>
      <c r="D114" s="421" t="s">
        <v>513</v>
      </c>
      <c r="E114" s="421" t="s">
        <v>556</v>
      </c>
      <c r="F114" s="421" t="s">
        <v>462</v>
      </c>
      <c r="G114" s="423">
        <v>91</v>
      </c>
      <c r="H114" s="423">
        <v>491</v>
      </c>
    </row>
    <row r="115" spans="1:8" x14ac:dyDescent="0.25">
      <c r="A115" s="421" t="s">
        <v>181</v>
      </c>
      <c r="B115" s="421" t="s">
        <v>179</v>
      </c>
      <c r="C115" s="421">
        <v>96.367059999999995</v>
      </c>
      <c r="D115" s="421" t="s">
        <v>513</v>
      </c>
      <c r="E115" s="421" t="s">
        <v>556</v>
      </c>
      <c r="F115" s="421" t="s">
        <v>1093</v>
      </c>
      <c r="G115" s="423">
        <v>12</v>
      </c>
      <c r="H115" s="423">
        <v>55</v>
      </c>
    </row>
    <row r="116" spans="1:8" x14ac:dyDescent="0.25">
      <c r="A116" s="421" t="s">
        <v>810</v>
      </c>
      <c r="B116" s="421" t="s">
        <v>814</v>
      </c>
      <c r="C116" s="421">
        <v>97.568836000000005</v>
      </c>
      <c r="D116" s="421" t="s">
        <v>513</v>
      </c>
      <c r="E116" s="421" t="s">
        <v>556</v>
      </c>
      <c r="F116" s="421" t="s">
        <v>861</v>
      </c>
      <c r="G116" s="423">
        <v>5</v>
      </c>
      <c r="H116" s="423">
        <v>32</v>
      </c>
    </row>
    <row r="117" spans="1:8" x14ac:dyDescent="0.25">
      <c r="A117" s="421" t="s">
        <v>24</v>
      </c>
      <c r="B117" s="421" t="s">
        <v>23</v>
      </c>
      <c r="C117" s="421">
        <v>97.227789999999999</v>
      </c>
      <c r="D117" s="421" t="s">
        <v>513</v>
      </c>
      <c r="E117" s="421" t="s">
        <v>556</v>
      </c>
      <c r="F117" s="421" t="s">
        <v>507</v>
      </c>
      <c r="G117" s="423">
        <v>21</v>
      </c>
      <c r="H117" s="423">
        <v>97</v>
      </c>
    </row>
    <row r="118" spans="1:8" x14ac:dyDescent="0.25">
      <c r="A118" s="421" t="s">
        <v>238</v>
      </c>
      <c r="B118" s="421" t="s">
        <v>236</v>
      </c>
      <c r="C118" s="421">
        <v>97.386718999999999</v>
      </c>
      <c r="D118" s="421" t="s">
        <v>513</v>
      </c>
      <c r="E118" s="421" t="s">
        <v>556</v>
      </c>
      <c r="F118" s="421" t="s">
        <v>462</v>
      </c>
      <c r="G118" s="423">
        <v>67</v>
      </c>
      <c r="H118" s="423">
        <v>365</v>
      </c>
    </row>
    <row r="119" spans="1:8" x14ac:dyDescent="0.25">
      <c r="A119" s="421" t="s">
        <v>249</v>
      </c>
      <c r="B119" s="421" t="s">
        <v>248</v>
      </c>
      <c r="C119" s="421">
        <v>97.389778000000007</v>
      </c>
      <c r="D119" s="421" t="s">
        <v>513</v>
      </c>
      <c r="E119" s="421" t="s">
        <v>556</v>
      </c>
      <c r="F119" s="421" t="s">
        <v>507</v>
      </c>
      <c r="G119" s="423">
        <v>6</v>
      </c>
      <c r="H119" s="423">
        <v>29</v>
      </c>
    </row>
    <row r="120" spans="1:8" x14ac:dyDescent="0.25">
      <c r="A120" s="421" t="s">
        <v>251</v>
      </c>
      <c r="B120" s="421" t="s">
        <v>250</v>
      </c>
      <c r="C120" s="421">
        <v>97.377662999999998</v>
      </c>
      <c r="D120" s="421" t="s">
        <v>513</v>
      </c>
      <c r="E120" s="421" t="s">
        <v>556</v>
      </c>
      <c r="F120" s="421" t="s">
        <v>462</v>
      </c>
      <c r="G120" s="423">
        <v>32</v>
      </c>
      <c r="H120" s="423">
        <v>161</v>
      </c>
    </row>
    <row r="121" spans="1:8" x14ac:dyDescent="0.25">
      <c r="A121" s="421" t="s">
        <v>275</v>
      </c>
      <c r="B121" s="421" t="s">
        <v>274</v>
      </c>
      <c r="C121" s="421">
        <v>97.382192000000003</v>
      </c>
      <c r="D121" s="421" t="s">
        <v>513</v>
      </c>
      <c r="E121" s="421" t="s">
        <v>556</v>
      </c>
      <c r="F121" s="421" t="s">
        <v>462</v>
      </c>
      <c r="G121" s="423">
        <v>43</v>
      </c>
      <c r="H121" s="423">
        <v>216</v>
      </c>
    </row>
    <row r="122" spans="1:8" x14ac:dyDescent="0.25">
      <c r="A122" s="421" t="s">
        <v>349</v>
      </c>
      <c r="B122" s="421" t="s">
        <v>348</v>
      </c>
      <c r="C122" s="421">
        <v>97.428251153846105</v>
      </c>
      <c r="D122" s="421" t="s">
        <v>513</v>
      </c>
      <c r="E122" s="421" t="s">
        <v>556</v>
      </c>
      <c r="F122" s="421" t="s">
        <v>507</v>
      </c>
      <c r="G122" s="423">
        <v>44</v>
      </c>
      <c r="H122" s="423">
        <v>182</v>
      </c>
    </row>
    <row r="123" spans="1:8" x14ac:dyDescent="0.25">
      <c r="A123" s="421" t="s">
        <v>316</v>
      </c>
      <c r="B123" s="421" t="s">
        <v>315</v>
      </c>
      <c r="C123" s="421">
        <v>97.444283730158702</v>
      </c>
      <c r="D123" s="421" t="s">
        <v>513</v>
      </c>
      <c r="E123" s="421" t="s">
        <v>556</v>
      </c>
      <c r="F123" s="421" t="s">
        <v>507</v>
      </c>
      <c r="G123" s="423">
        <v>70</v>
      </c>
      <c r="H123" s="423">
        <v>278</v>
      </c>
    </row>
    <row r="124" spans="1:8" x14ac:dyDescent="0.25">
      <c r="A124" s="421" t="s">
        <v>126</v>
      </c>
      <c r="B124" s="421" t="s">
        <v>125</v>
      </c>
      <c r="C124" s="421">
        <v>96.286680000000004</v>
      </c>
      <c r="D124" s="421" t="s">
        <v>513</v>
      </c>
      <c r="E124" s="421" t="s">
        <v>556</v>
      </c>
      <c r="F124" s="421" t="s">
        <v>462</v>
      </c>
      <c r="G124" s="423">
        <v>35</v>
      </c>
      <c r="H124" s="423">
        <v>173</v>
      </c>
    </row>
    <row r="125" spans="1:8" x14ac:dyDescent="0.25">
      <c r="A125" s="421" t="s">
        <v>353</v>
      </c>
      <c r="B125" s="421" t="s">
        <v>352</v>
      </c>
      <c r="C125" s="421">
        <v>97.546893999999995</v>
      </c>
      <c r="D125" s="421" t="s">
        <v>515</v>
      </c>
      <c r="E125" s="421" t="s">
        <v>556</v>
      </c>
      <c r="F125" s="421" t="s">
        <v>1093</v>
      </c>
      <c r="G125" s="423">
        <v>1354</v>
      </c>
      <c r="H125" s="423">
        <v>6602</v>
      </c>
    </row>
    <row r="126" spans="1:8" x14ac:dyDescent="0.25">
      <c r="A126" s="421" t="s">
        <v>283</v>
      </c>
      <c r="B126" s="421" t="s">
        <v>282</v>
      </c>
      <c r="C126" s="421">
        <v>97.403878500000005</v>
      </c>
      <c r="D126" s="421" t="s">
        <v>513</v>
      </c>
      <c r="E126" s="421" t="s">
        <v>556</v>
      </c>
      <c r="F126" s="421" t="s">
        <v>507</v>
      </c>
      <c r="G126" s="423">
        <v>7</v>
      </c>
      <c r="H126" s="423">
        <v>37</v>
      </c>
    </row>
    <row r="127" spans="1:8" x14ac:dyDescent="0.25">
      <c r="A127" s="421" t="s">
        <v>26</v>
      </c>
      <c r="B127" s="421" t="s">
        <v>25</v>
      </c>
      <c r="C127" s="421">
        <v>97.240639999999999</v>
      </c>
      <c r="D127" s="421" t="s">
        <v>513</v>
      </c>
      <c r="E127" s="421" t="s">
        <v>556</v>
      </c>
      <c r="F127" s="421" t="s">
        <v>507</v>
      </c>
      <c r="G127" s="423">
        <v>15</v>
      </c>
      <c r="H127" s="423">
        <v>73</v>
      </c>
    </row>
    <row r="128" spans="1:8" x14ac:dyDescent="0.25">
      <c r="A128" s="421" t="s">
        <v>140</v>
      </c>
      <c r="B128" s="421" t="s">
        <v>139</v>
      </c>
      <c r="C128" s="421">
        <v>96.306910999999999</v>
      </c>
      <c r="D128" s="421" t="s">
        <v>513</v>
      </c>
      <c r="E128" s="421" t="s">
        <v>556</v>
      </c>
      <c r="F128" s="421" t="s">
        <v>462</v>
      </c>
      <c r="G128" s="423">
        <v>19</v>
      </c>
      <c r="H128" s="423">
        <v>72</v>
      </c>
    </row>
    <row r="129" spans="1:8" x14ac:dyDescent="0.25">
      <c r="A129" s="421" t="s">
        <v>373</v>
      </c>
      <c r="B129" s="421" t="s">
        <v>387</v>
      </c>
      <c r="C129" s="421">
        <v>97.837040000000002</v>
      </c>
      <c r="D129" s="421" t="s">
        <v>513</v>
      </c>
      <c r="E129" s="421" t="s">
        <v>556</v>
      </c>
      <c r="F129" s="421" t="s">
        <v>462</v>
      </c>
      <c r="G129" s="423">
        <v>202</v>
      </c>
      <c r="H129" s="423">
        <v>906</v>
      </c>
    </row>
    <row r="130" spans="1:8" x14ac:dyDescent="0.25">
      <c r="A130" s="421" t="s">
        <v>1123</v>
      </c>
      <c r="B130" s="421" t="s">
        <v>1124</v>
      </c>
      <c r="C130" s="421" t="s">
        <v>861</v>
      </c>
      <c r="D130" s="421" t="s">
        <v>513</v>
      </c>
      <c r="E130" s="421" t="s">
        <v>556</v>
      </c>
      <c r="F130" s="421" t="s">
        <v>462</v>
      </c>
      <c r="G130" s="423">
        <v>50</v>
      </c>
      <c r="H130" s="423">
        <v>242</v>
      </c>
    </row>
    <row r="131" spans="1:8" x14ac:dyDescent="0.25">
      <c r="A131" s="421" t="s">
        <v>1247</v>
      </c>
      <c r="B131" s="421" t="s">
        <v>345</v>
      </c>
      <c r="C131" s="421">
        <v>97.751389000000003</v>
      </c>
      <c r="D131" s="421" t="s">
        <v>515</v>
      </c>
      <c r="E131" s="421" t="s">
        <v>556</v>
      </c>
      <c r="F131" s="421" t="s">
        <v>462</v>
      </c>
      <c r="G131" s="423">
        <v>178</v>
      </c>
      <c r="H131" s="423">
        <v>850</v>
      </c>
    </row>
    <row r="132" spans="1:8" x14ac:dyDescent="0.25">
      <c r="A132" s="421" t="s">
        <v>1248</v>
      </c>
      <c r="B132" s="421" t="s">
        <v>241</v>
      </c>
      <c r="C132" s="421">
        <v>97.380027999999996</v>
      </c>
      <c r="D132" s="421" t="s">
        <v>513</v>
      </c>
      <c r="E132" s="421" t="s">
        <v>556</v>
      </c>
      <c r="F132" s="421" t="s">
        <v>507</v>
      </c>
      <c r="G132" s="423">
        <v>54</v>
      </c>
      <c r="H132" s="423">
        <v>258</v>
      </c>
    </row>
    <row r="133" spans="1:8" x14ac:dyDescent="0.25">
      <c r="A133" s="421" t="s">
        <v>1249</v>
      </c>
      <c r="B133" s="421" t="s">
        <v>356</v>
      </c>
      <c r="C133" s="421">
        <v>97.756789999999995</v>
      </c>
      <c r="D133" s="421" t="s">
        <v>515</v>
      </c>
      <c r="E133" s="421" t="s">
        <v>556</v>
      </c>
      <c r="F133" s="421" t="s">
        <v>462</v>
      </c>
      <c r="G133" s="423">
        <v>612</v>
      </c>
      <c r="H133" s="423">
        <v>2806</v>
      </c>
    </row>
    <row r="134" spans="1:8" x14ac:dyDescent="0.25">
      <c r="A134" s="421" t="s">
        <v>1264</v>
      </c>
      <c r="B134" s="421" t="s">
        <v>1263</v>
      </c>
      <c r="C134" s="421">
        <v>97.416121000000004</v>
      </c>
      <c r="D134" s="421" t="s">
        <v>513</v>
      </c>
      <c r="E134" s="421" t="s">
        <v>556</v>
      </c>
      <c r="F134" s="421" t="s">
        <v>462</v>
      </c>
      <c r="G134" s="423">
        <v>59</v>
      </c>
      <c r="H134" s="423">
        <v>235</v>
      </c>
    </row>
    <row r="135" spans="1:8" x14ac:dyDescent="0.25">
      <c r="A135" s="421" t="s">
        <v>1279</v>
      </c>
      <c r="B135" s="421" t="s">
        <v>1262</v>
      </c>
      <c r="C135" s="421">
        <v>98.218626999999998</v>
      </c>
      <c r="D135" s="421" t="s">
        <v>513</v>
      </c>
      <c r="E135" s="421" t="s">
        <v>556</v>
      </c>
      <c r="F135" s="421" t="s">
        <v>462</v>
      </c>
      <c r="G135" s="423">
        <v>38</v>
      </c>
      <c r="H135" s="423">
        <v>172</v>
      </c>
    </row>
    <row r="136" spans="1:8" x14ac:dyDescent="0.25">
      <c r="A136" s="421" t="s">
        <v>1281</v>
      </c>
      <c r="B136" s="421" t="s">
        <v>1274</v>
      </c>
      <c r="C136" s="421" t="s">
        <v>861</v>
      </c>
      <c r="D136" s="421" t="s">
        <v>513</v>
      </c>
      <c r="E136" s="421" t="s">
        <v>556</v>
      </c>
      <c r="F136" s="421" t="s">
        <v>462</v>
      </c>
      <c r="G136" s="423">
        <v>30</v>
      </c>
      <c r="H136" s="423">
        <v>137</v>
      </c>
    </row>
    <row r="137" spans="1:8" x14ac:dyDescent="0.25">
      <c r="A137" s="421" t="s">
        <v>1272</v>
      </c>
      <c r="B137" s="421" t="s">
        <v>1275</v>
      </c>
      <c r="C137" s="421" t="s">
        <v>861</v>
      </c>
      <c r="D137" s="421" t="s">
        <v>513</v>
      </c>
      <c r="E137" s="421" t="s">
        <v>556</v>
      </c>
      <c r="F137" s="421" t="s">
        <v>1093</v>
      </c>
      <c r="G137" s="423">
        <v>9</v>
      </c>
      <c r="H137" s="423">
        <v>39</v>
      </c>
    </row>
    <row r="138" spans="1:8" x14ac:dyDescent="0.25">
      <c r="A138" s="421" t="s">
        <v>1302</v>
      </c>
      <c r="B138" s="421" t="s">
        <v>1303</v>
      </c>
      <c r="C138" s="421">
        <v>97.745480999999998</v>
      </c>
      <c r="D138" s="421" t="s">
        <v>513</v>
      </c>
      <c r="E138" s="421" t="s">
        <v>556</v>
      </c>
      <c r="F138" s="421" t="s">
        <v>861</v>
      </c>
      <c r="G138" s="423">
        <v>161</v>
      </c>
      <c r="H138" s="423">
        <v>711</v>
      </c>
    </row>
    <row r="139" spans="1:8" x14ac:dyDescent="0.25">
      <c r="A139" s="421" t="s">
        <v>1305</v>
      </c>
      <c r="B139" s="421" t="s">
        <v>1306</v>
      </c>
      <c r="C139" s="421">
        <v>97.75609</v>
      </c>
      <c r="D139" s="421" t="s">
        <v>513</v>
      </c>
      <c r="E139" s="421" t="s">
        <v>556</v>
      </c>
      <c r="F139" s="421" t="s">
        <v>861</v>
      </c>
      <c r="G139" s="423"/>
      <c r="H139" s="423">
        <v>489</v>
      </c>
    </row>
    <row r="140" spans="1:8" x14ac:dyDescent="0.25">
      <c r="A140" s="421" t="s">
        <v>1319</v>
      </c>
      <c r="B140" s="421" t="s">
        <v>1320</v>
      </c>
      <c r="C140" s="421">
        <v>97.461271999999994</v>
      </c>
      <c r="D140" s="421" t="s">
        <v>513</v>
      </c>
      <c r="E140" s="421" t="s">
        <v>989</v>
      </c>
      <c r="F140" s="421" t="s">
        <v>861</v>
      </c>
      <c r="G140" s="423"/>
      <c r="H140" s="423">
        <v>49</v>
      </c>
    </row>
    <row r="141" spans="1:8" x14ac:dyDescent="0.25">
      <c r="A141" s="421" t="s">
        <v>1322</v>
      </c>
      <c r="B141" s="421" t="s">
        <v>1323</v>
      </c>
      <c r="C141" s="421">
        <v>97.868876999999998</v>
      </c>
      <c r="D141" s="421" t="s">
        <v>513</v>
      </c>
      <c r="E141" s="421" t="s">
        <v>556</v>
      </c>
      <c r="F141" s="421" t="s">
        <v>861</v>
      </c>
      <c r="G141" s="423">
        <v>105</v>
      </c>
      <c r="H141" s="423">
        <v>568</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FFFF00"/>
  </sheetPr>
  <dimension ref="A1:D22"/>
  <sheetViews>
    <sheetView topLeftCell="A3" workbookViewId="0">
      <selection activeCell="D14" sqref="D14"/>
    </sheetView>
  </sheetViews>
  <sheetFormatPr defaultRowHeight="15" x14ac:dyDescent="0.25"/>
  <cols>
    <col min="1" max="1" width="16.5703125" bestFit="1" customWidth="1"/>
    <col min="2" max="2" width="22.5703125" bestFit="1" customWidth="1"/>
    <col min="3" max="3" width="11.7109375" bestFit="1" customWidth="1"/>
    <col min="4" max="5" width="15.7109375" bestFit="1" customWidth="1"/>
    <col min="6" max="6" width="16.28515625" bestFit="1" customWidth="1"/>
    <col min="7" max="7" width="10.5703125" bestFit="1" customWidth="1"/>
  </cols>
  <sheetData>
    <row r="1" spans="1:4" hidden="1" x14ac:dyDescent="0.25">
      <c r="A1" s="429" t="s">
        <v>500</v>
      </c>
      <c r="B1" s="421" t="s">
        <v>502</v>
      </c>
    </row>
    <row r="2" spans="1:4" hidden="1" x14ac:dyDescent="0.25"/>
    <row r="3" spans="1:4" x14ac:dyDescent="0.25">
      <c r="A3" s="429" t="s">
        <v>403</v>
      </c>
      <c r="B3" s="429" t="s">
        <v>0</v>
      </c>
      <c r="C3" s="429" t="s">
        <v>512</v>
      </c>
      <c r="D3" s="429" t="s">
        <v>560</v>
      </c>
    </row>
    <row r="4" spans="1:4" x14ac:dyDescent="0.25">
      <c r="A4" s="421" t="s">
        <v>848</v>
      </c>
      <c r="B4" s="421" t="s">
        <v>5</v>
      </c>
      <c r="C4" s="421" t="s">
        <v>14</v>
      </c>
      <c r="D4" s="421" t="s">
        <v>13</v>
      </c>
    </row>
    <row r="5" spans="1:4" x14ac:dyDescent="0.25">
      <c r="C5" s="421" t="s">
        <v>18</v>
      </c>
      <c r="D5" s="421" t="s">
        <v>17</v>
      </c>
    </row>
    <row r="6" spans="1:4" x14ac:dyDescent="0.25">
      <c r="C6" s="421" t="s">
        <v>366</v>
      </c>
      <c r="D6" s="421" t="s">
        <v>376</v>
      </c>
    </row>
    <row r="7" spans="1:4" x14ac:dyDescent="0.25">
      <c r="C7" s="421" t="s">
        <v>22</v>
      </c>
      <c r="D7" s="421" t="s">
        <v>21</v>
      </c>
    </row>
    <row r="8" spans="1:4" x14ac:dyDescent="0.25">
      <c r="C8" s="421" t="s">
        <v>26</v>
      </c>
      <c r="D8" s="421" t="s">
        <v>25</v>
      </c>
    </row>
    <row r="9" spans="1:4" x14ac:dyDescent="0.25">
      <c r="B9" s="421" t="s">
        <v>146</v>
      </c>
      <c r="C9" s="421" t="s">
        <v>369</v>
      </c>
      <c r="D9" s="421" t="s">
        <v>383</v>
      </c>
    </row>
    <row r="10" spans="1:4" x14ac:dyDescent="0.25">
      <c r="C10" s="421" t="s">
        <v>370</v>
      </c>
      <c r="D10" s="421" t="s">
        <v>384</v>
      </c>
    </row>
    <row r="11" spans="1:4" x14ac:dyDescent="0.25">
      <c r="C11" s="421" t="s">
        <v>373</v>
      </c>
      <c r="D11" s="421" t="s">
        <v>387</v>
      </c>
    </row>
    <row r="12" spans="1:4" x14ac:dyDescent="0.25">
      <c r="B12" s="421" t="s">
        <v>151</v>
      </c>
      <c r="C12" s="421" t="s">
        <v>160</v>
      </c>
      <c r="D12" s="421" t="s">
        <v>159</v>
      </c>
    </row>
    <row r="13" spans="1:4" x14ac:dyDescent="0.25">
      <c r="C13" s="421" t="s">
        <v>152</v>
      </c>
      <c r="D13" s="421" t="s">
        <v>150</v>
      </c>
    </row>
    <row r="14" spans="1:4" x14ac:dyDescent="0.25">
      <c r="B14" s="421" t="s">
        <v>185</v>
      </c>
      <c r="C14" s="421" t="s">
        <v>202</v>
      </c>
      <c r="D14" s="421" t="s">
        <v>201</v>
      </c>
    </row>
    <row r="15" spans="1:4" x14ac:dyDescent="0.25">
      <c r="C15" s="421" t="s">
        <v>209</v>
      </c>
      <c r="D15" s="421" t="s">
        <v>208</v>
      </c>
    </row>
    <row r="16" spans="1:4" x14ac:dyDescent="0.25">
      <c r="B16" s="421" t="s">
        <v>230</v>
      </c>
      <c r="C16" s="421" t="s">
        <v>1056</v>
      </c>
      <c r="D16" s="421" t="s">
        <v>1057</v>
      </c>
    </row>
    <row r="17" spans="2:4" x14ac:dyDescent="0.25">
      <c r="C17" s="421" t="s">
        <v>1066</v>
      </c>
      <c r="D17" s="421" t="s">
        <v>1067</v>
      </c>
    </row>
    <row r="18" spans="2:4" x14ac:dyDescent="0.25">
      <c r="B18" s="421" t="s">
        <v>289</v>
      </c>
      <c r="C18" s="421" t="s">
        <v>1058</v>
      </c>
      <c r="D18" s="421" t="s">
        <v>1059</v>
      </c>
    </row>
    <row r="19" spans="2:4" x14ac:dyDescent="0.25">
      <c r="C19" s="421" t="s">
        <v>1070</v>
      </c>
      <c r="D19" s="421" t="s">
        <v>1063</v>
      </c>
    </row>
    <row r="20" spans="2:4" x14ac:dyDescent="0.25">
      <c r="B20" s="421" t="s">
        <v>302</v>
      </c>
      <c r="C20" s="421" t="s">
        <v>306</v>
      </c>
      <c r="D20" s="421" t="s">
        <v>305</v>
      </c>
    </row>
    <row r="21" spans="2:4" x14ac:dyDescent="0.25">
      <c r="B21" s="421" t="s">
        <v>310</v>
      </c>
      <c r="C21" s="421" t="s">
        <v>353</v>
      </c>
      <c r="D21" s="421" t="s">
        <v>352</v>
      </c>
    </row>
    <row r="22" spans="2:4" x14ac:dyDescent="0.25">
      <c r="B22" s="421" t="s">
        <v>781</v>
      </c>
      <c r="C22" s="421" t="s">
        <v>1279</v>
      </c>
      <c r="D22" s="421" t="s">
        <v>1262</v>
      </c>
    </row>
  </sheetData>
  <pageMargins left="0.25" right="0.25" top="0.75" bottom="0.75" header="0.3" footer="0.3"/>
  <pageSetup paperSize="9" orientation="landscape"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FFC800"/>
    <pageSetUpPr fitToPage="1"/>
  </sheetPr>
  <dimension ref="A1:DH52"/>
  <sheetViews>
    <sheetView zoomScale="50" zoomScaleNormal="50" zoomScalePageLayoutView="50" workbookViewId="0">
      <selection activeCell="T44" sqref="T44"/>
    </sheetView>
  </sheetViews>
  <sheetFormatPr defaultColWidth="9.140625" defaultRowHeight="12" customHeight="1" x14ac:dyDescent="0.35"/>
  <cols>
    <col min="1" max="1" width="12.7109375" style="4" customWidth="1"/>
    <col min="2" max="2" width="12.28515625" style="4" customWidth="1"/>
    <col min="3" max="4" width="8.5703125" style="4" customWidth="1"/>
    <col min="5" max="5" width="9.42578125" style="4" customWidth="1"/>
    <col min="6" max="6" width="9.85546875" style="4" customWidth="1"/>
    <col min="7" max="7" width="8.140625" style="4" customWidth="1"/>
    <col min="8" max="8" width="8.42578125" style="4" customWidth="1"/>
    <col min="9" max="10" width="7.140625" style="4" customWidth="1"/>
    <col min="11" max="11" width="10.42578125" style="4" bestFit="1" customWidth="1"/>
    <col min="12" max="12" width="5.5703125" style="4" bestFit="1" customWidth="1"/>
    <col min="13" max="18" width="4.28515625" style="4" customWidth="1"/>
    <col min="19" max="19" width="39.28515625" style="4" customWidth="1"/>
    <col min="20" max="20" width="27.5703125" style="151" customWidth="1"/>
    <col min="21" max="21" width="19.28515625" style="151" customWidth="1"/>
    <col min="22" max="23" width="9.28515625" style="151" customWidth="1"/>
    <col min="24" max="24" width="15" style="151" customWidth="1"/>
    <col min="25" max="25" width="15.5703125" style="151" customWidth="1"/>
    <col min="26" max="26" width="17.28515625" style="151" customWidth="1"/>
    <col min="27" max="27" width="24.7109375" style="151" customWidth="1"/>
    <col min="28" max="30" width="9.28515625" style="151" customWidth="1"/>
    <col min="31" max="31" width="11.28515625" style="151" customWidth="1"/>
    <col min="32" max="32" width="12.140625" style="151" customWidth="1"/>
    <col min="33" max="33" width="13" style="151" customWidth="1"/>
    <col min="34" max="97" width="14.42578125" style="4" customWidth="1"/>
    <col min="98" max="109" width="14.42578125" style="18" customWidth="1"/>
    <col min="110" max="110" width="12.7109375" style="18" customWidth="1"/>
    <col min="111" max="111" width="9.140625" style="18"/>
    <col min="112" max="112" width="11.42578125" style="18" customWidth="1"/>
    <col min="113" max="113" width="6.140625" style="4" customWidth="1"/>
    <col min="114" max="114" width="5.85546875" style="4" customWidth="1"/>
    <col min="115" max="16384" width="9.140625" style="4"/>
  </cols>
  <sheetData>
    <row r="1" spans="15:112" ht="18.75" customHeight="1" thickBot="1" x14ac:dyDescent="0.4">
      <c r="O1" s="18"/>
      <c r="P1" s="18"/>
      <c r="S1" s="18">
        <v>23.5</v>
      </c>
      <c r="T1" s="147" t="s">
        <v>556</v>
      </c>
      <c r="U1" s="148"/>
      <c r="V1" s="148"/>
      <c r="W1" s="148"/>
      <c r="X1" s="148"/>
      <c r="Y1" s="148"/>
      <c r="Z1" s="148"/>
      <c r="AA1" s="149" t="s">
        <v>449</v>
      </c>
      <c r="AB1" s="147" t="s">
        <v>450</v>
      </c>
      <c r="AC1" s="148"/>
      <c r="AD1" s="150"/>
      <c r="CT1" s="4"/>
      <c r="CU1" s="4"/>
      <c r="CV1" s="4"/>
      <c r="CW1" s="4"/>
      <c r="CX1" s="4"/>
      <c r="CY1" s="4"/>
      <c r="CZ1" s="4"/>
      <c r="DA1" s="4"/>
      <c r="DB1" s="4"/>
      <c r="DC1" s="4"/>
      <c r="DD1" s="4"/>
      <c r="DE1" s="4"/>
      <c r="DF1" s="4"/>
      <c r="DG1" s="4"/>
      <c r="DH1" s="4"/>
    </row>
    <row r="2" spans="15:112" ht="18.75" customHeight="1" x14ac:dyDescent="0.35">
      <c r="O2" s="18"/>
      <c r="P2" s="18"/>
      <c r="S2" s="18">
        <v>96.5</v>
      </c>
      <c r="T2" s="152" t="s">
        <v>560</v>
      </c>
      <c r="U2" s="153" t="s">
        <v>0</v>
      </c>
      <c r="V2" s="153" t="s">
        <v>562</v>
      </c>
      <c r="W2" s="154" t="s">
        <v>561</v>
      </c>
      <c r="X2" s="152" t="s">
        <v>565</v>
      </c>
      <c r="Y2" s="153" t="s">
        <v>566</v>
      </c>
      <c r="Z2" s="155" t="s">
        <v>577</v>
      </c>
      <c r="AA2" s="156" t="s">
        <v>442</v>
      </c>
      <c r="AB2" s="157" t="s">
        <v>557</v>
      </c>
      <c r="AC2" s="153" t="s">
        <v>558</v>
      </c>
      <c r="AD2" s="155" t="s">
        <v>559</v>
      </c>
      <c r="AE2" s="158" t="s">
        <v>563</v>
      </c>
      <c r="AF2" s="159" t="s">
        <v>564</v>
      </c>
      <c r="AG2" s="160" t="s">
        <v>567</v>
      </c>
      <c r="CT2" s="4"/>
      <c r="CU2" s="4"/>
      <c r="CV2" s="4"/>
      <c r="CW2" s="4"/>
      <c r="CX2" s="4"/>
      <c r="CY2" s="4"/>
      <c r="CZ2" s="4"/>
      <c r="DA2" s="4"/>
      <c r="DB2" s="4"/>
      <c r="DC2" s="4"/>
      <c r="DD2" s="4"/>
      <c r="DE2" s="4"/>
      <c r="DF2" s="4"/>
      <c r="DG2" s="4"/>
      <c r="DH2" s="4"/>
    </row>
    <row r="3" spans="15:112" ht="18.75" customHeight="1" x14ac:dyDescent="0.35">
      <c r="O3" s="18"/>
      <c r="P3" s="18"/>
      <c r="S3" s="18">
        <v>600</v>
      </c>
      <c r="T3" s="161" t="s">
        <v>532</v>
      </c>
      <c r="U3" s="162" t="s">
        <v>5</v>
      </c>
      <c r="V3" s="161">
        <v>97.12</v>
      </c>
      <c r="W3" s="162">
        <v>24.3</v>
      </c>
      <c r="X3" s="162">
        <f>'CCCM Dashboard'!D12</f>
        <v>1501</v>
      </c>
      <c r="Y3" s="163">
        <f>'CCCM Dashboard'!E12</f>
        <v>8180</v>
      </c>
      <c r="Z3" s="164" t="str">
        <f t="shared" ref="Z3:Z23" si="0">CONCATENATE(AG3, " cp",IF(AG3&gt;1,"s",""))</f>
        <v>11 cps</v>
      </c>
      <c r="AA3" s="1000">
        <f>'Shelter Progress'!N7</f>
        <v>0.80852713178294577</v>
      </c>
      <c r="AB3" s="165">
        <v>0</v>
      </c>
      <c r="AC3" s="165">
        <v>0</v>
      </c>
      <c r="AD3" s="165">
        <v>0</v>
      </c>
      <c r="AE3" s="166">
        <f t="shared" ref="AE3:AE23" si="1">$S$3-ROUND((W3-$S$1)*$S$5,0)</f>
        <v>496</v>
      </c>
      <c r="AF3" s="167">
        <f t="shared" ref="AF3:AF23" si="2">ROUND((V3-$S$2)*$S$5,0)+$S$4</f>
        <v>181</v>
      </c>
      <c r="AG3" s="168">
        <f>'CCCM Dashboard'!F12</f>
        <v>11</v>
      </c>
      <c r="CT3" s="4"/>
      <c r="CU3" s="4"/>
      <c r="CV3" s="4"/>
      <c r="CW3" s="4"/>
      <c r="CX3" s="4"/>
      <c r="CY3" s="4"/>
      <c r="CZ3" s="4"/>
      <c r="DA3" s="4"/>
      <c r="DB3" s="4"/>
      <c r="DC3" s="4"/>
      <c r="DD3" s="4"/>
      <c r="DE3" s="4"/>
      <c r="DF3" s="4"/>
      <c r="DG3" s="4"/>
      <c r="DH3" s="4"/>
    </row>
    <row r="4" spans="15:112" ht="18.75" customHeight="1" x14ac:dyDescent="0.35">
      <c r="O4" s="18"/>
      <c r="P4" s="18"/>
      <c r="S4" s="18">
        <v>100</v>
      </c>
      <c r="T4" s="169" t="s">
        <v>536</v>
      </c>
      <c r="U4" s="162" t="s">
        <v>27</v>
      </c>
      <c r="V4" s="169">
        <v>98.322799999999987</v>
      </c>
      <c r="W4" s="162">
        <v>25.917999999999999</v>
      </c>
      <c r="X4" s="162">
        <f>'CCCM Dashboard'!D13</f>
        <v>496</v>
      </c>
      <c r="Y4" s="163">
        <f>'CCCM Dashboard'!E13</f>
        <v>2511</v>
      </c>
      <c r="Z4" s="164" t="str">
        <f t="shared" si="0"/>
        <v>6 cps</v>
      </c>
      <c r="AA4" s="1000">
        <f>'Shelter Progress'!N8</f>
        <v>0.36290322580645162</v>
      </c>
      <c r="AB4" s="165">
        <v>1</v>
      </c>
      <c r="AC4" s="165">
        <v>0</v>
      </c>
      <c r="AD4" s="165">
        <v>0.95387840670859536</v>
      </c>
      <c r="AE4" s="166">
        <f t="shared" si="1"/>
        <v>286</v>
      </c>
      <c r="AF4" s="167">
        <f t="shared" si="2"/>
        <v>337</v>
      </c>
      <c r="AG4" s="168">
        <f>'CCCM Dashboard'!F13</f>
        <v>6</v>
      </c>
      <c r="CT4" s="4"/>
      <c r="CU4" s="4"/>
      <c r="CV4" s="4"/>
      <c r="CW4" s="4"/>
      <c r="CX4" s="4"/>
      <c r="CY4" s="4"/>
      <c r="CZ4" s="4"/>
      <c r="DA4" s="4"/>
      <c r="DB4" s="4"/>
      <c r="DC4" s="4"/>
      <c r="DD4" s="4"/>
      <c r="DE4" s="4"/>
      <c r="DF4" s="4"/>
      <c r="DG4" s="4"/>
      <c r="DH4" s="4"/>
    </row>
    <row r="5" spans="15:112" ht="18.75" customHeight="1" x14ac:dyDescent="0.35">
      <c r="O5" s="18"/>
      <c r="P5" s="18"/>
      <c r="S5" s="18">
        <v>130</v>
      </c>
      <c r="T5" s="161" t="s">
        <v>530</v>
      </c>
      <c r="U5" s="162" t="s">
        <v>529</v>
      </c>
      <c r="V5" s="161">
        <v>96.373750000000001</v>
      </c>
      <c r="W5" s="162">
        <v>25.9</v>
      </c>
      <c r="X5" s="162">
        <f>'CCCM Dashboard'!D14</f>
        <v>707</v>
      </c>
      <c r="Y5" s="163">
        <f>'CCCM Dashboard'!E14</f>
        <v>3526</v>
      </c>
      <c r="Z5" s="164" t="str">
        <f t="shared" si="0"/>
        <v>20 cps</v>
      </c>
      <c r="AA5" s="1000">
        <f>'Shelter Progress'!N9</f>
        <v>0.6053748231966054</v>
      </c>
      <c r="AB5" s="165">
        <v>0.69172932330827064</v>
      </c>
      <c r="AC5" s="165">
        <v>0</v>
      </c>
      <c r="AD5" s="165">
        <v>1</v>
      </c>
      <c r="AE5" s="166">
        <f t="shared" si="1"/>
        <v>288</v>
      </c>
      <c r="AF5" s="167">
        <f t="shared" si="2"/>
        <v>84</v>
      </c>
      <c r="AG5" s="168">
        <f>'CCCM Dashboard'!F14</f>
        <v>20</v>
      </c>
      <c r="CT5" s="4"/>
      <c r="CU5" s="4"/>
      <c r="CV5" s="4"/>
      <c r="CW5" s="4"/>
      <c r="CX5" s="4"/>
      <c r="CY5" s="4"/>
      <c r="CZ5" s="4"/>
      <c r="DA5" s="4"/>
      <c r="DB5" s="4"/>
      <c r="DC5" s="4"/>
      <c r="DD5" s="4"/>
      <c r="DE5" s="4"/>
      <c r="DF5" s="4"/>
      <c r="DG5" s="4"/>
      <c r="DH5" s="4"/>
    </row>
    <row r="6" spans="15:112" ht="18.75" customHeight="1" x14ac:dyDescent="0.35">
      <c r="O6" s="18"/>
      <c r="P6" s="18"/>
      <c r="T6" s="169" t="s">
        <v>782</v>
      </c>
      <c r="U6" s="162" t="s">
        <v>781</v>
      </c>
      <c r="V6" s="170">
        <v>98.1</v>
      </c>
      <c r="W6" s="171">
        <v>23.28</v>
      </c>
      <c r="X6" s="162">
        <f>'CCCM Dashboard'!D15</f>
        <v>105</v>
      </c>
      <c r="Y6" s="163">
        <f>'CCCM Dashboard'!E15</f>
        <v>564</v>
      </c>
      <c r="Z6" s="164" t="str">
        <f>CONCATENATE(AG6, " cp",IF(AG6&gt;1,"s",""))</f>
        <v>2 cps</v>
      </c>
      <c r="AA6" s="1000">
        <f>'Shelter Progress'!N10</f>
        <v>0.92105263157894735</v>
      </c>
      <c r="AB6" s="165"/>
      <c r="AC6" s="165"/>
      <c r="AD6" s="165"/>
      <c r="AE6" s="166">
        <f t="shared" si="1"/>
        <v>629</v>
      </c>
      <c r="AF6" s="167">
        <f t="shared" si="2"/>
        <v>308</v>
      </c>
      <c r="AG6" s="168">
        <f>'CCCM Dashboard'!F15</f>
        <v>2</v>
      </c>
      <c r="AI6" s="18"/>
      <c r="CT6" s="4"/>
      <c r="CU6" s="4"/>
      <c r="CV6" s="4"/>
      <c r="CW6" s="4"/>
      <c r="CX6" s="4"/>
      <c r="CY6" s="4"/>
      <c r="CZ6" s="4"/>
      <c r="DA6" s="4"/>
      <c r="DB6" s="4"/>
      <c r="DC6" s="4"/>
      <c r="DD6" s="4"/>
      <c r="DE6" s="4"/>
      <c r="DF6" s="4"/>
      <c r="DG6" s="4"/>
      <c r="DH6" s="4"/>
    </row>
    <row r="7" spans="15:112" ht="18.75" customHeight="1" x14ac:dyDescent="0.35">
      <c r="O7" s="18"/>
      <c r="P7" s="18"/>
      <c r="T7" s="169" t="s">
        <v>550</v>
      </c>
      <c r="U7" s="162" t="s">
        <v>363</v>
      </c>
      <c r="V7" s="169">
        <v>97.89587301587305</v>
      </c>
      <c r="W7" s="162">
        <v>26.232698412698419</v>
      </c>
      <c r="X7" s="162">
        <f>'CCCM Dashboard'!D16</f>
        <v>0</v>
      </c>
      <c r="Y7" s="163">
        <f>'CCCM Dashboard'!E16</f>
        <v>0</v>
      </c>
      <c r="Z7" s="164" t="str">
        <f t="shared" si="0"/>
        <v>0 cp</v>
      </c>
      <c r="AA7" s="1000">
        <f>'Shelter Progress'!N11</f>
        <v>0</v>
      </c>
      <c r="AB7" s="165">
        <v>0</v>
      </c>
      <c r="AC7" s="165">
        <v>0</v>
      </c>
      <c r="AD7" s="165">
        <v>0</v>
      </c>
      <c r="AE7" s="166">
        <f t="shared" si="1"/>
        <v>245</v>
      </c>
      <c r="AF7" s="167">
        <f t="shared" si="2"/>
        <v>281</v>
      </c>
      <c r="AG7" s="168">
        <f>'CCCM Dashboard'!F16</f>
        <v>0</v>
      </c>
      <c r="CT7" s="4"/>
      <c r="CU7" s="4"/>
      <c r="CV7" s="4"/>
      <c r="CW7" s="4"/>
      <c r="CX7" s="4"/>
      <c r="CY7" s="4"/>
      <c r="CZ7" s="4"/>
      <c r="DA7" s="4"/>
      <c r="DB7" s="4"/>
      <c r="DC7" s="4"/>
      <c r="DD7" s="4"/>
      <c r="DE7" s="4"/>
      <c r="DF7" s="4"/>
      <c r="DG7" s="4"/>
      <c r="DH7" s="4"/>
    </row>
    <row r="8" spans="15:112" ht="18.75" customHeight="1" x14ac:dyDescent="0.35">
      <c r="O8" s="18"/>
      <c r="P8" s="18"/>
      <c r="T8" s="161" t="s">
        <v>549</v>
      </c>
      <c r="U8" s="162" t="s">
        <v>144</v>
      </c>
      <c r="V8" s="161">
        <v>98.438571428571422</v>
      </c>
      <c r="W8" s="162">
        <v>27.1</v>
      </c>
      <c r="X8" s="162">
        <f>'CCCM Dashboard'!D17</f>
        <v>11</v>
      </c>
      <c r="Y8" s="163">
        <f>'CCCM Dashboard'!E17</f>
        <v>17</v>
      </c>
      <c r="Z8" s="164" t="str">
        <f t="shared" si="0"/>
        <v>1 cp</v>
      </c>
      <c r="AA8" s="1000">
        <f>'Shelter Progress'!N12</f>
        <v>0</v>
      </c>
      <c r="AB8" s="165">
        <v>0</v>
      </c>
      <c r="AC8" s="165">
        <v>0</v>
      </c>
      <c r="AD8" s="165">
        <v>0</v>
      </c>
      <c r="AE8" s="166">
        <f t="shared" si="1"/>
        <v>132</v>
      </c>
      <c r="AF8" s="167">
        <f t="shared" si="2"/>
        <v>352</v>
      </c>
      <c r="AG8" s="168">
        <f>'CCCM Dashboard'!F17</f>
        <v>1</v>
      </c>
      <c r="CT8" s="4"/>
      <c r="CU8" s="4"/>
      <c r="CV8" s="4"/>
      <c r="CW8" s="4"/>
      <c r="CX8" s="4"/>
      <c r="CY8" s="4"/>
      <c r="CZ8" s="4"/>
      <c r="DA8" s="4"/>
      <c r="DB8" s="4"/>
      <c r="DC8" s="4"/>
      <c r="DD8" s="4"/>
      <c r="DE8" s="4"/>
      <c r="DF8" s="4"/>
      <c r="DG8" s="4"/>
      <c r="DH8" s="4"/>
    </row>
    <row r="9" spans="15:112" ht="18.75" customHeight="1" x14ac:dyDescent="0.35">
      <c r="O9" s="18"/>
      <c r="P9" s="18"/>
      <c r="T9" s="169" t="s">
        <v>546</v>
      </c>
      <c r="U9" s="162" t="s">
        <v>146</v>
      </c>
      <c r="V9" s="169">
        <v>98.1</v>
      </c>
      <c r="W9" s="162">
        <v>23.553031914893619</v>
      </c>
      <c r="X9" s="162">
        <f>'CCCM Dashboard'!D18</f>
        <v>686</v>
      </c>
      <c r="Y9" s="163">
        <f>'CCCM Dashboard'!E18</f>
        <v>3377</v>
      </c>
      <c r="Z9" s="164" t="str">
        <f t="shared" si="0"/>
        <v>9 cps</v>
      </c>
      <c r="AA9" s="1000">
        <f>'Shelter Progress'!N13</f>
        <v>0.64723032069970843</v>
      </c>
      <c r="AB9" s="165">
        <v>0</v>
      </c>
      <c r="AC9" s="165">
        <v>0</v>
      </c>
      <c r="AD9" s="165">
        <v>1</v>
      </c>
      <c r="AE9" s="166">
        <f t="shared" si="1"/>
        <v>593</v>
      </c>
      <c r="AF9" s="167">
        <f t="shared" si="2"/>
        <v>308</v>
      </c>
      <c r="AG9" s="168">
        <f>'CCCM Dashboard'!F18</f>
        <v>9</v>
      </c>
      <c r="CT9" s="4"/>
      <c r="CU9" s="4"/>
      <c r="CV9" s="4"/>
      <c r="CW9" s="4"/>
      <c r="CX9" s="4"/>
      <c r="CY9" s="4"/>
      <c r="CZ9" s="4"/>
      <c r="DA9" s="4"/>
      <c r="DB9" s="4"/>
      <c r="DC9" s="4"/>
      <c r="DD9" s="4"/>
      <c r="DE9" s="4"/>
      <c r="DF9" s="4"/>
      <c r="DG9" s="4"/>
      <c r="DH9" s="4"/>
    </row>
    <row r="10" spans="15:112" ht="18.75" customHeight="1" x14ac:dyDescent="0.35">
      <c r="O10" s="18"/>
      <c r="P10" s="18"/>
      <c r="T10" s="169" t="s">
        <v>896</v>
      </c>
      <c r="U10" s="162" t="s">
        <v>895</v>
      </c>
      <c r="V10" s="170">
        <v>97.88</v>
      </c>
      <c r="W10" s="171">
        <v>27.2</v>
      </c>
      <c r="X10" s="162">
        <f>'CCCM Dashboard'!D19</f>
        <v>0</v>
      </c>
      <c r="Y10" s="163">
        <f>'CCCM Dashboard'!E19</f>
        <v>0</v>
      </c>
      <c r="Z10" s="164" t="str">
        <f>U3</f>
        <v>Bhamo</v>
      </c>
      <c r="AA10" s="1000">
        <f>'Shelter Progress'!N14</f>
        <v>0</v>
      </c>
      <c r="AB10" s="165"/>
      <c r="AC10" s="165"/>
      <c r="AD10" s="165"/>
      <c r="AE10" s="166">
        <f t="shared" si="1"/>
        <v>119</v>
      </c>
      <c r="AF10" s="167">
        <f t="shared" si="2"/>
        <v>279</v>
      </c>
      <c r="AG10" s="168">
        <f>'CCCM Dashboard'!F19</f>
        <v>0</v>
      </c>
      <c r="CT10" s="4"/>
      <c r="CU10" s="4"/>
      <c r="CV10" s="4"/>
      <c r="CW10" s="4"/>
      <c r="CX10" s="4"/>
      <c r="CY10" s="4"/>
      <c r="CZ10" s="4"/>
      <c r="DA10" s="4"/>
      <c r="DB10" s="4"/>
      <c r="DC10" s="4"/>
      <c r="DD10" s="4"/>
      <c r="DE10" s="4"/>
      <c r="DF10" s="4"/>
      <c r="DG10" s="4"/>
      <c r="DH10" s="4"/>
    </row>
    <row r="11" spans="15:112" ht="18.75" customHeight="1" x14ac:dyDescent="0.35">
      <c r="O11" s="18"/>
      <c r="P11" s="18"/>
      <c r="T11" s="161" t="s">
        <v>541</v>
      </c>
      <c r="U11" s="162" t="s">
        <v>151</v>
      </c>
      <c r="V11" s="161">
        <v>97.372845528455244</v>
      </c>
      <c r="W11" s="162">
        <v>24</v>
      </c>
      <c r="X11" s="162">
        <f>'CCCM Dashboard'!D20</f>
        <v>2770</v>
      </c>
      <c r="Y11" s="163">
        <f>'CCCM Dashboard'!E20</f>
        <v>12727</v>
      </c>
      <c r="Z11" s="164" t="str">
        <f t="shared" si="0"/>
        <v>12 cps</v>
      </c>
      <c r="AA11" s="1000">
        <f>'Shelter Progress'!N15</f>
        <v>0.61214767764986111</v>
      </c>
      <c r="AB11" s="165">
        <v>0</v>
      </c>
      <c r="AC11" s="165">
        <v>0</v>
      </c>
      <c r="AD11" s="165">
        <v>0</v>
      </c>
      <c r="AE11" s="166">
        <f t="shared" si="1"/>
        <v>535</v>
      </c>
      <c r="AF11" s="167">
        <f t="shared" si="2"/>
        <v>213</v>
      </c>
      <c r="AG11" s="168">
        <f>'CCCM Dashboard'!F20</f>
        <v>12</v>
      </c>
      <c r="CT11" s="4"/>
      <c r="CU11" s="4"/>
      <c r="CV11" s="4"/>
      <c r="CW11" s="4"/>
      <c r="CX11" s="4"/>
      <c r="CY11" s="4"/>
      <c r="CZ11" s="4"/>
      <c r="DA11" s="4"/>
      <c r="DB11" s="4"/>
      <c r="DC11" s="4"/>
      <c r="DD11" s="4"/>
      <c r="DE11" s="4"/>
      <c r="DF11" s="4"/>
      <c r="DG11" s="4"/>
      <c r="DH11" s="4"/>
    </row>
    <row r="12" spans="15:112" ht="18.75" customHeight="1" x14ac:dyDescent="0.35">
      <c r="O12" s="18"/>
      <c r="P12" s="18"/>
      <c r="T12" s="169" t="s">
        <v>545</v>
      </c>
      <c r="U12" s="162" t="s">
        <v>166</v>
      </c>
      <c r="V12" s="169">
        <v>97.266347826086943</v>
      </c>
      <c r="W12" s="162">
        <v>23.345826086956535</v>
      </c>
      <c r="X12" s="162">
        <f>'CCCM Dashboard'!D21</f>
        <v>68</v>
      </c>
      <c r="Y12" s="163">
        <f>'CCCM Dashboard'!E21</f>
        <v>342</v>
      </c>
      <c r="Z12" s="164" t="str">
        <f t="shared" si="0"/>
        <v>2 cps</v>
      </c>
      <c r="AA12" s="1000">
        <f>'Shelter Progress'!N16</f>
        <v>1</v>
      </c>
      <c r="AB12" s="165">
        <v>0</v>
      </c>
      <c r="AC12" s="165">
        <v>0</v>
      </c>
      <c r="AD12" s="165">
        <v>0</v>
      </c>
      <c r="AE12" s="166">
        <f t="shared" si="1"/>
        <v>620</v>
      </c>
      <c r="AF12" s="167">
        <f t="shared" si="2"/>
        <v>200</v>
      </c>
      <c r="AG12" s="168">
        <f>'CCCM Dashboard'!F21</f>
        <v>2</v>
      </c>
      <c r="CT12" s="4"/>
      <c r="CU12" s="4"/>
      <c r="CV12" s="4"/>
      <c r="CW12" s="4"/>
      <c r="CX12" s="4"/>
      <c r="CY12" s="4"/>
      <c r="CZ12" s="4"/>
      <c r="DA12" s="4"/>
      <c r="DB12" s="4"/>
      <c r="DC12" s="4"/>
      <c r="DD12" s="4"/>
      <c r="DE12" s="4"/>
      <c r="DF12" s="4"/>
      <c r="DG12" s="4"/>
      <c r="DH12" s="4"/>
    </row>
    <row r="13" spans="15:112" ht="18.75" customHeight="1" x14ac:dyDescent="0.35">
      <c r="O13" s="18"/>
      <c r="P13" s="18"/>
      <c r="T13" s="161" t="s">
        <v>547</v>
      </c>
      <c r="U13" s="162" t="s">
        <v>173</v>
      </c>
      <c r="V13" s="161">
        <v>96.9</v>
      </c>
      <c r="W13" s="162">
        <v>25.4</v>
      </c>
      <c r="X13" s="162">
        <f>'CCCM Dashboard'!D22</f>
        <v>105</v>
      </c>
      <c r="Y13" s="163">
        <f>'CCCM Dashboard'!E22</f>
        <v>442</v>
      </c>
      <c r="Z13" s="164" t="str">
        <f t="shared" si="0"/>
        <v>6 cps</v>
      </c>
      <c r="AA13" s="1000">
        <f>'Shelter Progress'!N17</f>
        <v>0.98765432098765427</v>
      </c>
      <c r="AB13" s="165">
        <v>0</v>
      </c>
      <c r="AC13" s="165">
        <v>0</v>
      </c>
      <c r="AD13" s="165">
        <v>0</v>
      </c>
      <c r="AE13" s="166">
        <f t="shared" si="1"/>
        <v>353</v>
      </c>
      <c r="AF13" s="167">
        <f t="shared" si="2"/>
        <v>152</v>
      </c>
      <c r="AG13" s="168">
        <f>'CCCM Dashboard'!F22</f>
        <v>6</v>
      </c>
      <c r="CT13" s="4"/>
      <c r="CU13" s="4"/>
      <c r="CV13" s="4"/>
      <c r="CW13" s="4"/>
      <c r="CX13" s="4"/>
      <c r="CY13" s="4"/>
      <c r="CZ13" s="4"/>
      <c r="DA13" s="4"/>
      <c r="DB13" s="4"/>
      <c r="DC13" s="4"/>
      <c r="DD13" s="4"/>
      <c r="DE13" s="4"/>
      <c r="DF13" s="4"/>
      <c r="DG13" s="4"/>
      <c r="DH13" s="4"/>
    </row>
    <row r="14" spans="15:112" ht="18.75" customHeight="1" x14ac:dyDescent="0.35">
      <c r="O14" s="18"/>
      <c r="P14" s="18"/>
      <c r="T14" s="169" t="s">
        <v>553</v>
      </c>
      <c r="U14" s="162" t="s">
        <v>180</v>
      </c>
      <c r="V14" s="169">
        <v>96.376558441558373</v>
      </c>
      <c r="W14" s="162">
        <v>24.957077922077939</v>
      </c>
      <c r="X14" s="162">
        <f>'CCCM Dashboard'!D23</f>
        <v>82</v>
      </c>
      <c r="Y14" s="163">
        <f>'CCCM Dashboard'!E23</f>
        <v>372</v>
      </c>
      <c r="Z14" s="164" t="str">
        <f t="shared" si="0"/>
        <v>4 cps</v>
      </c>
      <c r="AA14" s="1000">
        <f>'Shelter Progress'!N18</f>
        <v>1</v>
      </c>
      <c r="AB14" s="165">
        <v>1</v>
      </c>
      <c r="AC14" s="165">
        <v>0</v>
      </c>
      <c r="AD14" s="165">
        <v>0</v>
      </c>
      <c r="AE14" s="166">
        <f t="shared" si="1"/>
        <v>411</v>
      </c>
      <c r="AF14" s="167">
        <f t="shared" si="2"/>
        <v>84</v>
      </c>
      <c r="AG14" s="168">
        <f>'CCCM Dashboard'!F23</f>
        <v>4</v>
      </c>
      <c r="CT14" s="4"/>
      <c r="CU14" s="4"/>
      <c r="CV14" s="4"/>
      <c r="CW14" s="4"/>
      <c r="CX14" s="4"/>
      <c r="CY14" s="4"/>
      <c r="CZ14" s="4"/>
      <c r="DA14" s="4"/>
      <c r="DB14" s="4"/>
      <c r="DC14" s="4"/>
      <c r="DD14" s="4"/>
      <c r="DE14" s="4"/>
      <c r="DF14" s="4"/>
      <c r="DG14" s="4"/>
      <c r="DH14" s="4"/>
    </row>
    <row r="15" spans="15:112" ht="18.75" customHeight="1" x14ac:dyDescent="0.35">
      <c r="O15" s="18"/>
      <c r="P15" s="18"/>
      <c r="T15" s="161" t="s">
        <v>535</v>
      </c>
      <c r="U15" s="162" t="s">
        <v>185</v>
      </c>
      <c r="V15" s="161">
        <v>97.449510489510473</v>
      </c>
      <c r="W15" s="162">
        <v>24.6</v>
      </c>
      <c r="X15" s="162">
        <f>'CCCM Dashboard'!D24</f>
        <v>3091</v>
      </c>
      <c r="Y15" s="163">
        <f>'CCCM Dashboard'!E24</f>
        <v>15492</v>
      </c>
      <c r="Z15" s="164" t="str">
        <f t="shared" si="0"/>
        <v>20 cps</v>
      </c>
      <c r="AA15" s="1000">
        <f>'Shelter Progress'!N19</f>
        <v>1</v>
      </c>
      <c r="AB15" s="165">
        <v>0.12549019607843137</v>
      </c>
      <c r="AC15" s="165">
        <v>0</v>
      </c>
      <c r="AD15" s="165">
        <v>0.58263305322128844</v>
      </c>
      <c r="AE15" s="166">
        <f t="shared" si="1"/>
        <v>457</v>
      </c>
      <c r="AF15" s="167">
        <f t="shared" si="2"/>
        <v>223</v>
      </c>
      <c r="AG15" s="168">
        <f>'CCCM Dashboard'!F24</f>
        <v>20</v>
      </c>
      <c r="CT15" s="4"/>
      <c r="CU15" s="4"/>
      <c r="CV15" s="4"/>
      <c r="CW15" s="4"/>
      <c r="CX15" s="4"/>
      <c r="CY15" s="4"/>
      <c r="CZ15" s="4"/>
      <c r="DA15" s="4"/>
      <c r="DB15" s="4"/>
      <c r="DC15" s="4"/>
      <c r="DD15" s="4"/>
      <c r="DE15" s="4"/>
      <c r="DF15" s="4"/>
      <c r="DG15" s="4"/>
      <c r="DH15" s="4"/>
    </row>
    <row r="16" spans="15:112" ht="18.75" customHeight="1" x14ac:dyDescent="0.35">
      <c r="O16" s="18"/>
      <c r="P16" s="18"/>
      <c r="T16" s="169" t="s">
        <v>540</v>
      </c>
      <c r="U16" s="162" t="s">
        <v>230</v>
      </c>
      <c r="V16" s="169">
        <v>98.12</v>
      </c>
      <c r="W16" s="162">
        <v>23.972235294117642</v>
      </c>
      <c r="X16" s="162">
        <f>'CCCM Dashboard'!D25</f>
        <v>271</v>
      </c>
      <c r="Y16" s="163">
        <f>'CCCM Dashboard'!E25</f>
        <v>1013</v>
      </c>
      <c r="Z16" s="164" t="str">
        <f t="shared" si="0"/>
        <v>6 cps</v>
      </c>
      <c r="AA16" s="1000">
        <f>'Shelter Progress'!N20</f>
        <v>1</v>
      </c>
      <c r="AB16" s="165">
        <v>0</v>
      </c>
      <c r="AC16" s="165">
        <v>0</v>
      </c>
      <c r="AD16" s="165">
        <v>0</v>
      </c>
      <c r="AE16" s="166">
        <f t="shared" si="1"/>
        <v>539</v>
      </c>
      <c r="AF16" s="167">
        <f t="shared" si="2"/>
        <v>311</v>
      </c>
      <c r="AG16" s="168">
        <f>'CCCM Dashboard'!F25</f>
        <v>6</v>
      </c>
      <c r="CT16" s="4"/>
      <c r="CU16" s="4"/>
      <c r="CV16" s="4"/>
      <c r="CW16" s="4"/>
      <c r="CX16" s="4"/>
      <c r="CY16" s="4"/>
      <c r="CZ16" s="4"/>
      <c r="DA16" s="4"/>
      <c r="DB16" s="4"/>
      <c r="DC16" s="4"/>
      <c r="DD16" s="4"/>
      <c r="DE16" s="4"/>
      <c r="DF16" s="4"/>
      <c r="DG16" s="4"/>
      <c r="DH16" s="4"/>
    </row>
    <row r="17" spans="1:112" ht="18.75" customHeight="1" x14ac:dyDescent="0.35">
      <c r="O17" s="18"/>
      <c r="P17" s="18"/>
      <c r="T17" s="161" t="s">
        <v>537</v>
      </c>
      <c r="U17" s="162" t="s">
        <v>237</v>
      </c>
      <c r="V17" s="161">
        <v>97.301176470588288</v>
      </c>
      <c r="W17" s="162">
        <v>25.24</v>
      </c>
      <c r="X17" s="162">
        <f>'CCCM Dashboard'!D26</f>
        <v>1414</v>
      </c>
      <c r="Y17" s="163">
        <f>'CCCM Dashboard'!E26</f>
        <v>7179</v>
      </c>
      <c r="Z17" s="164" t="str">
        <f t="shared" si="0"/>
        <v>24 cps</v>
      </c>
      <c r="AA17" s="1000">
        <f>'Shelter Progress'!N21</f>
        <v>0.78642149929278637</v>
      </c>
      <c r="AB17" s="165">
        <v>0.65062761506276146</v>
      </c>
      <c r="AC17" s="165">
        <v>0</v>
      </c>
      <c r="AD17" s="165">
        <v>0.25732217573221761</v>
      </c>
      <c r="AE17" s="166">
        <f t="shared" si="1"/>
        <v>374</v>
      </c>
      <c r="AF17" s="167">
        <f t="shared" si="2"/>
        <v>204</v>
      </c>
      <c r="AG17" s="168">
        <f>'CCCM Dashboard'!F26</f>
        <v>24</v>
      </c>
      <c r="CT17" s="4"/>
      <c r="CU17" s="4"/>
      <c r="CV17" s="4"/>
      <c r="CW17" s="4"/>
      <c r="CX17" s="4"/>
      <c r="CY17" s="4"/>
      <c r="CZ17" s="4"/>
      <c r="DA17" s="4"/>
      <c r="DB17" s="4"/>
      <c r="DC17" s="4"/>
      <c r="DD17" s="4"/>
      <c r="DE17" s="4"/>
      <c r="DF17" s="4"/>
      <c r="DG17" s="4"/>
      <c r="DH17" s="4"/>
    </row>
    <row r="18" spans="1:112" ht="18.75" customHeight="1" x14ac:dyDescent="0.35">
      <c r="O18" s="18"/>
      <c r="P18" s="18"/>
      <c r="T18" s="169" t="s">
        <v>551</v>
      </c>
      <c r="U18" s="162" t="s">
        <v>289</v>
      </c>
      <c r="V18" s="169">
        <v>97.619855072463778</v>
      </c>
      <c r="W18" s="162">
        <v>23.7</v>
      </c>
      <c r="X18" s="162">
        <f>'CCCM Dashboard'!D27</f>
        <v>351</v>
      </c>
      <c r="Y18" s="163">
        <f>'CCCM Dashboard'!E27</f>
        <v>1739</v>
      </c>
      <c r="Z18" s="164" t="str">
        <f t="shared" si="0"/>
        <v>5 cps</v>
      </c>
      <c r="AA18" s="1000">
        <f>'Shelter Progress'!N22</f>
        <v>0.67521367521367526</v>
      </c>
      <c r="AB18" s="165">
        <v>0</v>
      </c>
      <c r="AC18" s="165">
        <v>0</v>
      </c>
      <c r="AD18" s="165">
        <v>0</v>
      </c>
      <c r="AE18" s="166">
        <f t="shared" si="1"/>
        <v>574</v>
      </c>
      <c r="AF18" s="167">
        <f t="shared" si="2"/>
        <v>246</v>
      </c>
      <c r="AG18" s="168">
        <f>'CCCM Dashboard'!F27</f>
        <v>5</v>
      </c>
      <c r="CT18" s="4"/>
      <c r="CU18" s="4"/>
      <c r="CV18" s="4"/>
      <c r="CW18" s="4"/>
      <c r="CX18" s="4"/>
      <c r="CY18" s="4"/>
      <c r="CZ18" s="4"/>
      <c r="DA18" s="4"/>
      <c r="DB18" s="4"/>
      <c r="DC18" s="4"/>
      <c r="DD18" s="4"/>
      <c r="DE18" s="4"/>
      <c r="DF18" s="4"/>
      <c r="DG18" s="4"/>
      <c r="DH18" s="4"/>
    </row>
    <row r="19" spans="1:112" ht="18.75" customHeight="1" x14ac:dyDescent="0.35">
      <c r="O19" s="18"/>
      <c r="P19" s="18"/>
      <c r="T19" s="161" t="s">
        <v>552</v>
      </c>
      <c r="U19" s="162" t="s">
        <v>298</v>
      </c>
      <c r="V19" s="161">
        <v>97.48</v>
      </c>
      <c r="W19" s="162">
        <v>23.01813559322035</v>
      </c>
      <c r="X19" s="162">
        <f>'CCCM Dashboard'!D28</f>
        <v>127</v>
      </c>
      <c r="Y19" s="163">
        <f>'CCCM Dashboard'!E28</f>
        <v>557</v>
      </c>
      <c r="Z19" s="164" t="str">
        <f t="shared" si="0"/>
        <v>2 cps</v>
      </c>
      <c r="AA19" s="1000">
        <f>'Shelter Progress'!N23</f>
        <v>1</v>
      </c>
      <c r="AB19" s="165">
        <v>0</v>
      </c>
      <c r="AC19" s="165">
        <v>0</v>
      </c>
      <c r="AD19" s="165">
        <v>0</v>
      </c>
      <c r="AE19" s="166">
        <f t="shared" si="1"/>
        <v>663</v>
      </c>
      <c r="AF19" s="167">
        <f t="shared" si="2"/>
        <v>227</v>
      </c>
      <c r="AG19" s="168">
        <f>'CCCM Dashboard'!F28</f>
        <v>2</v>
      </c>
      <c r="CT19" s="4"/>
      <c r="CU19" s="4"/>
      <c r="CV19" s="4"/>
      <c r="CW19" s="4"/>
      <c r="CX19" s="4"/>
      <c r="CY19" s="4"/>
      <c r="CZ19" s="4"/>
      <c r="DA19" s="4"/>
      <c r="DB19" s="4"/>
      <c r="DC19" s="4"/>
      <c r="DD19" s="4"/>
      <c r="DE19" s="4"/>
      <c r="DF19" s="4"/>
      <c r="DG19" s="4"/>
      <c r="DH19" s="4"/>
    </row>
    <row r="20" spans="1:112" ht="18.75" customHeight="1" x14ac:dyDescent="0.35">
      <c r="O20" s="18"/>
      <c r="P20" s="18"/>
      <c r="T20" s="169" t="s">
        <v>554</v>
      </c>
      <c r="U20" s="162" t="s">
        <v>300</v>
      </c>
      <c r="V20" s="169">
        <v>97.435148514851463</v>
      </c>
      <c r="W20" s="162">
        <v>27.327029702970304</v>
      </c>
      <c r="X20" s="162">
        <f>'CCCM Dashboard'!D29</f>
        <v>83</v>
      </c>
      <c r="Y20" s="163">
        <f>'CCCM Dashboard'!E29</f>
        <v>355</v>
      </c>
      <c r="Z20" s="164" t="str">
        <f t="shared" si="0"/>
        <v>3 cps</v>
      </c>
      <c r="AA20" s="1000">
        <f>'Shelter Progress'!N24</f>
        <v>1</v>
      </c>
      <c r="AB20" s="165">
        <v>0</v>
      </c>
      <c r="AC20" s="165">
        <v>0</v>
      </c>
      <c r="AD20" s="165">
        <v>0</v>
      </c>
      <c r="AE20" s="166">
        <f t="shared" si="1"/>
        <v>102</v>
      </c>
      <c r="AF20" s="167">
        <f t="shared" si="2"/>
        <v>222</v>
      </c>
      <c r="AG20" s="168">
        <f>'CCCM Dashboard'!F29</f>
        <v>3</v>
      </c>
      <c r="CT20" s="4"/>
      <c r="CU20" s="4"/>
      <c r="CV20" s="4"/>
      <c r="CW20" s="4"/>
      <c r="CX20" s="4"/>
      <c r="CY20" s="4"/>
      <c r="CZ20" s="4"/>
      <c r="DA20" s="4"/>
      <c r="DB20" s="4"/>
      <c r="DC20" s="4"/>
      <c r="DD20" s="4"/>
      <c r="DE20" s="4"/>
      <c r="DF20" s="4"/>
      <c r="DG20" s="4"/>
      <c r="DH20" s="4"/>
    </row>
    <row r="21" spans="1:112" ht="18.75" customHeight="1" x14ac:dyDescent="0.35">
      <c r="T21" s="161" t="s">
        <v>542</v>
      </c>
      <c r="U21" s="162" t="s">
        <v>302</v>
      </c>
      <c r="V21" s="161">
        <v>96.752179487179433</v>
      </c>
      <c r="W21" s="162">
        <v>24.4</v>
      </c>
      <c r="X21" s="162">
        <f>'CCCM Dashboard'!D30</f>
        <v>511</v>
      </c>
      <c r="Y21" s="163">
        <f>'CCCM Dashboard'!E30</f>
        <v>2182</v>
      </c>
      <c r="Z21" s="162" t="str">
        <f t="shared" si="0"/>
        <v>4 cps</v>
      </c>
      <c r="AA21" s="1000">
        <f>'Shelter Progress'!N25</f>
        <v>0.69291338582677164</v>
      </c>
      <c r="AB21" s="165">
        <v>0</v>
      </c>
      <c r="AC21" s="165">
        <v>0</v>
      </c>
      <c r="AD21" s="165">
        <v>0</v>
      </c>
      <c r="AE21" s="166">
        <f t="shared" si="1"/>
        <v>483</v>
      </c>
      <c r="AF21" s="167">
        <f t="shared" si="2"/>
        <v>133</v>
      </c>
      <c r="AG21" s="168">
        <f>'CCCM Dashboard'!F30</f>
        <v>4</v>
      </c>
      <c r="DA21" s="63"/>
      <c r="DB21" s="64"/>
      <c r="DC21" s="64"/>
      <c r="DD21" s="64"/>
      <c r="DE21" s="64"/>
    </row>
    <row r="22" spans="1:112" ht="18.75" customHeight="1" x14ac:dyDescent="0.35">
      <c r="A22" s="75"/>
      <c r="B22" s="75"/>
      <c r="C22" s="75"/>
      <c r="D22" s="75"/>
      <c r="E22" s="75"/>
      <c r="F22" s="75"/>
      <c r="G22" s="75"/>
      <c r="H22" s="75"/>
      <c r="I22" s="75"/>
      <c r="J22" s="75"/>
      <c r="K22" s="75"/>
      <c r="L22" s="75"/>
      <c r="M22" s="75"/>
      <c r="N22" s="66"/>
      <c r="T22" s="169" t="s">
        <v>811</v>
      </c>
      <c r="U22" s="162" t="s">
        <v>810</v>
      </c>
      <c r="V22" s="161">
        <v>97.5</v>
      </c>
      <c r="W22" s="171">
        <v>26.5</v>
      </c>
      <c r="X22" s="162">
        <f>'CCCM Dashboard'!D31</f>
        <v>166</v>
      </c>
      <c r="Y22" s="163">
        <f>'CCCM Dashboard'!E31</f>
        <v>1232</v>
      </c>
      <c r="Z22" s="164" t="str">
        <f>CONCATENATE(AG22, " cp",IF(AG22&gt;1,"s",""))</f>
        <v>3 cps</v>
      </c>
      <c r="AA22" s="1000">
        <f>'Shelter Progress'!N26</f>
        <v>0</v>
      </c>
      <c r="AB22" s="165"/>
      <c r="AC22" s="165"/>
      <c r="AD22" s="165"/>
      <c r="AE22" s="166">
        <f t="shared" si="1"/>
        <v>210</v>
      </c>
      <c r="AF22" s="167">
        <f t="shared" si="2"/>
        <v>230</v>
      </c>
      <c r="AG22" s="168">
        <f>'CCCM Dashboard'!F31</f>
        <v>3</v>
      </c>
      <c r="DA22" s="63"/>
      <c r="DB22" s="64"/>
      <c r="DC22" s="64"/>
      <c r="DD22" s="64"/>
      <c r="DE22" s="64"/>
    </row>
    <row r="23" spans="1:112" ht="18.75" customHeight="1" x14ac:dyDescent="0.35">
      <c r="A23" s="68"/>
      <c r="B23" s="68"/>
      <c r="C23" s="69"/>
      <c r="D23" s="69"/>
      <c r="E23" s="70"/>
      <c r="F23" s="70"/>
      <c r="G23" s="71"/>
      <c r="H23" s="72"/>
      <c r="I23" s="72"/>
      <c r="J23" s="72"/>
      <c r="K23" s="73"/>
      <c r="L23" s="74"/>
      <c r="M23" s="75"/>
      <c r="N23" s="66"/>
      <c r="T23" s="169" t="s">
        <v>534</v>
      </c>
      <c r="U23" s="162" t="s">
        <v>310</v>
      </c>
      <c r="V23" s="169">
        <v>97.8</v>
      </c>
      <c r="W23" s="162">
        <v>25.5</v>
      </c>
      <c r="X23" s="162">
        <f>'CCCM Dashboard'!D32</f>
        <v>6286</v>
      </c>
      <c r="Y23" s="163">
        <f>'CCCM Dashboard'!E32</f>
        <v>32693</v>
      </c>
      <c r="Z23" s="162" t="str">
        <f t="shared" si="0"/>
        <v>23 cps</v>
      </c>
      <c r="AA23" s="1000">
        <f>'Shelter Progress'!N27</f>
        <v>0.54979319121858095</v>
      </c>
      <c r="AB23" s="165">
        <v>0.37372161553128791</v>
      </c>
      <c r="AC23" s="165">
        <v>0</v>
      </c>
      <c r="AD23" s="165">
        <v>4.6281851274050934E-2</v>
      </c>
      <c r="AE23" s="166">
        <f t="shared" si="1"/>
        <v>340</v>
      </c>
      <c r="AF23" s="167">
        <f t="shared" si="2"/>
        <v>269</v>
      </c>
      <c r="AG23" s="168">
        <f>'CCCM Dashboard'!F32</f>
        <v>23</v>
      </c>
      <c r="DA23" s="63"/>
      <c r="DB23" s="64"/>
      <c r="DC23" s="64"/>
      <c r="DD23" s="64"/>
      <c r="DE23" s="64"/>
    </row>
    <row r="24" spans="1:112" ht="18.75" customHeight="1" x14ac:dyDescent="0.35">
      <c r="T24" s="162"/>
      <c r="U24" s="162" t="s">
        <v>568</v>
      </c>
      <c r="V24" s="171" t="s">
        <v>570</v>
      </c>
      <c r="W24" s="171" t="s">
        <v>569</v>
      </c>
      <c r="X24" s="172">
        <f>SUBTOTAL(109,Table58[HS])</f>
        <v>18831</v>
      </c>
      <c r="Y24" s="172">
        <f>SUBTOTAL(109,Table58[Pop])</f>
        <v>94500</v>
      </c>
      <c r="Z24" s="164" t="str">
        <f>CONCATENATE(Table58[[#Totals],[Column1]]," camps")</f>
        <v>163 camps</v>
      </c>
      <c r="AA24" s="1001">
        <f>SUMPRODUCT(Table58[Pop]*Table58[Coverage])/Table58[[#Totals],[Pop]]</f>
        <v>0.68814087913352451</v>
      </c>
      <c r="AB24" s="173">
        <f>SUMPRODUCT(Table58[Pop]*Table58[Hygiene])/Table58[[#Totals],[Pop]]</f>
        <v>0.25560918663208448</v>
      </c>
      <c r="AC24" s="173">
        <f>SUMPRODUCT(Table58[Pop]*Table58[Core])/Table58[[#Totals],[Pop]]</f>
        <v>0</v>
      </c>
      <c r="AD24" s="173">
        <f>SUMPRODUCT(Table58[Pop]*Table58[Sanitary])/Table58[[#Totals],[Pop]]</f>
        <v>0.22946823706913883</v>
      </c>
      <c r="AE24" s="174">
        <f>1000-ROUND((W24-23.5)*$S$5,0)</f>
        <v>545</v>
      </c>
      <c r="AF24" s="175">
        <f>ROUND((V24-96.5)*$S$5,0)+100</f>
        <v>35</v>
      </c>
      <c r="AG24" s="176">
        <f>SUBTOTAL(109,Table58[Column1])</f>
        <v>163</v>
      </c>
      <c r="DA24" s="63"/>
      <c r="DE24" s="1"/>
      <c r="DF24" s="44"/>
    </row>
    <row r="25" spans="1:112" ht="18.75" customHeight="1" x14ac:dyDescent="0.35">
      <c r="DA25" s="63"/>
      <c r="DE25" s="1"/>
      <c r="DF25" s="44"/>
    </row>
    <row r="26" spans="1:112" ht="18.75" customHeight="1" x14ac:dyDescent="0.35">
      <c r="P26" s="67"/>
      <c r="Q26" s="67"/>
      <c r="DA26" s="63"/>
      <c r="DE26" s="1"/>
      <c r="DF26" s="44"/>
    </row>
    <row r="27" spans="1:112" s="18" customFormat="1" ht="18.75" customHeight="1" x14ac:dyDescent="0.35">
      <c r="A27" s="4"/>
      <c r="B27" s="4"/>
      <c r="C27" s="4"/>
      <c r="D27" s="4"/>
      <c r="E27" s="4"/>
      <c r="F27" s="4"/>
      <c r="G27" s="4"/>
      <c r="H27" s="4"/>
      <c r="I27" s="4"/>
      <c r="J27" s="4"/>
      <c r="K27" s="4"/>
      <c r="L27" s="4"/>
      <c r="M27" s="4"/>
      <c r="N27" s="4"/>
      <c r="O27" s="4"/>
      <c r="P27" s="4"/>
      <c r="Q27" s="4"/>
      <c r="R27" s="4"/>
      <c r="S27" s="4"/>
      <c r="T27" s="151"/>
      <c r="U27" s="151"/>
      <c r="V27" s="151"/>
      <c r="W27" s="151"/>
      <c r="X27" s="151"/>
      <c r="Y27" s="151"/>
      <c r="Z27" s="151"/>
      <c r="AA27" s="151"/>
      <c r="AB27" s="151"/>
      <c r="AC27" s="151"/>
      <c r="AD27" s="151"/>
      <c r="AE27" s="151"/>
      <c r="AF27" s="151"/>
      <c r="AG27" s="151"/>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DA27" s="63"/>
      <c r="DE27" s="1"/>
      <c r="DF27" s="44"/>
    </row>
    <row r="28" spans="1:112" s="18" customFormat="1" ht="18.75" customHeight="1" x14ac:dyDescent="0.35">
      <c r="A28" s="4"/>
      <c r="B28" s="4"/>
      <c r="C28" s="4"/>
      <c r="D28" s="4"/>
      <c r="E28" s="4"/>
      <c r="F28" s="4"/>
      <c r="G28" s="4"/>
      <c r="H28" s="4"/>
      <c r="I28" s="4"/>
      <c r="J28" s="4"/>
      <c r="K28" s="4"/>
      <c r="L28" s="4"/>
      <c r="M28" s="4"/>
      <c r="N28" s="4"/>
      <c r="O28" s="4"/>
      <c r="P28" s="4"/>
      <c r="Q28" s="4"/>
      <c r="R28" s="4"/>
      <c r="S28" s="4"/>
      <c r="T28" s="151"/>
      <c r="U28" s="151"/>
      <c r="V28" s="151"/>
      <c r="W28" s="151"/>
      <c r="X28" s="151"/>
      <c r="Y28" s="151"/>
      <c r="Z28" s="151"/>
      <c r="AA28" s="151"/>
      <c r="AB28" s="151"/>
      <c r="AC28" s="151"/>
      <c r="AD28" s="151"/>
      <c r="AE28" s="151"/>
      <c r="AF28" s="151"/>
      <c r="AG28" s="151"/>
      <c r="AH28" s="4"/>
      <c r="AI28" s="4"/>
      <c r="AJ28" s="4"/>
      <c r="AK28" s="4"/>
      <c r="AL28" s="4"/>
      <c r="AM28" s="4"/>
      <c r="AN28" s="4"/>
      <c r="AO28" s="4"/>
      <c r="AP28" s="4"/>
      <c r="AQ28" s="4"/>
      <c r="AR28" s="4"/>
      <c r="AS28" s="4"/>
      <c r="AT28" s="4"/>
      <c r="AU28" s="4"/>
      <c r="AV28" s="4"/>
      <c r="AW28" s="4"/>
      <c r="AX28" s="4"/>
      <c r="AY28" s="4"/>
      <c r="AZ28" s="4"/>
      <c r="BA28" s="4"/>
      <c r="BB28" s="4"/>
      <c r="BC28" s="4"/>
      <c r="BD28" s="4"/>
      <c r="BE28" s="4"/>
      <c r="BF28" s="4"/>
      <c r="BG28" s="4"/>
      <c r="BH28" s="4"/>
      <c r="BI28" s="4"/>
      <c r="BJ28" s="4"/>
      <c r="BK28" s="4"/>
      <c r="BL28" s="4"/>
      <c r="BM28" s="4"/>
      <c r="BN28" s="4"/>
      <c r="BO28" s="4"/>
      <c r="BP28" s="4"/>
      <c r="BQ28" s="4"/>
      <c r="BR28" s="4"/>
      <c r="BS28" s="4"/>
      <c r="BT28" s="4"/>
      <c r="BU28" s="4"/>
      <c r="BV28" s="4"/>
      <c r="BW28" s="4"/>
      <c r="BX28" s="4"/>
      <c r="BY28" s="4"/>
      <c r="BZ28" s="4"/>
      <c r="CA28" s="4"/>
      <c r="CB28" s="4"/>
      <c r="CC28" s="4"/>
      <c r="CD28" s="4"/>
      <c r="CE28" s="4"/>
      <c r="CF28" s="4"/>
      <c r="CG28" s="4"/>
      <c r="CH28" s="4"/>
      <c r="CI28" s="4"/>
      <c r="CJ28" s="4"/>
      <c r="CK28" s="4"/>
      <c r="CL28" s="4"/>
      <c r="CM28" s="4"/>
      <c r="CN28" s="4"/>
      <c r="CO28" s="4"/>
      <c r="CP28" s="4"/>
      <c r="CQ28" s="4"/>
      <c r="CR28" s="4"/>
      <c r="CS28" s="4"/>
      <c r="DA28" s="63"/>
      <c r="DE28" s="1"/>
      <c r="DF28" s="44"/>
    </row>
    <row r="29" spans="1:112" s="18" customFormat="1" ht="18.75" customHeight="1" x14ac:dyDescent="0.35">
      <c r="A29" s="4"/>
      <c r="B29" s="4"/>
      <c r="C29" s="4"/>
      <c r="D29" s="4"/>
      <c r="E29" s="4"/>
      <c r="F29" s="4"/>
      <c r="G29" s="4"/>
      <c r="H29" s="4"/>
      <c r="I29" s="4"/>
      <c r="J29" s="4"/>
      <c r="K29" s="4"/>
      <c r="L29" s="4"/>
      <c r="M29" s="4"/>
      <c r="N29" s="4"/>
      <c r="O29" s="4"/>
      <c r="P29" s="4"/>
      <c r="Q29" s="4"/>
      <c r="R29" s="4"/>
      <c r="S29" s="4"/>
      <c r="T29" s="151"/>
      <c r="U29" s="151"/>
      <c r="V29" s="151"/>
      <c r="W29" s="151"/>
      <c r="X29" s="151"/>
      <c r="Y29" s="151"/>
      <c r="Z29" s="151"/>
      <c r="AA29" s="151"/>
      <c r="AB29" s="151"/>
      <c r="AC29" s="151"/>
      <c r="AD29" s="151"/>
      <c r="AE29" s="151"/>
      <c r="AF29" s="151"/>
      <c r="AG29" s="151"/>
      <c r="AH29" s="4"/>
      <c r="AI29" s="4"/>
      <c r="AJ29" s="4"/>
      <c r="AK29" s="4"/>
      <c r="AL29" s="4"/>
      <c r="AM29" s="4"/>
      <c r="AN29" s="4"/>
      <c r="AO29" s="4"/>
      <c r="AP29" s="4"/>
      <c r="AQ29" s="4"/>
      <c r="AR29" s="4"/>
      <c r="AS29" s="4"/>
      <c r="AT29" s="4"/>
      <c r="AU29" s="4"/>
      <c r="AV29" s="4"/>
      <c r="AW29" s="4"/>
      <c r="AX29" s="4"/>
      <c r="AY29" s="4"/>
      <c r="AZ29" s="4"/>
      <c r="BA29" s="4"/>
      <c r="BB29" s="4"/>
      <c r="BC29" s="4"/>
      <c r="BD29" s="4"/>
      <c r="BE29" s="4"/>
      <c r="BF29" s="4"/>
      <c r="BG29" s="4"/>
      <c r="BH29" s="4"/>
      <c r="BI29" s="4"/>
      <c r="BJ29" s="4"/>
      <c r="BK29" s="4"/>
      <c r="BL29" s="4"/>
      <c r="BM29" s="4"/>
      <c r="BN29" s="4"/>
      <c r="BO29" s="4"/>
      <c r="BP29" s="4"/>
      <c r="BQ29" s="4"/>
      <c r="BR29" s="4"/>
      <c r="BS29" s="4"/>
      <c r="BT29" s="4"/>
      <c r="BU29" s="4"/>
      <c r="BV29" s="4"/>
      <c r="BW29" s="4"/>
      <c r="BX29" s="4"/>
      <c r="BY29" s="4"/>
      <c r="BZ29" s="4"/>
      <c r="CA29" s="4"/>
      <c r="CB29" s="4"/>
      <c r="CC29" s="4"/>
      <c r="CD29" s="4"/>
      <c r="CE29" s="4"/>
      <c r="CF29" s="4"/>
      <c r="CG29" s="4"/>
      <c r="CH29" s="4"/>
      <c r="CI29" s="4"/>
      <c r="CJ29" s="4"/>
      <c r="CK29" s="4"/>
      <c r="CL29" s="4"/>
      <c r="CM29" s="4"/>
      <c r="CN29" s="4"/>
      <c r="CO29" s="4"/>
      <c r="CP29" s="4"/>
      <c r="CQ29" s="4"/>
      <c r="CR29" s="4"/>
      <c r="CS29" s="4"/>
      <c r="DA29" s="63"/>
      <c r="DE29" s="1"/>
      <c r="DF29" s="44"/>
    </row>
    <row r="30" spans="1:112" s="18" customFormat="1" ht="18.75" customHeight="1" x14ac:dyDescent="0.35">
      <c r="A30" s="4"/>
      <c r="B30" s="4"/>
      <c r="C30" s="4"/>
      <c r="D30" s="4"/>
      <c r="E30" s="4"/>
      <c r="F30" s="4"/>
      <c r="G30" s="4"/>
      <c r="H30" s="4"/>
      <c r="I30" s="4"/>
      <c r="J30" s="4"/>
      <c r="K30" s="4"/>
      <c r="L30" s="4"/>
      <c r="M30" s="4"/>
      <c r="N30" s="4"/>
      <c r="O30" s="4"/>
      <c r="P30" s="4"/>
      <c r="Q30" s="4"/>
      <c r="R30" s="4"/>
      <c r="S30" s="4"/>
      <c r="T30" s="151"/>
      <c r="U30" s="151"/>
      <c r="V30" s="151"/>
      <c r="W30" s="151"/>
      <c r="X30" s="151"/>
      <c r="Y30" s="151"/>
      <c r="Z30" s="151"/>
      <c r="AA30" s="151"/>
      <c r="AB30" s="151"/>
      <c r="AC30" s="151"/>
      <c r="AD30" s="151"/>
      <c r="AE30" s="151"/>
      <c r="AF30" s="151"/>
      <c r="AG30" s="151"/>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DA30" s="63"/>
      <c r="DE30" s="1"/>
      <c r="DF30" s="44"/>
    </row>
    <row r="31" spans="1:112" s="18" customFormat="1" ht="18.75" customHeight="1" x14ac:dyDescent="0.35">
      <c r="A31" s="4"/>
      <c r="B31" s="4"/>
      <c r="C31" s="4"/>
      <c r="D31" s="4"/>
      <c r="E31" s="4"/>
      <c r="F31" s="4"/>
      <c r="G31" s="4"/>
      <c r="H31" s="4"/>
      <c r="I31" s="4"/>
      <c r="J31" s="4"/>
      <c r="K31" s="4"/>
      <c r="L31" s="4"/>
      <c r="M31" s="4"/>
      <c r="N31" s="4"/>
      <c r="O31" s="4"/>
      <c r="P31" s="4"/>
      <c r="Q31" s="4"/>
      <c r="R31" s="4"/>
      <c r="S31" s="4"/>
      <c r="T31" s="151"/>
      <c r="U31" s="151"/>
      <c r="V31" s="151"/>
      <c r="W31" s="151"/>
      <c r="X31" s="151"/>
      <c r="Y31" s="151"/>
      <c r="Z31" s="151"/>
      <c r="AA31" s="151"/>
      <c r="AB31" s="151"/>
      <c r="AC31" s="151"/>
      <c r="AD31" s="151"/>
      <c r="AE31" s="151"/>
      <c r="AF31" s="151"/>
      <c r="AG31" s="151"/>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DA31" s="63"/>
      <c r="DE31" s="1"/>
      <c r="DF31" s="44"/>
    </row>
    <row r="32" spans="1:112" s="18" customFormat="1" ht="18.75" customHeight="1" x14ac:dyDescent="0.35">
      <c r="A32" s="4"/>
      <c r="B32" s="4"/>
      <c r="C32" s="4"/>
      <c r="D32" s="4"/>
      <c r="E32" s="4"/>
      <c r="F32" s="4"/>
      <c r="G32" s="4"/>
      <c r="H32" s="4"/>
      <c r="I32" s="4"/>
      <c r="J32" s="4"/>
      <c r="K32" s="4"/>
      <c r="L32" s="4"/>
      <c r="M32" s="4"/>
      <c r="N32" s="4"/>
      <c r="O32" s="4"/>
      <c r="P32" s="4"/>
      <c r="Q32" s="4"/>
      <c r="R32" s="4"/>
      <c r="S32" s="4"/>
      <c r="T32" s="151"/>
      <c r="U32" s="151"/>
      <c r="V32" s="151"/>
      <c r="W32" s="151"/>
      <c r="X32" s="151"/>
      <c r="Y32" s="151"/>
      <c r="Z32" s="151"/>
      <c r="AA32" s="151"/>
      <c r="AB32" s="151"/>
      <c r="AC32" s="151"/>
      <c r="AD32" s="151"/>
      <c r="AE32" s="151"/>
      <c r="AF32" s="151"/>
      <c r="AG32" s="151"/>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DE32" s="1"/>
      <c r="DF32" s="44"/>
    </row>
    <row r="33" spans="1:111" s="18" customFormat="1" ht="18.75" customHeight="1" x14ac:dyDescent="0.35">
      <c r="A33" s="4"/>
      <c r="B33" s="4"/>
      <c r="C33" s="4"/>
      <c r="D33" s="4"/>
      <c r="E33" s="4"/>
      <c r="F33" s="4"/>
      <c r="G33" s="4"/>
      <c r="H33" s="4"/>
      <c r="I33" s="4"/>
      <c r="J33" s="4"/>
      <c r="K33" s="4"/>
      <c r="L33" s="4"/>
      <c r="M33" s="4"/>
      <c r="N33" s="4"/>
      <c r="O33" s="4"/>
      <c r="P33" s="4"/>
      <c r="Q33" s="4"/>
      <c r="R33" s="4"/>
      <c r="S33" s="4"/>
      <c r="T33" s="151"/>
      <c r="U33" s="151"/>
      <c r="V33" s="151"/>
      <c r="W33" s="151"/>
      <c r="X33" s="151"/>
      <c r="Y33" s="151"/>
      <c r="Z33" s="151"/>
      <c r="AA33" s="151"/>
      <c r="AB33" s="151"/>
      <c r="AC33" s="151"/>
      <c r="AD33" s="151"/>
      <c r="AE33" s="151"/>
      <c r="AF33" s="151"/>
      <c r="AG33" s="151"/>
      <c r="AH33" s="4"/>
      <c r="AI33" s="4"/>
      <c r="AJ33" s="4"/>
      <c r="AK33" s="4"/>
      <c r="AL33" s="4"/>
      <c r="AM33" s="4"/>
      <c r="AN33" s="4"/>
      <c r="AO33" s="4"/>
      <c r="AP33" s="4"/>
      <c r="AQ33" s="4"/>
      <c r="AR33" s="4"/>
      <c r="AS33" s="4"/>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c r="CE33" s="4"/>
      <c r="CF33" s="4"/>
      <c r="CG33" s="4"/>
      <c r="CH33" s="4"/>
      <c r="CI33" s="4"/>
      <c r="CJ33" s="4"/>
      <c r="CK33" s="4"/>
      <c r="CL33" s="4"/>
      <c r="CM33" s="4"/>
      <c r="CN33" s="4"/>
      <c r="CO33" s="4"/>
      <c r="CP33" s="4"/>
      <c r="CQ33" s="4"/>
      <c r="CR33" s="4"/>
      <c r="CS33" s="4"/>
      <c r="DE33" s="1"/>
      <c r="DF33" s="44"/>
    </row>
    <row r="34" spans="1:111" s="18" customFormat="1" ht="18.75" customHeight="1" x14ac:dyDescent="0.35">
      <c r="A34" s="4"/>
      <c r="B34" s="4"/>
      <c r="C34" s="4"/>
      <c r="D34" s="4"/>
      <c r="E34" s="4"/>
      <c r="F34" s="4"/>
      <c r="G34" s="4"/>
      <c r="H34" s="4"/>
      <c r="I34" s="4"/>
      <c r="J34" s="4"/>
      <c r="K34" s="4"/>
      <c r="L34" s="4"/>
      <c r="M34" s="4"/>
      <c r="N34" s="4"/>
      <c r="O34" s="4"/>
      <c r="P34" s="4"/>
      <c r="Q34" s="4"/>
      <c r="R34" s="4"/>
      <c r="S34" s="4"/>
      <c r="T34" s="151"/>
      <c r="U34" s="151"/>
      <c r="V34" s="151"/>
      <c r="W34" s="151"/>
      <c r="X34" s="151"/>
      <c r="Y34" s="151"/>
      <c r="Z34" s="151"/>
      <c r="AA34" s="151"/>
      <c r="AB34" s="151"/>
      <c r="AC34" s="151"/>
      <c r="AD34" s="151"/>
      <c r="AE34" s="151"/>
      <c r="AF34" s="151"/>
      <c r="AG34" s="151"/>
      <c r="AH34" s="4"/>
      <c r="AI34" s="4"/>
      <c r="AJ34" s="4"/>
      <c r="AK34" s="4"/>
      <c r="AL34" s="4"/>
      <c r="AM34" s="4"/>
      <c r="AN34" s="4"/>
      <c r="AO34" s="4"/>
      <c r="AP34" s="4"/>
      <c r="AQ34" s="4"/>
      <c r="AR34" s="4"/>
      <c r="AS34" s="4"/>
      <c r="AT34" s="4"/>
      <c r="AU34" s="4"/>
      <c r="AV34" s="4"/>
      <c r="AW34" s="4"/>
      <c r="AX34" s="4"/>
      <c r="AY34" s="4"/>
      <c r="AZ34" s="4"/>
      <c r="BA34" s="4"/>
      <c r="BB34" s="4"/>
      <c r="BC34" s="4"/>
      <c r="BD34" s="4"/>
      <c r="BE34" s="4"/>
      <c r="BF34" s="4"/>
      <c r="BG34" s="4"/>
      <c r="BH34" s="4"/>
      <c r="BI34" s="4"/>
      <c r="BJ34" s="4"/>
      <c r="BK34" s="4"/>
      <c r="BL34" s="4"/>
      <c r="BM34" s="4"/>
      <c r="BN34" s="4"/>
      <c r="BO34" s="4"/>
      <c r="BP34" s="4"/>
      <c r="BQ34" s="4"/>
      <c r="BR34" s="4"/>
      <c r="BS34" s="4"/>
      <c r="BT34" s="4"/>
      <c r="BU34" s="4"/>
      <c r="BV34" s="4"/>
      <c r="BW34" s="4"/>
      <c r="BX34" s="4"/>
      <c r="BY34" s="4"/>
      <c r="BZ34" s="4"/>
      <c r="CA34" s="4"/>
      <c r="CB34" s="4"/>
      <c r="CC34" s="4"/>
      <c r="CD34" s="4"/>
      <c r="CE34" s="4"/>
      <c r="CF34" s="4"/>
      <c r="CG34" s="4"/>
      <c r="CH34" s="4"/>
      <c r="CI34" s="4"/>
      <c r="CJ34" s="4"/>
      <c r="CK34" s="4"/>
      <c r="CL34" s="4"/>
      <c r="CM34" s="4"/>
      <c r="CN34" s="4"/>
      <c r="CO34" s="4"/>
      <c r="CP34" s="4"/>
      <c r="CQ34" s="4"/>
      <c r="CR34" s="4"/>
      <c r="CS34" s="4"/>
      <c r="DE34" s="1"/>
      <c r="DF34" s="44"/>
    </row>
    <row r="35" spans="1:111" s="18" customFormat="1" ht="18.75" customHeight="1" x14ac:dyDescent="0.35">
      <c r="A35" s="4"/>
      <c r="B35" s="4"/>
      <c r="C35" s="4"/>
      <c r="D35" s="4"/>
      <c r="E35" s="4"/>
      <c r="F35" s="4"/>
      <c r="G35" s="4"/>
      <c r="H35" s="4"/>
      <c r="I35" s="4"/>
      <c r="J35" s="4"/>
      <c r="K35" s="4"/>
      <c r="L35" s="4"/>
      <c r="M35" s="4"/>
      <c r="N35" s="4"/>
      <c r="O35" s="4"/>
      <c r="P35" s="4"/>
      <c r="Q35" s="4"/>
      <c r="R35" s="4"/>
      <c r="S35" s="4"/>
      <c r="T35" s="151"/>
      <c r="U35" s="151"/>
      <c r="V35" s="151"/>
      <c r="W35" s="151"/>
      <c r="X35" s="151"/>
      <c r="Y35" s="151"/>
      <c r="Z35" s="151"/>
      <c r="AA35" s="151"/>
      <c r="AB35" s="151"/>
      <c r="AC35" s="151"/>
      <c r="AD35" s="151"/>
      <c r="AE35" s="151"/>
      <c r="AF35" s="151"/>
      <c r="AG35" s="151"/>
      <c r="AH35" s="4"/>
      <c r="AI35" s="4"/>
      <c r="AJ35" s="4"/>
      <c r="AK35" s="4"/>
      <c r="AL35" s="4"/>
      <c r="AM35" s="4"/>
      <c r="AN35" s="4"/>
      <c r="AO35" s="4"/>
      <c r="AP35" s="4"/>
      <c r="AQ35" s="4"/>
      <c r="AR35" s="4"/>
      <c r="AS35" s="4"/>
      <c r="AT35" s="4"/>
      <c r="AU35" s="4"/>
      <c r="AV35" s="4"/>
      <c r="AW35" s="4"/>
      <c r="AX35" s="4"/>
      <c r="AY35" s="4"/>
      <c r="AZ35" s="4"/>
      <c r="BA35" s="4"/>
      <c r="BB35" s="4"/>
      <c r="BC35" s="4"/>
      <c r="BD35" s="4"/>
      <c r="BE35" s="4"/>
      <c r="BF35" s="4"/>
      <c r="BG35" s="4"/>
      <c r="BH35" s="4"/>
      <c r="BI35" s="4"/>
      <c r="BJ35" s="4"/>
      <c r="BK35" s="4"/>
      <c r="BL35" s="4"/>
      <c r="BM35" s="4"/>
      <c r="BN35" s="4"/>
      <c r="BO35" s="4"/>
      <c r="BP35" s="4"/>
      <c r="BQ35" s="4"/>
      <c r="BR35" s="4"/>
      <c r="BS35" s="4"/>
      <c r="BT35" s="4"/>
      <c r="BU35" s="4"/>
      <c r="BV35" s="4"/>
      <c r="BW35" s="4"/>
      <c r="BX35" s="4"/>
      <c r="BY35" s="4"/>
      <c r="BZ35" s="4"/>
      <c r="CA35" s="4"/>
      <c r="CB35" s="4"/>
      <c r="CC35" s="4"/>
      <c r="CD35" s="4"/>
      <c r="CE35" s="4"/>
      <c r="CF35" s="4"/>
      <c r="CG35" s="4"/>
      <c r="CH35" s="4"/>
      <c r="CI35" s="4"/>
      <c r="CJ35" s="4"/>
      <c r="CK35" s="4"/>
      <c r="CL35" s="4"/>
      <c r="CM35" s="4"/>
      <c r="CN35" s="4"/>
      <c r="CO35" s="4"/>
      <c r="CP35" s="4"/>
      <c r="CQ35" s="4"/>
      <c r="CR35" s="4"/>
      <c r="CS35" s="4"/>
      <c r="DE35" s="1"/>
      <c r="DF35" s="44"/>
    </row>
    <row r="36" spans="1:111" s="18" customFormat="1" ht="18.75" customHeight="1" x14ac:dyDescent="0.35">
      <c r="A36" s="4"/>
      <c r="B36" s="4"/>
      <c r="C36" s="4"/>
      <c r="D36" s="4"/>
      <c r="E36" s="4"/>
      <c r="F36" s="4"/>
      <c r="G36" s="4"/>
      <c r="H36" s="4"/>
      <c r="I36" s="4"/>
      <c r="J36" s="4"/>
      <c r="K36" s="4"/>
      <c r="L36" s="4"/>
      <c r="M36" s="4"/>
      <c r="N36" s="4"/>
      <c r="O36" s="4"/>
      <c r="P36" s="4"/>
      <c r="Q36" s="4"/>
      <c r="R36" s="4"/>
      <c r="S36" s="4"/>
      <c r="T36" s="151"/>
      <c r="U36" s="151"/>
      <c r="V36" s="151"/>
      <c r="W36" s="151"/>
      <c r="X36" s="151"/>
      <c r="Y36" s="151"/>
      <c r="Z36" s="151"/>
      <c r="AA36" s="151"/>
      <c r="AB36" s="151"/>
      <c r="AC36" s="151"/>
      <c r="AD36" s="151"/>
      <c r="AE36" s="151"/>
      <c r="AF36" s="151"/>
      <c r="AG36" s="151"/>
      <c r="AH36" s="4"/>
      <c r="AI36" s="4"/>
      <c r="AJ36" s="4"/>
      <c r="AK36" s="4"/>
      <c r="AL36" s="4"/>
      <c r="AM36" s="4"/>
      <c r="AN36" s="4"/>
      <c r="AO36" s="4"/>
      <c r="AP36" s="4"/>
      <c r="AQ36" s="4"/>
      <c r="AR36" s="4"/>
      <c r="AS36" s="4"/>
      <c r="AT36" s="4"/>
      <c r="AU36" s="4"/>
      <c r="AV36" s="4"/>
      <c r="AW36" s="4"/>
      <c r="AX36" s="4"/>
      <c r="AY36" s="4"/>
      <c r="AZ36" s="4"/>
      <c r="BA36" s="4"/>
      <c r="BB36" s="4"/>
      <c r="BC36" s="4"/>
      <c r="BD36" s="4"/>
      <c r="BE36" s="4"/>
      <c r="BF36" s="4"/>
      <c r="BG36" s="4"/>
      <c r="BH36" s="4"/>
      <c r="BI36" s="4"/>
      <c r="BJ36" s="4"/>
      <c r="BK36" s="4"/>
      <c r="BL36" s="4"/>
      <c r="BM36" s="4"/>
      <c r="BN36" s="4"/>
      <c r="BO36" s="4"/>
      <c r="BP36" s="4"/>
      <c r="BQ36" s="4"/>
      <c r="BR36" s="4"/>
      <c r="BS36" s="4"/>
      <c r="BT36" s="4"/>
      <c r="BU36" s="4"/>
      <c r="BV36" s="4"/>
      <c r="BW36" s="4"/>
      <c r="BX36" s="4"/>
      <c r="BY36" s="4"/>
      <c r="BZ36" s="4"/>
      <c r="CA36" s="4"/>
      <c r="CB36" s="4"/>
      <c r="CC36" s="4"/>
      <c r="CD36" s="4"/>
      <c r="CE36" s="4"/>
      <c r="CF36" s="4"/>
      <c r="CG36" s="4"/>
      <c r="CH36" s="4"/>
      <c r="CI36" s="4"/>
      <c r="CJ36" s="4"/>
      <c r="CK36" s="4"/>
      <c r="CL36" s="4"/>
      <c r="CM36" s="4"/>
      <c r="CN36" s="4"/>
      <c r="CO36" s="4"/>
      <c r="CP36" s="4"/>
      <c r="CQ36" s="4"/>
      <c r="CR36" s="4"/>
      <c r="CS36" s="4"/>
      <c r="DE36" s="1"/>
      <c r="DF36" s="44"/>
    </row>
    <row r="37" spans="1:111" s="18" customFormat="1" ht="18.75" customHeight="1" x14ac:dyDescent="0.35">
      <c r="A37" s="4"/>
      <c r="B37" s="4"/>
      <c r="C37" s="4"/>
      <c r="D37" s="4"/>
      <c r="E37" s="4"/>
      <c r="F37" s="4"/>
      <c r="G37" s="4"/>
      <c r="H37" s="4"/>
      <c r="I37" s="4"/>
      <c r="J37" s="4"/>
      <c r="K37" s="4"/>
      <c r="L37" s="4"/>
      <c r="M37" s="4"/>
      <c r="N37" s="4"/>
      <c r="O37" s="4"/>
      <c r="P37" s="4"/>
      <c r="Q37" s="4"/>
      <c r="R37" s="4"/>
      <c r="S37" s="4"/>
      <c r="T37" s="151"/>
      <c r="U37" s="151"/>
      <c r="V37" s="151"/>
      <c r="W37" s="151"/>
      <c r="X37" s="151"/>
      <c r="Y37" s="151"/>
      <c r="Z37" s="151"/>
      <c r="AA37" s="151"/>
      <c r="AB37" s="151"/>
      <c r="AC37" s="151"/>
      <c r="AD37" s="151"/>
      <c r="AE37" s="151"/>
      <c r="AF37" s="151"/>
      <c r="AG37" s="151"/>
      <c r="AH37" s="4"/>
      <c r="AI37" s="4"/>
      <c r="AJ37" s="4"/>
      <c r="AK37" s="4"/>
      <c r="AL37" s="4"/>
      <c r="AM37" s="4"/>
      <c r="AN37" s="4"/>
      <c r="AO37" s="4"/>
      <c r="AP37" s="4"/>
      <c r="AQ37" s="4"/>
      <c r="AR37" s="4"/>
      <c r="AS37" s="4"/>
      <c r="AT37" s="4"/>
      <c r="AU37" s="4"/>
      <c r="AV37" s="4"/>
      <c r="AW37" s="4"/>
      <c r="AX37" s="4"/>
      <c r="AY37" s="4"/>
      <c r="AZ37" s="4"/>
      <c r="BA37" s="4"/>
      <c r="BB37" s="4"/>
      <c r="BC37" s="4"/>
      <c r="BD37" s="4"/>
      <c r="BE37" s="4"/>
      <c r="BF37" s="4"/>
      <c r="BG37" s="4"/>
      <c r="BH37" s="4"/>
      <c r="BI37" s="4"/>
      <c r="BJ37" s="4"/>
      <c r="BK37" s="4"/>
      <c r="BL37" s="4"/>
      <c r="BM37" s="4"/>
      <c r="BN37" s="4"/>
      <c r="BO37" s="4"/>
      <c r="BP37" s="4"/>
      <c r="BQ37" s="4"/>
      <c r="BR37" s="4"/>
      <c r="BS37" s="4"/>
      <c r="BT37" s="4"/>
      <c r="BU37" s="4"/>
      <c r="BV37" s="4"/>
      <c r="BW37" s="4"/>
      <c r="BX37" s="4"/>
      <c r="BY37" s="4"/>
      <c r="BZ37" s="4"/>
      <c r="CA37" s="4"/>
      <c r="CB37" s="4"/>
      <c r="CC37" s="4"/>
      <c r="CD37" s="4"/>
      <c r="CE37" s="4"/>
      <c r="CF37" s="4"/>
      <c r="CG37" s="4"/>
      <c r="CH37" s="4"/>
      <c r="CI37" s="4"/>
      <c r="CJ37" s="4"/>
      <c r="CK37" s="4"/>
      <c r="CL37" s="4"/>
      <c r="CM37" s="4"/>
      <c r="CN37" s="4"/>
      <c r="CO37" s="4"/>
      <c r="CP37" s="4"/>
      <c r="CQ37" s="4"/>
      <c r="CR37" s="4"/>
      <c r="CS37" s="4"/>
      <c r="DE37" s="1"/>
      <c r="DF37" s="44"/>
    </row>
    <row r="38" spans="1:111" s="18" customFormat="1" ht="18.75" customHeight="1" x14ac:dyDescent="0.35">
      <c r="A38" s="4"/>
      <c r="B38" s="4"/>
      <c r="C38" s="4"/>
      <c r="D38" s="4"/>
      <c r="E38" s="4"/>
      <c r="F38" s="4"/>
      <c r="G38" s="4"/>
      <c r="H38" s="4"/>
      <c r="I38" s="4"/>
      <c r="J38" s="4"/>
      <c r="K38" s="4"/>
      <c r="L38" s="4"/>
      <c r="M38" s="4"/>
      <c r="N38" s="4"/>
      <c r="O38" s="4"/>
      <c r="P38" s="4"/>
      <c r="Q38" s="4"/>
      <c r="R38" s="4"/>
      <c r="S38" s="4"/>
      <c r="T38" s="151"/>
      <c r="U38" s="151"/>
      <c r="V38" s="151"/>
      <c r="W38" s="151"/>
      <c r="X38" s="151"/>
      <c r="Y38" s="151"/>
      <c r="Z38" s="151"/>
      <c r="AA38" s="151"/>
      <c r="AB38" s="151"/>
      <c r="AC38" s="151"/>
      <c r="AD38" s="151"/>
      <c r="AE38" s="151"/>
      <c r="AF38" s="151"/>
      <c r="AG38" s="151"/>
      <c r="AH38" s="4"/>
      <c r="AI38" s="4"/>
      <c r="AJ38" s="4"/>
      <c r="AK38" s="4"/>
      <c r="AL38" s="4"/>
      <c r="AM38" s="4"/>
      <c r="AN38" s="4"/>
      <c r="AO38" s="4"/>
      <c r="AP38" s="4"/>
      <c r="AQ38" s="4"/>
      <c r="AR38" s="4"/>
      <c r="AS38" s="4"/>
      <c r="AT38" s="4"/>
      <c r="AU38" s="4"/>
      <c r="AV38" s="4"/>
      <c r="AW38" s="4"/>
      <c r="AX38" s="4"/>
      <c r="AY38" s="4"/>
      <c r="AZ38" s="4"/>
      <c r="BA38" s="4"/>
      <c r="BB38" s="4"/>
      <c r="BC38" s="4"/>
      <c r="BD38" s="4"/>
      <c r="BE38" s="4"/>
      <c r="BF38" s="4"/>
      <c r="BG38" s="4"/>
      <c r="BH38" s="4"/>
      <c r="BI38" s="4"/>
      <c r="BJ38" s="4"/>
      <c r="BK38" s="4"/>
      <c r="BL38" s="4"/>
      <c r="BM38" s="4"/>
      <c r="BN38" s="4"/>
      <c r="BO38" s="4"/>
      <c r="BP38" s="4"/>
      <c r="BQ38" s="4"/>
      <c r="BR38" s="4"/>
      <c r="BS38" s="4"/>
      <c r="BT38" s="4"/>
      <c r="BU38" s="4"/>
      <c r="BV38" s="4"/>
      <c r="BW38" s="4"/>
      <c r="BX38" s="4"/>
      <c r="BY38" s="4"/>
      <c r="BZ38" s="4"/>
      <c r="CA38" s="4"/>
      <c r="CB38" s="4"/>
      <c r="CC38" s="4"/>
      <c r="CD38" s="4"/>
      <c r="CE38" s="4"/>
      <c r="CF38" s="4"/>
      <c r="CG38" s="4"/>
      <c r="CH38" s="4"/>
      <c r="CI38" s="4"/>
      <c r="CJ38" s="4"/>
      <c r="CK38" s="4"/>
      <c r="CL38" s="4"/>
      <c r="CM38" s="4"/>
      <c r="CN38" s="4"/>
      <c r="CO38" s="4"/>
      <c r="CP38" s="4"/>
      <c r="CQ38" s="4"/>
      <c r="CR38" s="4"/>
      <c r="CS38" s="4"/>
      <c r="DE38" s="1"/>
      <c r="DF38" s="44"/>
    </row>
    <row r="39" spans="1:111" s="18" customFormat="1" ht="18.75" customHeight="1" x14ac:dyDescent="0.35">
      <c r="A39" s="4"/>
      <c r="B39" s="4"/>
      <c r="C39" s="4"/>
      <c r="D39" s="4"/>
      <c r="E39" s="4"/>
      <c r="F39" s="4"/>
      <c r="G39" s="4"/>
      <c r="H39" s="4"/>
      <c r="I39" s="4"/>
      <c r="J39" s="4"/>
      <c r="K39" s="4"/>
      <c r="L39" s="4"/>
      <c r="M39" s="4"/>
      <c r="N39" s="4"/>
      <c r="O39" s="4"/>
      <c r="P39" s="4"/>
      <c r="Q39" s="4"/>
      <c r="R39" s="4"/>
      <c r="S39" s="4"/>
      <c r="T39" s="151"/>
      <c r="U39" s="151"/>
      <c r="V39" s="151"/>
      <c r="W39" s="151"/>
      <c r="X39" s="151"/>
      <c r="Y39" s="151"/>
      <c r="Z39" s="151"/>
      <c r="AA39" s="151"/>
      <c r="AB39" s="151"/>
      <c r="AC39" s="151"/>
      <c r="AD39" s="151"/>
      <c r="AE39" s="151"/>
      <c r="AF39" s="151"/>
      <c r="AG39" s="151"/>
      <c r="AH39" s="4"/>
      <c r="AI39" s="4"/>
      <c r="AJ39" s="4"/>
      <c r="AK39" s="4"/>
      <c r="AL39" s="4"/>
      <c r="AM39" s="4"/>
      <c r="AN39" s="4"/>
      <c r="AO39" s="4"/>
      <c r="AP39" s="4"/>
      <c r="AQ39" s="4"/>
      <c r="AR39" s="4"/>
      <c r="AS39" s="4"/>
      <c r="AT39" s="4"/>
      <c r="AU39" s="4"/>
      <c r="AV39" s="4"/>
      <c r="AW39" s="4"/>
      <c r="AX39" s="4"/>
      <c r="AY39" s="4"/>
      <c r="AZ39" s="4"/>
      <c r="BA39" s="4"/>
      <c r="BB39" s="4"/>
      <c r="BC39" s="4"/>
      <c r="BD39" s="4"/>
      <c r="BE39" s="4"/>
      <c r="BF39" s="4"/>
      <c r="BG39" s="4"/>
      <c r="BH39" s="4"/>
      <c r="BI39" s="4"/>
      <c r="BJ39" s="4"/>
      <c r="BK39" s="4"/>
      <c r="BL39" s="4"/>
      <c r="BM39" s="4"/>
      <c r="BN39" s="4"/>
      <c r="BO39" s="4"/>
      <c r="BP39" s="4"/>
      <c r="BQ39" s="4"/>
      <c r="BR39" s="4"/>
      <c r="BS39" s="4"/>
      <c r="BT39" s="4"/>
      <c r="BU39" s="4"/>
      <c r="BV39" s="4"/>
      <c r="BW39" s="4"/>
      <c r="BX39" s="4"/>
      <c r="BY39" s="4"/>
      <c r="BZ39" s="4"/>
      <c r="CA39" s="4"/>
      <c r="CB39" s="4"/>
      <c r="CC39" s="4"/>
      <c r="CD39" s="4"/>
      <c r="CE39" s="4"/>
      <c r="CF39" s="4"/>
      <c r="CG39" s="4"/>
      <c r="CH39" s="4"/>
      <c r="CI39" s="4"/>
      <c r="CJ39" s="4"/>
      <c r="CK39" s="4"/>
      <c r="CL39" s="4"/>
      <c r="CM39" s="4"/>
      <c r="CN39" s="4"/>
      <c r="CO39" s="4"/>
      <c r="CP39" s="4"/>
      <c r="CQ39" s="4"/>
      <c r="CR39" s="4"/>
      <c r="CS39" s="4"/>
      <c r="DE39" s="1"/>
      <c r="DF39" s="44"/>
    </row>
    <row r="40" spans="1:111" s="18" customFormat="1" ht="18.75" customHeight="1" x14ac:dyDescent="0.35">
      <c r="A40" s="4"/>
      <c r="B40" s="4"/>
      <c r="C40" s="4"/>
      <c r="D40" s="4"/>
      <c r="E40" s="4"/>
      <c r="F40" s="4"/>
      <c r="G40" s="4"/>
      <c r="H40" s="4"/>
      <c r="I40" s="4"/>
      <c r="J40" s="4"/>
      <c r="K40" s="4"/>
      <c r="L40" s="4"/>
      <c r="M40" s="4"/>
      <c r="N40" s="4"/>
      <c r="O40" s="4"/>
      <c r="P40" s="4"/>
      <c r="Q40" s="4"/>
      <c r="R40" s="4"/>
      <c r="S40" s="4"/>
      <c r="T40" s="151"/>
      <c r="U40" s="151"/>
      <c r="V40" s="151"/>
      <c r="W40" s="151"/>
      <c r="X40" s="151"/>
      <c r="Y40" s="151"/>
      <c r="Z40" s="151"/>
      <c r="AA40" s="151"/>
      <c r="AB40" s="151"/>
      <c r="AC40" s="151"/>
      <c r="AD40" s="151"/>
      <c r="AE40" s="151"/>
      <c r="AF40" s="151"/>
      <c r="AG40" s="151"/>
      <c r="AH40" s="4"/>
      <c r="AI40" s="4"/>
      <c r="AJ40" s="4"/>
      <c r="AK40" s="4"/>
      <c r="AL40" s="4"/>
      <c r="AM40" s="4"/>
      <c r="AN40" s="4"/>
      <c r="AO40" s="4"/>
      <c r="AP40" s="4"/>
      <c r="AQ40" s="4"/>
      <c r="AR40" s="4"/>
      <c r="AS40" s="4"/>
      <c r="AT40" s="4"/>
      <c r="AU40" s="4"/>
      <c r="AV40" s="4"/>
      <c r="AW40" s="4"/>
      <c r="AX40" s="4"/>
      <c r="AY40" s="4"/>
      <c r="AZ40" s="4"/>
      <c r="BA40" s="4"/>
      <c r="BB40" s="4"/>
      <c r="BC40" s="4"/>
      <c r="BD40" s="4"/>
      <c r="BE40" s="4"/>
      <c r="BF40" s="4"/>
      <c r="BG40" s="4"/>
      <c r="BH40" s="4"/>
      <c r="BI40" s="4"/>
      <c r="BJ40" s="4"/>
      <c r="BK40" s="4"/>
      <c r="BL40" s="4"/>
      <c r="BM40" s="4"/>
      <c r="BN40" s="4"/>
      <c r="BO40" s="4"/>
      <c r="BP40" s="4"/>
      <c r="BQ40" s="4"/>
      <c r="BR40" s="4"/>
      <c r="BS40" s="4"/>
      <c r="BT40" s="4"/>
      <c r="BU40" s="4"/>
      <c r="BV40" s="4"/>
      <c r="BW40" s="4"/>
      <c r="BX40" s="4"/>
      <c r="BY40" s="4"/>
      <c r="BZ40" s="4"/>
      <c r="CA40" s="4"/>
      <c r="CB40" s="4"/>
      <c r="CC40" s="4"/>
      <c r="CD40" s="4"/>
      <c r="CE40" s="4"/>
      <c r="CF40" s="4"/>
      <c r="CG40" s="4"/>
      <c r="CH40" s="4"/>
      <c r="CI40" s="4"/>
      <c r="CJ40" s="4"/>
      <c r="CK40" s="4"/>
      <c r="CL40" s="4"/>
      <c r="CM40" s="4"/>
      <c r="CN40" s="4"/>
      <c r="CO40" s="4"/>
      <c r="CP40" s="4"/>
      <c r="CQ40" s="4"/>
      <c r="CR40" s="4"/>
      <c r="CS40" s="4"/>
      <c r="DE40" s="1"/>
      <c r="DF40" s="44"/>
    </row>
    <row r="41" spans="1:111" s="18" customFormat="1" ht="18.75" customHeight="1" x14ac:dyDescent="0.35">
      <c r="A41" s="4"/>
      <c r="B41" s="4"/>
      <c r="C41" s="4"/>
      <c r="D41" s="4"/>
      <c r="E41" s="4"/>
      <c r="F41" s="4"/>
      <c r="G41" s="4"/>
      <c r="H41" s="4"/>
      <c r="I41" s="4"/>
      <c r="J41" s="4"/>
      <c r="K41" s="4"/>
      <c r="L41" s="4"/>
      <c r="M41" s="4"/>
      <c r="N41" s="4"/>
      <c r="O41" s="4"/>
      <c r="P41" s="4"/>
      <c r="Q41" s="4"/>
      <c r="R41" s="4"/>
      <c r="S41" s="4"/>
      <c r="T41" s="151"/>
      <c r="U41" s="151"/>
      <c r="V41" s="151"/>
      <c r="W41" s="151"/>
      <c r="X41" s="151"/>
      <c r="Y41" s="151"/>
      <c r="Z41" s="151"/>
      <c r="AA41" s="151"/>
      <c r="AB41" s="151"/>
      <c r="AC41" s="151"/>
      <c r="AD41" s="151"/>
      <c r="AE41" s="151"/>
      <c r="AF41" s="151"/>
      <c r="AG41" s="151"/>
      <c r="AH41" s="4"/>
      <c r="AI41" s="4"/>
      <c r="AJ41" s="4"/>
      <c r="AK41" s="4"/>
      <c r="AL41" s="4"/>
      <c r="AM41" s="4"/>
      <c r="AN41" s="4"/>
      <c r="AO41" s="4"/>
      <c r="AP41" s="4"/>
      <c r="AQ41" s="4"/>
      <c r="AR41" s="4"/>
      <c r="AS41" s="4"/>
      <c r="AT41" s="4"/>
      <c r="AU41" s="4"/>
      <c r="AV41" s="4"/>
      <c r="AW41" s="4"/>
      <c r="AX41" s="4"/>
      <c r="AY41" s="4"/>
      <c r="AZ41" s="4"/>
      <c r="BA41" s="4"/>
      <c r="BB41" s="4"/>
      <c r="BC41" s="4"/>
      <c r="BD41" s="4"/>
      <c r="BE41" s="4"/>
      <c r="BF41" s="4"/>
      <c r="BG41" s="4"/>
      <c r="BH41" s="4"/>
      <c r="BI41" s="4"/>
      <c r="BJ41" s="4"/>
      <c r="BK41" s="4"/>
      <c r="BL41" s="4"/>
      <c r="BM41" s="4"/>
      <c r="BN41" s="4"/>
      <c r="BO41" s="4"/>
      <c r="BP41" s="4"/>
      <c r="BQ41" s="4"/>
      <c r="BR41" s="4"/>
      <c r="BS41" s="4"/>
      <c r="BT41" s="4"/>
      <c r="BU41" s="4"/>
      <c r="BV41" s="4"/>
      <c r="BW41" s="4"/>
      <c r="BX41" s="4"/>
      <c r="BY41" s="4"/>
      <c r="BZ41" s="4"/>
      <c r="CA41" s="4"/>
      <c r="CB41" s="4"/>
      <c r="CC41" s="4"/>
      <c r="CD41" s="4"/>
      <c r="CE41" s="4"/>
      <c r="CF41" s="4"/>
      <c r="CG41" s="4"/>
      <c r="CH41" s="4"/>
      <c r="CI41" s="4"/>
      <c r="CJ41" s="4"/>
      <c r="CK41" s="4"/>
      <c r="CL41" s="4"/>
      <c r="CM41" s="4"/>
      <c r="CN41" s="4"/>
      <c r="CO41" s="4"/>
      <c r="CP41" s="4"/>
      <c r="CQ41" s="4"/>
      <c r="CR41" s="4"/>
      <c r="CS41" s="4"/>
      <c r="DE41" s="1"/>
      <c r="DF41" s="44"/>
    </row>
    <row r="42" spans="1:111" s="18" customFormat="1" ht="18.75" customHeight="1" x14ac:dyDescent="0.35">
      <c r="A42" s="4"/>
      <c r="B42" s="4"/>
      <c r="C42" s="4"/>
      <c r="D42" s="4"/>
      <c r="E42" s="4"/>
      <c r="F42" s="4"/>
      <c r="G42" s="4"/>
      <c r="H42" s="4"/>
      <c r="I42" s="4"/>
      <c r="J42" s="4"/>
      <c r="K42" s="4"/>
      <c r="L42" s="4"/>
      <c r="M42" s="4"/>
      <c r="N42" s="4"/>
      <c r="O42" s="4"/>
      <c r="P42" s="4"/>
      <c r="Q42" s="4"/>
      <c r="R42" s="4"/>
      <c r="S42" s="4"/>
      <c r="T42" s="151"/>
      <c r="U42" s="151"/>
      <c r="V42" s="151"/>
      <c r="W42" s="151"/>
      <c r="X42" s="151"/>
      <c r="Y42" s="151"/>
      <c r="Z42" s="151"/>
      <c r="AA42" s="151"/>
      <c r="AB42" s="151"/>
      <c r="AC42" s="151"/>
      <c r="AD42" s="151"/>
      <c r="AE42" s="151"/>
      <c r="AF42" s="151"/>
      <c r="AG42" s="151"/>
      <c r="AH42" s="4"/>
      <c r="AI42" s="4"/>
      <c r="AJ42" s="4"/>
      <c r="AK42" s="4"/>
      <c r="AL42" s="4"/>
      <c r="AM42" s="4"/>
      <c r="AN42" s="4"/>
      <c r="AO42" s="4"/>
      <c r="AP42" s="4"/>
      <c r="AQ42" s="4"/>
      <c r="AR42" s="4"/>
      <c r="AS42" s="4"/>
      <c r="AT42" s="4"/>
      <c r="AU42" s="4"/>
      <c r="AV42" s="4"/>
      <c r="AW42" s="4"/>
      <c r="AX42" s="4"/>
      <c r="AY42" s="4"/>
      <c r="AZ42" s="4"/>
      <c r="BA42" s="4"/>
      <c r="BB42" s="4"/>
      <c r="BC42" s="4"/>
      <c r="BD42" s="4"/>
      <c r="BE42" s="4"/>
      <c r="BF42" s="4"/>
      <c r="BG42" s="4"/>
      <c r="BH42" s="4"/>
      <c r="BI42" s="4"/>
      <c r="BJ42" s="4"/>
      <c r="BK42" s="4"/>
      <c r="BL42" s="4"/>
      <c r="BM42" s="4"/>
      <c r="BN42" s="4"/>
      <c r="BO42" s="4"/>
      <c r="BP42" s="4"/>
      <c r="BQ42" s="4"/>
      <c r="BR42" s="4"/>
      <c r="BS42" s="4"/>
      <c r="BT42" s="4"/>
      <c r="BU42" s="4"/>
      <c r="BV42" s="4"/>
      <c r="BW42" s="4"/>
      <c r="BX42" s="4"/>
      <c r="BY42" s="4"/>
      <c r="BZ42" s="4"/>
      <c r="CA42" s="4"/>
      <c r="CB42" s="4"/>
      <c r="CC42" s="4"/>
      <c r="CD42" s="4"/>
      <c r="CE42" s="4"/>
      <c r="CF42" s="4"/>
      <c r="CG42" s="4"/>
      <c r="CH42" s="4"/>
      <c r="CI42" s="4"/>
      <c r="CJ42" s="4"/>
      <c r="CK42" s="4"/>
      <c r="CL42" s="4"/>
      <c r="CM42" s="4"/>
      <c r="CN42" s="4"/>
      <c r="CO42" s="4"/>
      <c r="CP42" s="4"/>
      <c r="CQ42" s="4"/>
      <c r="CR42" s="4"/>
      <c r="CS42" s="4"/>
      <c r="DE42" s="1"/>
      <c r="DF42" s="44"/>
    </row>
    <row r="43" spans="1:111" s="18" customFormat="1" ht="18.75" customHeight="1" x14ac:dyDescent="0.35">
      <c r="A43" s="4"/>
      <c r="B43" s="4"/>
      <c r="C43" s="4"/>
      <c r="D43" s="4"/>
      <c r="E43" s="4"/>
      <c r="F43" s="4"/>
      <c r="G43" s="4"/>
      <c r="H43" s="4"/>
      <c r="I43" s="4"/>
      <c r="J43" s="4"/>
      <c r="K43" s="4"/>
      <c r="L43" s="4"/>
      <c r="M43" s="4"/>
      <c r="N43" s="4"/>
      <c r="O43" s="4"/>
      <c r="P43" s="4"/>
      <c r="Q43" s="4"/>
      <c r="R43" s="4"/>
      <c r="S43" s="4"/>
      <c r="T43" s="151"/>
      <c r="U43" s="151"/>
      <c r="V43" s="151"/>
      <c r="W43" s="151"/>
      <c r="X43" s="151"/>
      <c r="Y43" s="151"/>
      <c r="Z43" s="151"/>
      <c r="AA43" s="151"/>
      <c r="AB43" s="151"/>
      <c r="AC43" s="151"/>
      <c r="AD43" s="151"/>
      <c r="AE43" s="151"/>
      <c r="AF43" s="151"/>
      <c r="AG43" s="151"/>
      <c r="AH43" s="4"/>
      <c r="AI43" s="4"/>
      <c r="AJ43" s="4"/>
      <c r="AK43" s="4"/>
      <c r="AL43" s="4"/>
      <c r="AM43" s="4"/>
      <c r="AN43" s="4"/>
      <c r="AO43" s="4"/>
      <c r="AP43" s="4"/>
      <c r="AQ43" s="4"/>
      <c r="AR43" s="4"/>
      <c r="AS43" s="4"/>
      <c r="AT43" s="4"/>
      <c r="AU43" s="4"/>
      <c r="AV43" s="4"/>
      <c r="AW43" s="4"/>
      <c r="AX43" s="4"/>
      <c r="AY43" s="4"/>
      <c r="AZ43" s="4"/>
      <c r="BA43" s="4"/>
      <c r="BB43" s="4"/>
      <c r="BC43" s="4"/>
      <c r="BD43" s="4"/>
      <c r="BE43" s="4"/>
      <c r="BF43" s="4"/>
      <c r="BG43" s="4"/>
      <c r="BH43" s="4"/>
      <c r="BI43" s="4"/>
      <c r="BJ43" s="4"/>
      <c r="BK43" s="4"/>
      <c r="BL43" s="4"/>
      <c r="BM43" s="4"/>
      <c r="BN43" s="4"/>
      <c r="BO43" s="4"/>
      <c r="BP43" s="4"/>
      <c r="BQ43" s="4"/>
      <c r="BR43" s="4"/>
      <c r="BS43" s="4"/>
      <c r="BT43" s="4"/>
      <c r="BU43" s="4"/>
      <c r="BV43" s="4"/>
      <c r="BW43" s="4"/>
      <c r="BX43" s="4"/>
      <c r="BY43" s="4"/>
      <c r="BZ43" s="4"/>
      <c r="CA43" s="4"/>
      <c r="CB43" s="4"/>
      <c r="CC43" s="4"/>
      <c r="CD43" s="4"/>
      <c r="CE43" s="4"/>
      <c r="CF43" s="4"/>
      <c r="CG43" s="4"/>
      <c r="CH43" s="4"/>
      <c r="CI43" s="4"/>
      <c r="CJ43" s="4"/>
      <c r="CK43" s="4"/>
      <c r="CL43" s="4"/>
      <c r="CM43" s="4"/>
      <c r="CN43" s="4"/>
      <c r="CO43" s="4"/>
      <c r="CP43" s="4"/>
      <c r="CQ43" s="4"/>
      <c r="CR43" s="4"/>
      <c r="CS43" s="4"/>
      <c r="DE43" s="1"/>
      <c r="DF43" s="44"/>
    </row>
    <row r="44" spans="1:111" s="18" customFormat="1" ht="18.75" customHeight="1" x14ac:dyDescent="0.35">
      <c r="A44" s="4"/>
      <c r="B44" s="4"/>
      <c r="C44" s="4"/>
      <c r="D44" s="4"/>
      <c r="E44" s="4"/>
      <c r="F44" s="4"/>
      <c r="G44" s="4"/>
      <c r="H44" s="4"/>
      <c r="I44" s="4"/>
      <c r="J44" s="4"/>
      <c r="K44" s="4"/>
      <c r="L44" s="4"/>
      <c r="M44" s="4"/>
      <c r="N44" s="4"/>
      <c r="O44" s="4"/>
      <c r="P44" s="4"/>
      <c r="Q44" s="4"/>
      <c r="R44" s="4"/>
      <c r="S44" s="4"/>
      <c r="T44" s="151"/>
      <c r="U44" s="151"/>
      <c r="V44" s="151"/>
      <c r="W44" s="151"/>
      <c r="X44" s="151"/>
      <c r="Y44" s="151"/>
      <c r="Z44" s="151"/>
      <c r="AA44" s="151"/>
      <c r="AB44" s="151"/>
      <c r="AC44" s="151"/>
      <c r="AD44" s="151"/>
      <c r="AE44" s="151"/>
      <c r="AF44" s="151"/>
      <c r="AG44" s="151"/>
      <c r="AH44" s="4"/>
      <c r="AI44" s="4"/>
      <c r="AJ44" s="4"/>
      <c r="AK44" s="4"/>
      <c r="AL44" s="4"/>
      <c r="AM44" s="4"/>
      <c r="AN44" s="4"/>
      <c r="AO44" s="4"/>
      <c r="AP44" s="4"/>
      <c r="AQ44" s="4"/>
      <c r="AR44" s="4"/>
      <c r="AS44" s="4"/>
      <c r="AT44" s="4"/>
      <c r="AU44" s="4"/>
      <c r="AV44" s="4"/>
      <c r="AW44" s="4"/>
      <c r="AX44" s="4"/>
      <c r="AY44" s="4"/>
      <c r="AZ44" s="4"/>
      <c r="BA44" s="4"/>
      <c r="BB44" s="4"/>
      <c r="BC44" s="4"/>
      <c r="BD44" s="4"/>
      <c r="BE44" s="4"/>
      <c r="BF44" s="4"/>
      <c r="BG44" s="4"/>
      <c r="BH44" s="4"/>
      <c r="BI44" s="4"/>
      <c r="BJ44" s="4"/>
      <c r="BK44" s="4"/>
      <c r="BL44" s="4"/>
      <c r="BM44" s="4"/>
      <c r="BN44" s="4"/>
      <c r="BO44" s="4"/>
      <c r="BP44" s="4"/>
      <c r="BQ44" s="4"/>
      <c r="BR44" s="4"/>
      <c r="BS44" s="4"/>
      <c r="BT44" s="4"/>
      <c r="BU44" s="4"/>
      <c r="BV44" s="4"/>
      <c r="BW44" s="4"/>
      <c r="BX44" s="4"/>
      <c r="BY44" s="4"/>
      <c r="BZ44" s="4"/>
      <c r="CA44" s="4"/>
      <c r="CB44" s="4"/>
      <c r="CC44" s="4"/>
      <c r="CD44" s="4"/>
      <c r="CE44" s="4"/>
      <c r="CF44" s="4"/>
      <c r="CG44" s="4"/>
      <c r="CH44" s="4"/>
      <c r="CI44" s="4"/>
      <c r="CJ44" s="4"/>
      <c r="CK44" s="4"/>
      <c r="CL44" s="4"/>
      <c r="CM44" s="4"/>
      <c r="CN44" s="4"/>
      <c r="CO44" s="4"/>
      <c r="CP44" s="4"/>
      <c r="CQ44" s="4"/>
      <c r="CR44" s="4"/>
      <c r="CS44" s="4"/>
      <c r="DE44" s="1"/>
      <c r="DF44" s="44"/>
    </row>
    <row r="45" spans="1:111" s="18" customFormat="1" ht="12" customHeight="1" x14ac:dyDescent="0.35">
      <c r="A45" s="4"/>
      <c r="B45" s="4"/>
      <c r="C45" s="4"/>
      <c r="D45" s="4"/>
      <c r="E45" s="4"/>
      <c r="F45" s="4"/>
      <c r="G45" s="4"/>
      <c r="H45" s="4"/>
      <c r="I45" s="4"/>
      <c r="J45" s="4"/>
      <c r="K45" s="4"/>
      <c r="L45" s="4"/>
      <c r="M45" s="4"/>
      <c r="N45" s="4"/>
      <c r="O45" s="4"/>
      <c r="P45" s="4"/>
      <c r="Q45" s="4"/>
      <c r="R45" s="4"/>
      <c r="S45" s="4"/>
      <c r="T45" s="151"/>
      <c r="U45" s="151"/>
      <c r="V45" s="151"/>
      <c r="W45" s="151"/>
      <c r="X45" s="151"/>
      <c r="Y45" s="151"/>
      <c r="Z45" s="151"/>
      <c r="AA45" s="151"/>
      <c r="AB45" s="151"/>
      <c r="AC45" s="151"/>
      <c r="AD45" s="151"/>
      <c r="AE45" s="151"/>
      <c r="AF45" s="151"/>
      <c r="AG45" s="151"/>
      <c r="AH45" s="4"/>
      <c r="AI45" s="4"/>
      <c r="AJ45" s="4"/>
      <c r="AK45" s="4"/>
      <c r="AL45" s="4"/>
      <c r="AM45" s="4"/>
      <c r="AN45" s="4"/>
      <c r="AO45" s="4"/>
      <c r="AP45" s="4"/>
      <c r="AQ45" s="4"/>
      <c r="AR45" s="4"/>
      <c r="AS45" s="4"/>
      <c r="AT45" s="4"/>
      <c r="AU45" s="4"/>
      <c r="AV45" s="4"/>
      <c r="AW45" s="4"/>
      <c r="AX45" s="4"/>
      <c r="AY45" s="4"/>
      <c r="AZ45" s="4"/>
      <c r="BA45" s="4"/>
      <c r="BB45" s="4"/>
      <c r="BC45" s="4"/>
      <c r="BD45" s="4"/>
      <c r="BE45" s="4"/>
      <c r="BF45" s="4"/>
      <c r="BG45" s="4"/>
      <c r="BH45" s="4"/>
      <c r="BI45" s="4"/>
      <c r="BJ45" s="4"/>
      <c r="BK45" s="4"/>
      <c r="BL45" s="4"/>
      <c r="BM45" s="4"/>
      <c r="BN45" s="4"/>
      <c r="BO45" s="4"/>
      <c r="BP45" s="4"/>
      <c r="BQ45" s="4"/>
      <c r="BR45" s="4"/>
      <c r="BS45" s="4"/>
      <c r="BT45" s="4"/>
      <c r="BU45" s="4"/>
      <c r="BV45" s="4"/>
      <c r="BW45" s="4"/>
      <c r="BX45" s="4"/>
      <c r="BY45" s="4"/>
      <c r="BZ45" s="4"/>
      <c r="CA45" s="4"/>
      <c r="CB45" s="4"/>
      <c r="CC45" s="4"/>
      <c r="CD45" s="4"/>
      <c r="CE45" s="4"/>
      <c r="CF45" s="4"/>
      <c r="CG45" s="4"/>
      <c r="CH45" s="4"/>
      <c r="CI45" s="4"/>
      <c r="CJ45" s="4"/>
      <c r="CK45" s="4"/>
      <c r="CL45" s="4"/>
      <c r="CM45" s="4"/>
      <c r="CN45" s="4"/>
      <c r="CO45" s="4"/>
      <c r="CP45" s="4"/>
      <c r="CQ45" s="4"/>
      <c r="CR45" s="4"/>
      <c r="CS45" s="4"/>
      <c r="DE45" s="1"/>
      <c r="DF45" s="44"/>
    </row>
    <row r="46" spans="1:111" s="18" customFormat="1" ht="12" customHeight="1" x14ac:dyDescent="0.35">
      <c r="A46" s="4"/>
      <c r="B46" s="4"/>
      <c r="C46" s="4"/>
      <c r="D46" s="4"/>
      <c r="E46" s="4"/>
      <c r="F46" s="4"/>
      <c r="G46" s="4"/>
      <c r="H46" s="4"/>
      <c r="I46" s="4"/>
      <c r="J46" s="4"/>
      <c r="K46" s="4"/>
      <c r="L46" s="4"/>
      <c r="M46" s="4"/>
      <c r="N46" s="4"/>
      <c r="O46" s="4"/>
      <c r="P46" s="4"/>
      <c r="Q46" s="4"/>
      <c r="R46" s="4"/>
      <c r="S46" s="4"/>
      <c r="T46" s="151"/>
      <c r="U46" s="151"/>
      <c r="V46" s="151"/>
      <c r="W46" s="151"/>
      <c r="X46" s="151"/>
      <c r="Y46" s="151"/>
      <c r="Z46" s="151"/>
      <c r="AA46" s="151"/>
      <c r="AB46" s="151"/>
      <c r="AC46" s="151"/>
      <c r="AD46" s="151"/>
      <c r="AE46" s="151"/>
      <c r="AF46" s="151"/>
      <c r="AG46" s="151"/>
      <c r="AH46" s="4"/>
      <c r="AI46" s="4"/>
      <c r="AJ46" s="4"/>
      <c r="AK46" s="4"/>
      <c r="AL46" s="4"/>
      <c r="AM46" s="4"/>
      <c r="AN46" s="4"/>
      <c r="AO46" s="4"/>
      <c r="AP46" s="4"/>
      <c r="AQ46" s="4"/>
      <c r="AR46" s="4"/>
      <c r="AS46" s="4"/>
      <c r="AT46" s="4"/>
      <c r="AU46" s="4"/>
      <c r="AV46" s="4"/>
      <c r="AW46" s="4"/>
      <c r="AX46" s="4"/>
      <c r="AY46" s="4"/>
      <c r="AZ46" s="4"/>
      <c r="BA46" s="4"/>
      <c r="BB46" s="4"/>
      <c r="BC46" s="4"/>
      <c r="BD46" s="4"/>
      <c r="BE46" s="4"/>
      <c r="BF46" s="4"/>
      <c r="BG46" s="4"/>
      <c r="BH46" s="4"/>
      <c r="BI46" s="4"/>
      <c r="BJ46" s="4"/>
      <c r="BK46" s="4"/>
      <c r="BL46" s="4"/>
      <c r="BM46" s="4"/>
      <c r="BN46" s="4"/>
      <c r="BO46" s="4"/>
      <c r="BP46" s="4"/>
      <c r="BQ46" s="4"/>
      <c r="BR46" s="4"/>
      <c r="BS46" s="4"/>
      <c r="BT46" s="4"/>
      <c r="BU46" s="4"/>
      <c r="BV46" s="4"/>
      <c r="BW46" s="4"/>
      <c r="BX46" s="4"/>
      <c r="BY46" s="4"/>
      <c r="BZ46" s="4"/>
      <c r="CA46" s="4"/>
      <c r="CB46" s="4"/>
      <c r="CC46" s="4"/>
      <c r="CD46" s="4"/>
      <c r="CE46" s="4"/>
      <c r="CF46" s="4"/>
      <c r="CG46" s="4"/>
      <c r="CH46" s="4"/>
      <c r="CI46" s="4"/>
      <c r="CJ46" s="4"/>
      <c r="CK46" s="4"/>
      <c r="CL46" s="4"/>
      <c r="CM46" s="4"/>
      <c r="CN46" s="4"/>
      <c r="CO46" s="4"/>
      <c r="CP46" s="4"/>
      <c r="CQ46" s="4"/>
      <c r="CR46" s="4"/>
      <c r="CS46" s="4"/>
      <c r="DE46" s="1"/>
      <c r="DF46" s="44"/>
      <c r="DG46" s="44"/>
    </row>
    <row r="47" spans="1:111" s="18" customFormat="1" ht="12" customHeight="1" x14ac:dyDescent="0.35">
      <c r="A47" s="4"/>
      <c r="B47" s="4"/>
      <c r="C47" s="4"/>
      <c r="D47" s="4"/>
      <c r="E47" s="4"/>
      <c r="F47" s="4"/>
      <c r="G47" s="4"/>
      <c r="H47" s="4"/>
      <c r="I47" s="4"/>
      <c r="J47" s="4"/>
      <c r="K47" s="4"/>
      <c r="L47" s="4"/>
      <c r="M47" s="4"/>
      <c r="N47" s="4"/>
      <c r="O47" s="4"/>
      <c r="P47" s="4"/>
      <c r="Q47" s="4"/>
      <c r="R47" s="4"/>
      <c r="S47" s="4"/>
      <c r="T47" s="151"/>
      <c r="U47" s="151"/>
      <c r="V47" s="151"/>
      <c r="W47" s="151"/>
      <c r="X47" s="151"/>
      <c r="Y47" s="151"/>
      <c r="Z47" s="151"/>
      <c r="AA47" s="151"/>
      <c r="AB47" s="151"/>
      <c r="AC47" s="151"/>
      <c r="AD47" s="151"/>
      <c r="AE47" s="151"/>
      <c r="AF47" s="151"/>
      <c r="AG47" s="151"/>
      <c r="AH47" s="4"/>
      <c r="AI47" s="4"/>
      <c r="AJ47" s="4"/>
      <c r="AK47" s="4"/>
      <c r="AL47" s="4"/>
      <c r="AM47" s="4"/>
      <c r="AN47" s="4"/>
      <c r="AO47" s="4"/>
      <c r="AP47" s="4"/>
      <c r="AQ47" s="4"/>
      <c r="AR47" s="4"/>
      <c r="AS47" s="4"/>
      <c r="AT47" s="4"/>
      <c r="AU47" s="4"/>
      <c r="AV47" s="4"/>
      <c r="AW47" s="4"/>
      <c r="AX47" s="4"/>
      <c r="AY47" s="4"/>
      <c r="AZ47" s="4"/>
      <c r="BA47" s="4"/>
      <c r="BB47" s="4"/>
      <c r="BC47" s="4"/>
      <c r="BD47" s="4"/>
      <c r="BE47" s="4"/>
      <c r="BF47" s="4"/>
      <c r="BG47" s="4"/>
      <c r="BH47" s="4"/>
      <c r="BI47" s="4"/>
      <c r="BJ47" s="4"/>
      <c r="BK47" s="4"/>
      <c r="BL47" s="4"/>
      <c r="BM47" s="4"/>
      <c r="BN47" s="4"/>
      <c r="BO47" s="4"/>
      <c r="BP47" s="4"/>
      <c r="BQ47" s="4"/>
      <c r="BR47" s="4"/>
      <c r="BS47" s="4"/>
      <c r="BT47" s="4"/>
      <c r="BU47" s="4"/>
      <c r="BV47" s="4"/>
      <c r="BW47" s="4"/>
      <c r="BX47" s="4"/>
      <c r="BY47" s="4"/>
      <c r="BZ47" s="4"/>
      <c r="CA47" s="4"/>
      <c r="CB47" s="4"/>
      <c r="CC47" s="4"/>
      <c r="CD47" s="4"/>
      <c r="CE47" s="4"/>
      <c r="CF47" s="4"/>
      <c r="CG47" s="4"/>
      <c r="CH47" s="4"/>
      <c r="CI47" s="4"/>
      <c r="CJ47" s="4"/>
      <c r="CK47" s="4"/>
      <c r="CL47" s="4"/>
      <c r="CM47" s="4"/>
      <c r="CN47" s="4"/>
      <c r="CO47" s="4"/>
      <c r="CP47" s="4"/>
      <c r="CQ47" s="4"/>
      <c r="CR47" s="4"/>
      <c r="CS47" s="4"/>
      <c r="DE47" s="1"/>
      <c r="DF47" s="44"/>
      <c r="DG47" s="44"/>
    </row>
    <row r="48" spans="1:111" s="18" customFormat="1" ht="12" customHeight="1" x14ac:dyDescent="0.35">
      <c r="A48" s="4"/>
      <c r="B48" s="4"/>
      <c r="C48" s="4"/>
      <c r="D48" s="4"/>
      <c r="E48" s="4"/>
      <c r="F48" s="4"/>
      <c r="G48" s="4"/>
      <c r="H48" s="4"/>
      <c r="I48" s="4"/>
      <c r="J48" s="4"/>
      <c r="K48" s="4"/>
      <c r="L48" s="4"/>
      <c r="M48" s="4"/>
      <c r="N48" s="4"/>
      <c r="O48" s="4"/>
      <c r="P48" s="4"/>
      <c r="Q48" s="4"/>
      <c r="R48" s="4"/>
      <c r="S48" s="4"/>
      <c r="T48" s="151"/>
      <c r="U48" s="151"/>
      <c r="V48" s="151"/>
      <c r="W48" s="151"/>
      <c r="X48" s="151"/>
      <c r="Y48" s="151"/>
      <c r="Z48" s="151"/>
      <c r="AA48" s="151"/>
      <c r="AB48" s="151"/>
      <c r="AC48" s="151"/>
      <c r="AD48" s="151"/>
      <c r="AE48" s="151"/>
      <c r="AF48" s="151"/>
      <c r="AG48" s="151"/>
      <c r="AH48" s="4"/>
      <c r="AI48" s="4"/>
      <c r="AJ48" s="4"/>
      <c r="AK48" s="4"/>
      <c r="AL48" s="4"/>
      <c r="AM48" s="4"/>
      <c r="AN48" s="4"/>
      <c r="AO48" s="4"/>
      <c r="AP48" s="4"/>
      <c r="AQ48" s="4"/>
      <c r="AR48" s="4"/>
      <c r="AS48" s="4"/>
      <c r="AT48" s="4"/>
      <c r="AU48" s="4"/>
      <c r="AV48" s="4"/>
      <c r="AW48" s="4"/>
      <c r="AX48" s="4"/>
      <c r="AY48" s="4"/>
      <c r="AZ48" s="4"/>
      <c r="BA48" s="4"/>
      <c r="BB48" s="4"/>
      <c r="BC48" s="4"/>
      <c r="BD48" s="4"/>
      <c r="BE48" s="4"/>
      <c r="BF48" s="4"/>
      <c r="BG48" s="4"/>
      <c r="BH48" s="4"/>
      <c r="BI48" s="4"/>
      <c r="BJ48" s="4"/>
      <c r="BK48" s="4"/>
      <c r="BL48" s="4"/>
      <c r="BM48" s="4"/>
      <c r="BN48" s="4"/>
      <c r="BO48" s="4"/>
      <c r="BP48" s="4"/>
      <c r="BQ48" s="4"/>
      <c r="BR48" s="4"/>
      <c r="BS48" s="4"/>
      <c r="BT48" s="4"/>
      <c r="BU48" s="4"/>
      <c r="BV48" s="4"/>
      <c r="BW48" s="4"/>
      <c r="BX48" s="4"/>
      <c r="BY48" s="4"/>
      <c r="BZ48" s="4"/>
      <c r="CA48" s="4"/>
      <c r="CB48" s="4"/>
      <c r="CC48" s="4"/>
      <c r="CD48" s="4"/>
      <c r="CE48" s="4"/>
      <c r="CF48" s="4"/>
      <c r="CG48" s="4"/>
      <c r="CH48" s="4"/>
      <c r="CI48" s="4"/>
      <c r="CJ48" s="4"/>
      <c r="CK48" s="4"/>
      <c r="CL48" s="4"/>
      <c r="CM48" s="4"/>
      <c r="CN48" s="4"/>
      <c r="CO48" s="4"/>
      <c r="CP48" s="4"/>
      <c r="CQ48" s="4"/>
      <c r="CR48" s="4"/>
      <c r="CS48" s="4"/>
      <c r="DE48" s="1"/>
      <c r="DF48" s="44"/>
      <c r="DG48" s="44"/>
    </row>
    <row r="49" spans="1:111" s="18" customFormat="1" ht="12" customHeight="1" x14ac:dyDescent="0.35">
      <c r="A49" s="4"/>
      <c r="B49" s="4"/>
      <c r="C49" s="4"/>
      <c r="D49" s="4"/>
      <c r="E49" s="4"/>
      <c r="F49" s="4"/>
      <c r="G49" s="4"/>
      <c r="H49" s="4"/>
      <c r="I49" s="4"/>
      <c r="J49" s="4"/>
      <c r="K49" s="4"/>
      <c r="L49" s="4"/>
      <c r="M49" s="4"/>
      <c r="N49" s="4"/>
      <c r="O49" s="4"/>
      <c r="P49" s="4"/>
      <c r="Q49" s="4"/>
      <c r="R49" s="4"/>
      <c r="S49" s="4"/>
      <c r="T49" s="151"/>
      <c r="U49" s="151"/>
      <c r="V49" s="151"/>
      <c r="W49" s="151"/>
      <c r="X49" s="151"/>
      <c r="Y49" s="151"/>
      <c r="Z49" s="151"/>
      <c r="AA49" s="151"/>
      <c r="AB49" s="151"/>
      <c r="AC49" s="151"/>
      <c r="AD49" s="151"/>
      <c r="AE49" s="151"/>
      <c r="AF49" s="151"/>
      <c r="AG49" s="151"/>
      <c r="AH49" s="4"/>
      <c r="AI49" s="4"/>
      <c r="AJ49" s="4"/>
      <c r="AK49" s="4"/>
      <c r="AL49" s="4"/>
      <c r="AM49" s="4"/>
      <c r="AN49" s="4"/>
      <c r="AO49" s="4"/>
      <c r="AP49" s="4"/>
      <c r="AQ49" s="4"/>
      <c r="AR49" s="4"/>
      <c r="AS49" s="4"/>
      <c r="AT49" s="4"/>
      <c r="AU49" s="4"/>
      <c r="AV49" s="4"/>
      <c r="AW49" s="4"/>
      <c r="AX49" s="4"/>
      <c r="AY49" s="4"/>
      <c r="AZ49" s="4"/>
      <c r="BA49" s="4"/>
      <c r="BB49" s="4"/>
      <c r="BC49" s="4"/>
      <c r="BD49" s="4"/>
      <c r="BE49" s="4"/>
      <c r="BF49" s="4"/>
      <c r="BG49" s="4"/>
      <c r="BH49" s="4"/>
      <c r="BI49" s="4"/>
      <c r="BJ49" s="4"/>
      <c r="BK49" s="4"/>
      <c r="BL49" s="4"/>
      <c r="BM49" s="4"/>
      <c r="BN49" s="4"/>
      <c r="BO49" s="4"/>
      <c r="BP49" s="4"/>
      <c r="BQ49" s="4"/>
      <c r="BR49" s="4"/>
      <c r="BS49" s="4"/>
      <c r="BT49" s="4"/>
      <c r="BU49" s="4"/>
      <c r="BV49" s="4"/>
      <c r="BW49" s="4"/>
      <c r="BX49" s="4"/>
      <c r="BY49" s="4"/>
      <c r="BZ49" s="4"/>
      <c r="CA49" s="4"/>
      <c r="CB49" s="4"/>
      <c r="CC49" s="4"/>
      <c r="CD49" s="4"/>
      <c r="CE49" s="4"/>
      <c r="CF49" s="4"/>
      <c r="CG49" s="4"/>
      <c r="CH49" s="4"/>
      <c r="CI49" s="4"/>
      <c r="CJ49" s="4"/>
      <c r="CK49" s="4"/>
      <c r="CL49" s="4"/>
      <c r="CM49" s="4"/>
      <c r="CN49" s="4"/>
      <c r="CO49" s="4"/>
      <c r="CP49" s="4"/>
      <c r="CQ49" s="4"/>
      <c r="CR49" s="4"/>
      <c r="CS49" s="4"/>
      <c r="DE49" s="1"/>
      <c r="DF49" s="44"/>
      <c r="DG49" s="44"/>
    </row>
    <row r="50" spans="1:111" s="18" customFormat="1" ht="12" customHeight="1" x14ac:dyDescent="0.35">
      <c r="A50" s="4"/>
      <c r="B50" s="4"/>
      <c r="C50" s="4"/>
      <c r="D50" s="4"/>
      <c r="E50" s="4"/>
      <c r="F50" s="4"/>
      <c r="G50" s="4"/>
      <c r="H50" s="4"/>
      <c r="I50" s="4"/>
      <c r="J50" s="4"/>
      <c r="K50" s="4"/>
      <c r="L50" s="4"/>
      <c r="M50" s="4"/>
      <c r="N50" s="4"/>
      <c r="O50" s="4"/>
      <c r="P50" s="4"/>
      <c r="Q50" s="4"/>
      <c r="R50" s="4"/>
      <c r="S50" s="4"/>
      <c r="T50" s="151"/>
      <c r="U50" s="151"/>
      <c r="V50" s="151"/>
      <c r="W50" s="151"/>
      <c r="X50" s="151"/>
      <c r="Y50" s="151"/>
      <c r="Z50" s="151"/>
      <c r="AA50" s="151"/>
      <c r="AB50" s="151"/>
      <c r="AC50" s="151"/>
      <c r="AD50" s="151"/>
      <c r="AE50" s="151"/>
      <c r="AF50" s="151"/>
      <c r="AG50" s="151"/>
      <c r="AH50" s="4"/>
      <c r="AI50" s="4"/>
      <c r="AJ50" s="4"/>
      <c r="AK50" s="4"/>
      <c r="AL50" s="4"/>
      <c r="AM50" s="4"/>
      <c r="AN50" s="4"/>
      <c r="AO50" s="4"/>
      <c r="AP50" s="4"/>
      <c r="AQ50" s="4"/>
      <c r="AR50" s="4"/>
      <c r="AS50" s="4"/>
      <c r="AT50" s="4"/>
      <c r="AU50" s="4"/>
      <c r="AV50" s="4"/>
      <c r="AW50" s="4"/>
      <c r="AX50" s="4"/>
      <c r="AY50" s="4"/>
      <c r="AZ50" s="4"/>
      <c r="BA50" s="4"/>
      <c r="BB50" s="4"/>
      <c r="BC50" s="4"/>
      <c r="BD50" s="4"/>
      <c r="BE50" s="4"/>
      <c r="BF50" s="4"/>
      <c r="BG50" s="4"/>
      <c r="BH50" s="4"/>
      <c r="BI50" s="4"/>
      <c r="BJ50" s="4"/>
      <c r="BK50" s="4"/>
      <c r="BL50" s="4"/>
      <c r="BM50" s="4"/>
      <c r="BN50" s="4"/>
      <c r="BO50" s="4"/>
      <c r="BP50" s="4"/>
      <c r="BQ50" s="4"/>
      <c r="BR50" s="4"/>
      <c r="BS50" s="4"/>
      <c r="BT50" s="4"/>
      <c r="BU50" s="4"/>
      <c r="BV50" s="4"/>
      <c r="BW50" s="4"/>
      <c r="BX50" s="4"/>
      <c r="BY50" s="4"/>
      <c r="BZ50" s="4"/>
      <c r="CA50" s="4"/>
      <c r="CB50" s="4"/>
      <c r="CC50" s="4"/>
      <c r="CD50" s="4"/>
      <c r="CE50" s="4"/>
      <c r="CF50" s="4"/>
      <c r="CG50" s="4"/>
      <c r="CH50" s="4"/>
      <c r="CI50" s="4"/>
      <c r="CJ50" s="4"/>
      <c r="CK50" s="4"/>
      <c r="CL50" s="4"/>
      <c r="CM50" s="4"/>
      <c r="CN50" s="4"/>
      <c r="CO50" s="4"/>
      <c r="CP50" s="4"/>
      <c r="CQ50" s="4"/>
      <c r="CR50" s="4"/>
      <c r="CS50" s="4"/>
      <c r="DE50" s="1"/>
      <c r="DF50" s="44"/>
      <c r="DG50" s="44"/>
    </row>
    <row r="51" spans="1:111" s="18" customFormat="1" ht="12" customHeight="1" x14ac:dyDescent="0.35">
      <c r="A51" s="4"/>
      <c r="B51" s="4"/>
      <c r="C51" s="4"/>
      <c r="D51" s="4"/>
      <c r="E51" s="4"/>
      <c r="F51" s="4"/>
      <c r="G51" s="4"/>
      <c r="H51" s="4"/>
      <c r="I51" s="4"/>
      <c r="J51" s="4"/>
      <c r="K51" s="4"/>
      <c r="L51" s="4"/>
      <c r="M51" s="4"/>
      <c r="N51" s="4"/>
      <c r="O51" s="4"/>
      <c r="P51" s="4"/>
      <c r="Q51" s="4"/>
      <c r="R51" s="4"/>
      <c r="S51" s="4"/>
      <c r="T51" s="151"/>
      <c r="U51" s="151"/>
      <c r="V51" s="151"/>
      <c r="W51" s="151"/>
      <c r="X51" s="151"/>
      <c r="Y51" s="151"/>
      <c r="Z51" s="151"/>
      <c r="AA51" s="151"/>
      <c r="AB51" s="151"/>
      <c r="AC51" s="151"/>
      <c r="AD51" s="151"/>
      <c r="AE51" s="151"/>
      <c r="AF51" s="151"/>
      <c r="AG51" s="151"/>
      <c r="AH51" s="4"/>
      <c r="AI51" s="4"/>
      <c r="AJ51" s="4"/>
      <c r="AK51" s="4"/>
      <c r="AL51" s="4"/>
      <c r="AM51" s="4"/>
      <c r="AN51" s="4"/>
      <c r="AO51" s="4"/>
      <c r="AP51" s="4"/>
      <c r="AQ51" s="4"/>
      <c r="AR51" s="4"/>
      <c r="AS51" s="4"/>
      <c r="AT51" s="4"/>
      <c r="AU51" s="4"/>
      <c r="AV51" s="4"/>
      <c r="AW51" s="4"/>
      <c r="AX51" s="4"/>
      <c r="AY51" s="4"/>
      <c r="AZ51" s="4"/>
      <c r="BA51" s="4"/>
      <c r="BB51" s="4"/>
      <c r="BC51" s="4"/>
      <c r="BD51" s="4"/>
      <c r="BE51" s="4"/>
      <c r="BF51" s="4"/>
      <c r="BG51" s="4"/>
      <c r="BH51" s="4"/>
      <c r="BI51" s="4"/>
      <c r="BJ51" s="4"/>
      <c r="BK51" s="4"/>
      <c r="BL51" s="4"/>
      <c r="BM51" s="4"/>
      <c r="BN51" s="4"/>
      <c r="BO51" s="4"/>
      <c r="BP51" s="4"/>
      <c r="BQ51" s="4"/>
      <c r="BR51" s="4"/>
      <c r="BS51" s="4"/>
      <c r="BT51" s="4"/>
      <c r="BU51" s="4"/>
      <c r="BV51" s="4"/>
      <c r="BW51" s="4"/>
      <c r="BX51" s="4"/>
      <c r="BY51" s="4"/>
      <c r="BZ51" s="4"/>
      <c r="CA51" s="4"/>
      <c r="CB51" s="4"/>
      <c r="CC51" s="4"/>
      <c r="CD51" s="4"/>
      <c r="CE51" s="4"/>
      <c r="CF51" s="4"/>
      <c r="CG51" s="4"/>
      <c r="CH51" s="4"/>
      <c r="CI51" s="4"/>
      <c r="CJ51" s="4"/>
      <c r="CK51" s="4"/>
      <c r="CL51" s="4"/>
      <c r="CM51" s="4"/>
      <c r="CN51" s="4"/>
      <c r="CO51" s="4"/>
      <c r="CP51" s="4"/>
      <c r="CQ51" s="4"/>
      <c r="CR51" s="4"/>
      <c r="CS51" s="4"/>
      <c r="DE51" s="1"/>
      <c r="DF51" s="44"/>
      <c r="DG51" s="44"/>
    </row>
    <row r="52" spans="1:111" s="18" customFormat="1" ht="12" customHeight="1" x14ac:dyDescent="0.35">
      <c r="A52" s="4"/>
      <c r="B52" s="4"/>
      <c r="C52" s="4"/>
      <c r="D52" s="4"/>
      <c r="E52" s="4"/>
      <c r="F52" s="4"/>
      <c r="G52" s="4"/>
      <c r="H52" s="4"/>
      <c r="I52" s="4"/>
      <c r="J52" s="4"/>
      <c r="K52" s="4"/>
      <c r="L52" s="4"/>
      <c r="M52" s="4"/>
      <c r="N52" s="4"/>
      <c r="O52" s="4"/>
      <c r="P52" s="4"/>
      <c r="Q52" s="4"/>
      <c r="R52" s="4"/>
      <c r="S52" s="4"/>
      <c r="T52" s="151"/>
      <c r="U52" s="151"/>
      <c r="V52" s="151"/>
      <c r="W52" s="151"/>
      <c r="X52" s="151"/>
      <c r="Y52" s="151"/>
      <c r="Z52" s="151"/>
      <c r="AA52" s="151"/>
      <c r="AB52" s="151"/>
      <c r="AC52" s="151"/>
      <c r="AD52" s="151"/>
      <c r="AE52" s="151"/>
      <c r="AF52" s="151"/>
      <c r="AG52" s="151"/>
      <c r="AH52" s="4"/>
      <c r="AI52" s="4"/>
      <c r="AJ52" s="4"/>
      <c r="AK52" s="4"/>
      <c r="AL52" s="4"/>
      <c r="AM52" s="4"/>
      <c r="AN52" s="4"/>
      <c r="AO52" s="4"/>
      <c r="AP52" s="4"/>
      <c r="AQ52" s="4"/>
      <c r="AR52" s="4"/>
      <c r="AS52" s="4"/>
      <c r="AT52" s="4"/>
      <c r="AU52" s="4"/>
      <c r="AV52" s="4"/>
      <c r="AW52" s="4"/>
      <c r="AX52" s="4"/>
      <c r="AY52" s="4"/>
      <c r="AZ52" s="4"/>
      <c r="BA52" s="4"/>
      <c r="BB52" s="4"/>
      <c r="BC52" s="4"/>
      <c r="BD52" s="4"/>
      <c r="BE52" s="4"/>
      <c r="BF52" s="4"/>
      <c r="BG52" s="4"/>
      <c r="BH52" s="4"/>
      <c r="BI52" s="4"/>
      <c r="BJ52" s="4"/>
      <c r="BK52" s="4"/>
      <c r="BL52" s="4"/>
      <c r="BM52" s="4"/>
      <c r="BN52" s="4"/>
      <c r="BO52" s="4"/>
      <c r="BP52" s="4"/>
      <c r="BQ52" s="4"/>
      <c r="BR52" s="4"/>
      <c r="BS52" s="4"/>
      <c r="BT52" s="4"/>
      <c r="BU52" s="4"/>
      <c r="BV52" s="4"/>
      <c r="BW52" s="4"/>
      <c r="BX52" s="4"/>
      <c r="BY52" s="4"/>
      <c r="BZ52" s="4"/>
      <c r="CA52" s="4"/>
      <c r="CB52" s="4"/>
      <c r="CC52" s="4"/>
      <c r="CD52" s="4"/>
      <c r="CE52" s="4"/>
      <c r="CF52" s="4"/>
      <c r="CG52" s="4"/>
      <c r="CH52" s="4"/>
      <c r="CI52" s="4"/>
      <c r="CJ52" s="4"/>
      <c r="CK52" s="4"/>
      <c r="CL52" s="4"/>
      <c r="CM52" s="4"/>
      <c r="CN52" s="4"/>
      <c r="CO52" s="4"/>
      <c r="CP52" s="4"/>
      <c r="CQ52" s="4"/>
      <c r="CR52" s="4"/>
      <c r="CS52" s="4"/>
      <c r="DE52" s="1"/>
      <c r="DF52" s="44"/>
      <c r="DG52" s="44"/>
    </row>
  </sheetData>
  <dataConsolidate/>
  <conditionalFormatting sqref="H23:K23 AA3:AD24">
    <cfRule type="cellIs" dxfId="723" priority="1" operator="between">
      <formula>0.4</formula>
      <formula>0.6</formula>
    </cfRule>
    <cfRule type="cellIs" dxfId="722" priority="2" operator="greaterThan">
      <formula>0.8</formula>
    </cfRule>
    <cfRule type="cellIs" dxfId="721" priority="3" operator="between">
      <formula>0.6</formula>
      <formula>0.8</formula>
    </cfRule>
    <cfRule type="cellIs" dxfId="720" priority="4" operator="between">
      <formula>0.2</formula>
      <formula>0.4</formula>
    </cfRule>
    <cfRule type="cellIs" dxfId="719" priority="5" operator="between">
      <formula>0</formula>
      <formula>0.2</formula>
    </cfRule>
  </conditionalFormatting>
  <pageMargins left="0.19685039370078741" right="0.19685039370078741" top="0.78740157480314965" bottom="0.74803149606299213" header="0.11811023622047245" footer="0.31496062992125984"/>
  <pageSetup paperSize="9" scale="93" fitToHeight="0" orientation="portrait" r:id="rId1"/>
  <headerFooter scaleWithDoc="0">
    <oddHeader>&amp;L&amp;18&amp;G&amp;C&amp;18Kachin  IDPs camps
Situation JUly 2013&amp;R&amp;G</oddHeader>
  </headerFooter>
  <rowBreaks count="1" manualBreakCount="1">
    <brk id="21" max="16383" man="1"/>
  </rowBreaks>
  <drawing r:id="rId2"/>
  <legacyDrawing r:id="rId3"/>
  <legacyDrawingHF r:id="rId4"/>
  <controls>
    <mc:AlternateContent xmlns:mc="http://schemas.openxmlformats.org/markup-compatibility/2006">
      <mc:Choice Requires="x14">
        <control shapeId="64513" r:id="rId5" name="CommandButton1">
          <controlPr defaultSize="0" autoLine="0" r:id="rId6">
            <anchor moveWithCells="1">
              <from>
                <xdr:col>15</xdr:col>
                <xdr:colOff>0</xdr:colOff>
                <xdr:row>0</xdr:row>
                <xdr:rowOff>133350</xdr:rowOff>
              </from>
              <to>
                <xdr:col>18</xdr:col>
                <xdr:colOff>1419225</xdr:colOff>
                <xdr:row>5</xdr:row>
                <xdr:rowOff>47625</xdr:rowOff>
              </to>
            </anchor>
          </controlPr>
        </control>
      </mc:Choice>
      <mc:Fallback>
        <control shapeId="64513" r:id="rId5" name="CommandButton1"/>
      </mc:Fallback>
    </mc:AlternateContent>
    <mc:AlternateContent xmlns:mc="http://schemas.openxmlformats.org/markup-compatibility/2006">
      <mc:Choice Requires="x14">
        <control shapeId="64514" r:id="rId7" name="Label 2">
          <controlPr defaultSize="0" autoFill="0" autoLine="0" autoPict="0">
            <anchor moveWithCells="1" sizeWithCells="1">
              <from>
                <xdr:col>0</xdr:col>
                <xdr:colOff>285750</xdr:colOff>
                <xdr:row>5</xdr:row>
                <xdr:rowOff>28575</xdr:rowOff>
              </from>
              <to>
                <xdr:col>0</xdr:col>
                <xdr:colOff>666750</xdr:colOff>
                <xdr:row>5</xdr:row>
                <xdr:rowOff>219075</xdr:rowOff>
              </to>
            </anchor>
          </controlPr>
        </control>
      </mc:Choice>
    </mc:AlternateContent>
    <mc:AlternateContent xmlns:mc="http://schemas.openxmlformats.org/markup-compatibility/2006">
      <mc:Choice Requires="x14">
        <control shapeId="64515" r:id="rId8" name="Label 3">
          <controlPr defaultSize="0" autoFill="0" autoLine="0" autoPict="0">
            <anchor moveWithCells="1" sizeWithCells="1">
              <from>
                <xdr:col>0</xdr:col>
                <xdr:colOff>819150</xdr:colOff>
                <xdr:row>5</xdr:row>
                <xdr:rowOff>19050</xdr:rowOff>
              </from>
              <to>
                <xdr:col>1</xdr:col>
                <xdr:colOff>323850</xdr:colOff>
                <xdr:row>5</xdr:row>
                <xdr:rowOff>209550</xdr:rowOff>
              </to>
            </anchor>
          </controlPr>
        </control>
      </mc:Choice>
    </mc:AlternateContent>
    <mc:AlternateContent xmlns:mc="http://schemas.openxmlformats.org/markup-compatibility/2006">
      <mc:Choice Requires="x14">
        <control shapeId="64516" r:id="rId9" name="Label 4">
          <controlPr defaultSize="0" autoFill="0" autoLine="0" autoPict="0">
            <anchor moveWithCells="1" sizeWithCells="1">
              <from>
                <xdr:col>1</xdr:col>
                <xdr:colOff>723900</xdr:colOff>
                <xdr:row>5</xdr:row>
                <xdr:rowOff>38100</xdr:rowOff>
              </from>
              <to>
                <xdr:col>2</xdr:col>
                <xdr:colOff>238125</xdr:colOff>
                <xdr:row>5</xdr:row>
                <xdr:rowOff>238125</xdr:rowOff>
              </to>
            </anchor>
          </controlPr>
        </control>
      </mc:Choice>
    </mc:AlternateContent>
    <mc:AlternateContent xmlns:mc="http://schemas.openxmlformats.org/markup-compatibility/2006">
      <mc:Choice Requires="x14">
        <control shapeId="64518" r:id="rId10" name="Label 6">
          <controlPr defaultSize="0" autoFill="0" autoLine="0" autoPict="0">
            <anchor moveWithCells="1" sizeWithCells="1">
              <from>
                <xdr:col>0</xdr:col>
                <xdr:colOff>704850</xdr:colOff>
                <xdr:row>0</xdr:row>
                <xdr:rowOff>247650</xdr:rowOff>
              </from>
              <to>
                <xdr:col>1</xdr:col>
                <xdr:colOff>800100</xdr:colOff>
                <xdr:row>1</xdr:row>
                <xdr:rowOff>190500</xdr:rowOff>
              </to>
            </anchor>
          </controlPr>
        </control>
      </mc:Choice>
    </mc:AlternateContent>
  </controls>
  <tableParts count="1">
    <tablePart r:id="rId11"/>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w o r k b o o k c u s t o m i z a t i o n / R e l a t i o n s h i p A u t o D e t e c t i o n E n a b l e d " > < C u s t o m C o n t e n t > < ! [ C D A T A [ T r u e ] ] > < / C u s t o m C o n t e n t > < / G e m i n i > 
</file>

<file path=customXml/item10.xml>��< ? x m l   v e r s i o n = " 1 . 0 "   e n c o d i n g = " U T F - 1 6 " ? > < G e m i n i   x m l n s = " h t t p : / / g e m i n i / p i v o t c u s t o m i z a t i o n / C l i e n t W i n d o w X M L " > < C u s t o m C o n t e n t > < ! [ C D A T A [ T a b l e _ C a m p L i s t ] ] > < / C u s t o m C o n t e n t > < / G e m i n i > 
</file>

<file path=customXml/item11.xml>��< ? x m l   v e r s i o n = " 1 . 0 "   e n c o d i n g = " U T F - 1 6 " ? > < G e m i n i   x m l n s = " h t t p : / / g e m i n i / p i v o t c u s t o m i z a t i o n / L i n k e d T a b l e U p d a t e M o d e " > < C u s t o m C o n t e n t > < ! [ C D A T A [ T r u e ] ] > < / C u s t o m C o n t e n t > < / G e m i n i > 
</file>

<file path=customXml/item2.xml>��< ? x m l   v e r s i o n = " 1 . 0 "   e n c o d i n g = " U T F - 1 6 " ? > < G e m i n i   x m l n s = " h t t p : / / g e m i n i / p i v o t c u s t o m i z a t i o n / T a b l e X M L _ T a b l e _ S h e l t e r " > < C u s t o m C o n t e n t > < ! [ C D A T A [ < T a b l e W i d g e t G r i d S e r i a l i z a t i o n   x m l n s : x s i = " h t t p : / / w w w . w 3 . o r g / 2 0 0 1 / X M L S c h e m a - i n s t a n c e "   x m l n s : x s d = " h t t p : / / w w w . w 3 . o r g / 2 0 0 1 / X M L S c h e m a " > < C o l u m n S u g g e s t e d T y p e > < i t e m > < k e y > < s t r i n g > D a t e U p d a t e d < / s t r i n g > < / k e y > < v a l u e > < s t r i n g > W C h a r < / s t r i n g > < / v a l u e > < / i t e m > < i t e m > < k e y > < s t r i n g > O r g a n i z a t i o n < / s t r i n g > < / k e y > < v a l u e > < s t r i n g > W C h a r < / s t r i n g > < / v a l u e > < / i t e m > < i t e m > < k e y > < s t r i n g > I m p l e m e n t i n g P a r t n e r < / s t r i n g > < / k e y > < v a l u e > < s t r i n g > W C h a r < / s t r i n g > < / v a l u e > < / i t e m > < i t e m > < k e y > < s t r i n g > S t a t e < / s t r i n g > < / k e y > < v a l u e > < s t r i n g > W C h a r < / s t r i n g > < / v a l u e > < / i t e m > < i t e m > < k e y > < s t r i n g > T o w n s h i p < / s t r i n g > < / k e y > < v a l u e > < s t r i n g > W C h a r < / s t r i n g > < / v a l u e > < / i t e m > < i t e m > < k e y > < s t r i n g > C a m p N a m e < / s t r i n g > < / k e y > < v a l u e > < s t r i n g > W C h a r < / s t r i n g > < / v a l u e > < / i t e m > < i t e m > < k e y > < s t r i n g > H H p e r S h e l t e r < / s t r i n g > < / k e y > < v a l u e > < s t r i n g > B i g I n t < / s t r i n g > < / v a l u e > < / i t e m > < i t e m > < k e y > < s t r i n g > # o f F a m i l y T e n t P l a n n e d   T a r g e t < / s t r i n g > < / k e y > < v a l u e > < s t r i n g > W C h a r < / s t r i n g > < / v a l u e > < / i t e m > < i t e m > < k e y > < s t r i n g > # o f F a m i l y T e n t D i s t r i b u t e d < / s t r i n g > < / k e y > < v a l u e > < s t r i n g > W C h a r < / s t r i n g > < / v a l u e > < / i t e m > < i t e m > < k e y > < s t r i n g > # o f T e m p o r a r y S h e l t e r P l a n n e d   T a r g e t < / s t r i n g > < / k e y > < v a l u e > < s t r i n g > B i g I n t < / s t r i n g > < / v a l u e > < / i t e m > < i t e m > < k e y > < s t r i n g > # o f T e m p o r a r y S h e l t e r B u i l t < / s t r i n g > < / k e y > < v a l u e > < s t r i n g > B i g I n t < / s t r i n g > < / v a l u e > < / i t e m > < i t e m > < k e y > < s t r i n g > # o f T e m p o r a r y S h e l t e r U n d e r C o n s t r u c t i o n < / s t r i n g > < / k e y > < v a l u e > < s t r i n g > B i g I n t < / s t r i n g > < / v a l u e > < / i t e m > < i t e m > < k e y > < s t r i n g > # o f P e r m a n e n t H o u s e P l a n n e d   T a r g e t < / s t r i n g > < / k e y > < v a l u e > < s t r i n g > B i g I n t < / s t r i n g > < / v a l u e > < / i t e m > < i t e m > < k e y > < s t r i n g > # o f P e r m a n e n t H o u s e B u i l t < / s t r i n g > < / k e y > < v a l u e > < s t r i n g > B i g I n t < / s t r i n g > < / v a l u e > < / i t e m > < i t e m > < k e y > < s t r i n g > # o f P e r m a n e n t H o u s e U n d e r C o n s t r u c t i o n < / s t r i n g > < / k e y > < v a l u e > < s t r i n g > B i g I n t < / s t r i n g > < / v a l u e > < / i t e m > < i t e m > < k e y > < s t r i n g > H H C o v e r e d < / s t r i n g > < / k e y > < v a l u e > < s t r i n g > B i g I n t < / s t r i n g > < / v a l u e > < / i t e m > < / C o l u m n S u g g e s t e d T y p e > < C o l u m n F o r m a t > < i t e m > < k e y > < s t r i n g > D a t e U p d a t e d < / s t r i n g > < / k e y > < v a l u e > < s t r i n g > T e x t < / s t r i n g > < / v a l u e > < / i t e m > < i t e m > < k e y > < s t r i n g > O r g a n i z a t i o n < / s t r i n g > < / k e y > < v a l u e > < s t r i n g > T e x t < / s t r i n g > < / v a l u e > < / i t e m > < i t e m > < k e y > < s t r i n g > I m p l e m e n t i n g P a r t n e r < / s t r i n g > < / k e y > < v a l u e > < s t r i n g > T e x t < / s t r i n g > < / v a l u e > < / i t e m > < i t e m > < k e y > < s t r i n g > S t a t e < / s t r i n g > < / k e y > < v a l u e > < s t r i n g > T e x t < / s t r i n g > < / v a l u e > < / i t e m > < i t e m > < k e y > < s t r i n g > T o w n s h i p < / s t r i n g > < / k e y > < v a l u e > < s t r i n g > T e x t < / s t r i n g > < / v a l u e > < / i t e m > < i t e m > < k e y > < s t r i n g > C a m p N a m e < / s t r i n g > < / k e y > < v a l u e > < s t r i n g > T e x t < / s t r i n g > < / v a l u e > < / i t e m > < i t e m > < k e y > < s t r i n g > H H p e r S h e l t e r < / s t r i n g > < / k e y > < v a l u e > < s t r i n g > G e n e r a l < / s t r i n g > < / v a l u e > < / i t e m > < i t e m > < k e y > < s t r i n g > # o f F a m i l y T e n t P l a n n e d   T a r g e t < / s t r i n g > < / k e y > < v a l u e > < s t r i n g > T e x t < / s t r i n g > < / v a l u e > < / i t e m > < i t e m > < k e y > < s t r i n g > # o f F a m i l y T e n t D i s t r i b u t e d < / s t r i n g > < / k e y > < v a l u e > < s t r i n g > T e x t < / s t r i n g > < / v a l u e > < / i t e m > < i t e m > < k e y > < s t r i n g > # o f T e m p o r a r y S h e l t e r P l a n n e d   T a r g e t < / s t r i n g > < / k e y > < v a l u e > < s t r i n g > G e n e r a l < / s t r i n g > < / v a l u e > < / i t e m > < i t e m > < k e y > < s t r i n g > # o f T e m p o r a r y S h e l t e r B u i l t < / s t r i n g > < / k e y > < v a l u e > < s t r i n g > G e n e r a l < / s t r i n g > < / v a l u e > < / i t e m > < i t e m > < k e y > < s t r i n g > # o f T e m p o r a r y S h e l t e r U n d e r C o n s t r u c t i o n < / s t r i n g > < / k e y > < v a l u e > < s t r i n g > G e n e r a l < / s t r i n g > < / v a l u e > < / i t e m > < i t e m > < k e y > < s t r i n g > # o f P e r m a n e n t H o u s e P l a n n e d   T a r g e t < / s t r i n g > < / k e y > < v a l u e > < s t r i n g > G e n e r a l < / s t r i n g > < / v a l u e > < / i t e m > < i t e m > < k e y > < s t r i n g > # o f P e r m a n e n t H o u s e B u i l t < / s t r i n g > < / k e y > < v a l u e > < s t r i n g > G e n e r a l < / s t r i n g > < / v a l u e > < / i t e m > < i t e m > < k e y > < s t r i n g > # o f P e r m a n e n t H o u s e U n d e r C o n s t r u c t i o n < / s t r i n g > < / k e y > < v a l u e > < s t r i n g > G e n e r a l < / s t r i n g > < / v a l u e > < / i t e m > < i t e m > < k e y > < s t r i n g > H H C o v e r e d < / s t r i n g > < / k e y > < v a l u e > < s t r i n g > G e n e r a l < / s t r i n g > < / v a l u e > < / i t e m > < i t e m > < k e y > < s t r i n g > A d d   C o l u m n < / s t r i n g > < / k e y > < v a l u e > < s t r i n g > T e x t < / s t r i n g > < / v a l u e > < / i t e m > < / C o l u m n F o r m a t > < C o l u m n A c c u r a c y > < i t e m > < k e y > < s t r i n g > D a t e U p d a t e d < / s t r i n g > < / k e y > < v a l u e > < i n t > 0 < / i n t > < / v a l u e > < / i t e m > < i t e m > < k e y > < s t r i n g > O r g a n i z a t i o n < / s t r i n g > < / k e y > < v a l u e > < i n t > 0 < / i n t > < / v a l u e > < / i t e m > < i t e m > < k e y > < s t r i n g > I m p l e m e n t i n g P a r t n e r < / s t r i n g > < / k e y > < v a l u e > < i n t > 0 < / i n t > < / v a l u e > < / i t e m > < i t e m > < k e y > < s t r i n g > S t a t e < / s t r i n g > < / k e y > < v a l u e > < i n t > 0 < / i n t > < / v a l u e > < / i t e m > < i t e m > < k e y > < s t r i n g > T o w n s h i p < / s t r i n g > < / k e y > < v a l u e > < i n t > 0 < / i n t > < / v a l u e > < / i t e m > < i t e m > < k e y > < s t r i n g > C a m p N a m e < / s t r i n g > < / k e y > < v a l u e > < i n t > 0 < / i n t > < / v a l u e > < / i t e m > < i t e m > < k e y > < s t r i n g > H H p e r S h e l t e r < / s t r i n g > < / k e y > < v a l u e > < i n t > 0 < / i n t > < / v a l u e > < / i t e m > < i t e m > < k e y > < s t r i n g > # o f F a m i l y T e n t P l a n n e d   T a r g e t < / s t r i n g > < / k e y > < v a l u e > < i n t > 0 < / i n t > < / v a l u e > < / i t e m > < i t e m > < k e y > < s t r i n g > # o f F a m i l y T e n t D i s t r i b u t e d < / s t r i n g > < / k e y > < v a l u e > < i n t > 0 < / i n t > < / v a l u e > < / i t e m > < i t e m > < k e y > < s t r i n g > # o f T e m p o r a r y S h e l t e r P l a n n e d   T a r g e t < / s t r i n g > < / k e y > < v a l u e > < i n t > 0 < / i n t > < / v a l u e > < / i t e m > < i t e m > < k e y > < s t r i n g > # o f T e m p o r a r y S h e l t e r B u i l t < / s t r i n g > < / k e y > < v a l u e > < i n t > 0 < / i n t > < / v a l u e > < / i t e m > < i t e m > < k e y > < s t r i n g > # o f T e m p o r a r y S h e l t e r U n d e r C o n s t r u c t i o n < / s t r i n g > < / k e y > < v a l u e > < i n t > 0 < / i n t > < / v a l u e > < / i t e m > < i t e m > < k e y > < s t r i n g > # o f P e r m a n e n t H o u s e P l a n n e d   T a r g e t < / s t r i n g > < / k e y > < v a l u e > < i n t > 0 < / i n t > < / v a l u e > < / i t e m > < i t e m > < k e y > < s t r i n g > # o f P e r m a n e n t H o u s e B u i l t < / s t r i n g > < / k e y > < v a l u e > < i n t > 0 < / i n t > < / v a l u e > < / i t e m > < i t e m > < k e y > < s t r i n g > # o f P e r m a n e n t H o u s e U n d e r C o n s t r u c t i o n < / s t r i n g > < / k e y > < v a l u e > < i n t > 0 < / i n t > < / v a l u e > < / i t e m > < i t e m > < k e y > < s t r i n g > H H C o v e r e d < / s t r i n g > < / k e y > < v a l u e > < i n t > 0 < / i n t > < / v a l u e > < / i t e m > < i t e m > < k e y > < s t r i n g > A d d   C o l u m n < / s t r i n g > < / k e y > < v a l u e > < i n t > 0 < / i n t > < / v a l u e > < / i t e m > < / C o l u m n A c c u r a c y > < C o l u m n C u r r e n c y S y m b o l > < i t e m > < k e y > < s t r i n g > D a t e U p d a t e d < / s t r i n g > < / k e y > < v a l u e > < s t r i n g > $ < / s t r i n g > < / v a l u e > < / i t e m > < i t e m > < k e y > < s t r i n g > O r g a n i z a t i o n < / s t r i n g > < / k e y > < v a l u e > < s t r i n g > $ < / s t r i n g > < / v a l u e > < / i t e m > < i t e m > < k e y > < s t r i n g > I m p l e m e n t i n g P a r t n e r < / s t r i n g > < / k e y > < v a l u e > < s t r i n g > $ < / s t r i n g > < / v a l u e > < / i t e m > < i t e m > < k e y > < s t r i n g > S t a t e < / s t r i n g > < / k e y > < v a l u e > < s t r i n g > $ < / s t r i n g > < / v a l u e > < / i t e m > < i t e m > < k e y > < s t r i n g > T o w n s h i p < / s t r i n g > < / k e y > < v a l u e > < s t r i n g > $ < / s t r i n g > < / v a l u e > < / i t e m > < i t e m > < k e y > < s t r i n g > C a m p N a m e < / s t r i n g > < / k e y > < v a l u e > < s t r i n g > $ < / s t r i n g > < / v a l u e > < / i t e m > < i t e m > < k e y > < s t r i n g > H H p e r S h e l t e r < / s t r i n g > < / k e y > < v a l u e > < s t r i n g > $ < / s t r i n g > < / v a l u e > < / i t e m > < i t e m > < k e y > < s t r i n g > # o f F a m i l y T e n t P l a n n e d   T a r g e t < / s t r i n g > < / k e y > < v a l u e > < s t r i n g > $ < / s t r i n g > < / v a l u e > < / i t e m > < i t e m > < k e y > < s t r i n g > # o f F a m i l y T e n t D i s t r i b u t e d < / s t r i n g > < / k e y > < v a l u e > < s t r i n g > $ < / s t r i n g > < / v a l u e > < / i t e m > < i t e m > < k e y > < s t r i n g > # o f T e m p o r a r y S h e l t e r P l a n n e d   T a r g e t < / s t r i n g > < / k e y > < v a l u e > < s t r i n g > $ < / s t r i n g > < / v a l u e > < / i t e m > < i t e m > < k e y > < s t r i n g > # o f T e m p o r a r y S h e l t e r B u i l t < / s t r i n g > < / k e y > < v a l u e > < s t r i n g > $ < / s t r i n g > < / v a l u e > < / i t e m > < i t e m > < k e y > < s t r i n g > # o f T e m p o r a r y S h e l t e r U n d e r C o n s t r u c t i o n < / s t r i n g > < / k e y > < v a l u e > < s t r i n g > $ < / s t r i n g > < / v a l u e > < / i t e m > < i t e m > < k e y > < s t r i n g > # o f P e r m a n e n t H o u s e P l a n n e d   T a r g e t < / s t r i n g > < / k e y > < v a l u e > < s t r i n g > $ < / s t r i n g > < / v a l u e > < / i t e m > < i t e m > < k e y > < s t r i n g > # o f P e r m a n e n t H o u s e B u i l t < / s t r i n g > < / k e y > < v a l u e > < s t r i n g > $ < / s t r i n g > < / v a l u e > < / i t e m > < i t e m > < k e y > < s t r i n g > # o f P e r m a n e n t H o u s e U n d e r C o n s t r u c t i o n < / s t r i n g > < / k e y > < v a l u e > < s t r i n g > $ < / s t r i n g > < / v a l u e > < / i t e m > < i t e m > < k e y > < s t r i n g > H H C o v e r e d < / s t r i n g > < / k e y > < v a l u e > < s t r i n g > $ < / s t r i n g > < / v a l u e > < / i t e m > < i t e m > < k e y > < s t r i n g > A d d   C o l u m n < / s t r i n g > < / k e y > < v a l u e > < s t r i n g > $ < / s t r i n g > < / v a l u e > < / i t e m > < / C o l u m n C u r r e n c y S y m b o l > < C o l u m n P o s i t i v e P a t t e r n > < i t e m > < k e y > < s t r i n g > D a t e U p d a t e d < / s t r i n g > < / k e y > < v a l u e > < i n t > 0 < / i n t > < / v a l u e > < / i t e m > < i t e m > < k e y > < s t r i n g > O r g a n i z a t i o n < / s t r i n g > < / k e y > < v a l u e > < i n t > 0 < / i n t > < / v a l u e > < / i t e m > < i t e m > < k e y > < s t r i n g > I m p l e m e n t i n g P a r t n e r < / s t r i n g > < / k e y > < v a l u e > < i n t > 0 < / i n t > < / v a l u e > < / i t e m > < i t e m > < k e y > < s t r i n g > S t a t e < / s t r i n g > < / k e y > < v a l u e > < i n t > 0 < / i n t > < / v a l u e > < / i t e m > < i t e m > < k e y > < s t r i n g > T o w n s h i p < / s t r i n g > < / k e y > < v a l u e > < i n t > 0 < / i n t > < / v a l u e > < / i t e m > < i t e m > < k e y > < s t r i n g > C a m p N a m e < / s t r i n g > < / k e y > < v a l u e > < i n t > 0 < / i n t > < / v a l u e > < / i t e m > < i t e m > < k e y > < s t r i n g > H H p e r S h e l t e r < / s t r i n g > < / k e y > < v a l u e > < i n t > 0 < / i n t > < / v a l u e > < / i t e m > < i t e m > < k e y > < s t r i n g > # o f F a m i l y T e n t P l a n n e d   T a r g e t < / s t r i n g > < / k e y > < v a l u e > < i n t > 0 < / i n t > < / v a l u e > < / i t e m > < i t e m > < k e y > < s t r i n g > # o f F a m i l y T e n t D i s t r i b u t e d < / s t r i n g > < / k e y > < v a l u e > < i n t > 0 < / i n t > < / v a l u e > < / i t e m > < i t e m > < k e y > < s t r i n g > # o f T e m p o r a r y S h e l t e r P l a n n e d   T a r g e t < / s t r i n g > < / k e y > < v a l u e > < i n t > 0 < / i n t > < / v a l u e > < / i t e m > < i t e m > < k e y > < s t r i n g > # o f T e m p o r a r y S h e l t e r B u i l t < / s t r i n g > < / k e y > < v a l u e > < i n t > 0 < / i n t > < / v a l u e > < / i t e m > < i t e m > < k e y > < s t r i n g > # o f T e m p o r a r y S h e l t e r U n d e r C o n s t r u c t i o n < / s t r i n g > < / k e y > < v a l u e > < i n t > 0 < / i n t > < / v a l u e > < / i t e m > < i t e m > < k e y > < s t r i n g > # o f P e r m a n e n t H o u s e P l a n n e d   T a r g e t < / s t r i n g > < / k e y > < v a l u e > < i n t > 0 < / i n t > < / v a l u e > < / i t e m > < i t e m > < k e y > < s t r i n g > # o f P e r m a n e n t H o u s e B u i l t < / s t r i n g > < / k e y > < v a l u e > < i n t > 0 < / i n t > < / v a l u e > < / i t e m > < i t e m > < k e y > < s t r i n g > # o f P e r m a n e n t H o u s e U n d e r C o n s t r u c t i o n < / s t r i n g > < / k e y > < v a l u e > < i n t > 0 < / i n t > < / v a l u e > < / i t e m > < i t e m > < k e y > < s t r i n g > H H C o v e r e d < / s t r i n g > < / k e y > < v a l u e > < i n t > 0 < / i n t > < / v a l u e > < / i t e m > < i t e m > < k e y > < s t r i n g > A d d   C o l u m n < / s t r i n g > < / k e y > < v a l u e > < i n t > 0 < / i n t > < / v a l u e > < / i t e m > < / C o l u m n P o s i t i v e P a t t e r n > < C o l u m n N e g a t i v e P a t t e r n > < i t e m > < k e y > < s t r i n g > D a t e U p d a t e d < / s t r i n g > < / k e y > < v a l u e > < i n t > 0 < / i n t > < / v a l u e > < / i t e m > < i t e m > < k e y > < s t r i n g > O r g a n i z a t i o n < / s t r i n g > < / k e y > < v a l u e > < i n t > 0 < / i n t > < / v a l u e > < / i t e m > < i t e m > < k e y > < s t r i n g > I m p l e m e n t i n g P a r t n e r < / s t r i n g > < / k e y > < v a l u e > < i n t > 0 < / i n t > < / v a l u e > < / i t e m > < i t e m > < k e y > < s t r i n g > S t a t e < / s t r i n g > < / k e y > < v a l u e > < i n t > 0 < / i n t > < / v a l u e > < / i t e m > < i t e m > < k e y > < s t r i n g > T o w n s h i p < / s t r i n g > < / k e y > < v a l u e > < i n t > 0 < / i n t > < / v a l u e > < / i t e m > < i t e m > < k e y > < s t r i n g > C a m p N a m e < / s t r i n g > < / k e y > < v a l u e > < i n t > 0 < / i n t > < / v a l u e > < / i t e m > < i t e m > < k e y > < s t r i n g > H H p e r S h e l t e r < / s t r i n g > < / k e y > < v a l u e > < i n t > 0 < / i n t > < / v a l u e > < / i t e m > < i t e m > < k e y > < s t r i n g > # o f F a m i l y T e n t P l a n n e d   T a r g e t < / s t r i n g > < / k e y > < v a l u e > < i n t > 0 < / i n t > < / v a l u e > < / i t e m > < i t e m > < k e y > < s t r i n g > # o f F a m i l y T e n t D i s t r i b u t e d < / s t r i n g > < / k e y > < v a l u e > < i n t > 0 < / i n t > < / v a l u e > < / i t e m > < i t e m > < k e y > < s t r i n g > # o f T e m p o r a r y S h e l t e r P l a n n e d   T a r g e t < / s t r i n g > < / k e y > < v a l u e > < i n t > 0 < / i n t > < / v a l u e > < / i t e m > < i t e m > < k e y > < s t r i n g > # o f T e m p o r a r y S h e l t e r B u i l t < / s t r i n g > < / k e y > < v a l u e > < i n t > 0 < / i n t > < / v a l u e > < / i t e m > < i t e m > < k e y > < s t r i n g > # o f T e m p o r a r y S h e l t e r U n d e r C o n s t r u c t i o n < / s t r i n g > < / k e y > < v a l u e > < i n t > 0 < / i n t > < / v a l u e > < / i t e m > < i t e m > < k e y > < s t r i n g > # o f P e r m a n e n t H o u s e P l a n n e d   T a r g e t < / s t r i n g > < / k e y > < v a l u e > < i n t > 0 < / i n t > < / v a l u e > < / i t e m > < i t e m > < k e y > < s t r i n g > # o f P e r m a n e n t H o u s e B u i l t < / s t r i n g > < / k e y > < v a l u e > < i n t > 0 < / i n t > < / v a l u e > < / i t e m > < i t e m > < k e y > < s t r i n g > # o f P e r m a n e n t H o u s e U n d e r C o n s t r u c t i o n < / s t r i n g > < / k e y > < v a l u e > < i n t > 0 < / i n t > < / v a l u e > < / i t e m > < i t e m > < k e y > < s t r i n g > H H C o v e r e d < / s t r i n g > < / k e y > < v a l u e > < i n t > 0 < / i n t > < / v a l u e > < / i t e m > < i t e m > < k e y > < s t r i n g > A d d   C o l u m n < / s t r i n g > < / k e y > < v a l u e > < i n t > 0 < / i n t > < / v a l u e > < / i t e m > < / C o l u m n N e g a t i v e P a t t e r n > < C o l u m n W i d t h s > < i t e m > < k e y > < s t r i n g > D a t e U p d a t e d < / s t r i n g > < / k e y > < v a l u e > < i n t > 1 1 7 < / i n t > < / v a l u e > < / i t e m > < i t e m > < k e y > < s t r i n g > O r g a n i z a t i o n < / s t r i n g > < / k e y > < v a l u e > < i n t > 1 1 3 < / i n t > < / v a l u e > < / i t e m > < i t e m > < k e y > < s t r i n g > I m p l e m e n t i n g P a r t n e r < / s t r i n g > < / k e y > < v a l u e > < i n t > 1 6 8 < / i n t > < / v a l u e > < / i t e m > < i t e m > < k e y > < s t r i n g > S t a t e < / s t r i n g > < / k e y > < v a l u e > < i n t > 6 7 < / i n t > < / v a l u e > < / i t e m > < i t e m > < k e y > < s t r i n g > T o w n s h i p < / s t r i n g > < / k e y > < v a l u e > < i n t > 9 4 < / i n t > < / v a l u e > < / i t e m > < i t e m > < k e y > < s t r i n g > C a m p N a m e < / s t r i n g > < / k e y > < v a l u e > < i n t > 1 0 7 < / i n t > < / v a l u e > < / i t e m > < i t e m > < k e y > < s t r i n g > H H p e r S h e l t e r < / s t r i n g > < / k e y > < v a l u e > < i n t > 1 1 9 < / i n t > < / v a l u e > < / i t e m > < i t e m > < k e y > < s t r i n g > # o f F a m i l y T e n t P l a n n e d   T a r g e t < / s t r i n g > < / k e y > < v a l u e > < i n t > 2 1 5 < / i n t > < / v a l u e > < / i t e m > < i t e m > < k e y > < s t r i n g > # o f F a m i l y T e n t D i s t r i b u t e d < / s t r i n g > < / k e y > < v a l u e > < i n t > 1 9 3 < / i n t > < / v a l u e > < / i t e m > < i t e m > < k e y > < s t r i n g > # o f T e m p o r a r y S h e l t e r P l a n n e d   T a r g e t < / s t r i n g > < / k e y > < v a l u e > < i n t > 2 5 8 < / i n t > < / v a l u e > < / i t e m > < i t e m > < k e y > < s t r i n g > # o f T e m p o r a r y S h e l t e r B u i l t < / s t r i n g > < / k e y > < v a l u e > < i n t > 1 9 5 < / i n t > < / v a l u e > < / i t e m > < i t e m > < k e y > < s t r i n g > # o f T e m p o r a r y S h e l t e r U n d e r C o n s t r u c t i o n < / s t r i n g > < / k e y > < v a l u e > < i n t > 2 8 2 < / i n t > < / v a l u e > < / i t e m > < i t e m > < k e y > < s t r i n g > # o f P e r m a n e n t H o u s e P l a n n e d   T a r g e t < / s t r i n g > < / k e y > < v a l u e > < i n t > 2 5 5 < / i n t > < / v a l u e > < / i t e m > < i t e m > < k e y > < s t r i n g > # o f P e r m a n e n t H o u s e B u i l t < / s t r i n g > < / k e y > < v a l u e > < i n t > 1 9 2 < / i n t > < / v a l u e > < / i t e m > < i t e m > < k e y > < s t r i n g > # o f P e r m a n e n t H o u s e U n d e r C o n s t r u c t i o n < / s t r i n g > < / k e y > < v a l u e > < i n t > 2 7 9 < / i n t > < / v a l u e > < / i t e m > < i t e m > < k e y > < s t r i n g > H H C o v e r e d < / s t r i n g > < / k e y > < v a l u e > < i n t > 1 0 5 < / i n t > < / v a l u e > < / i t e m > < i t e m > < k e y > < s t r i n g > A d d   C o l u m n < / s t r i n g > < / k e y > < v a l u e > < i n t > 1 1 3 < / i n t > < / v a l u e > < / i t e m > < / C o l u m n W i d t h s > < C o l u m n D i s p l a y I n d e x > < i t e m > < k e y > < s t r i n g > D a t e U p d a t e d < / s t r i n g > < / k e y > < v a l u e > < i n t > 0 < / i n t > < / v a l u e > < / i t e m > < i t e m > < k e y > < s t r i n g > O r g a n i z a t i o n < / s t r i n g > < / k e y > < v a l u e > < i n t > 1 < / i n t > < / v a l u e > < / i t e m > < i t e m > < k e y > < s t r i n g > I m p l e m e n t i n g P a r t n e r < / s t r i n g > < / k e y > < v a l u e > < i n t > 2 < / i n t > < / v a l u e > < / i t e m > < i t e m > < k e y > < s t r i n g > S t a t e < / s t r i n g > < / k e y > < v a l u e > < i n t > 3 < / i n t > < / v a l u e > < / i t e m > < i t e m > < k e y > < s t r i n g > T o w n s h i p < / s t r i n g > < / k e y > < v a l u e > < i n t > 4 < / i n t > < / v a l u e > < / i t e m > < i t e m > < k e y > < s t r i n g > C a m p N a m e < / s t r i n g > < / k e y > < v a l u e > < i n t > 5 < / i n t > < / v a l u e > < / i t e m > < i t e m > < k e y > < s t r i n g > H H p e r S h e l t e r < / s t r i n g > < / k e y > < v a l u e > < i n t > 6 < / i n t > < / v a l u e > < / i t e m > < i t e m > < k e y > < s t r i n g > # o f F a m i l y T e n t P l a n n e d   T a r g e t < / s t r i n g > < / k e y > < v a l u e > < i n t > 7 < / i n t > < / v a l u e > < / i t e m > < i t e m > < k e y > < s t r i n g > # o f F a m i l y T e n t D i s t r i b u t e d < / s t r i n g > < / k e y > < v a l u e > < i n t > 8 < / i n t > < / v a l u e > < / i t e m > < i t e m > < k e y > < s t r i n g > # o f T e m p o r a r y S h e l t e r P l a n n e d   T a r g e t < / s t r i n g > < / k e y > < v a l u e > < i n t > 9 < / i n t > < / v a l u e > < / i t e m > < i t e m > < k e y > < s t r i n g > # o f T e m p o r a r y S h e l t e r B u i l t < / s t r i n g > < / k e y > < v a l u e > < i n t > 1 0 < / i n t > < / v a l u e > < / i t e m > < i t e m > < k e y > < s t r i n g > # o f T e m p o r a r y S h e l t e r U n d e r C o n s t r u c t i o n < / s t r i n g > < / k e y > < v a l u e > < i n t > 1 1 < / i n t > < / v a l u e > < / i t e m > < i t e m > < k e y > < s t r i n g > # o f P e r m a n e n t H o u s e P l a n n e d   T a r g e t < / s t r i n g > < / k e y > < v a l u e > < i n t > 1 2 < / i n t > < / v a l u e > < / i t e m > < i t e m > < k e y > < s t r i n g > # o f P e r m a n e n t H o u s e B u i l t < / s t r i n g > < / k e y > < v a l u e > < i n t > 1 3 < / i n t > < / v a l u e > < / i t e m > < i t e m > < k e y > < s t r i n g > # o f P e r m a n e n t H o u s e U n d e r C o n s t r u c t i o n < / s t r i n g > < / k e y > < v a l u e > < i n t > 1 4 < / i n t > < / v a l u e > < / i t e m > < i t e m > < k e y > < s t r i n g > H H C o v e r e d < / s t r i n g > < / k e y > < v a l u e > < i n t > 1 5 < / i n t > < / v a l u e > < / i t e m > < i t e m > < k e y > < s t r i n g > A d d   C o l u m n < / s t r i n g > < / k e y > < v a l u e > < i n t > 1 6 < / i n t > < / v a l u e > < / i t e m > < / C o l u m n D i s p l a y I n d e x > < C o l u m n F r o z e n   / > < C o l u m n H i d d e n   / > < C o l u m n C h e c k e d   / > < C o l u m n F i l t e r   / > < S e l e c t i o n F i l t e r   / > < F i l t e r P a r a m e t e r s   / > < I s S o r t D e s c e n d i n g > f a l s e < / I s S o r t D e s c e n d i n g > < / T a b l e W i d g e t G r i d S e r i a l i z a t i o n > ] ] > < / C u s t o m C o n t e n t > < / G e m i n i > 
</file>

<file path=customXml/item3.xml>��< ? x m l   v e r s i o n = " 1 . 0 "   e n c o d i n g = " U T F - 1 6 " ? > < G e m i n i   x m l n s = " h t t p : / / g e m i n i / w o r k b o o k c u s t o m i z a t i o n / S a n d b o x N o n E m p t y " > < C u s t o m C o n t e n t > < ! [ C D A T A [ 1 ] ] > < / C u s t o m C o n t e n t > < / G e m i n i > 
</file>

<file path=customXml/item4.xml>��< ? x m l   v e r s i o n = " 1 . 0 "   e n c o d i n g = " U T F - 1 6 " ? > < G e m i n i   x m l n s = " h t t p : / / g e m i n i / p i v o t c u s t o m i z a t i o n / T a b l e C o u n t I n S a n d b o x " > < C u s t o m C o n t e n t > < ! [ C D A T A [ 2 ] ] > < / C u s t o m C o n t e n t > < / G e m i n i > 
</file>

<file path=customXml/item5.xml>��< ? x m l   v e r s i o n = " 1 . 0 "   e n c o d i n g = " U T F - 1 6 " ? > < G e m i n i   x m l n s = " h t t p : / / g e m i n i / p i v o t c u s t o m i z a t i o n / T a b l e O r d e r " > < C u s t o m C o n t e n t > < ! [ C D A T A [ ] ] > < / C u s t o m C o n t e n t > < / G e m i n i > 
</file>

<file path=customXml/item6.xml>��< ? x m l   v e r s i o n = " 1 . 0 "   e n c o d i n g = " U T F - 1 6 " ? > < G e m i n i   x m l n s = " h t t p : / / g e m i n i / p i v o t c u s t o m i z a t i o n / T a b l e X M L _ T a b l e _ C a m p L i s t " > < C u s t o m C o n t e n t > < ! [ C D A T A [ < T a b l e W i d g e t G r i d S e r i a l i z a t i o n   x m l n s : x s i = " h t t p : / / w w w . w 3 . o r g / 2 0 0 1 / X M L S c h e m a - i n s t a n c e "   x m l n s : x s d = " h t t p : / / w w w . w 3 . o r g / 2 0 0 1 / X M L S c h e m a " > < C o l u m n S u g g e s t e d T y p e > < i t e m > < k e y > < s t r i n g > S r   N o < / s t r i n g > < / k e y > < v a l u e > < s t r i n g > B i g I n t < / s t r i n g > < / v a l u e > < / i t e m > < i t e m > < k e y > < s t r i n g > U p d a t e   D a t e < / s t r i n g > < / k e y > < v a l u e > < s t r i n g > D a t e < / s t r i n g > < / v a l u e > < / i t e m > < i t e m > < k e y > < s t r i n g > S t a t u s < / s t r i n g > < / k e y > < v a l u e > < s t r i n g > W C h a r < / s t r i n g > < / v a l u e > < / i t e m > < i t e m > < k e y > < s t r i n g > S t a t e < / s t r i n g > < / k e y > < v a l u e > < s t r i n g > W C h a r < / s t r i n g > < / v a l u e > < / i t e m > < i t e m > < k e y > < s t r i n g > S t a t e _ P c o d e < / s t r i n g > < / k e y > < v a l u e > < s t r i n g > W C h a r < / s t r i n g > < / v a l u e > < / i t e m > < i t e m > < k e y > < s t r i n g > T O W N S H I P _ N A M E < / s t r i n g > < / k e y > < v a l u e > < s t r i n g > W C h a r < / s t r i n g > < / v a l u e > < / i t e m > < i t e m > < k e y > < s t r i n g > T o w n s h i p _ P c o d e < / s t r i n g > < / k e y > < v a l u e > < s t r i n g > W C h a r < / s t r i n g > < / v a l u e > < / i t e m > < i t e m > < k e y > < s t r i n g > C a m p   N a m e < / s t r i n g > < / k e y > < v a l u e > < s t r i n g > W C h a r < / s t r i n g > < / v a l u e > < / i t e m > < i t e m > < k e y > < s t r i n g > P _ C o d e < / s t r i n g > < / k e y > < v a l u e > < s t r i n g > W C h a r < / s t r i n g > < / v a l u e > < / i t e m > < i t e m > < k e y > < s t r i n g > A c c e s s i b i l i t y < / s t r i n g > < / k e y > < v a l u e > < s t r i n g > W C h a r < / s t r i n g > < / v a l u e > < / i t e m > < i t e m > < k e y > < s t r i n g > L o n g i t u d e < / s t r i n g > < / k e y > < v a l u e > < s t r i n g > W C h a r < / s t r i n g > < / v a l u e > < / i t e m > < i t e m > < k e y > < s t r i n g > L a t i t u d e < / s t r i n g > < / k e y > < v a l u e > < s t r i n g > W C h a r < / s t r i n g > < / v a l u e > < / i t e m > < i t e m > < k e y > < s t r i n g > H H < / s t r i n g > < / k e y > < v a l u e > < s t r i n g > W C h a r < / s t r i n g > < / v a l u e > < / i t e m > < i t e m > < k e y > < s t r i n g > T o t a l < / s t r i n g > < / k e y > < v a l u e > < s t r i n g > W C h a r < / s t r i n g > < / v a l u e > < / i t e m > < i t e m > < k e y > < s t r i n g > A v g < / s t r i n g > < / k e y > < v a l u e > < s t r i n g > D o u b l e < / s t r i n g > < / v a l u e > < / i t e m > < i t e m > < k e y > < s t r i n g > S o u r c e < / s t r i n g > < / k e y > < v a l u e > < s t r i n g > W C h a r < / s t r i n g > < / v a l u e > < / i t e m > < i t e m > < k e y > < s t r i n g > M e t h o d < / s t r i n g > < / k e y > < v a l u e > < s t r i n g > W C h a r < / s t r i n g > < / v a l u e > < / i t e m > < i t e m > < k e y > < s t r i n g > T y p e   o f   A c c o m o d a t i o n < / s t r i n g > < / k e y > < v a l u e > < s t r i n g > W C h a r < / s t r i n g > < / v a l u e > < / i t e m > < i t e m > < k e y > < s t r i n g > C o m m e n t < / s t r i n g > < / k e y > < v a l u e > < s t r i n g > W C h a r < / s t r i n g > < / v a l u e > < / i t e m > < / C o l u m n S u g g e s t e d T y p e > < C o l u m n F o r m a t > < i t e m > < k e y > < s t r i n g > S r   N o < / s t r i n g > < / k e y > < v a l u e > < s t r i n g > G e n e r a l < / s t r i n g > < / v a l u e > < / i t e m > < i t e m > < k e y > < s t r i n g > U p d a t e   D a t e < / s t r i n g > < / k e y > < v a l u e > < s t r i n g > D a t e S h o r t D a t e P a t t e r n < / s t r i n g > < / v a l u e > < / i t e m > < i t e m > < k e y > < s t r i n g > S t a t u s < / s t r i n g > < / k e y > < v a l u e > < s t r i n g > T e x t < / s t r i n g > < / v a l u e > < / i t e m > < i t e m > < k e y > < s t r i n g > S t a t e < / s t r i n g > < / k e y > < v a l u e > < s t r i n g > T e x t < / s t r i n g > < / v a l u e > < / i t e m > < i t e m > < k e y > < s t r i n g > S t a t e _ P c o d e < / s t r i n g > < / k e y > < v a l u e > < s t r i n g > T e x t < / s t r i n g > < / v a l u e > < / i t e m > < i t e m > < k e y > < s t r i n g > T O W N S H I P _ N A M E < / s t r i n g > < / k e y > < v a l u e > < s t r i n g > T e x t < / s t r i n g > < / v a l u e > < / i t e m > < i t e m > < k e y > < s t r i n g > T o w n s h i p _ P c o d e < / s t r i n g > < / k e y > < v a l u e > < s t r i n g > T e x t < / s t r i n g > < / v a l u e > < / i t e m > < i t e m > < k e y > < s t r i n g > C a m p   N a m e < / s t r i n g > < / k e y > < v a l u e > < s t r i n g > T e x t < / s t r i n g > < / v a l u e > < / i t e m > < i t e m > < k e y > < s t r i n g > P _ C o d e < / s t r i n g > < / k e y > < v a l u e > < s t r i n g > T e x t < / s t r i n g > < / v a l u e > < / i t e m > < i t e m > < k e y > < s t r i n g > A c c e s s i b i l i t y < / s t r i n g > < / k e y > < v a l u e > < s t r i n g > T e x t < / s t r i n g > < / v a l u e > < / i t e m > < i t e m > < k e y > < s t r i n g > L o n g i t u d e < / s t r i n g > < / k e y > < v a l u e > < s t r i n g > T e x t < / s t r i n g > < / v a l u e > < / i t e m > < i t e m > < k e y > < s t r i n g > L a t i t u d e < / s t r i n g > < / k e y > < v a l u e > < s t r i n g > T e x t < / s t r i n g > < / v a l u e > < / i t e m > < i t e m > < k e y > < s t r i n g > H H < / s t r i n g > < / k e y > < v a l u e > < s t r i n g > T e x t < / s t r i n g > < / v a l u e > < / i t e m > < i t e m > < k e y > < s t r i n g > T o t a l < / s t r i n g > < / k e y > < v a l u e > < s t r i n g > T e x t < / s t r i n g > < / v a l u e > < / i t e m > < i t e m > < k e y > < s t r i n g > A v g < / s t r i n g > < / k e y > < v a l u e > < s t r i n g > G e n e r a l < / s t r i n g > < / v a l u e > < / i t e m > < i t e m > < k e y > < s t r i n g > S o u r c e < / s t r i n g > < / k e y > < v a l u e > < s t r i n g > T e x t < / s t r i n g > < / v a l u e > < / i t e m > < i t e m > < k e y > < s t r i n g > M e t h o d < / s t r i n g > < / k e y > < v a l u e > < s t r i n g > T e x t < / s t r i n g > < / v a l u e > < / i t e m > < i t e m > < k e y > < s t r i n g > T y p e   o f   A c c o m o d a t i o n < / s t r i n g > < / k e y > < v a l u e > < s t r i n g > T e x t < / s t r i n g > < / v a l u e > < / i t e m > < i t e m > < k e y > < s t r i n g > C o m m e n t < / s t r i n g > < / k e y > < v a l u e > < s t r i n g > T e x t < / s t r i n g > < / v a l u e > < / i t e m > < i t e m > < k e y > < s t r i n g > A d d   C o l u m n < / s t r i n g > < / k e y > < v a l u e > < s t r i n g > T e x t < / s t r i n g > < / v a l u e > < / i t e m > < i t e m > < k e y > < s t r i n g > V i l l a g e T r a c K T o w n _ N a m e < / s t r i n g > < / k e y > < v a l u e > < s t r i n g > T e x t < / s t r i n g > < / v a l u e > < / i t e m > < i t e m > < k e y > < s t r i n g > V i l l a g e T r a c k T o w n _ P c o d e < / s t r i n g > < / k e y > < v a l u e > < s t r i n g > T e x t < / s t r i n g > < / v a l u e > < / i t e m > < i t e m > < k e y > < s t r i n g > V i l l a g e W a r d _ N a m e < / s t r i n g > < / k e y > < v a l u e > < s t r i n g > T e x t < / s t r i n g > < / v a l u e > < / i t e m > < i t e m > < k e y > < s t r i n g > V i l l a g e W a r d _ P c o d e < / s t r i n g > < / k e y > < v a l u e > < s t r i n g > T e x t < / s t r i n g > < / v a l u e > < / i t e m > < / C o l u m n F o r m a t > < C o l u m n A c c u r a c y > < i t e m > < k e y > < s t r i n g > S r   N o < / s t r i n g > < / k e y > < v a l u e > < i n t > 0 < / i n t > < / v a l u e > < / i t e m > < i t e m > < k e y > < s t r i n g > U p d a t e   D a t e < / s t r i n g > < / k e y > < v a l u e > < i n t > 0 < / i n t > < / v a l u e > < / i t e m > < i t e m > < k e y > < s t r i n g > S t a t u s < / s t r i n g > < / k e y > < v a l u e > < i n t > 0 < / i n t > < / v a l u e > < / i t e m > < i t e m > < k e y > < s t r i n g > S t a t e < / s t r i n g > < / k e y > < v a l u e > < i n t > 0 < / i n t > < / v a l u e > < / i t e m > < i t e m > < k e y > < s t r i n g > S t a t e _ P c o d e < / s t r i n g > < / k e y > < v a l u e > < i n t > 0 < / i n t > < / v a l u e > < / i t e m > < i t e m > < k e y > < s t r i n g > T O W N S H I P _ N A M E < / s t r i n g > < / k e y > < v a l u e > < i n t > 0 < / i n t > < / v a l u e > < / i t e m > < i t e m > < k e y > < s t r i n g > T o w n s h i p _ P c o d e < / s t r i n g > < / k e y > < v a l u e > < i n t > 0 < / i n t > < / v a l u e > < / i t e m > < i t e m > < k e y > < s t r i n g > C a m p   N a m e < / s t r i n g > < / k e y > < v a l u e > < i n t > 0 < / i n t > < / v a l u e > < / i t e m > < i t e m > < k e y > < s t r i n g > P _ C o d e < / s t r i n g > < / k e y > < v a l u e > < i n t > 0 < / i n t > < / v a l u e > < / i t e m > < i t e m > < k e y > < s t r i n g > A c c e s s i b i l i t y < / s t r i n g > < / k e y > < v a l u e > < i n t > 0 < / i n t > < / v a l u e > < / i t e m > < i t e m > < k e y > < s t r i n g > L o n g i t u d e < / s t r i n g > < / k e y > < v a l u e > < i n t > 0 < / i n t > < / v a l u e > < / i t e m > < i t e m > < k e y > < s t r i n g > L a t i t u d e < / s t r i n g > < / k e y > < v a l u e > < i n t > 0 < / i n t > < / v a l u e > < / i t e m > < i t e m > < k e y > < s t r i n g > H H < / s t r i n g > < / k e y > < v a l u e > < i n t > 0 < / i n t > < / v a l u e > < / i t e m > < i t e m > < k e y > < s t r i n g > T o t a l < / s t r i n g > < / k e y > < v a l u e > < i n t > 0 < / i n t > < / v a l u e > < / i t e m > < i t e m > < k e y > < s t r i n g > A v g < / s t r i n g > < / k e y > < v a l u e > < i n t > 0 < / i n t > < / v a l u e > < / i t e m > < i t e m > < k e y > < s t r i n g > S o u r c e < / s t r i n g > < / k e y > < v a l u e > < i n t > 0 < / i n t > < / v a l u e > < / i t e m > < i t e m > < k e y > < s t r i n g > M e t h o d < / s t r i n g > < / k e y > < v a l u e > < i n t > 0 < / i n t > < / v a l u e > < / i t e m > < i t e m > < k e y > < s t r i n g > T y p e   o f   A c c o m o d a t i o n < / s t r i n g > < / k e y > < v a l u e > < i n t > 0 < / i n t > < / v a l u e > < / i t e m > < i t e m > < k e y > < s t r i n g > C o m m e n t < / s t r i n g > < / k e y > < v a l u e > < i n t > 0 < / i n t > < / v a l u e > < / i t e m > < i t e m > < k e y > < s t r i n g > A d d   C o l u m n < / s t r i n g > < / k e y > < v a l u e > < i n t > 0 < / i n t > < / v a l u e > < / i t e m > < i t e m > < k e y > < s t r i n g > V i l l a g e T r a c K T o w n _ N a m e < / s t r i n g > < / k e y > < v a l u e > < i n t > 0 < / i n t > < / v a l u e > < / i t e m > < i t e m > < k e y > < s t r i n g > V i l l a g e T r a c k T o w n _ P c o d e < / s t r i n g > < / k e y > < v a l u e > < i n t > 0 < / i n t > < / v a l u e > < / i t e m > < i t e m > < k e y > < s t r i n g > V i l l a g e W a r d _ N a m e < / s t r i n g > < / k e y > < v a l u e > < i n t > 0 < / i n t > < / v a l u e > < / i t e m > < i t e m > < k e y > < s t r i n g > V i l l a g e W a r d _ P c o d e < / s t r i n g > < / k e y > < v a l u e > < i n t > 0 < / i n t > < / v a l u e > < / i t e m > < / C o l u m n A c c u r a c y > < C o l u m n C u r r e n c y S y m b o l > < i t e m > < k e y > < s t r i n g > S r   N o < / s t r i n g > < / k e y > < v a l u e > < s t r i n g > $ < / s t r i n g > < / v a l u e > < / i t e m > < i t e m > < k e y > < s t r i n g > U p d a t e   D a t e < / s t r i n g > < / k e y > < v a l u e > < s t r i n g > $ < / s t r i n g > < / v a l u e > < / i t e m > < i t e m > < k e y > < s t r i n g > S t a t u s < / s t r i n g > < / k e y > < v a l u e > < s t r i n g > $ < / s t r i n g > < / v a l u e > < / i t e m > < i t e m > < k e y > < s t r i n g > S t a t e < / s t r i n g > < / k e y > < v a l u e > < s t r i n g > $ < / s t r i n g > < / v a l u e > < / i t e m > < i t e m > < k e y > < s t r i n g > S t a t e _ P c o d e < / s t r i n g > < / k e y > < v a l u e > < s t r i n g > $ < / s t r i n g > < / v a l u e > < / i t e m > < i t e m > < k e y > < s t r i n g > T O W N S H I P _ N A M E < / s t r i n g > < / k e y > < v a l u e > < s t r i n g > $ < / s t r i n g > < / v a l u e > < / i t e m > < i t e m > < k e y > < s t r i n g > T o w n s h i p _ P c o d e < / s t r i n g > < / k e y > < v a l u e > < s t r i n g > $ < / s t r i n g > < / v a l u e > < / i t e m > < i t e m > < k e y > < s t r i n g > C a m p   N a m e < / s t r i n g > < / k e y > < v a l u e > < s t r i n g > $ < / s t r i n g > < / v a l u e > < / i t e m > < i t e m > < k e y > < s t r i n g > P _ C o d e < / s t r i n g > < / k e y > < v a l u e > < s t r i n g > $ < / s t r i n g > < / v a l u e > < / i t e m > < i t e m > < k e y > < s t r i n g > A c c e s s i b i l i t y < / s t r i n g > < / k e y > < v a l u e > < s t r i n g > $ < / s t r i n g > < / v a l u e > < / i t e m > < i t e m > < k e y > < s t r i n g > L o n g i t u d e < / s t r i n g > < / k e y > < v a l u e > < s t r i n g > $ < / s t r i n g > < / v a l u e > < / i t e m > < i t e m > < k e y > < s t r i n g > L a t i t u d e < / s t r i n g > < / k e y > < v a l u e > < s t r i n g > $ < / s t r i n g > < / v a l u e > < / i t e m > < i t e m > < k e y > < s t r i n g > H H < / s t r i n g > < / k e y > < v a l u e > < s t r i n g > $ < / s t r i n g > < / v a l u e > < / i t e m > < i t e m > < k e y > < s t r i n g > T o t a l < / s t r i n g > < / k e y > < v a l u e > < s t r i n g > $ < / s t r i n g > < / v a l u e > < / i t e m > < i t e m > < k e y > < s t r i n g > A v g < / s t r i n g > < / k e y > < v a l u e > < s t r i n g > $ < / s t r i n g > < / v a l u e > < / i t e m > < i t e m > < k e y > < s t r i n g > S o u r c e < / s t r i n g > < / k e y > < v a l u e > < s t r i n g > $ < / s t r i n g > < / v a l u e > < / i t e m > < i t e m > < k e y > < s t r i n g > M e t h o d < / s t r i n g > < / k e y > < v a l u e > < s t r i n g > $ < / s t r i n g > < / v a l u e > < / i t e m > < i t e m > < k e y > < s t r i n g > T y p e   o f   A c c o m o d a t i o n < / s t r i n g > < / k e y > < v a l u e > < s t r i n g > $ < / s t r i n g > < / v a l u e > < / i t e m > < i t e m > < k e y > < s t r i n g > C o m m e n t < / s t r i n g > < / k e y > < v a l u e > < s t r i n g > $ < / s t r i n g > < / v a l u e > < / i t e m > < i t e m > < k e y > < s t r i n g > A d d   C o l u m n < / s t r i n g > < / k e y > < v a l u e > < s t r i n g > $ < / s t r i n g > < / v a l u e > < / i t e m > < i t e m > < k e y > < s t r i n g > V i l l a g e T r a c K T o w n _ N a m e < / s t r i n g > < / k e y > < v a l u e > < s t r i n g > $ < / s t r i n g > < / v a l u e > < / i t e m > < i t e m > < k e y > < s t r i n g > V i l l a g e T r a c k T o w n _ P c o d e < / s t r i n g > < / k e y > < v a l u e > < s t r i n g > $ < / s t r i n g > < / v a l u e > < / i t e m > < i t e m > < k e y > < s t r i n g > V i l l a g e W a r d _ N a m e < / s t r i n g > < / k e y > < v a l u e > < s t r i n g > $ < / s t r i n g > < / v a l u e > < / i t e m > < i t e m > < k e y > < s t r i n g > V i l l a g e W a r d _ P c o d e < / s t r i n g > < / k e y > < v a l u e > < s t r i n g > $ < / s t r i n g > < / v a l u e > < / i t e m > < / C o l u m n C u r r e n c y S y m b o l > < C o l u m n P o s i t i v e P a t t e r n > < i t e m > < k e y > < s t r i n g > S r   N o < / s t r i n g > < / k e y > < v a l u e > < i n t > 0 < / i n t > < / v a l u e > < / i t e m > < i t e m > < k e y > < s t r i n g > U p d a t e   D a t e < / s t r i n g > < / k e y > < v a l u e > < i n t > 0 < / i n t > < / v a l u e > < / i t e m > < i t e m > < k e y > < s t r i n g > S t a t u s < / s t r i n g > < / k e y > < v a l u e > < i n t > 0 < / i n t > < / v a l u e > < / i t e m > < i t e m > < k e y > < s t r i n g > S t a t e < / s t r i n g > < / k e y > < v a l u e > < i n t > 0 < / i n t > < / v a l u e > < / i t e m > < i t e m > < k e y > < s t r i n g > S t a t e _ P c o d e < / s t r i n g > < / k e y > < v a l u e > < i n t > 0 < / i n t > < / v a l u e > < / i t e m > < i t e m > < k e y > < s t r i n g > T O W N S H I P _ N A M E < / s t r i n g > < / k e y > < v a l u e > < i n t > 0 < / i n t > < / v a l u e > < / i t e m > < i t e m > < k e y > < s t r i n g > T o w n s h i p _ P c o d e < / s t r i n g > < / k e y > < v a l u e > < i n t > 0 < / i n t > < / v a l u e > < / i t e m > < i t e m > < k e y > < s t r i n g > C a m p   N a m e < / s t r i n g > < / k e y > < v a l u e > < i n t > 0 < / i n t > < / v a l u e > < / i t e m > < i t e m > < k e y > < s t r i n g > P _ C o d e < / s t r i n g > < / k e y > < v a l u e > < i n t > 0 < / i n t > < / v a l u e > < / i t e m > < i t e m > < k e y > < s t r i n g > A c c e s s i b i l i t y < / s t r i n g > < / k e y > < v a l u e > < i n t > 0 < / i n t > < / v a l u e > < / i t e m > < i t e m > < k e y > < s t r i n g > L o n g i t u d e < / s t r i n g > < / k e y > < v a l u e > < i n t > 0 < / i n t > < / v a l u e > < / i t e m > < i t e m > < k e y > < s t r i n g > L a t i t u d e < / s t r i n g > < / k e y > < v a l u e > < i n t > 0 < / i n t > < / v a l u e > < / i t e m > < i t e m > < k e y > < s t r i n g > H H < / s t r i n g > < / k e y > < v a l u e > < i n t > 0 < / i n t > < / v a l u e > < / i t e m > < i t e m > < k e y > < s t r i n g > T o t a l < / s t r i n g > < / k e y > < v a l u e > < i n t > 0 < / i n t > < / v a l u e > < / i t e m > < i t e m > < k e y > < s t r i n g > A v g < / s t r i n g > < / k e y > < v a l u e > < i n t > 0 < / i n t > < / v a l u e > < / i t e m > < i t e m > < k e y > < s t r i n g > S o u r c e < / s t r i n g > < / k e y > < v a l u e > < i n t > 0 < / i n t > < / v a l u e > < / i t e m > < i t e m > < k e y > < s t r i n g > M e t h o d < / s t r i n g > < / k e y > < v a l u e > < i n t > 0 < / i n t > < / v a l u e > < / i t e m > < i t e m > < k e y > < s t r i n g > T y p e   o f   A c c o m o d a t i o n < / s t r i n g > < / k e y > < v a l u e > < i n t > 0 < / i n t > < / v a l u e > < / i t e m > < i t e m > < k e y > < s t r i n g > C o m m e n t < / s t r i n g > < / k e y > < v a l u e > < i n t > 0 < / i n t > < / v a l u e > < / i t e m > < i t e m > < k e y > < s t r i n g > A d d   C o l u m n < / s t r i n g > < / k e y > < v a l u e > < i n t > 0 < / i n t > < / v a l u e > < / i t e m > < i t e m > < k e y > < s t r i n g > V i l l a g e T r a c K T o w n _ N a m e < / s t r i n g > < / k e y > < v a l u e > < i n t > 0 < / i n t > < / v a l u e > < / i t e m > < i t e m > < k e y > < s t r i n g > V i l l a g e T r a c k T o w n _ P c o d e < / s t r i n g > < / k e y > < v a l u e > < i n t > 0 < / i n t > < / v a l u e > < / i t e m > < i t e m > < k e y > < s t r i n g > V i l l a g e W a r d _ N a m e < / s t r i n g > < / k e y > < v a l u e > < i n t > 0 < / i n t > < / v a l u e > < / i t e m > < i t e m > < k e y > < s t r i n g > V i l l a g e W a r d _ P c o d e < / s t r i n g > < / k e y > < v a l u e > < i n t > 0 < / i n t > < / v a l u e > < / i t e m > < / C o l u m n P o s i t i v e P a t t e r n > < C o l u m n N e g a t i v e P a t t e r n > < i t e m > < k e y > < s t r i n g > S r   N o < / s t r i n g > < / k e y > < v a l u e > < i n t > 0 < / i n t > < / v a l u e > < / i t e m > < i t e m > < k e y > < s t r i n g > U p d a t e   D a t e < / s t r i n g > < / k e y > < v a l u e > < i n t > 0 < / i n t > < / v a l u e > < / i t e m > < i t e m > < k e y > < s t r i n g > S t a t u s < / s t r i n g > < / k e y > < v a l u e > < i n t > 0 < / i n t > < / v a l u e > < / i t e m > < i t e m > < k e y > < s t r i n g > S t a t e < / s t r i n g > < / k e y > < v a l u e > < i n t > 0 < / i n t > < / v a l u e > < / i t e m > < i t e m > < k e y > < s t r i n g > S t a t e _ P c o d e < / s t r i n g > < / k e y > < v a l u e > < i n t > 0 < / i n t > < / v a l u e > < / i t e m > < i t e m > < k e y > < s t r i n g > T O W N S H I P _ N A M E < / s t r i n g > < / k e y > < v a l u e > < i n t > 0 < / i n t > < / v a l u e > < / i t e m > < i t e m > < k e y > < s t r i n g > T o w n s h i p _ P c o d e < / s t r i n g > < / k e y > < v a l u e > < i n t > 0 < / i n t > < / v a l u e > < / i t e m > < i t e m > < k e y > < s t r i n g > C a m p   N a m e < / s t r i n g > < / k e y > < v a l u e > < i n t > 0 < / i n t > < / v a l u e > < / i t e m > < i t e m > < k e y > < s t r i n g > P _ C o d e < / s t r i n g > < / k e y > < v a l u e > < i n t > 0 < / i n t > < / v a l u e > < / i t e m > < i t e m > < k e y > < s t r i n g > A c c e s s i b i l i t y < / s t r i n g > < / k e y > < v a l u e > < i n t > 0 < / i n t > < / v a l u e > < / i t e m > < i t e m > < k e y > < s t r i n g > L o n g i t u d e < / s t r i n g > < / k e y > < v a l u e > < i n t > 0 < / i n t > < / v a l u e > < / i t e m > < i t e m > < k e y > < s t r i n g > L a t i t u d e < / s t r i n g > < / k e y > < v a l u e > < i n t > 0 < / i n t > < / v a l u e > < / i t e m > < i t e m > < k e y > < s t r i n g > H H < / s t r i n g > < / k e y > < v a l u e > < i n t > 0 < / i n t > < / v a l u e > < / i t e m > < i t e m > < k e y > < s t r i n g > T o t a l < / s t r i n g > < / k e y > < v a l u e > < i n t > 0 < / i n t > < / v a l u e > < / i t e m > < i t e m > < k e y > < s t r i n g > A v g < / s t r i n g > < / k e y > < v a l u e > < i n t > 0 < / i n t > < / v a l u e > < / i t e m > < i t e m > < k e y > < s t r i n g > S o u r c e < / s t r i n g > < / k e y > < v a l u e > < i n t > 0 < / i n t > < / v a l u e > < / i t e m > < i t e m > < k e y > < s t r i n g > M e t h o d < / s t r i n g > < / k e y > < v a l u e > < i n t > 0 < / i n t > < / v a l u e > < / i t e m > < i t e m > < k e y > < s t r i n g > T y p e   o f   A c c o m o d a t i o n < / s t r i n g > < / k e y > < v a l u e > < i n t > 0 < / i n t > < / v a l u e > < / i t e m > < i t e m > < k e y > < s t r i n g > C o m m e n t < / s t r i n g > < / k e y > < v a l u e > < i n t > 0 < / i n t > < / v a l u e > < / i t e m > < i t e m > < k e y > < s t r i n g > A d d   C o l u m n < / s t r i n g > < / k e y > < v a l u e > < i n t > 0 < / i n t > < / v a l u e > < / i t e m > < i t e m > < k e y > < s t r i n g > V i l l a g e T r a c K T o w n _ N a m e < / s t r i n g > < / k e y > < v a l u e > < i n t > 0 < / i n t > < / v a l u e > < / i t e m > < i t e m > < k e y > < s t r i n g > V i l l a g e T r a c k T o w n _ P c o d e < / s t r i n g > < / k e y > < v a l u e > < i n t > 0 < / i n t > < / v a l u e > < / i t e m > < i t e m > < k e y > < s t r i n g > V i l l a g e W a r d _ N a m e < / s t r i n g > < / k e y > < v a l u e > < i n t > 0 < / i n t > < / v a l u e > < / i t e m > < i t e m > < k e y > < s t r i n g > V i l l a g e W a r d _ P c o d e < / s t r i n g > < / k e y > < v a l u e > < i n t > 0 < / i n t > < / v a l u e > < / i t e m > < / C o l u m n N e g a t i v e P a t t e r n > < C o l u m n W i d t h s > < i t e m > < k e y > < s t r i n g > S r   N o < / s t r i n g > < / k e y > < v a l u e > < i n t > 6 8 < / i n t > < / v a l u e > < / i t e m > < i t e m > < k e y > < s t r i n g > U p d a t e   D a t e < / s t r i n g > < / k e y > < v a l u e > < i n t > 1 1 2 < / i n t > < / v a l u e > < / i t e m > < i t e m > < k e y > < s t r i n g > S t a t u s < / s t r i n g > < / k e y > < v a l u e > < i n t > 7 3 < / i n t > < / v a l u e > < / i t e m > < i t e m > < k e y > < s t r i n g > S t a t e < / s t r i n g > < / k e y > < v a l u e > < i n t > 6 7 < / i n t > < / v a l u e > < / i t e m > < i t e m > < k e y > < s t r i n g > S t a t e _ P c o d e < / s t r i n g > < / k e y > < v a l u e > < i n t > 1 1 2 < / i n t > < / v a l u e > < / i t e m > < i t e m > < k e y > < s t r i n g > T O W N S H I P _ N A M E < / s t r i n g > < / k e y > < v a l u e > < i n t > 1 4 8 < / i n t > < / v a l u e > < / i t e m > < i t e m > < k e y > < s t r i n g > T o w n s h i p _ P c o d e < / s t r i n g > < / k e y > < v a l u e > < i n t > 1 3 9 < / i n t > < / v a l u e > < / i t e m > < i t e m > < k e y > < s t r i n g > C a m p   N a m e < / s t r i n g > < / k e y > < v a l u e > < i n t > 2 2 7 < / i n t > < / v a l u e > < / i t e m > < i t e m > < k e y > < s t r i n g > P _ C o d e < / s t r i n g > < / k e y > < v a l u e > < i n t > 1 3 5 < / i n t > < / v a l u e > < / i t e m > < i t e m > < k e y > < s t r i n g > A c c e s s i b i l i t y < / s t r i n g > < / k e y > < v a l u e > < i n t > 1 1 2 < / i n t > < / v a l u e > < / i t e m > < i t e m > < k e y > < s t r i n g > L o n g i t u d e < / s t r i n g > < / k e y > < v a l u e > < i n t > 9 7 < / i n t > < / v a l u e > < / i t e m > < i t e m > < k e y > < s t r i n g > L a t i t u d e < / s t r i n g > < / k e y > < v a l u e > < i n t > 8 5 < / i n t > < / v a l u e > < / i t e m > < i t e m > < k e y > < s t r i n g > H H < / s t r i n g > < / k e y > < v a l u e > < i n t > 5 3 < / i n t > < / v a l u e > < / i t e m > < i t e m > < k e y > < s t r i n g > T o t a l < / s t r i n g > < / k e y > < v a l u e > < i n t > 6 5 < / i n t > < / v a l u e > < / i t e m > < i t e m > < k e y > < s t r i n g > A v g < / s t r i n g > < / k e y > < v a l u e > < i n t > 5 8 < / i n t > < / v a l u e > < / i t e m > < i t e m > < k e y > < s t r i n g > S o u r c e < / s t r i n g > < / k e y > < v a l u e > < i n t > 7 7 < / i n t > < / v a l u e > < / i t e m > < i t e m > < k e y > < s t r i n g > M e t h o d < / s t r i n g > < / k e y > < v a l u e > < i n t > 8 4 < / i n t > < / v a l u e > < / i t e m > < i t e m > < k e y > < s t r i n g > T y p e   o f   A c c o m o d a t i o n < / s t r i n g > < / k e y > < v a l u e > < i n t > 1 7 1 < / i n t > < / v a l u e > < / i t e m > < i t e m > < k e y > < s t r i n g > C o m m e n t < / s t r i n g > < / k e y > < v a l u e > < i n t > 9 6 < / i n t > < / v a l u e > < / i t e m > < i t e m > < k e y > < s t r i n g > A d d   C o l u m n < / s t r i n g > < / k e y > < v a l u e > < i n t > 1 1 3 < / i n t > < / v a l u e > < / i t e m > < i t e m > < k e y > < s t r i n g > V i l l a g e T r a c K T o w n _ N a m e < / s t r i n g > < / k e y > < v a l u e > < i n t > 1 8 5 < / i n t > < / v a l u e > < / i t e m > < i t e m > < k e y > < s t r i n g > V i l l a g e T r a c k T o w n _ P c o d e < / s t r i n g > < / k e y > < v a l u e > < i n t > 1 8 5 < / i n t > < / v a l u e > < / i t e m > < i t e m > < k e y > < s t r i n g > V i l l a g e W a r d _ N a m e < / s t r i n g > < / k e y > < v a l u e > < i n t > 1 5 2 < / i n t > < / v a l u e > < / i t e m > < i t e m > < k e y > < s t r i n g > V i l l a g e W a r d _ P c o d e < / s t r i n g > < / k e y > < v a l u e > < i n t > 1 5 3 < / i n t > < / v a l u e > < / i t e m > < / C o l u m n W i d t h s > < C o l u m n D i s p l a y I n d e x > < i t e m > < k e y > < s t r i n g > S r   N o < / s t r i n g > < / k e y > < v a l u e > < i n t > 0 < / i n t > < / v a l u e > < / i t e m > < i t e m > < k e y > < s t r i n g > U p d a t e   D a t e < / s t r i n g > < / k e y > < v a l u e > < i n t > 1 < / i n t > < / v a l u e > < / i t e m > < i t e m > < k e y > < s t r i n g > S t a t u s < / s t r i n g > < / k e y > < v a l u e > < i n t > 2 < / i n t > < / v a l u e > < / i t e m > < i t e m > < k e y > < s t r i n g > S t a t e < / s t r i n g > < / k e y > < v a l u e > < i n t > 3 < / i n t > < / v a l u e > < / i t e m > < i t e m > < k e y > < s t r i n g > S t a t e _ P c o d e < / s t r i n g > < / k e y > < v a l u e > < i n t > 4 < / i n t > < / v a l u e > < / i t e m > < i t e m > < k e y > < s t r i n g > T O W N S H I P _ N A M E < / s t r i n g > < / k e y > < v a l u e > < i n t > 5 < / i n t > < / v a l u e > < / i t e m > < i t e m > < k e y > < s t r i n g > T o w n s h i p _ P c o d e < / s t r i n g > < / k e y > < v a l u e > < i n t > 6 < / i n t > < / v a l u e > < / i t e m > < i t e m > < k e y > < s t r i n g > C a m p   N a m e < / s t r i n g > < / k e y > < v a l u e > < i n t > 7 < / i n t > < / v a l u e > < / i t e m > < i t e m > < k e y > < s t r i n g > P _ C o d e < / s t r i n g > < / k e y > < v a l u e > < i n t > 8 < / i n t > < / v a l u e > < / i t e m > < i t e m > < k e y > < s t r i n g > A c c e s s i b i l i t y < / s t r i n g > < / k e y > < v a l u e > < i n t > 9 < / i n t > < / v a l u e > < / i t e m > < i t e m > < k e y > < s t r i n g > L o n g i t u d e < / s t r i n g > < / k e y > < v a l u e > < i n t > 1 0 < / i n t > < / v a l u e > < / i t e m > < i t e m > < k e y > < s t r i n g > L a t i t u d e < / s t r i n g > < / k e y > < v a l u e > < i n t > 1 1 < / i n t > < / v a l u e > < / i t e m > < i t e m > < k e y > < s t r i n g > H H < / s t r i n g > < / k e y > < v a l u e > < i n t > 1 2 < / i n t > < / v a l u e > < / i t e m > < i t e m > < k e y > < s t r i n g > T o t a l < / s t r i n g > < / k e y > < v a l u e > < i n t > 1 3 < / i n t > < / v a l u e > < / i t e m > < i t e m > < k e y > < s t r i n g > A v g < / s t r i n g > < / k e y > < v a l u e > < i n t > 1 4 < / i n t > < / v a l u e > < / i t e m > < i t e m > < k e y > < s t r i n g > S o u r c e < / s t r i n g > < / k e y > < v a l u e > < i n t > 1 5 < / i n t > < / v a l u e > < / i t e m > < i t e m > < k e y > < s t r i n g > M e t h o d < / s t r i n g > < / k e y > < v a l u e > < i n t > 1 6 < / i n t > < / v a l u e > < / i t e m > < i t e m > < k e y > < s t r i n g > T y p e   o f   A c c o m o d a t i o n < / s t r i n g > < / k e y > < v a l u e > < i n t > 1 7 < / i n t > < / v a l u e > < / i t e m > < i t e m > < k e y > < s t r i n g > C o m m e n t < / s t r i n g > < / k e y > < v a l u e > < i n t > 1 8 < / i n t > < / v a l u e > < / i t e m > < i t e m > < k e y > < s t r i n g > A d d   C o l u m n < / s t r i n g > < / k e y > < v a l u e > < i n t > 2 3 < / i n t > < / v a l u e > < / i t e m > < i t e m > < k e y > < s t r i n g > V i l l a g e T r a c K T o w n _ N a m e < / s t r i n g > < / k e y > < v a l u e > < i n t > 1 9 < / i n t > < / v a l u e > < / i t e m > < i t e m > < k e y > < s t r i n g > V i l l a g e T r a c k T o w n _ P c o d e < / s t r i n g > < / k e y > < v a l u e > < i n t > 2 0 < / i n t > < / v a l u e > < / i t e m > < i t e m > < k e y > < s t r i n g > V i l l a g e W a r d _ N a m e < / s t r i n g > < / k e y > < v a l u e > < i n t > 2 1 < / i n t > < / v a l u e > < / i t e m > < i t e m > < k e y > < s t r i n g > V i l l a g e W a r d _ P c o d e < / s t r i n g > < / k e y > < v a l u e > < i n t > 2 2 < / i n t > < / v a l u e > < / i t e m > < / C o l u m n D i s p l a y I n d e x > < C o l u m n F r o z e n   / > < C o l u m n H i d d e n   / > < C o l u m n C h e c k e d   / > < C o l u m n F i l t e r   / > < S e l e c t i o n F i l t e r   / > < F i l t e r P a r a m e t e r s   / > < I s S o r t D e s c e n d i n g > f a l s e < / I s S o r t D e s c e n d i n g > < / T a b l e W i d g e t G r i d S e r i a l i z a t i o n > ] ] > < / C u s t o m C o n t e n t > < / G e m i n i > 
</file>

<file path=customXml/item7.xml>��< ? x m l   v e r s i o n = " 1 . 0 "   e n c o d i n g = " U T F - 1 6 " ? > < G e m i n i   x m l n s = " h t t p : / / g e m i n i / p i v o t c u s t o m i z a t i o n / M a n u a l C a l c M o d e " > < C u s t o m C o n t e n t > < ! [ C D A T A [ F a l s e ] ] > < / C u s t o m C o n t e n t > < / G e m i n i > 
</file>

<file path=customXml/item8.xml>��< ? x m l   v e r s i o n = " 1 . 0 "   e n c o d i n g = " U T F - 1 6 " ? > < G e m i n i   x m l n s = " h t t p : / / g e m i n i / w o r k b o o k c u s t o m i z a t i o n / L i n k e d T a b l e s " > < C u s t o m C o n t e n t > < ! [ C D A T A [ < L i n k e d T a b l e s   x m l n s : x s i = " h t t p : / / w w w . w 3 . o r g / 2 0 0 1 / X M L S c h e m a - i n s t a n c e "   x m l n s : x s d = " h t t p : / / w w w . w 3 . o r g / 2 0 0 1 / X M L S c h e m a " > < L i n k e d T a b l e L i s t > < L i n k e d T a b l e I n f o > < E x c e l T a b l e N a m e > T a b l e _ S h e l t e r < / E x c e l T a b l e N a m e > < G e m i n i T a b l e I d > T a b l e _ S h e l t e r < / G e m i n i T a b l e I d > < L i n k e d C o l u m n L i s t > < L i n k e d C o l u m n I n f o > < E x c e l C o l u m n N a m e > D a t e U p d a t e d < / E x c e l C o l u m n N a m e > < G e m i n i C o l u m n I d > D a t e U p d a t e d < / G e m i n i C o l u m n I d > < / L i n k e d C o l u m n I n f o > < L i n k e d C o l u m n I n f o > < E x c e l C o l u m n N a m e > O r g a n i z a t i o n < / E x c e l C o l u m n N a m e > < G e m i n i C o l u m n I d > O r g a n i z a t i o n < / G e m i n i C o l u m n I d > < / L i n k e d C o l u m n I n f o > < L i n k e d C o l u m n I n f o > < E x c e l C o l u m n N a m e > I m p l e m e n t i n g P a r t n e r < / E x c e l C o l u m n N a m e > < G e m i n i C o l u m n I d > I m p l e m e n t i n g P a r t n e r < / G e m i n i C o l u m n I d > < / L i n k e d C o l u m n I n f o > < L i n k e d C o l u m n I n f o > < E x c e l C o l u m n N a m e > S t a t e < / E x c e l C o l u m n N a m e > < G e m i n i C o l u m n I d > S t a t e < / G e m i n i C o l u m n I d > < / L i n k e d C o l u m n I n f o > < L i n k e d C o l u m n I n f o > < E x c e l C o l u m n N a m e > T o w n s h i p < / E x c e l C o l u m n N a m e > < G e m i n i C o l u m n I d > T o w n s h i p < / G e m i n i C o l u m n I d > < / L i n k e d C o l u m n I n f o > < L i n k e d C o l u m n I n f o > < E x c e l C o l u m n N a m e > C a m p N a m e < / E x c e l C o l u m n N a m e > < G e m i n i C o l u m n I d > C a m p N a m e < / G e m i n i C o l u m n I d > < / L i n k e d C o l u m n I n f o > < L i n k e d C o l u m n I n f o > < E x c e l C o l u m n N a m e > H H p e r S h e l t e r < / E x c e l C o l u m n N a m e > < G e m i n i C o l u m n I d > H H p e r S h e l t e r < / G e m i n i C o l u m n I d > < / L i n k e d C o l u m n I n f o > < L i n k e d C o l u m n I n f o > < E x c e l C o l u m n N a m e > # o f F a m i l y T e n t P l a n n e d ( T a r g e t ) < / E x c e l C o l u m n N a m e > < G e m i n i C o l u m n I d > # o f F a m i l y T e n t P l a n n e d   T a r g e t < / G e m i n i C o l u m n I d > < / L i n k e d C o l u m n I n f o > < L i n k e d C o l u m n I n f o > < E x c e l C o l u m n N a m e > # o f F a m i l y T e n t D i s t r i b u t e d < / E x c e l C o l u m n N a m e > < G e m i n i C o l u m n I d > # o f F a m i l y T e n t D i s t r i b u t e d < / G e m i n i C o l u m n I d > < / L i n k e d C o l u m n I n f o > < L i n k e d C o l u m n I n f o > < E x c e l C o l u m n N a m e > # o f T e m p o r a r y S h e l t e r P l a n n e d ( T a r g e t ) < / E x c e l C o l u m n N a m e > < G e m i n i C o l u m n I d > # o f T e m p o r a r y S h e l t e r P l a n n e d   T a r g e t < / G e m i n i C o l u m n I d > < / L i n k e d C o l u m n I n f o > < L i n k e d C o l u m n I n f o > < E x c e l C o l u m n N a m e > # o f T e m p o r a r y S h e l t e r B u i l t < / E x c e l C o l u m n N a m e > < G e m i n i C o l u m n I d > # o f T e m p o r a r y S h e l t e r B u i l t < / G e m i n i C o l u m n I d > < / L i n k e d C o l u m n I n f o > < L i n k e d C o l u m n I n f o > < E x c e l C o l u m n N a m e > # o f T e m p o r a r y S h e l t e r U n d e r C o n s t r u c t i o n < / E x c e l C o l u m n N a m e > < G e m i n i C o l u m n I d > # o f T e m p o r a r y S h e l t e r U n d e r C o n s t r u c t i o n < / G e m i n i C o l u m n I d > < / L i n k e d C o l u m n I n f o > < L i n k e d C o l u m n I n f o > < E x c e l C o l u m n N a m e > # o f P e r m a n e n t H o u s e P l a n n e d ( T a r g e t ) < / E x c e l C o l u m n N a m e > < G e m i n i C o l u m n I d > # o f P e r m a n e n t H o u s e P l a n n e d   T a r g e t < / G e m i n i C o l u m n I d > < / L i n k e d C o l u m n I n f o > < L i n k e d C o l u m n I n f o > < E x c e l C o l u m n N a m e > # o f P e r m a n e n t H o u s e B u i l t < / E x c e l C o l u m n N a m e > < G e m i n i C o l u m n I d > # o f P e r m a n e n t H o u s e B u i l t < / G e m i n i C o l u m n I d > < / L i n k e d C o l u m n I n f o > < L i n k e d C o l u m n I n f o > < E x c e l C o l u m n N a m e > # o f P e r m a n e n t H o u s e U n d e r C o n s t r u c t i o n < / E x c e l C o l u m n N a m e > < G e m i n i C o l u m n I d > # o f P e r m a n e n t H o u s e U n d e r C o n s t r u c t i o n < / G e m i n i C o l u m n I d > < / L i n k e d C o l u m n I n f o > < L i n k e d C o l u m n I n f o > < E x c e l C o l u m n N a m e > H H C o v e r e d < / E x c e l C o l u m n N a m e > < G e m i n i C o l u m n I d > H H C o v e r e d < / G e m i n i C o l u m n I d > < / L i n k e d C o l u m n I n f o > < / L i n k e d C o l u m n L i s t > < U p d a t e N e e d e d > f a l s e < / U p d a t e N e e d e d > < R o w C o u n t > 5 1 3 < / R o w C o u n t > < / L i n k e d T a b l e I n f o > < L i n k e d T a b l e I n f o > < E x c e l T a b l e N a m e > T a b l e _ C a m p L i s t < / E x c e l T a b l e N a m e > < G e m i n i T a b l e I d > T a b l e _ C a m p L i s t < / G e m i n i T a b l e I d > < L i n k e d C o l u m n L i s t > < L i n k e d C o l u m n I n f o > < E x c e l C o l u m n N a m e > S r . N o < / E x c e l C o l u m n N a m e > < G e m i n i C o l u m n I d > S r   N o < / G e m i n i C o l u m n I d > < / L i n k e d C o l u m n I n f o > < L i n k e d C o l u m n I n f o > < E x c e l C o l u m n N a m e > U p d a t e   D a t e < / E x c e l C o l u m n N a m e > < G e m i n i C o l u m n I d > U p d a t e   D a t e < / G e m i n i C o l u m n I d > < / L i n k e d C o l u m n I n f o > < L i n k e d C o l u m n I n f o > < E x c e l C o l u m n N a m e > S t a t u s < / E x c e l C o l u m n N a m e > < G e m i n i C o l u m n I d > S t a t u s < / G e m i n i C o l u m n I d > < / L i n k e d C o l u m n I n f o > < L i n k e d C o l u m n I n f o > < E x c e l C o l u m n N a m e > S t a t e < / E x c e l C o l u m n N a m e > < G e m i n i C o l u m n I d > S t a t e < / G e m i n i C o l u m n I d > < / L i n k e d C o l u m n I n f o > < L i n k e d C o l u m n I n f o > < E x c e l C o l u m n N a m e > S t a t e _ P c o d e < / E x c e l C o l u m n N a m e > < G e m i n i C o l u m n I d > S t a t e _ P c o d e < / G e m i n i C o l u m n I d > < / L i n k e d C o l u m n I n f o > < L i n k e d C o l u m n I n f o > < E x c e l C o l u m n N a m e > T O W N S H I P _ N A M E < / E x c e l C o l u m n N a m e > < G e m i n i C o l u m n I d > T O W N S H I P _ N A M E < / G e m i n i C o l u m n I d > < / L i n k e d C o l u m n I n f o > < L i n k e d C o l u m n I n f o > < E x c e l C o l u m n N a m e > T o w n s h i p _ P c o d e < / E x c e l C o l u m n N a m e > < G e m i n i C o l u m n I d > T o w n s h i p _ P c o d e < / G e m i n i C o l u m n I d > < / L i n k e d C o l u m n I n f o > < L i n k e d C o l u m n I n f o > < E x c e l C o l u m n N a m e > V i l l a g e T r a c K T o w n _ N a m e < / E x c e l C o l u m n N a m e > < G e m i n i C o l u m n I d > V i l l a g e T r a c K T o w n _ N a m e < / G e m i n i C o l u m n I d > < / L i n k e d C o l u m n I n f o > < L i n k e d C o l u m n I n f o > < E x c e l C o l u m n N a m e > V i l l a g e T r a c k T o w n _ P c o d e < / E x c e l C o l u m n N a m e > < G e m i n i C o l u m n I d > V i l l a g e T r a c k T o w n _ P c o d e < / G e m i n i C o l u m n I d > < / L i n k e d C o l u m n I n f o > < L i n k e d C o l u m n I n f o > < E x c e l C o l u m n N a m e > V i l l a g e W a r d _ N a m e < / E x c e l C o l u m n N a m e > < G e m i n i C o l u m n I d > V i l l a g e W a r d _ N a m e < / G e m i n i C o l u m n I d > < / L i n k e d C o l u m n I n f o > < L i n k e d C o l u m n I n f o > < E x c e l C o l u m n N a m e > V i l l a g e W a r d _ P c o d e < / E x c e l C o l u m n N a m e > < G e m i n i C o l u m n I d > V i l l a g e W a r d _ P c o d e < / G e m i n i C o l u m n I d > < / L i n k e d C o l u m n I n f o > < L i n k e d C o l u m n I n f o > < E x c e l C o l u m n N a m e > C a m p   N a m e < / E x c e l C o l u m n N a m e > < G e m i n i C o l u m n I d > C a m p   N a m e < / G e m i n i C o l u m n I d > < / L i n k e d C o l u m n I n f o > < L i n k e d C o l u m n I n f o > < E x c e l C o l u m n N a m e > P _ C o d e < / E x c e l C o l u m n N a m e > < G e m i n i C o l u m n I d > P _ C o d e < / G e m i n i C o l u m n I d > < / L i n k e d C o l u m n I n f o > < L i n k e d C o l u m n I n f o > < E x c e l C o l u m n N a m e > A c c e s s i b i l i t y < / E x c e l C o l u m n N a m e > < G e m i n i C o l u m n I d > A c c e s s i b i l i t y < / G e m i n i C o l u m n I d > < / L i n k e d C o l u m n I n f o > < L i n k e d C o l u m n I n f o > < E x c e l C o l u m n N a m e > L o n g i t u d e < / E x c e l C o l u m n N a m e > < G e m i n i C o l u m n I d > L o n g i t u d e < / G e m i n i C o l u m n I d > < / L i n k e d C o l u m n I n f o > < L i n k e d C o l u m n I n f o > < E x c e l C o l u m n N a m e > L a t i t u d e < / E x c e l C o l u m n N a m e > < G e m i n i C o l u m n I d > L a t i t u d e < / G e m i n i C o l u m n I d > < / L i n k e d C o l u m n I n f o > < L i n k e d C o l u m n I n f o > < E x c e l C o l u m n N a m e > H H < / E x c e l C o l u m n N a m e > < G e m i n i C o l u m n I d > H H < / G e m i n i C o l u m n I d > < / L i n k e d C o l u m n I n f o > < L i n k e d C o l u m n I n f o > < E x c e l C o l u m n N a m e > T o t a l < / E x c e l C o l u m n N a m e > < G e m i n i C o l u m n I d > T o t a l < / G e m i n i C o l u m n I d > < / L i n k e d C o l u m n I n f o > < L i n k e d C o l u m n I n f o > < E x c e l C o l u m n N a m e > A v g < / E x c e l C o l u m n N a m e > < G e m i n i C o l u m n I d > A v g < / G e m i n i C o l u m n I d > < / L i n k e d C o l u m n I n f o > < L i n k e d C o l u m n I n f o > < E x c e l C o l u m n N a m e > S o u r c e < / E x c e l C o l u m n N a m e > < G e m i n i C o l u m n I d > S o u r c e < / G e m i n i C o l u m n I d > < / L i n k e d C o l u m n I n f o > < L i n k e d C o l u m n I n f o > < E x c e l C o l u m n N a m e > M e t h o d < / E x c e l C o l u m n N a m e > < G e m i n i C o l u m n I d > M e t h o d < / G e m i n i C o l u m n I d > < / L i n k e d C o l u m n I n f o > < L i n k e d C o l u m n I n f o > < E x c e l C o l u m n N a m e > T y p e   o f   A c c o m o d a t i o n < / E x c e l C o l u m n N a m e > < G e m i n i C o l u m n I d > T y p e   o f   A c c o m o d a t i o n < / G e m i n i C o l u m n I d > < / L i n k e d C o l u m n I n f o > < L i n k e d C o l u m n I n f o > < E x c e l C o l u m n N a m e > C o m m e n t < / E x c e l C o l u m n N a m e > < G e m i n i C o l u m n I d > C o m m e n t < / G e m i n i C o l u m n I d > < / L i n k e d C o l u m n I n f o > < / L i n k e d C o l u m n L i s t > < U p d a t e N e e d e d > f a l s e < / U p d a t e N e e d e d > < R o w C o u n t > 2 9 4 < / R o w C o u n t > < / L i n k e d T a b l e I n f o > < / L i n k e d T a b l e L i s t > < / L i n k e d T a b l e s > ] ] > < / C u s t o m C o n t e n t > < / G e m i n i > 
</file>

<file path=customXml/item9.xml>��< ? x m l   v e r s i o n = " 1 . 0 "   e n c o d i n g = " U T F - 1 6 " ? > < G e m i n i   x m l n s = " h t t p : / / g e m i n i / w o r k b o o k c u s t o m i z a t i o n / M e t a d a t a R e c o v e r y I n f o r m a t i o n " > < C u s t o m C o n t e n t > < ! [ C D A T A [ < ? x m l   v e r s i o n = " 1 . 0 "   e n c o d i n g = " u t f - 1 6 " ? > < C r e a t e   A l l o w O v e r w r i t e = " t r u e "   x m l n s = " h t t p : / / s c h e m a s . m i c r o s o f t . c o m / a n a l y s i s s e r v i c e s / 2 0 0 3 / e n g i n e " > < O b j e c t D e f i n i t i o n > < D a t a b a s e   x m l n s : x s d = " h t t p : / / w w w . w 3 . o r g / 2 0 0 1 / X M L S c h e m a "   x m l n s : x s i = " h t t p : / / w w w . w 3 . o r g / 2 0 0 1 / X M L S c h e m a - i n s t a n c e "   x m l n s : d d l 2 = " h t t p : / / s c h e m a s . m i c r o s o f t . c o m / a n a l y s i s s e r v i c e s / 2 0 0 3 / e n g i n e / 2 "   x m l n s : d d l 2 _ 2 = " h t t p : / / s c h e m a s . m i c r o s o f t . c o m / a n a l y s i s s e r v i c e s / 2 0 0 3 / e n g i n e / 2 / 2 "   x m l n s : d d l 1 0 0 _ 1 0 0 = " h t t p : / / s c h e m a s . m i c r o s o f t . c o m / a n a l y s i s s e r v i c e s / 2 0 0 8 / e n g i n e / 1 0 0 / 1 0 0 "   x m l n s : d d l 2 0 0 = " h t t p : / / s c h e m a s . m i c r o s o f t . c o m / a n a l y s i s s e r v i c e s / 2 0 1 0 / e n g i n e / 2 0 0 "   x m l n s : d d l 2 0 0 _ 2 0 0 = " h t t p : / / s c h e m a s . m i c r o s o f t . c o m / a n a l y s i s s e r v i c e s / 2 0 1 0 / e n g i n e / 2 0 0 / 2 0 0 " > < I D > b f 6 0 9 6 4 b - a 7 0 d - 4 9 6 7 - b 5 b 6 - d 2 6 9 d 4 1 d f c 0 b < / I D > < N a m e > M i c r o s o f t _ S Q L S e r v e r _ A n a l y s i s S e r v i c e s < / N a m e > < L a n g u a g e > 1 0 3 3 < / L a n g u a g e > < D a t a S o u r c e I m p e r s o n a t i o n I n f o > < I m p e r s o n a t i o n M o d e > D e f a u l t < / I m p e r s o n a t i o n M o d e > < / D a t a S o u r c e I m p e r s o n a t i o n I n f o > < D i m e n s i o n s > < D i m e n s i o n > < I D > T a b l e _ C a m p L i s t < / I D > < N a m e > T a b l e _ C a m p L i s t < / N a m e > < U n k n o w n M e m b e r   v a l u e n s = " d d l 2 0 0 _ 2 0 0 " > A u t o m a t i c N u l l < / U n k n o w n M e m b e r > < S t o r a g e M o d e   v a l u e n s = " d d l 2 0 0 _ 2 0 0 " > I n M e m o r y < / S t o r a g e M o d e > < L a n g u a g e > 1 0 3 3 < / L a n g u a g e > < U n k n o w n M e m b e r N a m e > U n k n o w n < / U n k n o w n M e m b e r N a m e > < A t t r i b u t e s > < A t t r i b u t e > < I D > S r   N o < / I D > < N a m e > S r   N o < / N a m e > < D e s c r i p t i o n > A < / D e s c r i p t i o n > < K e y C o l u m n s > < K e y C o l u m n > < N u l l P r o c e s s i n g > P r e s e r v e < / N u l l P r o c e s s i n g > < D a t a T y p e > B i g I n t < / D a t a T y p e > < / K e y C o l u m n > < / K e y C o l u m n s > < N a m e C o l u m n > < N u l l P r o c e s s i n g > Z e r o O r B l a n k < / N u l l P r o c e s s i n g > < D a t a T y p e > W C h a r < / D a t a T y p e > < / N a m e C o l u m n > < O r d e r B y > K e y < / O r d e r B y > < / A t t r i b u t e > < A t t r i b u t e > < I D > U p d a t e   D a t e < / I D > < N a m e > U p d a t e   D a t e < / N a m e > < D e s c r i p t i o n > B < / D e s c r i p t i o n > < K e y C o l u m n s > < K e y C o l u m n > < N u l l P r o c e s s i n g > P r e s e r v e < / N u l l P r o c e s s i n g > < D a t a T y p e > D a t e < / D a t a T y p e > < / K e y C o l u m n > < / K e y C o l u m n s > < N a m e C o l u m n > < N u l l P r o c e s s i n g > Z e r o O r B l a n k < / N u l l P r o c e s s i n g > < D a t a T y p e > W C h a r < / D a t a T y p e > < / N a m e C o l u m n > < O r d e r B y > K e y < / O r d e r B y > < / A t t r i b u t e > < A t t r i b u t e > < I D > S t a t u s < / I D > < N a m e > S t a t u s < / N a m e > < D e s c r i p t i o n > C < / D e s c r i p t i o n > < K e y C o l u m n s > < K e y C o l u m n > < N u l l P r o c e s s i n g > P r e s e r v e < / N u l l P r o c e s s i n g > < D a t a T y p e > W C h a r < / D a t a T y p e > < / K e y C o l u m n > < / K e y C o l u m n s > < N a m e C o l u m n > < N u l l P r o c e s s i n g > Z e r o O r B l a n k < / N u l l P r o c e s s i n g > < D a t a T y p e > W C h a r < / D a t a T y p e > < / N a m e C o l u m n > < O r d e r B y > K e y < / O r d e r B y > < / A t t r i b u t e > < A t t r i b u t e > < I D > S t a t e < / I D > < N a m e > S t a t e < / N a m e > < D e s c r i p t i o n > D < / D e s c r i p t i o n > < K e y C o l u m n s > < K e y C o l u m n > < N u l l P r o c e s s i n g > P r e s e r v e < / N u l l P r o c e s s i n g > < D a t a T y p e > W C h a r < / D a t a T y p e > < / K e y C o l u m n > < / K e y C o l u m n s > < N a m e C o l u m n > < N u l l P r o c e s s i n g > Z e r o O r B l a n k < / N u l l P r o c e s s i n g > < D a t a T y p e > W C h a r < / D a t a T y p e > < / N a m e C o l u m n > < O r d e r B y > K e y < / O r d e r B y > < / A t t r i b u t e > < A t t r i b u t e > < I D > S t a t e _ P c o d e < / I D > < N a m e > S t a t e _ P c o d e < / N a m e > < D e s c r i p t i o n > E < / D e s c r i p t i o n > < K e y C o l u m n s > < K e y C o l u m n > < N u l l P r o c e s s i n g > P r e s e r v e < / N u l l P r o c e s s i n g > < D a t a T y p e > W C h a r < / D a t a T y p e > < / K e y C o l u m n > < / K e y C o l u m n s > < N a m e C o l u m n > < N u l l P r o c e s s i n g > Z e r o O r B l a n k < / N u l l P r o c e s s i n g > < D a t a T y p e > W C h a r < / D a t a T y p e > < / N a m e C o l u m n > < O r d e r B y > K e y < / O r d e r B y > < / A t t r i b u t e > < A t t r i b u t e > < I D > T O W N S H I P _ N A M E < / I D > < N a m e > T O W N S H I P _ N A M E < / N a m e > < D e s c r i p t i o n > F < / D e s c r i p t i o n > < K e y C o l u m n s > < K e y C o l u m n > < N u l l P r o c e s s i n g > P r e s e r v e < / N u l l P r o c e s s i n g > < D a t a T y p e > W C h a r < / D a t a T y p e > < / K e y C o l u m n > < / K e y C o l u m n s > < N a m e C o l u m n > < N u l l P r o c e s s i n g > Z e r o O r B l a n k < / N u l l P r o c e s s i n g > < D a t a T y p e > W C h a r < / D a t a T y p e > < / N a m e C o l u m n > < O r d e r B y > K e y < / O r d e r B y > < / A t t r i b u t e > < A t t r i b u t e > < I D > T o w n s h i p _ P c o d e < / I D > < N a m e > T o w n s h i p _ P c o d e < / N a m e > < D e s c r i p t i o n > G < / D e s c r i p t i o n > < K e y C o l u m n s > < K e y C o l u m n > < N u l l P r o c e s s i n g > P r e s e r v e < / N u l l P r o c e s s i n g > < D a t a T y p e > W C h a r < / D a t a T y p e > < / K e y C o l u m n > < / K e y C o l u m n s > < N a m e C o l u m n > < N u l l P r o c e s s i n g > Z e r o O r B l a n k < / N u l l P r o c e s s i n g > < D a t a T y p e > W C h a r < / D a t a T y p e > < / N a m e C o l u m n > < O r d e r B y > K e y < / O r d e r B y > < / A t t r i b u t e > < A t t r i b u t e > < I D > V i l l a g e T r a c K T o w n _ N a m e < / I D > < N a m e > V i l l a g e T r a c K T o w n _ N a m e < / N a m e > < D e s c r i p t i o n > H < / D e s c r i p t i o n > < K e y C o l u m n s > < K e y C o l u m n > < N u l l P r o c e s s i n g > P r e s e r v e < / N u l l P r o c e s s i n g > < D a t a T y p e > W C h a r < / D a t a T y p e > < / K e y C o l u m n > < / K e y C o l u m n s > < N a m e C o l u m n > < N u l l P r o c e s s i n g > Z e r o O r B l a n k < / N u l l P r o c e s s i n g > < D a t a T y p e > W C h a r < / D a t a T y p e > < / N a m e C o l u m n > < O r d e r B y > K e y < / O r d e r B y > < / A t t r i b u t e > < A t t r i b u t e > < I D > V i l l a g e T r a c k T o w n _ P c o d e < / I D > < N a m e > V i l l a g e T r a c k T o w n _ P c o d e < / N a m e > < D e s c r i p t i o n > I < / D e s c r i p t i o n > < K e y C o l u m n s > < K e y C o l u m n > < N u l l P r o c e s s i n g > P r e s e r v e < / N u l l P r o c e s s i n g > < D a t a T y p e > W C h a r < / D a t a T y p e > < / K e y C o l u m n > < / K e y C o l u m n s > < N a m e C o l u m n > < N u l l P r o c e s s i n g > Z e r o O r B l a n k < / N u l l P r o c e s s i n g > < D a t a T y p e > W C h a r < / D a t a T y p e > < / N a m e C o l u m n > < O r d e r B y > K e y < / O r d e r B y > < / A t t r i b u t e > < A t t r i b u t e > < I D > V i l l a g e W a r d _ N a m e < / I D > < N a m e > V i l l a g e W a r d _ N a m e < / N a m e > < D e s c r i p t i o n > J < / D e s c r i p t i o n > < K e y C o l u m n s > < K e y C o l u m n > < N u l l P r o c e s s i n g > P r e s e r v e < / N u l l P r o c e s s i n g > < D a t a T y p e > W C h a r < / D a t a T y p e > < / K e y C o l u m n > < / K e y C o l u m n s > < N a m e C o l u m n > < N u l l P r o c e s s i n g > Z e r o O r B l a n k < / N u l l P r o c e s s i n g > < D a t a T y p e > W C h a r < / D a t a T y p e > < / N a m e C o l u m n > < O r d e r B y > K e y < / O r d e r B y > < / A t t r i b u t e > < A t t r i b u t e > < I D > V i l l a g e W a r d _ P c o d e < / I D > < N a m e > V i l l a g e W a r d _ P c o d e < / N a m e > < D e s c r i p t i o n > K < / D e s c r i p t i o n > < K e y C o l u m n s > < K e y C o l u m n > < N u l l P r o c e s s i n g > P r e s e r v e < / N u l l P r o c e s s i n g > < D a t a T y p e > W C h a r < / D a t a T y p e > < / K e y C o l u m n > < / K e y C o l u m n s > < N a m e C o l u m n > < N u l l P r o c e s s i n g > Z e r o O r B l a n k < / N u l l P r o c e s s i n g > < D a t a T y p e > W C h a r < / D a t a T y p e > < / N a m e C o l u m n > < O r d e r B y > K e y < / O r d e r B y > < / A t t r i b u t e > < A t t r i b u t e > < I D > C a m p   N a m e < / I D > < N a m e > C a m p   N a m e < / N a m e > < D e s c r i p t i o n > L < / D e s c r i p t i o n > < K e y C o l u m n s > < K e y C o l u m n > < N u l l P r o c e s s i n g > P r e s e r v e < / N u l l P r o c e s s i n g > < D a t a T y p e > W C h a r < / D a t a T y p e > < / K e y C o l u m n > < / K e y C o l u m n s > < N a m e C o l u m n > < N u l l P r o c e s s i n g > Z e r o O r B l a n k < / N u l l P r o c e s s i n g > < D a t a T y p e > W C h a r < / D a t a T y p e > < / N a m e C o l u m n > < O r d e r B y > K e y < / O r d e r B y > < / A t t r i b u t e > < A t t r i b u t e > < I D > P _ C o d e < / I D > < N a m e > P _ C o d e < / N a m e > < D e s c r i p t i o n > M < / D e s c r i p t i o n > < K e y C o l u m n s > < K e y C o l u m n > < N u l l P r o c e s s i n g > P r e s e r v e < / N u l l P r o c e s s i n g > < D a t a T y p e > W C h a r < / D a t a T y p e > < / K e y C o l u m n > < / K e y C o l u m n s > < N a m e C o l u m n > < N u l l P r o c e s s i n g > Z e r o O r B l a n k < / N u l l P r o c e s s i n g > < D a t a T y p e > W C h a r < / D a t a T y p e > < / N a m e C o l u m n > < O r d e r B y > K e y < / O r d e r B y > < / A t t r i b u t e > < A t t r i b u t e > < I D > A c c e s s i b i l i t y < / I D > < N a m e > A c c e s s i b i l i t y < / N a m e > < D e s c r i p t i o n > N < / D e s c r i p t i o n > < K e y C o l u m n s > < K e y C o l u m n > < N u l l P r o c e s s i n g > P r e s e r v e < / N u l l P r o c e s s i n g > < D a t a T y p e > W C h a r < / D a t a T y p e > < / K e y C o l u m n > < / K e y C o l u m n s > < N a m e C o l u m n > < N u l l P r o c e s s i n g > Z e r o O r B l a n k < / N u l l P r o c e s s i n g > < D a t a T y p e > W C h a r < / D a t a T y p e > < / N a m e C o l u m n > < O r d e r B y > K e y < / O r d e r B y > < / A t t r i b u t e > < A t t r i b u t e > < I D > L o n g i t u d e < / I D > < N a m e > L o n g i t u d e < / N a m e > < D e s c r i p t i o n > O < / D e s c r i p t i o n > < K e y C o l u m n s > < K e y C o l u m n > < N u l l P r o c e s s i n g > P r e s e r v e < / N u l l P r o c e s s i n g > < D a t a T y p e > W C h a r < / D a t a T y p e > < / K e y C o l u m n > < / K e y C o l u m n s > < N a m e C o l u m n > < N u l l P r o c e s s i n g > Z e r o O r B l a n k < / N u l l P r o c e s s i n g > < D a t a T y p e > W C h a r < / D a t a T y p e > < / N a m e C o l u m n > < O r d e r B y > K e y < / O r d e r B y > < / A t t r i b u t e > < A t t r i b u t e > < I D > L a t i t u d e < / I D > < N a m e > L a t i t u d e < / N a m e > < D e s c r i p t i o n > P < / D e s c r i p t i o n > < K e y C o l u m n s > < K e y C o l u m n > < N u l l P r o c e s s i n g > P r e s e r v e < / N u l l P r o c e s s i n g > < D a t a T y p e > W C h a r < / D a t a T y p e > < / K e y C o l u m n > < / K e y C o l u m n s > < N a m e C o l u m n > < N u l l P r o c e s s i n g > Z e r o O r B l a n k < / N u l l P r o c e s s i n g > < D a t a T y p e > W C h a r < / D a t a T y p e > < / N a m e C o l u m n > < O r d e r B y > K e y < / O r d e r B y > < / A t t r i b u t e > < A t t r i b u t e > < I D > H H < / I D > < N a m e > H H < / N a m e > < D e s c r i p t i o n > Q < / D e s c r i p t i o n > < K e y C o l u m n s > < K e y C o l u m n > < N u l l P r o c e s s i n g > P r e s e r v e < / N u l l P r o c e s s i n g > < D a t a T y p e > W C h a r < / D a t a T y p e > < / K e y C o l u m n > < / K e y C o l u m n s > < N a m e C o l u m n > < N u l l P r o c e s s i n g > Z e r o O r B l a n k < / N u l l P r o c e s s i n g > < D a t a T y p e > W C h a r < / D a t a T y p e > < / N a m e C o l u m n > < O r d e r B y > K e y < / O r d e r B y > < / A t t r i b u t e > < A t t r i b u t e > < I D > T o t a l < / I D > < N a m e > T o t a l < / N a m e > < D e s c r i p t i o n > R < / D e s c r i p t i o n > < K e y C o l u m n s > < K e y C o l u m n > < N u l l P r o c e s s i n g > P r e s e r v e < / N u l l P r o c e s s i n g > < D a t a T y p e > W C h a r < / D a t a T y p e > < / K e y C o l u m n > < / K e y C o l u m n s > < N a m e C o l u m n > < N u l l P r o c e s s i n g > Z e r o O r B l a n k < / N u l l P r o c e s s i n g > < D a t a T y p e > W C h a r < / D a t a T y p e > < / N a m e C o l u m n > < O r d e r B y > K e y < / O r d e r B y > < / A t t r i b u t e > < A t t r i b u t e > < I D > A v g < / I D > < N a m e > A v g < / N a m e > < D e s c r i p t i o n > S < / D e s c r i p t i o n > < K e y C o l u m n s > < K e y C o l u m n > < N u l l P r o c e s s i n g > P r e s e r v e < / N u l l P r o c e s s i n g > < D a t a T y p e > D o u b l e < / D a t a T y p e > < / K e y C o l u m n > < / K e y C o l u m n s > < N a m e C o l u m n > < N u l l P r o c e s s i n g > Z e r o O r B l a n k < / N u l l P r o c e s s i n g > < D a t a T y p e > W C h a r < / D a t a T y p e > < / N a m e C o l u m n > < O r d e r B y > K e y < / O r d e r B y > < / A t t r i b u t e > < A t t r i b u t e > < I D > S o u r c e < / I D > < N a m e > S o u r c e < / N a m e > < D e s c r i p t i o n > T < / D e s c r i p t i o n > < K e y C o l u m n s > < K e y C o l u m n > < N u l l P r o c e s s i n g > P r e s e r v e < / N u l l P r o c e s s i n g > < D a t a T y p e > W C h a r < / D a t a T y p e > < / K e y C o l u m n > < / K e y C o l u m n s > < N a m e C o l u m n > < N u l l P r o c e s s i n g > Z e r o O r B l a n k < / N u l l P r o c e s s i n g > < D a t a T y p e > W C h a r < / D a t a T y p e > < / N a m e C o l u m n > < O r d e r B y > K e y < / O r d e r B y > < / A t t r i b u t e > < A t t r i b u t e > < I D > M e t h o d < / I D > < N a m e > M e t h o d < / N a m e > < D e s c r i p t i o n > U < / D e s c r i p t i o n > < K e y C o l u m n s > < K e y C o l u m n > < N u l l P r o c e s s i n g > P r e s e r v e < / N u l l P r o c e s s i n g > < D a t a T y p e > W C h a r < / D a t a T y p e > < / K e y C o l u m n > < / K e y C o l u m n s > < N a m e C o l u m n > < N u l l P r o c e s s i n g > Z e r o O r B l a n k < / N u l l P r o c e s s i n g > < D a t a T y p e > W C h a r < / D a t a T y p e > < / N a m e C o l u m n > < O r d e r B y > K e y < / O r d e r B y > < / A t t r i b u t e > < A t t r i b u t e > < I D > T y p e   o f   A c c o m o d a t i o n < / I D > < N a m e > T y p e   o f   A c c o m o d a t i o n < / N a m e > < D e s c r i p t i o n > V < / D e s c r i p t i o n > < K e y C o l u m n s > < K e y C o l u m n > < N u l l P r o c e s s i n g > P r e s e r v e < / N u l l P r o c e s s i n g > < D a t a T y p e > W C h a r < / D a t a T y p e > < / K e y C o l u m n > < / K e y C o l u m n s > < N a m e C o l u m n > < N u l l P r o c e s s i n g > Z e r o O r B l a n k < / N u l l P r o c e s s i n g > < D a t a T y p e > W C h a r < / D a t a T y p e > < / N a m e C o l u m n > < O r d e r B y > K e y < / O r d e r B y > < / A t t r i b u t e > < A t t r i b u t e > < I D > C o m m e n t < / I D > < N a m e > C o m m e n t < / N a m e > < D e s c r i p t i o n > W < / D e s c r i p t i o n > < K e y C o l u m n s > < K e y C o l u m n > < N u l l P r o c e s s i n g > P r e s e r v e < / N u l l P r o c e s s i n g > < D a t a T y p e > W C h a r < / D a t a T y p e > < / K e y C o l u m n > < / K e y C o l u m n s > < N a m e C o l u m n > < N u l l P r o c e s s i n g > Z e r o O r B l a n k < / N u l l P r o c e s s i n g > < D a t a T y p e > W C h a r < / D a t a T y p e > < / N a m e C o l u m n > < O r d e r B y > K e y < / O r d e r B y > < / A t t r i b u t e > < A t t r i b u t e > < I D > R o w N u m b e r < / I D > < N a m e > R o w N u m b e r < / N a m e > < T y p e   v a l u e n s = " d d l 2 0 0 _ 2 0 0 " > R o w N u m b e r < / T y p e > < U s a g e > K e y < / U s a g e > < K e y C o l u m n s > < K e y C o l u m n > < N u l l P r o c e s s i n g > E r r o r < / N u l l P r o c e s s i n g > < D a t a T y p e > I n t e g e r < / D a t a T y p e > < D a t a S i z e > 4 < / D a t a S i z e > < S o u r c e   x s i : t y p e = " d d l 2 0 0 _ 2 0 0 : R o w N u m b e r B i n d i n g "   / > < / K e y C o l u m n > < / K e y C o l u m n s > < N a m e C o l u m n > < N u l l P r o c e s s i n g > Z e r o O r B l a n k < / N u l l P r o c e s s i n g > < D a t a T y p e > W C h a r < / D a t a T y p e > < D a t a S i z e > 4 < / D a t a S i z e > < S o u r c e   x s i : t y p e = " d d l 2 0 0 _ 2 0 0 : R o w N u m b e r B i n d i n g "   / > < / N a m e C o l u m n > < A t t r i b u t e R e l a t i o n s h i p s > < A t t r i b u t e R e l a t i o n s h i p > < A t t r i b u t e I D > S r   N o < / A t t r i b u t e I D > < O v e r r i d e B e h a v i o r > N o n e < / O v e r r i d e B e h a v i o r > < N a m e > S r   N o < / N a m e > < / A t t r i b u t e R e l a t i o n s h i p > < A t t r i b u t e R e l a t i o n s h i p > < A t t r i b u t e I D > U p d a t e   D a t e < / A t t r i b u t e I D > < O v e r r i d e B e h a v i o r > N o n e < / O v e r r i d e B e h a v i o r > < N a m e > U p d a t e   D a t e < / N a m e > < / A t t r i b u t e R e l a t i o n s h i p > < A t t r i b u t e R e l a t i o n s h i p > < A t t r i b u t e I D > S t a t u s < / A t t r i b u t e I D > < O v e r r i d e B e h a v i o r > N o n e < / O v e r r i d e B e h a v i o r > < N a m e > S t a t u s < / N a m e > < / A t t r i b u t e R e l a t i o n s h i p > < A t t r i b u t e R e l a t i o n s h i p > < A t t r i b u t e I D > S t a t e < / A t t r i b u t e I D > < O v e r r i d e B e h a v i o r > N o n e < / O v e r r i d e B e h a v i o r > < N a m e > S t a t e < / N a m e > < / A t t r i b u t e R e l a t i o n s h i p > < A t t r i b u t e R e l a t i o n s h i p > < A t t r i b u t e I D > S t a t e _ P c o d e < / A t t r i b u t e I D > < O v e r r i d e B e h a v i o r > N o n e < / O v e r r i d e B e h a v i o r > < N a m e > S t a t e _ P c o d e < / N a m e > < / A t t r i b u t e R e l a t i o n s h i p > < A t t r i b u t e R e l a t i o n s h i p > < A t t r i b u t e I D > T O W N S H I P _ N A M E < / A t t r i b u t e I D > < O v e r r i d e B e h a v i o r > N o n e < / O v e r r i d e B e h a v i o r > < N a m e > T O W N S H I P _ N A M E < / N a m e > < / A t t r i b u t e R e l a t i o n s h i p > < A t t r i b u t e R e l a t i o n s h i p > < A t t r i b u t e I D > T o w n s h i p _ P c o d e < / A t t r i b u t e I D > < O v e r r i d e B e h a v i o r > N o n e < / O v e r r i d e B e h a v i o r > < N a m e > T o w n s h i p _ P c o d e < / N a m e > < / A t t r i b u t e R e l a t i o n s h i p > < A t t r i b u t e R e l a t i o n s h i p > < A t t r i b u t e I D > C a m p   N a m e < / A t t r i b u t e I D > < O v e r r i d e B e h a v i o r > N o n e < / O v e r r i d e B e h a v i o r > < N a m e > C a m p   N a m e < / N a m e > < / A t t r i b u t e R e l a t i o n s h i p > < A t t r i b u t e R e l a t i o n s h i p > < A t t r i b u t e I D > P _ C o d e < / A t t r i b u t e I D > < O v e r r i d e B e h a v i o r > N o n e < / O v e r r i d e B e h a v i o r > < N a m e > P _ C o d e < / N a m e > < / A t t r i b u t e R e l a t i o n s h i p > < A t t r i b u t e R e l a t i o n s h i p > < A t t r i b u t e I D > A c c e s s i b i l i t y < / A t t r i b u t e I D > < O v e r r i d e B e h a v i o r > N o n e < / O v e r r i d e B e h a v i o r > < N a m e > A c c e s s i b i l i t y < / N a m e > < / A t t r i b u t e R e l a t i o n s h i p > < A t t r i b u t e R e l a t i o n s h i p > < A t t r i b u t e I D > L o n g i t u d e < / A t t r i b u t e I D > < O v e r r i d e B e h a v i o r > N o n e < / O v e r r i d e B e h a v i o r > < N a m e > L o n g i t u d e < / N a m e > < / A t t r i b u t e R e l a t i o n s h i p > < A t t r i b u t e R e l a t i o n s h i p > < A t t r i b u t e I D > L a t i t u d e < / A t t r i b u t e I D > < O v e r r i d e B e h a v i o r > N o n e < / O v e r r i d e B e h a v i o r > < N a m e > L a t i t u d e < / N a m e > < / A t t r i b u t e R e l a t i o n s h i p > < A t t r i b u t e R e l a t i o n s h i p > < A t t r i b u t e I D > H H < / A t t r i b u t e I D > < O v e r r i d e B e h a v i o r > N o n e < / O v e r r i d e B e h a v i o r > < N a m e > H H < / N a m e > < / A t t r i b u t e R e l a t i o n s h i p > < A t t r i b u t e R e l a t i o n s h i p > < A t t r i b u t e I D > T o t a l < / A t t r i b u t e I D > < O v e r r i d e B e h a v i o r > N o n e < / O v e r r i d e B e h a v i o r > < N a m e > T o t a l < / N a m e > < / A t t r i b u t e R e l a t i o n s h i p > < A t t r i b u t e R e l a t i o n s h i p > < A t t r i b u t e I D > A v g < / A t t r i b u t e I D > < O v e r r i d e B e h a v i o r > N o n e < / O v e r r i d e B e h a v i o r > < N a m e > A v g < / N a m e > < / A t t r i b u t e R e l a t i o n s h i p > < A t t r i b u t e R e l a t i o n s h i p > < A t t r i b u t e I D > S o u r c e < / A t t r i b u t e I D > < O v e r r i d e B e h a v i o r > N o n e < / O v e r r i d e B e h a v i o r > < N a m e > S o u r c e < / N a m e > < / A t t r i b u t e R e l a t i o n s h i p > < A t t r i b u t e R e l a t i o n s h i p > < A t t r i b u t e I D > M e t h o d < / A t t r i b u t e I D > < O v e r r i d e B e h a v i o r > N o n e < / O v e r r i d e B e h a v i o r > < N a m e > M e t h o d < / N a m e > < / A t t r i b u t e R e l a t i o n s h i p > < A t t r i b u t e R e l a t i o n s h i p > < A t t r i b u t e I D > T y p e   o f   A c c o m o d a t i o n < / A t t r i b u t e I D > < O v e r r i d e B e h a v i o r > N o n e < / O v e r r i d e B e h a v i o r > < N a m e > T y p e   o f   A c c o m o d a t i o n < / N a m e > < / A t t r i b u t e R e l a t i o n s h i p > < A t t r i b u t e R e l a t i o n s h i p > < A t t r i b u t e I D > C o m m e n t < / A t t r i b u t e I D > < O v e r r i d e B e h a v i o r > N o n e < / O v e r r i d e B e h a v i o r > < N a m e > C o m m e n t < / N a m e > < / A t t r i b u t e R e l a t i o n s h i p > < A t t r i b u t e R e l a t i o n s h i p > < A t t r i b u t e I D > V i l l a g e T r a c K T o w n _ N a m e < / A t t r i b u t e I D > < O v e r r i d e B e h a v i o r > N o n e < / O v e r r i d e B e h a v i o r > < N a m e > V i l l a g e T r a c K T o w n _ N a m e < / N a m e > < / A t t r i b u t e R e l a t i o n s h i p > < A t t r i b u t e R e l a t i o n s h i p > < A t t r i b u t e I D > V i l l a g e T r a c k T o w n _ P c o d e < / A t t r i b u t e I D > < O v e r r i d e B e h a v i o r > N o n e < / O v e r r i d e B e h a v i o r > < N a m e > V i l l a g e T r a c k T o w n _ P c o d e < / N a m e > < / A t t r i b u t e R e l a t i o n s h i p > < A t t r i b u t e R e l a t i o n s h i p > < A t t r i b u t e I D > V i l l a g e W a r d _ N a m e < / A t t r i b u t e I D > < O v e r r i d e B e h a v i o r > N o n e < / O v e r r i d e B e h a v i o r > < N a m e > V i l l a g e W a r d _ N a m e < / N a m e > < / A t t r i b u t e R e l a t i o n s h i p > < A t t r i b u t e R e l a t i o n s h i p > < A t t r i b u t e I D > V i l l a g e W a r d _ P c o d e < / A t t r i b u t e I D > < O v e r r i d e B e h a v i o r > N o n e < / O v e r r i d e B e h a v i o r > < N a m e > V i l l a g e W a r d _ P c o d e < / N a m e > < / A t t r i b u t e R e l a t i o n s h i p > < / A t t r i b u t e R e l a t i o n s h i p s > < O r d e r B y > K e y < / O r d e r B y > < A t t r i b u t e H i e r a r c h y V i s i b l e > f a l s e < / A t t r i b u t e H i e r a r c h y V i s i b l e > < / A t t r i b u t e > < / A t t r i b u t e s > < P r o a c t i v e C a c h i n g > < S i l e n c e I n t e r v a l > - P T 1 S < / S i l e n c e I n t e r v a l > < L a t e n c y > - P T 1 S < / L a t e n c y > < S i l e n c e O v e r r i d e I n t e r v a l > - P T 1 S < / S i l e n c e O v e r r i d e I n t e r v a l > < F o r c e R e b u i l d I n t e r v a l > - P T 1 S < / F o r c e R e b u i l d I n t e r v a l > < S o u r c e   x s i : t y p e = " P r o a c t i v e C a c h i n g I n h e r i t e d B i n d i n g "   / > < / P r o a c t i v e C a c h i n g > < / D i m e n s i o n > < D i m e n s i o n > < I D > T a b l e _ S h e l t e r < / I D > < N a m e > T a b l e _ S h e l t e r < / N a m e > < U n k n o w n M e m b e r   v a l u e n s = " d d l 2 0 0 _ 2 0 0 " > A u t o m a t i c N u l l < / U n k n o w n M e m b e r > < S t o r a g e M o d e   v a l u e n s = " d d l 2 0 0 _ 2 0 0 " > I n M e m o r y < / S t o r a g e M o d e > < L a n g u a g e > 1 0 3 3 < / L a n g u a g e > < U n k n o w n M e m b e r N a m e > U n k n o w n < / U n k n o w n M e m b e r N a m e > < A t t r i b u t e s > < A t t r i b u t e > < I D > D a t e U p d a t e d < / I D > < N a m e > D a t e U p d a t e d < / N a m e > < D e s c r i p t i o n > A < / D e s c r i p t i o n > < K e y C o l u m n s > < K e y C o l u m n > < N u l l P r o c e s s i n g > P r e s e r v e < / N u l l P r o c e s s i n g > < D a t a T y p e > W C h a r < / D a t a T y p e > < / K e y C o l u m n > < / K e y C o l u m n s > < N a m e C o l u m n > < N u l l P r o c e s s i n g > Z e r o O r B l a n k < / N u l l P r o c e s s i n g > < D a t a T y p e > W C h a r < / D a t a T y p e > < / N a m e C o l u m n > < O r d e r B y > K e y < / O r d e r B y > < / A t t r i b u t e > < A t t r i b u t e > < I D > O r g a n i z a t i o n < / I D > < N a m e > O r g a n i z a t i o n < / N a m e > < D e s c r i p t i o n > B < / D e s c r i p t i o n > < K e y C o l u m n s > < K e y C o l u m n > < N u l l P r o c e s s i n g > P r e s e r v e < / N u l l P r o c e s s i n g > < D a t a T y p e > W C h a r < / D a t a T y p e > < / K e y C o l u m n > < / K e y C o l u m n s > < N a m e C o l u m n > < N u l l P r o c e s s i n g > Z e r o O r B l a n k < / N u l l P r o c e s s i n g > < D a t a T y p e > W C h a r < / D a t a T y p e > < / N a m e C o l u m n > < O r d e r B y > K e y < / O r d e r B y > < / A t t r i b u t e > < A t t r i b u t e > < I D > I m p l e m e n t i n g P a r t n e r < / I D > < N a m e > I m p l e m e n t i n g P a r t n e r < / N a m e > < D e s c r i p t i o n > C < / D e s c r i p t i o n > < K e y C o l u m n s > < K e y C o l u m n > < N u l l P r o c e s s i n g > P r e s e r v e < / N u l l P r o c e s s i n g > < D a t a T y p e > W C h a r < / D a t a T y p e > < / K e y C o l u m n > < / K e y C o l u m n s > < N a m e C o l u m n > < N u l l P r o c e s s i n g > Z e r o O r B l a n k < / N u l l P r o c e s s i n g > < D a t a T y p e > W C h a r < / D a t a T y p e > < / N a m e C o l u m n > < O r d e r B y > K e y < / O r d e r B y > < / A t t r i b u t e > < A t t r i b u t e > < I D > S t a t e < / I D > < N a m e > S t a t e < / N a m e > < D e s c r i p t i o n > D < / D e s c r i p t i o n > < K e y C o l u m n s > < K e y C o l u m n > < N u l l P r o c e s s i n g > P r e s e r v e < / N u l l P r o c e s s i n g > < D a t a T y p e > W C h a r < / D a t a T y p e > < / K e y C o l u m n > < / K e y C o l u m n s > < N a m e C o l u m n > < N u l l P r o c e s s i n g > Z e r o O r B l a n k < / N u l l P r o c e s s i n g > < D a t a T y p e > W C h a r < / D a t a T y p e > < / N a m e C o l u m n > < O r d e r B y > K e y < / O r d e r B y > < / A t t r i b u t e > < A t t r i b u t e > < I D > T o w n s h i p < / I D > < N a m e > T o w n s h i p < / N a m e > < D e s c r i p t i o n > E < / D e s c r i p t i o n > < K e y C o l u m n s > < K e y C o l u m n > < N u l l P r o c e s s i n g > P r e s e r v e < / N u l l P r o c e s s i n g > < D a t a T y p e > W C h a r < / D a t a T y p e > < / K e y C o l u m n > < / K e y C o l u m n s > < N a m e C o l u m n > < N u l l P r o c e s s i n g > Z e r o O r B l a n k < / N u l l P r o c e s s i n g > < D a t a T y p e > W C h a r < / D a t a T y p e > < / N a m e C o l u m n > < O r d e r B y > K e y < / O r d e r B y > < / A t t r i b u t e > < A t t r i b u t e > < I D > C a m p N a m e < / I D > < N a m e > C a m p N a m e < / N a m e > < D e s c r i p t i o n > F < / D e s c r i p t i o n > < K e y C o l u m n s > < K e y C o l u m n > < N u l l P r o c e s s i n g > P r e s e r v e < / N u l l P r o c e s s i n g > < D a t a T y p e > W C h a r < / D a t a T y p e > < / K e y C o l u m n > < / K e y C o l u m n s > < N a m e C o l u m n > < N u l l P r o c e s s i n g > Z e r o O r B l a n k < / N u l l P r o c e s s i n g > < D a t a T y p e > W C h a r < / D a t a T y p e > < / N a m e C o l u m n > < O r d e r B y > K e y < / O r d e r B y > < / A t t r i b u t e > < A t t r i b u t e > < I D > H H p e r S h e l t e r < / I D > < N a m e > H H p e r S h e l t e r < / N a m e > < D e s c r i p t i o n > G < / D e s c r i p t i o n > < K e y C o l u m n s > < K e y C o l u m n > < N u l l P r o c e s s i n g > P r e s e r v e < / N u l l P r o c e s s i n g > < D a t a T y p e > B i g I n t < / D a t a T y p e > < / K e y C o l u m n > < / K e y C o l u m n s > < N a m e C o l u m n > < N u l l P r o c e s s i n g > Z e r o O r B l a n k < / N u l l P r o c e s s i n g > < D a t a T y p e > W C h a r < / D a t a T y p e > < / N a m e C o l u m n > < O r d e r B y > K e y < / O r d e r B y > < / A t t r i b u t e > < A t t r i b u t e > < I D > # o f F a m i l y T e n t P l a n n e d   T a r g e t < / I D > < N a m e > # o f F a m i l y T e n t P l a n n e d   T a r g e t < / N a m e > < D e s c r i p t i o n > H < / D e s c r i p t i o n > < K e y C o l u m n s > < K e y C o l u m n > < N u l l P r o c e s s i n g > P r e s e r v e < / N u l l P r o c e s s i n g > < D a t a T y p e > W C h a r < / D a t a T y p e > < / K e y C o l u m n > < / K e y C o l u m n s > < N a m e C o l u m n > < N u l l P r o c e s s i n g > Z e r o O r B l a n k < / N u l l P r o c e s s i n g > < D a t a T y p e > W C h a r < / D a t a T y p e > < / N a m e C o l u m n > < O r d e r B y > K e y < / O r d e r B y > < / A t t r i b u t e > < A t t r i b u t e > < I D > # o f F a m i l y T e n t D i s t r i b u t e d < / I D > < N a m e > # o f F a m i l y T e n t D i s t r i b u t e d < / N a m e > < D e s c r i p t i o n > I < / D e s c r i p t i o n > < K e y C o l u m n s > < K e y C o l u m n > < N u l l P r o c e s s i n g > P r e s e r v e < / N u l l P r o c e s s i n g > < D a t a T y p e > W C h a r < / D a t a T y p e > < / K e y C o l u m n > < / K e y C o l u m n s > < N a m e C o l u m n > < N u l l P r o c e s s i n g > Z e r o O r B l a n k < / N u l l P r o c e s s i n g > < D a t a T y p e > W C h a r < / D a t a T y p e > < / N a m e C o l u m n > < O r d e r B y > K e y < / O r d e r B y > < / A t t r i b u t e > < A t t r i b u t e > < I D > # o f T e m p o r a r y S h e l t e r P l a n n e d   T a r g e t < / I D > < N a m e > # o f T e m p o r a r y S h e l t e r P l a n n e d   T a r g e t < / N a m e > < D e s c r i p t i o n > J < / D e s c r i p t i o n > < K e y C o l u m n s > < K e y C o l u m n > < N u l l P r o c e s s i n g > P r e s e r v e < / N u l l P r o c e s s i n g > < D a t a T y p e > B i g I n t < / D a t a T y p e > < / K e y C o l u m n > < / K e y C o l u m n s > < N a m e C o l u m n > < N u l l P r o c e s s i n g > Z e r o O r B l a n k < / N u l l P r o c e s s i n g > < D a t a T y p e > W C h a r < / D a t a T y p e > < / N a m e C o l u m n > < O r d e r B y > K e y < / O r d e r B y > < / A t t r i b u t e > < A t t r i b u t e > < I D > # o f T e m p o r a r y S h e l t e r B u i l t < / I D > < N a m e > # o f T e m p o r a r y S h e l t e r B u i l t < / N a m e > < D e s c r i p t i o n > K < / D e s c r i p t i o n > < K e y C o l u m n s > < K e y C o l u m n > < N u l l P r o c e s s i n g > P r e s e r v e < / N u l l P r o c e s s i n g > < D a t a T y p e > B i g I n t < / D a t a T y p e > < / K e y C o l u m n > < / K e y C o l u m n s > < N a m e C o l u m n > < N u l l P r o c e s s i n g > Z e r o O r B l a n k < / N u l l P r o c e s s i n g > < D a t a T y p e > W C h a r < / D a t a T y p e > < / N a m e C o l u m n > < O r d e r B y > K e y < / O r d e r B y > < / A t t r i b u t e > < A t t r i b u t e > < I D > # o f T e m p o r a r y S h e l t e r U n d e r C o n s t r u c t i o n < / I D > < N a m e > # o f T e m p o r a r y S h e l t e r U n d e r C o n s t r u c t i o n < / N a m e > < D e s c r i p t i o n > L < / D e s c r i p t i o n > < K e y C o l u m n s > < K e y C o l u m n > < N u l l P r o c e s s i n g > P r e s e r v e < / N u l l P r o c e s s i n g > < D a t a T y p e > B i g I n t < / D a t a T y p e > < / K e y C o l u m n > < / K e y C o l u m n s > < N a m e C o l u m n > < N u l l P r o c e s s i n g > Z e r o O r B l a n k < / N u l l P r o c e s s i n g > < D a t a T y p e > W C h a r < / D a t a T y p e > < / N a m e C o l u m n > < O r d e r B y > K e y < / O r d e r B y > < / A t t r i b u t e > < A t t r i b u t e > < I D > # o f P e r m a n e n t H o u s e P l a n n e d   T a r g e t < / I D > < N a m e > # o f P e r m a n e n t H o u s e P l a n n e d   T a r g e t < / N a m e > < D e s c r i p t i o n > M < / D e s c r i p t i o n > < K e y C o l u m n s > < K e y C o l u m n > < N u l l P r o c e s s i n g > P r e s e r v e < / N u l l P r o c e s s i n g > < D a t a T y p e > B i g I n t < / D a t a T y p e > < / K e y C o l u m n > < / K e y C o l u m n s > < N a m e C o l u m n > < N u l l P r o c e s s i n g > Z e r o O r B l a n k < / N u l l P r o c e s s i n g > < D a t a T y p e > W C h a r < / D a t a T y p e > < / N a m e C o l u m n > < O r d e r B y > K e y < / O r d e r B y > < / A t t r i b u t e > < A t t r i b u t e > < I D > # o f P e r m a n e n t H o u s e B u i l t < / I D > < N a m e > # o f P e r m a n e n t H o u s e B u i l t < / N a m e > < D e s c r i p t i o n > N < / D e s c r i p t i o n > < K e y C o l u m n s > < K e y C o l u m n > < N u l l P r o c e s s i n g > P r e s e r v e < / N u l l P r o c e s s i n g > < D a t a T y p e > B i g I n t < / D a t a T y p e > < / K e y C o l u m n > < / K e y C o l u m n s > < N a m e C o l u m n > < N u l l P r o c e s s i n g > Z e r o O r B l a n k < / N u l l P r o c e s s i n g > < D a t a T y p e > W C h a r < / D a t a T y p e > < / N a m e C o l u m n > < O r d e r B y > K e y < / O r d e r B y > < / A t t r i b u t e > < A t t r i b u t e > < I D > # o f P e r m a n e n t H o u s e U n d e r C o n s t r u c t i o n < / I D > < N a m e > # o f P e r m a n e n t H o u s e U n d e r C o n s t r u c t i o n < / N a m e > < D e s c r i p t i o n > O < / D e s c r i p t i o n > < K e y C o l u m n s > < K e y C o l u m n > < N u l l P r o c e s s i n g > P r e s e r v e < / N u l l P r o c e s s i n g > < D a t a T y p e > B i g I n t < / D a t a T y p e > < / K e y C o l u m n > < / K e y C o l u m n s > < N a m e C o l u m n > < N u l l P r o c e s s i n g > Z e r o O r B l a n k < / N u l l P r o c e s s i n g > < D a t a T y p e > W C h a r < / D a t a T y p e > < / N a m e C o l u m n > < O r d e r B y > K e y < / O r d e r B y > < / A t t r i b u t e > < A t t r i b u t e > < I D > H H C o v e r e d < / I D > < N a m e > H H C o v e r e d < / N a m e > < D e s c r i p t i o n > P < / D e s c r i p t i o n > < K e y C o l u m n s > < K e y C o l u m n > < N u l l P r o c e s s i n g > P r e s e r v e < / N u l l P r o c e s s i n g > < D a t a T y p e > B i g I n t < / D a t a T y p e > < / K e y C o l u m n > < / K e y C o l u m n s > < N a m e C o l u m n > < N u l l P r o c e s s i n g > Z e r o O r B l a n k < / N u l l P r o c e s s i n g > < D a t a T y p e > W C h a r < / D a t a T y p e > < / N a m e C o l u m n > < O r d e r B y > K e y < / O r d e r B y > < / A t t r i b u t e > < A t t r i b u t e > < I D > R o w N u m b e r < / I D > < N a m e > R o w N u m b e r < / N a m e > < T y p e   v a l u e n s = " d d l 2 0 0 _ 2 0 0 " > R o w N u m b e r < / T y p e > < U s a g e > K e y < / U s a g e > < K e y C o l u m n s > < K e y C o l u m n > < N u l l P r o c e s s i n g > E r r o r < / N u l l P r o c e s s i n g > < D a t a T y p e > I n t e g e r < / D a t a T y p e > < D a t a S i z e > 4 < / D a t a S i z e > < S o u r c e   x s i : t y p e = " d d l 2 0 0 _ 2 0 0 : R o w N u m b e r B i n d i n g "   / > < / K e y C o l u m n > < / K e y C o l u m n s > < N a m e C o l u m n > < N u l l P r o c e s s i n g > Z e r o O r B l a n k < / N u l l P r o c e s s i n g > < D a t a T y p e > W C h a r < / D a t a T y p e > < D a t a S i z e > 4 < / D a t a S i z e > < S o u r c e   x s i : t y p e = " d d l 2 0 0 _ 2 0 0 : R o w N u m b e r B i n d i n g "   / > < / N a m e C o l u m n > < A t t r i b u t e R e l a t i o n s h i p s > < A t t r i b u t e R e l a t i o n s h i p > < A t t r i b u t e I D > D a t e U p d a t e d < / A t t r i b u t e I D > < O v e r r i d e B e h a v i o r > N o n e < / O v e r r i d e B e h a v i o r > < N a m e > D a t e U p d a t e d < / N a m e > < / A t t r i b u t e R e l a t i o n s h i p > < A t t r i b u t e R e l a t i o n s h i p > < A t t r i b u t e I D > O r g a n i z a t i o n < / A t t r i b u t e I D > < O v e r r i d e B e h a v i o r > N o n e < / O v e r r i d e B e h a v i o r > < N a m e > O r g a n i z a t i o n < / N a m e > < / A t t r i b u t e R e l a t i o n s h i p > < A t t r i b u t e R e l a t i o n s h i p > < A t t r i b u t e I D > I m p l e m e n t i n g P a r t n e r < / A t t r i b u t e I D > < O v e r r i d e B e h a v i o r > N o n e < / O v e r r i d e B e h a v i o r > < N a m e > I m p l e m e n t i n g P a r t n e r < / N a m e > < / A t t r i b u t e R e l a t i o n s h i p > < A t t r i b u t e R e l a t i o n s h i p > < A t t r i b u t e I D > S t a t e < / A t t r i b u t e I D > < O v e r r i d e B e h a v i o r > N o n e < / O v e r r i d e B e h a v i o r > < N a m e > S t a t e < / N a m e > < / A t t r i b u t e R e l a t i o n s h i p > < A t t r i b u t e R e l a t i o n s h i p > < A t t r i b u t e I D > T o w n s h i p < / A t t r i b u t e I D > < O v e r r i d e B e h a v i o r > N o n e < / O v e r r i d e B e h a v i o r > < N a m e > T o w n s h i p < / N a m e > < / A t t r i b u t e R e l a t i o n s h i p > < A t t r i b u t e R e l a t i o n s h i p > < A t t r i b u t e I D > C a m p N a m e < / A t t r i b u t e I D > < O v e r r i d e B e h a v i o r > N o n e < / O v e r r i d e B e h a v i o r > < N a m e > C a m p N a m e < / N a m e > < / A t t r i b u t e R e l a t i o n s h i p > < A t t r i b u t e R e l a t i o n s h i p > < A t t r i b u t e I D > H H p e r S h e l t e r < / A t t r i b u t e I D > < O v e r r i d e B e h a v i o r > N o n e < / O v e r r i d e B e h a v i o r > < N a m e > H H p e r S h e l t e r < / N a m e > < / A t t r i b u t e R e l a t i o n s h i p > < A t t r i b u t e R e l a t i o n s h i p > < A t t r i b u t e I D > # o f F a m i l y T e n t P l a n n e d   T a r g e t < / A t t r i b u t e I D > < O v e r r i d e B e h a v i o r > N o n e < / O v e r r i d e B e h a v i o r > < N a m e > # o f F a m i l y T e n t P l a n n e d   T a r g e t < / N a m e > < / A t t r i b u t e R e l a t i o n s h i p > < A t t r i b u t e R e l a t i o n s h i p > < A t t r i b u t e I D > # o f F a m i l y T e n t D i s t r i b u t e d < / A t t r i b u t e I D > < O v e r r i d e B e h a v i o r > N o n e < / O v e r r i d e B e h a v i o r > < N a m e > # o f F a m i l y T e n t D i s t r i b u t e d < / N a m e > < / A t t r i b u t e R e l a t i o n s h i p > < A t t r i b u t e R e l a t i o n s h i p > < A t t r i b u t e I D > # o f T e m p o r a r y S h e l t e r P l a n n e d   T a r g e t < / A t t r i b u t e I D > < O v e r r i d e B e h a v i o r > N o n e < / O v e r r i d e B e h a v i o r > < N a m e > # o f T e m p o r a r y S h e l t e r P l a n n e d   T a r g e t < / N a m e > < / A t t r i b u t e R e l a t i o n s h i p > < A t t r i b u t e R e l a t i o n s h i p > < A t t r i b u t e I D > # o f T e m p o r a r y S h e l t e r B u i l t < / A t t r i b u t e I D > < O v e r r i d e B e h a v i o r > N o n e < / O v e r r i d e B e h a v i o r > < N a m e > # o f T e m p o r a r y S h e l t e r B u i l t < / N a m e > < / A t t r i b u t e R e l a t i o n s h i p > < A t t r i b u t e R e l a t i o n s h i p > < A t t r i b u t e I D > # o f T e m p o r a r y S h e l t e r U n d e r C o n s t r u c t i o n < / A t t r i b u t e I D > < O v e r r i d e B e h a v i o r > N o n e < / O v e r r i d e B e h a v i o r > < N a m e > # o f T e m p o r a r y S h e l t e r U n d e r C o n s t r u c t i o n < / N a m e > < / A t t r i b u t e R e l a t i o n s h i p > < A t t r i b u t e R e l a t i o n s h i p > < A t t r i b u t e I D > # o f P e r m a n e n t H o u s e P l a n n e d   T a r g e t < / A t t r i b u t e I D > < O v e r r i d e B e h a v i o r > N o n e < / O v e r r i d e B e h a v i o r > < N a m e > # o f P e r m a n e n t H o u s e P l a n n e d   T a r g e t < / N a m e > < / A t t r i b u t e R e l a t i o n s h i p > < A t t r i b u t e R e l a t i o n s h i p > < A t t r i b u t e I D > # o f P e r m a n e n t H o u s e B u i l t < / A t t r i b u t e I D > < O v e r r i d e B e h a v i o r > N o n e < / O v e r r i d e B e h a v i o r > < N a m e > # o f P e r m a n e n t H o u s e B u i l t < / N a m e > < / A t t r i b u t e R e l a t i o n s h i p > < A t t r i b u t e R e l a t i o n s h i p > < A t t r i b u t e I D > # o f P e r m a n e n t H o u s e U n d e r C o n s t r u c t i o n < / A t t r i b u t e I D > < O v e r r i d e B e h a v i o r > N o n e < / O v e r r i d e B e h a v i o r > < N a m e > # o f P e r m a n e n t H o u s e U n d e r C o n s t r u c t i o n < / N a m e > < / A t t r i b u t e R e l a t i o n s h i p > < A t t r i b u t e R e l a t i o n s h i p > < A t t r i b u t e I D > H H C o v e r e d < / A t t r i b u t e I D > < O v e r r i d e B e h a v i o r > N o n e < / O v e r r i d e B e h a v i o r > < N a m e > H H C o v e r e d < / N a m e > < / A t t r i b u t e R e l a t i o n s h i p > < / A t t r i b u t e R e l a t i o n s h i p s > < O r d e r B y > K e y < / O r d e r B y > < A t t r i b u t e H i e r a r c h y V i s i b l e > f a l s e < / A t t r i b u t e H i e r a r c h y V i s i b l e > < / A t t r i b u t e > < / A t t r i b u t e s > < P r o a c t i v e C a c h i n g > < S i l e n c e I n t e r v a l > - P T 1 S < / S i l e n c e I n t e r v a l > < L a t e n c y > - P T 1 S < / L a t e n c y > < S i l e n c e O v e r r i d e I n t e r v a l > - P T 1 S < / S i l e n c e O v e r r i d e I n t e r v a l > < F o r c e R e b u i l d I n t e r v a l > - P T 1 S < / F o r c e R e b u i l d I n t e r v a l > < S o u r c e   x s i : t y p e = " P r o a c t i v e C a c h i n g I n h e r i t e d B i n d i n g "   / > < / P r o a c t i v e C a c h i n g > < / D i m e n s i o n > < / D i m e n s i o n s > < C u b e s > < C u b e > < I D > S a n d b o x < / I D > < N a m e > S a n d b o x < / N a m e > < D i m e n s i o n s > < D i m e n s i o n > < I D > T a b l e _ C a m p L i s t < / I D > < N a m e > T a b l e _ C a m p L i s t < / N a m e > < D i m e n s i o n I D > T a b l e _ C a m p L i s t < / D i m e n s i o n I D > < A t t r i b u t e s > < A t t r i b u t e > < A t t r i b u t e I D > S r   N o < / A t t r i b u t e I D > < / A t t r i b u t e > < A t t r i b u t e > < A t t r i b u t e I D > U p d a t e   D a t e < / A t t r i b u t e I D > < / A t t r i b u t e > < A t t r i b u t e > < A t t r i b u t e I D > S t a t u s < / A t t r i b u t e I D > < / A t t r i b u t e > < A t t r i b u t e > < A t t r i b u t e I D > S t a t e < / A t t r i b u t e I D > < / A t t r i b u t e > < A t t r i b u t e > < A t t r i b u t e I D > S t a t e _ P c o d e < / A t t r i b u t e I D > < / A t t r i b u t e > < A t t r i b u t e > < A t t r i b u t e I D > T O W N S H I P _ N A M E < / A t t r i b u t e I D > < / A t t r i b u t e > < A t t r i b u t e > < A t t r i b u t e I D > T o w n s h i p _ P c o d e < / A t t r i b u t e I D > < / A t t r i b u t e > < A t t r i b u t e > < A t t r i b u t e I D > V i l l a g e T r a c K T o w n _ N a m e < / A t t r i b u t e I D > < / A t t r i b u t e > < A t t r i b u t e > < A t t r i b u t e I D > V i l l a g e T r a c k T o w n _ P c o d e < / A t t r i b u t e I D > < / A t t r i b u t e > < A t t r i b u t e > < A t t r i b u t e I D > V i l l a g e W a r d _ N a m e < / A t t r i b u t e I D > < / A t t r i b u t e > < A t t r i b u t e > < A t t r i b u t e I D > V i l l a g e W a r d _ P c o d e < / A t t r i b u t e I D > < / A t t r i b u t e > < A t t r i b u t e > < A t t r i b u t e I D > C a m p   N a m e < / A t t r i b u t e I D > < / A t t r i b u t e > < A t t r i b u t e > < A t t r i b u t e I D > P _ C o d e < / A t t r i b u t e I D > < / A t t r i b u t e > < A t t r i b u t e > < A t t r i b u t e I D > A c c e s s i b i l i t y < / A t t r i b u t e I D > < / A t t r i b u t e > < A t t r i b u t e > < A t t r i b u t e I D > L o n g i t u d e < / A t t r i b u t e I D > < / A t t r i b u t e > < A t t r i b u t e > < A t t r i b u t e I D > L a t i t u d e < / A t t r i b u t e I D > < / A t t r i b u t e > < A t t r i b u t e > < A t t r i b u t e I D > H H < / A t t r i b u t e I D > < / A t t r i b u t e > < A t t r i b u t e > < A t t r i b u t e I D > T o t a l < / A t t r i b u t e I D > < / A t t r i b u t e > < A t t r i b u t e > < A t t r i b u t e I D > A v g < / A t t r i b u t e I D > < / A t t r i b u t e > < A t t r i b u t e > < A t t r i b u t e I D > S o u r c e < / A t t r i b u t e I D > < / A t t r i b u t e > < A t t r i b u t e > < A t t r i b u t e I D > M e t h o d < / A t t r i b u t e I D > < / A t t r i b u t e > < A t t r i b u t e > < A t t r i b u t e I D > T y p e   o f   A c c o m o d a t i o n < / A t t r i b u t e I D > < / A t t r i b u t e > < A t t r i b u t e > < A t t r i b u t e I D > C o m m e n t < / A t t r i b u t e I D > < / A t t r i b u t e > < A t t r i b u t e > < A t t r i b u t e I D > R o w N u m b e r < / A t t r i b u t e I D > < / A t t r i b u t e > < / A t t r i b u t e s > < / D i m e n s i o n > < D i m e n s i o n > < I D > T a b l e _ S h e l t e r < / I D > < N a m e > T a b l e _ S h e l t e r < / N a m e > < D i m e n s i o n I D > T a b l e _ S h e l t e r < / D i m e n s i o n I D > < A t t r i b u t e s > < A t t r i b u t e > < A t t r i b u t e I D > D a t e U p d a t e d < / A t t r i b u t e I D > < / A t t r i b u t e > < A t t r i b u t e > < A t t r i b u t e I D > O r g a n i z a t i o n < / A t t r i b u t e I D > < / A t t r i b u t e > < A t t r i b u t e > < A t t r i b u t e I D > I m p l e m e n t i n g P a r t n e r < / A t t r i b u t e I D > < / A t t r i b u t e > < A t t r i b u t e > < A t t r i b u t e I D > S t a t e < / A t t r i b u t e I D > < / A t t r i b u t e > < A t t r i b u t e > < A t t r i b u t e I D > T o w n s h i p < / A t t r i b u t e I D > < / A t t r i b u t e > < A t t r i b u t e > < A t t r i b u t e I D > C a m p N a m e < / A t t r i b u t e I D > < / A t t r i b u t e > < A t t r i b u t e > < A t t r i b u t e I D > H H p e r S h e l t e r < / A t t r i b u t e I D > < / A t t r i b u t e > < A t t r i b u t e > < A t t r i b u t e I D > # o f F a m i l y T e n t P l a n n e d   T a r g e t < / A t t r i b u t e I D > < / A t t r i b u t e > < A t t r i b u t e > < A t t r i b u t e I D > # o f F a m i l y T e n t D i s t r i b u t e d < / A t t r i b u t e I D > < / A t t r i b u t e > < A t t r i b u t e > < A t t r i b u t e I D > # o f T e m p o r a r y S h e l t e r P l a n n e d   T a r g e t < / A t t r i b u t e I D > < / A t t r i b u t e > < A t t r i b u t e > < A t t r i b u t e I D > # o f T e m p o r a r y S h e l t e r B u i l t < / A t t r i b u t e I D > < / A t t r i b u t e > < A t t r i b u t e > < A t t r i b u t e I D > # o f T e m p o r a r y S h e l t e r U n d e r C o n s t r u c t i o n < / A t t r i b u t e I D > < / A t t r i b u t e > < A t t r i b u t e > < A t t r i b u t e I D > # o f P e r m a n e n t H o u s e P l a n n e d   T a r g e t < / A t t r i b u t e I D > < / A t t r i b u t e > < A t t r i b u t e > < A t t r i b u t e I D > # o f P e r m a n e n t H o u s e B u i l t < / A t t r i b u t e I D > < / A t t r i b u t e > < A t t r i b u t e > < A t t r i b u t e I D > # o f P e r m a n e n t H o u s e U n d e r C o n s t r u c t i o n < / A t t r i b u t e I D > < / A t t r i b u t e > < A t t r i b u t e > < A t t r i b u t e I D > H H C o v e r e d < / A t t r i b u t e I D > < / A t t r i b u t e > < A t t r i b u t e > < A t t r i b u t e I D > R o w N u m b e r < / A t t r i b u t e I D > < / A t t r i b u t e > < / A t t r i b u t e s > < / D i m e n s i o n > < / D i m e n s i o n s > < M e a s u r e G r o u p s > < M e a s u r e G r o u p > < I D > T a b l e _ C a m p L i s t < / I D > < N a m e > T a b l e _ C a m p L i s t < / N a m e > < M e a s u r e s > < M e a s u r e > < I D > T a b l e _ C a m p L i s t < / I D > < N a m e > _ C o u n t   T a b l e _ C a m p L i s t < / N a m e > < A g g r e g a t e F u n c t i o n > C o u n t < / A g g r e g a t e F u n c t i o n > < S o u r c e > < D a t a T y p e > B i g I n t < / D a t a T y p e > < D a t a S i z e > 8 < / D a t a S i z e > < S o u r c e   x s i : t y p e = " R o w B i n d i n g " > < T a b l e I D > T a b l e I D < / T a b l e I D > < / S o u r c e > < / S o u r c e > < / M e a s u r e > < / M e a s u r e s > < S t o r a g e M o d e   v a l u e n s = " d d l 2 0 0 _ 2 0 0 " > I n M e m o r y < / S t o r a g e M o d e > < E r r o r C o n f i g u r a t i o n > < K e y N o t F o u n d > I g n o r e E r r o r < / K e y N o t F o u n d > < K e y D u p l i c a t e > R e p o r t A n d S t o p < / K e y D u p l i c a t e > < N u l l K e y N o t A l l o w e d > R e p o r t A n d S t o p < / N u l l K e y N o t A l l o w e d > < / E r r o r C o n f i g u r a t i o n > < P r o c e s s i n g M o d e > R e g u l a r < / P r o c e s s i n g M o d e > < D i m e n s i o n s > < D i m e n s i o n   x s i : t y p e = " D e g e n e r a t e M e a s u r e G r o u p D i m e n s i o n " > < C u b e D i m e n s i o n I D > T a b l e _ C a m p L i s t < / C u b e D i m e n s i o n I D > < A t t r i b u t e s > < A t t r i b u t e > < A t t r i b u t e I D > R o w N u m b e r < / A t t r i b u t e I D > < K e y C o l u m n s > < K e y C o l u m n > < D a t a T y p e > I n t e g e r < / D a t a T y p e > < S o u r c e   x s i : t y p e = " C o l u m n B i n d i n g " > < T a b l e I D > T a b l e _ C a m p L i s t < / T a b l e I D > < C o l u m n I D > R o w N u m b e r < / C o l u m n I D > < / S o u r c e > < / K e y C o l u m n > < / K e y C o l u m n s > < T y p e > G r a n u l a r i t y < / T y p e > < / A t t r i b u t e > < / A t t r i b u t e s > < d d l 2 0 0 _ 2 0 0 : S h a r e D i m e n s i o n S t o r a g e > S h a r e d < / d d l 2 0 0 _ 2 0 0 : S h a r e D i m e n s i o n S t o r a g e > < / D i m e n s i o n > < / D i m e n s i o n s > < P a r t i t i o n s > < P a r t i t i o n > < I D > T a b l e _ C a m p L i s t < / I D > < N a m e > T a b l e _ C a m p L i s t < / N a m e > < S t o r a g e M o d e   v a l u e n s = " d d l 2 0 0 _ 2 0 0 " > I n M e m o r y < / S t o r a g e M o d e > < P r o c e s s i n g M o d e > R e g u l a r < / P r o c e s s i n g M o d e > < / P a r t i t i o n > < / P a r t i t i o n s > < / M e a s u r e G r o u p > < M e a s u r e G r o u p > < I D > T a b l e _ S h e l t e r < / I D > < N a m e > T a b l e _ S h e l t e r < / N a m e > < M e a s u r e s > < M e a s u r e > < I D > T a b l e _ S h e l t e r < / I D > < N a m e > _ C o u n t   T a b l e _ S h e l t e r < / N a m e > < A g g r e g a t e F u n c t i o n > C o u n t < / A g g r e g a t e F u n c t i o n > < S o u r c e > < D a t a T y p e > B i g I n t < / D a t a T y p e > < D a t a S i z e > 8 < / D a t a S i z e > < S o u r c e   x s i : t y p e = " R o w B i n d i n g " > < T a b l e I D > T a b l e I D < / T a b l e I D > < / S o u r c e > < / S o u r c e > < / M e a s u r e > < / M e a s u r e s > < S t o r a g e M o d e   v a l u e n s = " d d l 2 0 0 _ 2 0 0 " > I n M e m o r y < / S t o r a g e M o d e > < E r r o r C o n f i g u r a t i o n > < K e y N o t F o u n d > I g n o r e E r r o r < / K e y N o t F o u n d > < K e y D u p l i c a t e > R e p o r t A n d S t o p < / K e y D u p l i c a t e > < N u l l K e y N o t A l l o w e d > R e p o r t A n d S t o p < / N u l l K e y N o t A l l o w e d > < / E r r o r C o n f i g u r a t i o n > < P r o c e s s i n g M o d e > R e g u l a r < / P r o c e s s i n g M o d e > < D i m e n s i o n s > < D i m e n s i o n   x s i : t y p e = " D e g e n e r a t e M e a s u r e G r o u p D i m e n s i o n " > < C u b e D i m e n s i o n I D > T a b l e _ S h e l t e r < / C u b e D i m e n s i o n I D > < A t t r i b u t e s > < A t t r i b u t e > < A t t r i b u t e I D > R o w N u m b e r < / A t t r i b u t e I D > < K e y C o l u m n s > < K e y C o l u m n > < D a t a T y p e > I n t e g e r < / D a t a T y p e > < S o u r c e   x s i : t y p e = " C o l u m n B i n d i n g " > < T a b l e I D > T a b l e _ S h e l t e r < / T a b l e I D > < C o l u m n I D > R o w N u m b e r < / C o l u m n I D > < / S o u r c e > < / K e y C o l u m n > < / K e y C o l u m n s > < T y p e > G r a n u l a r i t y < / T y p e > < / A t t r i b u t e > < / A t t r i b u t e s > < d d l 2 0 0 _ 2 0 0 : S h a r e D i m e n s i o n S t o r a g e > S h a r e d < / d d l 2 0 0 _ 2 0 0 : S h a r e D i m e n s i o n S t o r a g e > < / D i m e n s i o n > < / D i m e n s i o n s > < P a r t i t i o n s > < P a r t i t i o n > < I D > T a b l e _ S h e l t e r < / I D > < N a m e > T a b l e _ S h e l t e r < / N a m e > < S t o r a g e M o d e   v a l u e n s = " d d l 2 0 0 _ 2 0 0 " > I n M e m o r y < / S t o r a g e M o d e > < P r o c e s s i n g M o d e > R e g u l a r < / P r o c e s s i n g M o d e > < / P a r t i t i o n > < / P a r t i t i o n s > < / M e a s u r e G r o u p > < / M e a s u r e G r o u p s > < M d x S c r i p t s > < M d x S c r i p t > < I D > M d x S c r i p t < / I D > < N a m e > M d x S c r i p t < / N a m e > < C o m m a n d s > < C o m m a n d > < T e x t > C A L C U L A T E ;    
 C R E A T E   M E M B E R   C U R R E N T C U B E . M e a s u r e s . [ a a 9 d 1 c f d - 8 6 b 1 - 4 f 3 b - a 5 3 3 - b 7 a 8 5 7 3 6 d 4 a 9 ]   A S   1 ,   V i s i b l e = 0 ;    
 A L T E R   C U B E   C U R R E N T C U B E   U P D A T E   D I M E N S I O N   M e a s u r e s ,   D e f a u l t _ M e m b e r   =   [ a a 9 d 1 c f d - 8 6 b 1 - 4 f 3 b - a 5 3 3 - b 7 a 8 5 7 3 6 d 4 a 9 ] ;   < / T e x t > < / C o m m a n d > < / C o m m a n d s > < / M d x S c r i p t > < / M d x S c r i p t s > < S t o r a g e M o d e   v a l u e n s = " d d l 2 0 0 _ 2 0 0 " > I n M e m o r y < / S t o r a g e M o d e > < / C u b e > < / C u b e s > < d d l 2 0 0 _ 2 0 0 : S t o r a g e E n g i n e U s e d > I n M e m o r y < / d d l 2 0 0 _ 2 0 0 : S t o r a g e E n g i n e U s e d > < / D a t a b a s e > < / O b j e c t D e f i n i t i o n > < / C r e a t e > ] ] > < / C u s t o m C o n t e n t > < / G e m i n i > 
</file>

<file path=customXml/itemProps1.xml><?xml version="1.0" encoding="utf-8"?>
<ds:datastoreItem xmlns:ds="http://schemas.openxmlformats.org/officeDocument/2006/customXml" ds:itemID="{C2BE83A5-448A-4B18-BB34-D729CAA9F86F}">
  <ds:schemaRefs/>
</ds:datastoreItem>
</file>

<file path=customXml/itemProps10.xml><?xml version="1.0" encoding="utf-8"?>
<ds:datastoreItem xmlns:ds="http://schemas.openxmlformats.org/officeDocument/2006/customXml" ds:itemID="{813269B1-46E6-446B-AAFD-6C3C2E019447}">
  <ds:schemaRefs/>
</ds:datastoreItem>
</file>

<file path=customXml/itemProps11.xml><?xml version="1.0" encoding="utf-8"?>
<ds:datastoreItem xmlns:ds="http://schemas.openxmlformats.org/officeDocument/2006/customXml" ds:itemID="{29F038A7-53D4-43C9-BA81-F04FA320B26C}">
  <ds:schemaRefs/>
</ds:datastoreItem>
</file>

<file path=customXml/itemProps2.xml><?xml version="1.0" encoding="utf-8"?>
<ds:datastoreItem xmlns:ds="http://schemas.openxmlformats.org/officeDocument/2006/customXml" ds:itemID="{3957C5D7-EFF0-44A3-9298-445924399827}">
  <ds:schemaRefs/>
</ds:datastoreItem>
</file>

<file path=customXml/itemProps3.xml><?xml version="1.0" encoding="utf-8"?>
<ds:datastoreItem xmlns:ds="http://schemas.openxmlformats.org/officeDocument/2006/customXml" ds:itemID="{D50E7055-9622-4A96-82B8-EBACB5B39629}">
  <ds:schemaRefs/>
</ds:datastoreItem>
</file>

<file path=customXml/itemProps4.xml><?xml version="1.0" encoding="utf-8"?>
<ds:datastoreItem xmlns:ds="http://schemas.openxmlformats.org/officeDocument/2006/customXml" ds:itemID="{DB9160EE-0167-41E4-AC28-973692AB29DA}">
  <ds:schemaRefs/>
</ds:datastoreItem>
</file>

<file path=customXml/itemProps5.xml><?xml version="1.0" encoding="utf-8"?>
<ds:datastoreItem xmlns:ds="http://schemas.openxmlformats.org/officeDocument/2006/customXml" ds:itemID="{69B4A3EE-0A3F-4462-99AB-FF7F45263C2E}">
  <ds:schemaRefs/>
</ds:datastoreItem>
</file>

<file path=customXml/itemProps6.xml><?xml version="1.0" encoding="utf-8"?>
<ds:datastoreItem xmlns:ds="http://schemas.openxmlformats.org/officeDocument/2006/customXml" ds:itemID="{56F54182-A2E7-46D3-9B50-3EE12C2ED11C}">
  <ds:schemaRefs/>
</ds:datastoreItem>
</file>

<file path=customXml/itemProps7.xml><?xml version="1.0" encoding="utf-8"?>
<ds:datastoreItem xmlns:ds="http://schemas.openxmlformats.org/officeDocument/2006/customXml" ds:itemID="{EFDD4649-07B9-495C-8FFA-CE327D4258B8}">
  <ds:schemaRefs/>
</ds:datastoreItem>
</file>

<file path=customXml/itemProps8.xml><?xml version="1.0" encoding="utf-8"?>
<ds:datastoreItem xmlns:ds="http://schemas.openxmlformats.org/officeDocument/2006/customXml" ds:itemID="{21F44420-13F1-4F50-9105-F761EFC3AFFE}">
  <ds:schemaRefs/>
</ds:datastoreItem>
</file>

<file path=customXml/itemProps9.xml><?xml version="1.0" encoding="utf-8"?>
<ds:datastoreItem xmlns:ds="http://schemas.openxmlformats.org/officeDocument/2006/customXml" ds:itemID="{54F841B6-B55C-4835-A603-634668231C4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23</vt:i4>
      </vt:variant>
      <vt:variant>
        <vt:lpstr>Named Ranges</vt:lpstr>
      </vt:variant>
      <vt:variant>
        <vt:i4>102</vt:i4>
      </vt:variant>
    </vt:vector>
  </HeadingPairs>
  <TitlesOfParts>
    <vt:vector size="125" baseType="lpstr">
      <vt:lpstr>Home</vt:lpstr>
      <vt:lpstr>Camp List</vt:lpstr>
      <vt:lpstr>DistanceToCamp</vt:lpstr>
      <vt:lpstr>Camp Analysis</vt:lpstr>
      <vt:lpstr>Camp List (printable)</vt:lpstr>
      <vt:lpstr>CCCM Dashboard</vt:lpstr>
      <vt:lpstr>ForGIS</vt:lpstr>
      <vt:lpstr>Shelter Cross Check</vt:lpstr>
      <vt:lpstr>Map</vt:lpstr>
      <vt:lpstr>Shelter Tracking</vt:lpstr>
      <vt:lpstr>Shelter Progress</vt:lpstr>
      <vt:lpstr>Shelter Summary (by Agency)</vt:lpstr>
      <vt:lpstr>Shelter Coverage Camp</vt:lpstr>
      <vt:lpstr>Shelter Coverage &amp; Gaps</vt:lpstr>
      <vt:lpstr>NFI Tracking</vt:lpstr>
      <vt:lpstr>NFI Pipeline</vt:lpstr>
      <vt:lpstr>Sheet2</vt:lpstr>
      <vt:lpstr>NFI Distribution (by Tship)</vt:lpstr>
      <vt:lpstr>Winter Item</vt:lpstr>
      <vt:lpstr>NFI Summary</vt:lpstr>
      <vt:lpstr>Define_TCL</vt:lpstr>
      <vt:lpstr>File_Details</vt:lpstr>
      <vt:lpstr>Definition</vt:lpstr>
      <vt:lpstr>Map!AllData_Camplist</vt:lpstr>
      <vt:lpstr>'Shelter Coverage &amp; Gaps'!AllData_Camplist</vt:lpstr>
      <vt:lpstr>AllData_Camplist</vt:lpstr>
      <vt:lpstr>Camp_Accessibility</vt:lpstr>
      <vt:lpstr>Camp_List</vt:lpstr>
      <vt:lpstr>Camplist_HH</vt:lpstr>
      <vt:lpstr>Camplist_Popl</vt:lpstr>
      <vt:lpstr>CampList_Status</vt:lpstr>
      <vt:lpstr>Camplist_Township</vt:lpstr>
      <vt:lpstr>Camplist_Type_Of_Acc</vt:lpstr>
      <vt:lpstr>CL</vt:lpstr>
      <vt:lpstr>Col_Shelter_org</vt:lpstr>
      <vt:lpstr>Col_Shelter_Perm_B</vt:lpstr>
      <vt:lpstr>Col_Shelter_Perm_P</vt:lpstr>
      <vt:lpstr>Col_Shelter_Perm_U</vt:lpstr>
      <vt:lpstr>Col_Shelter_State</vt:lpstr>
      <vt:lpstr>Col_Shelter_Temp_B</vt:lpstr>
      <vt:lpstr>Col_Shelter_Temp_P</vt:lpstr>
      <vt:lpstr>Col_Shelter_Temp_U</vt:lpstr>
      <vt:lpstr>Col_Shelter_Tent_Dist</vt:lpstr>
      <vt:lpstr>Col_Shelter_Township</vt:lpstr>
      <vt:lpstr>Kachin</vt:lpstr>
      <vt:lpstr>Kashin</vt:lpstr>
      <vt:lpstr>Map!Kyauk_Phyu_G</vt:lpstr>
      <vt:lpstr>NameTSPOP</vt:lpstr>
      <vt:lpstr>NFI</vt:lpstr>
      <vt:lpstr>NFI_Blanket_Pipeline</vt:lpstr>
      <vt:lpstr>NFI_Blanket_Stock</vt:lpstr>
      <vt:lpstr>NFI_Blanket_Track</vt:lpstr>
      <vt:lpstr>NFI_Clothes_Pipeline</vt:lpstr>
      <vt:lpstr>NFI_Clothes_Stock</vt:lpstr>
      <vt:lpstr>NFI_Clothes_Track</vt:lpstr>
      <vt:lpstr>NFI_Core_Pipeline</vt:lpstr>
      <vt:lpstr>NFI_Core_Stock</vt:lpstr>
      <vt:lpstr>NFI_Core_Track</vt:lpstr>
      <vt:lpstr>NFI_Expiration</vt:lpstr>
      <vt:lpstr>NFI_Hygiene_Pipeline</vt:lpstr>
      <vt:lpstr>NFI_Hygiene_Stock</vt:lpstr>
      <vt:lpstr>NFI_Hygiene_Track</vt:lpstr>
      <vt:lpstr>NFI_Kitchen_Pipeline</vt:lpstr>
      <vt:lpstr>NFI_Kitchen_Stock</vt:lpstr>
      <vt:lpstr>NFI_Kitchen_Track</vt:lpstr>
      <vt:lpstr>NFI_Monitor_Date</vt:lpstr>
      <vt:lpstr>NFI_Month</vt:lpstr>
      <vt:lpstr>NFI_Mosquito_Pipeline</vt:lpstr>
      <vt:lpstr>NFI_Mosquito_Stock</vt:lpstr>
      <vt:lpstr>NFI_Mosquito_Track</vt:lpstr>
      <vt:lpstr>NFI_Org</vt:lpstr>
      <vt:lpstr>NFI_Pipeline_State</vt:lpstr>
      <vt:lpstr>NFI_Pipeline_Township</vt:lpstr>
      <vt:lpstr>NFI_Plastic_Bucket_Pipeline</vt:lpstr>
      <vt:lpstr>NFI_Plastic_Bucket_Stock</vt:lpstr>
      <vt:lpstr>NFI_Plastic_Bucket_Track</vt:lpstr>
      <vt:lpstr>NFI_Plastic_Mat_Pipeline</vt:lpstr>
      <vt:lpstr>NFI_Plastic_Mat_Stock</vt:lpstr>
      <vt:lpstr>NFI_Plastic_Mat_Track</vt:lpstr>
      <vt:lpstr>NFI_Sanitary_Pipeline</vt:lpstr>
      <vt:lpstr>NFI_Sanitary_Stock</vt:lpstr>
      <vt:lpstr>NFI_Sanitary_Track</vt:lpstr>
      <vt:lpstr>NFI_State</vt:lpstr>
      <vt:lpstr>NFI_Tarpaulin_Pipeline</vt:lpstr>
      <vt:lpstr>NFI_Tarpaulin_Stock</vt:lpstr>
      <vt:lpstr>NFI_Tarpaulin_Track</vt:lpstr>
      <vt:lpstr>NFI_Township</vt:lpstr>
      <vt:lpstr>NFI_Winter_Blanket_Pipeline</vt:lpstr>
      <vt:lpstr>NFI_Winter_Blanket_Stock</vt:lpstr>
      <vt:lpstr>NFI_Winter_Blanket_Track</vt:lpstr>
      <vt:lpstr>NFI_Winter_Clothes_Adult_Pipeline</vt:lpstr>
      <vt:lpstr>NFI_Winter_Clothes_Adult_Stock</vt:lpstr>
      <vt:lpstr>NFI_Winter_Clothes_Adult_Track</vt:lpstr>
      <vt:lpstr>NFI_Winter_Clothes_Children_Pipeline</vt:lpstr>
      <vt:lpstr>NFI_Winter_Clothes_Children_Stock</vt:lpstr>
      <vt:lpstr>NFI_Winter_Clothes_Children_Track</vt:lpstr>
      <vt:lpstr>NFI_Winter_Items_Other_Pipeline</vt:lpstr>
      <vt:lpstr>NFI_Winter_Items_Other_Stock</vt:lpstr>
      <vt:lpstr>NFI_Winter_Items_Other_Track</vt:lpstr>
      <vt:lpstr>Pcode_Priority</vt:lpstr>
      <vt:lpstr>'Camp Analysis'!Print_Area</vt:lpstr>
      <vt:lpstr>'Camp List'!Print_Area</vt:lpstr>
      <vt:lpstr>'CCCM Dashboard'!Print_Area</vt:lpstr>
      <vt:lpstr>Map!Print_Area</vt:lpstr>
      <vt:lpstr>'NFI Distribution (by Tship)'!Print_Area</vt:lpstr>
      <vt:lpstr>'NFI Pipeline'!Print_Area</vt:lpstr>
      <vt:lpstr>'NFI Summary'!Print_Area</vt:lpstr>
      <vt:lpstr>'NFI Tracking'!Print_Area</vt:lpstr>
      <vt:lpstr>'Shelter Coverage &amp; Gaps'!Print_Area</vt:lpstr>
      <vt:lpstr>'Shelter Progress'!Print_Area</vt:lpstr>
      <vt:lpstr>'Shelter Summary (by Agency)'!Print_Area</vt:lpstr>
      <vt:lpstr>'Camp List (printable)'!Print_Titles</vt:lpstr>
      <vt:lpstr>'Shelter Cross Check'!Print_Titles</vt:lpstr>
      <vt:lpstr>PriorityCampWin</vt:lpstr>
      <vt:lpstr>Map!Rakhine_DB</vt:lpstr>
      <vt:lpstr>Report_Date</vt:lpstr>
      <vt:lpstr>Shan_North</vt:lpstr>
      <vt:lpstr>Shelter_Draw_Ratio</vt:lpstr>
      <vt:lpstr>Shelter_HH_Covered</vt:lpstr>
      <vt:lpstr>Stat01</vt:lpstr>
      <vt:lpstr>State</vt:lpstr>
      <vt:lpstr>TCL_C</vt:lpstr>
      <vt:lpstr>TCL_T</vt:lpstr>
      <vt:lpstr>TCL_T1</vt:lpstr>
      <vt:lpstr>WinAccomo</vt:lpstr>
    </vt:vector>
  </TitlesOfParts>
  <Company>UNHCR</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UNHCRuser</dc:creator>
  <cp:lastModifiedBy>Thi Thi Lwin</cp:lastModifiedBy>
  <cp:lastPrinted>2016-06-24T08:28:51Z</cp:lastPrinted>
  <dcterms:created xsi:type="dcterms:W3CDTF">2013-03-18T02:36:38Z</dcterms:created>
  <dcterms:modified xsi:type="dcterms:W3CDTF">2016-06-28T08:50:57Z</dcterms:modified>
</cp:coreProperties>
</file>